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mc:AlternateContent xmlns:mc="http://schemas.openxmlformats.org/markup-compatibility/2006">
    <mc:Choice Requires="x15">
      <x15ac:absPath xmlns:x15ac="http://schemas.microsoft.com/office/spreadsheetml/2010/11/ac" url="C:\Users\GSalazar\OneDrive - Universidad Católica de la Santísima Concepción\Documentos\BackUp VivoBook\Respaldo - (Doctorado)\Doctorado - 2024\Tesis UNAH Digital Strategy\Ultimo\"/>
    </mc:Choice>
  </mc:AlternateContent>
  <xr:revisionPtr revIDLastSave="1" documentId="8_{A29124EF-396E-40D0-B66B-E8319A9A8F53}" xr6:coauthVersionLast="36" xr6:coauthVersionMax="36" xr10:uidLastSave="{240FD34B-0ABE-479F-B5C5-F0FB413C174F}"/>
  <bookViews>
    <workbookView xWindow="0" yWindow="0" windowWidth="19200" windowHeight="6560" tabRatio="903" activeTab="2" xr2:uid="{00000000-000D-0000-FFFF-FFFF00000000}"/>
  </bookViews>
  <sheets>
    <sheet name="Sheet" sheetId="2" r:id="rId1"/>
    <sheet name="savedrecs" sheetId="1" r:id="rId2"/>
    <sheet name="SDG" sheetId="3" r:id="rId3"/>
    <sheet name="SDG9" sheetId="4" r:id="rId4"/>
    <sheet name="SDG3" sheetId="5" r:id="rId5"/>
    <sheet name="SDG4" sheetId="6" r:id="rId6"/>
    <sheet name="SDG12" sheetId="7" r:id="rId7"/>
    <sheet name="SDG11" sheetId="8" r:id="rId8"/>
    <sheet name="SDG01" sheetId="9" r:id="rId9"/>
    <sheet name="SDG8" sheetId="10" r:id="rId10"/>
    <sheet name="SDG10" sheetId="12" r:id="rId11"/>
    <sheet name="SDG5" sheetId="11" r:id="rId12"/>
    <sheet name="SDG16" sheetId="13" r:id="rId13"/>
    <sheet name="SDG2" sheetId="14" r:id="rId14"/>
    <sheet name="SDG7" sheetId="15" r:id="rId15"/>
    <sheet name="SDG15" sheetId="16" r:id="rId16"/>
    <sheet name="SDG13" sheetId="17" r:id="rId17"/>
    <sheet name="SDG6" sheetId="18" r:id="rId18"/>
    <sheet name="Lotka" sheetId="20" r:id="rId19"/>
    <sheet name="Price" sheetId="21" r:id="rId20"/>
    <sheet name="Indice H" sheetId="22" r:id="rId21"/>
    <sheet name="Bradford" sheetId="23" r:id="rId22"/>
  </sheets>
  <definedNames>
    <definedName name="_xlnm._FilterDatabase" localSheetId="18" hidden="1">Lotka!$H$1:$I$2041</definedName>
    <definedName name="_xlnm._FilterDatabase" localSheetId="1" hidden="1">savedrecs!$A$1:$BT$675</definedName>
  </definedNames>
  <calcPr calcId="191029"/>
  <pivotCaches>
    <pivotCache cacheId="0" r:id="rId23"/>
    <pivotCache cacheId="1" r:id="rId24"/>
    <pivotCache cacheId="2" r:id="rId25"/>
  </pivotCaches>
</workbook>
</file>

<file path=xl/calcChain.xml><?xml version="1.0" encoding="utf-8"?>
<calcChain xmlns="http://schemas.openxmlformats.org/spreadsheetml/2006/main">
  <c r="C14" i="23" l="1"/>
  <c r="C13" i="23"/>
  <c r="C12" i="23"/>
  <c r="C11" i="23"/>
  <c r="C10" i="23"/>
  <c r="C9" i="23"/>
  <c r="C8" i="23"/>
  <c r="C7" i="23"/>
  <c r="C6" i="23"/>
  <c r="C5" i="23"/>
  <c r="C4" i="23"/>
  <c r="C3" i="23"/>
  <c r="W2" i="23"/>
  <c r="W3" i="23" s="1"/>
  <c r="C2" i="23"/>
  <c r="F26" i="21"/>
  <c r="I36" i="20"/>
  <c r="J7" i="20"/>
  <c r="W4" i="23" l="1"/>
  <c r="X3" i="23"/>
  <c r="X2" i="23"/>
  <c r="W5" i="23" l="1"/>
  <c r="X4" i="23"/>
  <c r="W6" i="23" l="1"/>
  <c r="X5" i="23"/>
  <c r="W7" i="23" l="1"/>
  <c r="X6" i="23"/>
  <c r="W8" i="23" l="1"/>
  <c r="X7" i="23"/>
  <c r="W9" i="23" l="1"/>
  <c r="X8" i="23"/>
  <c r="W10" i="23" l="1"/>
  <c r="X9" i="23"/>
  <c r="W11" i="23" l="1"/>
  <c r="X10" i="23"/>
  <c r="W12" i="23" l="1"/>
  <c r="X11" i="23"/>
  <c r="W13" i="23" l="1"/>
  <c r="X12" i="23"/>
  <c r="W14" i="23" l="1"/>
  <c r="X13" i="23"/>
  <c r="W15" i="23" l="1"/>
  <c r="X14" i="23"/>
  <c r="BF542" i="1"/>
  <c r="D1" i="3"/>
  <c r="W16" i="23" l="1"/>
  <c r="X15" i="23"/>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381" i="1"/>
  <c r="BT381" i="1"/>
  <c r="BF492" i="1"/>
  <c r="BT492" i="1"/>
  <c r="BF493" i="1"/>
  <c r="BT493" i="1"/>
  <c r="BF494" i="1"/>
  <c r="BT494" i="1"/>
  <c r="BF495" i="1"/>
  <c r="BT495" i="1"/>
  <c r="BF382" i="1"/>
  <c r="BT382" i="1"/>
  <c r="BF496" i="1"/>
  <c r="BT496" i="1"/>
  <c r="BF497" i="1"/>
  <c r="BT497" i="1"/>
  <c r="BF498" i="1"/>
  <c r="BT498" i="1"/>
  <c r="BF499" i="1"/>
  <c r="BT499" i="1"/>
  <c r="BF500" i="1"/>
  <c r="BT500" i="1"/>
  <c r="BF501" i="1"/>
  <c r="BT501" i="1"/>
  <c r="BF502" i="1"/>
  <c r="BT502" i="1"/>
  <c r="BF503" i="1"/>
  <c r="BT503" i="1"/>
  <c r="BT504" i="1"/>
  <c r="BF383" i="1"/>
  <c r="BT383" i="1"/>
  <c r="BT505" i="1"/>
  <c r="BF506" i="1"/>
  <c r="BT506" i="1"/>
  <c r="BF507" i="1"/>
  <c r="BT507" i="1"/>
  <c r="BF508" i="1"/>
  <c r="BT508" i="1"/>
  <c r="BF509" i="1"/>
  <c r="BT509" i="1"/>
  <c r="BF510" i="1"/>
  <c r="BT510" i="1"/>
  <c r="BF384" i="1"/>
  <c r="BT384" i="1"/>
  <c r="BF511" i="1"/>
  <c r="BT511" i="1"/>
  <c r="BF512" i="1"/>
  <c r="BT512" i="1"/>
  <c r="BF513" i="1"/>
  <c r="BT513" i="1"/>
  <c r="BF514" i="1"/>
  <c r="BT514" i="1"/>
  <c r="BF385" i="1"/>
  <c r="BT385" i="1"/>
  <c r="BF386" i="1"/>
  <c r="BT386" i="1"/>
  <c r="BF515" i="1"/>
  <c r="BT515" i="1"/>
  <c r="BF387" i="1"/>
  <c r="BT387" i="1"/>
  <c r="BF516" i="1"/>
  <c r="BT516" i="1"/>
  <c r="BT517" i="1"/>
  <c r="BF518" i="1"/>
  <c r="BT518" i="1"/>
  <c r="BF519" i="1"/>
  <c r="BT519" i="1"/>
  <c r="BF249" i="1"/>
  <c r="BT249" i="1"/>
  <c r="BF520" i="1"/>
  <c r="BT520" i="1"/>
  <c r="BF388" i="1"/>
  <c r="BT388" i="1"/>
  <c r="BF521" i="1"/>
  <c r="BT521" i="1"/>
  <c r="BF522" i="1"/>
  <c r="BT522" i="1"/>
  <c r="BF389" i="1"/>
  <c r="BT389" i="1"/>
  <c r="BF523" i="1"/>
  <c r="BT523" i="1"/>
  <c r="BF390" i="1"/>
  <c r="BT390" i="1"/>
  <c r="BF250" i="1"/>
  <c r="BT250" i="1"/>
  <c r="BF312" i="1"/>
  <c r="BT312" i="1"/>
  <c r="BF524" i="1"/>
  <c r="BT524" i="1"/>
  <c r="BF525" i="1"/>
  <c r="BT525" i="1"/>
  <c r="BF526" i="1"/>
  <c r="BT526" i="1"/>
  <c r="BF391" i="1"/>
  <c r="BT391" i="1"/>
  <c r="BF392" i="1"/>
  <c r="BT392" i="1"/>
  <c r="BT527" i="1"/>
  <c r="BF528" i="1"/>
  <c r="BT528" i="1"/>
  <c r="BF393" i="1"/>
  <c r="BT393" i="1"/>
  <c r="BF529" i="1"/>
  <c r="BT529" i="1"/>
  <c r="BF275" i="1"/>
  <c r="BT275" i="1"/>
  <c r="BF394" i="1"/>
  <c r="BT394" i="1"/>
  <c r="BF530" i="1"/>
  <c r="BT530" i="1"/>
  <c r="BF108" i="1"/>
  <c r="BT108" i="1"/>
  <c r="BF531" i="1"/>
  <c r="BT531" i="1"/>
  <c r="BF395" i="1"/>
  <c r="BT395" i="1"/>
  <c r="BF276" i="1"/>
  <c r="BT276" i="1"/>
  <c r="BF532" i="1"/>
  <c r="BT532" i="1"/>
  <c r="BF533" i="1"/>
  <c r="BT533" i="1"/>
  <c r="BF534" i="1"/>
  <c r="BT534" i="1"/>
  <c r="BF396" i="1"/>
  <c r="BT396" i="1"/>
  <c r="BF251" i="1"/>
  <c r="BT251" i="1"/>
  <c r="BF313" i="1"/>
  <c r="BT313" i="1"/>
  <c r="BF314" i="1"/>
  <c r="BT314" i="1"/>
  <c r="BF315" i="1"/>
  <c r="BT315" i="1"/>
  <c r="BF535" i="1"/>
  <c r="BT535" i="1"/>
  <c r="BF536" i="1"/>
  <c r="BT536" i="1"/>
  <c r="BF537" i="1"/>
  <c r="BT537" i="1"/>
  <c r="BF538" i="1"/>
  <c r="BT538" i="1"/>
  <c r="BF397" i="1"/>
  <c r="BT397" i="1"/>
  <c r="BF539" i="1"/>
  <c r="BT539" i="1"/>
  <c r="BT540" i="1"/>
  <c r="BF398" i="1"/>
  <c r="BT398" i="1"/>
  <c r="BF541" i="1"/>
  <c r="BT541" i="1"/>
  <c r="BT542" i="1"/>
  <c r="BF543" i="1"/>
  <c r="BT543" i="1"/>
  <c r="BF544" i="1"/>
  <c r="BT544" i="1"/>
  <c r="BF545" i="1"/>
  <c r="BT545" i="1"/>
  <c r="BF399" i="1"/>
  <c r="BT399" i="1"/>
  <c r="BF546" i="1"/>
  <c r="BT546" i="1"/>
  <c r="BF316" i="1"/>
  <c r="BT316" i="1"/>
  <c r="BF547" i="1"/>
  <c r="BT547" i="1"/>
  <c r="BF548" i="1"/>
  <c r="BT548" i="1"/>
  <c r="BF400" i="1"/>
  <c r="BT400" i="1"/>
  <c r="BF141" i="1"/>
  <c r="BT141" i="1"/>
  <c r="BF401" i="1"/>
  <c r="BT401" i="1"/>
  <c r="BF549" i="1"/>
  <c r="BT549" i="1"/>
  <c r="BF185" i="1"/>
  <c r="BT185" i="1"/>
  <c r="BT550" i="1"/>
  <c r="BT551" i="1"/>
  <c r="BF186" i="1"/>
  <c r="BT186" i="1"/>
  <c r="BF402" i="1"/>
  <c r="BT402" i="1"/>
  <c r="BF552" i="1"/>
  <c r="BT552" i="1"/>
  <c r="BF403" i="1"/>
  <c r="BT403" i="1"/>
  <c r="BF553" i="1"/>
  <c r="BT553" i="1"/>
  <c r="BF317" i="1"/>
  <c r="BT317" i="1"/>
  <c r="BF554" i="1"/>
  <c r="BT554" i="1"/>
  <c r="BF318" i="1"/>
  <c r="BT318" i="1"/>
  <c r="BF404" i="1"/>
  <c r="BT404" i="1"/>
  <c r="BF555" i="1"/>
  <c r="BT555" i="1"/>
  <c r="BF556" i="1"/>
  <c r="BT556" i="1"/>
  <c r="BF252" i="1"/>
  <c r="BT252" i="1"/>
  <c r="BF405" i="1"/>
  <c r="BT405" i="1"/>
  <c r="BF406" i="1"/>
  <c r="BT406" i="1"/>
  <c r="BF557" i="1"/>
  <c r="BT557" i="1"/>
  <c r="BF277" i="1"/>
  <c r="BT277" i="1"/>
  <c r="BF227" i="1"/>
  <c r="BT227" i="1"/>
  <c r="BF558" i="1"/>
  <c r="BT558" i="1"/>
  <c r="BF278" i="1"/>
  <c r="BT278" i="1"/>
  <c r="BF407" i="1"/>
  <c r="BT407" i="1"/>
  <c r="BF559" i="1"/>
  <c r="BT559" i="1"/>
  <c r="BF560" i="1"/>
  <c r="BT560" i="1"/>
  <c r="BF170" i="1"/>
  <c r="BT170" i="1"/>
  <c r="BF561" i="1"/>
  <c r="BT561" i="1"/>
  <c r="BF45" i="1"/>
  <c r="BT45" i="1"/>
  <c r="BF204" i="1"/>
  <c r="BT204" i="1"/>
  <c r="BF408" i="1"/>
  <c r="BT408" i="1"/>
  <c r="BF409" i="1"/>
  <c r="BT409" i="1"/>
  <c r="BF562" i="1"/>
  <c r="BT562" i="1"/>
  <c r="BF563" i="1"/>
  <c r="BT563" i="1"/>
  <c r="BF279" i="1"/>
  <c r="BT279" i="1"/>
  <c r="BF564" i="1"/>
  <c r="BT564" i="1"/>
  <c r="BF410" i="1"/>
  <c r="BT410" i="1"/>
  <c r="BF319" i="1"/>
  <c r="BT319" i="1"/>
  <c r="BF320" i="1"/>
  <c r="BT320" i="1"/>
  <c r="BF565" i="1"/>
  <c r="BT565" i="1"/>
  <c r="BF566" i="1"/>
  <c r="BT566" i="1"/>
  <c r="BF321" i="1"/>
  <c r="BT321" i="1"/>
  <c r="BF280" i="1"/>
  <c r="BT280" i="1"/>
  <c r="BF567" i="1"/>
  <c r="BT567" i="1"/>
  <c r="BF159" i="1"/>
  <c r="BT159" i="1"/>
  <c r="BF322" i="1"/>
  <c r="BT322" i="1"/>
  <c r="BF411" i="1"/>
  <c r="BT411" i="1"/>
  <c r="BT568" i="1"/>
  <c r="BT569" i="1"/>
  <c r="BF253" i="1"/>
  <c r="BT253" i="1"/>
  <c r="BF412" i="1"/>
  <c r="BT412" i="1"/>
  <c r="BF570" i="1"/>
  <c r="BT570" i="1"/>
  <c r="BF281" i="1"/>
  <c r="BT281" i="1"/>
  <c r="BF571" i="1"/>
  <c r="BT571" i="1"/>
  <c r="BF254" i="1"/>
  <c r="BT254" i="1"/>
  <c r="BF323" i="1"/>
  <c r="BT323" i="1"/>
  <c r="BF255" i="1"/>
  <c r="BT255" i="1"/>
  <c r="BF572" i="1"/>
  <c r="BT572" i="1"/>
  <c r="BF413" i="1"/>
  <c r="BT413" i="1"/>
  <c r="BF414" i="1"/>
  <c r="BT414" i="1"/>
  <c r="BF187" i="1"/>
  <c r="BT187" i="1"/>
  <c r="BF573" i="1"/>
  <c r="BT573" i="1"/>
  <c r="BF574" i="1"/>
  <c r="BT574" i="1"/>
  <c r="BF324" i="1"/>
  <c r="BT324" i="1"/>
  <c r="BF188" i="1"/>
  <c r="BT188" i="1"/>
  <c r="BF109" i="1"/>
  <c r="BT109" i="1"/>
  <c r="BF415" i="1"/>
  <c r="BT415" i="1"/>
  <c r="BF91" i="1"/>
  <c r="BT91" i="1"/>
  <c r="BF575" i="1"/>
  <c r="BT575" i="1"/>
  <c r="BF282" i="1"/>
  <c r="BT282" i="1"/>
  <c r="BF576" i="1"/>
  <c r="BT576" i="1"/>
  <c r="BF577" i="1"/>
  <c r="BT577" i="1"/>
  <c r="BF416" i="1"/>
  <c r="BT416" i="1"/>
  <c r="BF417" i="1"/>
  <c r="BT417" i="1"/>
  <c r="BF578" i="1"/>
  <c r="BT578" i="1"/>
  <c r="BF579" i="1"/>
  <c r="BT579" i="1"/>
  <c r="BF580" i="1"/>
  <c r="BT580" i="1"/>
  <c r="BF228" i="1"/>
  <c r="BT228" i="1"/>
  <c r="BF581" i="1"/>
  <c r="BT581" i="1"/>
  <c r="BF205" i="1"/>
  <c r="BT205" i="1"/>
  <c r="BF582" i="1"/>
  <c r="BT582" i="1"/>
  <c r="BF325" i="1"/>
  <c r="BT325" i="1"/>
  <c r="BF206" i="1"/>
  <c r="BT206" i="1"/>
  <c r="BF207" i="1"/>
  <c r="BT207" i="1"/>
  <c r="BF326" i="1"/>
  <c r="BT326" i="1"/>
  <c r="BF66" i="1"/>
  <c r="BT66" i="1"/>
  <c r="BF256" i="1"/>
  <c r="BT256" i="1"/>
  <c r="BF583" i="1"/>
  <c r="BT583" i="1"/>
  <c r="BT584" i="1"/>
  <c r="BT585" i="1"/>
  <c r="BF208" i="1"/>
  <c r="BT208" i="1"/>
  <c r="BF327" i="1"/>
  <c r="BT327" i="1"/>
  <c r="BF328" i="1"/>
  <c r="BT328" i="1"/>
  <c r="BF229" i="1"/>
  <c r="BT229" i="1"/>
  <c r="BT586" i="1"/>
  <c r="BF418" i="1"/>
  <c r="BT418" i="1"/>
  <c r="BF329" i="1"/>
  <c r="BT329" i="1"/>
  <c r="BF22" i="1"/>
  <c r="BT22" i="1"/>
  <c r="BF587" i="1"/>
  <c r="BT587" i="1"/>
  <c r="BF230" i="1"/>
  <c r="BT230" i="1"/>
  <c r="BF588" i="1"/>
  <c r="BT588" i="1"/>
  <c r="BF589" i="1"/>
  <c r="BT589" i="1"/>
  <c r="BF419" i="1"/>
  <c r="BT419" i="1"/>
  <c r="BF590" i="1"/>
  <c r="BT590" i="1"/>
  <c r="BF420" i="1"/>
  <c r="BT420" i="1"/>
  <c r="BF330" i="1"/>
  <c r="BT330" i="1"/>
  <c r="BF41" i="1"/>
  <c r="BT41" i="1"/>
  <c r="BF101" i="1"/>
  <c r="BT101" i="1"/>
  <c r="BF24" i="1"/>
  <c r="BT24" i="1"/>
  <c r="BF102" i="1"/>
  <c r="BT102" i="1"/>
  <c r="BF421" i="1"/>
  <c r="BT421" i="1"/>
  <c r="BT591" i="1"/>
  <c r="BF231" i="1"/>
  <c r="BT231" i="1"/>
  <c r="BF422" i="1"/>
  <c r="BT422" i="1"/>
  <c r="BF283" i="1"/>
  <c r="BT283" i="1"/>
  <c r="BF142" i="1"/>
  <c r="BT142" i="1"/>
  <c r="BF331" i="1"/>
  <c r="BT331" i="1"/>
  <c r="BF119" i="1"/>
  <c r="BT119" i="1"/>
  <c r="BF128" i="1"/>
  <c r="BT128" i="1"/>
  <c r="BF332" i="1"/>
  <c r="BT332" i="1"/>
  <c r="BF120" i="1"/>
  <c r="BT120" i="1"/>
  <c r="BF592" i="1"/>
  <c r="BT592" i="1"/>
  <c r="BF72" i="1"/>
  <c r="BT72" i="1"/>
  <c r="BF593" i="1"/>
  <c r="BT593" i="1"/>
  <c r="BF333" i="1"/>
  <c r="BT333" i="1"/>
  <c r="BF334" i="1"/>
  <c r="BT334" i="1"/>
  <c r="BF594" i="1"/>
  <c r="BT594" i="1"/>
  <c r="BT423" i="1"/>
  <c r="BF335" i="1"/>
  <c r="BT335" i="1"/>
  <c r="BF595" i="1"/>
  <c r="BT595" i="1"/>
  <c r="BF284" i="1"/>
  <c r="BT284" i="1"/>
  <c r="BT596" i="1"/>
  <c r="BF597" i="1"/>
  <c r="BT597" i="1"/>
  <c r="BT598" i="1"/>
  <c r="BF336" i="1"/>
  <c r="BT336" i="1"/>
  <c r="BF599" i="1"/>
  <c r="BT599" i="1"/>
  <c r="BF600" i="1"/>
  <c r="BT600" i="1"/>
  <c r="BF285" i="1"/>
  <c r="BT285" i="1"/>
  <c r="BF601" i="1"/>
  <c r="BT601" i="1"/>
  <c r="BF232" i="1"/>
  <c r="BT232" i="1"/>
  <c r="BF602" i="1"/>
  <c r="BT602" i="1"/>
  <c r="BF603" i="1"/>
  <c r="BT603" i="1"/>
  <c r="BF424" i="1"/>
  <c r="BT424" i="1"/>
  <c r="BF604" i="1"/>
  <c r="BT604" i="1"/>
  <c r="BT605" i="1"/>
  <c r="BF162" i="1"/>
  <c r="BT162" i="1"/>
  <c r="BF171" i="1"/>
  <c r="BT171" i="1"/>
  <c r="BF257" i="1"/>
  <c r="BT257" i="1"/>
  <c r="BF337" i="1"/>
  <c r="BT337" i="1"/>
  <c r="BF152" i="1"/>
  <c r="BT152" i="1"/>
  <c r="BT258" i="1"/>
  <c r="BF259" i="1"/>
  <c r="BT259" i="1"/>
  <c r="BF87" i="1"/>
  <c r="BT87" i="1"/>
  <c r="BF209" i="1"/>
  <c r="BT209" i="1"/>
  <c r="BF210" i="1"/>
  <c r="BT210" i="1"/>
  <c r="BF338" i="1"/>
  <c r="BT338" i="1"/>
  <c r="BF211" i="1"/>
  <c r="BT211" i="1"/>
  <c r="BF212" i="1"/>
  <c r="BT212" i="1"/>
  <c r="BF606" i="1"/>
  <c r="BT606" i="1"/>
  <c r="BF143" i="1"/>
  <c r="BT143" i="1"/>
  <c r="BF82" i="1"/>
  <c r="BT82" i="1"/>
  <c r="BF73" i="1"/>
  <c r="BT73" i="1"/>
  <c r="BF260" i="1"/>
  <c r="BT260" i="1"/>
  <c r="BF607" i="1"/>
  <c r="BT607" i="1"/>
  <c r="BF339" i="1"/>
  <c r="BT339" i="1"/>
  <c r="BF233" i="1"/>
  <c r="BT233" i="1"/>
  <c r="BF425" i="1"/>
  <c r="BT425" i="1"/>
  <c r="BF67" i="1"/>
  <c r="BT67" i="1"/>
  <c r="BF340" i="1"/>
  <c r="BT340" i="1"/>
  <c r="BF47" i="1"/>
  <c r="BT47" i="1"/>
  <c r="BF172" i="1"/>
  <c r="BT172" i="1"/>
  <c r="BF608" i="1"/>
  <c r="BT608" i="1"/>
  <c r="BF426" i="1"/>
  <c r="BT426" i="1"/>
  <c r="BF427" i="1"/>
  <c r="BT427" i="1"/>
  <c r="BF213" i="1"/>
  <c r="BT213" i="1"/>
  <c r="BF129" i="1"/>
  <c r="BT129" i="1"/>
  <c r="BF173" i="1"/>
  <c r="BT173" i="1"/>
  <c r="BF144" i="1"/>
  <c r="BT144" i="1"/>
  <c r="BF121" i="1"/>
  <c r="BT121" i="1"/>
  <c r="BF341" i="1"/>
  <c r="BT341" i="1"/>
  <c r="BF74" i="1"/>
  <c r="BT74" i="1"/>
  <c r="BF163" i="1"/>
  <c r="BT163" i="1"/>
  <c r="BF122" i="1"/>
  <c r="BT122" i="1"/>
  <c r="BF164" i="1"/>
  <c r="BT164" i="1"/>
  <c r="BF68" i="1"/>
  <c r="BT68" i="1"/>
  <c r="BF428" i="1"/>
  <c r="BT428" i="1"/>
  <c r="BF214" i="1"/>
  <c r="BT214" i="1"/>
  <c r="BF429" i="1"/>
  <c r="BT429" i="1"/>
  <c r="BF234" i="1"/>
  <c r="BT234" i="1"/>
  <c r="BF286" i="1"/>
  <c r="BT286" i="1"/>
  <c r="BF39" i="1"/>
  <c r="BT39" i="1"/>
  <c r="BF287" i="1"/>
  <c r="BT287" i="1"/>
  <c r="BF110" i="1"/>
  <c r="BT110" i="1"/>
  <c r="BF189" i="1"/>
  <c r="BT189" i="1"/>
  <c r="BF160" i="1"/>
  <c r="BT160" i="1"/>
  <c r="BF123" i="1"/>
  <c r="BT123" i="1"/>
  <c r="BF288" i="1"/>
  <c r="BT288" i="1"/>
  <c r="BF165" i="1"/>
  <c r="BT165" i="1"/>
  <c r="BF92" i="1"/>
  <c r="BT92" i="1"/>
  <c r="BF289" i="1"/>
  <c r="BT289" i="1"/>
  <c r="BF609" i="1"/>
  <c r="BT609" i="1"/>
  <c r="BF290" i="1"/>
  <c r="BT290" i="1"/>
  <c r="BF153" i="1"/>
  <c r="BT153" i="1"/>
  <c r="BF430" i="1"/>
  <c r="BT430" i="1"/>
  <c r="BF154" i="1"/>
  <c r="BT154" i="1"/>
  <c r="BF235" i="1"/>
  <c r="BT235" i="1"/>
  <c r="BF431" i="1"/>
  <c r="BT431" i="1"/>
  <c r="BF103" i="1"/>
  <c r="BT103" i="1"/>
  <c r="BF174" i="1"/>
  <c r="BT174" i="1"/>
  <c r="BF342" i="1"/>
  <c r="BT342" i="1"/>
  <c r="BF343" i="1"/>
  <c r="BT343" i="1"/>
  <c r="BF610" i="1"/>
  <c r="BT610" i="1"/>
  <c r="BF291" i="1"/>
  <c r="BT291" i="1"/>
  <c r="BF135" i="1"/>
  <c r="BT135" i="1"/>
  <c r="BF42" i="1"/>
  <c r="BT42" i="1"/>
  <c r="BF124" i="1"/>
  <c r="BT124" i="1"/>
  <c r="BF344" i="1"/>
  <c r="BT344" i="1"/>
  <c r="BF63" i="1"/>
  <c r="BT63" i="1"/>
  <c r="BF21" i="1"/>
  <c r="BT21" i="1"/>
  <c r="BF53" i="1"/>
  <c r="BT53" i="1"/>
  <c r="BF175" i="1"/>
  <c r="BT175" i="1"/>
  <c r="BF130" i="1"/>
  <c r="BT130" i="1"/>
  <c r="BF345" i="1"/>
  <c r="BT345" i="1"/>
  <c r="BF215" i="1"/>
  <c r="BT215" i="1"/>
  <c r="BF292" i="1"/>
  <c r="BT292" i="1"/>
  <c r="BF293" i="1"/>
  <c r="BT293" i="1"/>
  <c r="BF216" i="1"/>
  <c r="BT216" i="1"/>
  <c r="BF31" i="1"/>
  <c r="BT31" i="1"/>
  <c r="BF611" i="1"/>
  <c r="BT611" i="1"/>
  <c r="BF111" i="1"/>
  <c r="BT111" i="1"/>
  <c r="BF612" i="1"/>
  <c r="BT612" i="1"/>
  <c r="BF294" i="1"/>
  <c r="BT294" i="1"/>
  <c r="BF613" i="1"/>
  <c r="BT613" i="1"/>
  <c r="BF432" i="1"/>
  <c r="BT432" i="1"/>
  <c r="BT433" i="1"/>
  <c r="BF434" i="1"/>
  <c r="BT434" i="1"/>
  <c r="BF346" i="1"/>
  <c r="BT346" i="1"/>
  <c r="BF112" i="1"/>
  <c r="BT112" i="1"/>
  <c r="BT614" i="1"/>
  <c r="BF236" i="1"/>
  <c r="BT236" i="1"/>
  <c r="BF615" i="1"/>
  <c r="BT615" i="1"/>
  <c r="BF261" i="1"/>
  <c r="BT261" i="1"/>
  <c r="BF262" i="1"/>
  <c r="BT262" i="1"/>
  <c r="BF616" i="1"/>
  <c r="BT616" i="1"/>
  <c r="BF435" i="1"/>
  <c r="BT435" i="1"/>
  <c r="BF347" i="1"/>
  <c r="BT347" i="1"/>
  <c r="BF436" i="1"/>
  <c r="BT436" i="1"/>
  <c r="BF237" i="1"/>
  <c r="BT237" i="1"/>
  <c r="BF617" i="1"/>
  <c r="BT617" i="1"/>
  <c r="BF437" i="1"/>
  <c r="BT437" i="1"/>
  <c r="BF618" i="1"/>
  <c r="BT618" i="1"/>
  <c r="BF263" i="1"/>
  <c r="BT263" i="1"/>
  <c r="BT619" i="1"/>
  <c r="BF96" i="1"/>
  <c r="BT96" i="1"/>
  <c r="BF145" i="1"/>
  <c r="BT145" i="1"/>
  <c r="BT620" i="1"/>
  <c r="BF621" i="1"/>
  <c r="BT621" i="1"/>
  <c r="BF622" i="1"/>
  <c r="BT622" i="1"/>
  <c r="BT348" i="1"/>
  <c r="BF295" i="1"/>
  <c r="BT295" i="1"/>
  <c r="BF88" i="1"/>
  <c r="BT88" i="1"/>
  <c r="BF176" i="1"/>
  <c r="BT176" i="1"/>
  <c r="BF296" i="1"/>
  <c r="BT296" i="1"/>
  <c r="BF623" i="1"/>
  <c r="BT623" i="1"/>
  <c r="BF217" i="1"/>
  <c r="BT217" i="1"/>
  <c r="BF624" i="1"/>
  <c r="BT624" i="1"/>
  <c r="BF5" i="1"/>
  <c r="BT5" i="1"/>
  <c r="BT625" i="1"/>
  <c r="BF146" i="1"/>
  <c r="BT146" i="1"/>
  <c r="BF60" i="1"/>
  <c r="BT60" i="1"/>
  <c r="BT626" i="1"/>
  <c r="BF349" i="1"/>
  <c r="BT349" i="1"/>
  <c r="BF350" i="1"/>
  <c r="BT350" i="1"/>
  <c r="BF264" i="1"/>
  <c r="BT264" i="1"/>
  <c r="BF69" i="1"/>
  <c r="BT69" i="1"/>
  <c r="BF238" i="1"/>
  <c r="BT238" i="1"/>
  <c r="BF297" i="1"/>
  <c r="BT297" i="1"/>
  <c r="BF14" i="1"/>
  <c r="BT14" i="1"/>
  <c r="BF70" i="1"/>
  <c r="BT70" i="1"/>
  <c r="BF113" i="1"/>
  <c r="BT113" i="1"/>
  <c r="BF177" i="1"/>
  <c r="BT177" i="1"/>
  <c r="BF155" i="1"/>
  <c r="BT155" i="1"/>
  <c r="BF6" i="1"/>
  <c r="BT6" i="1"/>
  <c r="BF265" i="1"/>
  <c r="BT265" i="1"/>
  <c r="BF30" i="1"/>
  <c r="BT30" i="1"/>
  <c r="BF15" i="1"/>
  <c r="BT15" i="1"/>
  <c r="BT178" i="1"/>
  <c r="BF97" i="1"/>
  <c r="BT97" i="1"/>
  <c r="BF190" i="1"/>
  <c r="BT190" i="1"/>
  <c r="BF627" i="1"/>
  <c r="BT627" i="1"/>
  <c r="BF191" i="1"/>
  <c r="BT191" i="1"/>
  <c r="BT438" i="1"/>
  <c r="BF351" i="1"/>
  <c r="BT351" i="1"/>
  <c r="BF55" i="1"/>
  <c r="BT55" i="1"/>
  <c r="BF266" i="1"/>
  <c r="BT266" i="1"/>
  <c r="BF131" i="1"/>
  <c r="BT131" i="1"/>
  <c r="BF628" i="1"/>
  <c r="BT628" i="1"/>
  <c r="BF50" i="1"/>
  <c r="BT50" i="1"/>
  <c r="BF136" i="1"/>
  <c r="BT136" i="1"/>
  <c r="BF33" i="1"/>
  <c r="BT33" i="1"/>
  <c r="BF36" i="1"/>
  <c r="BT36" i="1"/>
  <c r="BT629" i="1"/>
  <c r="BF298" i="1"/>
  <c r="BT298" i="1"/>
  <c r="BF630" i="1"/>
  <c r="BT630" i="1"/>
  <c r="BT631" i="1"/>
  <c r="BF632" i="1"/>
  <c r="BT632" i="1"/>
  <c r="BT192" i="1"/>
  <c r="BF439" i="1"/>
  <c r="BT439" i="1"/>
  <c r="BF26" i="1"/>
  <c r="BT26" i="1"/>
  <c r="BT633" i="1"/>
  <c r="BF137" i="1"/>
  <c r="BT137" i="1"/>
  <c r="BF352" i="1"/>
  <c r="BT352" i="1"/>
  <c r="BF353" i="1"/>
  <c r="BT353" i="1"/>
  <c r="BT634" i="1"/>
  <c r="BT440" i="1"/>
  <c r="BF299" i="1"/>
  <c r="BT299" i="1"/>
  <c r="BF354" i="1"/>
  <c r="BT354" i="1"/>
  <c r="BF114" i="1"/>
  <c r="BT114" i="1"/>
  <c r="BF19" i="1"/>
  <c r="BT19" i="1"/>
  <c r="BF441" i="1"/>
  <c r="BT441" i="1"/>
  <c r="BF355" i="1"/>
  <c r="BT355" i="1"/>
  <c r="BF85" i="1"/>
  <c r="BT85" i="1"/>
  <c r="BF635" i="1"/>
  <c r="BT635" i="1"/>
  <c r="BF71" i="1"/>
  <c r="BT71" i="1"/>
  <c r="BF93" i="1"/>
  <c r="BT93" i="1"/>
  <c r="BF89" i="1"/>
  <c r="BT89" i="1"/>
  <c r="BF356" i="1"/>
  <c r="BT356" i="1"/>
  <c r="BF27" i="1"/>
  <c r="BT27" i="1"/>
  <c r="BF34" i="1"/>
  <c r="BT34" i="1"/>
  <c r="BF51" i="1"/>
  <c r="BT51" i="1"/>
  <c r="BF79" i="1"/>
  <c r="BT79" i="1"/>
  <c r="BF86" i="1"/>
  <c r="BT86" i="1"/>
  <c r="BF267" i="1"/>
  <c r="BT267" i="1"/>
  <c r="BF83" i="1"/>
  <c r="BT83" i="1"/>
  <c r="BF442" i="1"/>
  <c r="BT442" i="1"/>
  <c r="BF4" i="1"/>
  <c r="BT4" i="1"/>
  <c r="BF218" i="1"/>
  <c r="BT218" i="1"/>
  <c r="BF357" i="1"/>
  <c r="BT357" i="1"/>
  <c r="BT636" i="1"/>
  <c r="BF637" i="1"/>
  <c r="BT637" i="1"/>
  <c r="BF300" i="1"/>
  <c r="BT300" i="1"/>
  <c r="BT638" i="1"/>
  <c r="BF98" i="1"/>
  <c r="BT98" i="1"/>
  <c r="BF443" i="1"/>
  <c r="BT443" i="1"/>
  <c r="BF193" i="1"/>
  <c r="BT193" i="1"/>
  <c r="BF239" i="1"/>
  <c r="BT239" i="1"/>
  <c r="BF52" i="1"/>
  <c r="BT52" i="1"/>
  <c r="BF61" i="1"/>
  <c r="BT61" i="1"/>
  <c r="BF12" i="1"/>
  <c r="BT12" i="1"/>
  <c r="BF219" i="1"/>
  <c r="BT219" i="1"/>
  <c r="BF301" i="1"/>
  <c r="BT301" i="1"/>
  <c r="BF639" i="1"/>
  <c r="BT639" i="1"/>
  <c r="BF220" i="1"/>
  <c r="BT220" i="1"/>
  <c r="BT358" i="1"/>
  <c r="BT640" i="1"/>
  <c r="BF444" i="1"/>
  <c r="BT444" i="1"/>
  <c r="BF179" i="1"/>
  <c r="BT179" i="1"/>
  <c r="BF48" i="1"/>
  <c r="BT48" i="1"/>
  <c r="BF115" i="1"/>
  <c r="BT115" i="1"/>
  <c r="BF116" i="1"/>
  <c r="BT116" i="1"/>
  <c r="BF302" i="1"/>
  <c r="BT302" i="1"/>
  <c r="BF359" i="1"/>
  <c r="BT359" i="1"/>
  <c r="BT641" i="1"/>
  <c r="BF268" i="1"/>
  <c r="BT268" i="1"/>
  <c r="BF642" i="1"/>
  <c r="BT642" i="1"/>
  <c r="BF360" i="1"/>
  <c r="BT360" i="1"/>
  <c r="BF29" i="1"/>
  <c r="BT29" i="1"/>
  <c r="BF361" i="1"/>
  <c r="BT361" i="1"/>
  <c r="BT445" i="1"/>
  <c r="BF194" i="1"/>
  <c r="BT194" i="1"/>
  <c r="BF240" i="1"/>
  <c r="BT240" i="1"/>
  <c r="BF643" i="1"/>
  <c r="BT643" i="1"/>
  <c r="BT241" i="1"/>
  <c r="BF644" i="1"/>
  <c r="BT644" i="1"/>
  <c r="BF104" i="1"/>
  <c r="BT104" i="1"/>
  <c r="BF80" i="1"/>
  <c r="BT80" i="1"/>
  <c r="BF195" i="1"/>
  <c r="BT195" i="1"/>
  <c r="BF18" i="1"/>
  <c r="BT18" i="1"/>
  <c r="BF362" i="1"/>
  <c r="BT362" i="1"/>
  <c r="BF105" i="1"/>
  <c r="BT105" i="1"/>
  <c r="BF147" i="1"/>
  <c r="BT147" i="1"/>
  <c r="BF363" i="1"/>
  <c r="BT363" i="1"/>
  <c r="BF11" i="1"/>
  <c r="BT11" i="1"/>
  <c r="BF446" i="1"/>
  <c r="BT446" i="1"/>
  <c r="BT94" i="1"/>
  <c r="BF117" i="1"/>
  <c r="BT117" i="1"/>
  <c r="BF447" i="1"/>
  <c r="BT447" i="1"/>
  <c r="BF148" i="1"/>
  <c r="BT148" i="1"/>
  <c r="BF57" i="1"/>
  <c r="BT57" i="1"/>
  <c r="BF58" i="1"/>
  <c r="BT58" i="1"/>
  <c r="BF64" i="1"/>
  <c r="BT64" i="1"/>
  <c r="BF303" i="1"/>
  <c r="BT303" i="1"/>
  <c r="BF9" i="1"/>
  <c r="BT9" i="1"/>
  <c r="BF35" i="1"/>
  <c r="BT35" i="1"/>
  <c r="BF304" i="1"/>
  <c r="BT304" i="1"/>
  <c r="BF180" i="1"/>
  <c r="BT180" i="1"/>
  <c r="BF221" i="1"/>
  <c r="BT221" i="1"/>
  <c r="BT645" i="1"/>
  <c r="BF222" i="1"/>
  <c r="BT222" i="1"/>
  <c r="BF81" i="1"/>
  <c r="BT81" i="1"/>
  <c r="BF448" i="1"/>
  <c r="BT448" i="1"/>
  <c r="BF99" i="1"/>
  <c r="BT99" i="1"/>
  <c r="BF16" i="1"/>
  <c r="BT16" i="1"/>
  <c r="BF196" i="1"/>
  <c r="BT196" i="1"/>
  <c r="BF10" i="1"/>
  <c r="BT10" i="1"/>
  <c r="BT646" i="1"/>
  <c r="BF269" i="1"/>
  <c r="BT269" i="1"/>
  <c r="BT132" i="1"/>
  <c r="BF149" i="1"/>
  <c r="BT149" i="1"/>
  <c r="BF364" i="1"/>
  <c r="BT364" i="1"/>
  <c r="BF647" i="1"/>
  <c r="BT647" i="1"/>
  <c r="BF270" i="1"/>
  <c r="BT270" i="1"/>
  <c r="BF156" i="1"/>
  <c r="BT156" i="1"/>
  <c r="BF40" i="1"/>
  <c r="BT40" i="1"/>
  <c r="BF648" i="1"/>
  <c r="BT648" i="1"/>
  <c r="BT38" i="1"/>
  <c r="BF271" i="1"/>
  <c r="BT271" i="1"/>
  <c r="BF84" i="1"/>
  <c r="BT84" i="1"/>
  <c r="BF181" i="1"/>
  <c r="BT181" i="1"/>
  <c r="BF242" i="1"/>
  <c r="BT242" i="1"/>
  <c r="BT649" i="1"/>
  <c r="BT7" i="1"/>
  <c r="BF365" i="1"/>
  <c r="BT365" i="1"/>
  <c r="BF243" i="1"/>
  <c r="BT243" i="1"/>
  <c r="BF133" i="1"/>
  <c r="BT133" i="1"/>
  <c r="BF366" i="1"/>
  <c r="BT366" i="1"/>
  <c r="BF650" i="1"/>
  <c r="BT650" i="1"/>
  <c r="BF272" i="1"/>
  <c r="BT272" i="1"/>
  <c r="BF166" i="1"/>
  <c r="BT166" i="1"/>
  <c r="BF95" i="1"/>
  <c r="BT95" i="1"/>
  <c r="BF20" i="1"/>
  <c r="BT20" i="1"/>
  <c r="BF367" i="1"/>
  <c r="BT367" i="1"/>
  <c r="BF449" i="1"/>
  <c r="BT449" i="1"/>
  <c r="BT450" i="1"/>
  <c r="BF46" i="1"/>
  <c r="BT46" i="1"/>
  <c r="BF305" i="1"/>
  <c r="BT305" i="1"/>
  <c r="BF223" i="1"/>
  <c r="BT223" i="1"/>
  <c r="BT224" i="1"/>
  <c r="BF651" i="1"/>
  <c r="BT651" i="1"/>
  <c r="BF118" i="1"/>
  <c r="BT118" i="1"/>
  <c r="BT652" i="1"/>
  <c r="BF653" i="1"/>
  <c r="BT653" i="1"/>
  <c r="BF106" i="1"/>
  <c r="BT106" i="1"/>
  <c r="BT451" i="1"/>
  <c r="BF452" i="1"/>
  <c r="BT452" i="1"/>
  <c r="BF453" i="1"/>
  <c r="BT453" i="1"/>
  <c r="BF225" i="1"/>
  <c r="BT225" i="1"/>
  <c r="BF17" i="1"/>
  <c r="BT17" i="1"/>
  <c r="BF244" i="1"/>
  <c r="BT244" i="1"/>
  <c r="BF654" i="1"/>
  <c r="BT654" i="1"/>
  <c r="BT182" i="1"/>
  <c r="BF167" i="1"/>
  <c r="BT167" i="1"/>
  <c r="BF90" i="1"/>
  <c r="BT90" i="1"/>
  <c r="BF454" i="1"/>
  <c r="BT454" i="1"/>
  <c r="BF23" i="1"/>
  <c r="BT23" i="1"/>
  <c r="BF368" i="1"/>
  <c r="BT368" i="1"/>
  <c r="BF197" i="1"/>
  <c r="BT197" i="1"/>
  <c r="BF655" i="1"/>
  <c r="BT655" i="1"/>
  <c r="BF455" i="1"/>
  <c r="BT455" i="1"/>
  <c r="BF456" i="1"/>
  <c r="BT456" i="1"/>
  <c r="BT369" i="1"/>
  <c r="BF75" i="1"/>
  <c r="BT75" i="1"/>
  <c r="BT656" i="1"/>
  <c r="BF25" i="1"/>
  <c r="BT25" i="1"/>
  <c r="BT457" i="1"/>
  <c r="BF370" i="1"/>
  <c r="BT370" i="1"/>
  <c r="BF77" i="1"/>
  <c r="BT77" i="1"/>
  <c r="BF371" i="1"/>
  <c r="BT371" i="1"/>
  <c r="BF657" i="1"/>
  <c r="BT657" i="1"/>
  <c r="BF49" i="1"/>
  <c r="BT49" i="1"/>
  <c r="BF658" i="1"/>
  <c r="BT658" i="1"/>
  <c r="BF107" i="1"/>
  <c r="BT107" i="1"/>
  <c r="BF659" i="1"/>
  <c r="BT659" i="1"/>
  <c r="BT660" i="1"/>
  <c r="BF157" i="1"/>
  <c r="BT157" i="1"/>
  <c r="BF138" i="1"/>
  <c r="BT138" i="1"/>
  <c r="BF198" i="1"/>
  <c r="BT198" i="1"/>
  <c r="BF134" i="1"/>
  <c r="BT134" i="1"/>
  <c r="BF372" i="1"/>
  <c r="BT372" i="1"/>
  <c r="BT373" i="1"/>
  <c r="BF199" i="1"/>
  <c r="BT199" i="1"/>
  <c r="BT306" i="1"/>
  <c r="BF200" i="1"/>
  <c r="BT200" i="1"/>
  <c r="BF62" i="1"/>
  <c r="BT62" i="1"/>
  <c r="BT201" i="1"/>
  <c r="BF374" i="1"/>
  <c r="BT374" i="1"/>
  <c r="BF202" i="1"/>
  <c r="BT202" i="1"/>
  <c r="BF661" i="1"/>
  <c r="BT661" i="1"/>
  <c r="BF43" i="1"/>
  <c r="BT43" i="1"/>
  <c r="BF56" i="1"/>
  <c r="BT56" i="1"/>
  <c r="BF273" i="1"/>
  <c r="BT273" i="1"/>
  <c r="BT458" i="1"/>
  <c r="BF459" i="1"/>
  <c r="BT459" i="1"/>
  <c r="BF139" i="1"/>
  <c r="BT139" i="1"/>
  <c r="BT662" i="1"/>
  <c r="BF663" i="1"/>
  <c r="BT663" i="1"/>
  <c r="BF161" i="1"/>
  <c r="BT161" i="1"/>
  <c r="BF32" i="1"/>
  <c r="BT32" i="1"/>
  <c r="BF125" i="1"/>
  <c r="BT125" i="1"/>
  <c r="BF76" i="1"/>
  <c r="BT76" i="1"/>
  <c r="BF307" i="1"/>
  <c r="BT307" i="1"/>
  <c r="BT664" i="1"/>
  <c r="BT460" i="1"/>
  <c r="BF461" i="1"/>
  <c r="BT461" i="1"/>
  <c r="BT226" i="1"/>
  <c r="BF168" i="1"/>
  <c r="BT168" i="1"/>
  <c r="BF158" i="1"/>
  <c r="BT158" i="1"/>
  <c r="BF126" i="1"/>
  <c r="BT126" i="1"/>
  <c r="BF375" i="1"/>
  <c r="BT375" i="1"/>
  <c r="BF54" i="1"/>
  <c r="BT54" i="1"/>
  <c r="BF665" i="1"/>
  <c r="BT665" i="1"/>
  <c r="BF3" i="1"/>
  <c r="BT3" i="1"/>
  <c r="BT462" i="1"/>
  <c r="BF13" i="1"/>
  <c r="BT13" i="1"/>
  <c r="BT140" i="1"/>
  <c r="BF203" i="1"/>
  <c r="BT203" i="1"/>
  <c r="BF666" i="1"/>
  <c r="BT666" i="1"/>
  <c r="BF463" i="1"/>
  <c r="BT463" i="1"/>
  <c r="BF464" i="1"/>
  <c r="BT464" i="1"/>
  <c r="BF667" i="1"/>
  <c r="BT667" i="1"/>
  <c r="BF668" i="1"/>
  <c r="BT668" i="1"/>
  <c r="BF669" i="1"/>
  <c r="BT669" i="1"/>
  <c r="BT28" i="1"/>
  <c r="BF670" i="1"/>
  <c r="BT670" i="1"/>
  <c r="BT37" i="1"/>
  <c r="BT671" i="1"/>
  <c r="BF169" i="1"/>
  <c r="BT169" i="1"/>
  <c r="BF59" i="1"/>
  <c r="BT59" i="1"/>
  <c r="BT100" i="1"/>
  <c r="BF2" i="1"/>
  <c r="BT2" i="1"/>
  <c r="BF150" i="1"/>
  <c r="BT150" i="1"/>
  <c r="BF151" i="1"/>
  <c r="BT151" i="1"/>
  <c r="BT78" i="1"/>
  <c r="BF376" i="1"/>
  <c r="BT376" i="1"/>
  <c r="BF465" i="1"/>
  <c r="BT465" i="1"/>
  <c r="BF245" i="1"/>
  <c r="BT245" i="1"/>
  <c r="BF246" i="1"/>
  <c r="BT246" i="1"/>
  <c r="BF377" i="1"/>
  <c r="BT377" i="1"/>
  <c r="BF378" i="1"/>
  <c r="BT378" i="1"/>
  <c r="BF8" i="1"/>
  <c r="BT8" i="1"/>
  <c r="BF274" i="1"/>
  <c r="BT274" i="1"/>
  <c r="BF672" i="1"/>
  <c r="BT672" i="1"/>
  <c r="BT379" i="1"/>
  <c r="BT673" i="1"/>
  <c r="BT674" i="1"/>
  <c r="BF466" i="1"/>
  <c r="BT466" i="1"/>
  <c r="BF183" i="1"/>
  <c r="BT183" i="1"/>
  <c r="BF308" i="1"/>
  <c r="BT308" i="1"/>
  <c r="BF184" i="1"/>
  <c r="BT184" i="1"/>
  <c r="BF467" i="1"/>
  <c r="BT467" i="1"/>
  <c r="BF309" i="1"/>
  <c r="BT309" i="1"/>
  <c r="BT310" i="1"/>
  <c r="BF468" i="1"/>
  <c r="BT468" i="1"/>
  <c r="BF127" i="1"/>
  <c r="BT127" i="1"/>
  <c r="BT675" i="1"/>
  <c r="BF65" i="1"/>
  <c r="BT65" i="1"/>
  <c r="BT247" i="1"/>
  <c r="BF380" i="1"/>
  <c r="BT380" i="1"/>
  <c r="BT248" i="1"/>
  <c r="BT44" i="1"/>
  <c r="BF311" i="1"/>
  <c r="BT311" i="1"/>
  <c r="W17" i="23" l="1"/>
  <c r="X16" i="23"/>
  <c r="W18" i="23" l="1"/>
  <c r="X18" i="23" s="1"/>
  <c r="X17" i="23"/>
</calcChain>
</file>

<file path=xl/sharedStrings.xml><?xml version="1.0" encoding="utf-8"?>
<sst xmlns="http://schemas.openxmlformats.org/spreadsheetml/2006/main" count="77805" uniqueCount="15467">
  <si>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</si>
  <si>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</si>
  <si>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</si>
  <si>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</si>
  <si>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</si>
  <si>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</si>
  <si>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</si>
  <si>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</si>
  <si>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</si>
  <si>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</si>
  <si>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</si>
  <si>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</si>
  <si>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</si>
  <si>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</si>
  <si>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</si>
  <si>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</si>
  <si>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</si>
  <si>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</si>
  <si>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</si>
  <si>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</si>
  <si>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</si>
  <si>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</si>
  <si>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</si>
  <si>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</si>
  <si>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</si>
  <si>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</si>
  <si>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</si>
  <si>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</si>
  <si>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</si>
  <si>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</si>
  <si>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</si>
  <si>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</si>
  <si>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</si>
  <si>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</si>
  <si>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</si>
  <si>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</si>
  <si>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</si>
  <si>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</si>
  <si>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</si>
  <si>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</si>
  <si>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</si>
  <si>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</si>
  <si>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</si>
  <si>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</si>
  <si>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</si>
  <si>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</si>
  <si>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</si>
  <si>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</si>
  <si>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</si>
  <si>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</si>
  <si>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</si>
  <si>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</si>
  <si>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</si>
  <si>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</si>
  <si>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</si>
  <si>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</si>
  <si>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</si>
  <si>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</si>
  <si>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</si>
  <si>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</si>
  <si>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</si>
  <si>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</si>
  <si>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</si>
  <si>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</si>
  <si>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</si>
  <si>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</si>
  <si>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</si>
  <si>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</si>
  <si>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</si>
  <si>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</si>
  <si>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</si>
  <si>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</si>
  <si>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</si>
  <si>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Senna, PP; Barros, AC; Roca, JB; Azevedo, A</t>
  </si>
  <si>
    <t/>
  </si>
  <si>
    <t>Senna, Pedro P.; Barros, Ana C.; Roca, Jaime Bonnin; Azevedo, Americo</t>
  </si>
  <si>
    <t>Development of a digital maturity model for Industry 4.0 based on the technology-organization-environment framework</t>
  </si>
  <si>
    <t>COMPUTERS &amp; INDUSTRIAL ENGINEERING</t>
  </si>
  <si>
    <t>English</t>
  </si>
  <si>
    <t>Article</t>
  </si>
  <si>
    <t>Digital maturity model; Industry 4.0; Technology management; Industrial management; Systematic literature review; Case research</t>
  </si>
  <si>
    <t>READINESS ASSESSMENT; SUPPLY CHAIN; SMES</t>
  </si>
  <si>
    <t>The successful adoption of Industry 4.0 technologies by firms requires them to formulate a digital strategy and implementation roadmap. An established approach to assess firms' needs towards digitalization is through maturity models. While there is a large number of maturity models in the literature, they present several limi-tations related to their generalizability and theoretical foundations. Our study aims to build and empirically validate an Industry 4.0 digital maturity model, based on the Technology-Organization-Environment framework. We conducted a systematic literature review of 55 digital maturity models, which we synthesized to create an integrated digital maturity assessment model. We tested our model through a focus group with industry experts and 24 companies from various manufacturing sectors. Our review suggests that existing digital maturity models have underestimated the relevance of the Environment dimension. Our empirical data suggests that companies often invest in digital technologies without considering critical organizational and environmental constraints.</t>
  </si>
  <si>
    <t>[Senna, Pedro P.; Barros, Ana C.; Azevedo, Americo] INESC TEC, Ctr Enterprise Syst Engn, Campus FEUP,Rua Dr Roberto Frias, P-4200465 Porto, Portugal; [Senna, Pedro P.; Azevedo, Americo] Univ Porto, Fac Engn, Rua Dr Roberto Frias, P-4200465 Porto, Portugal; [Roca, Jaime Bonnin] Eindhoven Univ Technol, Dept Ind Engn &amp; Innovat Sci, POB 513, NL-5600 MB Eindhoven, Netherlands</t>
  </si>
  <si>
    <t>Universidade do Porto; INESC TEC; Universidade do Porto; Eindhoven University of Technology</t>
  </si>
  <si>
    <t>Roca, JB (corresponding author), Eindhoven Univ Technol, Dept Ind Engn &amp; Innovat Sci, POB 513, NL-5600 MB Eindhoven, Netherlands.</t>
  </si>
  <si>
    <t>j.bonnin.roca@tue.nl</t>
  </si>
  <si>
    <t>Senna, Pedro Pinho/GRS-5705-2022</t>
  </si>
  <si>
    <t>Senna, Pedro Pinho/0000-0002-4025-5716</t>
  </si>
  <si>
    <t>National Funds through the Portuguese funding agency, FCT - Fundacao para a Ciencia e a Tecnologia [UIDB/50014/2020]</t>
  </si>
  <si>
    <t>National Funds through the Portuguese funding agency, FCT - Fundacao para a Ciencia e a Tecnologia(Fundacao para a Ciencia e a Tecnologia (FCT))</t>
  </si>
  <si>
    <t>This work was financed by National Funds through the Portuguese funding agency, FCT - Fundacao para a Ciencia e a Tecnologia, within project UIDB/50014/2020.</t>
  </si>
  <si>
    <t>PERGAMON-ELSEVIER SCIENCE LTD</t>
  </si>
  <si>
    <t>OXFORD</t>
  </si>
  <si>
    <t>THE BOULEVARD, LANGFORD LANE, KIDLINGTON, OXFORD OX5 1GB, ENGLAND</t>
  </si>
  <si>
    <t>0360-8352</t>
  </si>
  <si>
    <t>1879-0550</t>
  </si>
  <si>
    <t>COMPUT IND ENG</t>
  </si>
  <si>
    <t>Comput. Ind. Eng.</t>
  </si>
  <si>
    <t>NOV</t>
  </si>
  <si>
    <t>10.1016/j.cie.2023.109645</t>
  </si>
  <si>
    <t>Computer Science, Interdisciplinary Applications; Engineering, Industrial</t>
  </si>
  <si>
    <t>Science Citation Index Expanded (SCI-EXPANDED)</t>
  </si>
  <si>
    <t>Computer Science; Engineering</t>
  </si>
  <si>
    <t>U8FF1</t>
  </si>
  <si>
    <t>hybrid</t>
  </si>
  <si>
    <t>2023-11-15</t>
  </si>
  <si>
    <t>WOS:001087097800001</t>
  </si>
  <si>
    <t>Guio, J; Melo, A; Saldarriaga, MM; Fuentes, C; Tíjaro-Ovalle, N; Borda, A; Guzmán, Y; Bolaños, E; Quintero, G; Duarte, M; Agudelo, C; Aparicio, S; Cuellar, G; Bernal, P; Paéz, M; Rueda, E; Rodriguez, A; Alvarado, F; Pinzón, O; Romero, M</t>
  </si>
  <si>
    <t>Guio, Juan; Melo, Andres; Saldarriaga, Mateo Mejia; Fuentes, Cynthia; Tijaro-Ovalle, Natalia; Borda, Andres; Guzman, Yuli; Bolanos, Elias; Quintero, Guillermo; Duarte, Monica; Agudelo, Claudia; Aparicio, Soraya; Cuellar, Gina; Bernal, Patricia; Paez, Marco; Rueda, Erica; Rodriguez, Agustina; Alvarado, Fernando; Pinzon, Oscar; Romero, Martha</t>
  </si>
  <si>
    <t>A Novel Digital Educational Strategy Improves Treatment Adherence and Quality of Life in Patients with Multiple Myeloma</t>
  </si>
  <si>
    <t>JOURNAL OF CANCER EDUCATION</t>
  </si>
  <si>
    <t>Article; Early Access</t>
  </si>
  <si>
    <t>Multiple myeloma; Digital education program; Medication adherence; Quality of life</t>
  </si>
  <si>
    <t>Multiple myeloma, the second most common hematologic malignancy worldwide, is an aggressive disease with high morbidity and mortality rates. Although myeloma remains incurable, new treatments have improved patients' life expectancy and quality of life. However, as these therapies are administered for prolonged and often indefinite periods, their success depends on high treatment adherence and significant patient engagement. This study aimed to evaluate the impact of a novel digital educational strategy on treatment adherence, quality of life, and the development of complications in patients with newly diagnosed myeloma. To this end, a two-arm, randomized, prospective, double-blind study was conducted to compare the conventional educational approach alone or combined with the novel digital strategy. This strategy was based on some principles of the Persuasive Systems Design model and incorporated the educational recommendations of patients and caregivers. Compared to the control group that only received information through the conventional educational approach, patients randomized to the digital strategy showed significantly higher treatment adherence and quality of life, associated with increased functionality and rapid reincorporation into daily routines. The digital strategy empowered patients and caregivers to understand the disease and therapeutic options and helped patients recall treatment information and implement healthy lifestyle habits. These results support that patient-targeted educational strategies can positively influence treatment adherence and thus improve their quality of life.</t>
  </si>
  <si>
    <t>[Guio, Juan; Melo, Andres; Fuentes, Cynthia; Borda, Andres; Guzman, Yuli; Quintero, Guillermo; Duarte, Monica; Agudelo, Claudia; Aparicio, Soraya; Cuellar, Gina; Bernal, Patricia; Paez, Marco; Rueda, Erica; Rodriguez, Agustina; Alvarado, Fernando; Romero, Martha] Hosp Univ Fdn Santa Fe Bogota, Ctr Excellence Multiple Myeloma, Bogota, Colombia; [Guio, Juan; Cuellar, Gina; Paez, Marco; Romero, Martha] Hosp Univ Fdn Santa Fe Bogota, Dept Pathol &amp; Lab, Bogota, Colombia; [Melo, Andres] Hosp Clin San Carlos, Hematol &amp; Hemotherapy Div, Madrid, Spain; [Saldarriaga, Mateo Mejia] Weill Cornell Med New York Presbyterian, Hematol &amp; Oncol Div, New York, NY USA; [Tijaro-Ovalle, Natalia] Yale Sch Med, Internal Med, New Haven, CT USA; [Borda, Andres; Quintero, Guillermo; Duarte, Monica; Agudelo, Claudia; Rueda, Erica] Univ Hosp Fdn Santa Fe Bogota, Canc Inst, Bogota, Colombia; [Bolanos, Elias] Univ Hosp Fdn Santa Fe Bogota, Educ &amp; Knowledge Management, Bogota, Colombia; [Aparicio, Soraya] Univ Hosp Fdn Santa Fe Bogota, Dept Psychiat, Bogota, Colombia; [Bernal, Patricia] Univ Hosp Fdn Santa Fe Bogota, Nucl Med, Bogota, Colombia; [Pinzon, Oscar] Mem Hermann Hlth Syst, Enterprise Analyt Div, Houston, TX USA</t>
  </si>
  <si>
    <t>Hospital Clinico San Carlos; Cornell University; Weill Cornell Medicine; Yale University</t>
  </si>
  <si>
    <t>Romero, M (corresponding author), Hosp Univ Fdn Santa Fe Bogota, Ctr Excellence Multiple Myeloma, Bogota, Colombia.;Romero, M (corresponding author), Hosp Univ Fdn Santa Fe Bogota, Dept Pathol &amp; Lab, Bogota, Colombia.</t>
  </si>
  <si>
    <t>martha.romero@fsfb.org.co</t>
  </si>
  <si>
    <t>GUIO OROS, JUAN FRANCISCO/0000-0003-0235-3195</t>
  </si>
  <si>
    <t>We thank Dr Marta Mesa for English review, editing and correction.</t>
  </si>
  <si>
    <t>SPRINGER</t>
  </si>
  <si>
    <t>NEW YORK</t>
  </si>
  <si>
    <t>ONE NEW YORK PLAZA, SUITE 4600, NEW YORK, NY, UNITED STATES</t>
  </si>
  <si>
    <t>0885-8195</t>
  </si>
  <si>
    <t>1543-0154</t>
  </si>
  <si>
    <t>J CANCER EDUC</t>
  </si>
  <si>
    <t>J. Cancer Educ.</t>
  </si>
  <si>
    <t>2023 OCT 24</t>
  </si>
  <si>
    <t>10.1007/s13187-023-02374-w</t>
  </si>
  <si>
    <t>OCT 2023</t>
  </si>
  <si>
    <t>Oncology; Education, Scientific Disciplines; Public, Environmental &amp; Occupational Health</t>
  </si>
  <si>
    <t>Oncology; Education &amp; Educational Research; Public, Environmental &amp; Occupational Health</t>
  </si>
  <si>
    <t>U9LY0</t>
  </si>
  <si>
    <t>WOS:001087960200001</t>
  </si>
  <si>
    <t>Youssofi, A; Jeannot, F; Jongmans, E; Dampérat, M</t>
  </si>
  <si>
    <t>Youssofi, Alexandra; Jeannot, Florence; Jongmans, Eline; Damperat, Maud</t>
  </si>
  <si>
    <t>Designing the digitalized guest experience: A comprehensive framework and research agenda</t>
  </si>
  <si>
    <t>PSYCHOLOGY &amp; MARKETING</t>
  </si>
  <si>
    <t>artificial intelligence; digital technology; hospitality; intented digitalized guest experience; self-service technology</t>
  </si>
  <si>
    <t>CUSTOMER EXPERIENCE; MANAGEMENT; HOSPITALITY; HOTELS</t>
  </si>
  <si>
    <t>Digital transformation has emerged as a critical necessity for hospitality, a sector that traditionally prioritizes human interaction and personalized experiences. While prior research has explored the impact of digital technologies on the realized guest experience, there is a lack of work that studies their influence on the intended guest experience, as designed by hoteliers. Drawing on existing literature on customer experience management and digitalization in hospitality, this research aims to understand the psychological mechanisms by which digital technologies enhance the intended digitalized guest experience. We conducted two qualitative studies, involving 22 hotel professionals and 18 consumers. By consolidating these different theoretical and practical perspectives, we propose a conceptualization of the intended digitalized guest experience and present an integrative framework that includes the mediating and reciprocal role of consumer- and professional-based psychological mechanisms, along with antecedents, outcomes, and contingency factors. These findings have practical implications for hotel professionals, enabling them to leverage appropriate digital strategies for successful guest experiences. The article concludes with specific recommendations to managers on how to design a unique guest experience. These recommendations include designing a game-like experience, developing care as a new source of digital value creation, and providing training to the staff to enhance their creativity.</t>
  </si>
  <si>
    <t>[Youssofi, Alexandra] COACTIS, INSEEC Grande Ecole, OMNES Educ, Lyon, France; [Jeannot, Florence] CERAG, INSEEC Grande Ecole, OMNES Educ, Lyon, France; [Jongmans, Eline] Univ Grenoble Alpes, Grenoble INP, CERAG, Grenoble, France; [Damperat, Maud] Univ Lyon 2, UR COACTIS, MSH, Lyon, France; [Jeannot, Florence] 25 Rue Univ, F-69007 Lyon, France</t>
  </si>
  <si>
    <t>Communaute Universite Grenoble Alpes; Institut National Polytechnique de Grenoble; Universite Grenoble Alpes (UGA); Centre National de la Recherche Scientifique (CNRS); Communaute Universite Grenoble Alpes; Institut National Polytechnique de Grenoble; Universite Grenoble Alpes (UGA); Centre National de la Recherche Scientifique (CNRS); Universite Lyon 2</t>
  </si>
  <si>
    <t>Jeannot, F (corresponding author), 25 Rue Univ, F-69007 Lyon, France.</t>
  </si>
  <si>
    <t>fjeannot@inseec.com</t>
  </si>
  <si>
    <t>WILEY</t>
  </si>
  <si>
    <t>HOBOKEN</t>
  </si>
  <si>
    <t>111 RIVER ST, HOBOKEN 07030-5774, NJ USA</t>
  </si>
  <si>
    <t>0742-6046</t>
  </si>
  <si>
    <t>1520-6793</t>
  </si>
  <si>
    <t>PSYCHOL MARKET</t>
  </si>
  <si>
    <t>Psychol. Mark.</t>
  </si>
  <si>
    <t>2023 OCT 20</t>
  </si>
  <si>
    <t>10.1002/mar.21929</t>
  </si>
  <si>
    <t>Business; Psychology, Applied</t>
  </si>
  <si>
    <t>Social Science Citation Index (SSCI)</t>
  </si>
  <si>
    <t>Business &amp; Economics; Psychology</t>
  </si>
  <si>
    <t>U6RQ1</t>
  </si>
  <si>
    <t>WOS:001086060300001</t>
  </si>
  <si>
    <t>Wright, C; Kelly, JT; Byrnes, J; Campbell, KL; Healy, R; Musial, J; Hamilton, K</t>
  </si>
  <si>
    <t>Wright, Charlene; Kelly, Jaimon T.; Byrnes, Joshua; Campbell, Katrina L.; Healy, Rebecca; Musial, Jane; Hamilton, Kyra</t>
  </si>
  <si>
    <t>A non-randomised feasibility study of a mHealth follow-up program in bariatric surgery</t>
  </si>
  <si>
    <t>PILOT AND FEASIBILITY STUDIES</t>
  </si>
  <si>
    <t>Bariatric surgery; mHealth; Mixed methods; Text messages; Email newsletter; Online resources; Feasibility; Acceptability; Cost analysis</t>
  </si>
  <si>
    <t>HEALTH OUTCOMES; INTERVENTION</t>
  </si>
  <si>
    <t>BackgroundBehavioural support via mobile health (mHealth) is emerging. This study aimed to assess the feasibility, acceptability, cost, and potential effect on weight of a mHealth follow-up program in bariatric surgery.MethodsThis was a non-randomised feasibility study describing intervention development and proof in the concept of a mHealth follow-up program in bariatric surgery. The study compares a prospective cohort with a historical control group and was conducted in a tertiary bariatric surgery service in Australia. The intervention group included individuals who had bariatric surgery (2019-2021) and owned a smart device, and the historical control group received usual postoperative care (2018). The intervention involved usual care plus codesigned biweekly text messages, monthly email newsletters, and online resources/videos over a 6-month period. The primary outcome measures included feasibility (via recruitment and retention rate), acceptability (via mixed methods), marginal costs, and weight 12 months postoperatively. Quantitative analysis was performed, including descriptive statistics and inferential and regression analysis. Multivariate linear regression and mixed-effects models were undertaken to test the potential intervention effect. Qualitative analysis was performed using inductive content analysis.ResultsThe study included 176 participants (n = 129 historical control, n = 47 intervention group; mean age 56 years). Of the 50 eligible patients, 48 consented to participate (96% recruitment rate). One participant opted out of the mHealth program entirely without disclosing their reason (98% retention rate). The survey response rate was low (n = 16/47, 34%). Participants agreed/strongly agreed that text messages supported new behaviours (n = 13/15, 87%); however, few agreed/strongly agreed that the messages motivated goal setting and self-monitoring (n = 8/15, 53%), dietary change (n = 6/15, 40%), or physical activity (n = 5/15, 33%). Interviews generated four main themes (n = 12): 'motivators and expectations', 'preferences and relevance', 'reinforced information, and 'wanting social support'. The intervention reinforced information, email newsletters were lengthy/challenging to read, and text messages were favoured, yet tailoring was recommended. The intervention cost AUD 11.04 per person. The mean 12-month weight was 86 +/- 16 kg and 90 +/- 16 kg (intervention and historical control) with no statistically significant difference. Intervention recipients enrolled at 3 months postoperatively demonstrated a statistically significant difference in 12-month weight (p = 0.014).ConclusionAlthough this study observed high rates of recruitment and retention, findings should be considered with caution as mHealth may have been embraced more by the intervention cohort as a result of the 2019 coronavirus pandemic. Of the various digital strategies developed and tested, the text message approach was the most acceptable; however, future intervention iterations could be strengthened through tailoring information when possible. The use of email newsletters and online resources/videos requires further testing of effectiveness to determine their value for continued use in bariatric surgery services.</t>
  </si>
  <si>
    <t>[Wright, Charlene; Hamilton, Kyra] Griffith Univ, Sch Appl Psychol, 176 Messines Ridge Rd, Mt Gravatt, Qld, Australia; [Wright, Charlene; Campbell, Katrina L.; Hamilton, Kyra] Griffith Univ, Menzies Hlth Inst Queensland, 176 Messines Ridge Rd, Mt Gravatt, Qld 4122, Australia; [Kelly, Jaimon T.] Univ Queensland, Fac Med, Ctr Online Hlth, Woolloongabba, Qld, Australia; [Kelly, Jaimon T.] Univ Queensland, Fac Med, Ctr Hlth Serv Res, Herston, Qld, Australia; [Byrnes, Joshua; Campbell, Katrina L.] Griffith Univ, Ctr Appl Hlth Econ, Sch Med &amp; Dent, 170 Kessels Rd, Nathan, Qld, Australia; [Campbell, Katrina L.] Metro North Hosp &amp; Hlth Serv, Healthcare Excellence &amp; Innovat, Butterfield St, Herston, Qld, Australia; [Healy, Rebecca] Royal Brisbane &amp; Womens Hosp, Nutr &amp; Dietet Dept, Butterfield St, Herston, Qld, Australia; [Musial, Jane] Princess Alexandra Hosp, Nutr &amp; Dietet Dept, 199 Ipswich Rd, Woolloongabba, Australia; [Hamilton, Kyra] Univ Calif, Hlth Sci Res Inst, 5200 Lake Rd, Merced, CA 95343 USA; [Hamilton, Kyra] Univ Jyvaskyla, Fac Sport &amp; Hlth Sci, Jyvaskyla, Finland</t>
  </si>
  <si>
    <t>Griffith University; Griffith University - Mount Gravatt Campus; Griffith University; Griffith University - Mount Gravatt Campus; University of Queensland; University of Queensland; Griffith University; Royal Brisbane &amp; Women's Hospital; University of California System; University of California Merced; University of Jyvaskyla</t>
  </si>
  <si>
    <t>Wright, C (corresponding author), Griffith Univ, Sch Appl Psychol, 176 Messines Ridge Rd, Mt Gravatt, Qld, Australia.;Wright, C (corresponding author), Griffith Univ, Menzies Hlth Inst Queensland, 176 Messines Ridge Rd, Mt Gravatt, Qld 4122, Australia.</t>
  </si>
  <si>
    <t>charlene.wright@griffithuni.edu.au</t>
  </si>
  <si>
    <t>Hamilton, Kyra/0000-0001-9975-685X; Wright, Charlene/0000-0003-2918-6032</t>
  </si>
  <si>
    <t>We would like to acknowledge the individuals who generously shared their time and experience, along with the Royal Brisbane and Women's Hospital multidisciplinary team for their contribution to the intervention development. The aforementioned have provided</t>
  </si>
  <si>
    <t>We would like to acknowledge the individuals who generously shared their time and experience, along with the Royal Brisbane and Women's Hospital multidisciplinary team for their contribution to the intervention development. The aforementioned have provided permission for this acknowledgement.</t>
  </si>
  <si>
    <t>BMC</t>
  </si>
  <si>
    <t>LONDON</t>
  </si>
  <si>
    <t>CAMPUS, 4 CRINAN ST, LONDON N1 9XW, ENGLAND</t>
  </si>
  <si>
    <t>2055-5784</t>
  </si>
  <si>
    <t>PILOT FEASIBILITY ST</t>
  </si>
  <si>
    <t>Pilot Feasibility Stud.</t>
  </si>
  <si>
    <t>OCT 17</t>
  </si>
  <si>
    <t>10.1186/s40814-023-01401-3</t>
  </si>
  <si>
    <t>Medicine, Research &amp; Experimental</t>
  </si>
  <si>
    <t>Emerging Sources Citation Index (ESCI)</t>
  </si>
  <si>
    <t>Research &amp; Experimental Medicine</t>
  </si>
  <si>
    <t>W3BG0</t>
  </si>
  <si>
    <t>gold</t>
  </si>
  <si>
    <t>WOS:001090408300001</t>
  </si>
  <si>
    <t>Ren, XM; Jing, H; Zhang, YY</t>
  </si>
  <si>
    <t>Ren, Xingmin; Jing, Hao; Zhang, Yaoyao</t>
  </si>
  <si>
    <t>Construction of Digital Transformation Capability of Manufacturing Enterprises: Qualitative Meta-Analysis Based on Current Research</t>
  </si>
  <si>
    <t>SUSTAINABILITY</t>
  </si>
  <si>
    <t>digital transformation capability; digital transformation; manufacture; qualitative meta-analysis</t>
  </si>
  <si>
    <t>RESOURCE-BASED VIEW; DYNAMIC-CAPABILITIES; INNOVATION; STRATEGY; FIRM</t>
  </si>
  <si>
    <t>Competitive advantage in enterprises can be substantially enhanced by the strategic deployment of digital transformation capabilities, which can be considered as distinctive resources. Within the domain of manufacturing enterprises, the discernment and classification of the structural dimensions inherent in digital transformation capabilities can serve as a pivotal factor in facilitating a more adaptable and seamless progression through the digital transformation journey. In pursuit of this objective, 22 typical manufacturing enterprises are selected as data samples, and a four-dimensional digital transformation capability system is constructed through the processes of excerpt, coding, classification, reliability and validity, etc. Combined with the view of capability hierarchy, a three-level capability structure model of digital transformation capability is constructed. The results show that digital transformation capability includes digital technology capability, digital operation capability, digital organization capability and digital strategic capability, and it is found that there is a hierarchical relationship among the capabilities of each dimension. The research findings have extended the theoretical boundaries of digital transformation, augmented the applicability scenarios of dynamic capability theory, and established a foundational framework for future empirical investigations into the digital capabilities of manufacturing enterprises.</t>
  </si>
  <si>
    <t>[Ren, Xingmin; Jing, Hao; Zhang, Yaoyao] Shenyang Aerosp Univ, Sch Econ &amp; Management, Shenyang 110136, Peoples R China</t>
  </si>
  <si>
    <t>Shenyang Aerospace University</t>
  </si>
  <si>
    <t>Ren, XM; Jing, H (corresponding author), Shenyang Aerosp Univ, Sch Econ &amp; Management, Shenyang 110136, Peoples R China.</t>
  </si>
  <si>
    <t>nicole_works@163.com; jing_16@163.com; zhangyaoyao0117@163.com</t>
  </si>
  <si>
    <t>Major project of Liaoning Provincial Philosophy and Social Science Foundation [L21ZD009]</t>
  </si>
  <si>
    <t>Major project of Liaoning Provincial Philosophy and Social Science Foundation</t>
  </si>
  <si>
    <t>This research was funded by the Major project of Liaoning Provincial Philosophy and Social Science Foundation (L21ZD009)</t>
  </si>
  <si>
    <t>MDPI</t>
  </si>
  <si>
    <t>BASEL</t>
  </si>
  <si>
    <t>ST ALBAN-ANLAGE 66, CH-4052 BASEL, SWITZERLAND</t>
  </si>
  <si>
    <t>2071-1050</t>
  </si>
  <si>
    <t>SUSTAINABILITY-BASEL</t>
  </si>
  <si>
    <t>Sustainability</t>
  </si>
  <si>
    <t>OCT</t>
  </si>
  <si>
    <t>10.3390/su151914168</t>
  </si>
  <si>
    <t>Green &amp; Sustainable Science &amp; Technology; Environmental Sciences; Environmental Studies</t>
  </si>
  <si>
    <t>Science Citation Index Expanded (SCI-EXPANDED); Social Science Citation Index (SSCI)</t>
  </si>
  <si>
    <t>Science &amp; Technology - Other Topics; Environmental Sciences &amp; Ecology</t>
  </si>
  <si>
    <t>U6JU3</t>
  </si>
  <si>
    <t>WOS:001085854500001</t>
  </si>
  <si>
    <t>Ren, Y; Wu, KJ; Lim, MK; Tseng, ML</t>
  </si>
  <si>
    <t>Ren, Yu; Wu, Kuo-Jui; Lim, Ming K.; Tseng, Ming-Lang</t>
  </si>
  <si>
    <t>Technology transfer adoption to achieve a circular economy model under resource-based view: A high-tech firm</t>
  </si>
  <si>
    <t>INTERNATIONAL JOURNAL OF PRODUCTION ECONOMICS</t>
  </si>
  <si>
    <t>Circular economy principles; Technology transfer; Resource-based view; Fuzzy synthetic method; Decision-making trial and evaluation; laboratory</t>
  </si>
  <si>
    <t>BIG-DATA</t>
  </si>
  <si>
    <t>This study explores technology transfer with public expectations and expert guidance to achieve a circular economy model under resource-based view. This study aims to (1) build a model to apply technology transfer to achieve circular economy principles under public expectations and expert guidance, (2) construct a valid theoretical structure using experts' perspectives, and (3) provide practical criteria for improvement under resource constraints. High-tech firms seek to apply technology transfer to achieve circular economy principles under resource constraints and to meet public expectations. However, there is always a discrepancy between expectations and expert guidance. Exploratory factor analysis is used to confirm the reliability and validity of the attributes. The linguistic preferences are converted into crisp values using the fuzzy synthesis method. Finally, the decision-making trial and evaluation laboratory is applied to understand the gaps between public expecta-tions and expert guidance in technology transfer adoption to achieve a circular economy model under resource constraints. The results show that technology collaboration in line with a circular strategy, digital workforce skill development, technology sharing to achieve circular co-benefits, and stakeholder engagement for technology transfer are important aspects.</t>
  </si>
  <si>
    <t>[Ren, Yu] Univ Malaya, Asia Europe Inst, Kuala Lumpur, Malaysia; [Wu, Kuo-Jui] Hainan Univ, Management Sch, Haikou 570228, Hainan, Peoples R China; [Lim, Ming K.] Univ Glasgow, Adam Smith Business Sch, Glasgow, Scotland; [Tseng, Ming-Lang] Asia Univ, Inst Innovat &amp; Circular Econ, Taichung, Taiwan; [Tseng, Ming-Lang] China Med Univ, China Med Univ Hosp, Dept Med Res, Taichung, Taiwan; [Lim, Ming K.; Tseng, Ming-Lang] Univ Kebangsaan Malaysia, UKM Grad Sch Business, Bangi 43000, Selangor, Malaysia; [Tseng, Ming-Lang] De La Salle Univ, Ramon V Del Rosario Coll Business, Manila, Philippines</t>
  </si>
  <si>
    <t>Universiti Malaya; Hainan University; University of Glasgow; Asia University Taiwan; China Medical University Taiwan; China Medical University Hospital - Taiwan; Universiti Kebangsaan Malaysia; De La Salle University</t>
  </si>
  <si>
    <t>Tseng, ML (corresponding author), Asia Univ, Inst Innovat &amp; Circular Econ, Taichung, Taiwan.</t>
  </si>
  <si>
    <t>799700645ry@gmail.com; garykjwu@gmail.com; Ming.Lim@glasgow.ac.uk; tsengminglang@gmail.com</t>
  </si>
  <si>
    <t>Lim, Ming K/D-1476-2017; Wu, Kuo-Jui/N-1926-2019; Tseng, Ming Lang/M-9051-2014</t>
  </si>
  <si>
    <t>Lim, Ming K/0000-0003-0809-9431; Wu, Kuo-Jui/0000-0002-6246-8245; Tseng, Ming Lang/0000-0002-2702-3590</t>
  </si>
  <si>
    <t>Scientific Research Foundation of Hainan University [kyqd (sk) 2330]; Hainan Provincial Natural Science Foundation of China [523QN214]; NSTC [111-2221-E-468-008-MY3]</t>
  </si>
  <si>
    <t>Scientific Research Foundation of Hainan University; Hainan Provincial Natural Science Foundation of China; NSTC</t>
  </si>
  <si>
    <t>This study was partially supported by the Scientific Research Foundation of Hainan University (Grant Number: kyqd (sk) 2330) , Hainan Provincial Natural Science Foundation of China (Grant Number: 523QN214) and NSTC 111-2221-E-468-008-MY3.</t>
  </si>
  <si>
    <t>ELSEVIER</t>
  </si>
  <si>
    <t>AMSTERDAM</t>
  </si>
  <si>
    <t>RADARWEG 29, 1043 NX AMSTERDAM, NETHERLANDS</t>
  </si>
  <si>
    <t>0925-5273</t>
  </si>
  <si>
    <t>1873-7579</t>
  </si>
  <si>
    <t>INT J PROD ECON</t>
  </si>
  <si>
    <t>Int. J. Prod. Econ.</t>
  </si>
  <si>
    <t>10.1016/j.ijpe.2023.108983</t>
  </si>
  <si>
    <t>Engineering, Industrial; Engineering, Manufacturing; Operations Research &amp; Management Science</t>
  </si>
  <si>
    <t>Engineering; Operations Research &amp; Management Science</t>
  </si>
  <si>
    <t>P3DL8</t>
  </si>
  <si>
    <t>WOS:001049479700001</t>
  </si>
  <si>
    <t>Chawla, RN; Goyal, P; Saxena, DK</t>
  </si>
  <si>
    <t>Chawla, Raghu Nandan; Goyal, Praveen; Saxena, Deepak Kumar</t>
  </si>
  <si>
    <t>The role of CIO in digital transformation: an exploratory study</t>
  </si>
  <si>
    <t>INFORMATION SYSTEMS AND E-BUSINESS MANAGEMENT</t>
  </si>
  <si>
    <t>Digital transformation; Chief Information Officer; DT; CIO; Leadership</t>
  </si>
  <si>
    <t>NEXT-GENERATION; MANAGEMENT; STRATEGY; BUSINESS; CAPABILITIES; ANTECEDENTS; PERFORMANCE; LEADERSHIP; VISION; FUTURE</t>
  </si>
  <si>
    <t>With a continuous stream of emerging technologies, organizations are increasingly seeking to digitally transform their business towards ever efficient, intelligent, and self-learning business models. As the recognized head of IT, the Chief Information Officer (CIO) is often tasked with the responsibility of successfully implementing Digital Transformation (DT) initiatives. While there are independent studies on CIO role, and on the impact of DT, the role of CIO is not sufficiently examined in the DT context. This study fills this gap by conducting multiple case study of six organizations engaged in DT. Following the role theory, the study emphasizes the CIO as an actor focused on digital strategy and empirically delineates the multidimensional task demands associated with DT regarding the CIO role under the new strategic realities of the digital age. We find that while traditional CIO roles still apply, the DT context adds more nuances in such roles. Moreover, some new roles (e.g., legacy systems integration, risk management and IT security) have become crucial that are not adequately captured in extant literature on CIO roles.</t>
  </si>
  <si>
    <t>[Chawla, Raghu Nandan; Goyal, Praveen] Birla Inst Technol &amp; Sci BITS Pilani, Dept Management, Pilani, India; [Saxena, Deepak Kumar] Indian Inst Technol IIT, Dept Management, Jodhpur, India</t>
  </si>
  <si>
    <t>Birla Institute of Technology &amp; Science Pilani (BITS Pilani); Indian Institute of Technology System (IIT System); Indian Institute of Technology (IIT) - Madras; Indian Institute of Technology (IIT) - Jodhpur</t>
  </si>
  <si>
    <t>Chawla, RN (corresponding author), Birla Inst Technol &amp; Sci BITS Pilani, Dept Management, Pilani, India.</t>
  </si>
  <si>
    <t>raghuchawla@gmail.com; praveen.goyal@pilani.bits-pilani.ac.in; saxenad@iitj.ac.in</t>
  </si>
  <si>
    <t>SPRINGER HEIDELBERG</t>
  </si>
  <si>
    <t>HEIDELBERG</t>
  </si>
  <si>
    <t>TIERGARTENSTRASSE 17, D-69121 HEIDELBERG, GERMANY</t>
  </si>
  <si>
    <t>1617-9846</t>
  </si>
  <si>
    <t>1617-9854</t>
  </si>
  <si>
    <t>INF SYST E-BUS MANAG</t>
  </si>
  <si>
    <t>Inf. Syst. E-Bus. Manag.</t>
  </si>
  <si>
    <t>2023 SEP 28</t>
  </si>
  <si>
    <t>10.1007/s10257-023-00651-1</t>
  </si>
  <si>
    <t>SEP 2023</t>
  </si>
  <si>
    <t>Business; Management</t>
  </si>
  <si>
    <t>Business &amp; Economics</t>
  </si>
  <si>
    <t>T0JE9</t>
  </si>
  <si>
    <t>WOS:001074928700001</t>
  </si>
  <si>
    <t>Ryu, G; Kim, GB; Yu, T; Lee, SY</t>
  </si>
  <si>
    <t>Ryu, Gahyeon; Kim, Gi Bae; Yu, Taeho; Lee, Sang Yup</t>
  </si>
  <si>
    <t>Deep learning for metabolic pathway design</t>
  </si>
  <si>
    <t>METABOLIC ENGINEERING</t>
  </si>
  <si>
    <t>Deep learning; Enzyme discovery; Machine learning; Metabolic pathway design; Systems metabolic engineering</t>
  </si>
  <si>
    <t>ENZYME FUNCTION PREDICTION; ESCHERICHIA-COLI; BIOCHEMICAL REACTIONS; NEURAL-NETWORKS; RETROSYNTHESIS; RESOURCE; TOOL; METANETX/MNXREF; IDENTIFICATION; PROMISCUITY</t>
  </si>
  <si>
    <t>The establishment of a bio-based circular economy is imperative in tackling the climate crisis and advancing sustainable development. In this realm, the creation of microbial cell factories is central to generating a variety of chemicals and materials. The design of metabolic pathways is crucial in shaping these microbial cell factories, especially when it comes to producing chemicals with yet-to-be-discovered biosynthetic routes. To aid in navi-gating the complexities of chemical and metabolic domains, computer-supported tools for metabolic pathway design have emerged. In this paper, we evaluate how digital strategies can be employed for pathway prediction and enzyme discovery. Additionally, we touch upon the recent strides made in using deep learning techniques for metabolic pathway prediction. These computational tools and strategies streamline the design of metabolic pathways, facilitating the development of microbial cell factories. Leveraging the capabilities of deep learning in metabolic pathway design is profoundly promising, potentially hastening the advent of a bio-based circular economy.</t>
  </si>
  <si>
    <t>[Ryu, Gahyeon; Kim, Gi Bae; Yu, Taeho; Lee, Sang Yup] Korea Adv Inst Sci &amp; Technol KAIST, Metab &amp; Biomol Engn Natl Res Lab, Dept Chem &amp; Biomol Engn Four BK21, KAIST Inst BioCentury, Daejeon 34141, South Korea; [Ryu, Gahyeon; Kim, Gi Bae; Yu, Taeho; Lee, Sang Yup] Korea Adv Inst Sci &amp; Technol, Syst Metab Engn &amp; Syst Healthcare Cross Generat Co, Daejeon 34141, South Korea; [Lee, Sang Yup] Korea Adv Inst Sci &amp; Technol, BioProc Engn Res Ctr, Daejeon 34141, South Korea; [Lee, Sang Yup] Korea Adv Inst Sci &amp; Technol, BioInformat Res Ctr, Daejeon 34141, South Korea; [Lee, Sang Yup] Korea Adv Inst Sci &amp; Technol, Grad Sch Engn Biol, Daejeon 34141, South Korea</t>
  </si>
  <si>
    <t>Korea Advanced Institute of Science &amp; Technology (KAIST); Korea Advanced Institute of Science &amp; Technology (KAIST); Korea Advanced Institute of Science &amp; Technology (KAIST); Korea Advanced Institute of Science &amp; Technology (KAIST); Korea Advanced Institute of Science &amp; Technology (KAIST)</t>
  </si>
  <si>
    <t>Lee, SY (corresponding author), Korea Adv Inst Sci &amp; Technol KAIST, Metab &amp; Biomol Engn Natl Res Lab, Dept Chem &amp; Biomol Engn Four BK21, KAIST Inst BioCentury, Daejeon 34141, South Korea.</t>
  </si>
  <si>
    <t>leesy@kaist.ac.kr</t>
  </si>
  <si>
    <t>Lee, Sang Yup/C-1526-2011</t>
  </si>
  <si>
    <t>Lee, Sang Yup/0000-0003-0599-3091</t>
  </si>
  <si>
    <t>Bio &amp; Medical Technology Development Program of the National Research Foundation (NRF) - Korean government (MSIT) [2021M3A9I5023245]; KAIST Cross-Generation Collaborative Lab project</t>
  </si>
  <si>
    <t>Bio &amp; Medical Technology Development Program of the National Research Foundation (NRF) - Korean government (MSIT)(National Research Foundation of KoreaMinistry of Science &amp; ICT (MSIT), Republic of Korea); KAIST Cross-Generation Collaborative Lab project</t>
  </si>
  <si>
    <t>We would like to thank Professor H.U. Kim for discussions regarding the structure of the paper. This work is supported by the Bio &amp; Medical Technology Development Program of the National Research Foundation (NRF) &amp; funded by the Korean government (MSIT) (No. 2021M3A9I5023245) and KAIST Cross-Generation Collaborative Lab project.</t>
  </si>
  <si>
    <t>ACADEMIC PRESS INC ELSEVIER SCIENCE</t>
  </si>
  <si>
    <t>SAN DIEGO</t>
  </si>
  <si>
    <t>525 B ST, STE 1900, SAN DIEGO, CA 92101-4495 USA</t>
  </si>
  <si>
    <t>1096-7176</t>
  </si>
  <si>
    <t>1096-7184</t>
  </si>
  <si>
    <t>METAB ENG</t>
  </si>
  <si>
    <t>Metab. Eng.</t>
  </si>
  <si>
    <t>10.1016/j.ymben.2023.09.012</t>
  </si>
  <si>
    <t>Biotechnology &amp; Applied Microbiology</t>
  </si>
  <si>
    <t>U6PP5</t>
  </si>
  <si>
    <t>WOS:001086006300001</t>
  </si>
  <si>
    <t>Bosua, R; Evans, N</t>
  </si>
  <si>
    <t>Bosua, Rachelle; Evans, Nina</t>
  </si>
  <si>
    <t>Going digital: Developing social capital through online social networks in regional SMEs-An Australian study</t>
  </si>
  <si>
    <t>KNOWLEDGE AND PROCESS MANAGEMENT</t>
  </si>
  <si>
    <t>KNOWLEDGE CREATION; BUSINESS; MEDIA; PERFORMANCE; COMMUNITIES; MANAGEMENT; CUSTOMERS; ADOPTION</t>
  </si>
  <si>
    <t>In an increasingly competitive and digitalized business environment, regional SMEs have multiple opportunities to extend their face-to-face networking activities to the digital realm. However, there is scant research on regional Australian SMEs use of online social networks (OSNs) to network and develop social capital. This paper follows an interpretive qualitative research approach to identify how 13 regional Australian SMEs from four sparsely populated regional areas use OSNs to enable knowledge sharing and the development of social capital. Our empirical findings classified regional Australian SMEs' use of OSNs into three categories: low, medium, and high, while also identifying OSN use opportunities. We propose four propositions related to OSN adoption and use to share knowledge and develop SC: (i) implementing an OSN adoption and use strategy as part of a larger digital strategy, (ii) investing in and adopting a variety of OSN channels for knowledge sharing, (iii) gradually replacing face-to-face knowledge sharing with OSNs, and (iv) controlling the sharing of competitive SME knowledge when using different OSN channels. These findings are significant to encourage regional Australian SMEs to adopt and use OSN to improve innovation opportunities through networking and collaboration in an increasingly digitalized realm.</t>
  </si>
  <si>
    <t>[Bosua, Rachelle] Univ Melbourne, Sch Comp &amp; Informat Syst, Melbourne, Australia; [Bosua, Rachelle] Open Univ Netherlands, Informat Sci, Heerlen, Limburg, Netherlands; [Evans, Nina] Univ South Australia, UniSA STEM, Adelaide, SA, Australia; [Bosua, Rachelle] Open Univ Netherlands, Informat Sci, Utrecht, Netherlands</t>
  </si>
  <si>
    <t>University of Melbourne; Open University Netherlands; University of South Australia; Open University Netherlands</t>
  </si>
  <si>
    <t>Bosua, R (corresponding author), Open Univ Netherlands, Informat Sci, Utrecht, Netherlands.</t>
  </si>
  <si>
    <t>rachelle.bosua@unimelb.edu.au</t>
  </si>
  <si>
    <t>Evans, Nina/F-4616-2013</t>
  </si>
  <si>
    <t>Evans, Nina/0000-0002-6028-0142</t>
  </si>
  <si>
    <t>The authors acknowledge The University of Melbourneamp;apos;s Open Access Agreement with Wiley to publish this paper. Open access publishing facilitated by The University of Melbourne, as part of the Wiley - The University of Melbourne agreement via the C; University of Melbourneamp;apos;s Open Access Agreement with Wiley; University of Melbourne, as part of the Wiley - The University of Melbourne agreement via the Council of Australian University Librarians</t>
  </si>
  <si>
    <t>The authors acknowledge The University of Melbourne &amp; apos;s Open Access Agreement with Wiley to publish this paper. Open access publishing facilitated by The University of Melbourne, as part of the Wiley - The University of Melbourne agreement via the Council of Australian University Librarians.</t>
  </si>
  <si>
    <t>1092-4604</t>
  </si>
  <si>
    <t>1099-1441</t>
  </si>
  <si>
    <t>KNOWL PROCESS MANAG</t>
  </si>
  <si>
    <t>Knowl. Process Manag.</t>
  </si>
  <si>
    <t>2023 SEP 26</t>
  </si>
  <si>
    <t>10.1002/kpm.1765</t>
  </si>
  <si>
    <t>Management</t>
  </si>
  <si>
    <t>S6AW5</t>
  </si>
  <si>
    <t>WOS:001071980700001</t>
  </si>
  <si>
    <t>Priharsari, D; Abedin, B; Burdon, S; Clegg, S; Clay, J</t>
  </si>
  <si>
    <t>Priharsari, Diah; Abedin, Babak; Burdon, Steve; Clegg, Stewart; Clay, John</t>
  </si>
  <si>
    <t>National digital strategy development: Guidelines and lesson learnt from Asia Pacific countries</t>
  </si>
  <si>
    <t>TECHNOLOGICAL FORECASTING AND SOCIAL CHANGE</t>
  </si>
  <si>
    <t>Digital economy strategy; Digital ecosystem; Economic growth; Productivity; Asia productivity organization</t>
  </si>
  <si>
    <t>INFORMATION</t>
  </si>
  <si>
    <t>Adoption of information and communication technology (ICT) to create a digital ecosystem gives rise to substantial economic and social benefits. Therefore, many countries develop National digital strategies (NDSs) to establish objectives, policy priorities and outline necessary actions for implementation of digital transformation. However, given the digital divide between different economies, it is difficult to compare consistently the priorities of NDS across various countries. This paper is an effort to explicate various priorities on different country groups. Using a macro-analysis lens, this research project explored specific policies and regulations that are perceived useful in identifying strategies for strengthening ICT adoption for economic and digital growth. We surveyed members of Asia Productivity Organization (APO) from mid-2020 to 2021 and interviewed three member countries (Indonesia, Malaysia, and the Republic of Korea). Findings offer a guideline for countries to develop their NDS and discuss implications for policy makers in the Asia Pacific region.</t>
  </si>
  <si>
    <t>[Priharsari, Diah] Univ Brawijaya, Fak Ilmu Komputer, Gedung A,Jl Vet 8, Malang 65113, Indonesia; [Abedin, Babak] Macquarie Univ, Macquarie Business Sch, 4 Eastern Rd, Macquarie Pk, NSW 2113, Australia; [Burdon, Steve] Univ Technol Sydney, Sch Comp Sci, 15 Broadway, Ultimo, NSW, Australia; [Clegg, Stewart] Univ Sydney, Fac Engn, Sch Project Management, John Grill Inst Project Leadership, K06A-21 Ross St Building, Camperdown, Australia; [Clay, John] Univ Technol Sydney, Business Sch, Bldg 8,14/28 Ultimo Rd, Ultimo, NSW 2007, Australia</t>
  </si>
  <si>
    <t>Brawijaya University; Macquarie University; University of Technology Sydney; University of Sydney; University of Technology Sydney</t>
  </si>
  <si>
    <t>Priharsari, D (corresponding author), Univ Brawijaya, Fak Ilmu Komputer, Gedung A,Jl Vet 8, Malang 65113, Indonesia.</t>
  </si>
  <si>
    <t>diah.priharsari@ub.ac.id; Babak.Abedin@mq.edu.au; Steve.Burdon@uts.edu.au; Stewart.Clegg@sydney.edu.au; John.Clay@uts.edu.au</t>
  </si>
  <si>
    <t>Burdon, Stephen/0000-0003-0073-8593</t>
  </si>
  <si>
    <t>Asian Productivity Organization</t>
  </si>
  <si>
    <t>The research work presented in this paper was funded by the Asian Productivity Organization under a project on powering national out-comes through new digital technologies (Project Title: Research on digital disruption: policy tasks and responses by governments) .</t>
  </si>
  <si>
    <t>ELSEVIER SCIENCE INC</t>
  </si>
  <si>
    <t>STE 800, 230 PARK AVE, NEW YORK, NY 10169 USA</t>
  </si>
  <si>
    <t>0040-1625</t>
  </si>
  <si>
    <t>1873-5509</t>
  </si>
  <si>
    <t>TECHNOL FORECAST SOC</t>
  </si>
  <si>
    <t>Technol. Forecast. Soc. Chang.</t>
  </si>
  <si>
    <t>10.1016/j.techfore.2023.122855</t>
  </si>
  <si>
    <t>Business; Regional &amp; Urban Planning</t>
  </si>
  <si>
    <t>Business &amp; Economics; Public Administration</t>
  </si>
  <si>
    <t>T9XZ5</t>
  </si>
  <si>
    <t>WOS:001081454800001</t>
  </si>
  <si>
    <t>Abdullahi, I; Watters, C; Kapogiannis, G; Lemanski, MK</t>
  </si>
  <si>
    <t>Abdullahi, Iliyasu; Watters, Casey; Kapogiannis, Georgios; Lemanski, Michal K.</t>
  </si>
  <si>
    <t>Role of Digital Strategy in Managing the Planning Complexity of Mega Construction Projects</t>
  </si>
  <si>
    <t>construction planning; information and communication technology; construction site; supply chain; technology; information management systems; BIM</t>
  </si>
  <si>
    <t>SUPPLY CHAIN; FRAMEWORK; QUANTIFICATION; PERSPECTIVE; PERFORMANCE; SYSTEM; CHINA</t>
  </si>
  <si>
    <t>Background: This study investigates the potential of digital construction to enhance the planning competence of project managers in dealing with the complexities of mega construction projects. Traditional project strategies often struggle to adapt in dynamic situations, particularly evident in mega construction endeavours. Drawing inspiration from successful digital strategies in manufacturing, this research proposes that adopting digital techniques could bolster project managers' ability to navigate complexity during construction, leading to improved infrastructure delivery within budget and on schedule. Methods: Employing a quantitative approach, this study utilized an online questionnaire to gather insights from project managers. The proposed hypothesis was assessed using a one-sample t-test. Additionally, Pearson's correlation coefficient was employed to gauge the strength of the relationship between various constructs. This approach aimed to determine the extent to which digital construction can support effective complexity management during mega construction projects. Results: The results indicate that digital construction equips project managers with enhanced capabilities to efficiently coordinate and allocate resources in real-time within complex construction environments, thereby optimizing overall project performance. Despite these advantages, the findings also reveal that managers continue to encounter challenges overseeing numerous participants during infrastructure construction. This suggests that while digital construction contributes to improved planning against complexity, addressing the management of multiple stakeholders remains an ongoing challenge. Conclusions: This study presents a novel contribution to the construction industry by demonstrating the potential of synergizing various digital tools throughout construction processes to empower project managers in effectively addressing the complexities inherent in mega construction planning. Furthermore, it underscores how digital construction confers a dynamic advantage for project managers in navigating complexities and enhancing overall project performance.</t>
  </si>
  <si>
    <t>[Abdullahi, Iliyasu] Univ Nottingham Ningo China, Nottingham Univ, Business Sch China, Ningbo 315104, Peoples R China; [Watters, Casey] Bond Univ, Fac Law, Robina, Qld 4226, Australia; [Kapogiannis, Georgios] Liverpool John Moores Univ, Oryx Universal Coll Partnership, POB 12253, Doha, Qatar; [Lemanski, Michal K.] WU Vienna, Inst Human Resource Management, Welthandelspl 1, A-1020 Vienna, Austria</t>
  </si>
  <si>
    <t>Bond University</t>
  </si>
  <si>
    <t>Watters, C (corresponding author), Bond Univ, Fac Law, Robina, Qld 4226, Australia.</t>
  </si>
  <si>
    <t>cwatters@bond.edu.au</t>
  </si>
  <si>
    <t>Kapogiannis, Georgios/0000-0002-1738-6734</t>
  </si>
  <si>
    <t>The authors thank CGC Nigeria Ltd. for their financial support and FOCI members' willingness to participate in the study.; CGC Nigeria Ltd.</t>
  </si>
  <si>
    <t>The authors thank CGC Nigeria Ltd. for their financial support and FOCI members' willingness to participate in the study.</t>
  </si>
  <si>
    <t>SEP</t>
  </si>
  <si>
    <t>10.3390/su151813809</t>
  </si>
  <si>
    <t>S6NB7</t>
  </si>
  <si>
    <t>WOS:001072299000001</t>
  </si>
  <si>
    <t>Botrugno, C</t>
  </si>
  <si>
    <t>Botrugno, Carlo</t>
  </si>
  <si>
    <t>Cybersecurity, privacy, and health data protection in the digital strategy of the European Union</t>
  </si>
  <si>
    <t>REVISTA DE ESTUDOS CONSTITUCIONAIS HERMENEUTICA E TEORIA DO DIREITO-RECHTD</t>
  </si>
  <si>
    <t>cybersecurity; privacy; data protection; health data; EU digital strategy; information; and communication technologies</t>
  </si>
  <si>
    <t>Contemporary societies increasingly rely on the opportunities created by technologies that make possible the production, collection, processing, and reuse of huge datasets to obtain inferences that can be used in the most disparate fields. Among these, healthcare stands out in importance since in medical practice a considerable series of personal information is exchanged and shared. The protection needs of the individual sphere in the healthcare sector acquire a specific scope with reference to the use of information and communication technologies, which allow patients and healthcare professionals to communicate, or the latter among them, in view of the achievement of a series of goals that pertain to the diagnosis, prevention, monitoring, rehabilitation and treatment of an increasingly large number of diseases. In such a context, this works aims at proving a synthetic overview on the whole architecture adopted by the European Union in the field of cybersecurity, privacy, and health data protection, which appears fundamental for guaranteeing the fundamental rights of European citizens but also to deal with the challenges posed by the digital transition of contemporary societies.</t>
  </si>
  <si>
    <t>[Botrugno, Carlo] Univ Firenze UNIFI, Florence, Italy; [Botrugno, Carlo] Univ Florence, Dept Legal Sci, Florence, Italy; [Botrugno, Carlo] Univ Firenze, LAltro Diritto Interuniv Res Ctr, Res Unit Everyday Bioeth &amp; Ethics Sci, Via Pandette,35, I-50127 Florence, Tuscany, Italy</t>
  </si>
  <si>
    <t>University of Florence; University of Florence</t>
  </si>
  <si>
    <t>Botrugno, C (corresponding author), Univ Firenze UNIFI, Florence, Italy.;Botrugno, C (corresponding author), Univ Florence, Dept Legal Sci, Florence, Italy.;Botrugno, C (corresponding author), Univ Firenze, LAltro Diritto Interuniv Res Ctr, Res Unit Everyday Bioeth &amp; Ethics Sci, Via Pandette,35, I-50127 Florence, Tuscany, Italy.</t>
  </si>
  <si>
    <t>carlo.botrugno@unifi.it</t>
  </si>
  <si>
    <t>UNIV VALE DORIO SINOS-UNISINOS</t>
  </si>
  <si>
    <t>SAO LEOPOLDO</t>
  </si>
  <si>
    <t>UNIDADE ACADEMICA DE PESQUISA E POS-GRADUACAO, EDITORIA PERIODICOS CIENTIFICOS, AV UNISINOS, 950, SAO LEOPOLDO, RS 93 022-000, BRAZIL</t>
  </si>
  <si>
    <t>2175-2168</t>
  </si>
  <si>
    <t>REV ESTUD CONST HERM</t>
  </si>
  <si>
    <t>Rev. Estud. Const. Hermeneutica Teor. Direito-RECHTD</t>
  </si>
  <si>
    <t>SEP-DEC</t>
  </si>
  <si>
    <t>10.4013/rechtd.2022.143.01</t>
  </si>
  <si>
    <t>Law</t>
  </si>
  <si>
    <t>Government &amp; Law</t>
  </si>
  <si>
    <t>P6OR6</t>
  </si>
  <si>
    <t>WOS:001051855000002</t>
  </si>
  <si>
    <t>Fernandes, N; Casteleiro-Pitrez, J</t>
  </si>
  <si>
    <t>Fernandes, Natacha; Casteleiro-Pitrez, Joana</t>
  </si>
  <si>
    <t>Augmented Reality in Portuguese Museums: A Grounded Theory Study on the Museum Professionals' Perspectives</t>
  </si>
  <si>
    <t>MULTIMODAL TECHNOLOGIES AND INTERACTION</t>
  </si>
  <si>
    <t>augmented reality; AR; museum; museology; museum professionals; Portuguese museums; AR museum experiences</t>
  </si>
  <si>
    <t>Augmented Reality (AR) is increasingly present in several fields, including the museological space, where the challenges of presenting objects interactively and attractively are constant, especially with the sociocultural changes of recent decades. Although there are numerous studies on AR in museums, the perspective of museum professionals on the technology still needs to be explored. Thus, in this study, we use a qualitative design and conduct in-depth interviews with professionals from 10 Portuguese museums involved in creating or applying AR within these environments. Applying the grounded theory, the researchers propose a framework to understand Portuguese museum professionals' practices, perceptions, and experiences with AR in museum environments. The findings allow the creation of a theoretical framework divided into four levels, namely the perceptions of museum professionals on the role and use of AR, the understanding of departments, museum teams, and digital strategies, the perceived challenges, limitations, and advantages in the use of augmented reality technologies, and the future perspectives of AR in museums. The theory resulting from this study may also contribute suggestions for the design and implementation of AR in museums, which both museum professionals and designers can use.</t>
  </si>
  <si>
    <t>[Fernandes, Natacha; Casteleiro-Pitrez, Joana] Univ Beira Interior, Fac Arts &amp; Letters, P-6201001 Covilha, Portugal</t>
  </si>
  <si>
    <t>Universidade da Beira Interior</t>
  </si>
  <si>
    <t>Casteleiro-Pitrez, J (corresponding author), Univ Beira Interior, Fac Arts &amp; Letters, P-6201001 Covilha, Portugal.</t>
  </si>
  <si>
    <t>natacha.mpf@gmail.com; joana.casteleiro.ferreira@ubi.pt</t>
  </si>
  <si>
    <t>The researchers would like to extend their gratitude to all the museum professionals who took part in this study, acknowledging their time, co-operation, and invaluable perspectives offered, allowing for the obtaining of essential information for the reali</t>
  </si>
  <si>
    <t>The researchers would like to extend their gratitude to all the museum professionals who took part in this study, acknowledging their time, co-operation, and invaluable perspectives offered, allowing for the obtaining of essential information for the realization of this work.</t>
  </si>
  <si>
    <t>2414-4088</t>
  </si>
  <si>
    <t>MULTIMODAL TECHNOLOG</t>
  </si>
  <si>
    <t>Multimodal Technol. Interaction</t>
  </si>
  <si>
    <t>10.3390/mti7090087</t>
  </si>
  <si>
    <t>Computer Science, Artificial Intelligence; Computer Science, Cybernetics; Computer Science, Information Systems</t>
  </si>
  <si>
    <t>Computer Science</t>
  </si>
  <si>
    <t>S6XY5</t>
  </si>
  <si>
    <t>WOS:001072589100001</t>
  </si>
  <si>
    <t>Li, RY; Zhang, KW; Li, SM; Zhang, Y; Tian, JX; Lu, ZC; Li, HQ; Wang, LY; Wan, XH; Zhang, FJ; Li, L; Jin, ZB; Wang, NL; Liu, HR</t>
  </si>
  <si>
    <t>Li, Ruyue; Zhang, Kaiwen; Li, Shi-Ming; Zhang, Yue; Tian, Jiaxin; Lu, Zhecheng; Li, Huiqi; Wang, Liyuan; Wan, Xiuhua; Zhang, Fengju; Li, Li; Jin, Zi-Bing; Wang, Ningli; Liu, Hanruo</t>
  </si>
  <si>
    <t>Implementing a digital comprehensive myopia prevention and control strategy for children and adolescents in China: a cost- effectiveness analysis</t>
  </si>
  <si>
    <t>LANCET REGIONAL HEALTH-WESTERN PACIFIC</t>
  </si>
  <si>
    <t>Myopia; Digital; Cost-effectiveness; Health education; Screening</t>
  </si>
  <si>
    <t>REFRACTIVE ERRORS; SCHOOL; SPECTACLES; EPIDEMIC; VISION</t>
  </si>
  <si>
    <t>Background Children and adolescents' myopia is a major public problem. Although the clinical effect of various interventions has been extensively studied, there is a lack of national-level and integral assessments to simultaneously quantify the economics and effectiveness of comprehensive myopia prevention and control programs. We aimed to compare the cost-effectiveness between traditional myopia prevention and control strategy, digital comprehensive myopia prevention and control strategy and school-based myopia screening program in China.Methods A Markov model was used to compare the cost-utility and cost-effectiveness among school-based myopia screening, traditional myopia prevention and control strategy, and digital comprehensive myopia prevention and control strategy among 6 to 18-year-old rural and urban schoolchildren. Parameters were collected from published sources. The primary outcomes were quality-adjusted life-year, disability-adjusted life-year, incremental cost-utility ratio, and incremental cost-effectiveness ratio. Extensive sensitivity analyses were performed to test the robustness and sensitivity of base-case analysis.Findings Compared with school-based myopia screening strategy, after implementing digital comprehensive myopia prevention and control strategy, the prevalence of myopia among 18-year-old students in rural and urban areas was reduced by 3.79% and 3.48%, respectively. The incremental cost-utility ratio per quality-adjusted life-year gained with the digital myopia management plan ($11,301 for rural setting, and $10,707 for urban setting) was less than 3 times the per capita gross domestic product in rural settings ($30,501) and less than 1 time the per capita gross domestic product in urban settings ($13,856). In cost-effectiveness analysis, the incremental cost-effectiveness ratio produced by digital comprehensive myopia management strategy ($37,446 and $41,814 per disability-adjusted life-year averted in rural and urban settings) slightly exceeded the cost-effectiveness threshold. When assuming perfect compliance, full coverage of outdoor activities and spectacles satisfied the cost-effectiveness threshold, and full coverage of outdoor activities produced the lowest cost ($321 for rural settings and $808 for urban settings).Interpretations Health economic evidence confirmed the cost-effectiveness of promoting digital comprehensive myopia prevention and control strategies for schoolchildren at the national level. Sufficient evidence provides an economic and public health reference for further action by governments, policy-makers and other myopia-endemic countries.</t>
  </si>
  <si>
    <t>[Jin, Zi-Bing; Wang, Ningli; Liu, Hanruo] Beijing Inst Ophthalmol, Beijing 100730, Peoples R China; [Li, Ruyue; Zhang, Kaiwen; Li, Shi-Ming; Zhang, Yue; Tian, Jiaxin; Lu, Zhecheng; Wan, Xiuhua; Zhang, Fengju; Jin, Zi-Bing; Wang, Ningli; Liu, Hanruo] Capital Med Univ, Beijing Tongren Eye Ctr, Beijing Tongren Hosp, Beijing 100730, Peoples R China; [Li, Huiqi; Wang, Ningli; Liu, Hanruo] Beijing Inst Technol, Sch Med Technol, Beijing 102488, Peoples R China; [Wang, Liyuan] Harbin Med Univ, Dept Ophthalmol, Harbin 150000, Peoples R China; [Li, Li] Capital Med Univ, Beijing Childrens Hosp, Dept Ophthalmol, Natl Key Discipline Pediat,Minist Educ, Beijing 100045, Peoples R China; [Wang, Ningli; Liu, Hanruo] Peking Univ, Natl Inst Hlth Data Sci, Beijing 100000, Peoples R China</t>
  </si>
  <si>
    <t>Capital Medical University; Beijing Institute of Technology; Harbin Medical University; Capital Medical University; Peking University</t>
  </si>
  <si>
    <t>Jin, ZB; Wang, NL; Liu, HR (corresponding author), Beijing Inst Ophthalmol, Beijing 100730, Peoples R China.</t>
  </si>
  <si>
    <t>jinzb502@ccmu.edu.cn; wningli@vip.163.com; hanruo.liu@hotmail.co.uk</t>
  </si>
  <si>
    <t>National Natural Science Foundation of China, NSFC [82171051, JQ20029, 2020-2-1081]; Beijing Natural Science Foundation [82071000]; Capital Health Research and Development of Special [8197030562]</t>
  </si>
  <si>
    <t>National Natural Science Foundation of China, NSFC(National Natural Science Foundation of China (NSFC)); Beijing Natural Science Foundation(Beijing Natural Science Foundation); Capital Health Research and Development of Special</t>
  </si>
  <si>
    <t>&amp; nbsp;National Natural Science Foundation of China, NSFC (82171051), Beijing Natural Science Foundation (JQ20029), Capital Health Research and Development of Special (2020-2-1081), National Natural Science Foundation of China, NSFC (82071000), National Natural Science Foundation of China, NSFC (8197030562).</t>
  </si>
  <si>
    <t>2666-6065</t>
  </si>
  <si>
    <t>LANCET REG HEALTH-W</t>
  </si>
  <si>
    <t>Lancet Reg. Health-W. Pac.</t>
  </si>
  <si>
    <t>10.1016/j.lanwpc.2023.100837</t>
  </si>
  <si>
    <t>Health Care Sciences &amp; Services; Public, Environmental &amp; Occupational Health</t>
  </si>
  <si>
    <t>Q5SN0</t>
  </si>
  <si>
    <t>gold, Green Published</t>
  </si>
  <si>
    <t>WOS:001058121000001</t>
  </si>
  <si>
    <t>Parrinello, S; Picchio, F</t>
  </si>
  <si>
    <t>Parrinello, Sandro; Picchio, Francesca</t>
  </si>
  <si>
    <t>Digital Strategies to Enhance Cultural Heritage Routes: From Integrated Survey to Digital Twins of Different European Architectural Scenarios</t>
  </si>
  <si>
    <t>DRONES</t>
  </si>
  <si>
    <t>integrated survey; digital documentation; UAVs; scan-to-BIM; digital twins; extended reality; cultural routes; interactive informative platform; H2020 Prometheus</t>
  </si>
  <si>
    <t>INFORMATION; PROTECTION; MANAGEMENT; MODELS; CITY; WEB</t>
  </si>
  <si>
    <t>This paper focuses on a research project for the acquisition and post-production of digital data to create informative virtual representations and digital twins of different European Cultural Heritage sites. The goal was to establish a reliable database for a multi-scalar web platform, also accessible through extended reality (XR) tools. This initiative aims to support the promotion and management of cultural and historical monuments within the context of European Cultural Routes supported by the Council of Europe. The project involves different case studies spanning European geographic regions, such as the Upper Kama in Russia, the Valencian Routes of Jaime I in Spain, and the Gdansk fortresses in Poland. The methodology employed in this effort primarily relies on integrated rapid survey techniques. Unmanned aerial vehicles (UAVs) and simultaneous localization and mapping (SLAM) technologies were used for data collection. These methods contribute to the creation of accurate 3D databases and models that transform the cultural routes into a digital format accessible via an informative platform. The actions presented in this paper are part of the European project PROMETHEUS, which is funded by the Horizon 2020 program of the European Union. The project involves collaboration between universities and enterprises, fostering inter-sectoral cooperation. Various techniques such as photographic archives, census analysis, and scan-to-BIM (building information modeling) processes are employed to develop this method further. In fact, the ultimate goal of the project is to establish a framework that can be replicated in other cultural contexts, enhancing the digital documentation and valorization of heritage sites.</t>
  </si>
  <si>
    <t>[Parrinello, Sandro] Univ Florence, Dept Architecture, I-50121 Florence, Italy; [Picchio, Francesca] Univ Pavia, Dept Civil Engn &amp; Architecture, I-27100 Pavia, Italy</t>
  </si>
  <si>
    <t>University of Florence; University of Pavia</t>
  </si>
  <si>
    <t>Picchio, F (corresponding author), Univ Pavia, Dept Civil Engn &amp; Architecture, I-27100 Pavia, Italy.</t>
  </si>
  <si>
    <t>sandro.parrinello@unifi.it; francesca.picchio@unipv.it</t>
  </si>
  <si>
    <t>The study is strictly linked to and supported by the research project entitled: Prometheus: PROtocols for information Models librariEs Tested on HEritage of Upper Kama Sites-a project for the documentation of the architectural heritage of the monuments w [2022, 2023]</t>
  </si>
  <si>
    <t>The study is strictly linked to and supported by the research project entitled: Prometheus: PROtocols for information Models librariEs Tested on HEritage of Upper Kama Sites-a project for the documentation of the architectural heritage of the monuments w</t>
  </si>
  <si>
    <t>The study is strictly linked to and supported by the research project entitled: Prometheus: PROtocols for information Models librariEs Tested on HEritage of Upper Kama Sites-a project for the documentation of the architectural heritage of the monuments within Cultural Heritage Routes. Part of the work has been developed inside International Summer schools, coordinated by University of Pavia, in Russia (2019), Spain (2022), Poland (2023). They have seen professors, researchers, experts, and students from different universities involved participate in the development of digital strategies to build digital twins of cultural heritage.</t>
  </si>
  <si>
    <t>2504-446X</t>
  </si>
  <si>
    <t>DRONES-BASEL</t>
  </si>
  <si>
    <t>Drones-Basel</t>
  </si>
  <si>
    <t>10.3390/drones7090576</t>
  </si>
  <si>
    <t>Remote Sensing</t>
  </si>
  <si>
    <t>S9TC1</t>
  </si>
  <si>
    <t>WOS:001074507600001</t>
  </si>
  <si>
    <t>Qi, PP; Xu, C; Wang, Q</t>
  </si>
  <si>
    <t>Qi, Peipei; Xu, Can; Wang, Qi</t>
  </si>
  <si>
    <t>What Determines the Digital Transformation of SRDI Enterprises?-A Study of the TOE Framework-Based Configuration</t>
  </si>
  <si>
    <t>SRDI enterprises; digital transformation; TOE framework; fsQCA</t>
  </si>
  <si>
    <t>SRDI enterprises are a strong engine for the high-quality development of the economy and an important implementation body for the construction of a strong digital country. With the booming development of digital economy, digital transformation is one of the effective paths to empower the high-quality development of small and medium-sized enterprises. However, the digital transformation of SRDI enterprises is not a simple stacked combination of elements, but rather a complex linkage system that contains many conditional elements. The cracking of the digital transformation of SRDI enterprises urgently needs to be explored by the academic community. In order to analyze the key success factors of digital transformation in SRDI enterprises, to determine whether individual elements constitute the necessary conditions for the digital transformation of an enterprise, and to explore which antecedent configurations are more conducive to the success of an enterprise's digital transformation, this study takes 39 SRDI enterprises in Zhejiang Province as samples and uses the Fuzzy Set Qualitative Comparative Analysis (fsQCA) method. Based on the technology-organization-environment framework, it examines the digital transformation path of SRDI enterprises from a configurational perspective. The following results were found in this study: the group patterns leading to high levels of digital transformation can be divided into the following four types: organization-environment linkage, pressure-strategy synergy, organization-led, and total-factor-driven. The group patterns leading to low levels of digital transformation can be divided into the following four types: total-factor-deficient, single-technology type, technology-biased, and organization-deficient. A digital strategy is an important condition for SRDI enterprises to realize high-level digital transformation, and the external environmental influences contribute to the realization of digital transformation and upgrading of enterprises, with the pressure of industry competition being more critical.</t>
  </si>
  <si>
    <t>[Qi, Peipei; Xu, Can] Ningbo Univ Finance &amp; Econ, Coll Wealth Management, Ningbo 315175, Peoples R China; [Wang, Qi] NingboTech Univ, Sch Mechatron &amp; Energy Engn, Ningbo 315100, Peoples R China</t>
  </si>
  <si>
    <t>Ningbo University of Finance &amp; Economics; NingboTech University</t>
  </si>
  <si>
    <t>Wang, Q (corresponding author), NingboTech Univ, Sch Mechatron &amp; Energy Engn, Ningbo 315100, Peoples R China.</t>
  </si>
  <si>
    <t>qipeipei@nbufe.edu.cn; wq001115@126.com</t>
  </si>
  <si>
    <t>We are very grateful to all of the editors and anonymous reviewers.</t>
  </si>
  <si>
    <t>10.3390/su151813607</t>
  </si>
  <si>
    <t>S6NL9</t>
  </si>
  <si>
    <t>WOS:001072309400001</t>
  </si>
  <si>
    <t>Wang, HJ; Jiao, SP; Bu, K; Wang, YB; Wang, YX</t>
  </si>
  <si>
    <t>Wang, Haijun; Jiao, Shuaipeng; Bu, Kun; Wang, Yebin; Wang, Yaxian</t>
  </si>
  <si>
    <t>Digital transformation and manufacturing companies' ESG responsibility performance</t>
  </si>
  <si>
    <t>FINANCE RESEARCH LETTERS</t>
  </si>
  <si>
    <t>Digital transformation; ESG responsibility performance; Manufacturing companies; Digital strategy</t>
  </si>
  <si>
    <t>Digital transformation improves the efficiency and perception of companies. This paper investigates the impact of digital transformation in improving the environmental, social, and governance (ESG) responsibility performance of manufacturing companies in China. The results show that digital transformation can significantly improve manufacturing companies' ESG responsibility performance. Every 1% increase in the degree of digital transformation will improve the ESG responsibility performance of manufacturing companies by 0.124%. Among the digital transformation techniques, digital strategy plays a more significant role than digital technology in improving manufacturing companies' ESG responsibility performance. Total factor productivity, information transparency and investor stickiness moderate how digital transformation affects manufacturing companies' ESG responsibility performance. The findings of this paper enrich and expand the research on the effects of digital transformation on manufacturing companies and provide a novel perspective to accelerate the progress of manufacturing companies worldwide in fulfilling ESG responsibilities and achieving global carbon emission reduction targets.</t>
  </si>
  <si>
    <t>[Wang, Haijun; Jiao, Shuaipeng; Wang, Yaxian] Beijing Wuzi Univ, Sch Econ, Beijing 101149, Peoples R China; [Bu, Kun] State Grid Beijing Elect Power Co, Mkt Dept, Beijing 100176, Peoples R China; [Wang, Yebin] Guangxi Univ Finance &amp; Econ, Sch Econ &amp; Trade, Nanning 53000, Guangxi, Peoples R China</t>
  </si>
  <si>
    <t>Beijing Wuzi University; State Grid Corporation of China; Guangxi University of Finance &amp; Economics</t>
  </si>
  <si>
    <t>Wang, YX (corresponding author), Beijing Wuzi Univ, Sch Econ, Beijing 101149, Peoples R China.</t>
  </si>
  <si>
    <t>wangyaxian@buw.edu.cn</t>
  </si>
  <si>
    <t>Wang, Haijun/0000-0002-3240-0469</t>
  </si>
  <si>
    <t>Project of Cultivation for young top -motch Talents of Beijing Municipal Institutions [BPHR202203158]</t>
  </si>
  <si>
    <t>Project of Cultivation for young top -motch Talents of Beijing Municipal Institutions</t>
  </si>
  <si>
    <t>Funding This work was supported by The Project of Cultivation for young top -motch Talents of Beijing Municipal Institutions (No: BPHR202203158) .</t>
  </si>
  <si>
    <t>1544-6123</t>
  </si>
  <si>
    <t>1544-6131</t>
  </si>
  <si>
    <t>FINANC RES LETT</t>
  </si>
  <si>
    <t>Financ. Res. Lett.</t>
  </si>
  <si>
    <t>DEC</t>
  </si>
  <si>
    <t>B</t>
  </si>
  <si>
    <t>10.1016/j.frl.2023.104370</t>
  </si>
  <si>
    <t>Business, Finance</t>
  </si>
  <si>
    <t>S4HA7</t>
  </si>
  <si>
    <t>WOS:001070782700001</t>
  </si>
  <si>
    <t>Ribeiro-Navarrete, B; López-Cabarcos, MA; Piñeiro-Chousa, J; Simón-Moya, V</t>
  </si>
  <si>
    <t>Ribeiro-Navarrete, Belen; Lopez-Cabarcos, M. Angeles; Pineiro-Chousa, Juan; Simon-Moya, Virginia</t>
  </si>
  <si>
    <t>The moment is now! From digital transformation to environmental performance</t>
  </si>
  <si>
    <t>VENTURE CAPITAL</t>
  </si>
  <si>
    <t>Digital transformation; digital vision; digital orientation; digital strategy; transformation management intensity; digital management and departmental agility; environmental performance</t>
  </si>
  <si>
    <t>INFORMATION-TECHNOLOGY CAPABILITY; INDUSTRY 4.0 TECHNOLOGIES; RESOURCE-BASED VIEW; MARKET ORIENTATION; COMPETITIVE ADVANTAGE; SUSTAINABLE DEVELOPMENT; DYNAMIC CAPABILITIES; EMPIRICAL-ANALYSIS; STRATEGIC AGILITY; FIRM PERFORMANCE</t>
  </si>
  <si>
    <t>Technological development has experienced exponential growth in recent years, giving rise to important digital transformation processes at the company level. In order to ensure that these digital transformation processes achieve the desired results, it is essential to draw a strategic roadmap of the processes from vision to implementation. This implies combining design and management activities with thought and action abilities. Digital transformation, always complex, becomes less certain and more interesting when considering results related to environmental issues. This study aims to analyze how the combined effect of five variables (digital vision, digital orientation, digital strategy, transformation management intensity, digital management and departmental agility) - related to digital transformation and categorized as design, management, thought and action - lead to environmental performance. The study uses a sample of agro-industrial cooperatives and fuzzy-set qualitative comparative analysis. The results of the necessity and sufficiency analysis indicate that some of the design variables (especially digital vision and digital strategy) need to be present to lead to environmental performance. Likewise, the absence of the two management variables (especially digital management transformation) leads to the absence of environmental performance. The paper demonstrates the need to combine design and management activities and thought and action abilities to lead to the presence of environmental performance.</t>
  </si>
  <si>
    <t>[Ribeiro-Navarrete, Belen] Univ Valencia, IUDESCOOP, Valencia, Spain; [Lopez-Cabarcos, M. Angeles] Santiago de Compostela Univ, Business Adm Dept, Lugo, Spain; [Pineiro-Chousa, Juan] Santiago de Compostela Univ, Accounting &amp; Finance Dept, Lugo, Spain; [Simon-Moya, Virginia] Univ Valencia, Business Adm Dept, Valencia, Spain; [Lopez-Cabarcos, M. Angeles] Santiago de Compostela Univ, Business Adm Fac, Avda Alfonso X El Sabio S-N, Lugo 27002, Spain</t>
  </si>
  <si>
    <t>University of Valencia; Universidade de Santiago de Compostela; Universidade de Santiago de Compostela; University of Valencia; Universidade de Santiago de Compostela</t>
  </si>
  <si>
    <t>López-Cabarcos, MA (corresponding author), Santiago de Compostela Univ, Business Adm Fac, Avda Alfonso X El Sabio S-N, Lugo 27002, Spain.</t>
  </si>
  <si>
    <t>ROUTLEDGE JOURNALS, TAYLOR &amp; FRANCIS LTD</t>
  </si>
  <si>
    <t>ABINGDON</t>
  </si>
  <si>
    <t>2-4 PARK SQUARE, MILTON PARK, ABINGDON OX14 4RN, OXON, ENGLAND</t>
  </si>
  <si>
    <t>1369-1066</t>
  </si>
  <si>
    <t>1464-5343</t>
  </si>
  <si>
    <t>VENTUR CAP</t>
  </si>
  <si>
    <t>Ventur. Cap.</t>
  </si>
  <si>
    <t>2023 AUG 28</t>
  </si>
  <si>
    <t>10.1080/13691066.2023.2249231</t>
  </si>
  <si>
    <t>AUG 2023</t>
  </si>
  <si>
    <t>Q8ZH8</t>
  </si>
  <si>
    <t>WOS:001060341700001</t>
  </si>
  <si>
    <t>Erjavec, J; Stemberger, MI; Jaklic, J</t>
  </si>
  <si>
    <t>Erjavec, Jure; Stemberger, Mojca Indihar; Jaklic, Jurij</t>
  </si>
  <si>
    <t>How to Develop Organizational Forms for a Successful Digital Transformation? Findings from Two Case Studies</t>
  </si>
  <si>
    <t>JOURNAL OF THE KNOWLEDGE ECONOMY</t>
  </si>
  <si>
    <t>Digital transformation; Organizational form; Digital transformation actions; Influence factors; Dynamic capabilities; Case study</t>
  </si>
  <si>
    <t>DYNAMIC CAPABILITIES; FIRM PERFORMANCE; STRATEGY; INNOVATION; OFFICERS; IMPACT; MODEL; KEY</t>
  </si>
  <si>
    <t>Previous research has increased our understanding of individual digital transformation (DT) activities, roles, responsibilities, and related dilemmas, yet a comprehensive insight is missing with respect to the organizational forms that are most appropriate for developing the capabilities needed for successful DT. The purpose of this paper is to identify the main organizational characteristics and organizational forms for a successful DT and to identify influential factors that impact decisions about suitable organizational forms. Drawing on two case studies, we look at how companies can develop digital capabilities through different configurations of organizational forms. Findings show that decisions on organizational forms have to be influenced by digital culture, IT department's role, and the goals of DT. Moreover, top management leadership is more important than a formal digital strategy, and DT projects must be executed by coordinated interdisciplinary teams. The presented research offers a comprehensive insight on how companies can develop digital capabilities that enable a successful DT by developing their organizational forms, i.e., by combining the different DT actions, actors, their roles and responsibilities, their interplay, implementing DT strategies, and combining the design of digital software solutions with the design of organizational routines and practices.</t>
  </si>
  <si>
    <t>[Erjavec, Jure; Stemberger, Mojca Indihar; Jaklic, Jurij] Univ Ljubljana, Sch Econ &amp; Business, Kardeljeva Ploscad 17, Ljubljana 1000, Slovenia</t>
  </si>
  <si>
    <t>University of Ljubljana</t>
  </si>
  <si>
    <t>Erjavec, J (corresponding author), Univ Ljubljana, Sch Econ &amp; Business, Kardeljeva Ploscad 17, Ljubljana 1000, Slovenia.</t>
  </si>
  <si>
    <t>jure.erjavec@ef.uni-lj.si; mojca.stemberger@ef.uni-lj.si; jurij.jaklic@ef.uni-lj.si</t>
  </si>
  <si>
    <t>1868-7865</t>
  </si>
  <si>
    <t>1868-7873</t>
  </si>
  <si>
    <t>J KNOWL ECON</t>
  </si>
  <si>
    <t>J. Knowl. Econ.</t>
  </si>
  <si>
    <t>2023 AUG 23</t>
  </si>
  <si>
    <t>10.1007/s13132-023-01479-3</t>
  </si>
  <si>
    <t>Economics</t>
  </si>
  <si>
    <t>T6XT5</t>
  </si>
  <si>
    <t>WOS:001079400900002</t>
  </si>
  <si>
    <t>Negash, YT; Sarmiento, LSC; Tseng, SW; Lim, MK; Tseng, ML</t>
  </si>
  <si>
    <t>Negash, Yeneneh Tamirat; Sarmiento, Liria Salome Calahorrano; Tseng, Shuan-Wei; Lim, Ming K.; Tseng, Ming-Lang</t>
  </si>
  <si>
    <t>A circular waste bioeconomy development model in the Ecuadorian fishery industry: the impact of government strategy on supply chain integration and smart operations</t>
  </si>
  <si>
    <t>ENVIRONMENTAL SCIENCE AND POLLUTION RESEARCH</t>
  </si>
  <si>
    <t>Circular waste bioeconomy; Supply chain integration; Smart operations; Government strategies; Fuzzy Delphi method; Fuzzy decision-making trial and evaluation laboratory</t>
  </si>
  <si>
    <t>PERFORMANCE; TECHNOLOGY</t>
  </si>
  <si>
    <t>This study develops a set of measures to address the interrelationship among circular waste-based bioeconomy (CWBE) attributes, including those of government strategy, digital collaboration, supply chain integration, smart operations, and a green supply chain, to build a circular bioeconomy that feeds fish waste back into the economy. CWBE development is a potential solution to the problem of waste reuse in the fish supply chain; however, this potential remains untapped, and prior studies have failed to provide the criteria to guide its practices. Such an analytical framework requires qualitative assessment, which is subject to uncertainty due to the linguistic preferences of decision makers. Hence, this study adopts the fuzzy Delphi method to obtain a valid set of attributes. A fuzzy decision-making trial and evaluation was applied to address the attribute relationships and determine the driving criteria of CWBE development. The results showed that government strategies play a causal role in CWBE development and drive digital collaboration, smart operations, and supply chain integration. The findings also indicated that smart manufacturing technology, organizational policies, market enhancement, supply chain analytics, and operational innovation are drivers of waste integration from fisheries into the circular economy through waste-based bioeconomy processes.</t>
  </si>
  <si>
    <t>[Negash, Yeneneh Tamirat] Asia Univ, Dept Business Adm, Taichung, Taiwan; [Negash, Yeneneh Tamirat; Tseng, Ming-Lang] Asia Univ, Inst Innovat &amp; Circular Econ, Taichung, Taiwan; [Sarmiento, Liria Salome Calahorrano] Univ Amer, Quito 170125, Ecuador; [Tseng, Shuan-Wei] Wuhan Univ, Sch Phys &amp; Technol, Wuhan, Peoples R China; [Lim, Ming K.] Univ Glasgow, Adam Smith Business Sch, Glasgow, Scotland; [Tseng, Ming-Lang] China Med Univ, China Med Univ Hosp, Dept Med Res, Taichung, Taiwan; [Tseng, Ming-Lang] Univ Kebangsaan Malaysia, UKM Grad Sch Business, Bangi 43000, Selangor, Malaysia</t>
  </si>
  <si>
    <t>Asia University Taiwan; Asia University Taiwan; Universidad de Las Americas - Ecuador; Wuhan University; University of Glasgow; China Medical University Taiwan; China Medical University Hospital - Taiwan; Universiti Kebangsaan Malaysia</t>
  </si>
  <si>
    <t>Tseng, ML (corresponding author), Asia Univ, Inst Innovat &amp; Circular Econ, Taichung, Taiwan.;Tseng, ML (corresponding author), China Med Univ, China Med Univ Hosp, Dept Med Res, Taichung, Taiwan.;Tseng, ML (corresponding author), Univ Kebangsaan Malaysia, UKM Grad Sch Business, Bangi 43000, Selangor, Malaysia.</t>
  </si>
  <si>
    <t>yeneneh@asia.edu.tw; liria.calahorrano@gmail.com; AndreatsengAx0104@outlook.com; Ming.Lim@glasgow.ac.uk; tsengminglang@gmail.com</t>
  </si>
  <si>
    <t>Tseng, Ming Lang/M-9051-2014</t>
  </si>
  <si>
    <t>Tseng, Ming Lang/0000-0002-2702-3590</t>
  </si>
  <si>
    <t>MOST [111-2221-E-468-009 -MY3]; Ministry of Science and Technology, Taiwan</t>
  </si>
  <si>
    <t>MOST; Ministry of Science and Technology, Taiwan(Ministry of Science and Technology, Taiwan)</t>
  </si>
  <si>
    <t>This study was partially supported by MOST 111-2221-E-468-009 -MY3, Ministry of Science and Technology, Taiwan.</t>
  </si>
  <si>
    <t>0944-1344</t>
  </si>
  <si>
    <t>1614-7499</t>
  </si>
  <si>
    <t>ENVIRON SCI POLLUT R</t>
  </si>
  <si>
    <t>Environ. Sci. Pollut. Res.</t>
  </si>
  <si>
    <t>10.1007/s11356-023-29333-8</t>
  </si>
  <si>
    <t>Environmental Sciences</t>
  </si>
  <si>
    <t>Environmental Sciences &amp; Ecology</t>
  </si>
  <si>
    <t>R7ZT1</t>
  </si>
  <si>
    <t>WOS:001052843500011</t>
  </si>
  <si>
    <t>Calzati, S; Van Loenen, B</t>
  </si>
  <si>
    <t>Calzati, Stefano; Van Loenen, Bastiaan</t>
  </si>
  <si>
    <t>Beyond federated data: a data commoning proposition for the EU's citizen-centric digital strategy</t>
  </si>
  <si>
    <t>AI &amp; SOCIETY</t>
  </si>
  <si>
    <t>EU digital strategy; Citizen-centric; Data governance; Federated data; Digital single market; Data commons</t>
  </si>
  <si>
    <t>GOVERNMENT; CITIES</t>
  </si>
  <si>
    <t>In various official documents, the European Union has declared its goal to pursue a citizen-centric governance of digital transformation. Through a critical review of several of these documents, here we show how citizen-centric is more a glamouring than a driving concept. De facto, the EU is enabling a federated data system that is corporate-driven, economic-oriented, and GDPR-compliant; in other words, a Digital Single Market (DSM). This leaves out societal and collective-level dimensions of digital transformation-such as social inclusion, digital sovereignty, and environmental sustainability-which are acknowledged, but not operationalized, by the EU as pillars of a citizen-centric governance. Hence, the door is open to a complementary approach to the governance of digital transformation. We argue that, while a federated data model can constitute the tech-legal backbone of the emerging DSM, a commoning of data, as an ecosystemic approach that maintains a societal and collective outlook by default, can represent a complement to enact a truly citizen-centric governance.</t>
  </si>
  <si>
    <t>[Calzati, Stefano; Van Loenen, Bastiaan] Delft Univ Technol, Dept Urbanism, Urban Data Sci Sect, Delft, Netherlands</t>
  </si>
  <si>
    <t>Delft University of Technology</t>
  </si>
  <si>
    <t>Calzati, S (corresponding author), Delft Univ Technol, Dept Urbanism, Urban Data Sci Sect, Delft, Netherlands.</t>
  </si>
  <si>
    <t>s.calzati@tudelft.nl</t>
  </si>
  <si>
    <t>van Loenen, Bastiaan/0000-0001-8847-6334</t>
  </si>
  <si>
    <t>0951-5666</t>
  </si>
  <si>
    <t>1435-5655</t>
  </si>
  <si>
    <t>AI SOC</t>
  </si>
  <si>
    <t>AI Soc.</t>
  </si>
  <si>
    <t>2023 AUG 21</t>
  </si>
  <si>
    <t>10.1007/s00146-023-01743-9</t>
  </si>
  <si>
    <t>Computer Science, Artificial Intelligence</t>
  </si>
  <si>
    <t>P6UR9</t>
  </si>
  <si>
    <t>WOS:001052011900001</t>
  </si>
  <si>
    <t>Sharon, T; Gellert, R</t>
  </si>
  <si>
    <t>Sharon, Tamar; Gellert, Raphael</t>
  </si>
  <si>
    <t>Regulating Big Tech expansionism? Sphere transgressions and the limits of Europe's digital regulatory strategy</t>
  </si>
  <si>
    <t>INFORMATION COMMUNICATION &amp; SOCIETY</t>
  </si>
  <si>
    <t>Big Tech expansionism; sphere transgressions; EU digital regulatory strategy; technology regulation; &gt;</t>
  </si>
  <si>
    <t>The increasing power of Big Tech is a growing concern for regulators globally. The European Union has positioned itself as a leader in the stride to contain this expansionism; first with the GDPR and recently with a series of proposals including the DMA, the DSA, the AI Act, and others. In this paper we analyse if these instruments sufficiently address the risks raised by Big Tech expansionism. We argue that when this phenomenon is understood in terms of 'sphere transgressions' - i.e., conversions of advantages based on digital expertise into advantages in other spheres of society - Europe's digital regulatory strategy falls short. In particular, seen through the lens of sphere transgressions, Big Tech expansionism raises three risks in addition to well-known privacy and data protection risks, which this regulatory strategy does not properly address. These are: non-equitable returns to the public sector; the reshaping of sectors in line with the interests of technology firms; and new dependencies on technology firms for the provision of basic goods. Our analysis shows that this mismatch may be inherent to Europe's digital strategy, insofar as it focusses on data protection - while data is not always at stake in sphere transgressions; on political and civil rights - while socio-economic rights may be more at risk; and on fair markets - while the sectors being transgressed into by Big Tech, such as health and education, are not markets that require fairer competition, but societal spheres which need protection from market (and digital) logics.</t>
  </si>
  <si>
    <t>[Sharon, Tamar] Radboud Univ Nijmegen, Dept Ethics &amp; Polit Philosophy, Nijmegen, Netherlands; [Sharon, Tamar; Gellert, Raphael] Radboud Univ Nijmegen, Interdisciplinary Hub Digitalizat &amp; Soc, Nijmegen, Netherlands; [Gellert, Raphael] Radboud Univ Nijmegen, Dept Private Law, Nijmegen, Netherlands; [Sharon, Tamar] Radboud Univ Nijmegen, Dept Ethics &amp; Polit Philosophy, Erasmuspl 1, NL-6525 HT Nijmegen, Netherlands; [Sharon, Tamar] Radboud Univ Nijmegen, Interdisciplinary Hub Digitalizat &amp; Soc, Erasmuspl 1, NL-6525 HT Nijmegen, Netherlands</t>
  </si>
  <si>
    <t>Radboud University Nijmegen; Radboud University Nijmegen; Radboud University Nijmegen; Radboud University Nijmegen; Radboud University Nijmegen</t>
  </si>
  <si>
    <t>Sharon, T (corresponding author), Radboud Univ Nijmegen, Dept Ethics &amp; Polit Philosophy, Erasmuspl 1, NL-6525 HT Nijmegen, Netherlands.;Sharon, T (corresponding author), Radboud Univ Nijmegen, Interdisciplinary Hub Digitalizat &amp; Soc, Erasmuspl 1, NL-6525 HT Nijmegen, Netherlands.</t>
  </si>
  <si>
    <t>tamar.sharon@ru.nl</t>
  </si>
  <si>
    <t>European Research Council [804985]; European Research Council (ERC) [804985] Funding Source: European Research Council (ERC)</t>
  </si>
  <si>
    <t>European Research Council(European Research Council (ERC)); European Research Council (ERC)(European Research Council (ERC)Spanish Government)</t>
  </si>
  <si>
    <t>This work was supported in part by the European Research Council under Grant number 804985.</t>
  </si>
  <si>
    <t>1369-118X</t>
  </si>
  <si>
    <t>1468-4462</t>
  </si>
  <si>
    <t>INFORM COMMUN SOC</t>
  </si>
  <si>
    <t>Info. Commun. Soc.</t>
  </si>
  <si>
    <t>2023 AUG 17</t>
  </si>
  <si>
    <t>10.1080/1369118X.2023.2246526</t>
  </si>
  <si>
    <t>Communication; Sociology</t>
  </si>
  <si>
    <t>P2QL5</t>
  </si>
  <si>
    <t>WOS:001049136200001</t>
  </si>
  <si>
    <t>Raja, M; Kymre, IG; Bjerkan, J; Galvin, KT; Uhrenfeldt, L</t>
  </si>
  <si>
    <t>Raja, Moonika; Kymre, Ingjerd G.; Bjerkan, Jorunn; Galvin, Kathleen T.; Uhrenfeldt, Lisbeth</t>
  </si>
  <si>
    <t>National digital strategies and innovative eHealth policies concerning older adults' dignity: a document analysis in three Scandinavian countries</t>
  </si>
  <si>
    <t>BMC HEALTH SERVICES RESEARCH</t>
  </si>
  <si>
    <t>Digital strategies; Dignity; Document analysis; eHealth; Older adults; Qualitative</t>
  </si>
  <si>
    <t>HEALTH-CARE</t>
  </si>
  <si>
    <t>BackgroundScandinavian countries are internationally recognised for leading the way in older adult care and in digitally transforming healthcare. Dignity has become a central value in care for older adults in all three Scandinavian countries. Investigating documents about digitalisation in these countries can offer insights into how the dignity of older adults is impacted by digitally transforming healthcare. This study aims to provide knowledge about digital strategies and eHealth policies concerning older adults' dignity in three Scandinavian countries: Norway, Sweden and Denmark.MethodsNational-level documents by the Norwegian Directorate of eHealth, the Norwegian Directorate of Health, the Swedish Ministry of Health and Social Affairs and the Danish Ministry of Health concerning older adults were used as data sources. In addition, a systematic search of databases, informed by the Joanna Briggs Institute framework for systematic reviews of text and opinion papers, was undertaken to find relevant papers. All extracts concerning national digital strategies or innovative eHealth policies were deductively coded. Thereafter, extracts concerning older adults were inductively coded using a thematic analytic approach.ResultsA total of 26 sources satisfied the inclusion criteria, 14 governmental papers and 12 other papers. The three countries' national digital strategies focused on access to digital technologies and continuous learning for digital skills. The included papers describing national eHealth policies underlined the importance of placing the patient at the centre of healthcare and how digital systems can increase feelings of safety. Both types of documents concerned access to data, digital device security and the human dimension of care.ConclusionThe findings present evidence on Scandinavian countries' national digital strategies and innovative eHealth policies concerning older adults' dignity. The documents describe a lack of digital competence among older adults, resulting disengagement may put their well-being and human dignity at risk. Findings also underline the importance of security and at the same time the human dimension of care: Use of new digital systems must be meaningfully integrated into digital strategies and eHealth policies. All three Scandinavian countries strategies and policies underline the importance of equal access to healthcare services, as thus they promote a stance of dignified care.</t>
  </si>
  <si>
    <t>[Raja, Moonika; Kymre, Ingjerd G.; Uhrenfeldt, Lisbeth] Nord Univ, Fac Nursing &amp; Hlth Sci, Bodo, Norway; [Bjerkan, Jorunn] Nord Univ, Fac Nursing &amp; Hlth Sci, Levanger, Norway; [Galvin, Kathleen T.] Univ Brighton, Sch Sport &amp; Hlth Sci, Brighton, England; [Uhrenfeldt, Lisbeth] Kolding Cty Hosp, Ortoped Surg, Kolding, Denmark; [Uhrenfeldt, Lisbeth] Southern Danish Univ, Inst Reg Hlth Res, Odense, Denmark</t>
  </si>
  <si>
    <t>Nord University; Nord University; University of Brighton; Kolding Hospital; University of Southern Denmark</t>
  </si>
  <si>
    <t>Raja, M (corresponding author), Nord Univ, Fac Nursing &amp; Hlth Sci, Bodo, Norway.</t>
  </si>
  <si>
    <t>moonika.raja@nord.no</t>
  </si>
  <si>
    <t>Mondaca Gómez, Katherine/JED-5127-2023</t>
  </si>
  <si>
    <t>European Union [813928]</t>
  </si>
  <si>
    <t>European Union(European Union (EU))</t>
  </si>
  <si>
    <t>This project has received funding from the European Union's Horizon 2020 research and innovation programme under grant No. 813928</t>
  </si>
  <si>
    <t>1472-6963</t>
  </si>
  <si>
    <t>BMC HEALTH SERV RES</t>
  </si>
  <si>
    <t>BMC Health Serv. Res.</t>
  </si>
  <si>
    <t>AUG 10</t>
  </si>
  <si>
    <t>10.1186/s12913-023-09867-w</t>
  </si>
  <si>
    <t>Health Care Sciences &amp; Services</t>
  </si>
  <si>
    <t>P1YO5</t>
  </si>
  <si>
    <t>Green Published, gold</t>
  </si>
  <si>
    <t>WOS:001048669500004</t>
  </si>
  <si>
    <t>Lee, HYW</t>
  </si>
  <si>
    <t>Lee, Hyewon</t>
  </si>
  <si>
    <t>The Dual Strategy for Textile and Fashion Production Using Clothing Waste</t>
  </si>
  <si>
    <t>dual strategy; clothing waste; sustainable process; circular fashion</t>
  </si>
  <si>
    <t>SUSTAINABILITY; DISPOSAL</t>
  </si>
  <si>
    <t>This study aims to utilize a dual physical and digital strategy for the completion of a process that achieves two goals: the treatment of large amounts of clothing waste and the development of materials and products. This study expands the author's previous research on the feasibility of using clothing waste as a textile material and the development of weaving methods. The processes of material analysis, design, material development, and product production for clothing waste were connected by the dual strategy. The project was conducted by three groups of designers for ten months and evaluated by ten experts. A total of eighteen digital products were developed, including three physical products and one digital twin. Digital and physical models were dressed and subjected to objective and in-depth evaluations by experts. The experts determined that the match rate between the physical products and digital twins was over 90% and that each process step was conducted appropriately. The process was also deemed applicable for 50% of the industrial sector and 80% of the education sector. Therefore, this study connected the quantitative disposal of garment waste to the qualitative design and production of new material, introducing a new process strategy to maintain sustainability in the fashion industry.</t>
  </si>
  <si>
    <t>[Lee, Hyewon] Catholic Univ Korea, Dept Clothing &amp; Text, Bucheon 14662, South Korea</t>
  </si>
  <si>
    <t>Catholic University of Korea</t>
  </si>
  <si>
    <t>Lee, HYW (corresponding author), Catholic Univ Korea, Dept Clothing &amp; Text, Bucheon 14662, South Korea.</t>
  </si>
  <si>
    <t>hyewonlee@catholic.ac.kr</t>
  </si>
  <si>
    <t>AUG</t>
  </si>
  <si>
    <t>10.3390/su151511509</t>
  </si>
  <si>
    <t>O7RU8</t>
  </si>
  <si>
    <t>WOS:001045747500001</t>
  </si>
  <si>
    <t>Plombon, S; Rudin, RS; Flores, JS; Goolkasian, G; Sousa, J; Rodriguez, J; Lipsitz, S; Foer, D; Dalal, AK</t>
  </si>
  <si>
    <t>Plombon, Savanna; Rudin, Robert S.; Flores, Jorge Sulca; Goolkasian, Gillian; Sousa, Jessica; Rodriguez, Jorge; Lipsitz, Stuart; Foer, Dinah; Dalal, Anuj K.</t>
  </si>
  <si>
    <t>Assessing Equitable Recruitment in a Digital Health Trial for Asthma</t>
  </si>
  <si>
    <t>APPLIED CLINICAL INFORMATICS</t>
  </si>
  <si>
    <t>asthma; electronic health records; patient portal; health equity; human</t>
  </si>
  <si>
    <t>PATIENT; OUTCOMES; COMMUNITY; VISITS</t>
  </si>
  <si>
    <t>Objective This study aimed to assess a multipronged strategy using primarily digital methods to equitably recruit asthma patients into a clinical trial of a digital health intervention.Methods We approached eligible patients using at least one of eight recruitment strategies. We recorded approach dates and the strategy that led to completion of a web-based eligibility questionnaire that was reported during the verbal consent phone call. Study team members conducted monthly sessions using a structured guide to identify recruitment barriers and facilitators. The proportion of participants who reported being recruited by a portal or nonportal strategy was measured as our outcomes. We used Fisher's exact test to compare outcomes by equity variable, and multivariable logistic regression to control for each covariate and adjust effect size estimates. Using grounded theory, we coded and extracted themes regarding recruitment barriers and facilitators.Results The majority (84.4%) of patients who met study inclusion criteria were patient portal enrollees. Of 6,366 eligible patients who were approached, 627 completed the eligibility questionnaire and were less frequently Hispanic, less frequently Spanish-speaking, and more frequently patient portal enrollees. Of 445 patients who consented to participate, 241 (54.2%) reported completing the eligibility questionnaire after being contacted by a patient portal message. In adjusted analysis, only race (odds ratio [OR]: 0.46, 95% confidence interval [CI]: 0.28-0.77, p = 0.003) and college education (OR: 0.60, 95% CI: 0.39-0.91, p = 0.016) remained significant. Key recruitment barriers included technology issues (e.g., lack of email access) and facilitators included bilingual study staff, Spanish-language recruitment materials, targeted phone calls, and clinician-initiated 1-click referrals.Conclusion A primarily digital strategy to recruit patients into a digital health trial is unlikely to achieve equitable participation, even in a population overrepresented by patient portal enrollees. Nondigital recruitment methods that address racial and educational disparities and less active portal enrollees are necessary to ensure equity in clinical trial enrollment.</t>
  </si>
  <si>
    <t>[Plombon, Savanna; Flores, Jorge Sulca; Goolkasian, Gillian; Rodriguez, Jorge; Lipsitz, Stuart; Dalal, Anuj K.] Brigham &amp; Womens Hosp, Div Gen Internal Med Primary Care, Boston, MA USA; [Rudin, Robert S.; Sousa, Jessica] RAND Corp, Healthcare Div, Boston, MA USA; [Rodriguez, Jorge; Lipsitz, Stuart; Foer, Dinah; Dalal, Anuj K.] Harvard Med Sch, Boston, MA USA; [Foer, Dinah] Brigham &amp; Womens Hosp, Div Gen Internal Med, Boston, MA USA; [Foer, Dinah] Brigham &amp; Womens Hosp, Div Allergy &amp; Clin Immunol, Boston, MA USA; [Plombon, Savanna] Brigham &amp; Womens Hosp, Brigham Circle,1620 Tremont St,Suite BC-3-002HH, Boston, MA 02120 USA</t>
  </si>
  <si>
    <t>Harvard University; Brigham &amp; Women's Hospital; RAND Corporation; Harvard University; Harvard Medical School; Harvard University; Brigham &amp; Women's Hospital; Harvard University; Brigham &amp; Women's Hospital; Harvard University; Brigham &amp; Women's Hospital</t>
  </si>
  <si>
    <t>Plombon, S (corresponding author), Brigham &amp; Womens Hosp, Brigham Circle,1620 Tremont St,Suite BC-3-002HH, Boston, MA 02120 USA.</t>
  </si>
  <si>
    <t>splombon@bwh.harvard.edu</t>
  </si>
  <si>
    <t>Agency for Healthcare Research and Quality [R18HS026432, R18HS02643202S1]</t>
  </si>
  <si>
    <t>Agency for Healthcare Research and Quality(United States Department of Health &amp; Human ServicesAgency for Healthcare Research &amp; Quality)</t>
  </si>
  <si>
    <t>This project was supported by grant numbers R18HS026432 and R18HS026432-02S1 from the Agency for Healthcare Research and Quality. The content is solely the responsibility of the authors and does not necessarily represent the official views of the NIH or Agency for Healthcare Research and Quality.</t>
  </si>
  <si>
    <t>GEORG THIEME VERLAG KG</t>
  </si>
  <si>
    <t>STUTTGART</t>
  </si>
  <si>
    <t>RUDIGERSTR 14, D-70469 STUTTGART, GERMANY</t>
  </si>
  <si>
    <t>1869-0327</t>
  </si>
  <si>
    <t>APPL CLIN INFORM</t>
  </si>
  <si>
    <t>Appl. Clin. Inform.</t>
  </si>
  <si>
    <t>10.1055/a-2090-5745</t>
  </si>
  <si>
    <t>Medical Informatics</t>
  </si>
  <si>
    <t>O6PM8</t>
  </si>
  <si>
    <t>WOS:001045004800002</t>
  </si>
  <si>
    <t>Le, QH; Tan, LP; Hoang, TH</t>
  </si>
  <si>
    <t>Le, Quynh Hoa; Tan, Luc Phan; Hoang, Thu-Hang</t>
  </si>
  <si>
    <t>Brand posts and brand co-creation in higher education communities: a social communication process theory</t>
  </si>
  <si>
    <t>JOURNAL OF MARKETING FOR HIGHER EDUCATION</t>
  </si>
  <si>
    <t>Brand posts; brand co-creation; online community; social communication; higher education</t>
  </si>
  <si>
    <t>ELABORATION LIKELIHOOD MODEL; ONLINE REVIEWS; PERSUASIVE MESSAGES; MODERATING ROLE; MEDIA; UNIVERSITIES; INTENTION; BEHAVIOR; CONCEPTUALIZATION; PERSPECTIVES</t>
  </si>
  <si>
    <t>Creating brand posts that stimulate customer interaction in online communities is both vital and challenging to marketing managers. Using social communication process theoretical framework (i.e. SMCR), the current study examines the impact of brand posts in online brand communities on students' responses in ways that potentially co-create value for universities and illustrate the moderating role of community types. Results show that source credibility and argument quality of online posts are positively associated with both cognitive and affective response, thus motivating brand co-creation activities, while information quantity has insignificant effect on affective response. Additionally, members of communities managed by different parties (student-created vs university-created communities) exhibit a different tendency to develop community and contribute to brand value. Thus, different digital strategies depending on the type of community host are suggested to capture the highest possible co-creation value from these communities.</t>
  </si>
  <si>
    <t>[Le, Quynh Hoa; Hoang, Thu-Hang] Univ Econ Ho Chi Minh City, Sch Int Business Mkt, Ho Chi Minh City, Vietnam; [Tan, Luc Phan] Univ Econ Ho Chi Minh City, Sch Management, Ho Chi Minh City, Vietnam</t>
  </si>
  <si>
    <t>Ho Chi Minh City University Economics; Ho Chi Minh City University Economics</t>
  </si>
  <si>
    <t>Tan, LP (corresponding author), Univ Econ Ho Chi Minh City, Sch Management, Ho Chi Minh City, Vietnam.</t>
  </si>
  <si>
    <t>lucpt@tdmu.edu.vn</t>
  </si>
  <si>
    <t>Thu Hằng, Hoàng/JFT-0586-2023; Phan Tan, Luc/S-3347-2018</t>
  </si>
  <si>
    <t>Hoang, Thu Hang/0000-0003-2787-1618; Le, Quynh Hoa/0000-0002-8897-1615; Phan Tan, Luc/0000-0001-5603-3918</t>
  </si>
  <si>
    <t>University of Economics Ho Chi Minh City</t>
  </si>
  <si>
    <t>This research is funded by University of Economics Ho Chi Minh City, Vietnam.</t>
  </si>
  <si>
    <t>0884-1241</t>
  </si>
  <si>
    <t>1540-7144</t>
  </si>
  <si>
    <t>J MARK HIGH EDUC</t>
  </si>
  <si>
    <t>J. Mark. High. Educ.</t>
  </si>
  <si>
    <t>2023 JUL 25</t>
  </si>
  <si>
    <t>10.1080/08841241.2023.2239756</t>
  </si>
  <si>
    <t>JUL 2023</t>
  </si>
  <si>
    <t>Business; Education &amp; Educational Research</t>
  </si>
  <si>
    <t>Business &amp; Economics; Education &amp; Educational Research</t>
  </si>
  <si>
    <t>M9EG0</t>
  </si>
  <si>
    <t>WOS:001033165800001</t>
  </si>
  <si>
    <t>Wegmann, E; Schiebener, J; Brand, M</t>
  </si>
  <si>
    <t>Wegmann, Elisa; Schiebener, Johannes; Brand, Matthias</t>
  </si>
  <si>
    <t>Social-networks use as adaptive or maladaptive strategy for coping with stress</t>
  </si>
  <si>
    <t>SCIENTIFIC REPORTS</t>
  </si>
  <si>
    <t>ADDICTION; FACEBOOK; DISORDERS; SUPPORT; SITES; MOOD</t>
  </si>
  <si>
    <t>Social networks are frequently used to distract, procrastinate, or cope with stress. We aimed to investigate how (problematic) social-networks use affect stress perception in interaction with different stress recovery conditions. A total of 104 participants were randomly assigned to one of four groups. Three groups underwent a stress induction with subsequent stress recovery via (1) using Facebook, (2) reading magazines, or (3) waiting. Another group (4) waited without stress induction. Stress perception was repeatedly assessed with the State-Trait-Anxiety-Inventory. Facebook use and reading magazines decreased acute stress indicating adaptive coping strategies. Stress-recovery conditions and symptom severity showed significant interactions. Facebook use was not effective for individuals with high symptom severity in contrast to non-digital strategies or for individuals with low symptom severity. The usage of social networks may be an adaptive strategy for coping with stress for some people, it is maladaptive for individuals having a problematic usage.</t>
  </si>
  <si>
    <t>[Wegmann, Elisa; Schiebener, Johannes; Brand, Matthias] Univ Duisburg Essen, Cognit &amp; Ctr Behav Addict Res CeBAR, Dept Gen Psychol, Forsthausweg 2, D-47057 Duisburg, Germany; [Brand, Matthias] Erwin L Hahn Inst Magnet Resonance Imaging, Essen, Germany</t>
  </si>
  <si>
    <t>University of Duisburg Essen; University of Duisburg Essen</t>
  </si>
  <si>
    <t>Wegmann, E (corresponding author), Univ Duisburg Essen, Cognit &amp; Ctr Behav Addict Res CeBAR, Dept Gen Psychol, Forsthausweg 2, D-47057 Duisburg, Germany.</t>
  </si>
  <si>
    <t>elisa.wegmann@uni-due.de</t>
  </si>
  <si>
    <t>Projekt DEAL; University of Duisburg-Essen</t>
  </si>
  <si>
    <t>Open Access funding enabled and organized by Projekt DEAL. The authors received no specific funding for this work. They acknowledge support by the Open Access Publication Fund of the University of Duisburg-Essen.</t>
  </si>
  <si>
    <t>NATURE PORTFOLIO</t>
  </si>
  <si>
    <t>BERLIN</t>
  </si>
  <si>
    <t>HEIDELBERGER PLATZ 3, BERLIN, 14197, GERMANY</t>
  </si>
  <si>
    <t>2045-2322</t>
  </si>
  <si>
    <t>SCI REP-UK</t>
  </si>
  <si>
    <t>Sci Rep</t>
  </si>
  <si>
    <t>JUL 23</t>
  </si>
  <si>
    <t>10.1038/s41598-023-39042-4</t>
  </si>
  <si>
    <t>Multidisciplinary Sciences</t>
  </si>
  <si>
    <t>Science &amp; Technology - Other Topics</t>
  </si>
  <si>
    <t>N1PH6</t>
  </si>
  <si>
    <t>WOS:001034811000017</t>
  </si>
  <si>
    <t>Jiang, ZH; Shi, JR</t>
  </si>
  <si>
    <t>Jiang, Zihao; Shi, Jiarong</t>
  </si>
  <si>
    <t>Can firm R&amp;D benefit from digital technologies? Evidence from Chinese high-speed rail industry</t>
  </si>
  <si>
    <t>KYBERNETES</t>
  </si>
  <si>
    <t>High-speed rail industry; Digital transformation; Innovation efficiency; Human capital</t>
  </si>
  <si>
    <t>OPEN INNOVATION; ABSORPTIVE-CAPACITY; INFORMATION-TECHNOLOGY; EMPIRICAL-ANALYSIS; PERFORMANCE; EFFICIENCY; IMPACT; CREATION; MODEL; ENTREPRENEURSHIP</t>
  </si>
  <si>
    <t>PurposeAs an emerging socio-technical paradigm, high-speed railways profoundly change individuals' lifestyle and allow for the shift toward a green transportation. Digital technologies open an opportunity window for the development of enterprises. This study aims to clarify the impact of firm digitalization on the innovation efficiency of the Chinese high-speed rail industry. In addition, human capital is the important non-physical capital of enterprises. The authors also elucidate the moderating role of human capital on the above relationship.Design/methodology/approachBased on the data of Chinese high-speed railway listed companies from 2015 to 2021, this study explores the impact of digital transformation on the innovation efficiency, and further clarifies the boundary role of human capital with two-way fixed effect regression models.FindingsThe empirical results indicate that digital transformation has a positive impact on the innovation efficiency of the Chinese high-speed railway enterprises. Furthermore, human capital significantly enhances the above relationship. In addition, digital transformation fosters the innovation efficiency of small- and medium-sized enterprises and private-owned enterprises, but the correlation coefficients between digital transformation and the innovation efficiency of large enterprises and state-owned enterprises are not significant.Originality/valueThis is one of the earliest studies to explore how digital technologies shape R &amp; D activities. From the perspective of relative efficiency, this study evaluates the effectiveness of digital transformation and provides empirical evidence for the formulation and implementation of corporate digital strategies. Moreover, this study links human capital with digital transformation and identifies condition factors that affect the effectiveness of digital transformation, thereby supplementing existing knowledge.</t>
  </si>
  <si>
    <t>[Jiang, Zihao; Shi, Jiarong] Univ Sci &amp; Technol China, Sch Management, Hefei, Peoples R China</t>
  </si>
  <si>
    <t>Chinese Academy of Sciences; University of Science &amp; Technology of China, CAS</t>
  </si>
  <si>
    <t>Shi, JR (corresponding author), Univ Sci &amp; Technol China, Sch Management, Hefei, Peoples R China.</t>
  </si>
  <si>
    <t>jiangzihao0827@163.com; 2063658340@qq.com</t>
  </si>
  <si>
    <t>EMERALD GROUP PUBLISHING LTD</t>
  </si>
  <si>
    <t>BINGLEY</t>
  </si>
  <si>
    <t>HOWARD HOUSE, WAGON LANE, BINGLEY BD16 1WA, W YORKSHIRE, ENGLAND</t>
  </si>
  <si>
    <t>0368-492X</t>
  </si>
  <si>
    <t>1758-7883</t>
  </si>
  <si>
    <t>Kybernetes</t>
  </si>
  <si>
    <t>2023 JUL 19</t>
  </si>
  <si>
    <t>10.1108/K-04-2023-0677</t>
  </si>
  <si>
    <t>Computer Science, Cybernetics</t>
  </si>
  <si>
    <t>M5OW9</t>
  </si>
  <si>
    <t>WOS:001030720600001</t>
  </si>
  <si>
    <t>Passos, L; de Vasconcellos, AB; Kanashiro, L; Kina, S</t>
  </si>
  <si>
    <t>Passos, Leandro; de Vasconcellos, Adalberto Bastos; Kanashiro, Lucio; Kina, Sidney</t>
  </si>
  <si>
    <t>The natural CAD/CAM anterior implant single tooth restoration: A novel digital workflow</t>
  </si>
  <si>
    <t>JOURNAL OF ESTHETIC AND RESTORATIVE DENTISTRY</t>
  </si>
  <si>
    <t>biomimetic; CAD; CAM; ceramics; composite resin; dental implant; digital dentistry; immediate loading</t>
  </si>
  <si>
    <t>NETWORK PICN MATERIALS; AESTHETIC OUTCOMES; SURFACE TREATMENTS; BOND STRENGTH; HUMAN ENAMEL; PLACEMENT; IMMEDIATE; RESIN; BIOCOMPATIBILITY; TEETH</t>
  </si>
  <si>
    <t>ObjectiveTo report a novel digital workflow to replace an anterior maxillary tooth lost due to trauma with an implant multilayer restoration by using the patient's extracted tooth as a final crown restoration using computer-aided design/computer-aided manufacturing (CAD/CAM) technology. Clinical ConsiderationsInstead of using the patient's natural tooth as an immediate provisional restoration to achieve predictable results in terms of esthetics and soft tissue structure, a novel digital strategy was performed to obtain a natural final crown restoration by using the patient's tooth associated with a lithium disilicate customized implant abutment. ConclusionsThe perspective of using this strategic approach for implant restorative dental treatments in patients with traumatic root fractures in the anterior region has great potential as it helps to maintain the emergence profile of the natural dentition and esthetics. Clinical SignificanceOptimal esthetic outcomes are challenging in implant dentistry regarding soft tissue structure and morphology factors. Using natural teeth from surgery to deliver the final restoration might be beneficial when an anterior tooth is lost due to trauma.</t>
  </si>
  <si>
    <t>[Passos, Leandro; de Vasconcellos, Adalberto Bastos] Univ N Carolina, Adams Sch Dent, Div Comprehens Oral Hlth, Operat Dent &amp; Biomat, Chapel Hill, NC USA; [Passos, Leandro] Univ N Carolina, Adams Sch Dent, Div Comprehens Oral Hlth, Operat Dent &amp; Biomat, 385 S Columbia St, Chapel Hill, NC 27599 USA</t>
  </si>
  <si>
    <t>University of North Carolina; University of North Carolina Chapel Hill; University of North Carolina; University of North Carolina Chapel Hill</t>
  </si>
  <si>
    <t>Passos, L (corresponding author), Univ N Carolina, Adams Sch Dent, Div Comprehens Oral Hlth, Operat Dent &amp; Biomat, 385 S Columbia St, Chapel Hill, NC 27599 USA.</t>
  </si>
  <si>
    <t>passos@ad.unc.edu</t>
  </si>
  <si>
    <t>1496-4155</t>
  </si>
  <si>
    <t>1708-8240</t>
  </si>
  <si>
    <t>J ESTHET RESTOR DENT</t>
  </si>
  <si>
    <t>J. Esthet. Restor. Dent.</t>
  </si>
  <si>
    <t>2023 JUL 14</t>
  </si>
  <si>
    <t>10.1111/jerd.13073</t>
  </si>
  <si>
    <t>Dentistry, Oral Surgery &amp; Medicine</t>
  </si>
  <si>
    <t>M1EU4</t>
  </si>
  <si>
    <t>WOS:001027659400001</t>
  </si>
  <si>
    <t>Liu, QR; Liu, JM; He, ZP</t>
  </si>
  <si>
    <t>Liu, Qian-Ru; Liu, Jian-Mei; He, Zhen-Peng</t>
  </si>
  <si>
    <t>Digital transformation ambidexterity and business performance</t>
  </si>
  <si>
    <t>JOURNAL OF ENTERPRISE INFORMATION MANAGEMENT</t>
  </si>
  <si>
    <t>Digital transformation ambidexterity; Non-digital firms; Business performance; Efficiency; Growth; Text mining</t>
  </si>
  <si>
    <t>DYNAMIC CAPABILITIES; INDUSTRY 4.0; INNOVATION; STRATEGY; SYSTEMS; ORGANIZATIONS; FIRMS; TECHNOLOGY; PLATFORMS; COMPANIES</t>
  </si>
  <si>
    <t>PurposeWhat distinguishes digital transformation from other traditional IT transformations is its involvement of the entire organization, rather than merely the IT department. Thus, instead of taking a perspective that is confined to the IT department, this paper studies the ambidextrous nature of digital transformation (DT) from the standpoint of the whole firm. The authors define DT ambidexterity as the capability to utilize digital technology to simultaneously improve the efficiency of existing businesses (DT exploitation) and to promote business growth (DT exploration).Design/methodology/approachUsing annual reports of Chinese firms as a mining material, this paper deploys text mining and word frequency analysis to develop a data set of digital transformation to construct DT exploitation, DT exploration and DT ambidexterity, so that the authors can examine and compare their impact on business performance.FindingsThis study's statistics show that observations in this research sample mainly manifest DT ambidexterity and DT exploitation, while DT exploration makes up the smallest proportion. The authors find that DT exploitation, DT exploration, and DT ambidexterity have positive, yet heterogeneous effects on business performance.Research limitations/implicationsThis study expands the existing literature of IT-related ambidexterity by examining the ambidextrous nature of DT from the angle of company-wide strategy instead of the perspective from IT-department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DT.Originality/valueThis study expands the existing literature of IT-related ambidexterity by examining the ambidexterity nature of DT from the angle of company-wide strategy instead of the perspective from IT 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t>
  </si>
  <si>
    <t>[Liu, Qian-Ru] Guangdong Univ Foreign Studies, Dept Accounting, Guangzhou, Peoples R China; [Liu, Jian-Mei] Tianjin Univ Finance &amp; Econ, Tianjin, Peoples R China; [He, Zhen-Peng] Univ Int Business &amp; Econ, Beijing, Peoples R China</t>
  </si>
  <si>
    <t>Guangdong University of Foreign Studies; Tianjin University of Finance &amp; Economics; University of International Business &amp; Economics</t>
  </si>
  <si>
    <t>Liu, JM (corresponding author), Tianjin Univ Finance &amp; Econ, Tianjin, Peoples R China.</t>
  </si>
  <si>
    <t>iamliuqianru@126.com; weifangljm@126.com; cherrohaw@foxmail.com</t>
  </si>
  <si>
    <t>National Natural Foundation [71702123]; Social Science Foundation of the Ministry of Education of China [19YJC630105, 17YJC790095]; Tianjin University of Finance and Economics Outstanding Young Teachers Support Program</t>
  </si>
  <si>
    <t>National Natural Foundation(National Natural Science Foundation of China (NSFC)); Social Science Foundation of the Ministry of Education of China(Ministry of Education, China); Tianjin University of Finance and Economics Outstanding Young Teachers Support Program</t>
  </si>
  <si>
    <t>The authors really appreciate the funding from the National Natural Foundation (Grant number: 71702123), the Social Science Foundation of the Ministry of Education of China (Grant number: 19YJC630105 and 17YJC790095) and Tianjin University of Finance and Economics Outstanding Young Teachers Support Program. The authors would like to thank the undergraduate students, Ziyu Chen and Qiaomin Li, at Guangdong University of Foreign Studies for their excellent research assitance in this paper.</t>
  </si>
  <si>
    <t>1741-0398</t>
  </si>
  <si>
    <t>1758-7409</t>
  </si>
  <si>
    <t>J ENTERP INF MANAG</t>
  </si>
  <si>
    <t>J. Enterp. Inf. Manag.</t>
  </si>
  <si>
    <t>AUG 16</t>
  </si>
  <si>
    <t>10.1108/JEIM-08-2022-0280</t>
  </si>
  <si>
    <t>Computer Science, Interdisciplinary Applications; Information Science &amp; Library Science; Management</t>
  </si>
  <si>
    <t>Computer Science; Information Science &amp; Library Science; Business &amp; Economics</t>
  </si>
  <si>
    <t>O7IN8</t>
  </si>
  <si>
    <t>WOS:001024625500001</t>
  </si>
  <si>
    <t>Sonar, H; Ghag, N; Kharde, Y; Singodia, M</t>
  </si>
  <si>
    <t>Sonar, Harshad; Ghag, Nikhil; Kharde, Yashomandira; Singodia, Mamta</t>
  </si>
  <si>
    <t>Digital innovations for micro, small and medium enterprises in the net zero economy: A strategic perspective</t>
  </si>
  <si>
    <t>BUSINESS STRATEGY AND DEVELOPMENT</t>
  </si>
  <si>
    <t>digital innovation; digital transformation; MSMEs; net zero; sustainability</t>
  </si>
  <si>
    <t>INDICATORS; CHALLENGES; TOURISM</t>
  </si>
  <si>
    <t>In order to achieve a net zero economy, there must be a thorough digital revolution where sustainability is given top priority by spurring innovation, generating efficiencies, and improving services. Data show that digitalization is essential to reaching sustainable development goals as the world community struggles to meet the urgent need to combat climate change. Therefore, this study aims at identifying important barriers to digital innovation for MSMEs in a net-zero economy. This study used past academic literature and the fuzzy-Delphi method to identify important barriers and the weighted influence nonlinear gauge system (WINGS) method to prioritize and develop contextual relationships between identified barriers. As per the findings, lack of organizational resources and support is the most crucial barrier to digital innovation. This is followed by challenges in designing a digital strategy. The novelty of this study is the identification of digital innovation barriers for MSMEs from net-zero perspectives and prioritizing them using the WINGS method. This work will help practitioners to define clear organizational policies on digital innovation which will offer great promise for MSMEs to increase their performance.</t>
  </si>
  <si>
    <t>[Sonar, Harshad; Kharde, Yashomandira; Singodia, Mamta] Symbiosis Inst Operat Management SIOM, Operat &amp; Supply Chain Management, Nasik, India; [Ghag, Nikhil] Natl Inst Ind Engn NITIE, Operat &amp; Supply Chain Management, Mumbai, India</t>
  </si>
  <si>
    <t>Symbiosis International University; Symbiosis Institute of Operations Management (SIOM); National Institute of Industrial Engineering (NITIE)</t>
  </si>
  <si>
    <t>Sonar, H (corresponding author), Symbiosis Inst Operat Management SIOM, Operat &amp; Supply Chain Management, Nasik, India.</t>
  </si>
  <si>
    <t>harshad.sonar@siom.in</t>
  </si>
  <si>
    <t>Kharde, Dr Yashomandira Pravin/JMR-0741-2023; Ghag, Nikhil/HTS-6859-2023</t>
  </si>
  <si>
    <t>Kharde, Dr Yashomandira Pravin/0000-0002-4705-1038; Ghag, Nikhil/0000-0002-6823-3279; Sonar, Dr. Harshad C./0000-0001-9114-7785</t>
  </si>
  <si>
    <t>2572-3170</t>
  </si>
  <si>
    <t>BUS STRATEGY DEV</t>
  </si>
  <si>
    <t>Bus. Strategy Dev.</t>
  </si>
  <si>
    <t>2023 JUL 13</t>
  </si>
  <si>
    <t>10.1002/bsd2.264</t>
  </si>
  <si>
    <t>Business; Environmental Studies</t>
  </si>
  <si>
    <t>Business &amp; Economics; Environmental Sciences &amp; Ecology</t>
  </si>
  <si>
    <t>M3ZI3</t>
  </si>
  <si>
    <t>Bronze</t>
  </si>
  <si>
    <t>WOS:001029603200001</t>
  </si>
  <si>
    <t>Gezer, M; Hunter, B; Hocking, JS; Manski-Nankervis, JA; Goller, JL</t>
  </si>
  <si>
    <t>Gezer, Melis; Hunter, Barbara; Hocking, Jane S. S.; Manski-Nankervis, Jo-Anne; Goller, Jane L. L.</t>
  </si>
  <si>
    <t>Informing the design of a digital intervention to support sexually transmissible infection care in general practice: a qualitative study exploring the views of clinicians</t>
  </si>
  <si>
    <t>SEXUAL HEALTH</t>
  </si>
  <si>
    <t>Australia; chlamydia; clinical decision support; digital; electronic medical record; general practice; gonorrhoea; primary care; STI management; STIs; syphilis</t>
  </si>
  <si>
    <t>BARRIERS; TOOL</t>
  </si>
  <si>
    <t>Background. Strengthening sexually transmissible infection (STI) management in general practice is prioritised in Australian STI strategy. Digital interventions incorporating clinical decision support offer a mechanism to assist general practitioners (GPs) in STI care. This study explored clinicians' views towards a proposed digital intervention for supporting STI care in Australian general practice as a first step in the tool's design. Methods. Semi-structured one-to-one interviews were conducted during 2021 with sexual health physicians (n = 2) and GPs (n = 7) practicing in the state of Victoria, Australia. Interviews explored views on a proposed STI digital intervention for general practice. We applied the Theoretical Domains Framework (TDF), a behaviour change framework to our analysis. This involved: (1) directed content analysis of transcripts into TDF domains; and (2) thematic analysis to identify sub-themes within relevant TDF domains. Subthemes were subsequently categorised into enablers and barriers to the use and implementation of a STI computerised clinical decision support system (CDSS). Results. All interviewees viewed a digital intervention for STI care favourably, expressing confidence in its potential to improve care and support management. Within the relevant TDF domains (e.g. environmental context and resources), subthemes emerged as barriers (e.g. lack of sensitivity to patient context) or enablers (e.g. clear communication and guidance) to the use and implementation of a STI CDSS in primary care. Multiple subthemes (e.g. time constraints) have the potential to be a barrier or an enabler, and is largely dependent on end-user needs being met and clinical context being appropriately addressed. Conclusions. A digital intervention incorporating clinical decision support was viewed favourably, indicating a possible role for such a tool in Australian general practice. Co-design with end-users and prototype evaluation with health consumers is recommended to ensure relevance and usefulness.</t>
  </si>
  <si>
    <t>[Gezer, Melis; Hocking, Jane S. S.; Goller, Jane L. L.] Univ Melbourne, Melbourne Sch Populat &amp; Global Hlth, 207 Bouverie St, Carlton, Vic 3053, Australia; [Hunter, Barbara; Manski-Nankervis, Jo-Anne] Univ Melbourne, Dept Gen Practice, Melbourne, Vic, Australia</t>
  </si>
  <si>
    <t>University of Melbourne; University of Melbourne</t>
  </si>
  <si>
    <t>Goller, JL (corresponding author), Univ Melbourne, Melbourne Sch Populat &amp; Global Hlth, 207 Bouverie St, Carlton, Vic 3053, Australia.</t>
  </si>
  <si>
    <t>jane.goller@unimelb.edu.au</t>
  </si>
  <si>
    <t>Hocking, Jane/0000-0001-9329-8501; Goller, Jane/0000-0001-5580-360X; Hunter, Barbara/0000-0002-1268-3166</t>
  </si>
  <si>
    <t>CSIRO PUBLISHING</t>
  </si>
  <si>
    <t>CLAYTON</t>
  </si>
  <si>
    <t>UNIPARK, BLDG 1, LEVEL 1, 195 WELLINGTON RD, LOCKED BAG 10, CLAYTON, VIC 3168, AUSTRALIA</t>
  </si>
  <si>
    <t>1448-5028</t>
  </si>
  <si>
    <t>1449-8987</t>
  </si>
  <si>
    <t>SEX HEALTH</t>
  </si>
  <si>
    <t>Sex Health</t>
  </si>
  <si>
    <t>2023 JUL 6</t>
  </si>
  <si>
    <t>10.1071/SH22191</t>
  </si>
  <si>
    <t>Public, Environmental &amp; Occupational Health; Infectious Diseases</t>
  </si>
  <si>
    <t>L6IL8</t>
  </si>
  <si>
    <t>WOS:001024279200001</t>
  </si>
  <si>
    <t>Baldassarre, D; Iacoviello, L; Baetta, R; Roncaglioni, MC; Condorelli, G; Remuzzi, G; Gensini, G; Frati, L; Ricciardi, W; Conaldi, PG; Uccelli, A; Blandini, F; Bosari, S; Scambia, G; Fini, M; Di Malta, A; Amato, M; Veglia, F; Bonomi, A; Klersy, C; Colazzo, F; Pengo, M; Gorini, F; Auteri, L; Ferrante, G; Baviera, M; Ambrosio, G; Catapano, A; Gialluisi, A; Malavazos, AE; Castelvecchio, S; Corsi-Romanelli, MM; Cardani, R; La Rovere, MT; Agnese, V; Pane, B; Prati, D; Spinardi, L; Liuzzo, G; Arbustini, E; Volterrani, M; Visconti, M; Werba, JP; Genovese, S; Bilo, G; Invitti, C; Di Blasio, A; Lombardi, C; Faini, A; Rosa, D; Ojeda-Fernández, L; Foresta, A; De Curtis, A; Di Castelnuovo, A; Scalvini, S; Pierobon, A; Gorini, A; Valenti, L; Luzi, L; Racca, A; Bandi, M; Tremoli, E; Menicanti, L; Parati, G; Pompilio, G</t>
  </si>
  <si>
    <t>Baldassarre, Damiano; Iacoviello, Licia; Baetta, Roberta; Roncaglioni, Maria Carla; Condorelli, Gianluigi; Remuzzi, Giuseppe; Gensini, Gianfranco; Frati, Luigi; Ricciardi, Walter; Conaldi, Pier Giulio; Uccelli, Antonio; Blandini, Fabio; Bosari, Silvano; Scambia, Giovanni; Fini, Massimo; Di Malta, Antonio; Amato, Mauro; Veglia, Fabrizio; Bonomi, Alice; Klersy, Catherine; Colazzo, Francesca; Pengo, Martino; Gorini, Francesca; Auteri, Luciana; Ferrante, Giuseppe; Baviera, Marta; Ambrosio, Giuseppe; Catapano, Alberico; Gialluisi, Alessandro; Malavazos, Alexis Elias; Castelvecchio, Serenella; Corsi-Romanelli, Massimiliano Marco; Cardani, Rosanna; La Rovere, Maria Teresa; Agnese, Valentina; Pane, Bianca; Prati, Daniele; Spinardi, Laura; Liuzzo, Giovanna; Arbustini, Eloisa; Volterrani, Maurizio; Visconti, Marco; Werba, Jose Pablo; Genovese, Stefano; Bilo, Grzegorz; Invitti, Cecilia; Di Blasio, Anna; Lombardi, Carolina; Faini, Andrea; Rosa, Debora; Ojeda-Fernandez, Luisa; Foresta, Andreana; De Curtis, Amalia; Di Castelnuovo, Augusto; Scalvini, Simonetta; Pierobon, Antonia; Gorini, Alessandra; Valenti, Luca; Luzi, Livio; Racca, Annarosa; Bandi, Manuela; Tremoli, Elena; Menicanti, Lorenzo; Parati, Gianfranco; Pompilio, Giulio</t>
  </si>
  <si>
    <t>Rationale and design of the CV-PREVITAL study: an Italian multiple cohort randomised controlled trial investigating innovative digital strategies in primary cardiovascular prevention</t>
  </si>
  <si>
    <t>BMJ OPEN</t>
  </si>
  <si>
    <t>PREVENTIVE MEDICINE; Health informatics; Cardiac Epidemiology; Clinical trials</t>
  </si>
  <si>
    <t>RISK; DISEASE; VALIDATION; STANDARD; SCORE</t>
  </si>
  <si>
    <t>Introduction Prevention of cardiovascular disease (CVD) is of key importance in reducing morbidity, disability and mortality worldwide. Observational studies suggest that digital health interventions can be an effective strategy to reduce cardiovascular (CV) risk. However, evidence from large randomised clinical trials is lacking. Methods and analysis The CV-PREVITAL study is a multicentre, prospective, randomised, controlled, open-label interventional trial designed to compare the effectiveness of an educational and motivational mobile health (mHealth) intervention versus usual care in reducing CV risk. The intervention aims at improving diet, physical activity, sleep quality, psycho-behavioural aspects, as well as promoting smoking cessation and adherence to pharmacological treatment for CV risk factors. The trial aims to enrol approximately 80 000 subjects without overt CVDs referring to general practitioners' offices, community pharmacies or clinics of Scientific Institute for Research, Hospitalization and Health Care (Italian acronym IRCCS) affiliated with the Italian Cardiology Network. All participants are evaluated at baseline and after 12 months to assess the effectiveness of the intervention on short-term endpoints, namely improvement in CV risk score and reduction of major CV risk factors. Beyond the funded life of the study, a long-term (7 years) follow-up is also planned to assess the effectiveness of the intervention on the incidence of major adverse CV events. A series of ancillary studies designed to evaluate the effect of the mHealth intervention on additional risk biomarkers are also performed. Ethics and dissemination This study received ethics approval from the ethics committee of the coordinating centre (Monzino Cardiology Center; R1256/20-CCM 1319) and from all other relevant IRBs and ethics committees. Findings are disseminated through scientific meetings and peer-reviewed journals and via social media. Partners are informed about the study's course and findings through regular meetings.</t>
  </si>
  <si>
    <t>[Baldassarre, Damiano; Baetta, Roberta; Amato, Mauro; Bonomi, Alice; Colazzo, Francesca; Werba, Jose Pablo; Genovese, Stefano; Pompilio, Giulio] Ctr Cardiol Monzino IRCCS, Milan, Italy; [Baldassarre, Damiano] Univ Milan, Dept Med Biotechnol &amp; Translat Med, Milan, Italy; [Iacoviello, Licia; Gialluisi, Alessandro; De Curtis, Amalia] IRCCS Ist Neurol Mediterraneo NEUROMED, Dept Epidemiol &amp; Prevent, Pozzilli, Italy; [Iacoviello, Licia; Gialluisi, Alessandro] Res Ctr Epidemiol &amp; Prevent Med EPIMED, Varese, Italy; [Roncaglioni, Maria Carla; Baviera, Marta; Ojeda-Fernandez, Luisa; Foresta, Andreana] Ist Ric Farmacol Mario Negri IRCCS, Lab Cardiovasc Prevent, Milan, Italy; [Condorelli, Gianluigi; Ferrante, Giuseppe] IRCCS Humanitas Res Hosp, Dept Cardiovasc Med, Rozzano, Italy; [Condorelli, Gianluigi; Ferrante, Giuseppe] Humanitas Univ, Dept Biomed Sci, Milan, Italy; [Remuzzi, Giuseppe] Ist Ric Farmacog Mario Negri IRCCS, Milan, Italy; [Gensini, Gianfranco; Catapano, Alberico; Luzi, Livio] IRCCS Multimed, Milan, Italy; [Frati, Luigi] IRCCS Ist Neurol Mediterraneo NEUROMED, Pozzilli, Italy; [Ricciardi, Walter] Ist Clin Sci Maugeri IRCCS Pavia, Pavia, Italy; [Ricciardi, Walter; Scambia, Giovanni; Liuzzo, Giovanna] Univ Cattolica Sacro Cuore, Campus Roma, Rome, Italy; [Conaldi, Pier Giulio; Agnese, Valentina] IRCCS ISMETT Mediterranean Inst Transplantat &amp; Adv, Palermo, Italy; [Uccelli, Antonio; Pane, Bianca] IRCCS Osped Policlin San Martino, Genoa, Italy; [Blandini, Fabio; Bosari, Silvano; Spinardi, Laura] Fdn IRCCS Ca Granda Osped Maggiore Policlin, Milan, Italy; [Scambia, Giovanni] Fdn Policlin Univ Agostino Gemelli IRCCS, Rome, Italy; [Fini, Massimo] IRCCS San Raffaele, Rome, Italy; [Di Malta, Antonio; Visconti, Marco] Co S Consorzio San Study Ctr, Soresina, Italy; [Veglia, Fabrizio; Tremoli, Elena] Maria Cecilia Hosp, GVM Care &amp; Res, Cotignola, Ravenna, Italy; [Klersy, Catherine] Fdn IRCCS Policlin San Matteo, Unit Clin Epidemiol &amp; Biostat, Pavia, Italy; [Pengo, Martino; Gorini, Francesca; Auteri, Luciana; Bilo, Grzegorz; Invitti, Cecilia; Di Blasio, Anna; Lombardi, Carolina; Faini, Andrea; Rosa, Debora; Parati, Gianfranco] Ist Auxol Italiano IRCCS, Milan, Italy; [Pengo, Martino; Bilo, Grzegorz; Lombardi, Carolina; Parati, Gianfranco] Univ Milano Bicocca, Dept Med &amp; Surg, Milan, Italy; [Ambrosio, Giuseppe] Univ Perugia, Cardiol, Sch Med, Perugia, Italy; [Catapano, Alberico] Univ Milan, Dept Pharmacol &amp; Biomol Sci, Milan, Italy; [Malavazos, Alexis Elias] IRCCS Policlin San Donato, Clin Nutr &amp; Cardiovasc Prevent Serv, Endocrinol Unit, San Donato Milanese, Italy; [Malavazos, Alexis Elias; Pompilio, Giulio] Univ Milan, Dept Biomed Surg &amp; Dent Sci, Milan, Italy; [Castelvecchio, Serenella; Menicanti, Lorenzo] IRCCS Policlin San Donato, Dept Cardiac Surg, San Donato Milanese, Italy; [Corsi-Romanelli, Massimiliano Marco] IRCCS Policlin SAN DONATO, UOC SMEL 1, San Donato Milanese, Italy; [Corsi-Romanelli, Massimiliano Marco; Luzi, Livio] Univ Milan, Dept Hlth &amp; Biomed Sci, Milan, Italy; [Cardani, Rosanna] IRCCS Policlin San Donato, BioCor Biobank, UOC SMEL 1 Clin Pathol, San Donato Milanese, Italy; [La Rovere, Maria Teresa; Pierobon, Antonia] Ist Clin Sci Maugeri IRCCS Montescano, Montescano, Italy; [Pane, Bianca] Univ Genoa, Dipartimento Sci Chirurg &amp; Diagnost Integrate, Genoa, Italy; [Prati, Daniele; Valenti, Luca] Fdn IRCCS Ca Granda Osped Maggiore Policlin, Dept Transfus Med &amp; Haematol, Milan, Italy; [Liuzzo, Giovanna] Fdn Policlin Gemelli IRCCS, Dipartimento Sci Cardiovascolari, Rome, Italy; [Arbustini, Eloisa] Fdn IRCCS Policlin San Matteo, Ctr Malattie Genet Cardiovasc, Pavia, Italy; [Volterrani, Maurizio] IRCCS San Raffaele, Cardio Pulm Dept, Rome, Italy; [Volterrani, Maurizio] San Raffaele Open Univ, Exercise Sci &amp; Med, Rome, Italy; [Faini, Andrea] Politecn Milan, Dipartimento Elettron Informaz &amp; Bioingn, Milan, Italy; [Di Castelnuovo, Augusto] Mediterranea Cardioctr, Naples, Italy; [Scalvini, Simonetta] Ist Clin Sci Maugeri IRCCS Lumezzane, Lumezzane, Italy; [Gorini, Alessandra] Ist Clin Sci Maugeri IRCCS Milano, Milan, Italy; [Gorini, Alessandra] Univ Milan, Dipartimento Sci Clin &amp; Comun, Milan, Italy; [Valenti, Luca] Univ Milan, Dipartimento Fisiopatol &amp; Trapianti, Milan, Italy; [Racca, Annarosa; Bandi, Manuela] Federfarma Lombardia &amp; Fdn Guido Muralti, Milan, Italy</t>
  </si>
  <si>
    <t>IRCCS Centro Cardiologico Monzino; University of Milan; IRCCS Neuromed; Istituto di Ricerche Farmacologiche Mario Negri IRCCS; Humanitas University; IRCCS Multimedica; IRCCS Neuromed; Catholic University of the Sacred Heart; IRCCS Policlinico Gemelli; IRCCS Ca Granda Ospedale Maggiore Policlinico; Catholic University of the Sacred Heart; IRCCS Policlinico Gemelli; IRCCS San Raffaele Pisana; Vita-Salute San Raffaele University; IRCCS Ospedale San Raffaele; Maria Cecilia Hospital; IRCCS Fondazione San Matteo; IRCCS Istituto Auxologico Italiano; University of Milano-Bicocca; University of Perugia; University of Milan; IRCCS Policlinico San Donato; University of Milan; IRCCS Policlinico San Donato; IRCCS Policlinico San Donato; University of Milan; IRCCS Policlinico San Donato; University of Genoa; IRCCS Ca Granda Ospedale Maggiore Policlinico; Catholic University of the Sacred Heart; IRCCS Policlinico Gemelli; IRCCS Fondazione San Matteo; Vita-Salute San Raffaele University; IRCCS Ospedale San Raffaele; IRCCS San Raffaele Pisana; Polytechnic University of Milan; Istituti Clinici Scientifici Maugeri IRCCS; University of Milan; University of Milan</t>
  </si>
  <si>
    <t>Baldassarre, D (corresponding author), Ctr Cardiol Monzino IRCCS, Milan, Italy.;Baldassarre, D (corresponding author), Univ Milan, Dept Med Biotechnol &amp; Translat Med, Milan, Italy.</t>
  </si>
  <si>
    <t>damiano.baldassarre@cardiologicomonzino.it</t>
  </si>
  <si>
    <t>Pompilio, Giulio/J-6701-2014; Pierobon, Antonia/AAA-2859-2021; Vinci, Ramona/AAJ-9226-2020; Colombo, Gualtiero I./B-4737-2010; caminiti, giuseppe/K-5068-2016; La Rovere, Maria Teresa/D-6796-2019; Remuzzi, Giuseppe/V-9766-2017; Iacoviello, Licia/K-4676-2016; Baldassarre, Damiano/J-3295-2016; Valenti, Luca/B-3695-2009; Veglia, Fabrizio/K-1958-2016</t>
  </si>
  <si>
    <t>Pompilio, Giulio/0000-0003-2581-5735; Pierobon, Antonia/0000-0002-4678-781X; Vinci, Ramona/0000-0003-3632-5934; Colombo, Gualtiero I./0000-0002-7348-1939; caminiti, giuseppe/0000-0001-7820-567X; La Rovere, Maria Teresa/0000-0002-1884-5058; Remuzzi, Giuseppe/0000-0002-6194-3446; Iacoviello, Licia/0000-0003-0514-5885; Baldassarre, Damiano/0000-0002-2766-8882; Valenti, Luca/0000-0001-8909-0345; Malavazos, Alexis Elias/0000-0002-0852-9625; Veglia, Fabrizio/0000-0002-9378-8874</t>
  </si>
  <si>
    <t>Italian Ministry of Health (Ministero della Salute) [RCR- 2019- 23669116_001]</t>
  </si>
  <si>
    <t>Italian Ministry of Health (Ministero della Salute)(Ministry of Health, Italy)</t>
  </si>
  <si>
    <t>The CV- PREVITAL study is carried out through funding by the Italian Ministry of Health (Ministero della Salute), Project Code RCR- 2019- 23669116_001. The finantial support includes the cost of developing the app used in the study. The app was built with the technical collaboration of a mobile solutions provider (YouCo s.r.l.) selected through a European tender carried out under Article 60 of Legislative Decree 50/2016 as amended. Ownership of the app is held by the Italian Cardiology Network. Funding source (Italian Ministry of Health) and technical partner (YouCo) are not involved in study execution, data analyses and interpretation, or decision to submit results.</t>
  </si>
  <si>
    <t>BMJ PUBLISHING GROUP</t>
  </si>
  <si>
    <t>BRITISH MED ASSOC HOUSE, TAVISTOCK SQUARE, LONDON WC1H 9JR, ENGLAND</t>
  </si>
  <si>
    <t>2044-6055</t>
  </si>
  <si>
    <t>BMJ Open</t>
  </si>
  <si>
    <t>JUL</t>
  </si>
  <si>
    <t>e072040</t>
  </si>
  <si>
    <t>10.1136/bmjopen-2023-072040</t>
  </si>
  <si>
    <t>Medicine, General &amp; Internal</t>
  </si>
  <si>
    <t>General &amp; Internal Medicine</t>
  </si>
  <si>
    <t>O2JX0</t>
  </si>
  <si>
    <t>WOS:001042144500003</t>
  </si>
  <si>
    <t>Lerario, A</t>
  </si>
  <si>
    <t>Lerario, Antonella</t>
  </si>
  <si>
    <t>The Communication Challenge in Archaeological Museums in Puglia: Insights into the Contribution of Social Media and ICTs to Small-Scale Institutions</t>
  </si>
  <si>
    <t>HERITAGE</t>
  </si>
  <si>
    <t>digital museum communication; Apulian museum; digital collections; museum websites; virtual museums; social networks; museum networks</t>
  </si>
  <si>
    <t>VIRTUAL MUSEUMS</t>
  </si>
  <si>
    <t>Archaeological museums play a vital role in regions with ancient roots, holding a millennial image as the cradle of civilization. In the South of Italy (former Magna Graecia) and particularly in Puglia-a melting pot of cultures where ancient Messapian, Byzantine, Roman, and Greek civilizations followed one another in ages, bequeathing a wealth of testimonies-institutions are disseminated across the region, and almost every small municipality has its own archaeological museum hosting a wealth of valuable objects and remains. The gradual structural changes in the role of museums over the last decades and the recent COVID-19 pandemic outbreak, with the sudden closing and subsequent re-opening of facilities, forced institutions to re-think and re-develop their communication practices everywhere. Museums across the world have since been conceiving original and effective strategies based on social media and ICTs. After framing the problem background, the article introduces an overview of good practice and virtuous examples in the museum field and a questionnaire-based focus survey on a sample of archaeological museums in Puglia in order to assess the status of local communication strategies' implementation against the potential of modern technologies. The survey results allowed identifying a peculiar mix of emergency and evolutional approaches in the sample analyzed, main concerns and barriers to the adoption of digital strategies, but also specific strategic drivers for innovation in the very nature of local small institutions. The study's outcomes offer a potential contribution to the alignment of institutions to current standards through informed policies that can be usefully shared in other similar contexts across Europe.</t>
  </si>
  <si>
    <t>[Lerario, Antonella] CNR, Ist Tecnol Costruz, I-70124 Bari, Italy</t>
  </si>
  <si>
    <t>Consiglio Nazionale delle Ricerche (CNR); Istituto per le Tecnologie della Costruzione (ITC-CNR)</t>
  </si>
  <si>
    <t>Lerario, A (corresponding author), CNR, Ist Tecnol Costruz, I-70124 Bari, Italy.</t>
  </si>
  <si>
    <t>antonella.lerario@itc.cnr.it</t>
  </si>
  <si>
    <t>2571-9408</t>
  </si>
  <si>
    <t>HERITAGE-BASEL</t>
  </si>
  <si>
    <t>Heritage</t>
  </si>
  <si>
    <t>10.3390/heritage6070264</t>
  </si>
  <si>
    <t>Humanities, Multidisciplinary; Multidisciplinary Sciences</t>
  </si>
  <si>
    <t>Arts &amp; Humanities - Other Topics; Science &amp; Technology - Other Topics</t>
  </si>
  <si>
    <t>N3NX0</t>
  </si>
  <si>
    <t>WOS:001036130900001</t>
  </si>
  <si>
    <t>Luo, T; Xie, CY; Wu, JC; Zhu, JK; Yu, HY</t>
  </si>
  <si>
    <t>Luo, Tian; Xie, Chenyang; Wu, Jiacheng; Zhu, Jiakang; Yu, Haiyang</t>
  </si>
  <si>
    <t>A digital strategy for intraoperative acquisition of actual drill position and rapid assessment of bony preparation accuracy using an intraoral scanner</t>
  </si>
  <si>
    <t>HELIYON</t>
  </si>
  <si>
    <t>Intraoral scan; Scan body; Polyetheretherketone; Bony preparation accuracy; Implant surgery</t>
  </si>
  <si>
    <t>IMPLANT IMPRESSIONS</t>
  </si>
  <si>
    <t>A digital workflow to acquire actual position of the drill and assess bony preparation accuracy intraoperatively was described. Based on the widely used intraoral scanner, this digital workflow was a relatively practical and economical option for digital intraoperative measurement. As a result, it could help the clinician in accurate verification and immediate correction of the drill position and consequently facilitating the accurate implant placement in implant surgery.</t>
  </si>
  <si>
    <t>[Luo, Tian; Zhu, Jiakang; Yu, Haiyang] Sichuan Univ, West China Hosp Stomatol, Natl Clin Res Ctr Oral Dis, State Key Lab Oral Dis, Chengdu, Peoples R China; [Xie, Chenyang; Wu, Jiacheng] Sichuan Univ, West China Hosp Stomatol, Dept Dent Technol, Chengdu, Peoples R China</t>
  </si>
  <si>
    <t>Sichuan University; Sichuan University</t>
  </si>
  <si>
    <t>Yu, HY (corresponding author), Sichuan Univ, West China Hosp Stomatol, Natl Clin Res Ctr Oral Dis, State Key Lab Oral Dis, Chengdu, Peoples R China.</t>
  </si>
  <si>
    <t>YHYmechanics@163.com</t>
  </si>
  <si>
    <t>Sichuan University Horizontal Research Foundation [21Z0019]</t>
  </si>
  <si>
    <t>Sichuan University Horizontal Research Foundation</t>
  </si>
  <si>
    <t>Funding statement This work was supported by the Sichuan University Horizontal Research Foundation [Grant Number: 21Z0019] .</t>
  </si>
  <si>
    <t>CELL PRESS</t>
  </si>
  <si>
    <t>CAMBRIDGE</t>
  </si>
  <si>
    <t>50 HAMPSHIRE ST, FLOOR 5, CAMBRIDGE, MA 02139 USA</t>
  </si>
  <si>
    <t>2405-8440</t>
  </si>
  <si>
    <t>Heliyon</t>
  </si>
  <si>
    <t>e18004</t>
  </si>
  <si>
    <t>10.1016/j.heliyon.2023.e18004</t>
  </si>
  <si>
    <t>P1KP6</t>
  </si>
  <si>
    <t>WOS:001048302300001</t>
  </si>
  <si>
    <t>Machline-Carrion, MJ; Girotto, AN; Nieri, J; Pereira, PM; Monfardini, F; Forestiero, F; Raupp, P; Roveda, F; Santo, K; Berwanger, O; Santos, RD</t>
  </si>
  <si>
    <t>Machline-Carrion, M. Julia; Girotto, Alysson Nathan; Nieri, Josue; Pereira, Pedro Marton; Monfardini, Frederico; Forestiero, Francisco; Raupp, Priscila; Roveda, Fabiana; Santo, Karla; Berwanger, Otavio; Santos, Raul D.</t>
  </si>
  <si>
    <t>Assessing statins use in a real-world primary care digital strategy: a cross-sectional analysis of a population-wide digital health approach</t>
  </si>
  <si>
    <t>LANCET REGIONAL HEALTH-AMERICAS</t>
  </si>
  <si>
    <t>Primary care; Digital health; Statins use; Dyslipidaemia</t>
  </si>
  <si>
    <t>CARDIOVASCULAR-DISEASE; MIDDLE-INCOME; SECONDARY PREVENTION; MEDICATION USE; COUNTRIES; DYSLIPIDEMIAS; PRESCRIPTION; COMMUNITY; UPDATE; BRAZIL</t>
  </si>
  <si>
    <t>Background The digitization of the primary care system provides an opportunity to evaluate the current use of statins in secondary prevention populations (myocardial infarction or stroke).Methods We conducted a cross-sectional study (ClinicalTrials.gov, NCT05285085), analysing anonymised data routinely collected by community health workers (CHW) in Brazil between May 2016 and September 2021 to assess the proportion of self-reported statins use and associated factors. Findings From the 2,133,900 individuals on the database, 35,103 (1.6%), mean age 66.2 years (SD14.6), 49.5% (17,382/35,103) male sex, 50.5% (17,721/35,103) female sex, and 29.6% (10,381/34,975) Caucasians, had a previous myocardial infarction (MI) (n = 11,628; 33.1%) or stroke (n = 25,925; 73.9%). Approximately 50% (17,020/35,103) were from the Northeast region, 78.7% (27,605) from urban zones, and 39.4% (13,845) with social development index (SDI) &gt;0.7. Overall, 6.7% (2346) and 0.6% (212) reported statins and high dose statins use, respectively. Age over 60 years old (OR 1.32 [95% CI 1.19-1.47), living in the Southern region (OR 4.53 [95% CI 3.66-5.60]), having a previous diagnosis of MI (OR 4.53 [95% CI 3.66-5.60]), heart failure (OR 2.29 [95% CI 1.13-1.47]), diabetes (OR 1.50 [95% CI 1.37-1.64]), dyslipidaemia (OR 2.90 [95% CI 2.55-3.29]), chronic kidney disease (OR 1.27 [95% CI 1.08-1.48]) and use of anti-hypertensives (OR 5.47 [95% CI 4.60-6.47]) were associated with statin use.Interpretation The analysis of a real-world database from a digitized primary care system, allowed us to identify a very low use of statins in secondary prevention Brazilian patients, mostly influenced by socio-demographic factors and co-morbidities.</t>
  </si>
  <si>
    <t>[Machline-Carrion, M. Julia; Girotto, Alysson Nathan; Pereira, Pedro Marton] EpHealth Primary Care Solut, Florianopolis, SC, Brazil; [Nieri, Josue; Monfardini, Frederico; Santo, Karla; Berwanger, Otavio; Santos, Raul D.] Hosp Israelita Albert Einstein HIAE, Acad Res Org ARO, Sao Paulo, SP, Brazil; [Forestiero, Francisco; Raupp, Priscila; Roveda, Fabiana] Novartis Pharmaceut Brazil, Sao Paulo, SP, Brazil; [Berwanger, Otavio] George Inst Global Hlth, London, England; [Berwanger, Otavio] Imperial Coll London, London, England; [Santos, Raul D.] Univ Sao Paulo, Lipid Clin Heart Inst InCor, Med Sch Hosp, Sao Paulo, SP, Brazil; [Machline-Carrion, M. Julia] EpHealth Primary Care Solut, 3339 Dr Antonio Luiz Moura Gonzaga Rd, Florianopolis, SC, Brazil</t>
  </si>
  <si>
    <t>Hospital Israelita Albert Einstein; Imperial College London; Universidade de Sao Paulo</t>
  </si>
  <si>
    <t>Machline-Carrion, MJ (corresponding author), EpHealth Primary Care Solut, 3339 Dr Antonio Luiz Moura Gonzaga Rd, Florianopolis, SC, Brazil.</t>
  </si>
  <si>
    <t>julia@ephealth.com.br</t>
  </si>
  <si>
    <t>Monfardini, Frederico/0000-0002-9590-5448</t>
  </si>
  <si>
    <t>Novartis Biociencias, Brazil</t>
  </si>
  <si>
    <t>2667-193X</t>
  </si>
  <si>
    <t>LANCET REG HEALTH-AM</t>
  </si>
  <si>
    <t>Lancet Regional Health-Americas</t>
  </si>
  <si>
    <t>10.1016/j.lana.2023.100534</t>
  </si>
  <si>
    <t>R1AM1</t>
  </si>
  <si>
    <t>WOS:001061736100001</t>
  </si>
  <si>
    <t>McCarthy, SE; Hogan, C; Jenkins, L; Schwanberg, L; Williams, DJ; Mellon, L; Walsh, A; Keane, T; Rafter, N</t>
  </si>
  <si>
    <t>McCarthy, Siobhan E.; Hogan, Catherine; Jenkins, Loretta; Schwanberg, Lorraine; Williams, David J.; Mellon, Lisa; Walsh, Aisling; Keane, Theresa; Rafter, Natasha</t>
  </si>
  <si>
    <t>Videos of simulated after action reviews: a training resource to support social and inclusive learning from patient safety events</t>
  </si>
  <si>
    <t>BMJ OPEN QUALITY</t>
  </si>
  <si>
    <t>Hand-off; Patient safety; Simulation; Teamwork; Medical education</t>
  </si>
  <si>
    <t>BEHAVIOR</t>
  </si>
  <si>
    <t>Innovation in the education and training of healthcare staff is required to support complementary approaches to learning from patient safety and everyday events in healthcare. Debriefing is a commonly used learning tool in healthcare education but not in clinical practice. Little is known about how to implement debriefing as an approach to safety learning across a health system. After action review (AAR) is a debriefing approach designed to help groups come to a shared mental model about what happened, why it happened and to identify learning and improvement. This paper describes a digital-based implementation strategy adapted to the Irish healthcare system to promote AAR uptake. The digital strategy aims to assist implementation of national level incident management policies and was collaboratively developed by the RCSI University of Medicine and Health Sciences and the National Quality and Patient Safety Directorate of the Health Service Executive. During the COVID-19 pandemic, a well-established in-person AAR training programme was disrupted and this led to the development of a series of open access videos on AAR facilitation skills (which accompany the online version of this paper). These provide: (1) an introduction to the AAR facilitation process; (2) a simulation of a facilitated formal AAR; (3) techniques for handling challenging situations that may arise in an AAR and a (4) reflection on the benefits of the AAR process. These have the potential to be used widely to support learning from patient safety and everyday events including excellent care.</t>
  </si>
  <si>
    <t>[McCarthy, Siobhan E.; Keane, Theresa] RCSI Univ Med &amp; Hlth Sci, Grad Sch Healthcare Management, Dublin, Ireland; [Hogan, Catherine; Jenkins, Loretta; Schwanberg, Lorraine] Natl Qual &amp; Patient Safety Directorate, Hlth Serv Execut, Off Chief Clin Officer, Dublin, Ireland; [Williams, David J.] RCSI Univ Med &amp; Hlth Sci, Dept Geriatr &amp; Stroke Med, Dublin, Ireland; [Mellon, Lisa] RCSI Univ Med &amp; Hlth Sci, Sch Populat Hlth, Dept Hlth Psychol, Dublin, Ireland; [Walsh, Aisling; Rafter, Natasha] RCSI Univ Med &amp; Hlth Sci, Sch Populat Hlth, Dept Publ Hlth &amp; Epidemiol, Dublin, Ireland</t>
  </si>
  <si>
    <t>McCarthy, SE (corresponding author), RCSI Univ Med &amp; Hlth Sci, Grad Sch Healthcare Management, Dublin, Ireland.</t>
  </si>
  <si>
    <t>smccarthy@rcsi.ie</t>
  </si>
  <si>
    <t>Walsh, Aisling/0000-0002-5312-5101</t>
  </si>
  <si>
    <t>2399-6641</t>
  </si>
  <si>
    <t>BMJ OPEN QUAL</t>
  </si>
  <si>
    <t>BMJ Open Qual.</t>
  </si>
  <si>
    <t>e002270</t>
  </si>
  <si>
    <t>10.1136/bmjoq-2023-002270</t>
  </si>
  <si>
    <t>Health Care Sciences &amp; Services; Medicine, General &amp; Internal</t>
  </si>
  <si>
    <t>Health Care Sciences &amp; Services; General &amp; Internal Medicine</t>
  </si>
  <si>
    <t>O6TQ4</t>
  </si>
  <si>
    <t>WOS:001045112600001</t>
  </si>
  <si>
    <t>Morán, AMI; Gómez, LKA; Villanueva, LKB; Hernández, SDA</t>
  </si>
  <si>
    <t>Moran, Aida Margarita Izquierdo; Gomez, Lyzbeth Kruscthalia alvarez; Villanueva, Lisenia Karina Baque; Hernandez, Sary del Rocio alvarez</t>
  </si>
  <si>
    <t>DEVELOPMENT OF DIGITAL MARKETING STRATEGIES TO IMPROVE THE COMMERCIALIZATION OF HARDWARE PRODUCTS IN THE COMPANY FERROMETALES ALLAN DEL CANTÓN QUEVEDO</t>
  </si>
  <si>
    <t>REVISTA UNIVERSIDAD Y SOCIEDAD</t>
  </si>
  <si>
    <t>Spanish</t>
  </si>
  <si>
    <t>digital strategies; administrative sciences; qualitative and quantitative methodology; organizational actions</t>
  </si>
  <si>
    <t>After overcoming the COVID-19 pandemic, the business market experienced significant expansion, which spurred the development of new business ventures in a variety of industries, including corporate, industrial, and textile, among others. Many companies have been affected by the global economic downturn, requiring the implementation of new strategies to drive sales and improve product marketing. In order to develop digital marketing strategies for the company, a descriptive qualitative and quantitative methodology was used, with the application of analytical, synthetic, inductive and deductive methods, as well as the particular method of administrative sciences. Survey techniques were used to obtain relevant information on the object of study. The results obtained through the application of the SWOT matrix allowed the establishment of clear objectives, the development of the appropriate commercial direction, the creation of the digital strategy and the improvement of the structure of processes and procedures through the execution of the necessary internal organizational actions, to increase the competitiveness of the ferret company Allan del Canton Quevedo.</t>
  </si>
  <si>
    <t>[Moran, Aida Margarita Izquierdo; Gomez, Lyzbeth Kruscthalia alvarez; Villanueva, Lisenia Karina Baque] Univ Reg Autonoma Los Andes Quevedo, Quevedo, Ecuador; [Hernandez, Sary del Rocio alvarez] Univ Reg Autonoma Los Andes Ibarra, Ibarra, Ecuador</t>
  </si>
  <si>
    <t>Morán, AMI (corresponding author), Univ Reg Autonoma Los Andes Quevedo, Quevedo, Ecuador.</t>
  </si>
  <si>
    <t>uq.aidaizquierdo@uniandes.edu.ec; uq.lyzbethalvarez@uniandes.edu.ec; uq.liseniabaque@uniandes.edu.ec; ui.saryalvarez@uniandes.edu.ec</t>
  </si>
  <si>
    <t>UNIV CIENFUEGOS</t>
  </si>
  <si>
    <t>CIENFUEGOS</t>
  </si>
  <si>
    <t>CARRETERA RODAS KM 4, CUATRO CAMINOS, CIENFUEGOS, 00000, CUBA</t>
  </si>
  <si>
    <t>2218-3620</t>
  </si>
  <si>
    <t>REV UNIV SOC</t>
  </si>
  <si>
    <t>Rev. Univ. Soc.</t>
  </si>
  <si>
    <t>JUL-AUG</t>
  </si>
  <si>
    <t>Social Sciences, Interdisciplinary</t>
  </si>
  <si>
    <t>Social Sciences - Other Topics</t>
  </si>
  <si>
    <t>W1AA1</t>
  </si>
  <si>
    <t>WOS:001089011500007</t>
  </si>
  <si>
    <t>Mosch, P; Majocco, P; Obermaier, R</t>
  </si>
  <si>
    <t>Mosch, Philipp; Majocco, Philipp; Obermaier, Robert</t>
  </si>
  <si>
    <t>Contrasting value creation strategies of industrial-IoT-platforms-a multiple case study</t>
  </si>
  <si>
    <t>Digital platform; Industrial internet-of-thing; Value creation logic; Multiple case study; Digital strategy</t>
  </si>
  <si>
    <t>DIGITAL SERVITIZATION; BUSINESS MODELS; COMPETITION; TECHNOLOGIES; PERSPECTIVES; INNOVATION; ECONOMIES; FUTURE</t>
  </si>
  <si>
    <t>Previous platform research has drawn attention primarily to digital consumer platforms, ignoring the specificities of industrial settings. Hence, existing research findings fall short regarding Industrial Internet-of-Things Plat-forms (IIoTP), which leads to an incomplete understanding of digital platforms. Particularly, IIoTPs from Internet technology firms (Hyperscalers) and incumbent industrial firms (Integrated IIoTPs) deserve special interest due to their coopetitive relationships. Addressing this research need, the study applies explorative multiple case study research to five of these IIoTPs, by analyzing 22 interviews, to describe this phenomenon in-depth in its contextual conditions. As a result, the authors empirically derive, based on existing frameworks and classifica-tions, (1) which strategic measures are needed for a successful evolvement, and (2) which dynamic strategic trajectories occur. We report several findings. First, this study contributes to the literature by showing that existing theories of digital platforms are fertile ground for further and more nuanced empirical research. Second, through the linkage of five strategic measures to the dominant value creation logics, the authors provide important contextualization on different vertical platform layers. Third, the study offers IIoTP managers insights by identifying dynamic strategic trajectories that reveal Hyperscalers are in the best position to profit from innovation, thereby reversing the common notion that downstream positioning is a prerequisite for success.</t>
  </si>
  <si>
    <t>[Mosch, Philipp; Majocco, Philipp; Obermaier, Robert] Univ Passau, Chair Business Econ Accounting &amp; Control, Passau, Germany; [Mosch, Philipp] Innstr 27, D-94032 Passau, Germany</t>
  </si>
  <si>
    <t>University of Passau</t>
  </si>
  <si>
    <t>Mosch, P (corresponding author), Innstr 27, D-94032 Passau, Germany.</t>
  </si>
  <si>
    <t>philipp.mosch@uni-passau.de; philipp.majocco@uni-passau.de; robert.obermaier@uni-passau.de</t>
  </si>
  <si>
    <t>10.1016/j.ijpe.2023.108937</t>
  </si>
  <si>
    <t>M7GK6</t>
  </si>
  <si>
    <t>WOS:001031861600001</t>
  </si>
  <si>
    <t>Nazarko, A; Fedotov, O</t>
  </si>
  <si>
    <t>Nazarko, Artem; Fedotov, Oleksii</t>
  </si>
  <si>
    <t>The Power of Digitization: Transforming Ukraine's Customs Service</t>
  </si>
  <si>
    <t>GLOBAL TRADE AND CUSTOMS JOURNAL</t>
  </si>
  <si>
    <t>customs; digital transformation; digitalization; information technology; electronic customs procedures; automation; Customs Service of Ukraine</t>
  </si>
  <si>
    <t>The article analyses the specifics of implementing the processes of digital development, digital transformation, and digitalization of the State Customs Service of Ukraine. The article scrutinizes the legal norms regulating the digital transformation of the State Customs Service of Ukraine to ensure qualitatively new, convenient, and accelerated processes of customs affairs in Ukraine. The article analyses the trend formulated at the normative level regarding the fulfilment by Ukraine of the international legal obligations of the State Customs Service of Ukraine. The article emphasizes that the implementation of relevant measures should be carried out with the help of timely corrections of national legislation. The article focuses on the fact that the world trends of digitalization set new tasks to ensure the functioning of modern, accessible, managed, and cyber-secure electronic information systems that work under the fundamental principles of customs affairs effectiveness. The article outlines the directions of further implementation of the processes of digital development, digital transformation, and digitalization of the State Customs Service of Ukraine in accordance with European and international requirements in the context of the digital strategy of the development of society. The authors conclude that a new cyber-physical system began to form due to innovations in Ukraine. All elements and participants continuously interact with each other, ensuring the constant optimization of the integrated digital system.</t>
  </si>
  <si>
    <t>[Nazarko, Artem] London South Bank Univ, London, England; [Nazarko, Artem] Natl Univ Odesa, Law Acad, Odesa, Ukraine; [Fedotov, Oleksii] Natl Univ Odesa, Law Acad, Customs Law, Odesa, Ukraine</t>
  </si>
  <si>
    <t>London South Bank University; Ministry of Education &amp; Science of Ukraine; National University Odesa Law Academy; Ministry of Education &amp; Science of Ukraine; National University Odesa Law Academy</t>
  </si>
  <si>
    <t>Nazarko, A (corresponding author), London South Bank Univ, London, England.;Nazarko, A (corresponding author), Natl Univ Odesa, Law Acad, Odesa, Ukraine.</t>
  </si>
  <si>
    <t>nazzarkoartem@gmail.com; fedotov_ap@ukr.net</t>
  </si>
  <si>
    <t>KLUWER LAW INT</t>
  </si>
  <si>
    <t>ALPHEN AAN DEN RIJN</t>
  </si>
  <si>
    <t>ZUIDPOOLSINGEL 2, PO BOX 316, 2400 AH ALPHEN AAN DEN RIJN, NETHERLANDS</t>
  </si>
  <si>
    <t>1569-755X</t>
  </si>
  <si>
    <t>1875-6468</t>
  </si>
  <si>
    <t>GLOB TRADE CUST J</t>
  </si>
  <si>
    <t>Glob. Trade Cust. J.</t>
  </si>
  <si>
    <t>7-8</t>
  </si>
  <si>
    <t>International Relations</t>
  </si>
  <si>
    <t>L0WP4</t>
  </si>
  <si>
    <t>WOS:001020547500001</t>
  </si>
  <si>
    <t>Bonfanti, A; Vigolo, V; Vannucci, V; Brunetti, F</t>
  </si>
  <si>
    <t>Bonfanti, Angelo; Vigolo, Vania; Vannucci, Virginia; Brunetti, Federico</t>
  </si>
  <si>
    <t>Creating memorable shopping experiences to meet phygital customers' needs: evidence from sporting goods stores</t>
  </si>
  <si>
    <t>INTERNATIONAL JOURNAL OF RETAIL &amp; DISTRIBUTION MANAGEMENT</t>
  </si>
  <si>
    <t>Customer experience management; In-store technology; Customer engagement; Phygital retailing; Retail store experience; Sporting goods stores</t>
  </si>
  <si>
    <t>RETAIL ATMOSPHERICS; CONSUMER-BEHAVIOR; FRAMEWORK; IMPACT; MOTIVATION</t>
  </si>
  <si>
    <t>PurposeThis study focuses on memorable customer shopping experience design in the sporting goods retail setting. It aims to identify the phygital customers' needs and expectations that are satisfied through in-store technologies and to detect the in-store strategies that use these technologies to make the store attractive and experiential.Design/methodology/approachThis exploratory study adopted a qualitative research methodology, specifically a multiple-case study, by performing semi-structured interviews with sporting goods store managers.FindingsSporting goods retailers use various in-store technologies to create a phygital customer shopping experience, including devices, mobile apps, wireless communication technologies, in-store activations, support devices, intelligent stations, and sensors. To improve the phygital customer journey and the phygital shopping experience, retailers meet customers' needs for utilitarian, hedonic, social, and playfulness experiences. Purely physical or digital strategies, as well as phygital strategies, are identified. This research also proposes a model of in-store phygital customer shopping experience design for sporting goods retailers.Practical implicationsSporting goods managers can invest in multiple technologies by designing a physical environment according to the customers' needs for utilitarian, hedonic, social, and playful experiences. In addition, they can improve the phygital customer shopping experience with specific push strategies that increase customer engagement and, in turn, brand and store loyalty.Originality/valueThis study highlights how the phygital customer experiential journey can be created through new technologies and improved with specific reference to the sporting goods stores.</t>
  </si>
  <si>
    <t>[Bonfanti, Angelo; Vigolo, Vania; Brunetti, Federico] Univ Verona, Dept Management, Verona, Italy; [Vannucci, Virginia] Univ Bologna, Dipartimento Sci Aziendali, Bologna, Italy</t>
  </si>
  <si>
    <t>University of Verona; University of Bologna</t>
  </si>
  <si>
    <t>Bonfanti, A (corresponding author), Univ Verona, Dept Management, Verona, Italy.</t>
  </si>
  <si>
    <t>angelo.bonfanti@univr.it; vania.vigolo@univr.it; v.vannucci@unibo.it; federico.brunetti@univr.it</t>
  </si>
  <si>
    <t>Rau, Lea/IXW-9119-2023</t>
  </si>
  <si>
    <t>BONFANTI, Angelo/0000-0002-3332-9780</t>
  </si>
  <si>
    <t>0959-0552</t>
  </si>
  <si>
    <t>1758-6690</t>
  </si>
  <si>
    <t>INT J RETAIL DISTRIB</t>
  </si>
  <si>
    <t>Int. J. Retail Distrib. Manag.</t>
  </si>
  <si>
    <t>JUN 30</t>
  </si>
  <si>
    <t>10.1108/IJRDM-12-2021-0588</t>
  </si>
  <si>
    <t>K9WK6</t>
  </si>
  <si>
    <t>WOS:001019862400001</t>
  </si>
  <si>
    <t>Soloaga, PD; Dominguez, GM; Zhou, J</t>
  </si>
  <si>
    <t>Soloaga, Paloma Diaz; Dominguez, Gemma Munoz; Zhou, Jing</t>
  </si>
  <si>
    <t>Legacy transmission through fashion films: Visual and narrative brand heritage integration</t>
  </si>
  <si>
    <t>JOURNAL OF GLOBAL FASHION MARKETING</t>
  </si>
  <si>
    <t>Brand heritage; communication; digital strategy; fashion film; luxury brand</t>
  </si>
  <si>
    <t>COMMUNICATION; OUTCOMES</t>
  </si>
  <si>
    <t>On this research, we analyze how fashion houses transmit the spirit of the brands, convey the values that constitute their identity and show their heritage through fashion films. High end luxury brands with a long heritage such as Dior and Chanel, use audiovisual narratives fashion films, a form of visual and artistic communication, where the content establishes an emotional relationship between brand and customers and recreates the origins of the brand. Authors primarily selected, classified, and analyzed all fashion films that Chanel and Dior had published on YouTube, and then study a series of representative samples selected from all those contents created by fashion brands. Based on the number of views, likes and comments of each video, it is possible to see the interaction between the brand and the audience and the engagement among the different fashion films. It also delves into the key of the brand to unearth the inheritance and tradition of its origin, trying to record the history of Maison to reach a wider audience and convey a series of values to new digital consumers. The combination of heritage and vitality through digital activities is oriented to deliver values that have a significant impact on the audience.</t>
  </si>
  <si>
    <t>[Soloaga, Paloma Diaz; Dominguez, Gemma Munoz; Zhou, Jing] Univ Complutense Madrid, Madrid, Spain</t>
  </si>
  <si>
    <t>Complutense University of Madrid</t>
  </si>
  <si>
    <t>Soloaga, PD (corresponding author), Univ Complutense Madrid, Madrid, Spain.</t>
  </si>
  <si>
    <t>pdiaz@ucm.es</t>
  </si>
  <si>
    <t>ZHOU, JING/0009-0000-4307-5924; Munoz Dominguez, Gemma/0000-0003-0854-5534; Diaz Soloaga, Paloma/0000-0003-1798-1768</t>
  </si>
  <si>
    <t>TAYLOR &amp; FRANCIS LTD</t>
  </si>
  <si>
    <t>2-4 PARK SQUARE, MILTON PARK, ABINGDON OR14 4RN, OXON, ENGLAND</t>
  </si>
  <si>
    <t>2093-2685</t>
  </si>
  <si>
    <t>2325-4483</t>
  </si>
  <si>
    <t>J GLOB FASH MARK</t>
  </si>
  <si>
    <t>J. Glob. Fash. Mark.</t>
  </si>
  <si>
    <t>OCT 2</t>
  </si>
  <si>
    <t>SI</t>
  </si>
  <si>
    <t>10.1080/20932685.2023.2214164</t>
  </si>
  <si>
    <t>JUN 2023</t>
  </si>
  <si>
    <t>Business</t>
  </si>
  <si>
    <t>R8TW2</t>
  </si>
  <si>
    <t>WOS:001016606200001</t>
  </si>
  <si>
    <t>Dittrich, F; Albrecht, UV</t>
  </si>
  <si>
    <t>Dittrich, Florian; Albrecht, Urs-Vito</t>
  </si>
  <si>
    <t>Secure app usage-Evaluation benchmarks for medical apps Quality aspects for health apps based on 9 key criteria</t>
  </si>
  <si>
    <t>ORTHOPADIE</t>
  </si>
  <si>
    <t>German</t>
  </si>
  <si>
    <t>Consensus development; Data security; Mobile apps; Risk-benefit assessment; Smartphone</t>
  </si>
  <si>
    <t>Smartphones and health apps are an integral part of everyday life. They are increasingly being used for medical purposes. However, there is no fundamental basis or consensus on the evidence on which decisions are made towards a unified digital strategy. Consequently, the understanding of the quality of health apps is only inconsistent and fuzzily defined. The 9 quality criteria presented by the Association of Medical Societies (AWMF)-transparency, appropriateness, risk appropriateness, ethical harmlessness, legal conformity, content validity, technical appropriateness, usability, resource efficiency-serve as a guide for individual and institutionalized quality assessment. The principles are based on a comprehensive compilation of existing (inter-) national standards and evaluation benchmarks. Analogously to usual medical practice, it is also obligatory to conduct one's own research for a suitable app and to weigh up the risks and benefits when using an app.</t>
  </si>
  <si>
    <t>[Dittrich, Florian] Gelenkzentrum Berg Land, Remscheid, Germany; [Dittrich, Florian] Univ Saarland, Klin Orthopadie &amp; Orthopad Chirurg, Homburg, Germany; [Dittrich, Florian; Albrecht, Urs-Vito] Univ Bielefeld, Med Fak OWL, AG 4 Digitale Med, Bielefeld, Germany</t>
  </si>
  <si>
    <t>Saarland University; University of Bielefeld</t>
  </si>
  <si>
    <t>Dittrich, F (corresponding author), Univ Bielefeld, Med Fak OWL, AG 4 Digitale Med, Bielefeld, Germany.</t>
  </si>
  <si>
    <t>dittrich@gelenkzentrum-bergischland.de</t>
  </si>
  <si>
    <t>2731-7145</t>
  </si>
  <si>
    <t>2731-7153</t>
  </si>
  <si>
    <t>Orthopadie</t>
  </si>
  <si>
    <t>2023 JUN 22</t>
  </si>
  <si>
    <t>10.1007/s00132-023-04395-1</t>
  </si>
  <si>
    <t>Orthopedics</t>
  </si>
  <si>
    <t>K9BK3</t>
  </si>
  <si>
    <t>WOS:001019315200001</t>
  </si>
  <si>
    <t>Kiernan, A; Boland, F; Moneley, D; Doyle, F; Harkin, DW</t>
  </si>
  <si>
    <t>Kiernan, Aoife; Boland, Fiona; Moneley, Daragh; Doyle, Frank; Harkin, Denis W.</t>
  </si>
  <si>
    <t>Varicose Vein Education and Informed coNsent (VVEIN) study: a randomised controlled pilot feasibility study</t>
  </si>
  <si>
    <t>Consent; Digital consent; Health education tool; Endovenous thermal ablation; Vascular surgery; Venous disease</t>
  </si>
  <si>
    <t>SHARED DECISION-MAKING; VASCULAR-SURGERY; SURGICAL-PROCEDURES; PATIENT; CLAIMS; CARE; RECOMMENDATIONS; ABLATION; SIZE</t>
  </si>
  <si>
    <t>Introduction Doctors have a legal requirement and duty of care to ensure patients are enabled to make an informed decision about their treatment, including discussion of the benefits, risks and alternatives to a procedure. A patient-centred approach to consent has been firmly established in Ireland, and fundamental to this is the ability to engage in a dialogue that offers comprehensible information to patients. Telemedicine has revolutionised the way we can deliver care to patients in the modern era of computers, tablets, and smartphones, and its use has been rapidly expanded. Novel digital strategies to improve the informed consent process for surgical procedures have been increasingly under investigation over the last 10-15 years and may offer a low cost, accessible and tailored solution to consent for surgical interventions. Within vascular surgery, superficial venous interventions have been associated with a high number medicolegal claims and also represents an area within the specialty with rapidly evolving technology and techniques. The ability to communicate comprehensible information to patients has never been greater. Thus, the author's aim is to explore whether it is feasible and acceptable to deliver a digital health education intervention to patients undergoing endovenous thermal ablation (EVTA) to supplement the consent process. Methods This is a prospective, single centre, randomised controlled, feasibility trial recruiting patients with chronic venous disease deemed suitable to undergo EVTA. Patients will be randomised to receive either standard consent (SC) or a newly developed digital health education tool (dHET). The primary outcome is feasibility; assessing the recruitment and retention rate of participants and assessing acceptability of the intervention. Secondary outcomes include knowledge retention, anxiety and satisfaction. This feasibility trial is designed to recruit 40 patients, which will allow for a moderate dropout rate. This pilot study will inform the authors of the appropriateness of an adequately powered multicentre trial. Discussion To examine the role of a digital consent solution for EVTA. This may improve and standardise the consent dialogue with patients and may have the potential to reduce claims related to poor consent processes and disclosure of risks. Ethical committee reference Ethical approval has been sought and received from both the Bon Secours Hospital and RCSI (202109017), on 14 May 2021 and 10 October 2021, respectively. Trial registration ClinicalTrials.gov Identifier: NCT05261412, registered on 1 March 2022</t>
  </si>
  <si>
    <t>[Kiernan, Aoife; Harkin, Denis W.] Royal Coll Surg, Strateg Acad Res StAR Programme, Dublin, Ireland; [Kiernan, Aoife; Moneley, Daragh; Harkin, Denis W.] Bon Secours Hlth Syst, Dept Vasc Surg, Dublin, Ireland; [Boland, Fiona] RCSI Univ Med &amp; Hlth Sci, Data Sci Ctr, Sch Populat Hlth, Dublin, Ireland; [Moneley, Daragh] Beaumont Hosp, Dept Vasc Surg, Dublin, Ireland; [Doyle, Frank] RCSI Univ Med &amp; Hlth Sci, Sch Populat Hlth, Dept Hlth Psychol, Dublin, Ireland; [Harkin, Denis W.] RCSI Univ Med &amp; Hlth Sci, Dept Med Professionalism, Dublin, Ireland</t>
  </si>
  <si>
    <t>Royal College of Surgeons - Ireland</t>
  </si>
  <si>
    <t>Kiernan, A (corresponding author), Royal Coll Surg, Strateg Acad Res StAR Programme, Dublin, Ireland.;Kiernan, A (corresponding author), Bon Secours Hlth Syst, Dept Vasc Surg, Dublin, Ireland.</t>
  </si>
  <si>
    <t>aoifekiernan.ak@gmail.com</t>
  </si>
  <si>
    <t>Harkin, Denis/0000-0002-4701-8350</t>
  </si>
  <si>
    <t>Bon Secours Health System (Ireland) [DC21139A01]</t>
  </si>
  <si>
    <t>Bon Secours Health System (Ireland)</t>
  </si>
  <si>
    <t>EIDOTM healthcare will be providing the consent suite free of charge (co-designed with AK, primary investigator), for the duration of the trial. EIDO have no involvement in the design or running of this feasibility study.The Royal College of Surgeons in Ireland, Strategic Academic Research (StAR) programme together with the Bon Secours Health System (Ireland) are sponsoring this study through a research grant DC21139A01</t>
  </si>
  <si>
    <t>JUN 22</t>
  </si>
  <si>
    <t>10.1186/s40814-023-01336-9</t>
  </si>
  <si>
    <t>K7UU7</t>
  </si>
  <si>
    <t>WOS:001018461900002</t>
  </si>
  <si>
    <t>Gaynor, SW; Gimpel, JG</t>
  </si>
  <si>
    <t>Gaynor, SoRelle W.; Gimpel, James G.</t>
  </si>
  <si>
    <t>Building Support Through the Personalization of Twitter Messages in a Permanent Campaign</t>
  </si>
  <si>
    <t>AMERICAN POLITICS RESEARCH</t>
  </si>
  <si>
    <t>political campaigns; social media; digital strategy; twitter; incumbency</t>
  </si>
  <si>
    <t>SOCIAL MEDIA; CANDIDATES USE; INTERACTIVITY; ORIENTATION; EXTREMISTS; KNOWLEDGE; AGE</t>
  </si>
  <si>
    <t>Not all aspects of a campaign are issue-oriented, nor are many voters. A candidate builds mass support largely by appearing warm, friendly, and likable, not only by propagating their viewpoints on controversial issues. Based on a prominent candidate's Twitter accounts and the associated analytics, our research analyzes the online content and reaction to every post across a four-year period, both before and after a major general election. Twitter's analytic measures demonstrate how a campaign uses social media to accomplish very different outreach goals. Warm and non-politically oriented messages attract broad support in the form of audience likes but are not retweeted with as much frequency as messages that are less liked but more politically pointed. The undeniable popularity of personal, earnest messages underscores the power of the social media platform to present candidates in an approachable and convivial way, despite the necessity of taking positions on difficult issues.</t>
  </si>
  <si>
    <t>[Gaynor, SoRelle W.] Coll Holy Cross, Dept Polit Sci, Worcester, MA USA; [Gimpel, James G.] Univ Maryland, Dept Govt &amp; Polit, College Pk, MD USA; [Gimpel, James G.] Univ Maryland, Dept Govt &amp; Polit, 3140 Tydings Hall, College Pk, MD 20742 USA</t>
  </si>
  <si>
    <t>College of the Holy Cross; University System of Maryland; University of Maryland College Park; University System of Maryland; University of Maryland College Park</t>
  </si>
  <si>
    <t>Gimpel, JG (corresponding author), Univ Maryland, Dept Govt &amp; Polit, 3140 Tydings Hall, College Pk, MD 20742 USA.</t>
  </si>
  <si>
    <t>jgimpel@gvpt.umd.edu</t>
  </si>
  <si>
    <t>SAGE PUBLICATIONS INC</t>
  </si>
  <si>
    <t>THOUSAND OAKS</t>
  </si>
  <si>
    <t>2455 TELLER RD, THOUSAND OAKS, CA 91320 USA</t>
  </si>
  <si>
    <t>1532-673X</t>
  </si>
  <si>
    <t>1552-3373</t>
  </si>
  <si>
    <t>AM POLIT RES</t>
  </si>
  <si>
    <t>Am. Polit. Res.</t>
  </si>
  <si>
    <t>10.1177/1532673X231184434</t>
  </si>
  <si>
    <t>Political Science</t>
  </si>
  <si>
    <t>Q7HZ6</t>
  </si>
  <si>
    <t>WOS:001009298700001</t>
  </si>
  <si>
    <t>Cavalieri, M; Ferrante, L; Martorana, M; Rizzo, I</t>
  </si>
  <si>
    <t>Cavalieri, Marina; Ferrante, Livio; Martorana, Marco; Rizzo, Ilde</t>
  </si>
  <si>
    <t>The ICT strategy of Italian museums: institutional, supply and demand side drivers</t>
  </si>
  <si>
    <t>ECONOMICS OF INNOVATION AND NEW TECHNOLOGY</t>
  </si>
  <si>
    <t>Museums; ICT; technological innovation; demand-side factors; Italy</t>
  </si>
  <si>
    <t>TECHNOLOGIES; CULTURE; AUTHENTICITY; EXPERIENCE; PROVISION; HERITAGE; POLICY; AGE</t>
  </si>
  <si>
    <t>It is common wisdom that the diffusion of information and communication technology (ICT) in cultural institutions can influence their mission and activities, reshaping their role as producers and distributors of cultural content. Nevertheless, the extent of ICT facilities in European museums has been rather scarce, although recently it has grown faster in response to the new challenges brought up by the COVID-19 crisis. This paper aims at exploring the drivers of the ICT strategy adopted by museums and similar institutions (in terms of both in situ and online services), considering not only supply-side but also demand-side characteristics. To the best of our knowledge, such an issue has not been investigated so far in a systematic way. We use a novel dataset based on three waves (2011, 2015, 2018) of a census survey carried out by the Italian National Statistical Office on all the cultural institutes spread over the Italian territory. Results show that supply-side, demand-side and contextual factors are significantly associated with the use of ICT by museums and similar institutions. Interestingly, we find that the relationship between demand features and museums' digital strategy is closely related to the type of services and to the presence of financial incentives.</t>
  </si>
  <si>
    <t>[Cavalieri, Marina; Ferrante, Livio; Martorana, Marco; Rizzo, Ilde] Univ Catania, Dept Econ &amp; Business, Catania, Italy</t>
  </si>
  <si>
    <t>University of Catania</t>
  </si>
  <si>
    <t>Ferrante, L (corresponding author), Univ Catania, Dept Econ &amp; Business, Catania, Italy.</t>
  </si>
  <si>
    <t>lferrante@unict.it</t>
  </si>
  <si>
    <t>Martorana, Marco Ferdinando/0000-0003-2616-4460</t>
  </si>
  <si>
    <t>1043-8599</t>
  </si>
  <si>
    <t>1476-8364</t>
  </si>
  <si>
    <t>ECON INNOV NEW TECH</t>
  </si>
  <si>
    <t>Econ. Innov. New Technol.</t>
  </si>
  <si>
    <t>2023 JUN 10</t>
  </si>
  <si>
    <t>10.1080/10438599.2023.2222268</t>
  </si>
  <si>
    <t>I7EP2</t>
  </si>
  <si>
    <t>WOS:001004384200001</t>
  </si>
  <si>
    <t>Lestari, D; Ma, SG; Jun, AL</t>
  </si>
  <si>
    <t>Lestari, Diyan; Ma, Shiguang; Jun, Aelee</t>
  </si>
  <si>
    <t>Enhancing bank stability from diversification and digitalization perspective in ASEAN</t>
  </si>
  <si>
    <t>STUDIES IN ECONOMICS AND FINANCE</t>
  </si>
  <si>
    <t>Diversification; Digitalization; Stability</t>
  </si>
  <si>
    <t>INCOME DIVERSIFICATION; PANEL-DATA; REVENUE DIVERSIFICATION; RISK EVIDENCE; MARKET POWER; COMPETITION; BUSINESS; IMPACT; PERFORMANCE; TECHNOLOGY</t>
  </si>
  <si>
    <t>PurposeThe financial sector's resilience is associated with greater prosperity and a better average income. Banks have evolved their business model and diversified their sources of income, and bank digitalization has become one of the prominent strategies. The purpose of this study is to examine how bank service expansion represented by revenue diversification activities and digital strategy will enhance bank stability in ASEAN countries from 2010 to 2021. Design/methodology/approachThis study uses information from the Datastream database and banks' annual reports to measure bank stability, diversification and market power, which also provide information for bank digital strategy. This study uses the two-step system generalized method of moments to investigate the effect of diversification and digitalization on bank stability in ASEAN. FindingsThe results of this study show that bank revenue diversification has no effect on bank stability, and the presence of the chief digital officer and digital disclosure improves banks' stability. However, alliance strategy with financial technology companies does not significantly impact bank stability and might increase bank risk. Practical implicationsThe findings of this study provide relevant policy implications: the regulation should support bank business to diversify the source of income; regulators and policymakers should regulate and enhance the Information and Communication Technology infrastructure; and banks should design their strategy comprehensively. Originality/valueThis study provides new evidence of the essential role of digital strategy in enhancing bank stability in ASEAN. In addition, this study also shows how banks diversify their business in a competitive environment.</t>
  </si>
  <si>
    <t>[Lestari, Diyan; Ma, Shiguang; Jun, Aelee] Univ Wollongong, Sch Business, Wollongong, Australia; [Lestari, Diyan] Inst Teknol &amp; Bisnis Kalbis, Fac Business &amp; Commun, Jakarta, Indonesia</t>
  </si>
  <si>
    <t>University of Wollongong</t>
  </si>
  <si>
    <t>Lestari, D (corresponding author), Univ Wollongong, Sch Business, Wollongong, Australia.;Lestari, D (corresponding author), Inst Teknol &amp; Bisnis Kalbis, Fac Business &amp; Commun, Jakarta, Indonesia.</t>
  </si>
  <si>
    <t>diyan.lestari@kalbis.ac.id; shiguang@uow.edu.au; ajun@uow.edu.au</t>
  </si>
  <si>
    <t>ma, shiguang/0000-0003-4510-4236</t>
  </si>
  <si>
    <t>1086-7376</t>
  </si>
  <si>
    <t>1755-6791</t>
  </si>
  <si>
    <t>STUD ECON FINANC</t>
  </si>
  <si>
    <t>Stud. Econ. Financ.</t>
  </si>
  <si>
    <t>AUG 22</t>
  </si>
  <si>
    <t>10.1108/SEF-12-2022-0554</t>
  </si>
  <si>
    <t>P4QX4</t>
  </si>
  <si>
    <t>WOS:000998454700001</t>
  </si>
  <si>
    <t>Aspiranti, T; Ali, Q; Amaliah, I</t>
  </si>
  <si>
    <t>Aspiranti, Tasya; Ali, Qaisar; Amaliah, Ima</t>
  </si>
  <si>
    <t>Big Data Analytics to Support Open Innovation Strategies in Banks</t>
  </si>
  <si>
    <t>RISKS</t>
  </si>
  <si>
    <t>open innovation; big data analytics; strategic resources; digital strategy; financial sector</t>
  </si>
  <si>
    <t>RESEARCH-AND-DEVELOPMENT; MANAGEMENT CAPABILITY; DYNAMIC CAPABILITIES; FINANCIAL OPENNESS; SERVICE INNOVATION; BUSINESS PROCESSES; PARTNER SELECTION; FIRM RESOURCES; HUMAN SIDE; PERFORMANCE</t>
  </si>
  <si>
    <t>Today's dynamic business environment has pushed service-oriented firms such as banks to collaborate with external partners through open innovation (OI) to address issues of service differentiation, optimize customer experience, and create effective open innovation strategies (OIS). However, the essential elements required to design OIS and the methods to manage these strategies are missing. Therefore, this study aims to investigate the strategic resources essential to creating OIS and identify the tools to manage these resources. Following the fundamentals of the resource-based view (RBV), bank openness (BOP), selection of external partners (SEP), open innovation methods (OIM), formalizing collaboration processes (FCP), and banks' internal practices (BIP) are identified as the strategic elements required for creating OIS, and the role of big data analytics (BDA) in these strategic resources is examined. The data were collected through a survey questionnaire from 425 bank executives employed at different digital banks located in Malaysia. To achieve our research objectives, a quantitative deductive research design was employed and the collected data were processed in WarPLS using the structural equation modeling (SEM) technique to test the research hypotheses of this study. The empirical results reveal that BDA has a significant positive impact on BOP, SEP, and FCP, whereas OIM and BIP have an insignificant positive impact. The findings of this study contribute to designing a robust digital strategy to enhance the banking sector's contribution to the development of financial industries in developing countries by employing BDA as a major strategic policy tool of OIS</t>
  </si>
  <si>
    <t>[Aspiranti, Tasya; Ali, Qaisar; Amaliah, Ima] Univ Islam Bandung, Fac Econ &amp; Business, Bandung 40116, Indonesia</t>
  </si>
  <si>
    <t>Aspiranti, T (corresponding author), Univ Islam Bandung, Fac Econ &amp; Business, Bandung 40116, Indonesia.</t>
  </si>
  <si>
    <t>tasya@unisba.ac.id; qaisarali@unisba.ac.id; ima@unisba.ac.id</t>
  </si>
  <si>
    <t>Ali, Qaisar/0000-0002-6825-650X</t>
  </si>
  <si>
    <t>2227-9091</t>
  </si>
  <si>
    <t>Risks</t>
  </si>
  <si>
    <t>JUN</t>
  </si>
  <si>
    <t>10.3390/risks11060106</t>
  </si>
  <si>
    <t>K3YZ7</t>
  </si>
  <si>
    <t>WOS:001015841000001</t>
  </si>
  <si>
    <t>Bursic, E; Golja, T; Benassi, HM</t>
  </si>
  <si>
    <t>Bursic, Edgar; Golja, Tea; Benassi, Hermina Maras</t>
  </si>
  <si>
    <t>ANALYSIS OF CROATIAN PUBLIC MUSEUMS' DIGITAL INITIATIVES AMID COVID-19 AND RECOMMENDATIONS FOR MUSEUM MANAGEMENT AND GOVERNANCE</t>
  </si>
  <si>
    <t>MANAGEMENT-JOURNAL OF CONTEMPORARY MANAGEMENT ISSUES</t>
  </si>
  <si>
    <t>museum management and governance; digitisation; digital strategies; innovative museum experiences; digital transformation</t>
  </si>
  <si>
    <t>TOURISM</t>
  </si>
  <si>
    <t>The COVID-19 pandemic has presented challenges for public museums in Croatia. This study examines how museum management and professionals have responded to the closure of museums during the pandemic by exploring digital initiatives and online engagement with remote audiences. The authors analysed data from 162 Croatian museums registered in the Museum Documentation Centre in Zagreb to investigate the relationship between socioeconomic and demographic indicators and museums' digital activities using multiple regression analysis. The findings revealed that half of the museums in the sample were active online, with social media being a commonly used platform. Interestingly, museums with a stronger online presence, lower regional unemployment rates, and a lower tourism development index were more likely to engage in activities during the pandemic. The authors conclude with recommendations for museum management and governance to embrace digital acceleration and adapt to the digital age. The study findings hold significant relevance for museums preparing for future pandemics or crises as they highlight the importance of digital initiatives and online presence in ensuring continued engagement with audiences during periods of closure. By leveraging digital tools and platforms, museums can overcome physical limitations and effectively reach remote audiences, thereby enhancing their resilience and adaptability in times of crisis. This study contributes to the understanding of museums' digital transformation in response to the COVID-19 pandemic and provides valuable insights for museum practitioners, policy-makers, and researchers to shape future strategies. Further research could explore the long-term impacts of digital initiatives on museums' sustainability and visitor engagement beyond the pandemic context.</t>
  </si>
  <si>
    <t>[Bursic, Edgar] Juraj Dobrila Univ Pula, Fac Humanities, Ronjgova 1, Pula 52100, Croatia; [Golja, Tea] Juraj Dobrila Univ Pula, Fac Econ &amp; Tourism Dr Mijo Mirkov, Preradoviceva 1-1, Pula 52100, Croatia; [Benassi, Hermina Maras] Univ Primorska, Fac Tourism Studies Turist, Obala 11a, Portoroz 6320, Slovenia</t>
  </si>
  <si>
    <t>University of Juraj Dobrila Pula; University of Juraj Dobrila Pula; University of Primorska</t>
  </si>
  <si>
    <t>Golja, T (corresponding author), Juraj Dobrila Univ Pula, Fac Econ &amp; Tourism Dr Mijo Mirkov, Preradoviceva 1-1, Pula 52100, Croatia.</t>
  </si>
  <si>
    <t>edgar.bursic@unipu.hr; tea.golja@unipu.hr; hermina.maras@yahoo.com</t>
  </si>
  <si>
    <t>Golja, Tea/0000-0003-3665-8181; Bursic, Edgar/0000-0001-7664-4804; Maras Benassi, Hermina/0000-0003-4606-5427</t>
  </si>
  <si>
    <t>UNIV SPLIT, FAC ECONOMICS</t>
  </si>
  <si>
    <t>SPLIT</t>
  </si>
  <si>
    <t>MATICE HRVATSKE 31, SPLIT, 21000, CROATIA</t>
  </si>
  <si>
    <t>1331-0194</t>
  </si>
  <si>
    <t>1846-3363</t>
  </si>
  <si>
    <t>MANAG-J CONTEMP MANA</t>
  </si>
  <si>
    <t>Manag.-J. Contemp. Manag. Issues</t>
  </si>
  <si>
    <t>10.30924/mjcmi.28.1.14</t>
  </si>
  <si>
    <t>L4EQ7</t>
  </si>
  <si>
    <t>WOS:001022810800005</t>
  </si>
  <si>
    <t>Ren, CM; Lin, XX</t>
  </si>
  <si>
    <t>Ren, Changman; Lin, Xiaoxing</t>
  </si>
  <si>
    <t>Research on digital spillover effect of internet enterprises - an exploratory study based on grounded theory</t>
  </si>
  <si>
    <t>APPLIED ECONOMICS</t>
  </si>
  <si>
    <t>Digital spillover; grounded theory; internet enterprises; digital strategy</t>
  </si>
  <si>
    <t>SUPPLY CHAIN; TRANSFORMATION; CAPABILITIES; INNOVATION; STRATEGY; THINGS; SMART</t>
  </si>
  <si>
    <t>In the wave of digital change, identifying the digital spillover effect of the Internet industry plays a vital role in promoting high-quality economic development. There is still a lack of academic discussion on the connotation of digital spillover of internet enterprises and a lack of shared understanding of the digital spillover effect dimension. This study comprehensively reviews the annual reports and analysis reports of internet enterprises, studies 50 internet enterprises' textual data through theoretical methods, and explores and constructs a complete set of internet enterprises' digital spillover effects model through the process of 'input-process-output'. The study finds that the digital spillover effect of internet enterprises is divided into five dimensions: digital production elements, digital practices, improving internal competitiveness, improving external competitiveness, and improving supply chain efficiency. Digital production elements are the production conditions of digital spillover of internet enterprises, digital practices are the practical actions of digital spillover of internet enterprises, and improving internal and external competitiveness as well as supply chain efficiency are the results of digital spillover of internet enterprises. This study enriches the theoretical framework related to the effect of digital spillover of internet enterprises and provides help to accelerate the promotion of digital practices of enterprises.</t>
  </si>
  <si>
    <t>[Ren, Changman] Ningde Normal Univ, Dept Business Adm, Ningde, Peoples R China; [Lin, Xiaoxing] Wuhan Univ Technol, Dept Business Adm, Wuhan, Peoples R China</t>
  </si>
  <si>
    <t>Ningde Normal University; Wuhan University of Technology</t>
  </si>
  <si>
    <t>Lin, XX (corresponding author), Wuhan Univ Technol, Dept Business Adm, Wuhan, Peoples R China.</t>
  </si>
  <si>
    <t>1020445267@qq.com</t>
  </si>
  <si>
    <t>0003-6846</t>
  </si>
  <si>
    <t>1466-4283</t>
  </si>
  <si>
    <t>APPL ECON</t>
  </si>
  <si>
    <t>Appl. Econ.</t>
  </si>
  <si>
    <t>2023 MAY 29</t>
  </si>
  <si>
    <t>10.1080/00036846.2023.2216439</t>
  </si>
  <si>
    <t>MAY 2023</t>
  </si>
  <si>
    <t>H4VU6</t>
  </si>
  <si>
    <t>WOS:000995965500001</t>
  </si>
  <si>
    <t>Kraus, S; Vonmetz, K; Orlandi, LB; Zardini, A; Rossignoli, C</t>
  </si>
  <si>
    <t>Kraus, Sascha; Vonmetz, Katharina; Orlandi, Ludovico Bullini; Zardini, Alessandro; Rossignoli, Cecilia</t>
  </si>
  <si>
    <t>Digital entrepreneurship: The role of entrepreneurial orientation and digitalization for disruptive innovation</t>
  </si>
  <si>
    <t>Digital strategy; Disruptive innovation; Entrepreneurial orientation; Digitalization; digital entrepreneurship; Competing hypotheses</t>
  </si>
  <si>
    <t>STRATEGIC ORIENTATIONS; PRODUCT INNOVATION; BUSINESS STRATEGY; PERFORMANCE; TECHNOLOGY; ENVIRONMENT; FIRMS; CAPABILITIES; DESTRUCTION; PERSPECTIVE</t>
  </si>
  <si>
    <t>Innovation boosts economic growth, and one of the most critical factors when considering innovation-driven growth is the role of disruptive innovation, which is hailed as a lodestar by leaders of both small and large firms. However, little is known about the role of entrepreneurial orientation (EO) and digitalization strategy in enhancing or hindering firms' disruptive innovation. Our study thus addresses the relationships between EO and firms' ability to develop disruptive innovation under consideration of the firm's digital strategy. Our empirical analysis is based on quantitative survey data from a sample of 242 firms across a variety of industries, geographic locations, and sizes. Our results demonstrate that EO has a significant positive effect on disruptive innovation and that deployment of a digitalization strategy is perceived as a metaphorical cage for disruptive innovation among highly entrepreneurially oriented firms. However, a digitalization strategy supports disruptive innovation when firms are less entrepreneurially oriented. The insight of this work is that firms should focus on EO to allow disruptive innovation and increase or decrease digitalization strategy deployment and planning depending on the level of EO.</t>
  </si>
  <si>
    <t>[Kraus, Sascha; Vonmetz, Katharina] Free Univ Bozen Bolzano, Fac Econ &amp; Management, Piazza Univ 1, I-39100 Bolzano, Italy; [Orlandi, Ludovico Bullini] Univ Bologna, Dept Management, Via Capo Lucca 34, I-40126 Bologna, Italy; [Zardini, Alessandro; Rossignoli, Cecilia] Univ Verona, Dept Business Adm, Via Cantarane 24, I-37129 Verona, Italy; [Kraus, Sascha] Univ Johannesburg, Dept Business Management, ZA-2092 Johannesburg, South Africa</t>
  </si>
  <si>
    <t>Free University of Bozen-Bolzano; University of Bologna; University of Verona; University of Johannesburg</t>
  </si>
  <si>
    <t>Kraus, S (corresponding author), Free Univ Bozen Bolzano, Fac Econ &amp; Management, Piazza Univ 1, I-39100 Bolzano, Italy.;Kraus, S (corresponding author), Univ Johannesburg, Dept Business Management, ZA-2092 Johannesburg, South Africa.</t>
  </si>
  <si>
    <t>sascha.kraus@zfke.de</t>
  </si>
  <si>
    <t>Zardini, Alessandro/J-8400-2014</t>
  </si>
  <si>
    <t>Zardini, Alessandro/0000-0002-2598-9877</t>
  </si>
  <si>
    <t>Open Access Publishing Fund by the Free University of Bozen-Bolzano</t>
  </si>
  <si>
    <t>This work was supported by the Open Access Publishing Fund provided by the Free University of Bozen-Bolzano.</t>
  </si>
  <si>
    <t>10.1016/j.techfore.2023.122638</t>
  </si>
  <si>
    <t>J9RP2</t>
  </si>
  <si>
    <t>WOS:001012928700001</t>
  </si>
  <si>
    <t>Behbehani, D; Komninos, N; Al-Begain, K; Rajarajan, M</t>
  </si>
  <si>
    <t>Behbehani, Dawood; Komninos, Nikos; Al-Begain, Khalid; Rajarajan, Muttukrishnan</t>
  </si>
  <si>
    <t>Cloud Enterprise Dynamic Risk Assessment (CEDRA): a dynamic risk assessment using dynamic Bayesian networks for cloud environment</t>
  </si>
  <si>
    <t>JOURNAL OF CLOUD COMPUTING-ADVANCES SYSTEMS AND APPLICATIONS</t>
  </si>
  <si>
    <t>Cloud risk assessment; Quantitative risk-analysis; Dynamic Bayesian Network</t>
  </si>
  <si>
    <t>THREAT INTELLIGENCE; MODEL</t>
  </si>
  <si>
    <t>Cloud computing adoption has been increasing rapidly amid COVID-19 as organisations accelerate the implementation of their digital strategies. Most models adopt traditional dynamic risk assessment, which does not adequately quantify or monetise risks to enable business-appropriate decision-making. In view of this challenge, a new model is proposed in this paper for assignment of monetary losses terms to the consequences nodes, thereby enabling experts to understand better the financial risks of any consequence. The proposed model is named Cloud Enterprise Dynamic Risk Assessment (CEDRA) model that uses CVSS, threat intelligence feeds and information about exploitation availability in the wild using dynamic Bayesian networks to predict vulnerability exploitations and financial losses. A case study of a scenario based on the Capital One breach attack was conducted to demonstrate experimentally the applicability of the model proposed in this paper. The methods presented in this study has improved vulnerability and financial losses prediction.</t>
  </si>
  <si>
    <t>[Behbehani, Dawood; Komninos, Nikos; Rajarajan, Muttukrishnan] City Univ London, Sch Math Comp Sci &amp; Engn, London, England; [Al-Begain, Khalid] Kuwait Coll Sci &amp; Technol, Kuwait, Kuwait</t>
  </si>
  <si>
    <t>City University London; Kuwait College Science &amp; Technology</t>
  </si>
  <si>
    <t>Behbehani, D (corresponding author), City Univ London, Sch Math Comp Sci &amp; Engn, London, England.</t>
  </si>
  <si>
    <t>dawood.behbehani@city.ac.uk</t>
  </si>
  <si>
    <t>2192-113X</t>
  </si>
  <si>
    <t>J CLOUD COMPUT-ADV S</t>
  </si>
  <si>
    <t>J. Cloud Comput.-Adv. Syst. Appl.</t>
  </si>
  <si>
    <t>MAY 17</t>
  </si>
  <si>
    <t>10.1186/s13677-023-00454-2</t>
  </si>
  <si>
    <t>Computer Science, Information Systems</t>
  </si>
  <si>
    <t>G4WN5</t>
  </si>
  <si>
    <t>Green Submitted, Green Published, Green Accepted, gold</t>
  </si>
  <si>
    <t>WOS:000989176900001</t>
  </si>
  <si>
    <t>Borrero, JD; Borrero-Domínguez, JD</t>
  </si>
  <si>
    <t>Borrero, Juan D.; Borrero-Dominguez, Juan-Diego</t>
  </si>
  <si>
    <t>Enhancing Short-Term Berry Yield Prediction for Small Growers Using a Novel Hybrid Machine Learning Model</t>
  </si>
  <si>
    <t>HORTICULTURAE</t>
  </si>
  <si>
    <t>time series; nonlinear autoregressive neural networks; support vector regression; Kalman filter; digital marketing strategies; supply chain management; supply forecasting; horticultural industry</t>
  </si>
  <si>
    <t>TIME-SERIES; ORDER FULFILLMENT; NEURAL-NETWORK; BIG DATA; DEMAND; ARIMA; PRICE; GREENHOUSE; FORECAST; PAKISTAN</t>
  </si>
  <si>
    <t>This study presents a novel hybrid model that combines two different algorithms to increase the accuracy of short-term berry yield prediction using only previous yield data. The model integrates both autoregressive integrated moving average (ARIMA) with Kalman filter refinement and neural network techniques, specifically support vector regression (SVR), and nonlinear autoregressive (NAR) neural networks, to improve prediction accuracy by correcting the errors generated by the system. In order to enhance the prediction performance of the ARIMA model, an innovative method is introduced that reduces randomness and incorporates only observed variables and system errors into the state-space system. The results indicate that the proposed hybrid models exhibit greater accuracy in predicting weekly production, with a goodness-of-fit value above 0.95 and lower root mean square error (RMSE) and mean absolute error (MAE) values compared with non-hybrid models. The study highlights several implications, including the potential for small growers to use digital strategies that offer crop forecasts to increase sales and promote loyalty in relationships with large food retail chains. Additionally, accurate yield forecasting can help berry growers plan their production schedules and optimize resource use, leading to increased efficiency and profitability. The proposed model may serve as a valuable information source for European food retailers, enabling growers to form strategic alliances with their customers.</t>
  </si>
  <si>
    <t>[Borrero, Juan D.] Univ Huelva, Dept Management &amp; Mkt, Pza Merced S-N, Huelva 21002, Spain; [Borrero-Dominguez, Juan-Diego] Univ Huelva, Agr Econ Res Grp, Pza Merced S-N, Huelva 21002, Spain</t>
  </si>
  <si>
    <t>Universidad de Huelva; Universidad de Huelva</t>
  </si>
  <si>
    <t>Borrero, JD (corresponding author), Univ Huelva, Dept Management &amp; Mkt, Pza Merced S-N, Huelva 21002, Spain.</t>
  </si>
  <si>
    <t>jdiego@uhu.es</t>
  </si>
  <si>
    <t>Borrero-Sanchez, Juan Diego/K-5943-2017</t>
  </si>
  <si>
    <t>Borrero-Sanchez, Juan Diego/0000-0003-0219-2539</t>
  </si>
  <si>
    <t>2311-7524</t>
  </si>
  <si>
    <t>Horticulturae</t>
  </si>
  <si>
    <t>MAY 3</t>
  </si>
  <si>
    <t>10.3390/horticulturae9050549</t>
  </si>
  <si>
    <t>Horticulture</t>
  </si>
  <si>
    <t>Agriculture</t>
  </si>
  <si>
    <t>H7QJ0</t>
  </si>
  <si>
    <t>WOS:000997861200001</t>
  </si>
  <si>
    <t>Urbano, D; Aparicio, S; Scott, S; Martinez-Moya, D</t>
  </si>
  <si>
    <t>Urbano, David; Aparicio, Sebastian; Scott, Stephanie; Martinez-Moya, Diego</t>
  </si>
  <si>
    <t>Inside out: The interplay between institutions and digital technologies for SMEs performance</t>
  </si>
  <si>
    <t>ENTREPRENEURSHIP AND REGIONAL DEVELOPMENT</t>
  </si>
  <si>
    <t>Digital technology; institutions; regional context; total factor productivity; multilevel analysis; Latin America and the Caribbean</t>
  </si>
  <si>
    <t>TOTAL FACTOR PRODUCTIVITY; FIRM-LEVEL EVIDENCE; ECONOMIC-GROWTH; ENTREPRENEURSHIP; TAXES; EDUCATION; IMPACT; DETERMINANTS; CONVERGENCE; CORRUPTION</t>
  </si>
  <si>
    <t>An effective digital strategy provides multifaceted benefits for firms of all sizes, including operational oversight, learning, and effective market interactions. Yet, despite the burgeoning evidence that digitalization provides essential resources for firms, disparate observations on the link between SME performance and digitalization across regions are noted in the literature. There remain concerns about whether SMEs enact effective digital strategies to reap the rewards, especially given that some SMEs have reported entirely forgoing digital activities due to resource constraints and exogenous forces in the market. In light of the varying global observations, it is crucial to understand how regional and multi-layered institutional settings influence SMEs to adopt, implement, and utilize digital resources to form solid policies and appropriate facilitative mechanisms. Therefore, this study compiled 11,485 observations of SME digital activities and performance from 88 distinctive institutional regions within Latin America and the Caribbean from 2006 to 2018. The study used data from the World Bank's Enterprise Survey (WBES) and World Development Indicators (WDI) to reveal various institutional factors influencing SMEs' adoption of technologies and subsequent performance via multilevel regressions. The findings suggest institutional barriers become insignificant when firms use digital technologies and suggest that it may insulate SMEs from exogenous shocks.</t>
  </si>
  <si>
    <t>[Urbano, David; Aparicio, Sebastian] Univ Autonoma Barcelona, Dept Business, Edifici B Campus Bellaterra UAB, Bellaterra 08913, Barcelona, Spain; [Urbano, David; Aparicio, Sebastian] Univ Autonoma Barcelona, Ctr Entrepreneurship &amp; Social Innovat Res CREIS, Sabadell, Spain; [Scott, Stephanie] Univ Durham, Durham Univ Business Sch, Durham, England; [Martinez-Moya, Diego] Fdn ECSIM, Medellin, Colombia</t>
  </si>
  <si>
    <t>Autonomous University of Barcelona; Autonomous University of Barcelona; Durham University</t>
  </si>
  <si>
    <t>Urbano, D (corresponding author), Univ Autonoma Barcelona, Dept Business, Edifici B Campus Bellaterra UAB, Bellaterra 08913, Barcelona, Spain.</t>
  </si>
  <si>
    <t>david.urbano@uab.cat</t>
  </si>
  <si>
    <t>Urbano, David/B-6879-2009</t>
  </si>
  <si>
    <t>Urbano, David/0000-0001-7600-8656</t>
  </si>
  <si>
    <t>Spanish Ministry of Economy &amp; Competitiveness [ECO2017-87885-P]; Economy &amp; Knowledge Department, Catalan Government [2017-SGR-1056]; ICREA under ICREA Academia programme; COLCIENCIAS Ph.D. programme [617/2013]; Sapiencia-Enlaza Mundos (Municipio de Medellin); Universidad EAFIT</t>
  </si>
  <si>
    <t>Spanish Ministry of Economy &amp; Competitiveness(Spanish Government); Economy &amp; Knowledge Department, Catalan Government; ICREA under ICREA Academia programme; COLCIENCIAS Ph.D. programme(Departamento Administrativo de Ciencia, Tecnologia e Innovacion Colciencias); Sapiencia-Enlaza Mundos (Municipio de Medellin); Universidad EAFIT</t>
  </si>
  <si>
    <t>David Urbano and Sebastian Aparicio acknowledge the financial support from the project ECO2017-87885-P (Spanish Ministry of Economy &amp; Competitiveness). Notably, David acknowledges the financial support from the 2017-SGR-1056 project (Economy &amp; Knowledge Department, Catalan Government) and ICREA under ICREA Academia programme. As a Serra Hunter Fellow, Sebastian Aparicio acknowledges the Serra Hunter Programme and the Catalan government for constant support. Additionally, Sebastian acknowledges the COLCIENCIAS Ph.D. programme (617/2013) and Sapiencia-Enlaza Mundos (Municipio de Medellin) for financial support during his Ph.D. studies. Stephanie Scott acknowledges Durham University Business School for its constant support. Diego Martinez-Moya acknowledges Universidad EAFIT for financial support during postgraduate studies and Fundacion ECSIM for constant support.</t>
  </si>
  <si>
    <t>0898-5626</t>
  </si>
  <si>
    <t>1464-5114</t>
  </si>
  <si>
    <t>ENTREP REGION DEV</t>
  </si>
  <si>
    <t>Entrep. Reg. Dev.</t>
  </si>
  <si>
    <t>2023 MAY 3</t>
  </si>
  <si>
    <t>10.1080/08985626.2023.2208555</t>
  </si>
  <si>
    <t>Business; Development Studies</t>
  </si>
  <si>
    <t>Business &amp; Economics; Development Studies</t>
  </si>
  <si>
    <t>F1DG1</t>
  </si>
  <si>
    <t>WOS:000979815600001</t>
  </si>
  <si>
    <t>Fan, XY; Zhao, SK; Zhang, BC; Wang, S; Shao, D</t>
  </si>
  <si>
    <t>Fan, Xueyuan; Zhao, Shukuan; Zhang, Bochen; Wang, Shuang; Shao, Dong</t>
  </si>
  <si>
    <t>The impact of corporate digital strategic orientation on innovation output</t>
  </si>
  <si>
    <t>Digital strategy orientation; Innovation; Executive incentives; State ownership</t>
  </si>
  <si>
    <t>Given the development of the digital economy, the shift to digitalization is an inevitable direction for corporate strategic planning. This empirical study investigates the impact of corporate digital strategic orientation on innovation output. It also examines the moderating effects of executive equity and compensation incentives on the relationship between corporate digital strategic orientation and innovation output. We selected a sample of Chinese listed companies and adopted the Heckman two-stage and two-stage least square (2 S LS) methods to control for potential endogenous problems. Our findings indicate that corporate digital strategic orientation significantly enhances innovation output. Additionally, we found that executive compensation and equity incentives positively moderate the impact of corporate digital strategic orientation on innovation output, with equity incentives having a greater moderating effect than compensation incentives. Further analysis shows that the impact of corporate digital strategic orientation on innovation output is greater in non-manufacturing industries and non-state-owned enterprises. Our study provides policy insights on how companies can enhance their innovation capability in the digital economy.</t>
  </si>
  <si>
    <t>[Fan, Xueyuan; Zhao, Shukuan; Zhang, Bochen] Jilin Univ, Sch Business &amp; Management, Changchun 130022, Peoples R China; [Wang, Shuang; Shao, Dong] Northeast Normal Univ, Sch Business, Changchun, Peoples R China</t>
  </si>
  <si>
    <t>Jilin University; Northeast Normal University - China</t>
  </si>
  <si>
    <t>Zhao, SK (corresponding author), Jilin Univ, Sch Business &amp; Management, Changchun 130022, Peoples R China.</t>
  </si>
  <si>
    <t>zhaosk@jlu.edu.cn</t>
  </si>
  <si>
    <t>National Natural Science Foundation of China [72174073]</t>
  </si>
  <si>
    <t>National Natural Science Foundation of China(National Natural Science Foundation of China (NSFC))</t>
  </si>
  <si>
    <t>Funding statement Shukuan Zhao was supported by National Natural Science Foundation of China [No. 72174073] . Data availability statement This study data mainly from CSMAR database ( www.gtarsc.com .cn) and Wind database ( www.wind.com .cn) .</t>
  </si>
  <si>
    <t>MAY</t>
  </si>
  <si>
    <t>e16371</t>
  </si>
  <si>
    <t>10.1016/j.heliyon.2023.e16371</t>
  </si>
  <si>
    <t>L9GY7</t>
  </si>
  <si>
    <t>WOS:001026288200001</t>
  </si>
  <si>
    <t>Giannopoulos, G; Podimatas, I; Stephanopoulos, G</t>
  </si>
  <si>
    <t>Giannopoulos, G.; Podimatas, I.; Stephanopoulos, G.</t>
  </si>
  <si>
    <t>Interventions suggested for the functional upgrading of the two most critical digital health services in Greece</t>
  </si>
  <si>
    <t>ARCHIVES OF HELLENIC MEDICINE</t>
  </si>
  <si>
    <t>Greek</t>
  </si>
  <si>
    <t>Electronic health record; Electronic prescription system; ICD-10 and ICPC-2 disease coding systems</t>
  </si>
  <si>
    <t>In Greece, the national electronic health record (EHR) has not been adequately integrated as an organic function-al element of the health care system. On the contrary, the national e-prescription system (e-PS) has been universally implemented, being the exclusive digital health service that defines the relationship between patients and physicians. This is a peculiarity for the country, not in agreement with international standards, which must be resolved with the implementation of a digital transformation. The EHR must become the main system defining the patients -physicians relationship, with the e-PS functionally intergraded. As part of a broad spectrum of strategic digital health transformation, both, EHR and e-PS infrastructure, need to be upgraded and properly aligned. An important part of this upgrade would be a new tool comprising the necessary clinical codes and terms for managing physician's con-cise clinical diagnosis entries for every patient in the EHR and e-PS.</t>
  </si>
  <si>
    <t>[Giannopoulos, G.] Alexandra Gen Hosp, Rheumatol Unit, Athens, Greece; [Podimatas, I.; Stephanopoulos, G.] Elect Engn &amp; Comp Sci, Athens, Greece; [Giannopoulos, G.] Alexandra Gen Hosp, Rheumatol Unit, 7 Lampsakou St, Athens 11528, Greece</t>
  </si>
  <si>
    <t>Alexandra Hospital; Alexandra Hospital</t>
  </si>
  <si>
    <t>Giannopoulos, G (corresponding author), Alexandra Gen Hosp, Rheumatol Unit, 7 Lampsakou St, Athens 11528, Greece.</t>
  </si>
  <si>
    <t>George.yiannop@gmail.com</t>
  </si>
  <si>
    <t>ATHENS MEDICAL SOC</t>
  </si>
  <si>
    <t>ATHENS</t>
  </si>
  <si>
    <t>23 MAEANDROU ST, ATHENS, 115 28, GREECE</t>
  </si>
  <si>
    <t>1105-3992</t>
  </si>
  <si>
    <t>ARCH HELL MED</t>
  </si>
  <si>
    <t>Arch. Hell. Med.</t>
  </si>
  <si>
    <t>MAY-JUN</t>
  </si>
  <si>
    <t>J7OK7</t>
  </si>
  <si>
    <t>WOS:001011477000016</t>
  </si>
  <si>
    <t>Hurtado-Mazeyra, A; Núñez-Pacheco, R; Alejandro-Oviedo, O</t>
  </si>
  <si>
    <t>Hurtado-Mazeyra, Alejandra; Nunez-Pacheco, Rosa; Melina Alejandro-Oviedo, Olga</t>
  </si>
  <si>
    <t>Digital Storytelling as educational tool and strategy in 2D and 3D versions for the development of narrative competence in early childhood education</t>
  </si>
  <si>
    <t>PIXEL-BIT- REVISTA DE MEDIOS Y EDUCACION</t>
  </si>
  <si>
    <t>Narrativa digital; competencia narrativa; educacion infantil; casa cuna; realidad aumentada Digital Storytelling; narrative competence; early childhood education; crib house; augmented reality</t>
  </si>
  <si>
    <t>Digital Storytelling (DST) is a digital strategy that has a multiformat character, which allows enhancing narrative skills in students of different educational levels. A research was conducted with the main objective of verifying the improvement of narrative competence after an educational experience with the use of Sumac Willaquy software (Cuento bonito), which allows the application of the DST strategy. The study is quantitative and pre-experimental. Seventy 5-and 6-year-old children from a Peruvian children's center participated, distributed in three experimental groups under two intervention modalities in 2D and 3D. An instrument on children's narrative competence was adapted to suit the characteristics of five-year-old children in the Peruvian context. The results indicated that in the posttest measurement, the children obtained better scores in narrative competence with the use of the 3D version than with the 2D version. In this sense, it is concluded that the DST is more effective in its augmented reality version.</t>
  </si>
  <si>
    <t>[Hurtado-Mazeyra, Alejandra; Nunez-Pacheco, Rosa; Melina Alejandro-Oviedo, Olga] Univ Nacl San Agustin Arequipa, Arequipa, Peru</t>
  </si>
  <si>
    <t>Universidad Nacional de San Agustin de Arequipa</t>
  </si>
  <si>
    <t>Hurtado-Mazeyra, A (corresponding author), Univ Nacl San Agustin Arequipa, Arequipa, Peru.</t>
  </si>
  <si>
    <t>Hurtado Mazeyra, Alejandra/JNR-3104-2023</t>
  </si>
  <si>
    <t>Universidad Nacional de San Agustin de Arequipa, UNSA [IBA-CS-08-2020-UNSA]</t>
  </si>
  <si>
    <t>Universidad Nacional de San Agustin de Arequipa, UNSA</t>
  </si>
  <si>
    <t>We thank the Universidad Nacional de San Agustin de Arequipa, UNSA, for funding the research project under Contract N degrees IBA-CS-08-2020-UNSA.</t>
  </si>
  <si>
    <t>UNIV SEVILLA, EDITORIAL</t>
  </si>
  <si>
    <t>SEVILLE</t>
  </si>
  <si>
    <t>SECRETARIADO PUBLICACIONES, C/ PORVENIR, NO 27, SEVILLE, 41013, SPAIN</t>
  </si>
  <si>
    <t>1133-8482</t>
  </si>
  <si>
    <t>2171-7966</t>
  </si>
  <si>
    <t>PIXEL-BIT</t>
  </si>
  <si>
    <t>Pixel-Bit</t>
  </si>
  <si>
    <t>10.12795/pixelbit.97769</t>
  </si>
  <si>
    <t>Education &amp; Educational Research</t>
  </si>
  <si>
    <t>H5QS3</t>
  </si>
  <si>
    <t>WOS:000996513000007</t>
  </si>
  <si>
    <t>Ivanova, N; Nazarko, S; Denysenko, T; Kublitska, O; Kononenko, S</t>
  </si>
  <si>
    <t>Ivanova, Nataliia; Nazarko, Svitlana; Denysenko, Tetana; Kublitska, Olena; Kononenko, Serhii</t>
  </si>
  <si>
    <t>Business Strategy Transformation: The Impact of Global Digitalization and COVID-19 Pandemic Factors</t>
  </si>
  <si>
    <t>REVISTA DE LA UNIVERSIDAD DEL ZULIA</t>
  </si>
  <si>
    <t>Digital transformation; digitalization; business strategy; e-commerce; COVID-19</t>
  </si>
  <si>
    <t>The article aims to consider the business strategy transformation process in the context of global digitalization and the COVID-1 9 pandemic in business and the economy. To achieve the goal, the authors analyzed the notions of IT strategy, digital strategy and digital transformation strategy and established their hierarchy; the key features of the strategy in the digital world are identified, namely: risk as the basis for development, people as the main business value and the formation of the right mindset of participants in digital transformation; the process of implementing the digital transformation strategy in the company is considered. The objective of the article was achieved through a review of the literature and the use of scientific methods, namely: comparative analysis, synthesis, and historical and logical methods. The results obtained contribute to the understanding of scientists and professionals about the development management process in the digital world.</t>
  </si>
  <si>
    <t>[Ivanova, Nataliia; Denysenko, Tetana] Chernihiv Polytech Natl Univ, Dept Entrepreneurship &amp; Trade, Chernihiv, Ukraine; [Nazarko, Svitlana] Interreg Acad Personnel Management, Higher Educ Inst, North Ukrainian Inst, Kiev, Ukraine; [Kublitska, Olena; Kononenko, Serhii] Chernihiv Polytech Natl Univ, Dept Management &amp; Civil Serv, Chernihiv, Ukraine</t>
  </si>
  <si>
    <t>Ministry of Education &amp; Science of Ukraine; Chernihiv Polytechnic National University; Interregional Academy of Personnel Management; Ministry of Education &amp; Science of Ukraine; National Pedagogical Dragomanov University; Ministry of Education &amp; Science of Ukraine; Chernihiv Polytechnic National University</t>
  </si>
  <si>
    <t>Ivanova, N (corresponding author), Chernihiv Polytech Natl Univ, Dept Entrepreneurship &amp; Trade, Chernihiv, Ukraine.</t>
  </si>
  <si>
    <t>ivanova.nat.vlad@gmail.com; s.nazarko@ukr.net; tanjadeni@ukr.net; le.kulit@gmail.com; job.s.kononenko@gmail.com</t>
  </si>
  <si>
    <t>Nazarko, Svitlana/IAO-0813-2023; Ivanova, Nataliia/I-3574-2016; Denysenko, Tetiana/G-6003-2014</t>
  </si>
  <si>
    <t>Nazarko, Svitlana/0000-0002-4841-9201; Ivanova, Nataliia/0000-0001-6622-7310; Denysenko, Tetiana/0000-0002-7022-5884; Kublitska, Olena/0000-0001-5897-1393</t>
  </si>
  <si>
    <t>UNIV ZULIA, FAC HUMANIDADES EDUCACION, CENTRO INVE</t>
  </si>
  <si>
    <t>MARACAIBO</t>
  </si>
  <si>
    <t>APARTADO 526, MARACAIBO, ZULIA 00000, VENEZUELA</t>
  </si>
  <si>
    <t>0041-8811</t>
  </si>
  <si>
    <t>2665-0428</t>
  </si>
  <si>
    <t>REV UNIV ZULIA</t>
  </si>
  <si>
    <t>Rev. Univ. Zulia</t>
  </si>
  <si>
    <t>MAY-AUG</t>
  </si>
  <si>
    <t>10.46925//rdluz.40.27</t>
  </si>
  <si>
    <t>H3CG8</t>
  </si>
  <si>
    <t>hybrid, Green Submitted</t>
  </si>
  <si>
    <t>WOS:000994774100027</t>
  </si>
  <si>
    <t>Sakas, DP; Giannakopoulos, NT; Nasiopoulos, DK; Kanellos, N; Tsoulfas, GT</t>
  </si>
  <si>
    <t>Sakas, Damianos P.; Giannakopoulos, Nikolaos T.; Nasiopoulos, Dimitrios K.; Kanellos, Nikos; Tsoulfas, Giannis T.</t>
  </si>
  <si>
    <t>Assessing the Efficacy of Cryptocurrency Applications' Affiliate Marketing Process on Supply Chain Firms' Website Visibility</t>
  </si>
  <si>
    <t>strategic digital marketing; digitalization; sustainability; supply chain; innovation; process optimization; blockchain; big data; Decision Support Systems (DSSs)</t>
  </si>
  <si>
    <t>SEARCH ENGINE OPTIMIZATION; BIG DATA; MANAGEMENT; SUSTAINABILITY</t>
  </si>
  <si>
    <t>Recent developments in blockchain technology have enabled the development of wallet applications for storing peoples' cryptocurrency reserves. Cryptocurrency wallet applications could deploy affiliate marketing processes to increase the visibility of their products. From these affiliate marketing processes, supply chain firms in the air forwarding sector that seek to advertise their services to a larger audience could be benefited. This research examines whether affiliate marketing initials of cryptocurrency wallet applications affect their digital marketing efficiency, as well as whether air forwarding firms' website visibility could be benefited from them. After collecting the required Web Analytic data, the authors performed statistical analysis (correlations and linear regressions), followed by Fuzzy Cognitive Mapping (FCM) macroanalysis and Hybrid Modeling (HM) microanalysis to assess the outcomes of cryptocurrency wallet applications' affiliate marketing programs. Hence, from the deployed methodology, valuable insights arose. The first part of the produced outcomes concerns the effect of cryptocurrency wallet application affiliate marketing metrics on their digital marketing results. The increased implications of affiliate marketing metrics (referring domains, backlinks, etc.) decrease the number of pages their visitors see. Regarding the air forwarder firms' website visibility, specific metrics (branded and referral traffic) were increased and others (social traffic) were decreased from the increment of cryptocurrency wallet application affiliate marketing metrics (backlinks, internal links, etc.). Supply chain firms, in the air forwarding sector, could have increased website visibility by deploying advertisements and affiliate marketing initiatives with cryptocurrency wallet organizations. Summing up, specific affiliate marketing metrics of cryptocurrency wallet applications are capable of significantly impacting their digital marketing performance and also constitute determinant factors of supply chain firms' website visibility.</t>
  </si>
  <si>
    <t>[Sakas, Damianos P.; Giannakopoulos, Nikolaos T.; Nasiopoulos, Dimitrios K.; Kanellos, Nikos] Agr Univ Athens, Sch Appl Econ &amp; Social Sci, Dept Agribusiness &amp; Supply Chain Management, Bictevac Lab Business Informat &amp; Commun Technol Va, Athens 11855, Greece; [Tsoulfas, Giannis T.] Agr Univ Athens, Sch Appl Econ &amp; Social Sci, Dept Agribusiness &amp; Supply Chain Management, Orimas Lab Org Innovat &amp; Management Syst, Athens 11855, Greece</t>
  </si>
  <si>
    <t>Agricultural University of Athens; Agricultural University of Athens</t>
  </si>
  <si>
    <t>Giannakopoulos, NT; Nasiopoulos, DK (corresponding author), Agr Univ Athens, Sch Appl Econ &amp; Social Sci, Dept Agribusiness &amp; Supply Chain Management, Bictevac Lab Business Informat &amp; Commun Technol Va, Athens 11855, Greece.</t>
  </si>
  <si>
    <t>n.giannakopoulos@aua.gr; dimnas@aua.gr</t>
  </si>
  <si>
    <t>Tsoulfas, Giannis/0000-0003-4538-9016; Nasiopoulos, Dimitrios/0000-0001-7386-1029; Sakas, Damianos/0000-0002-2253-8966; Giannakopoulos, Nikolaos T./0000-0002-4480-5893</t>
  </si>
  <si>
    <t>project Smart Agriculture and Circular Bio-Economy-SmartBIC. - Operational Programme Competitiveness, Entrepreneurship and Innovation (NSRF 2014-2020) [MIS MIS5047106]; European Union (European Regional Development Fund)</t>
  </si>
  <si>
    <t>project Smart Agriculture and Circular Bio-Economy-SmartBIC. - Operational Programme Competitiveness, Entrepreneurship and Innovation (NSRF 2014-2020); European Union (European Regional Development Fund)(European Union (EU))</t>
  </si>
  <si>
    <t>The authors acknowledge the support of this work by the project Smart Agriculture and Circular Bio-Economy-SmartBIC. (MIS MIS5047106), which was implemented underthe Action Reinforcement of the Research and Innovation Infrastructure, funded by the Operational Programme Competitiveness, Entrepreneurship and Innovation (NSRF 2014-2020) co-financed by Greece and the European Union (European Regional Development Fund)</t>
  </si>
  <si>
    <t>APR 28</t>
  </si>
  <si>
    <t>10.3390/su15097326</t>
  </si>
  <si>
    <t>G3IR5</t>
  </si>
  <si>
    <t>WOS:000988138700001</t>
  </si>
  <si>
    <t>Pierce, P; Whitten, M; Hillman, S</t>
  </si>
  <si>
    <t>Pierce, Poppy; Whitten, Melissa; Hillman, Sara</t>
  </si>
  <si>
    <t>The impact of digital healthcare on vulnerable pregnant women: A review of the use of the MyCare app in the maternity department at a central London tertiary unit</t>
  </si>
  <si>
    <t>FRONTIERS IN DIGITAL HEALTH</t>
  </si>
  <si>
    <t>electronic health records systems; pregnancy; e-health; technology; vulnerable pregnant women; digital divide</t>
  </si>
  <si>
    <t>LANGUAGE; PATIENT</t>
  </si>
  <si>
    <t>IntroductionDigitalisation offers innovative solutions within maternity services; however, vulnerable groups risk being overlooked. University College London Hospital's (UCLH) successful implementation of a digital maternity app, MyCare, gives women access to test results, information about appointments, and enables communication with healthcare professionals (HCPs). Yet, little is known about access and engagement among vulnerable pregnant women. MethodologyResearch was conducted over a 3-month period (April-June 2022) in the Maternity Department at UCLH, UK. MyCare datasets were analysed, and anonymised surveys completed by vulnerable pregnant women and HCPs. ResultsLower rates of utilisation and engagement with MyCare were seen in vulnerable pregnant women especially among refugee/asylum seekers, those with mental health issues, and those facing domestic violence. Non-users were also more likely to be individuals from ethnic minority backgrounds, with a lower average social-deprivation-index decile, whose first language was not English, and with a significant history of non-attendance to appointments. Patient and HCP surveys highlighted various barriers to MyCare engagement, including a lack of motivation, limited language options, low e-literacy levels, and complex app interfaces. ConclusionThe use of a single digital tool, without a formulated pathway to identify and assist those not accessing or engaging with it, risks unequal care provision which may exacerbate health inequalities. This research advances the idea that digital exclusion is not necessarily a matter of access to technology, but an issue of a lack of engagement with these tools. Therefore, vulnerable women and HCPs must be integral to the implementation of digital strategies, to ensure no one is left behind.</t>
  </si>
  <si>
    <t>[Pierce, Poppy] UCL, Fac Med Sci, Med Sch, London, England; [Whitten, Melissa; Hillman, Sara] Univ Coll London Hosp NHS Fdn Trust, Womens Hlth Div, Elizabeth Garrett Anderson Wing, London, England; [Whitten, Melissa; Hillman, Sara] UCL, EGA Inst Womens Hlth, Dept Maternal &amp; Fetal Med, London, England</t>
  </si>
  <si>
    <t>University of London; University College London; University of London; University College London; University College London Hospitals NHS Foundation Trust; University of London; University College London</t>
  </si>
  <si>
    <t>Pierce, P (corresponding author), UCL, Fac Med Sci, Med Sch, London, England.</t>
  </si>
  <si>
    <t>poppy.pierce.19@ucl.ac.uk</t>
  </si>
  <si>
    <t>FRONTIERS MEDIA SA</t>
  </si>
  <si>
    <t>LAUSANNE</t>
  </si>
  <si>
    <t>AVENUE DU TRIBUNAL FEDERAL 34, LAUSANNE, CH-1015, SWITZERLAND</t>
  </si>
  <si>
    <t>2673-253X</t>
  </si>
  <si>
    <t>FRONT DIGIT HEALTH</t>
  </si>
  <si>
    <t>Front. Digit. Health</t>
  </si>
  <si>
    <t>APR 21</t>
  </si>
  <si>
    <t>10.3389/fdgth.2023.1155708</t>
  </si>
  <si>
    <t>Health Care Sciences &amp; Services; Medical Informatics</t>
  </si>
  <si>
    <t>M4TO9</t>
  </si>
  <si>
    <t>WOS:001030154600001</t>
  </si>
  <si>
    <t>Yao, Q; Tang, HJ; Liu, YQ; Boadu, F</t>
  </si>
  <si>
    <t>Yao, Qi; Tang, Hongjuan; Liu, Yunqing; Boadu, Francis</t>
  </si>
  <si>
    <t>The penetration effect of digital leadership on digital transformation: the role of digital strategy consensus and diversity types</t>
  </si>
  <si>
    <t>Digital leadership; Digital transformation; Digital strategy consensus; Diversity; Organizational identification</t>
  </si>
  <si>
    <t>ORGANIZATIONAL IDENTIFICATION; FIRM PERFORMANCE; MODERATING ROLE; TEAM COGNITION; INNOVATION; CAPABILITIES; IMPLEMENTATION; KNOWLEDGE; PAY</t>
  </si>
  <si>
    <t>Purpose - Successful digital transformation involves all areas which bring new impacts and challenges to the leadership of the enterprise. From the perspective of organizational identification, the authors construct a theoretical model of digital leadership-digital strategic consensus-digital transformation and explore the different moderated mediation effects of diversity types.Design/methodology/approach - This paper obtains data from 351 Chinese science and technology enterprises and uses regression analysis and bootstrap analysis to test the research hypotheses.Findings - The results demonstrate that digital leadership has a positive impact on digital transformation. Digital strategic consensus partially mediates the linkage between digital leadership and digital transformation. Disparity diversity and variety diversity positively moderate the mediating role of digital strategic consensus between digital leadership and digital transformation, respectively; and separation diversity negatively moderates the mediating role of digital strategic consensus between digital leadership and digital transformation.Originality/value - The research innovatively measures digital leadership and digital transformation. It expands the application of leadership, strategic consensus, diversity and other related theories in a digital context and provides a decision-making basis for enterprises' digital transformation.</t>
  </si>
  <si>
    <t>[Yao, Qi; Tang, Hongjuan] Chongqing Jiaotong Univ, Sch Econ &amp; Management, Chongqing, Peoples R China; [Liu, Yunqing] Anhui Univ Finance &amp; Econ, Sch Finance &amp; Publ Adm, Bengbu, Peoples R China; [Boadu, Francis] Kumasi Tech Univ, Kumasi, Ghana</t>
  </si>
  <si>
    <t>Chongqing Jiaotong University; Anhui University of Finance &amp; Economics</t>
  </si>
  <si>
    <t>Liu, YQ (corresponding author), Anhui Univ Finance &amp; Econ, Sch Finance &amp; Publ Adm, Bengbu, Peoples R China.</t>
  </si>
  <si>
    <t>yaoqi@cqjtu.edu.cn; 201732110142@std.uestc.edu.cn; liuyunqing@aufe.edu.cn; linnacus@yahoo.com</t>
  </si>
  <si>
    <t>Boadu, Francis/ABI-3509-2020; Boadu, Francis/AAA-2642-2021</t>
  </si>
  <si>
    <t>Boadu, Francis/0000-0001-7029-2828; Tang, Hongjuan/0000-0003-2686-861X; Liu, Yunqing/0000-0003-2013-8747</t>
  </si>
  <si>
    <t>National Natural Science Foundation of China [72172021, 71772021, 72202001]; Youth Project of Anhui Provincial Philosophy and Social Science Planning Fund [AHSKQ2022D054]; Chongqing Jiaotong University Graduate Scientific Research Innovation Project [CYB22240]</t>
  </si>
  <si>
    <t>National Natural Science Foundation of China(National Natural Science Foundation of China (NSFC)); Youth Project of Anhui Provincial Philosophy and Social Science Planning Fund; Chongqing Jiaotong University Graduate Scientific Research Innovation Project</t>
  </si>
  <si>
    <t>This work was supported by the National Natural Science Foundation of China (No. 72172021, 71772021 and 72202001); the Youth Project of Anhui Provincial Philosophy and Social Science Planning Fund (No. AHSKQ2022D054); and the Chongqing Jiaotong University Graduate Scientific Research Innovation Project (No. CYB22240).</t>
  </si>
  <si>
    <t>2023 APR 13</t>
  </si>
  <si>
    <t>10.1108/JEIM-09-2022-0350</t>
  </si>
  <si>
    <t>APR 2023</t>
  </si>
  <si>
    <t>D3YV9</t>
  </si>
  <si>
    <t>WOS:000968128200001</t>
  </si>
  <si>
    <t>Mihu, C; Pitic, AG; Bayraktar, D</t>
  </si>
  <si>
    <t>Mihu, Cantemir; Pitic, Antoniu Gabriel; Bayraktar, Dorin</t>
  </si>
  <si>
    <t>Drivers of Digital Transformation and their Impact on Organizational Management</t>
  </si>
  <si>
    <t>STUDIES IN BUSINESS AND ECONOMICS</t>
  </si>
  <si>
    <t>Management; Digital Transformation; Driver; Digital Culture; Digital Strategy</t>
  </si>
  <si>
    <t>INFORMATION-TECHNOLOGY; LEADERSHIP; STRATEGY; ADOPT</t>
  </si>
  <si>
    <t>Digital transformation has become a critical topic for organizations that want to stay competitive in today's digital age. The widespread use of digital technologies has brought significant changes to the way organizations exist, operate and interact with customers. They are going through a process of reshaping and reorganizing processes and operations, as well as rethinking and redefining the human role in the value creation process. However, digital technologies and their diffusion are not the only driver of digital transformation, as the success of such change initiatives depends on many other factors, the definition of which is crucial to the success of digital transformation. The objective of this paper is to explore the drivers of digital transformation and their impact on management. The work presents a comprehensive review of the literature on digital transformation, identifying the main drivers that influence the success of digital transformation initiatives. It also defines the impact of these drivers on the management of organizations, identifying how the role of the executive is being redefined in today's digital age.</t>
  </si>
  <si>
    <t>[Mihu, Cantemir; Pitic, Antoniu Gabriel; Bayraktar, Dorin] Lucian Blaga Univ Sibiu, Sibiu, Romania</t>
  </si>
  <si>
    <t>Lucian Blaga University of Sibiu</t>
  </si>
  <si>
    <t>Mihu, C (corresponding author), Lucian Blaga Univ Sibiu, Sibiu, Romania.</t>
  </si>
  <si>
    <t>SCIENDO</t>
  </si>
  <si>
    <t>WARSAW</t>
  </si>
  <si>
    <t>BOGUMILA ZUGA 32A, WARSAW, MAZOVIA, POLAND</t>
  </si>
  <si>
    <t>1842-4120</t>
  </si>
  <si>
    <t>2344-5416</t>
  </si>
  <si>
    <t>STUD BUS ECON-ROM</t>
  </si>
  <si>
    <t>Stud. Bus. Econ.</t>
  </si>
  <si>
    <t>APR 1</t>
  </si>
  <si>
    <t>10.2478/sbe-2023-0009</t>
  </si>
  <si>
    <t>G4MB7</t>
  </si>
  <si>
    <t>WOS:000988904900009</t>
  </si>
  <si>
    <t>Schachtner, C</t>
  </si>
  <si>
    <t>Schachtner, Christian</t>
  </si>
  <si>
    <t>The Role Chief Digital Officer (CDO) in Public Municipalities-The Conceptual Effect of a Functional Profile for Successful Transformation</t>
  </si>
  <si>
    <t>SMART CITIES</t>
  </si>
  <si>
    <t>CDO; governance; transformation; digital trends; framework; function</t>
  </si>
  <si>
    <t>GOVERNMENT; FRAMEWORK; INTERNET; THINGS</t>
  </si>
  <si>
    <t>The objectives of this study are to demonstrate the effect of a function called 'Chief Digital Office' as a responsible positioning of digitization at the C-level. This is intended to show both the importance of digitization measures and the effect of change projects with a methodical approach in cross-sectional tasks for strategic work. The previous work shows different functional layouts and individual responsibilities without conceptual foundations in the implementation of digital strategies. To provide the first contribution to a common framework for the work of CDOs, a basic concept for public administration based on the municipalities is to be launched. The results lead to statements about the optimization potentials of the status of the study survey of the digitization of German municipalities: Digital Vorangehen [Leading the way digitally] (2020). In particular, this includes the development of a holistic digital agenda, the use of future technologies and the mindset for the development of innovative implementation solutions in both internal service provision and outward-looking services. The value lies in contributing to the establishment of the framework of 'Public Digital Transformation Governance' to transfer the fundamental standardization of the action strands into a functional profile.</t>
  </si>
  <si>
    <t>[Schachtner, Christian] IU Int Hsch, Kaiserpl 1, D-83435 Bad Reichenhall, Germany</t>
  </si>
  <si>
    <t>Schachtner, C (corresponding author), IU Int Hsch, Kaiserpl 1, D-83435 Bad Reichenhall, Germany.</t>
  </si>
  <si>
    <t>christian.schachtner@iu.org</t>
  </si>
  <si>
    <t>Schachtner, Christian/0000-0001-5332-6280</t>
  </si>
  <si>
    <t>2624-6511</t>
  </si>
  <si>
    <t>SMART CITIES-BASEL</t>
  </si>
  <si>
    <t>Smart Cities</t>
  </si>
  <si>
    <t>APR</t>
  </si>
  <si>
    <t>10.3390/smartcities6020039</t>
  </si>
  <si>
    <t>Engineering, Electrical &amp; Electronic; Urban Studies</t>
  </si>
  <si>
    <t>Engineering; Urban Studies</t>
  </si>
  <si>
    <t>E8NS6</t>
  </si>
  <si>
    <t>WOS:000978051100001</t>
  </si>
  <si>
    <t>Ruvalcaba-Gomez, EA; Cifuentes-Faura, J</t>
  </si>
  <si>
    <t>Ruvalcaba-Gomez, Edgar A.; Cifuentes-Faura, Javier</t>
  </si>
  <si>
    <t>Analysis of the perception of digital government and artificial intelligence in the public sector in Jalisco, Mexico</t>
  </si>
  <si>
    <t>INTERNATIONAL REVIEW OF ADMINISTRATIVE SCIENCES</t>
  </si>
  <si>
    <t>Digital government; artificial intelligence; public sector; public administration; Mexico</t>
  </si>
  <si>
    <t>CAPABILITIES; BIG</t>
  </si>
  <si>
    <t>The advancement and continuous development of information and communication technologies highlights the importance of analysing and monitoring the development and capabilities of governments to use and exploit the potential of new technologies. Digital government and artificial intelligence in the public sector are two trends associated with technological development. This research conducts an analysis of these elements from the perspective of public officials by conducting a factor analysis. The study is based on a survey administered to civil servants in the state of Jalisco in Mexico. An analysis was made of their training and knowledge of these aspects and whether there are significant differences according to gender, age, level of studies, area of knowledge and place of work. The results obtained show divergences and coincidences between variables and factors. The findings are useful as a reference for the government of Jalisco to promote measures aimed at improving the situation of digital government and artificial intelligence in the short to medium term, in order to optimize administrative management. Points for practitioners Knowing the perspective of public officials on digital government and artificial intelligence is important to evaluate and design a digital strategy in governments. Public officials in charge of technology areas in governments need constant training on emerging technological tools, mainly those related to artificial intelligence. There is a lack of knowledge about the use and implications of artificial intelligence in the public sector by public servants. Data interoperability and coordination between government agencies are relevant to the development of digital government.</t>
  </si>
  <si>
    <t>[Ruvalcaba-Gomez, Edgar A.] Univ Guadalajara, Univ Ctr Econ &amp; Adm Sci CUCEA, Dept Publ Policy, Guadalajara, Mexico; [Cifuentes-Faura, Javier] Univ Murcia, Fac Econ &amp; Business, Dept Financial Econ &amp; Accounting, Murcia, Spain; [Cifuentes-Faura, Javier] Univ Murcia, Fac Econ &amp; Business, s-n Campus Univ, Murcia 30100, Spain</t>
  </si>
  <si>
    <t>Universidad de Guadalajara; University of Murcia; University of Murcia</t>
  </si>
  <si>
    <t>Cifuentes-Faura, J (corresponding author), Univ Murcia, Fac Econ &amp; Business, s-n Campus Univ, Murcia 30100, Spain.</t>
  </si>
  <si>
    <t>javier.cifuentes@um.es</t>
  </si>
  <si>
    <t>Ruvalcaba-Gomez, Edgar Alejandro/0000-0003-0999-0680; Cifuentes-Faura, Javier/0000-0001-6763-8525</t>
  </si>
  <si>
    <t>Madrid Institute for Advanced Study (MIAS); Instituto de Investigacion en Rendicion de Cuentas y Combate a la Corrupcion (IIRCCC)</t>
  </si>
  <si>
    <t>We thank the Centro de Estudios Estrategicos para el Desarrollo (CEED) of the Universidad de Guadalajara for providing us with information and data for this research. Also, we thank the Madrid Institute for Advanced Study (MIAS) and the Instituto de Investigacion en Rendicion de Cuentas y Combate a la Corrupcion (IIRCCC) for their support during the development of this research.</t>
  </si>
  <si>
    <t>SAGE PUBLICATIONS LTD</t>
  </si>
  <si>
    <t>1 OLIVERS YARD, 55 CITY ROAD, LONDON EC1Y 1SP, ENGLAND</t>
  </si>
  <si>
    <t>0020-8523</t>
  </si>
  <si>
    <t>1461-7226</t>
  </si>
  <si>
    <t>INT REV ADM SCI</t>
  </si>
  <si>
    <t>Int. Rev. Adm. Sci.</t>
  </si>
  <si>
    <t>2023 MAR 29</t>
  </si>
  <si>
    <t>10.1177/00208523231164587</t>
  </si>
  <si>
    <t>MAR 2023</t>
  </si>
  <si>
    <t>Public Administration</t>
  </si>
  <si>
    <t>D1UJ8</t>
  </si>
  <si>
    <t>WOS:000966637800001</t>
  </si>
  <si>
    <t>Lema, MLD; Rossi, L; Soncin, M</t>
  </si>
  <si>
    <t>Lema, Melisa L. Diaz L.; Rossi, Lidia; Soncin, Mara</t>
  </si>
  <si>
    <t>Teaching away from school: do school digital support influence teachers' well-being during Covid-19 emergency?</t>
  </si>
  <si>
    <t>LARGE-SCALE ASSESSMENTS IN EDUCATION</t>
  </si>
  <si>
    <t>Teachers' well-being; School digital support; REDS data; School effect; Covid-19</t>
  </si>
  <si>
    <t>The Covid-19 pandemic coerced the closure of most schools around the world and forced teachers and students to change teaching and learning methods. Emergency Remote Teaching (ERT) generated consequences to teachers and students in terms of learning outcomes and personal well-being. This study focuses on teachers' individual and working environment well-being in ERT conditions and intends to explore which factors related to the provision of digital equipment and the implementation of digital strategies by schools explain the school effect on both typologies of well-being during the Covid-19 emergency. To do so, data collected in the Responses to Educational Disruption Survey (REDS) across three countries were used, and a two-step analysis was conducted. A first step involves the use of linear mixed effect models to assess the school effect on teachers individual and working environment well-being. In the second step Regression Trees (RT) are used to investigate which factors and policies related to digital tools explained the identified school effects. The results show that schools and countries played a role in determining teachers perceived well-being during the Covid-19 disruption, in particular the school level explains more than 7% of the work environment well-being and 8% of individual one. In the second step of the analysis results show that a high positive effect on school environment well-being is observed when the school's activity is not influenced by policies limiting the use of online tools and when teacher's readiness for remote teaching, like the development of technical skills and the provision of internet access and digital devices, is met. To the best of our knowledge, this is the first study that evaluates the impact of digital tactics and instruments provided by schools on teachers' well-being on a large scale.</t>
  </si>
  <si>
    <t>[Lema, Melisa L. Diaz L.; Rossi, Lidia; Soncin, Mara] Sch Management Politecn Milano, Via Lambruschini 4-B, Milan, Italy</t>
  </si>
  <si>
    <t>Rossi, L (corresponding author), Sch Management Politecn Milano, Via Lambruschini 4-B, Milan, Italy.</t>
  </si>
  <si>
    <t>lidia.rossi@polimi.it</t>
  </si>
  <si>
    <t>Soncin, Mara/AAL-5559-2020</t>
  </si>
  <si>
    <t>Rossi, Lidia/0000-0002-6151-2910</t>
  </si>
  <si>
    <t>2196-0739</t>
  </si>
  <si>
    <t>LARGE-SCALE ASSESS E</t>
  </si>
  <si>
    <t>Large-Scale Assess. Educ.</t>
  </si>
  <si>
    <t>MAR 27</t>
  </si>
  <si>
    <t>10.1186/s40536-023-00159-7</t>
  </si>
  <si>
    <t>A2RK7</t>
  </si>
  <si>
    <t>WOS:000953654700001</t>
  </si>
  <si>
    <t>Dumbrell, J; Daneshvar, H; Oteo, A; Baldacchino, A; Matheson, C</t>
  </si>
  <si>
    <t>Dumbrell, Josh; Daneshvar, Hadi; Oteo, Alberto; Baldacchino, Alexander; Matheson, Catriona</t>
  </si>
  <si>
    <t>The acceptability of overdose alert and response technologies: introducing the TPOM-ODART framework</t>
  </si>
  <si>
    <t>HARM REDUCTION JOURNAL</t>
  </si>
  <si>
    <t>Opioids; People who use opioids (PWUO); Overdose (OD); Public health; Harm reduction; Overdose alert and response technologies (ODART); TPOM-ODART; Overdose digital technologies</t>
  </si>
  <si>
    <t>TAKE-HOME NALOXONE</t>
  </si>
  <si>
    <t>BackgroundOpioids were implicated in approximately 88,000 fatal overdoses (OD) globally. However, in principle all opioid OD are reversible with the timely administration of naloxone hydrochloride. Despite the widespread availability of naloxone among people who use opioids (PWUO), many who suffer fatal OD use alone, without others present to administer the reversal agent. Recognising this key aspect of the challenge calls for innovations, a number of technological approaches have emerged which aim to connect OD victims with naloxone. However, the acceptability of OD response technologies to PWUO is of key concern.MethodsDrawing on the Technology People Organisations Macroenvironment (TPOM) framework, this study sought to integrate acceptability-related findings in this space with primary research data from PWUO, affected family members and service providers to understand the factors involved in harm reduction technology acceptability.A qualitative study using a focus group methodology was conducted. The participant groups were people with lived experience of problem opioid use, affected family members and service providers. Data analysis followed a multi-stage approach to thematic analysis and utilised both inductive and deductive methods.ResultsThirty individuals participated in one of six focus groups between November 2021 and September 2022. The analysis generated six major themes, three of which are reported in this article-selected for their close relevance to PWUO and their importance to developers of digital technologies for this group. 'Trust-in technologies, systems and people' was a major theme and was closely linked to data security, privacy and confidentiality. 'Balancing harm reduction, safety and ambivalence' reflects the delicate balance technological solutions must achieve to be acceptable to PWUO. Lastly, 'readiness-a double bind' encapsulates the perception shared across participant groups, that those at the highest risk, may be the least able to engage with interventions.ConclusionEffective digital strategies to prevent fatal OD must be sensitive to the complex relationships between technological, social/human, organisational and wider macroenvironmental factors which can enable or impede intervention delivery. Trust, readiness and performance are central to technology acceptability for PWUO. An augmented TPOM was developed (the TPOM-ODART).</t>
  </si>
  <si>
    <t>[Dumbrell, Josh] Univ Stirling, Drugs Res Network Scotland, Stirling, Scotland; [Daneshvar, Hadi; Matheson, Catriona] Univ Stirling, Fac Social Sci, Stirling, Scotland; [Oteo, Alberto; Baldacchino, Alexander] Univ St Andrews, Med Sch, St Andrews, Scotland</t>
  </si>
  <si>
    <t>University of Stirling; University of Stirling; University of St Andrews</t>
  </si>
  <si>
    <t>Dumbrell, J (corresponding author), Univ Stirling, Drugs Res Network Scotland, Stirling, Scotland.</t>
  </si>
  <si>
    <t>j.l.dumbrell@stir.ac.uk</t>
  </si>
  <si>
    <t>Baldacchino, Alex/0000-0002-5388-7376; Oteo Perez, Alberto/0000-0002-4239-9529</t>
  </si>
  <si>
    <t>Scottish Government Technology Enabled Care Directorate</t>
  </si>
  <si>
    <t>This study was funded by Scottish Government Technology Enabled Care Directorate.</t>
  </si>
  <si>
    <t>1477-7517</t>
  </si>
  <si>
    <t>HARM REDUCT J</t>
  </si>
  <si>
    <t>Harm Reduct. J.</t>
  </si>
  <si>
    <t>MAR 26</t>
  </si>
  <si>
    <t>10.1186/s12954-023-00763-4</t>
  </si>
  <si>
    <t>Substance Abuse</t>
  </si>
  <si>
    <t>A7QV7</t>
  </si>
  <si>
    <t>WOS:000957037500001</t>
  </si>
  <si>
    <t>Marino-Romero, JA; Palos-Sanchez, PR; Velicia-Martin, E</t>
  </si>
  <si>
    <t>Alberto Marino-Romero, Jorge; Palos-Sanchez, Pedro R.; Velicia-Martin, Elix</t>
  </si>
  <si>
    <t>Improving KIBS performance using digital transformation: study based on the theory of resources and capabilities</t>
  </si>
  <si>
    <t>JOURNAL OF SERVICE THEORY AND PRACTICE</t>
  </si>
  <si>
    <t>Digital capability; Digital strategy; Technologies; Organizational performance</t>
  </si>
  <si>
    <t>INTENSIVE BUSINESS SERVICES; INFORMATION-TECHNOLOGY CAPABILITY; MEDIUM-SIZED ENTERPRISES; ORGANIZATIONAL PERFORMANCE; DYNAMIC CAPABILITIES; PROCESS MANAGEMENT; BIG DATA; PLS-SEM; LEADERSHIP; INNOVATION</t>
  </si>
  <si>
    <t>Purpose - The aim of this research is to analyze the success of digital transformation (DT) in the management and performance of organizations. To do so, the role of IT and its ability to integrate in organizations that provide professional services with high added value for their clients are investigated. These services require highly developed skills as they solve complex problems for the clients and this means that success depends on gathering knowledge from different sources (customers, public administrations and competitors). This study analyses the decisive and complementary role of IT in this process. Design/methodology/approach - The analysis combines quantitative and qualitative methods. After questioning managers of Spanish KIBS companies about certain components of DT, the gathered data are subsequently processed with PLS-SEM to establish causal relationships. Findings - The results show that digital capability is the determinant of DT. It has a positive effect on the digital resources integrated in KIBS companies and on their organizational performances. Research limitations/implications - Future research should continue to analyze other components of TD that drive the organizational performance of KIBS firms, such as technological culture or government policies that encourage digital transactions. The present study analyzes data from companies that are part of a single economic sector in Spain which may limit the conclusions drawn. It would be particularly useful to confirm the applicability of the results in companies operating in different markets to explore the direct relationship between digital capability and organizational performance. Practical implications - This research has implications formanagers of KIBS companies, as it shows the high potential of the ability of IT to implement and manage a TD process. Managers can benefit from IT management practices using the appropriate tools (ERP, CRM and management software) to gain more knowledge of customer behavior with the possibility of easily codifying and analyzing the data, which significantly influences innovation activities. The objective is to develop a strong internal capability to absorb knowledge from day-to-day interactions with customers by using IT effectively. This process leads to an improvement in the organizational performance of KIBS companies, as they become more effective in decision making with improved internal communication, generate greater employee satisfaction and reach new customers. Following strategies aimed at the implementation and use of the technological resources studied creates more agile firms and helps to close the production gap between SMEs and large companies. Social implications - The results obtained can help create sustainable businesses through cloud-based technology tools. It can provide insights for policy makers to implement economic policies that help SMEs to become more competitive and sustainable. Originality/value - The development of digital technologies and the ability to manage them is one of the decisive factors that conceptualizesDTand improves organizational performance. This research contributes to the understanding of the need for managers of KIBS companies to follow strategies oriented towards the digitization of their organizations and for the collaborators to have a high level of IT training, especially in the use of cloud technology.</t>
  </si>
  <si>
    <t>[Alberto Marino-Romero, Jorge; Velicia-Martin, Elix] Univ Seville, Dept Business Adm &amp; Mkt, Fac Econ &amp; Business Sci, Seville, Spain; [Alberto Marino-Romero, Jorge] Univ Extremadura, Dept Financial Econ &amp; Accounting, Badajoz, Spain; [Palos-Sanchez, Pedro R.] Univ Seville, Dept Financial Econ &amp; Operat Management, Fac Econ &amp; Business Sci, Seville, Spain</t>
  </si>
  <si>
    <t>University of Sevilla; Universidad de Extremadura; University of Sevilla</t>
  </si>
  <si>
    <t>Palos-Sanchez, PR (corresponding author), Univ Seville, Dept Financial Econ &amp; Operat Management, Fac Econ &amp; Business Sci, Seville, Spain.</t>
  </si>
  <si>
    <t>ppalos@us.es</t>
  </si>
  <si>
    <t>Mariño Romero, Jorge Alberto/ITR-9914-2023; Velicia-Martin, Felix/M-4710-2014; Palos-Sanchez, Pedro R./A-8952-2017</t>
  </si>
  <si>
    <t>Mariño Romero, Jorge Alberto/0000-0002-9624-5154; Velicia-Martin, Felix/0000-0003-2300-6256; Palos-Sanchez, Pedro R./0000-0001-9966-0698</t>
  </si>
  <si>
    <t>2055-6225</t>
  </si>
  <si>
    <t>J SERV THEOR PRACT</t>
  </si>
  <si>
    <t>J. Serv. Theory Pract.</t>
  </si>
  <si>
    <t>MAR 24</t>
  </si>
  <si>
    <t>10.1108/JSTP-04-2022-0095</t>
  </si>
  <si>
    <t>K3ZG9</t>
  </si>
  <si>
    <t>Green Published, hybrid</t>
  </si>
  <si>
    <t>WOS:001015848200001</t>
  </si>
  <si>
    <t>Khan, S; Haleem, A; Husain, Z; Samson, D; Pathak, RD</t>
  </si>
  <si>
    <t>Khan, Shahbaz; Haleem, Abid; Husain, Zafar; Samson, Daniel; Pathak, R. D.</t>
  </si>
  <si>
    <t>Barriers to blockchain technology adoption in supply chains: the case of India</t>
  </si>
  <si>
    <t>OPERATIONS MANAGEMENT RESEARCH</t>
  </si>
  <si>
    <t>Barriers; Blockchain Technology; DEMATEL; Supply Chain; Sustainability</t>
  </si>
  <si>
    <t>RESEARCH FRAMEWORK; CHALLENGES; OPERATIONS</t>
  </si>
  <si>
    <t>In the era of digitalization, Blockchain is an evolving technology that has the potential to change the shape of numerous industries. Blockchain is considered the transforming technology that has the ability to change the conventional supply chain network by providing additional transparency of transactions in terms of information and physical goods. Additionally, the implementation of blockchain technology in the supply chain is required to accomplish the objectives of industry 4.0. However, there has to date been a scarcity of blockchain implementations due to the numerous barriers associated with it. Therefore, the primary aim of this research is to identify and investigate the major barriers to implementing blockchain technology in supply chains. We identified ten significant barriers to adopting blockchain technology through a literature review and expert opinions. Additionally, the finalized barriers were categorized into an influential and influenced group using the DEMATEL method. The findings of this study show that 'influential group' barriers require more attention from the supply chain partners to mitigate these barriers. The primary influential barriers are 'Lack of information sharing,' 'Trust management issues,' and 'Lack of upgraded technologies', and these barriers require immediate attention from supply chain stakeholders wishing to use blockchain. These findings contribute to improving managerial decisions and digital strategies regarding blockchain within organisations, and how implementation can effectively be achieved.</t>
  </si>
  <si>
    <t>[Khan, Shahbaz] GLA Univ, Inst Business Management, Mathura, India; [Haleem, Abid] Jamila Millia Islamia, Fac Engn, New Delhi, India; [Husain, Zafar] Al Ain Univ, Coll Business, Al Ain, U Arab Emirates; [Samson, Daniel] Univ Melbourne, Melbourne, Australia; [Pathak, R. D.] Univ South Pacific, Grad Sch Business, Suva, Fiji</t>
  </si>
  <si>
    <t>GLA University; Jamia Millia Islamia; University of Melbourne; University of the South Pacific</t>
  </si>
  <si>
    <t>Samson, D (corresponding author), Univ Melbourne, Melbourne, Australia.</t>
  </si>
  <si>
    <t>shahbaz.me12@gmail.com; ahaleem@jmi.ac.in; Zafar.husain@aau.ac.ae; d.samson@unimelb.edu.au; raghuvar.pathak@usp.ac.fj</t>
  </si>
  <si>
    <t>Husain, Zafar/F-8033-2015; HALEEM, ABID/G-4761-2012; Khan, Shahbaz/AAE-5608-2019</t>
  </si>
  <si>
    <t>Husain, Zafar/0000-0003-4455-0189; HALEEM, ABID/0000-0002-3487-0229; Khan, Shahbaz/0000-0003-3543-9729; samson, danny/0000-0003-3159-0624</t>
  </si>
  <si>
    <t>CAUL</t>
  </si>
  <si>
    <t>Open Access funding enabled and organized by CAUL and its Member Institutions.</t>
  </si>
  <si>
    <t>1936-9735</t>
  </si>
  <si>
    <t>1936-9743</t>
  </si>
  <si>
    <t>OPER MANAGE RES</t>
  </si>
  <si>
    <t>Oper. Manag. Res.</t>
  </si>
  <si>
    <t>2023 MAR 23</t>
  </si>
  <si>
    <t>10.1007/s12063-023-00358-z</t>
  </si>
  <si>
    <t>A4VD8</t>
  </si>
  <si>
    <t>WOS:000955110100001</t>
  </si>
  <si>
    <t>Lotto, M; Hanjahanja-Phiri, T; Padalko, H; Oetomo, A; Butt, ZA; Boger, J; Millar, J; Cruvinel, T; Morita, PP</t>
  </si>
  <si>
    <t>Lotto, Matheus; Hanjahanja-Phiri, Thokozani; Padalko, Halyna; Oetomo, Arlene; Butt, Zahid Ahmad; Boger, Jennifer; Millar, Jason; Cruvinel, Thiago; Morita, Plinio P.</t>
  </si>
  <si>
    <t>Ethical principles for infodemiology and infoveillance studies concerning infodemic management on social media</t>
  </si>
  <si>
    <t>FRONTIERS IN PUBLIC HEALTH</t>
  </si>
  <si>
    <t>health information; infodemic; infoveillance; misinformation; social media</t>
  </si>
  <si>
    <t>Big data originating from user interactions on social media play an essential role in infodemiology and infoveillance outcomes, supporting the planning and implementation of public health actions. Notably, the extrapolation of these data requires an awareness of different ethical elements. Previous studies have investigated and discussed the adoption of conventional ethical approaches in the contemporary public health digital surveillance space. However, there is a lack of specific ethical guidelines to orient infodemiology and infoveillance studies concerning infodemic on social media, making it challenging to design digital strategies to combat this phenomenon. Hence, it is necessary to explore if traditional ethical pillars can support digital purposes or whether new ones must be proposed since we are confronted with a complex online misinformation scenario. Therefore, this perspective provides an overview of the current scenario of ethics-related issues of infodemiology and infoveillance on social media for infodemic studies.</t>
  </si>
  <si>
    <t>[Lotto, Matheus; Cruvinel, Thiago] Univ Sao Paulo, Bauru Sch Dent, Dept Pediat Dent Orthodont &amp; Publ Hlth, Bauru, Brazil; [Lotto, Matheus; Hanjahanja-Phiri, Thokozani; Padalko, Halyna; Oetomo, Arlene; Butt, Zahid Ahmad; Morita, Plinio P.] Univ Waterloo, Sch Publ Hlth Sci, Waterloo, ON, Canada; [Boger, Jennifer; Morita, Plinio P.] Univ Waterloo, Dept Syst Design Engn, Waterloo, ON, Canada; [Millar, Jason] Univ Ottawa, Fac Engn, Sch Engn Design &amp; Teaching Innovat, Ottawa, ON, Canada; [Morita, Plinio P.] Univ Waterloo, Res Inst Aging, Waterloo, ON, Canada; [Morita, Plinio P.] Univ Hlth Network, Techna Inst, Ctr Digital Therapeut, Toronto, ON, Canada; [Morita, Plinio P.] Univ Toronto, Inst Hlth Policy Management &amp; Evaluat, Dalla Lana Sch Publ Hlth, Toronto, ON, Canada</t>
  </si>
  <si>
    <t>Universidade de Sao Paulo; University of Waterloo; University of Waterloo; University of Ottawa; University of Waterloo; University of Toronto; University Health Network Toronto; University of Toronto</t>
  </si>
  <si>
    <t>Morita, PP (corresponding author), Univ Waterloo, Sch Publ Hlth Sci, Waterloo, ON, Canada.;Morita, PP (corresponding author), Univ Waterloo, Dept Syst Design Engn, Waterloo, ON, Canada.;Morita, PP (corresponding author), Univ Waterloo, Res Inst Aging, Waterloo, ON, Canada.;Morita, PP (corresponding author), Univ Hlth Network, Techna Inst, Ctr Digital Therapeut, Toronto, ON, Canada.;Morita, PP (corresponding author), Univ Toronto, Inst Hlth Policy Management &amp; Evaluat, Dalla Lana Sch Publ Hlth, Toronto, ON, Canada.</t>
  </si>
  <si>
    <t>plinio.morita@uwaterloo.ca</t>
  </si>
  <si>
    <t>Lotto, Matheus/V-4759-2018; Cruvinel, Thiago/K-2707-2012</t>
  </si>
  <si>
    <t>Lotto, Matheus/0000-0002-0121-4006;</t>
  </si>
  <si>
    <t>Sao Paulo Research Foundation [2021/10732-5]</t>
  </si>
  <si>
    <t>Sao Paulo Research Foundation(Fundacao de Amparo a Pesquisa do Estado de Sao Paulo (FAPESP))</t>
  </si>
  <si>
    <t>This work was supported by the Sao Paulo Research Foundation (grant #2021/10732-5).</t>
  </si>
  <si>
    <t>2296-2565</t>
  </si>
  <si>
    <t>FRONT PUBLIC HEALTH</t>
  </si>
  <si>
    <t>Front. Public Health</t>
  </si>
  <si>
    <t>MAR 23</t>
  </si>
  <si>
    <t>10.3389/fpubh.2023.1130079</t>
  </si>
  <si>
    <t>Public, Environmental &amp; Occupational Health</t>
  </si>
  <si>
    <t>C6HT1</t>
  </si>
  <si>
    <t>WOS:000962912100001</t>
  </si>
  <si>
    <t>Webb, JB; Ford, NM; Padro, MP</t>
  </si>
  <si>
    <t>Webb, Jennifer B.; Ford, Nataya M.; Padro, Meagan P.</t>
  </si>
  <si>
    <t>Fashion versus fitspo: The effect of viewing images of contemporary Barbie? dolls in passive versus active poses on college women?s body image and affect</t>
  </si>
  <si>
    <t>BODY IMAGE</t>
  </si>
  <si>
    <t>Barbie? dolls; Thin-ideal; Athletic-ideal; Fitspiration; Body image; College women</t>
  </si>
  <si>
    <t>SELF-OBJECTIFICATION; GIRLS; DISSATISFACTION; EXPOSURE; THIN; INTERNALIZATION; FUNCTIONALITY; SKINNY; FORM; KEN</t>
  </si>
  <si>
    <t>The modern millennial-and Gen Z-targeted Barbiecore feminist movement has emerged in tandem with Barbie (R)'s reinvention to inspire inclusion and active play. Stimulated by these media trends, the present study using a pre-post experimental design evaluated whether exposure to images depicting contemporary passively-posed Barbie Fashionista (R) (BF) dolls versus images of actively-posed Barbie Made to Move (R) (M2M) fitspiration dolls versus images of Lego Friends (R) (LF) scenes would differentially affect aspects of state body image and affect in a sample of 106 racially-diverse young adult college women (MAge = 19.2, SD = 1.39). ANCOVA models assessed the effects of condition on post state measures while controlling for baseline state measures. Results indicated that participants exposed to the BF images reported significantly lower body appreciation relative to those who viewed the LF play sets. A similar trend emerged for par-ticipants shown the newer M2M doll images. Additionally, viewing images of the actively-posed M2M dolls was associated with marginally higher appearance comparison scores versus the LF control. These initial findings have implications for considering the relevance of expanded digital strategies for marketing more realistically appearing and functioning Barbie (R) dolls in affecting the body image experiences and potential purchasing choices of young adult female consumers.(c) 2023 Elsevier Ltd. All rights reserved.</t>
  </si>
  <si>
    <t>[Webb, Jennifer B.; Ford, Nataya M.] Univ North Carolina Charlotte, Dept Psychol Sci, Charlotte, NC USA; [Webb, Jennifer B.] Univ North Carolina Charlotte, Hlth Psychol PhD Program, Charlotte, NC USA; [Padro, Meagan P.] Univ North Carolina Chapel Hill, Sch Psychol PhD Program, Charlotte, NC USA; [Webb, Jennifer B.] UNC Charlotte, Dept Psychol Sci, 9201 Univ City Blvd, Charlotte, NC 28223 USA</t>
  </si>
  <si>
    <t>University of North Carolina; University of North Carolina Charlotte; University of North Carolina; University of North Carolina Charlotte; University of North Carolina; University of North Carolina Chapel Hill; University of North Carolina; University of North Carolina Charlotte</t>
  </si>
  <si>
    <t>Webb, JB (corresponding author), UNC Charlotte, Dept Psychol Sci, 9201 Univ City Blvd, Charlotte, NC 28223 USA.</t>
  </si>
  <si>
    <t>jennifer.webb@uncc.edu</t>
  </si>
  <si>
    <t>1740-1445</t>
  </si>
  <si>
    <t>1873-6807</t>
  </si>
  <si>
    <t>Body Image</t>
  </si>
  <si>
    <t>10.1016/j.bodyim.2023.03.004</t>
  </si>
  <si>
    <t>Psychology, Clinical; Psychiatry; Psychology, Multidisciplinary</t>
  </si>
  <si>
    <t>Psychology; Psychiatry</t>
  </si>
  <si>
    <t>D0CB7</t>
  </si>
  <si>
    <t>WOS:000965482500001</t>
  </si>
  <si>
    <t>Pandita, D; Vapiwala, F</t>
  </si>
  <si>
    <t>Pandita, Deepika; Vapiwala, Fatima</t>
  </si>
  <si>
    <t>Waving the flames of fan engagement: strategies for coping with the digital transformation in sports organizations</t>
  </si>
  <si>
    <t>JOURNAL OF STRATEGY AND MANAGEMENT</t>
  </si>
  <si>
    <t>Fan engagement; Fan experience; Social media; Digital transformation; Sports organization</t>
  </si>
  <si>
    <t>SOCIAL MEDIA; CO-CREATION; CUSTOMER; INVOLVEMENT; CLUBS</t>
  </si>
  <si>
    <t>Purpose - The purpose of this study is to understand the factors responsible for social media fan engagement and experience. The research study also attempts to analyze the significance of adopting digital strategies with a fan-centric approach for sports organizations. Design/methodology/approach - The authors conducted 18 semi-structured interviews with managers in different sports organizations and fans of various popular sports leagues and clubs in India. The authors used a qualitative exploratory approach by applying coding and thematic analysis to arrive at findings and conclusions. Findings - The responses led to the emergence of three major themes comprising effective planning, harnessing fan participation and boosting the quality of experience. Building on these themes, the authors recommended the PRIME model for sports organizations. Research limitations/implications - As this study explores the growing importance of fan engagement from the top three sports leagues in India, future researchers can focus on obtaining data from multiple countries and multiple leagues to enhance fan engagement's generalizability. Also with the growing popularity of eSports, the scope of the present study may be expanded based on eSports. Practical implications - The authors' study acts as an eye-opener for managers revealing that to get active participation from fans, sports organizations will have to be active in social media initiatives. In addition to this, the authors also propose the PRIME model, which elaborates on the aspects of Planning social media programs, Regularization of content creation, increased Interaction with the fan base, Motivation through rewards and Enriching fan experience for effectively harnessing fan engagement and experience. Originality/value - In the pandemic era, engaging with fans on social media can enable sports organizations to thrive. The authors suggest a PRIME model which can aid sports managers in effectively harnessing fan engagement and experience for the managers of sports organizations. The model can also be applied beyond the sports context in anchoring customer engagement and experience through the social media of other business organizations.</t>
  </si>
  <si>
    <t>[Pandita, Deepika; Vapiwala, Fatima] Symbiosis Int Deemed Univ, Symbiosis Inst Business Management Pune, Pune, India</t>
  </si>
  <si>
    <t>Symbiosis International University; Symbiosis Institute of Business Management (SIBM) Pune</t>
  </si>
  <si>
    <t>Pandita, D (corresponding author), Symbiosis Int Deemed Univ, Symbiosis Inst Business Management Pune, Pune, India.</t>
  </si>
  <si>
    <t>deepikapandita@sibmpune.edu.in; fatimavapi.jrf@sibmpune.edu.in</t>
  </si>
  <si>
    <t>Vapiwala, Fatima/0000-0003-0300-4157</t>
  </si>
  <si>
    <t>1755-425X</t>
  </si>
  <si>
    <t>J STRATEGY MANAG</t>
  </si>
  <si>
    <t>J. Strategy Manag.</t>
  </si>
  <si>
    <t>2023 MAR 14</t>
  </si>
  <si>
    <t>10.1108/JSMA-02-2022-0041</t>
  </si>
  <si>
    <t>9W0ZQ</t>
  </si>
  <si>
    <t>WOS:000948811100001</t>
  </si>
  <si>
    <t>Cepa, K; Schildt, H</t>
  </si>
  <si>
    <t>Cepa, Katharina; Schildt, Henri</t>
  </si>
  <si>
    <t>What to teach when we teach digital strategy? An exploration of the nascent field</t>
  </si>
  <si>
    <t>LONG RANGE PLANNING</t>
  </si>
  <si>
    <t>BIG DATA; MANAGEMENT RESEARCH; BUSINESS STRATEGY; MEDIATING ROLE; INNOVATION; KNOWLEDGE; TECHNOLOGY; RESOURCES; TOOLS; ORGANIZATIONS</t>
  </si>
  <si>
    <t>Companies are increasingly pursuing competitive advantage through innovative use of advanced information technologies, such as artificial in-telligence. Management education must prepare students with the skills and knowledge needed to function effectively and ethically in this increasingly digitalized business environment. Yet, we have no consensus on what constitutes digital strategy, let alone how the topic ought to be taught. To advance the emerging subdiscipline of digital strategy, this article takes stock of the teaching in this nascent domain. We conducted an inductive analysis of twelve postgraduate modules and fifteen massive open online courses (MOOCs) to provide an empirically grounded framework. Our analysis categorizes digital strategy-related module content into four domains, constituted by thirteen topic areas. We further identify five distinct course profiles that digital strategy modules typically follow. This article contributes to the strategic management discipline by providing an exploration of digital strategy teaching and offering concrete guidelines for teaching digital strategy in business schools and universities, either as a module on its own right or as part of an existing strategy module.</t>
  </si>
  <si>
    <t>[Cepa, Katharina] Vrije Univ Amsterdam, Amsterdam, Netherlands; [Schildt, Henri] Aalto Univ, Espoo, Finland</t>
  </si>
  <si>
    <t>Vrije Universiteit Amsterdam; Aalto University</t>
  </si>
  <si>
    <t>Cepa, K (corresponding author), Vrije Univ Amsterdam, Amsterdam, Netherlands.</t>
  </si>
  <si>
    <t>k.c.cepa@vu.nl; henri.schildt@aalto.fi</t>
  </si>
  <si>
    <t>Cepa, Katharina/0000-0001-6934-8177</t>
  </si>
  <si>
    <t>ELSEVIER SCI LTD</t>
  </si>
  <si>
    <t>THE BOULEVARD, LANGFORD LANE, KIDLINGTON, OXFORD OX5 1GB, OXON, ENGLAND</t>
  </si>
  <si>
    <t>0024-6301</t>
  </si>
  <si>
    <t>1873-1872</t>
  </si>
  <si>
    <t>LONG RANGE PLANN</t>
  </si>
  <si>
    <t>Long Range Plan.</t>
  </si>
  <si>
    <t>10.1016/j.lrp.2022.102271</t>
  </si>
  <si>
    <t>Business; Development Studies; Management</t>
  </si>
  <si>
    <t>A6AB7</t>
  </si>
  <si>
    <t>WOS:000955918500001</t>
  </si>
  <si>
    <t>Busco, C; González, F; Aránguiz, M</t>
  </si>
  <si>
    <t>Busco, Carolina; Gonzalez, Felipe; Aranguiz, Michelle</t>
  </si>
  <si>
    <t>Factors that favor or hinder the acquisition of a digital culture in large organizations in Chile</t>
  </si>
  <si>
    <t>FRONTIERS IN PSYCHOLOGY</t>
  </si>
  <si>
    <t>digital transformation; digital culture; digital leadership; digital strategy; Delphi method</t>
  </si>
  <si>
    <t>DELPHI; TRANSFORMATION; READY</t>
  </si>
  <si>
    <t>Organizational culture is often perceived as a valuable strategic asset supporting business transformation and the exploitation of digital technologies. Still, it can also be the source of inertia that impedes change. The research question proposed is What factors favor or hinder the acquisition of digital culture in large organizations in Chile? The aim is to rank factors that promote a digital culture based on the perception of executives using the Delphi method. The expert panel was selected with strategic criteria, considering practical knowledge, up-to-date experience on the subject, and having high decision-making positions in large companies in Chile. The main statistics used are media, maximum, minimum, and average range, along with the search for consensus determined by the interquartile range and Kendall's W concordance coefficient. Results show a high level of agreement on the importance of digital strategy and digital leadership factors when favoring a digital culture in large companies in Chile. However, large companies in Chile must pay attention to the conservative triad of elements that characterize Chilean work culture that considers the belief that changes are exclusively possible when commanded by the strategic apex, a hierarchical work culture that prevents collaborative work, and the rejection of disruptive change. These factors and cultural characteristics will likely hinder any attempt to succeed in a digital transformation plan.</t>
  </si>
  <si>
    <t>[Busco, Carolina; Gonzalez, Felipe; Aranguiz, Michelle] Univ Diego Portales, Fac Engn &amp; Sci, Dept Ind Engn, Santiago, Chile</t>
  </si>
  <si>
    <t>University Diego Portales</t>
  </si>
  <si>
    <t>Busco, C (corresponding author), Univ Diego Portales, Fac Engn &amp; Sci, Dept Ind Engn, Santiago, Chile.</t>
  </si>
  <si>
    <t>carolina.busco@mail.udp.cl</t>
  </si>
  <si>
    <t>Universidad Diego Portales through the project Indicators of digital maturity in the Chilean industry; Universidad Diego Portales (UDP)</t>
  </si>
  <si>
    <t>Research funding for women professors provided by Universidad Diego Portales through the project Indicators of digital maturity in the Chilean industry, awarded in 2022. Open access funding provided by Universidad Diego Portales (UDP).</t>
  </si>
  <si>
    <t>1664-1078</t>
  </si>
  <si>
    <t>FRONT PSYCHOL</t>
  </si>
  <si>
    <t>Front. Psychol.</t>
  </si>
  <si>
    <t>MAR 9</t>
  </si>
  <si>
    <t>10.3389/fpsyg.2023.1153031</t>
  </si>
  <si>
    <t>Psychology, Multidisciplinary</t>
  </si>
  <si>
    <t>Psychology</t>
  </si>
  <si>
    <t>A4BG5</t>
  </si>
  <si>
    <t>WOS:000954592100001</t>
  </si>
  <si>
    <t>Foria, F; Calicchio, M; Miceli, G</t>
  </si>
  <si>
    <t>Foria, Federico; Calicchio, Mario; Miceli, Gabriele</t>
  </si>
  <si>
    <t>Automatization, artificial intelligence and digital strategies in the maintenance of railway TBM tunnels</t>
  </si>
  <si>
    <t>GALLERIE E GRANDI OPERE SOTTERRANEE</t>
  </si>
  <si>
    <t>TBM tunnels maintenance; serviceability; long-term behavior; tunnelling automatization and artificial Intelligence; monitoring</t>
  </si>
  <si>
    <t>The aspects related to the serviceability and long-term of TBM tunnels have assumed increasing relevance in the design, maintenance and management of infrastructures. To guarantee a high level of knowledge through time and improve durability, it is fundamental to carry out new strategies able to digitalize and automatize the aforementioned factors reducing time and costs. ETS introduced a new method for the diagnostic of existing tunnels through an innovative multi-dimensional survey system (ARCHITA), and a new approach for the Management and Identification of the Risk for Existing Tunnels (MIRET). A detailed preliminary assessment of the tunnel condition is obtained through laser scanning and high-definition photo, with minimal impact on the serviceability of the line. Results are digitalized and manipulated, allowing the development of deep learning-based methods for the segmentation of defects with AI algorithms. The paper explains the framework of digital strategies, automatization and artificial intelligence for TBM tunnelling.</t>
  </si>
  <si>
    <t>[Foria, Federico; Calicchio, Mario; Miceli, Gabriele] ETS Srl, Rome, Italy</t>
  </si>
  <si>
    <t>Foria, F (corresponding author), ETS Srl, Rome, Italy.</t>
  </si>
  <si>
    <t>federico.foria@etsingegneria.it</t>
  </si>
  <si>
    <t>PATRON EDITORE S R L</t>
  </si>
  <si>
    <t>BOLOGNA</t>
  </si>
  <si>
    <t>VIA BADINI 12, QUARTO INFERIORE, BOLOGNA, 00000, ITALY</t>
  </si>
  <si>
    <t>0393-1641</t>
  </si>
  <si>
    <t>GALLERIE GD OPER SOT</t>
  </si>
  <si>
    <t>Gallerie Gd. Opere Sotter.</t>
  </si>
  <si>
    <t>MAR</t>
  </si>
  <si>
    <t>Engineering, Civil</t>
  </si>
  <si>
    <t>Engineering</t>
  </si>
  <si>
    <t>M3QR9</t>
  </si>
  <si>
    <t>WOS:001029367800004</t>
  </si>
  <si>
    <t>Qi, YD; Du, B; Wen, X</t>
  </si>
  <si>
    <t>Qi, Yudong; Du, Bo; Wen, Xin</t>
  </si>
  <si>
    <t>Strategic Digital Transformation of State-owned Enterprises: Mission Embedding and Mode Selection-A Case Study Based on the Typical Digital Transformation of Three State-owned Enterprises</t>
  </si>
  <si>
    <t>FRONTIERS OF BUSINESS RESEARCH IN CHINA</t>
  </si>
  <si>
    <t>national mission; state-owned enterprises (SOEs); functional classification; two-way embedding; digital strategic transformation</t>
  </si>
  <si>
    <t>INFORMATION-TECHNOLOGY; INNOVATION</t>
  </si>
  <si>
    <t>China's state-owned enterprises (SOEs) are facing an embedded integration of new functional mission, new classification reform and new digital development. These new tasks require SOEs to embrace digital strategic transformation and innovation for high-quality fulfillment of their national mission. Studying their digital transformation practices, this paper systematically explores the mechanism and path of embedding national mission into SOE digital transformation, and the mode selection of SOE digital transformation under different mission guidance. The findings are: (1) The SOE functional mission focusing on economic development, strategic support and public services in the new era is undertaken by for-profit, strategic and public functional SOEs; (2) the foreign circulation path based on the positioning mechanism-mapping mechanism and the internal consumption connection path for the state capital strategic positioning constitute a double two-way mechanism of embedding the national mission to the SOE digital strategic transformation, leading SOEs to build market-oriented, capacity-oriented and public-oriented digital transformation modes; (3) the three types of reform modes have respectively produced the action mechanism featuring agile strengthening, toughness strengthening and adaptability strengthening, which support the SOE classification performance. This paper attempts to make up for the research gap such as the lack of integration of the SOE digital strategic transformation mode by constructing the theoretical mode of SOE digital strategic transformation under the guidance of national mission, and reveals the intermediary mechanism of digital strategic transformation to support SOEs for fulfilling their functional missions.</t>
  </si>
  <si>
    <t>[Qi, Yudong; Du, Bo] Beijing Normal Univ, Business Sch, Beijing 100875, Peoples R China; [Wen, Xin] Beijing Normal Univ Sch, Sch Govt, Beijing 100875, Peoples R China</t>
  </si>
  <si>
    <t>Beijing Normal University</t>
  </si>
  <si>
    <t>Qi, YD (corresponding author), Beijing Normal Univ, Business Sch, Beijing 100875, Peoples R China.</t>
  </si>
  <si>
    <t>Major Project of the National Social Science Fund of China  Research on the Mechanism and Path of Promoting Digital Industry Innovation by Technical Standards and Knowledge of Property Rights  [19ZDA077]</t>
  </si>
  <si>
    <t xml:space="preserve">Major Project of the National Social Science Fund of China  Research on the Mechanism and Path of Promoting Digital Industry Innovation by Technical Standards and Knowledge of Property Rights </t>
  </si>
  <si>
    <t>Acknowledgments This paper is supported by the Major Project of the National Social Science Fund of China  Research on the Mechanism and Path of Promoting Digital Industry Innovation by Technical Standards and Knowledge of Property Rights  (No. 19ZDA077) .</t>
  </si>
  <si>
    <t>HIGHER EDUCATION PRESS</t>
  </si>
  <si>
    <t>BEIJING</t>
  </si>
  <si>
    <t>CHAOYANG DIST, 4, HUIXINDONGJIE, FUSHENG BLDG, BEIJING 100029, PEOPLES R CHINA</t>
  </si>
  <si>
    <t>1673-7326</t>
  </si>
  <si>
    <t>1673-7431</t>
  </si>
  <si>
    <t>FRONT BUS RES CHINA</t>
  </si>
  <si>
    <t>Front. Bus. Res. China</t>
  </si>
  <si>
    <t>10.3868/s070-008-023-0005-7</t>
  </si>
  <si>
    <t>W1ZA6</t>
  </si>
  <si>
    <t>WOS:001089672500006</t>
  </si>
  <si>
    <t>Navarro, JT; Santofimia, EO</t>
  </si>
  <si>
    <t>Tunon Navarro, Jorge; Oporto Santofimia, Emma</t>
  </si>
  <si>
    <t>EU Member States' Institutional Twitter Campaigns on COVID-19 Vaccination: Analyses of Germany, Spain, France and Italy</t>
  </si>
  <si>
    <t>VACCINES</t>
  </si>
  <si>
    <t>European Union; digital strategic communication; social networks; Twitter campaign; COVID-19; vaccination</t>
  </si>
  <si>
    <t>ELECTORAL CAMPAIGN; HESITANCY; IMPACT; TIME; RISK</t>
  </si>
  <si>
    <t>The development of an effective vaccine against the SARS-CoV-2 coronavirus became the hope for halting the spread of the disease. In recent years, social networks have become important tools for political and strategic communication in the dialogue with citizens. Therefore, the messages emitted through them were important to address vaccine hesitancy and achieve collective immunity. This paper analyses the use of Twitter by politicians and institutions in EU Member States during the first fifty days after the Commission's marketing authorisation of the first COVID-19 vaccine (21 December 2020 to 8 February 2021). To do so, a triple approach content analysis was carried out (quantitative, qualitative and discursive on feelings) applied to 1913 tweets published by the official profiles of the prime ministers, health ministers, governments and health ministries of Germany, Spain, France and Italy, the four most populous EU countries. The results point out that politicians and institutions gave preference to other issues on their political agenda over vaccine-related issues. Moreover, previous research hypotheses, such as those related to the underutilization of the Twitter tool as a two-way communication channel with citizens, are validated.</t>
  </si>
  <si>
    <t>[Tunon Navarro, Jorge; Oporto Santofimia, Emma] Carlos III Univ Madrid, Dept Commun, Calle Madrid 126, Getafe 28903, Madrid, Spain</t>
  </si>
  <si>
    <t>Navarro, JT (corresponding author), Carlos III Univ Madrid, Dept Commun, Calle Madrid 126, Getafe 28903, Madrid, Spain.</t>
  </si>
  <si>
    <t>jtunon@hum.uc3m.es</t>
  </si>
  <si>
    <t>TUNON NAVARRO, JORGE/0000-0003-0393-6560</t>
  </si>
  <si>
    <t>European Education and Culture Executive Agency (EACEA) [101083334-EPP-1-2022-1-ES-EPPJMO-CHAIR]; MDPI</t>
  </si>
  <si>
    <t>European Education and Culture Executive Agency (EACEA); MDPI</t>
  </si>
  <si>
    <t>This research was funded by the European Education and Culture Executive Agency (EACEA), grant number 101083334-EPP-1-2022-1-ES-EPPJMO-CHAIR and The APC was funded by MDPI.</t>
  </si>
  <si>
    <t>2076-393X</t>
  </si>
  <si>
    <t>VACCINES-BASEL</t>
  </si>
  <si>
    <t>Vaccines</t>
  </si>
  <si>
    <t>10.3390/vaccines11030619</t>
  </si>
  <si>
    <t>Immunology; Medicine, Research &amp; Experimental</t>
  </si>
  <si>
    <t>Immunology; Research &amp; Experimental Medicine</t>
  </si>
  <si>
    <t>D4QW4</t>
  </si>
  <si>
    <t>WOS:000968604400001</t>
  </si>
  <si>
    <t>Valverde, MTC; Garcia, MG; Alcaraz, PP</t>
  </si>
  <si>
    <t>Valverde, Maria Teresa Caro; Garcia, Maria Gonzalez; Alcaraz, Patricia Perez</t>
  </si>
  <si>
    <t>STUDENT CO-EVALUATION OF METACOGNITIVE AND ARGUMENTATIVE TEXT COMMENTARIES: ANALYSIS OF A FORMATIVE PROCESS WITH DIGITAL RESOURCES</t>
  </si>
  <si>
    <t>PERSPECTIVA EDUCACIONAL</t>
  </si>
  <si>
    <t>Argumentation; text commentary; formative assessment; learning process; information and communication technologies; peace</t>
  </si>
  <si>
    <t>Research This research responds to the objective of analyzing a digital corpus of academic documents with a processual approach, prepared by university students during an educational intervention intended for developing their discursive competence with an argumentative commentary model of multimodal texts in the teaching of Spanish as a mother tongue. A qualitative discourse analysis method has been used both in its linguistic manifestations and in the socio-educational micro-ethnographic interaction carried out in a scenario and the process of its formative evaluation. The digital corpus collects written tests from students who have taken the subject called Strategies for the Teaching of Language and Literature from the Degree in Primary Education of the Education Faculty of the University of Murcia (Spain) during the academic year 2021-2022. Specifically, it collects two types of comments housed in their virtual classroom portfolios: first, their textualized group argumentative comments in intertextual, coherent and negotiated alignment with the individual argumentative comments they had previously written about a patrimonial tale selected and interpreted in their argumentative power; second, their group metacognitive comments focused on the peer-assessment of their group argumentative comments, which had the formative background of self-assessment and peer-review of their individual argumentative comments. The analytical knowledge generated by the students in their peer-assessor metacognitive comments about their group argumentative comments is strategically supported by various previous pedagogical organizers, and, especially, in a rubric with discursive quality indicators on three sections of interest: the argumentative sequence of their individual intertextual comments; the coherence, cohesion and adequacy that articulate the logical artifice of their linguistic communication competence; the intertextual arguments contributed by the commentators. With this, the cooperative evaluative feedback of academic works has been mediated from the strategic digital recursion of a personal learning environment (PLE) that includes both resources and tasks enabled in the university virtual classroom of this university subject as informal interaction supports through Google Drive and Zoom. The formative process from which this student co-evaluation procedure has been analyzed from participant observation in field work by teachers according to the scientific-technical framework of an R+D+i project about epistemic innovation of a multimodal argumentative commentary model that has been funded by the Ministry of Science and Innovation of the Spanish Government (PGC2018-101457-B-100). The results of this analysis reveal three conclusions: first, the discursive interaction between students democratizes the process of their formative evaluation in academic works, since the typical logocentric pattern of the unique hetero-evaluation of student products due to teaching authoritarianism is overcome with a new heteroglossic and co-responsible matrix for student processes co -evaluation in academic works mediated with the instructive, informative, communicative and collaborative digital applications used; second, the importance of posing complex academic writing tasks to achieve authentic learning; third, the need to improve the student's discursive competence in the verbal expression of metacognitive and intertextual arguments that promote self-awareness and the originality of their comments.</t>
  </si>
  <si>
    <t>[Valverde, Maria Teresa Caro; Garcia, Maria Gonzalez; Alcaraz, Patricia Perez] Univ Murcia, Murcia, Spain</t>
  </si>
  <si>
    <t>University of Murcia</t>
  </si>
  <si>
    <t>Valverde, MTC (corresponding author), Univ Murcia, Fac Educ, Campus Espinardo, Murcia, Spain.</t>
  </si>
  <si>
    <t>maytecar@um.es</t>
  </si>
  <si>
    <t>EDICIONES UNIV VALPARAISO</t>
  </si>
  <si>
    <t>VALPARAISO</t>
  </si>
  <si>
    <t>CASILLA 1415, VALPARAISO, 00000, CHILE</t>
  </si>
  <si>
    <t>0718-9729</t>
  </si>
  <si>
    <t>PERSPECT EDUCAC</t>
  </si>
  <si>
    <t>Perspect. Educac.</t>
  </si>
  <si>
    <t>10.4151/07189729-Vol.62-Iss.2-Art.1422</t>
  </si>
  <si>
    <t>Q8BH3</t>
  </si>
  <si>
    <t>WOS:001059716100008</t>
  </si>
  <si>
    <t>Li, JK; Wang, L; Nutakor, F</t>
  </si>
  <si>
    <t>Li, Jinke; Wang, Le; Nutakor, Felix</t>
  </si>
  <si>
    <t>Empirical research on the influence of corporate digitalization on green innovation</t>
  </si>
  <si>
    <t>FRONTIERS IN ENVIRONMENTAL SCIENCE</t>
  </si>
  <si>
    <t>corporate digitalization; green innovation; human capital; executive team environmental attention; media attention</t>
  </si>
  <si>
    <t>INFORMATION-TECHNOLOGY; ENVIRONMENTAL PERFORMANCE; ECO-INNOVATION; BIG DATA; ATTENTION; IMPACT; IDENTIFICATION; INTENTION; STRATEGY; CREATION</t>
  </si>
  <si>
    <t>The link between corporate digitization and green innovation is now receiving attention from all spheres of life in light of the rapidly developing digital economy and the goal of sustainable development. This study explores how corporate digitalization affects green innovation, its mediating mechanism, and moderating effects by integrating resource-based theory, attention-based view, and institutional theory. We utilize the panel data of Chinese Shanghai and Shenzhen A-share manufacturing corporation data from 2011 to 2020 as samples and use the fixed effect model in linear regression of panel data for regression analysis. Research findings: 1) corporate digitalization fosters not only green innovation directly but also promotes green innovation by enhancing human capital. 2) Executive team environmental attention encourages the beneficial correlation between human capital and green innovation. 3) Media attention promotes the favorable relationship between corporate digitalization and green innovation. 4) Heterogeneity analysis revealed that the corporate digitalization effect on green innovation is more significant when firms are more prominent in high-tech industries. The findings encourage corporations to strengthen their digital strategy, infrastructure, and applications. In addition, they can also inspire green innovation to enable companies to develop sustainably.</t>
  </si>
  <si>
    <t>[Li, Jinke; Wang, Le; Nutakor, Felix] Qingdao Univ, Sch Business, Qingdao, Peoples R China</t>
  </si>
  <si>
    <t>Qingdao University</t>
  </si>
  <si>
    <t>Wang, L (corresponding author), Qingdao Univ, Sch Business, Qingdao, Peoples R China.</t>
  </si>
  <si>
    <t>wangleyi17@163.com</t>
  </si>
  <si>
    <t>National Social Science Foundation of China [22BJY227]; Natural Science Foundation of Shandong Province [ZR2020MG034]; Social Science Foundation of Shandong Province [21CSDJ09]</t>
  </si>
  <si>
    <t>National Social Science Foundation of China(National Office of Philosophy and Social Sciences); Natural Science Foundation of Shandong Province(Natural Science Foundation of Shandong Province); Social Science Foundation of Shandong Province</t>
  </si>
  <si>
    <t>Funding This work is funded by the National Social Science Foundation of China (No.22BJY227), Natural Science Foundation of Shandong Province (No. ZR2020MG034) and Social Science Foundation of Shandong Province (No. 21CSDJ09).</t>
  </si>
  <si>
    <t>2296-665X</t>
  </si>
  <si>
    <t>FRONT ENV SCI-SWITZ</t>
  </si>
  <si>
    <t>Front. Environ. Sci.</t>
  </si>
  <si>
    <t>FEB 21</t>
  </si>
  <si>
    <t>10.3389/fenvs.2023.1137271</t>
  </si>
  <si>
    <t>9O7OK</t>
  </si>
  <si>
    <t>WOS:000943788300001</t>
  </si>
  <si>
    <t>Fowler, EF; Franz, MM; Neumann, M; Ridout, TN; Yao, JL</t>
  </si>
  <si>
    <t>Fowler, Erika Franklin; Franz, Michael M.; Neumann, Markus; Ridout, Travis N.; Yao, Jielu</t>
  </si>
  <si>
    <t>Digital Advertising in the 2022 Midterms</t>
  </si>
  <si>
    <t>FORUM-A JOURNAL OF APPLIED RESEARCH IN CONTEMPORARY POLITICS</t>
  </si>
  <si>
    <t>digital ads; elections; negative campaigns; abortion; Facebook; Google; Instagram; YouTube</t>
  </si>
  <si>
    <t>This analysis focuses on candidate-sponsored digital advertising spending in federal races in the 2022 midterm elections. We focus the analysis on spending on Meta (which includes Facebook and Instagram) and Google (which includes YouTube and search-related ads). We identify just under $150 million in candidate spending in federal races on these two platforms. We find, perhaps surprisingly, that combined spending on Meta and Google was lower in federal races compared to 2020 as a share of media spending. We also focus our analysis on measuring the tone of digital ads on Meta and identifying the goals pursued by candidates in these digital ad buys. Our results confirm prior work that digital advertising remains more positive than television (and less issue-focused than television ads), and we find that nearly half of the candidate-sponsored spending on Meta in the 2022 general election period made appeals for donations, with significant variation across campaigns. The Meta and Google ad libraries are invaluable sources of data for measuring the digital strategies of campaigns, but the declines from 2020, particularly on Meta, suggest candidates are likely pursuing diverse digital investments across platforms, some with no transparency or capacity to track spending and content.</t>
  </si>
  <si>
    <t>[Fowler, Erika Franklin; Neumann, Markus; Yao, Jielu] Wesleyan Univ, Middletown, CT 06459 USA; [Franz, Michael M.] Bowdoin Coll, Brunswick, ME USA; [Ridout, Travis N.] Washington State Univ, Pullman, WA USA</t>
  </si>
  <si>
    <t>Wesleyan University; Bowdoin College; Washington State University</t>
  </si>
  <si>
    <t>Fowler, EF (corresponding author), Wesleyan Univ, Middletown, CT 06459 USA.</t>
  </si>
  <si>
    <t>efowler@wesleyan.edu; mfranz@bowdoin.edu; mneumann01@wesleyan.edu; tnridout@wsu.edu; jyao01@wesleyan.edu</t>
  </si>
  <si>
    <t>Yao, Jielu/0000-0002-2787-3405; Franklin Fowler, Erika/0000-0003-3141-572X; Franz, Michael/0000-0001-5996-075X; Neumann, Markus/0000-0002-9681-4003</t>
  </si>
  <si>
    <t>WALTER DE GRUYTER GMBH</t>
  </si>
  <si>
    <t>GENTHINER STRASSE 13, D-10785 BERLIN, GERMANY</t>
  </si>
  <si>
    <t>2194-6183</t>
  </si>
  <si>
    <t>1540-8884</t>
  </si>
  <si>
    <t>FORUM-J APPL RES CON</t>
  </si>
  <si>
    <t>Forum-A J. Appl. Res. Contemp. Polit.</t>
  </si>
  <si>
    <t>2023 FEB 20</t>
  </si>
  <si>
    <t>10.1515/for-2023-2006</t>
  </si>
  <si>
    <t>FEB 2023</t>
  </si>
  <si>
    <t>9I9KA</t>
  </si>
  <si>
    <t>WOS:000939818500001</t>
  </si>
  <si>
    <t>Kalra, A; Itani, OS; Rostami, A</t>
  </si>
  <si>
    <t>Kalra, Ashish; Itani, Omar S. S.; Rostami, Amin</t>
  </si>
  <si>
    <t>Can salespeople use social media to enhance brand awareness and sales performance? The role of manager empowerment and creativity</t>
  </si>
  <si>
    <t>JOURNAL OF BUSINESS &amp; INDUSTRIAL MARKETING</t>
  </si>
  <si>
    <t>Salesperson social media use; Creativity; Manager empowerment; Brand awareness; Company performance</t>
  </si>
  <si>
    <t>B2B SALES; CUSTOMER ENGAGEMENT; SERVICE BEHAVIORS; TECHNOLOGY FIT; EMPIRICAL-TEST; CO-CREATION; IMPACT; COMMON; IDENTIFICATION; ANTECEDENTS</t>
  </si>
  <si>
    <t>PurposeAlthough research analyzing the consequences of salesperson social media use in driving sales behaviors and performance outcomes has proliferated in the recent past, there are significant research gaps in the domain. Grounded in task-technology fit theory, this paper aims to propose a conceptual framework that integrates between previously disjointed areas of research and analyzes the relationships between salesperson social media use, brand awareness, creativity, manager empowerment and company performance. Design/methodology/approachSurvey responses were collected from a multi-industry sample of 158 business-to-business salespeople. Structural relationships were tested using partial least squares structural equation modeling. FindingsThe analysis shows that salesperson social media use positively affects brand awareness. The relationship between social media and brand awareness is magnified with the increase in salesperson creativity. Findings also show that manager empowerment increases salesperson creativity. Finally, brand awareness positively affects company performance. Practical implicationsSales organizations should focus on developing digital strategies, especially focusing on salesperson social media use to enhance company's brand awareness, which in turn increases company performance. Moreover, sales managers should also follow empowering leader behaviors to enhance creativity. Originality/valueThe authors amalgamate salesperson social media use literature and branding literature by proposing salesperson social media use's positive effects on brand awareness. This study also expands the knowledge by exploring the moderating effect of individual-level variables such as salesperson creativity on driving the effects of salesperson social media use.</t>
  </si>
  <si>
    <t>[Kalra, Ashish] Univ Dayton, Sch Business Adm, Dept Mkt, Dayton, OH 45469 USA; [Itani, Omar S. S.] Lebanese Amer Univ, Dept Mkt, Beirut, Lebanon; [Rostami, Amin] Univ Minnesota Duluth, Dept Mkt, Duluth, MN USA</t>
  </si>
  <si>
    <t>University of Dayton; Lebanese American University; University of Minnesota System; University of Minnesota Twin Cities; University of Minnesota Hospital; University of Minnesota Duluth</t>
  </si>
  <si>
    <t>Kalra, A (corresponding author), Univ Dayton, Sch Business Adm, Dept Mkt, Dayton, OH 45469 USA.</t>
  </si>
  <si>
    <t>kalra.ashishk@gmail.com; omar.itani@lau.edu.lb; rostami@d.umn.edu</t>
  </si>
  <si>
    <t>Itani, Omar S./P-2233-2019</t>
  </si>
  <si>
    <t>Itani, Omar S./0000-0003-2258-7837</t>
  </si>
  <si>
    <t>0885-8624</t>
  </si>
  <si>
    <t>2052-1189</t>
  </si>
  <si>
    <t>J BUS IND MARK</t>
  </si>
  <si>
    <t>J. Bus. Ind. Mark.</t>
  </si>
  <si>
    <t>JUN 27</t>
  </si>
  <si>
    <t>10.1108/JBIM-01-2022-0056</t>
  </si>
  <si>
    <t>K7XI8</t>
  </si>
  <si>
    <t>WOS:000937324900001</t>
  </si>
  <si>
    <t>Xu, JW; Yu, YB; Zhang, M; Zhang, JZ</t>
  </si>
  <si>
    <t>Xu, Jiawei; Yu, Yubing; Zhang, Min; Zhang, Justin Zuopeng</t>
  </si>
  <si>
    <t>Impacts of digital transformation on eco-innovation and sustainable performance: Evidence from Chinese manufacturing companies</t>
  </si>
  <si>
    <t>JOURNAL OF CLEANER PRODUCTION</t>
  </si>
  <si>
    <t>Digital transformation; Eco-innovation; Sustainable performance; Manufacturers</t>
  </si>
  <si>
    <t>INFORMATION-TECHNOLOGY; MEDIATING ROLE; CAPABILITY; MANAGEMENT; FLEXIBILITY</t>
  </si>
  <si>
    <t>Companies actively seek digital transformation to achieve sustainable development in a volatile and uncertain environment. This study investigates the effects of digital transformation (digital strategy and capability) on eco-innovation (eco-process, eco-product, and eco-management innovation) and sustainable performance. The par-tial least squares structural equation modeling is employed for assessing the model using data collected from 210 manufacturing companies in China. We find that digital strategy and digital capability significantly improve eco-process, eco-product and eco-management innovation. Eco-process, eco-product and eco-management innova-tion also improve sustainable performance. Meanwhile, eco-innovation partially mediates the positive rela-tionship between digital transformation and sustainable performance. The results not only enrich the theoretical framework of digital transformation and sustainability but also provide guidelines for achieving sustainable development by implementing digital transformation and eco-innovation.</t>
  </si>
  <si>
    <t>[Xu, Jiawei; Yu, Yubing] Zhejiang Wanli Univ, Sch Logist &amp; Ecommerce, Ningbo, Peoples R China; [Zhang, Min] Queens Univ Belfast, Queens Management Sch, Belfast, North Ireland; [Zhang, Justin Zuopeng] Univ North Florida, Coggin Coll Business, Jacksonville, FL USA</t>
  </si>
  <si>
    <t>Zhejiang Wanli University; Queens University Belfast; State University System of Florida; University of North Florida</t>
  </si>
  <si>
    <t>Yu, YB (corresponding author), Zhejiang Wanli Univ, Sch Logist &amp; Ecommerce, Ningbo, Peoples R China.</t>
  </si>
  <si>
    <t>jiaweixu2022@126.com; yubing@zwu.edu.cn; m.zhang@qub.ac.uk; justin.zhang@unf.edu</t>
  </si>
  <si>
    <t>Zhang, Justin/M-9298-2019; Yu, Yubing/N-4482-2019</t>
  </si>
  <si>
    <t>Zhang, Justin/0000-0002-4074-9505; Yu, Yubing/0000-0002-0763-9718; Xu, Jiawei/0000-0003-1229-8070; zhang, min/0000-0002-7955-1467</t>
  </si>
  <si>
    <t>Zhejiang Provincial Soft ScienceResearch Project [2022C35087]; Zhejiang Provincial Philosophyand Social Sciences Planning Project [23NDJC245YB]</t>
  </si>
  <si>
    <t>Zhejiang Provincial Soft ScienceResearch Project; Zhejiang Provincial Philosophyand Social Sciences Planning Project</t>
  </si>
  <si>
    <t>Acknowledgments This research was supported by Zhejiang Provincial Soft ScienceResearch Project (# 2022C35087) and Zhejiang Provincial Philosophyand Social Sciences Planning Project (# 23NDJC245YB) , China.</t>
  </si>
  <si>
    <t>0959-6526</t>
  </si>
  <si>
    <t>1879-1786</t>
  </si>
  <si>
    <t>J CLEAN PROD</t>
  </si>
  <si>
    <t>J. Clean Prod.</t>
  </si>
  <si>
    <t>MAR 20</t>
  </si>
  <si>
    <t>10.1016/j.jclepro.2023.136278</t>
  </si>
  <si>
    <t>Green &amp; Sustainable Science &amp; Technology; Engineering, Environmental; Environmental Sciences</t>
  </si>
  <si>
    <t>Science &amp; Technology - Other Topics; Engineering; Environmental Sciences &amp; Ecology</t>
  </si>
  <si>
    <t>D1ES6</t>
  </si>
  <si>
    <t>WOS:000966229300001</t>
  </si>
  <si>
    <t>Atici, SG</t>
  </si>
  <si>
    <t>Atici, Selim Gokce</t>
  </si>
  <si>
    <t>Abstract socialities: digital advertising work and behavioural data modelling in Istanbul</t>
  </si>
  <si>
    <t>SUBJECTIVITY</t>
  </si>
  <si>
    <t>Algorithmic data; Infrastructure; Digital work and labour; Advertisement; Affects; Turkey</t>
  </si>
  <si>
    <t>POLITICS; SEMIOTICS</t>
  </si>
  <si>
    <t>Behavioural advertising and algorithmic data trade found fertile ground in Turkey in 2014 as government sponsored corporations demanded image adjustment. Based on five months of participant observation and work as a digital strategist in a digital advertising agency, JazzRabbit, I analyze the significance of algorithmic data in relation to workers who negotiate work and life through predictions based on data traces and consumer categories. Devaluing their embodied labour, they construe online interactions as fungible things while social classes are rendered as tangible digital collectivities. I demonstrate that visions of corporate social welfare and workspace control precarious working conditions against the background of an economy undergirded by high youth unemployment and flexible digital labour markets. I argue that the conditions of digital work reproduce the differential constitution of algorithmic technologies and worker subjectivity. I call for research about multiple histories of algorithmic work and how they give rise to specific imaginations about social classes.</t>
  </si>
  <si>
    <t>[Atici, Selim Gokce] Stanford Univ, Anthropol Dept, Stanford, CA 94305 USA</t>
  </si>
  <si>
    <t>Stanford University</t>
  </si>
  <si>
    <t>Atici, SG (corresponding author), Stanford Univ, Anthropol Dept, Stanford, CA 94305 USA.</t>
  </si>
  <si>
    <t>sgatici@gmail.com</t>
  </si>
  <si>
    <t>Bogazici University Sociology Department in Istanbul</t>
  </si>
  <si>
    <t>Bogazici University Sociology Department in Istanbul(Bogazici University)</t>
  </si>
  <si>
    <t>This research was supported by Bogazici University Sociology Department in Istanbul</t>
  </si>
  <si>
    <t>PALGRAVE MACMILLAN LTD</t>
  </si>
  <si>
    <t>BASINGSTOKE</t>
  </si>
  <si>
    <t>BRUNEL RD BLDG, HOUNDMILLS, BASINGSTOKE RG21 6XS, HANTS, ENGLAND</t>
  </si>
  <si>
    <t>1755-6341</t>
  </si>
  <si>
    <t>1755-635X</t>
  </si>
  <si>
    <t>Subjectivity</t>
  </si>
  <si>
    <t>10.1057/s41286-023-00148-9</t>
  </si>
  <si>
    <t>G3PZ8</t>
  </si>
  <si>
    <t>WOS:000988262300001</t>
  </si>
  <si>
    <t>Le-Dain, MA; Benhayoun, L; Matthews, J; Liard, M</t>
  </si>
  <si>
    <t>Le-Dain, Marie-Anne; Benhayoun, Lamiae; Matthews, Judy; Liard, Marine</t>
  </si>
  <si>
    <t>Barriers and opportunities of digital servitization for SMEs: the effect of smart Product-Service System business models</t>
  </si>
  <si>
    <t>SERVICE BUSINESS</t>
  </si>
  <si>
    <t>Smart Product-Service System; Digital servitization; Barriers; Opportunities; SME</t>
  </si>
  <si>
    <t>INDUSTRY 4.0; MANUFACTURING COMPANIES; INNOVATION DIFFUSION; FUTURE; PSS; TRANSFORMATION; DIGITIZATION; TECHNOLOGY; ADOPTION; DESIGN</t>
  </si>
  <si>
    <t>Digital servitization enables SMEs to propose smart Product-Service Systems (PSS) integrating products and services. Limited discussion of this contemporary and challenging phenomena stimulated our in-depth literature review, which identified four key themes common to both barriers and opportunities: digital strategy, ecosystem network, internal and operational organization, and human capabilities. Industry expert focus group enabled enriching and refining these themes across smart PSS business models. Digital servitization was found to mostly benefit the SME's digital strategy and ecosystem network and is hindered by insufficient human capabilities and underdeveloped ecosystem networks. Opportunities and barriers vary as the smart PSS business model evolves.</t>
  </si>
  <si>
    <t>[Le-Dain, Marie-Anne; Liard, Marine] Univ Grenoble Alpes, Grenoble INP, CNRS, G SCOP, 46 Ave Felix Viallet, F-38000 Grenoble, France; [Benhayoun, Lamiae] Univ Internatl Rabat, Rabat Business Sch, Technopolis Rabat Shore, 11 103, Rabat, Morocco; [Matthews, Judy] Queensland Univ Technol, Sch Management, 2 George St, Brisbane, Qld 4000, Australia</t>
  </si>
  <si>
    <t>Communaute Universite Grenoble Alpes; Institut National Polytechnique de Grenoble; Universite Grenoble Alpes (UGA); Centre National de la Recherche Scientifique (CNRS); Queensland University of Technology (QUT)</t>
  </si>
  <si>
    <t>Le-Dain, MA (corresponding author), Univ Grenoble Alpes, Grenoble INP, CNRS, G SCOP, 46 Ave Felix Viallet, F-38000 Grenoble, France.</t>
  </si>
  <si>
    <t>marie-anne.le-dain@grenoble-inp.fr; lamiae.benhayoun@uir.ac.ma; jh.matthews@qut.edu.au; marine.liard@grenoble-inp.org</t>
  </si>
  <si>
    <t>Matthews, Judy Helen/I-9723-2012</t>
  </si>
  <si>
    <t>Matthews, Judy Helen/0000-0002-1117-0780; Le Dain, Marie-Anne/0000-0003-0075-4411</t>
  </si>
  <si>
    <t>1862-8516</t>
  </si>
  <si>
    <t>1862-8508</t>
  </si>
  <si>
    <t>SERV BUS</t>
  </si>
  <si>
    <t>Serv. Bus.</t>
  </si>
  <si>
    <t>10.1007/s11628-023-00520-4</t>
  </si>
  <si>
    <t>9V4LT</t>
  </si>
  <si>
    <t>WOS:000925587300002</t>
  </si>
  <si>
    <t>Edelmann, N; Mergel, I; Lampoltshammer, T</t>
  </si>
  <si>
    <t>Edelmann, Noella; Mergel, Ines; Lampoltshammer, Thomas</t>
  </si>
  <si>
    <t>Competences That Foster Digital Transformation of Public Administrations: An Austrian Case Study</t>
  </si>
  <si>
    <t>ADMINISTRATIVE SCIENCES</t>
  </si>
  <si>
    <t>digital transformation; competences; public administrations; qualitative research; Austria</t>
  </si>
  <si>
    <t>ORGANIZATIONS</t>
  </si>
  <si>
    <t>Digitalisation has changed society, and, as a result, public administrations are required to undergo significant changes to satisfy emergent societal needs. These changes impact all areas of the public sector, including the development and provision of digital services, the design of processes, and the development of policy. To implement the digital strategies and transformation requirements, public administrations must rethink the competences that their workforce as well as the external stakeholders may need. To understand how one nation implements its digital strategy and upskills its civil servants, we conducted a qualitative analysis of 41 Austrian expert interviews. The research shows that different stakeholders require a variety of competences to participate in the digital transformation of its processes and services. The results demonstrate the high level of diversity and the need for a holistic approach to tackle the complexity of the digital public sector, where leadership plays the most important role. In addition, the study shows that the use of competence frameworks for measurement and monitoring needs to be adapted to the local context.</t>
  </si>
  <si>
    <t>[Edelmann, Noella; Lampoltshammer, Thomas] Danube Univ Krems, Dept Egovernance &amp; Adm, A-3500 Krems, Austria; [Mergel, Ines] Univ Konstanz, Dept Polit &amp; Publ Adm, D-78464 Constance, Germany</t>
  </si>
  <si>
    <t>Danube University Krems; University of Konstanz</t>
  </si>
  <si>
    <t>Edelmann, N (corresponding author), Danube Univ Krems, Dept Egovernance &amp; Adm, A-3500 Krems, Austria.</t>
  </si>
  <si>
    <t>noella.edelmann@donau-uni.ac.at</t>
  </si>
  <si>
    <t>Edelmann, Noella/P-7459-2017; Mergel, Ines/Q-7249-2016</t>
  </si>
  <si>
    <t>Edelmann, Noella/0000-0001-8386-9585; Lampoltshammer, Thomas J./0000-0002-1122-6908; Mergel, Ines/0000-0003-0285-4758</t>
  </si>
  <si>
    <t>European Commission [770356]</t>
  </si>
  <si>
    <t>European Commission(European Union (EU)European Commission Joint Research Centre)</t>
  </si>
  <si>
    <t>This work was supported by the European Commission Award-Nr. 770356 under the title: Co-VAL: Understanding value co-creation in public services for transforming European public administrations.</t>
  </si>
  <si>
    <t>2076-3387</t>
  </si>
  <si>
    <t>ADM SCI</t>
  </si>
  <si>
    <t>Adm. Sci.</t>
  </si>
  <si>
    <t>FEB</t>
  </si>
  <si>
    <t>10.3390/admsci13020044</t>
  </si>
  <si>
    <t>9G0LI</t>
  </si>
  <si>
    <t>WOS:000937852500001</t>
  </si>
  <si>
    <t>Moen, LA</t>
  </si>
  <si>
    <t>Moen, Lars Arvei</t>
  </si>
  <si>
    <t>DIVERSIFY OR DOUBLING DOWN: CHOOSING A DIGITAL GROWTH STRATEGY</t>
  </si>
  <si>
    <t>INTERNATIONAL JOURNAL OF INNOVATION MANAGEMENT</t>
  </si>
  <si>
    <t>Digital strategy; growth strategy; business strategy; business development; digital business; digitalisation</t>
  </si>
  <si>
    <t>BUSINESS MODEL INNOVATION; DYNAMIC CAPABILITIES; RELATIONAL VALUE; CAPTURING VALUE; BIG DATA; MARKET; IMPACT; FIRMS; TRANSFORMATION; PERFORMANCE</t>
  </si>
  <si>
    <t>Digital transformation has led to several improvements in performance and efficiency, but its impact on growth patterns needs to be clarified. Two schools of thought dominate the literature on digital growth strategies. One stream advocates that digital firms should focus only on scaling their core position, while the other contends that firms should envelop into multiple complimentary markets. This seeming paradox in the strategic management literature, between advocates of a focus and a diversification growth strategy, shows a need for critical review and clarification of this literature. This paper synthesizes both views and argues that the distinct growth strategies are contextual and that a new catalyst, the relative level of digital transformation of firms in each market, influences their optimal strategy. A new conceptual model illustrates how digital firms may move between different strategies depending on their perceived market opportunities, competitive advantages, and the relative level of digital transformation of their competitors. Hereby, this paper contributes to a better understanding of the growth strategies of digital businesses.</t>
  </si>
  <si>
    <t>[Moen, Lars Arvei] Norwegian Sch Econ, Dept Strategy &amp; Management, Breiviksveien 40, N-5045 Bergen, Norway</t>
  </si>
  <si>
    <t>Norwegian School of Economics (NHH)</t>
  </si>
  <si>
    <t>Moen, LA (corresponding author), Norwegian Sch Econ, Dept Strategy &amp; Management, Breiviksveien 40, N-5045 Bergen, Norway.</t>
  </si>
  <si>
    <t>lars.moen@nhh.no</t>
  </si>
  <si>
    <t>WORLD SCIENTIFIC PUBL CO PTE LTD</t>
  </si>
  <si>
    <t>SINGAPORE</t>
  </si>
  <si>
    <t>5 TOH TUCK LINK, SINGAPORE 596224, SINGAPORE</t>
  </si>
  <si>
    <t>1363-9196</t>
  </si>
  <si>
    <t>1757-5877</t>
  </si>
  <si>
    <t>INT J INNOV MANAG</t>
  </si>
  <si>
    <t>Int. J. Innov. Manag.</t>
  </si>
  <si>
    <t>01N02</t>
  </si>
  <si>
    <t>10.1142/S1363919623500111</t>
  </si>
  <si>
    <t>Q6SR5</t>
  </si>
  <si>
    <t>WOS:001058807900009</t>
  </si>
  <si>
    <t>Nikopoulou, M; Kourouthanassis, P; Chasapi, G; Pateli, A; Mylonas, N</t>
  </si>
  <si>
    <t>Nikopoulou, Maria; Kourouthanassis, Panos; Chasapi, Giota; Pateli, Adamantia; Mylonas, Naoum</t>
  </si>
  <si>
    <t>Determinants of Digital Transformation in the Hospitality Industry: Technological, Organizational, and Environmental Drivers</t>
  </si>
  <si>
    <t>digital technologies; TOE framework; hospitality; digital maturity; COVID-19; digital transformation</t>
  </si>
  <si>
    <t>PARTIAL LEAST-SQUARES; INFORMATION-TECHNOLOGY; E-BUSINESS; FIRM-LEVEL; ADOPTION; PERFORMANCE; READINESS; COVID-19; TOURISM; ACCEPTANCE</t>
  </si>
  <si>
    <t>The current study aims to investigate the factors that affect a hotels' decision to adopt digital technologies. Our theoretical grounding builds on the Technology-Organization-Environment (TOE) research framework. Our research model was validated through a survey of 502 hoteliers and managers using the Partial Least Squares-Structural Equation Modeling (PLS-SEM) statistical method. The results indicated that micro, small and medium-sized enterprise (MSME) hotels affected by the COVID-19 outbreak are more likely to adopt digital technologies. The intention to adopt digital technology is positively and significantly influenced by the digital maturity of organizations, financial resource availability and government regulations. The current study investigates rather less explored factors, such as the organizational digital maturity, which consists of a multi-dimensional latent variable. Our findings may be employed to guide the formulation of digital strategies by hospitality industry organizations.</t>
  </si>
  <si>
    <t>[Nikopoulou, Maria; Kourouthanassis, Panos; Chasapi, Giota; Pateli, Adamantia] Ionian Univ, Dept Informat, Tsirigoti Sq 7, Corfu 49100, Greece; [Mylonas, Naoum] Ionian Univ, Dept Tourism, P Vraila Armeni 4, Corfu 49132, Greece</t>
  </si>
  <si>
    <t>Ionian University; Ionian University</t>
  </si>
  <si>
    <t>Mylonas, N (corresponding author), Ionian Univ, Dept Tourism, P Vraila Armeni 4, Corfu 49132, Greece.</t>
  </si>
  <si>
    <t>nmylonas@ionio.gr</t>
  </si>
  <si>
    <t>10.3390/su15032736</t>
  </si>
  <si>
    <t>8Y3FE</t>
  </si>
  <si>
    <t>WOS:000932583400001</t>
  </si>
  <si>
    <t>Rodríguez-Bolaños, R; Ramírez-Palacios, P; Bolaños, A; Lara, D; Millan, G; Gallegos-Carrillo, K; Flores, YN; Mejia, RM; Cupertino, AP; Cartujano-Barrera, F</t>
  </si>
  <si>
    <t>Rodriguez-Bolanos, Rosibel; Ramirez-Palacios, Paula; Bolanos, Alejandra; Lara, Daimarelys; Millan, Gabriel; Gallegos-Carrillo, Katia; Flores, Yvonne N.; Mejia, Raul M.; Cupertino, Ana Paula; Cartujano-Barrera, Francisco</t>
  </si>
  <si>
    <t>Decidetexto Mexico: Recruitment and baseline characteristics of Mexican individuals who smoke in a cessation study</t>
  </si>
  <si>
    <t>TOBACCO USE INSIGHTS</t>
  </si>
  <si>
    <t>smoking cessation; tobacco control; Recruitment</t>
  </si>
  <si>
    <t>TOBACCO CONTROL RESEARCH; CARE</t>
  </si>
  <si>
    <t>The objective of this study was to evaluate the effectiveness of digital and traditional methods and strategies in the recruitment of Mexican individuals who smoke into a cessation study. Recruitment method refers in general to either digital or traditional recruitment. Recruitment strategies refer to the particular recruitment type utilized within each recruitment method. Traditional recruitment strategies included radio interviews, word of mouth, newspaper advertisement, posters/banners placed in primary healthcare clinics, and medical referrals. Digital recruitment strategies involved emails and study advertisements through social media (i.e., Facebook, Instagram and Twitter) and website. In a 4-month period, 100 Mexican individuals who smoke were successfully enrolled into a smoking cessation study. The majority of participants were enrolled via traditional recruitment strategies (86%) compared to the digital recruitment strategies (14%). Individuals screened in the digital method were more likely to be eligible to participate in the study, compared to the traditional method. Similarly, in comparison to the traditional method, individuals in the digital method were more likely to enroll in the study. However, these differences were not statistically significant. Both traditional and digital strategies made important contributions to the overall recruitment effort.</t>
  </si>
  <si>
    <t>[Rodriguez-Bolanos, Rosibel; Bolanos, Alejandra; Millan, Gabriel] Inst Nacl Salud Publ, Dept Invest Tabaco, Cuernavaca, Morelos, Mexico; [Ramirez-Palacios, Paula; Gallegos-Carrillo, Katia; Flores, Yvonne N.] Inst Mexicano Seguro Social, Unidad Invest Epidemiol, Cuernavaca, Morelos, Mexico; [Ramirez-Palacios, Paula; Gallegos-Carrillo, Katia; Flores, Yvonne N.] Inst Mexicano Seguro Social, Serv Salud Delegac Morelos, Cuernavaca, Morelos, Mexico; [Lara, Daimarelys; Cupertino, Ana Paula; Cartujano-Barrera, Francisco] Univ Rochester, Med Ctr, Dept Publ Hlth Sci, 265 Crittenden Blvd, Rochester, NY 14642 USA; [Mejia, Raul M.] Univ Buenos Aires, Dept Med Ambulatoria, Buenos Aires, DF, Argentina</t>
  </si>
  <si>
    <t>Instituto Nacional de Salud Publica; Instituto Mexicano del Seguro Social; Instituto Mexicano del Seguro Social; University of Rochester; University of Buenos Aires</t>
  </si>
  <si>
    <t>Cartujano-Barrera, F (corresponding author), Univ Rochester, Med Ctr, Dept Publ Hlth Sci, 265 Crittenden Blvd, Rochester, NY 14642 USA.</t>
  </si>
  <si>
    <t>Francisco_Cartujano@urmc.rochester.edu</t>
  </si>
  <si>
    <t>National Cancer Institute (NCI) [R01CA212189]</t>
  </si>
  <si>
    <t>National Cancer Institute (NCI)(United States Department of Health &amp; Human ServicesNational Institutes of Health (NIH) - USANIH National Cancer Institute (NCI))</t>
  </si>
  <si>
    <t>The author(s) disclosed receipt of the following financial support for the research, authorship, and/or publication of this article: Research reported in this publication was supported by the National Cancer Institute (NCI) under an Administrative Supplement to Stimulate or Strengthen Global Cancer Health Disparities Research to grant R01CA212189. The content is solely the responsibility of the authors and does not necessarily represent the official views of the NCI.</t>
  </si>
  <si>
    <t>1179-173X</t>
  </si>
  <si>
    <t>TOB USE INSIGHTS</t>
  </si>
  <si>
    <t>Tob. Use Insights</t>
  </si>
  <si>
    <t>1179173X231157378</t>
  </si>
  <si>
    <t>10.1177/1179173X231157378</t>
  </si>
  <si>
    <t>8V7FO</t>
  </si>
  <si>
    <t>WOS:000930794500001</t>
  </si>
  <si>
    <t>Wang, MK; Lau, N</t>
  </si>
  <si>
    <t>Wang, Mingke; Lau, Newman</t>
  </si>
  <si>
    <t>NFT Digital Twins: A Digitalization Strategy to Preserve and Sustain Miao Silver Craftsmanship in the Metaverse Era</t>
  </si>
  <si>
    <t>cultural heritage preservation; digitalization strategy; cultural sustainability; handicrafts and craftsmanship; NFT; blockchain technology; metaverse</t>
  </si>
  <si>
    <t>TRACEABILITY</t>
  </si>
  <si>
    <t>Miao silver, generally referred to as the unique silver ornaments manufactured by the Miao ethnicity with over 400 years of history, was listed as a Chinese national intangible cultural heritage in 2006. Through primary research methods, including local investigation, interviews, and workshops at Maliao Village in Guizhou, this study found that sizeable industrial production shrank the market needs for traditional Miao silver handicrafts. A growing number of young Miao people pursue higher incomes and leave their hometowns to make a living in cities instead of engaging in Miao silver handcrafting in villages. Based on the difficulties encountered in the inheritance of Miao silver craftsmanship, this project creatively proposed a digital strategy based on the NFT digital twin application to preserve and maintain Miao silver technology in the context of the metaverse era. By conducting design experiments combining digital technology and the traditional Miao silver manufacturing techniques, a collection of NFT digital twins, digital duplications of Miao silver handicrafts that Miao silversmith jointly worked with 3D technologist, was created as a vital research outcome. The results show that this attempt is beneficial to help expand the use scenarios, extend the lifespan, and increase the commercial value of Miao silver. To sum up, taking Miao silverware handicrafts as a research case, this paper dialectically discusses the relationship between industrial manufacturing and traditional handicraft industries, making contributions to the inheritance and development of Miao silver and also putting forward innovative solutions to promote the prosperity of intangible cultural heritage worldwide.</t>
  </si>
  <si>
    <t>[Wang, Mingke] Univ Arts London, London Coll Fash, London W1G 0BJ, England; [Lau, Newman] Hong Kong Polytech Univ, Sch Design, Hung Hom, Hong Kong, Peoples R China</t>
  </si>
  <si>
    <t>University of Arts London; Hong Kong Polytechnic University</t>
  </si>
  <si>
    <t>Wang, MK (corresponding author), Univ Arts London, London Coll Fash, London W1G 0BJ, England.</t>
  </si>
  <si>
    <t>wang.mingke@outlook.com</t>
  </si>
  <si>
    <t>, prophe/AAJ-5693-2020</t>
  </si>
  <si>
    <t>LAU, Newman/0000-0001-8668-9467</t>
  </si>
  <si>
    <t>10.3390/heritage6020103</t>
  </si>
  <si>
    <t>9H7WA</t>
  </si>
  <si>
    <t>WOS:000939037200001</t>
  </si>
  <si>
    <t>Agrawal, A; Thiel, R; Jain, P; Singh, V; Fischer, M</t>
  </si>
  <si>
    <t>Agrawal, Ashwin; Thiel, Robert; Jain, Pooja; Singh, Vishal; Fischer, Martin</t>
  </si>
  <si>
    <t>Digital Twin: Where do humans fit in?</t>
  </si>
  <si>
    <t>AUTOMATION IN CONSTRUCTION</t>
  </si>
  <si>
    <t>Digital Twin; Levels of Digital Twin; Digital strategy; Artificial Intelligence; Human in the loop digital twin; Cyber Physical Systems; Industry 4; 0; Digital Twin Maturity</t>
  </si>
  <si>
    <t>HUMAN-MACHINE INTERACTION; DESIGN SCIENCE; SYSTEMS; METHODOLOGY; AUTOMATION; PERFORMANCE; MANAGEMENT; FUTURE; LEVEL</t>
  </si>
  <si>
    <t>Digital Twin (DT) technology is far from being comprehensive and mature, resulting in their piecemeal imple-mentation in practice where some functions are automated by DTs, and others are still performed by humans. This piecemeal implementation of DTs often leaves practitioners wondering what roles (or functions) to allocate to DTs in a work system, and how might it impact humans. A lack of knowledge about the roles that humans and DTs play in a work system can result in significant costs, misallocation of resources, unrealistic expectations from DTs, and strategic misalignments. To alleviate this challenge, this paper answers the research question: When humans work with DTs, what types of roles can a DT play, and to what extent can those roles be automated? Spe-cifically, we propose a two-dimensional conceptual framework, Levels of Digital Twin (LoDT). The framework is an integration of the types of roles a DT can play, broadly categorized under (1) Observer, (2) Analyst, (3) Decision Maker, and (4) Action Executor, and the extent of automation for each of these roles, divided into five different levels ranging from completely manual to fully automated. A particular DT can play any number of roles at varying levels. The framework can help practitioners systematically plan DT deployments, clearly commu-nicate goals and deliverables, and lay out a strategic vision. A case study illustrates the usefulness of the framework.</t>
  </si>
  <si>
    <t>[Agrawal, Ashwin] Stanford Univ, Dept Civil &amp; Environm Engn, Stanford, CA 94305 USA; [Thiel, Robert] WSP USA, Morristown, NJ USA; [Jain, Pooja] WSP USA, San Francisco, CA USA; [Singh, Vishal] Indian Inst Sci, Ctr Prod Design &amp; Mfg, Bangalore, India; [Fischer, Martin] Stanford Univ, Civil &amp; Environm Engn, Stanford, CA USA</t>
  </si>
  <si>
    <t>Stanford University; Indian Institute of Science (IISC) - Bangalore; Stanford University</t>
  </si>
  <si>
    <t>Agrawal, A (corresponding author), Stanford Univ, Dept Civil &amp; Environm Engn, Stanford, CA 94305 USA.</t>
  </si>
  <si>
    <t>ashwin15@stanford.edu; bob.thiel@wsp.com; pooja.jain1@wsp.com; singhv@iisc.ac.in; fischer@stanford.edu</t>
  </si>
  <si>
    <t>Fischer, Martin/0000-0002-5071-017X</t>
  </si>
  <si>
    <t>Center for Integrated Facility Engineering (CIFE) [2019-15, 2020-13]</t>
  </si>
  <si>
    <t>Center for Integrated Facility Engineering (CIFE)</t>
  </si>
  <si>
    <t>We would like to thank all the industry and academic experts who gave us valuable time and feedback. We acknowledge the financial support provided by the Center for Integrated Facility Engineering (CIFE) [Grant number: 2019-15; 2020-13] at Stanford University for completing this project. The authors would also like to express their gratitude to Rui Liu, Stephanie Chin, Melody Spradlin, Cynthia Brosque, Simge Girgin, and Alberto Tono for their feedback on the framework. The authors would also thank the two anonymous reviewers and the editor for their constructive feedback for improving the manuscript. Last but not least, the first author would also like to especially thank Tulika Majumdar, Alissa Cooperman, and Hesam Hamledari for their invalu-able feedback and help during framework preparation and manuscript proofreading.</t>
  </si>
  <si>
    <t>0926-5805</t>
  </si>
  <si>
    <t>1872-7891</t>
  </si>
  <si>
    <t>AUTOMAT CONSTR</t>
  </si>
  <si>
    <t>Autom. Constr.</t>
  </si>
  <si>
    <t>10.1016/j.autcon.2023.104749</t>
  </si>
  <si>
    <t>JAN 2023</t>
  </si>
  <si>
    <t>Construction &amp; Building Technology; Engineering, Civil</t>
  </si>
  <si>
    <t>Construction &amp; Building Technology; Engineering</t>
  </si>
  <si>
    <t>C3AP8</t>
  </si>
  <si>
    <t>Green Submitted, Green Accepted</t>
  </si>
  <si>
    <t>WOS:000960688500001</t>
  </si>
  <si>
    <t>Liu, YL; Chung, HFL; Zhang, ZP; Wu, M</t>
  </si>
  <si>
    <t>Liu, Yulong (David); Chung, Henry F. L.; Zhang, Zuopeng (Justin); Wu, Mian</t>
  </si>
  <si>
    <t>When and how digital platforms empower professional services firms: an agility perspective</t>
  </si>
  <si>
    <t>Digital platforms; Strategic agility theory; Professional service firms; Business performance; Creative self-efficacy; Innovation</t>
  </si>
  <si>
    <t>INTENSIVE BUSINESS SERVICES; CREATIVE SELF-EFFICACY; DYNAMIC CAPABILITIES; STRATEGIC AGILITY; MEDIATING ROLE; INFORMATION-TECHNOLOGY; ORGANIZATIONAL AGILITY; ABSORPTIVE-CAPACITY; SUPPLY CHAIN; INNOVATION</t>
  </si>
  <si>
    <t>PurposeDrawing on a strategic agility perspective, the authors develop a theoretical framework and empirically examine how digital platform adoption and capability impact business performance via digital-enabled strategic agility in the context of professional service firms.Design/methodology/approachThe authors propose and examine a conceptual framework based on survey data from 127 professional service firms in New Zealand.FindingsThis study reveals the impact of digital platform capability on the business performance of professional service firms that employ digital platform technologies. The results suggest that organizational innovation and managers' creative efficacy will be used as distal antecedents and contribute to digital platform capabilities. In addition, digital strategic agility can mediate the link between digital platform capabilities and business performance.Originality/valueThis study is one of the first to investigate when and how digital platforms empower professional service firms. This study reveals the role of digital strategic agility and digital platform capabilities in knowledge-intensive enterprises. This research advances the development of knowledge-based economy in the information age by applying and extending strategic agility to the uncertain and volatile business environment. The authors' new conceptualization provides a deeper understanding of how and why professional services business and organizations can adapt to the post-COVID era smoothly and successfully.</t>
  </si>
  <si>
    <t>[Liu, Yulong (David); Wu, Mian] Massey Univ, Sch Management, Massey Business Sch, Auckland, New Zealand; [Chung, Henry F. L.] Massey Univ, Sch Commun Journalism &amp; Mkt, Massey Business Sch, Auckland, New Zealand; [Zhang, Zuopeng (Justin)] Univ North Florida, Coggin Coll Business, Dept Management, Jacksonville, FL USA</t>
  </si>
  <si>
    <t>Massey University; Massey University; State University System of Florida; University of North Florida</t>
  </si>
  <si>
    <t>Chung, HFL (corresponding author), Massey Univ, Sch Commun Journalism &amp; Mkt, Massey Business Sch, Auckland, New Zealand.</t>
  </si>
  <si>
    <t>y.d.liu@massey.ac.nz; H.Chung@massey.ac.nz; justin.zhang@unf.edu; mwu2@massey.ac.nz</t>
  </si>
  <si>
    <t>Zhang, Justin/M-9298-2019; Wu, Mian/ITU-5450-2023</t>
  </si>
  <si>
    <t>Zhang, Justin/0000-0002-4074-9505; Wu, Mian/0000-0003-0640-9977; Chung, Henry F. L./0000-0003-1134-1006</t>
  </si>
  <si>
    <t>10.1108/JSTP-04-2022-0092</t>
  </si>
  <si>
    <t>A8WL9</t>
  </si>
  <si>
    <t>WOS:000909928200001</t>
  </si>
  <si>
    <t>Forliano, C; Orlandi, LB; Zardini, A; Rossignoli, C</t>
  </si>
  <si>
    <t>Forliano, Canio; Orlandi, Ludovico Bullini; Zardini, Alessandro; Rossignoli, Cecilia</t>
  </si>
  <si>
    <t>Technological orientation and organizational resilience to Covid-19: The mediating role of strategy's digital maturity</t>
  </si>
  <si>
    <t>Digital maturity; Technological orientation; Resilience; Innovation</t>
  </si>
  <si>
    <t>DYNAMIC CAPABILITIES; COLLABORATIVE KNOWLEDGE; BUSINESS STRATEGY; PERFORMANCE; INNOVATION; ADOPTION; AGILITY; IMPACT; FIRM; OPPORTUNISM</t>
  </si>
  <si>
    <t>Grounded in dynamic capabilities theory, this study investigates the impact of firms' technological orientation (TO) on their resilience to the coronavirus disease (Covid-19) pandemic (RTC). The mediating role of the maturity of their digital strategy (MDS) to this relationship is also considered. To do this, we conducted an online survey of 186 firms that operate in Germany and Italy and tested the study's hypotheses by applying the covariance-based structural equation modeling (CB-SEM) and bootstrapped regression analysis. The results indicate that TO positively affects MDS, leading to higher RTC, whereas the relationship between TO and RTC is not significant. This study extends the knowledge about dynamic capabilities theory by providing empirical support for developing a mature digital strategy. Further, it highlights the importance for managers and policy makers to proactively respond to disruptive changes, such as those caused by the Covid-19 pandemic, thus contributing to organizational resilience literature that stresses the importance of ex ante initiatives to improve resiliency.</t>
  </si>
  <si>
    <t>[Forliano, Canio] Univ Palermo, Dept Polit Sci &amp; Int Relat, Via Am Ugo Antonio, I-90134 Palermo, Italy; [Forliano, Canio] Univ Turin, Dept Management, Corso Un Soviet 218-bis, I-10134 Turin, Italy; [Orlandi, Ludovico Bullini] Univ Bologna, Dept Management, Via Capo Lucca 34, I-40126 Bologna, Italy; [Zardini, Alessandro; Rossignoli, Cecilia] Univ Verona, Dept Business Adm, Via Cantarane 24, I-37129 Verona, Italy</t>
  </si>
  <si>
    <t>University of Palermo; University of Turin; University of Bologna; University of Verona</t>
  </si>
  <si>
    <t>Orlandi, LB (corresponding author), Univ Bologna, Dept Management, Via Capo Lucca 34, I-40126 Bologna, Italy.</t>
  </si>
  <si>
    <t>ludovico.bullini2@unibo.it</t>
  </si>
  <si>
    <t>Zardini, Alessandro/0000-0002-2598-9877; FORLIANO, CANIO/0000-0002-6428-1740</t>
  </si>
  <si>
    <t>10.1016/j.techfore.2022.122288</t>
  </si>
  <si>
    <t>8E5WH</t>
  </si>
  <si>
    <t>Green Published, Bronze</t>
  </si>
  <si>
    <t>WOS:000919042800001</t>
  </si>
  <si>
    <t>Tuerk, A</t>
  </si>
  <si>
    <t>Tuerk, Abdullah</t>
  </si>
  <si>
    <t>Digital leadership role in developing business strategy suitable for digital transformation</t>
  </si>
  <si>
    <t>digital transformation; business strategy; organizational change; digital leadership; digital strategy</t>
  </si>
  <si>
    <t>MEDIATING ROLE; CAPABILITIES; FOCUS</t>
  </si>
  <si>
    <t>Businesses must respond to the ecology in which they operate. Especially the rapid transformation of technology has increased the degree of dependency on the system. The main reason for this is perceived only as the technology costs brought by digital transformation. However, we understand from the bankruptcy of economically strong companies that this is not the real problem. This study looks at it from the perspective of leadership, which is an important skill for businesses. The research focuses on leadership roles needed to adapt to digital transformation. At this point, the roles of digital leadership and its contribution to businesses were investigated. At this point, we try to reveal the role of digital leadership with two different qualitative analyzes. In the research, semi-structured interviews were conducted with senior managers, phenomenological and content analysis was performed using Nvivo and MAXQDA qualitative analysis programs, and relevant confidential information was revealed. As a result of the research, it has been determined that there is an important link between time management and productivity while supporting system efficiency and transformation adaptation. In other words, a positive relationship has been determined between the success of digital transformation and digital leadership roles. In digital transformation, digital leadership has a role in the positive development of the relationship between the digital transformation process and business strategies. As a result, a perspective on how digital leadership can contribute to businesses that want to develop strategies suitable for the digital transformation process is presented.</t>
  </si>
  <si>
    <t>[Tuerk, Abdullah] Istanbul Bilgi Univ, Dept Aviat Management, Org, Istanbul, Turkiye</t>
  </si>
  <si>
    <t>Istanbul Bilgi University</t>
  </si>
  <si>
    <t>Tuerk, A (corresponding author), Istanbul Bilgi Univ, Dept Aviat Management, Org, Istanbul, Turkiye.</t>
  </si>
  <si>
    <t>abdullah.turk@bilgi.edu.tr</t>
  </si>
  <si>
    <t>JAN 4</t>
  </si>
  <si>
    <t>10.3389/fpsyg.2022.1066180</t>
  </si>
  <si>
    <t>7Y1WB</t>
  </si>
  <si>
    <t>WOS:000914677400001</t>
  </si>
  <si>
    <t>Cinelli, G; Croci, I; Gesualdo, F; Pandolfi, E; Miller, KP; Tozzi, AE</t>
  </si>
  <si>
    <t>Cinelli, Giulia; Croci, Ileana; Gesualdo, Francesco; Pandolfi, Elisabetta; Miller, Kiersten Pilar; Tozzi, Alberto Eugenio</t>
  </si>
  <si>
    <t>Public Engagement in Digital Recommendations for Promoting Healthy Parental Behaviours from Preconception through the First 1000 Days</t>
  </si>
  <si>
    <t>INTERNATIONAL JOURNAL OF ENVIRONMENTAL RESEARCH AND PUBLIC HEALTH</t>
  </si>
  <si>
    <t>1000 days; digital communication; innovation</t>
  </si>
  <si>
    <t>INFORMATION-SEEKING; PHYSICAL-ACTIVITY; DECISION-MAKING; INTERNET USE; PREGNANCY; CARE</t>
  </si>
  <si>
    <t>Web-based digital interventions may play a central role for health promoting strategies in the first 1000 days, from conception through the first 2 years of life. We developed a web platform providing evidence-based recommendations in the first 1000 days through short videos, and we studied engagement by users from preconception through parenthood in the second year of life. We described the access to videos by topic and used a multilevel model to explore the user characteristics associated with access to the video recommendations. Overall, breastfeeding, physical activity and nutrition were the most popular topics (normalized views: 89.2%, 87.2% and 86.4% respectively), while content on paternal health and smoking and alcohol was less engaging (37.3% and 42.0%). Nutrition content was the most viewed in the preconception period and during the first two trimesters of pregnancy. Nutrition and breastfeeding were also the most popular topics for users with children less than 2 years old. Higher levels of health literacy were associated only with child health content. The study findings indicate that digital strategies should be adapted according to the time period in the first 1000 days. Alternative digital promotion strategies for the less engaging topics should be considered.</t>
  </si>
  <si>
    <t>[Cinelli, Giulia; Croci, Ileana; Gesualdo, Francesco; Pandolfi, Elisabetta; Miller, Kiersten Pilar; Tozzi, Alberto Eugenio] Bambino Gesu Pediat Hosp, Predict &amp; Prevent Med Res Unit, IRCCS, I-00165 Rome, Italy</t>
  </si>
  <si>
    <t>IRCCS Bambino Gesu</t>
  </si>
  <si>
    <t>Croci, I (corresponding author), Bambino Gesu Pediat Hosp, Predict &amp; Prevent Med Res Unit, IRCCS, I-00165 Rome, Italy.</t>
  </si>
  <si>
    <t>ileana.croci@opbg.net</t>
  </si>
  <si>
    <t>Tozzi, Alberto Eugenio/F-9494-2012; Gesualdo, Francesco/H-9221-2012</t>
  </si>
  <si>
    <t>Tozzi, Alberto Eugenio/0000-0002-6884-984X; Gesualdo, Francesco/0000-0002-9087-4398; Croci, Ileana/0000-0002-3448-6059; Miller, Kiersten/0000-0002-0087-2867</t>
  </si>
  <si>
    <t>Italian Ministry of Health</t>
  </si>
  <si>
    <t>Italian Ministry of Health(Ministry of Health, Italy)</t>
  </si>
  <si>
    <t>This work was supported also by the Italian Ministry of Health with Current Research funds.</t>
  </si>
  <si>
    <t>1660-4601</t>
  </si>
  <si>
    <t>INT J ENV RES PUB HE</t>
  </si>
  <si>
    <t>Int. J. Environ. Res. Public Health</t>
  </si>
  <si>
    <t>JAN</t>
  </si>
  <si>
    <t>10.3390/ijerph20021329</t>
  </si>
  <si>
    <t>Environmental Sciences; Public, Environmental &amp; Occupational Health</t>
  </si>
  <si>
    <t>Environmental Sciences &amp; Ecology; Public, Environmental &amp; Occupational Health</t>
  </si>
  <si>
    <t>8D0CR</t>
  </si>
  <si>
    <t>WOS:000917967300001</t>
  </si>
  <si>
    <t>Egodawele, M; Sedera, D; Walton, VG; Seneviratne, D; Sooriyapperuma, B</t>
  </si>
  <si>
    <t>Egodawele, Mekhala; Sedera, Darshana; Walton, Varun Grover; Seneviratne, Dilanjan; Sooriyapperuma, Banura</t>
  </si>
  <si>
    <t>Shooting 'Yohani' to Global Stardom: A Teaching Case of Social Media Strategy of a Top-10 YouTuber</t>
  </si>
  <si>
    <t>COMMUNICATIONS OF THE ASSOCIATION FOR INFORMATION SYSTEMS</t>
  </si>
  <si>
    <t>Social Media; Digital Strategy; YouTuber; Teaching Case</t>
  </si>
  <si>
    <t>This teaching case is about 'Yohani' - a Global YouTube sensation. Yohani's song 'Menike Mage Hithe' reached the top hits of Amazon Music and Spotify, eventually making its way to the YouTube Top-10 global charts in September 2021. Gathering in-depth insights from the executive staff behind her record label company and her creative company, this teaching case demonstrates (i) the role of a social media strategy in contemporary businesses and entrepreneurs; (ii) social media hygiene factors that one must consider; (iii) how social media insights gained through analytics assisted in delivering a carefully orchestrated business strategy, and (iv) how a combination of social media platforms was employed while considering a range of technological, geographical, financial and social factors. The case and its teaching notes are suitable for undergraduate and postgraduate students studying a contemporary information systems management course.</t>
  </si>
  <si>
    <t>[Egodawele, Mekhala; Sedera, Darshana] Southern Cross Univ, Fac Business Law &amp; Arts, Gold Coast, Australia; [Walton, Varun Grover] Univ Arkansas, Walton Sch Business, Fayetteville, AR USA; [Seneviratne, Dilanjan] Pettah Effect, Colombo, Sri Lanka; [Sooriyapperuma, Banura] Theewra Worldwide Pvt Ltd, Colombo, Sri Lanka</t>
  </si>
  <si>
    <t>Southern Cross University; University of Arkansas System; University of Arkansas Fayetteville</t>
  </si>
  <si>
    <t>Egodawele, M (corresponding author), Southern Cross Univ, Fac Business Law &amp; Arts, Gold Coast, Australia.</t>
  </si>
  <si>
    <t>ASSOC INFORMATION SYSTEMS</t>
  </si>
  <si>
    <t>ATLANTA</t>
  </si>
  <si>
    <t>GEORGIA STATE UNIV, 35 BROAD STREET, STE 916-917, ATLANTA, GA 30303 USA</t>
  </si>
  <si>
    <t>1529-3181</t>
  </si>
  <si>
    <t>COMMUN ASSOC INF SYS</t>
  </si>
  <si>
    <t>Commun. Assoc. Inf. Syst.</t>
  </si>
  <si>
    <t>10.17705/1CAIS.05220</t>
  </si>
  <si>
    <t>L5VZ0</t>
  </si>
  <si>
    <t>WOS:001023953500001</t>
  </si>
  <si>
    <t>Foria, F; Calicchio, M; Moretti, L; Loprencipe, G</t>
  </si>
  <si>
    <t>Foria, Federico; Calicchio, Mario; Moretti, Laura; Loprencipe, Giuseppe</t>
  </si>
  <si>
    <t>MULTIDIMENSIONAL MOBILE MAPPING AND INTEGRATED APPROACH FOR THE DIGITALISATION OF UNDERGROUND TRANSPORT INFRASTRUCTURE</t>
  </si>
  <si>
    <t>ACTA POLYTECHNICA</t>
  </si>
  <si>
    <t>MIRET; ARCHITA; mobile mapping; tunnel defects; railway tunnels</t>
  </si>
  <si>
    <t>INSPECTION</t>
  </si>
  <si>
    <t>The tunnel industry has started focusing on the maintenance and management challenges of an existing infrastructure. It is an urgent matter in industrialised countries, where the stakeholders' attention is increasing at a fast pace considering the incidents and the disruptions caused by improper monitoring and maintenance. This paper presents an innovative methodology to survey and inspect existing railway tunnels through multi-dimensional mobile mapping systems. The proposed approach belongs to the digital strategies for infrastructure maintenance. An integrated multidimensional survey system (ARCHITA) allows for collecting information necessary for the diagnostics of a structure with non-destructive tests. Linear cameras, thermographic cameras, and ground-penetrating radars acquire data to be digitalised and manipulated in different IT environments. The results, in terms of the collected data on structural defects, allow for a new approach for the Management and Identification of the Risk for Existing Tunnels (MIRET). The innovative approach aims at a smart integration of information and models for the Facility Management of the transport system. The workflow for the digitalisation and diagnosis from mobile mapping data has been implemented on two 40km-long metro tunnels.</t>
  </si>
  <si>
    <t>[Foria, Federico; Calicchio, Mario] ETS Srl, Via Appia Nuova 59, I-00183 Rome, Italy; [Moretti, Laura; Loprencipe, Giuseppe] Sapienza Univ Rome, Dept Civil Construct &amp; Environm Engn, Via Eudossiana 18, I-00184 Rome, Italy</t>
  </si>
  <si>
    <t>Sapienza University Rome</t>
  </si>
  <si>
    <t>Moretti, L (corresponding author), Sapienza Univ Rome, Dept Civil Construct &amp; Environm Engn, Via Eudossiana 18, I-00184 Rome, Italy.</t>
  </si>
  <si>
    <t>laura.moretti@uniromal.it</t>
  </si>
  <si>
    <t>Loprencipe, Giuseppe/C-2223-2013</t>
  </si>
  <si>
    <t>Loprencipe, Giuseppe/0000-0003-1003-8849</t>
  </si>
  <si>
    <t>CZECH TECHNICAL UNIV PRAGUE</t>
  </si>
  <si>
    <t>PRAGUE 6</t>
  </si>
  <si>
    <t>ZIKOVA 4, PRAGUE 6, 16636, CZECH REPUBLIC</t>
  </si>
  <si>
    <t>1210-2709</t>
  </si>
  <si>
    <t>1805-2363</t>
  </si>
  <si>
    <t>ACTA POLYTECH</t>
  </si>
  <si>
    <t>Acta Polytech.</t>
  </si>
  <si>
    <t>10.14311/AP.2023.63.0111</t>
  </si>
  <si>
    <t>Engineering, Multidisciplinary</t>
  </si>
  <si>
    <t>M8ET7</t>
  </si>
  <si>
    <t>WOS:001032499800004</t>
  </si>
  <si>
    <t>Gurung, S; Jones, SS; Mehta, K; Budhwani, H; MacDonell, K; Belzer, M; Naar, S</t>
  </si>
  <si>
    <t>Gurung, Sitaji; Jones, Stephen Scott; Mehta, Kripa; Budhwani, Henna; MacDonell, Karen; Belzer, Marvin; Naar, Sylvie</t>
  </si>
  <si>
    <t>Examining Recruitment Strategies in the Enrollment Cascade of Youth Living With HIV: Descriptive Findings From a Nationwide Web-Based Adherence Protocol</t>
  </si>
  <si>
    <t>JMIR FORMATIVE RESEARCH</t>
  </si>
  <si>
    <t>recruitment methods; enrollment challenges; digital technology; adherence protocol; youth living with HIV; COVID-19</t>
  </si>
  <si>
    <t>SOCIAL MEDIA; TRIALS; ADOLESCENTS; RISK</t>
  </si>
  <si>
    <t>Background: Digital strategies and broadened eligibility criteria may optimize the enrollment of youth living with HIV in mobile health adaptive interventions. Prior research suggests that digital recruitment strategies are more efficient than traditional methods for overcoming enrollment challenges of youth living with HIV in the United States.Objective: This study highlights the challenges and strategies that explain screening and enrollment milestones in a national web-based adherence protocol for youth living with HIV.Methods: Baseline data from a national web-based HIV adherence protocol for youth living with HIV, collected from July 2018 to February 2021, were analyzed. A centralized recruitment procedure was developed, which used web-based recruitment via Online Master Screener; paid targeted advertisements on social media platforms (eg, Facebook and Reddit) and geosocial networking dating apps (eg, Grindr and Jack'd); and site and provider referrals from Subject Recruitment Venues and other AIDS service organizations, website referrals, and text-in recruitment.Results: A total of 3 distinct cohorts of youth living with HIV were identified, marked by changes in recruitment strategies. Overall, 3270 individuals consented to screening, 2721 completed screening, 581 were eligible, and 83 completed enrollment. We examined sociodemographic and behavioral differences in completing milestones from eligibility to full enrollment (ie, submitting antiretroviral therapy and viral load data and completing the baseline web-based survey). Those with the most recent viral load tests &gt;6 months ago were half as likely to enroll (odds ratio 0.45, 95% CI 0.21-0.94). Moreover, eligible participants with self-reported antiretroviral therapy adherence (SRA) between 50% and 80% were statistically significant (P&lt;.001 to P=.03) and more likely to enroll than those with SRA &gt;80%.Conclusions: The findings add to our knowledge on the use of digital technologies for youth living with HIV before and during the COVID-19 pandemic and provide insight into the impact of expanding eligibility criteria on enrollment. As the COVID-19 pandemic continues and the use of and engagement with social media and dating apps among youth living with HIV changes, these platforms should continue to be investigated as potential recruitment tools. Using a wide variety of recruitment strategies such as using social media and dating apps as well as provider referral mechanisms, increasing compensation amounts, and including SRA in enrollment criteria should continue to be studied with respect to their ability to successfully recruit and enroll eligible participants.International Registered Report Identifier (IRRID): RR2-10.2196/11183</t>
  </si>
  <si>
    <t>[Gurung, Sitaji] CUNY, New York City Coll Technol, Dept Hlth Sci, Brooklyn, NY USA; [Jones, Stephen Scott; Mehta, Kripa] CUNY Hunter Coll, Dept Psychol, New York, NY USA; [Budhwani, Henna] Florida State Univ, Coll Nursing, Tallahassee, FL USA; [MacDonell, Karen; Naar, Sylvie] Florida State Univ, Coll Med, Ctr Translat Behavorial Sci, Dept Behav Sci &amp; Social Med, Tallahassee, FL USA; [Belzer, Marvin] Childrens Hosp Los Angeles, Los Angeles, CA USA; [Gurung, Sitaji] CUNY, New York City Coll Technol, Dept Hlth Sci, 285 Jay St,A811F, Brooklyn, NY 11201 USA</t>
  </si>
  <si>
    <t>City University of New York (CUNY) System; City University of New York (CUNY) System; Hunter College (CUNY); State University System of Florida; Florida State University; State University System of Florida; Florida State University; Children's Hospital Los Angeles; City University of New York (CUNY) System</t>
  </si>
  <si>
    <t>Gurung, S (corresponding author), CUNY, New York City Coll Technol, Dept Hlth Sci, 285 Jay St,A811F, Brooklyn, NY 11201 USA.</t>
  </si>
  <si>
    <t>Sitaji.Gurung65@citytech.cuny.edu</t>
  </si>
  <si>
    <t>Gurung, Sitaji/0000-0003-4713-4228; Jones, Stephen Scott/0000-0002-5361-8088; Budhwani, Henna/0000-0002-6716-9754; Belzer, Marvin/0000-0002-8870-9326; MacDonell, Karen/0000-0001-8916-624X; Mehta, Kripa/0000-0001-8286-8468</t>
  </si>
  <si>
    <t>JMIR PUBLICATIONS, INC</t>
  </si>
  <si>
    <t>TORONTO</t>
  </si>
  <si>
    <t>130 QUEENS QUAY East, Unit 1100, TORONTO, ON M5A 0P6, CANADA</t>
  </si>
  <si>
    <t>2561-326X</t>
  </si>
  <si>
    <t>JMIR FORM RES</t>
  </si>
  <si>
    <t>JMIR Form. Res.</t>
  </si>
  <si>
    <t>10.2196/40077</t>
  </si>
  <si>
    <t>H8RF2</t>
  </si>
  <si>
    <t>WOS:000998561100003</t>
  </si>
  <si>
    <t>Islam, MA; Islam, MA; Jacky, MAH; Al-Amin, M; Miah, MSU; Khan, MMI; Hossain, MI</t>
  </si>
  <si>
    <t>Islam, Md. Ariful; Islam, Md. Antonin; Jacky, Md. Amzad Hossain; Al-Amin, Md.; Miah, Md. Saef Ullah; Khan, Md. Muhidul Islam; Hossain, Md. Iqbal</t>
  </si>
  <si>
    <t>Distributed Ledger Technology Based Integrated Healthcare Solution for Bangladesh</t>
  </si>
  <si>
    <t>IEEE ACCESS</t>
  </si>
  <si>
    <t>Medical services; Distributed ledger; Blockchains; Security; Pediatrics; Government; Electronic healthcare; Smart contracts; Distributed ledger technology; integrated healthcare; blockchain; smart contract; hyperledger fabric; blockchain in healthcare</t>
  </si>
  <si>
    <t>INTERNET; ARCHITECTURE; SECURE</t>
  </si>
  <si>
    <t>Healthcare data is highly sensitive and must be safeguarded. Personal and sensitive data, such as names and addresses, is stored in Encrypted Electronic Health Records (EHRs). This paper proposes a Blockchain-based distributed application platform for Bangladesh's public and private healthcare service providers. The proposed application framework enables users to create secure digital agreements for commerce or collaboration by leveraging data immutability and smart contracts. As a result, all stakeholders can collaborate securely over the same Blockchain network, taking advantage of their data's openness and read/write nature. The proposed application is made up of various application interfaces for various stakeholders. The proposed solution employs Hyperledger Fabric and Blockchain to ensure data integrity, privacy, permissions, and service availability. In the application portal, each user has a profile. The creation of a unique identity for each user, as well as the establishment of digital information centers across the country, has greatly aided the process. This application collects health data from each user in a systematic manner, which is useful for research institutes and healthcare-related organizations. For this application, a national data warehouse in Bangladesh is feasible, and various healthcare-related analyses can be performed using the collected data, assisting the strategy and planning department in making informed decisions regarding the healthcare sector in Bangladesh. Because Bangladesh has both public and private healthcare providers, a simple digital strategy is essential for all organizations to accomplish their services. This study proposes a solution to achieve this goal.</t>
  </si>
  <si>
    <t>[Islam, Md. Ariful; Islam, Md. Antonin] Brain Stn 23 Ltd, Dhaka 1212, Bangladesh; [Jacky, Md. Amzad Hossain; Al-Amin, Md.; Miah, Md. Saef Ullah] Amer Int Univ Bangladesh, Fac Sci &amp; Technol, Dept Comp Sci, Dhaka 1229, Bangladesh; [Khan, Md. Muhidul Islam] Univ Stavanger, Dept Elect &amp; Comp Sci, N-4021 Stavanger, Norway; [Hossain, Md. Iqbal] Chakaria Un Hosp, Dept Paediat, Chattogram 4349, Bangladesh</t>
  </si>
  <si>
    <t>American International University Bangladesh (AIUB); Universitetet i Stavanger</t>
  </si>
  <si>
    <t>Khan, MMI (corresponding author), Univ Stavanger, Dept Elect &amp; Comp Sci, N-4021 Stavanger, Norway.</t>
  </si>
  <si>
    <t>md.m.khan@uis.no</t>
  </si>
  <si>
    <t>MIAH, MD SAEF ULLAH/AAY-6237-2021</t>
  </si>
  <si>
    <t>MIAH, MD SAEF ULLAH/0000-0003-4587-4636</t>
  </si>
  <si>
    <t>Norwegian Research Council through the 5G Management and Orchestration for Data and Network Integration (5G-MODaNeI) [308909]</t>
  </si>
  <si>
    <t>Norwegian Research Council through the 5G Management and Orchestration for Data and Network Integration (5G-MODaNeI)</t>
  </si>
  <si>
    <t>This work was supported by the Norwegian Research Council through the 5G Management and Orchestration for Data and Network Integration (5G-MODaNeI) Project under Grant 308909.</t>
  </si>
  <si>
    <t>IEEE-INST ELECTRICAL ELECTRONICS ENGINEERS INC</t>
  </si>
  <si>
    <t>PISCATAWAY</t>
  </si>
  <si>
    <t>445 HOES LANE, PISCATAWAY, NJ 08855-4141 USA</t>
  </si>
  <si>
    <t>2169-3536</t>
  </si>
  <si>
    <t>IEEE Access</t>
  </si>
  <si>
    <t>10.1109/ACCESS.2023.3279724</t>
  </si>
  <si>
    <t>Computer Science, Information Systems; Engineering, Electrical &amp; Electronic; Telecommunications</t>
  </si>
  <si>
    <t>Computer Science; Engineering; Telecommunications</t>
  </si>
  <si>
    <t>I9HK7</t>
  </si>
  <si>
    <t>gold, Green Submitted</t>
  </si>
  <si>
    <t>WOS:001005815900001</t>
  </si>
  <si>
    <t>Kim, D; Cho, KT</t>
  </si>
  <si>
    <t>Kim, Donggi; Cho, Keuntae</t>
  </si>
  <si>
    <t>Digital Transformation Characteristics of the Semiconductor Industry Ecosystem</t>
  </si>
  <si>
    <t>semiconductor; ecosystem; digital transformation; digital drivers; digital competencies; business model; management performance</t>
  </si>
  <si>
    <t>TECHNOLOGICAL CAPABILITY; PERFORMANCE; INNOVATION; PRODUCTS</t>
  </si>
  <si>
    <t>This study investigates the characteristics of competitive strategies, digital competencies, and management performance as digital drivers in the semiconductor industry. We constructed a conceptual research model and proposed five research hypotheses based on previous studies and analyzed the fit of the research model using IBM SPSS AMOS software. In total, 131 companies specializing in semiconductor materials, components, equipment, and fabless design comprised the sample for analysis. To improve the fit of the research model, several unnecessary paths and measurement items were removed, the final research model was selected, and the five hypotheses were tested. The results indicate that digital drivers positively affect digital competencies, which, in turn, positively affect efficiency-centered and novelty-centered business models. Regarding the relationship between these business models and management performance, only the novelty-centered business model positively affects non-financial performance. These findings could help formulate digital transformation strategies related to products/services, processes, and business models at the firm level, as well as establish policies such as regulation and support programs at the government level.</t>
  </si>
  <si>
    <t>[Kim, Donggi] Sungkyunkwan Univ, Grad Sch Management Technol, Chunchundong 300, Suwon 440746, South Korea; [Cho, Keuntae] Sungkyunkwan Univ, Grad Sch Management Technol, Dept Syst Management Engn, Chunchundong 300, Suwon 440746, South Korea</t>
  </si>
  <si>
    <t>Sungkyunkwan University (SKKU); Sungkyunkwan University (SKKU)</t>
  </si>
  <si>
    <t>Cho, KT (corresponding author), Sungkyunkwan Univ, Grad Sch Management Technol, Dept Syst Management Engn, Chunchundong 300, Suwon 440746, South Korea.</t>
  </si>
  <si>
    <t>ktcho@skku.edu</t>
  </si>
  <si>
    <t>Kim, Donggi/0009-0008-9340-5205</t>
  </si>
  <si>
    <t>10.3390/su15010483</t>
  </si>
  <si>
    <t>7P8CK</t>
  </si>
  <si>
    <t>WOS:000908926400001</t>
  </si>
  <si>
    <t>Medel, IL</t>
  </si>
  <si>
    <t>Medel, Ismael Lopez</t>
  </si>
  <si>
    <t>Social Media Will Tell Your Story: The Digital Strategy of #Ham4Ham</t>
  </si>
  <si>
    <t>EUROPEAN JOURNAL OF AMERICAN STUDIES</t>
  </si>
  <si>
    <t>Hamilton; #Ham4Ham; Mike Karns; Marathon Digital; creative proximity</t>
  </si>
  <si>
    <t>During the first two years of the Hamilton show on Broadway, the #Ham4Ham lottery system provided fans waiting outside the theater with live performances that included the show's original cast. These included Hamilton songs, covers of other musicals, and different performing arts. Seeking to reach a non-traditional theater audience, Marathon Digital, a digital agency specializing in Broadway shows, turned the performances into a viral campaign utilizing social media outlets to create proximity to the fans through content relevant to the audience.</t>
  </si>
  <si>
    <t>[Medel, Ismael Lopez] Univ CEU San Pablo, Madrid, Spain</t>
  </si>
  <si>
    <t>San Pablo CEU University</t>
  </si>
  <si>
    <t>Medel, IL (corresponding author), Univ CEU San Pablo, Madrid, Spain.</t>
  </si>
  <si>
    <t>EUROPEAN ASSOC AMER STUDIES</t>
  </si>
  <si>
    <t>C/O PHILIP JOHN DAVIES, ECCLES CENTRE AMERICAN STUDIES, LONDON, NW1 2DB, ENGLAND</t>
  </si>
  <si>
    <t>1991-9336</t>
  </si>
  <si>
    <t>EUR J AM STUD</t>
  </si>
  <si>
    <t>Eur. J. Am. Stud.</t>
  </si>
  <si>
    <t>Humanities, Multidisciplinary</t>
  </si>
  <si>
    <t>Arts &amp; Humanities - Other Topics</t>
  </si>
  <si>
    <t>H0ZL1</t>
  </si>
  <si>
    <t>WOS:000993327600006</t>
  </si>
  <si>
    <t>Papí-Gálvez, N; La Parra-Casado, D</t>
  </si>
  <si>
    <t>Papi-Galvez, Natalia; La Parra-Casado, Daniel</t>
  </si>
  <si>
    <t>Age-Based Digital Divide: Uses of the Internet in People Over 54 Years Old</t>
  </si>
  <si>
    <t>MEDIA AND COMMUNICATION</t>
  </si>
  <si>
    <t>digital competence; digital divide; grey divide; internet access; logistic regression; social context</t>
  </si>
  <si>
    <t>ACCESS; TECHNOLOGY; MEDIA; ACCEPTANCE; LITERACY; SKILLS; LEVEL; MODEL</t>
  </si>
  <si>
    <t>The digitization process is widespread and unrelenting. Compared with other European countries, Spain has a good pos-ition in the latest data compiled in the Digital Economy and Society Index. Direct use of communication and information technologies is high among the regions in Spain, where the national average in the region of Valencia stands out. However, despite this context, differences between population groups continue to be observed in different dimensions of the digital divide. This article explores this multidimensional gap among the midlife and older adult population. The research design adopts a mixed-method sequential design (questionnaire-based survey, follow-up with semi-structured interviews) to explore social positions in relation to access and use of technologies and the meanings that people ascribe to such positions and actions. A telephone survey was conducted with 1,800 people over 54 years of age residing in Valencia in September 2021, followed by 67 in-depth interviews. The results suggest that demographic and socioeconomic characteristics (level of education, age, and gender) determine people's position in the digital divide. Qualitative discourses qualify these results by elucidating key aspects that could be acting as protectors of digital and social exclusion. They are related to the social and family context and the characteristics of digital service providers. The findings are useful to guide both public policies to promote digital inclusion and private market actors when designing their digital strategies.</t>
  </si>
  <si>
    <t>[Papi-Galvez, Natalia] Univ Alicante, Dept Commun &amp; Social Psychol, San Vicente Del Raspeig, Spain; [La Parra-Casado, Daniel] Univ Alicante, Dept Sociol, San Vicente Del Raspeig, Spain</t>
  </si>
  <si>
    <t>Universitat d'Alacant; Universitat d'Alacant</t>
  </si>
  <si>
    <t>Papí-Gálvez, N (corresponding author), Univ Alicante, Dept Commun &amp; Social Psychol, San Vicente Del Raspeig, Spain.</t>
  </si>
  <si>
    <t>natalia.p@ua.es</t>
  </si>
  <si>
    <t>La Parra-Casado, Daniel/I-5481-2016; Papí Gálvez, Natalia/A-1408-2019</t>
  </si>
  <si>
    <t>La Parra-Casado, Daniel/0000-0002-9096-3972; Papí Gálvez, Natalia/0000-0002-4871-1691</t>
  </si>
  <si>
    <t>Valencia Regional Government's Directorate General for the Fight Against the Digital Divide under the Regional Department of Innovation, Science, Universities, and Digital Society; Digital Society</t>
  </si>
  <si>
    <t>This work was funded and supported by the Valencia Regional Government's Directorate General for the Fight Against the Digital Divide under the Regional Department of Innovation, Science, Universities, and Digital Society. This study was approved by the Ethics Committee at the University of Alicante with file number UA-2021-06-16.</t>
  </si>
  <si>
    <t>COGITATIO PRESS</t>
  </si>
  <si>
    <t>LISBON</t>
  </si>
  <si>
    <t>RUA FIALHO ALMEIDA 14, 2 ESQ, LISBON, 1070-129, PORTUGAL</t>
  </si>
  <si>
    <t>2183-2439</t>
  </si>
  <si>
    <t>MEDIA COMMUN-LISBON</t>
  </si>
  <si>
    <t>Media Commun.</t>
  </si>
  <si>
    <t>10.17645/mac.v11i3.6744</t>
  </si>
  <si>
    <t>Communication</t>
  </si>
  <si>
    <t>O3EJ6</t>
  </si>
  <si>
    <t>WOS:001042680500008</t>
  </si>
  <si>
    <t>Perdana, A; Wang, TW</t>
  </si>
  <si>
    <t>Perdana, Arif; Wang, Tawei</t>
  </si>
  <si>
    <t>Harnessing Data and Embracing Digital Strategy at Zalora</t>
  </si>
  <si>
    <t>JOURNAL OF EMERGING TECHNOLOGIES IN ACCOUNTING</t>
  </si>
  <si>
    <t>digital transformation; digital technology; information systems and technology; digital strategy</t>
  </si>
  <si>
    <t>TRANSFORMATION</t>
  </si>
  <si>
    <t>This case analyzes how Zalora has applied various strategies to gain a sustainable advantage in the e-commerce industry and provide solutions that continuously add value for its customers, even during the COVID-19 pandemic. It describes the company's efforts to capitalize on customer demand and external and internal forces to be more agile and nimble in an increasingly competitive environment. Zalora has introduced several technologies that reflect its digitization, digitalization, and digital transformation efforts. The use of digital technologies has helped Zalora to capture and analyze relevant data from its business processes and customer interactions. The information and automation generated by the technologies have enabled Zalora to continuously improve and reinvent itself to stay ahead of the competition. The challenges and opportunities of digital transformation are also discussed.</t>
  </si>
  <si>
    <t>[Perdana, Arif] Monash Univ, Data Sci Program, Tangerang, Banten, Indonesia; [Wang, Tawei] DePaul Univ, Sch Accountancy &amp; MIS, Chicago, IL USA</t>
  </si>
  <si>
    <t>DePaul University</t>
  </si>
  <si>
    <t>Perdana, A (corresponding author), Monash Univ, Data Sci Program, Tangerang, Banten, Indonesia.</t>
  </si>
  <si>
    <t>AMER ACCOUNTING ASSOC</t>
  </si>
  <si>
    <t>Lakewood Ranch</t>
  </si>
  <si>
    <t>9009 Town Center Parkway, Lakewood Ranch, FL, UNITED STATES</t>
  </si>
  <si>
    <t>1554-1908</t>
  </si>
  <si>
    <t>1558-7940</t>
  </si>
  <si>
    <t>J EMERG TECHNOL ACCO</t>
  </si>
  <si>
    <t>J. Emerg. Technol. Account.</t>
  </si>
  <si>
    <t>10.2308/JETA-2022-013</t>
  </si>
  <si>
    <t>I2KF4</t>
  </si>
  <si>
    <t>WOS:001001117700007</t>
  </si>
  <si>
    <t>Rezende, DA</t>
  </si>
  <si>
    <t>Rezende, Denis Alcides</t>
  </si>
  <si>
    <t>Strategic digital city: Concept, model, and research cases</t>
  </si>
  <si>
    <t>JOURNAL OF INFRASTRUCTURE POLICY AND DEVELOPMENT</t>
  </si>
  <si>
    <t>city strategies; city information; public services to citizens; information technology in cities; strategic digital city; urban management</t>
  </si>
  <si>
    <t>SMART GOVERNANCE; PUBLIC-SERVICES; COPRODUCTION; CITIZENS; INFORMATION; CITIES</t>
  </si>
  <si>
    <t>Cities, in addition to being physical, are also digital, requiring the use of information technology resources and strategies, information, and services to make appropriate decisions. The objective is to present the strategic digital city (SDC) concept and project model and its research considering the subprojects: city strategies; city information; public services to citizens; and information technology resources applied in cities. The research methodology comprises approaches mixing techniques in respective phases, including bibliometrics assignment, and model theory applied in SDC cases with more than 11 doctoral, 100 master's, undergraduate, scientific initiation, and postdoctoral program orientations obtained from more than 300 cities since 2003. The results showed that the SDC can be understood as a social project of public policy and is on the city managers' agenda, as demonstrated in the 8 cases researched and in the more than 86 publications in different scientific international journals in the recent decade. The conclusion reiterates the importance of the participatory and democratic SDC original project accepted to contribute to the proper city management and the citizens' quality of life expansion, including infrastructure, policy, and city development. Then, the SDC contemporary concept and model have been maintained regularly over the 10 years.</t>
  </si>
  <si>
    <t>[Rezende, Denis Alcides] Pontificia Univ Catolica Parana, BR-0215901 Curitiba, Brazil</t>
  </si>
  <si>
    <t>Pontificia Universidade Catolica do Parana</t>
  </si>
  <si>
    <t>Rezende, DA (corresponding author), Pontificia Univ Catolica Parana, BR-0215901 Curitiba, Brazil.</t>
  </si>
  <si>
    <t>denis.rezende@pucpr.br</t>
  </si>
  <si>
    <t>ENPRESS PUBL LLC</t>
  </si>
  <si>
    <t>TUSTIN</t>
  </si>
  <si>
    <t>14701 MYFORD RD, STE B-1, TUSTIN, CA, UNITED STATES</t>
  </si>
  <si>
    <t>2572-7923</t>
  </si>
  <si>
    <t>2572-7931</t>
  </si>
  <si>
    <t>J INFRASTRUCT POLICY</t>
  </si>
  <si>
    <t>J. Infrastruct. Policy Dev.</t>
  </si>
  <si>
    <t>10.24294/jipd.v7i2.2177</t>
  </si>
  <si>
    <t>U4PU0</t>
  </si>
  <si>
    <t>WOS:001084643300010</t>
  </si>
  <si>
    <t>SMART GOVERNANCE; COPRODUCTION; CITIES</t>
  </si>
  <si>
    <t>[Rezende, Denis Alcides] Pontificia Univ Catolica Parana, BR-80215901 Curitiba, Brazil</t>
  </si>
  <si>
    <t>Rezende, DA (corresponding author), Pontificia Univ Catolica Parana, BR-80215901 Curitiba, Brazil.</t>
  </si>
  <si>
    <t>U2ZU9</t>
  </si>
  <si>
    <t>WOS:001083543000001</t>
  </si>
  <si>
    <t>Roesler, DA; Rezende, DA; de Almeida, GGF</t>
  </si>
  <si>
    <t>Roesler, Douglas Andre; Rezende, Denis Alcides; de Almeida, Giovana Goretti Feijo</t>
  </si>
  <si>
    <t>Digital strategies and public services and relations with strategic digital city sub-projects: cases Brazil and Germany</t>
  </si>
  <si>
    <t>REVISTA DE GESTAO E SECRETARIADO-GESEC</t>
  </si>
  <si>
    <t>City Strategies; Digital Public Services; Strategic Digital City; Public Administration; Information Technology</t>
  </si>
  <si>
    <t>CITIZENS</t>
  </si>
  <si>
    <t>Public managers seek in city strategies and public services to expand the quality of life of citizens, drawing on effective public policies. The objective is to analyze the city strategies and digital public services and their relations with strategic digital city subprojects. The research methodology emphasized the study of multiple cases in the cities of Toledo-Brazil and Oldenburg-Germany, using a protocol with 5 variables. The results showed 308 municipal strategies in Toledo: social (34.41%); human development (25%); rural, urban and environment (21%); economic and management (8.44%); institutional (10.71%); and community participation strategies (46.14%) related mainly to the themes: social and education. Of the 47 digital public services available, 25.53% enable digital interaction with the user, and 74.47% refer to information services (without digital interaction). In Oldenburg 34 municipal strategies were identified: social (20.58%), health (14.70%), environment (11.76%), and science and technology (11.76%), related to the themes: urban infrastructure and transportation (31.25%), and public management (18.75%). Of the 76 digital public services available, only 21.05% allow digital interaction with the user, and 78.95% refer to information services (without digital interaction). The conclusion reiterates that the articulation between city strategies and digital public services characterizes the existence of an informal strategic digital city project, facilitating the city management through public administration, public policies and extending the citizens' quality of life, as well as the interaction between managers and citizens.</t>
  </si>
  <si>
    <t>[Roesler, Douglas Andre] Univ Estadual Oeste Parana UNIOESTE, Campus Marechal Candido Rondon,R Pernambuco 1777, BR-85960000 Mal Candido Rondon, PR, Brazil; [Rezende, Denis Alcides] Pontificia Univ Catolica Parana PUCPR, R Imac Conceicao 1155, BR-80215901 Curitiba, PR, Brazil; [de Almeida, Giovana Goretti Feijo] Polytech Univ Leiria, CiTUR, R Gen Norton de Matos Apartado 4133, P-2411901 Leiria, Portugal</t>
  </si>
  <si>
    <t>Universidade Estadual do Oeste do Parana</t>
  </si>
  <si>
    <t>Roesler, DA (corresponding author), Univ Estadual Oeste Parana UNIOESTE, Campus Marechal Candido Rondon,R Pernambuco 1777, BR-85960000 Mal Candido Rondon, PR, Brazil.</t>
  </si>
  <si>
    <t>douglasroesler@gmail.com; denis.rezende@pucpr.br; goretti.giovana@gmail.com</t>
  </si>
  <si>
    <t>Almeida, Giovana Goretti Feijó de/I-2491-2016</t>
  </si>
  <si>
    <t>Almeida, Giovana Goretti Feijó de/0000-0003-0956-1341</t>
  </si>
  <si>
    <t>SINDICATO SECRETARIAS ESTADO SAO PAULO</t>
  </si>
  <si>
    <t>SAO PAULO</t>
  </si>
  <si>
    <t>RUA TUPI 118, SAO PAULO, 01233-000, BRAZIL</t>
  </si>
  <si>
    <t>2178-9010</t>
  </si>
  <si>
    <t>REV GEST SECR-GESEC</t>
  </si>
  <si>
    <t>Rec. Gest. Secr.-GeSeC</t>
  </si>
  <si>
    <t>10.7769/gesec.v14i3.1821</t>
  </si>
  <si>
    <t>A4OE3</t>
  </si>
  <si>
    <t>WOS:000954928500001</t>
  </si>
  <si>
    <t>Velasco-Molpeceres, A; Zarauza-Castro, J; Pérez-Curiel, C; Mateos-González, S</t>
  </si>
  <si>
    <t>Velasco-Molpeceres, Ana; Zarauza-Castro, Jorge; Perez-Curiel, Concha; Mateos-Gonzalez, Sophia</t>
  </si>
  <si>
    <t>Slow Fashion as a Communication Strategy of Fashion Brands on Instagram</t>
  </si>
  <si>
    <t>slow fashion; sustainability; Instagram; influencers; greenwashing; fast fashion; fashion</t>
  </si>
  <si>
    <t>OPPORTUNITIES</t>
  </si>
  <si>
    <t>The objective of this research is to study the reasons for the growing impact of sustainable slow fashion brands in the fashion industry and, in particular, how they manage their communication and which digital strategies they employ. We applied a mixed research methodology: a comparative content analysis of qualitative and quantitative indicators, as well as in-depth interviews with 10 professionals and experts in fashion and digital communication, with the aim of contrasting their opinions with the results of the study. The five sustainable fashion brands (YosoLOVEamor, LIFEGIST, ECOALF, Alohas, and ECOOLOGY) chosen are distinguished by the fact that they base their business projects on social and environmental responsibility, and their Instagram accounts were studied over a period. This paper demonstrates the social interest in and concern for sustainability, ethics, and corporate social responsibility in the fashion industry. Additionally, it is evident that slow fashion brands need to have a good online strategy, as it is the future of fashion. No greenwashing was found, but sustainable fashion is a controversial issue with no regulation and a short history, so it has to develop.</t>
  </si>
  <si>
    <t>[Velasco-Molpeceres, Ana] Univ Complutense Madrid, Fac Ciencias Informac, Madrid 28040, Spain; [Zarauza-Castro, Jorge] Ctr Univ San Isidoro, Dept Ciencias Sociales &amp; Salud, Seville 41092, Spain; [Perez-Curiel, Concha] Univ Seville, Fac Comunicac, Seville 41092, Spain; [Mateos-Gonzalez, Sophia] Univ Europea Miguel de Cervantes, Fac Ciencias Sociales, Valladolid 47012, Spain</t>
  </si>
  <si>
    <t>Complutense University of Madrid; University of Sevilla; Miguel de Cervantes European University (UEMC)</t>
  </si>
  <si>
    <t>Velasco-Molpeceres, A (corresponding author), Univ Complutense Madrid, Fac Ciencias Informac, Madrid 28040, Spain.</t>
  </si>
  <si>
    <t>anamavel@ucm.es</t>
  </si>
  <si>
    <t>Velasco Molpeceres, Ana/P-4568-2016; Perez-Curiel, Concha/O-4919-2018</t>
  </si>
  <si>
    <t>Velasco Molpeceres, Ana/0000-0002-0593-0325; Zarauza Castro, Jorge/0000-0001-6319-7080; Perez-Curiel, Concha/0000-0002-1888-0451</t>
  </si>
  <si>
    <t>10.3390/su15010423</t>
  </si>
  <si>
    <t>7P5BT</t>
  </si>
  <si>
    <t>WOS:000908721400001</t>
  </si>
  <si>
    <t>Ziehfreund, S; Reifenrath, J; Wijnen-Meijer, M; Welzel, J; Sauter, F; Wecker, H; Biedermann, T; Zink, A</t>
  </si>
  <si>
    <t>Ziehfreund, Stefanie; Reifenrath, Johannes; Wijnen-Meijer, Marjo; Welzel, Julia; Sauter, Fabian; Wecker, Hannah; Biedermann, Tilo; Zink, Alexander</t>
  </si>
  <si>
    <t>Considering medical students' perception, concerns and needs for e-exam during COVID-19: a promising approach to improve subject specific e-exams</t>
  </si>
  <si>
    <t>MEDICAL EDUCATION ONLINE</t>
  </si>
  <si>
    <t>e-assessment; e-exam; curriculum; medical students; e-learning</t>
  </si>
  <si>
    <t>REMOTE E-EXAMS; OPEN-BOOK; EXPERIENCE</t>
  </si>
  <si>
    <t>The COVID-19 pandemic forced a rapid shift to digital strategies including e-exams in medical schools. However, there are significant concerns, predominately from student perspectives, and further data is required to successfully establish e-assessment in the medical curricula. The objective of the study was to examine medical students' perceptions, concerns, and needs regarding e-assessment to establish a comprehensive e-exam based on these and previous findings and to evaluate its effectiveness in terms of examinee perceptions and further needs. During the 2021 summer term, a cross-sectional study using qualitative and quantitative methods was conducted among all 1077 students at the School of Medicine, Technical University of Munich. They were asked to provide information regarding their characteristics, preferred exam format, e-assessment perception, concerns, and needs in an online questionnaire. Based on these findings, a pilot e-exam including an e-exam preparation for the students were established and subsequently evaluated among 125 pilot e-exam examinees under study consideration via an online-questionnaire. Of the 317 pre-exam participants (73.2% female), 70.3% preferred in-person exams and showed concerns about the technological framework, privacy, and examination requirements. Qualitative analysis showed that these concerns lead to additional exam stress and fear of failure. The 34 (79.4% female) participants who participated in the evaluation survey showed a significantly more positive e-exam perception. The fairness of the platform, the independence from an internet connection, the organization including the e-exam preparation, and the consideration of participant needs were discussed as particularly positive in the open-ended comments. In both surveys, participants requested uniform platforms and processes for all subjects. This study provides evidence for a positive, complementary role of student participation in a successful e-exam implementation. Furthermore, when establishing an e-exam format in the medical curricula, e-exam training, equal accessibility, availability offline, and all-round fairness should be considered.</t>
  </si>
  <si>
    <t>[Ziehfreund, Stefanie; Sauter, Fabian; Wecker, Hannah; Biedermann, Tilo; Zink, Alexander] Tech Univ Munich, Sch Med, Dept Dermatol &amp; Allergy, Munich, Germany; [Ziehfreund, Stefanie] Tech Univ Munich, Sch Med, Inst Gen Practice &amp; Hlth Serv Res, Munich, Germany; [Reifenrath, Johannes; Wijnen-Meijer, Marjo] Tech Univ Munich, TUM Med Educ Ctr TUM MEC, Sch Med, Munich, Germany; [Welzel, Julia] Univ Hosp Augsburg, Dept Dermatol, Augsburg, Germany; [Sauter, Fabian] Tech Univ Munich, Dept Informat, Munich, Germany; [Zink, Alexander] Karolinska Inst, Dept Med Solna, Div Dermatol &amp; Venereol, Stockholm, Sweden</t>
  </si>
  <si>
    <t>Technical University of Munich; Technical University of Munich; Technical University of Munich; Technical University of Munich; Karolinska Institutet</t>
  </si>
  <si>
    <t>Ziehfreund, S (corresponding author), Tech Univ Munich, Sch Med, Dept Dermatol &amp; Allergy, Munich, Germany.;Ziehfreund, S (corresponding author), Tech Univ Munich, Sch Med, Inst Gen Practice &amp; Hlth Serv Res, Munich, Germany.</t>
  </si>
  <si>
    <t>stefanie.ziehfreund@tum.de</t>
  </si>
  <si>
    <t>Reifenrath, Johannes/0000-0002-7216-5926</t>
  </si>
  <si>
    <t>1087-2981</t>
  </si>
  <si>
    <t>MED EDUC ONLINE</t>
  </si>
  <si>
    <t>Med. Educ. Online</t>
  </si>
  <si>
    <t>DEC 31</t>
  </si>
  <si>
    <t>10.1080/10872981.2022.2114131</t>
  </si>
  <si>
    <t>3W5FN</t>
  </si>
  <si>
    <t>WOS:000842370200001</t>
  </si>
  <si>
    <t>Babkin, A; Shkarupeta, E; Kabasheva, I; Rudaleva, I; Vicentiy, A</t>
  </si>
  <si>
    <t>Babkin, Aleksandr; Shkarupeta, Elena; Kabasheva, Irina; Rudaleva, Irina; Vicentiy, Alexander</t>
  </si>
  <si>
    <t>A Framework for Digital Development of Industrial Systems in the Strategic Drift to Industry 5.0</t>
  </si>
  <si>
    <t>INTERNATIONAL JOURNAL OF TECHNOLOGY</t>
  </si>
  <si>
    <t>Digital strategizing; Framework; Industrial system; Industry 5.0; Strategic drift</t>
  </si>
  <si>
    <t>TRANSFORMATION STRATEGY</t>
  </si>
  <si>
    <t>Industry 5.0 is an integral driving force for industrial development to overcome a resurgent strategic drift. This solution is a perfect tool to ensure a sustainable, human-centered, and resilient industry and encourage man-machine collaboration within intelligent cyber-social systems. A complete shift to Industry 5.0 is only feasible when industrial systems apply digital strategizing to enhance digital development. That would invite technologies and humans to facilitate all operational and customer dealings, significantly increasing the rate of innovation. This research aims to articulate a multi-perspective conceptual framework based on the premises of digital development of industrial systems in the strategic drift to Industry 5.0. The methodology implied in this research rests on an interview with industry experts, a case study of digitalization leaders in 2021, extensive and systematic literature review and scientometric analytical tools, content analysis and foresight. In this paper, the authors reframe the concept of digital strategy and consider it as a notion independent of digitalization strategy and digital transformation strategy that is traditionally based on the formation of digital thinking, implementation of digital behavior patterns, the transformation of mindset, and strategic wisdom. As a result, a brand-new perspective on Industry 5.0 is suggested - Nooindustry 5.0. This digital development framework provides grounds for a digital business strategy to advance and shapes a platform-operating model to nurture the digital maturity of industrial systems. This research identifies key strategies for the transformation of an industrial system into a bionic one to sail through the current strategic drift. Further scientific work has to be carried out in order to assess the impact and effects of digital development of industrial systems while shifting to Industry 5.0.</t>
  </si>
  <si>
    <t>[Babkin, Aleksandr] Peter Great St Petersburg Polytech Univ, Polytech Sskaia St 29, St Petersburg 195251, Russia; [Shkarupeta, Elena] Voronezh State Tech Univ, 20 letiia Oktiabria St 84, Voronezh 394071, Russia; [Kabasheva, Irina; Rudaleva, Irina] Kazan Volga reg Fed Univ, Kremlevskaya St 18, Kazan 420008, Russia; [Vicentiy, Alexander] Murmansk Arctic State Univ, Russian Acad Sci, Putilov Inst Informat &amp; Math Modeling, Kola Sci Ctr,Apatity branch, Fersman St 24a, Apatity 184209, Russia</t>
  </si>
  <si>
    <t>Peter the Great St. Petersburg Polytechnic University; Voronezh State Technical University; Kazan Federal University; Russian Academy of Sciences; Kola Science Centre of the Russian Academy of Sciences; Murmansk Arctic State University</t>
  </si>
  <si>
    <t>Babkin, A (corresponding author), Peter Great St Petersburg Polytech Univ, Polytech Sskaia St 29, St Petersburg 195251, Russia.</t>
  </si>
  <si>
    <t>al-vas@mail.ru</t>
  </si>
  <si>
    <t>Shkarupeta, Elena/Q-4229-2017</t>
  </si>
  <si>
    <t>Shkarupeta, Elena/0000-0003-3644-4239</t>
  </si>
  <si>
    <t>Russian Foundation for Basic Research; [20-010-00942A]; [2020-2022]</t>
  </si>
  <si>
    <t>Russian Foundation for Basic Research(Russian Foundation for Basic Research (RFBR)Spanish Government); ;</t>
  </si>
  <si>
    <t>Acknowledgments The research was carried out within the framework of project No. 20-010-00942A of the Russian Foundation for Basic Research (2020-2022) .</t>
  </si>
  <si>
    <t>UNIV INDONESIA, FAC ENGINEERING</t>
  </si>
  <si>
    <t>DEPOK</t>
  </si>
  <si>
    <t>KAMPUS UI DEPOK, DEPOK, 16424, INDONESIA</t>
  </si>
  <si>
    <t>2086-9614</t>
  </si>
  <si>
    <t>2087-2100</t>
  </si>
  <si>
    <t>INT J TECHNOL</t>
  </si>
  <si>
    <t>Int. J. Technol.</t>
  </si>
  <si>
    <t>DEC 27</t>
  </si>
  <si>
    <t>10.14716/ijtech.v13i7.6193</t>
  </si>
  <si>
    <t>7M5TB</t>
  </si>
  <si>
    <t>WOS:000906718400002</t>
  </si>
  <si>
    <t>Yudaruddin, R</t>
  </si>
  <si>
    <t>Yudaruddin, Rizky</t>
  </si>
  <si>
    <t>Bank lending during the COVID-19 pandemic: do alliances and digital strategies matter?</t>
  </si>
  <si>
    <t>MANAGERIAL FINANCE</t>
  </si>
  <si>
    <t>COVID-19; Alliance strategy; Digital strategy; Bank lending</t>
  </si>
  <si>
    <t>CREDIT; INNOVATION; ADOPTION</t>
  </si>
  <si>
    <t>PurposeThis paper investigates the joint impact of COVID-19, alliances and digital strategies on bank lending. Additionally, this study examines whether the effect of COVID-19, alliances and digital strategies on bank loans depends on the types of banks.Design/methodology/approachUsing a sample of 92 commercial banks in Indonesia from March 2020 to September 2021, a fixed-effects model (FEM) was used to analyze data.FindingsThis study provides robust results regarding the negative impact of the COVID-19 pandemic on bank loans in Indonesian banking. Furthermore, it reveals that collaboration between banks and FinTech does not substantially influence bank lending, despite the rise in proven cases tending to reduce credit expansion. It emphasizes the importance of the development of mobile banking as part of digitalization in boosting loan bank expansion, and this finding is more noticeable in private and small banks.Practical implicationsThis study highlights some policy recommendations to improve bank lending during the COVID-19 period, particularly the role of new alliances and digital strategy in involving COVID-19 pandemic mitigation within a novel financial ecosystem.Originality/valueThis study offers a significant contribution to the empirical literature that specifically explores the joint impact of the COVID-19 pandemic, alliances and digital strategies on bank lending in banking.</t>
  </si>
  <si>
    <t>[Yudaruddin, Rizky] Mulawarman Univ, Dept Management, Samarinda, Indonesia</t>
  </si>
  <si>
    <t>Universitas Mulawarman</t>
  </si>
  <si>
    <t>Yudaruddin, R (corresponding author), Mulawarman Univ, Dept Management, Samarinda, Indonesia.</t>
  </si>
  <si>
    <t>rizky.yudaruddin@feb.unmul.ac.id</t>
  </si>
  <si>
    <t>Yudaruddin, Rizky/AAC-3719-2022</t>
  </si>
  <si>
    <t>Yudaruddin, Rizky/0000-0002-0850-9747</t>
  </si>
  <si>
    <t>0307-4358</t>
  </si>
  <si>
    <t>1758-7743</t>
  </si>
  <si>
    <t>MANAG FINANC</t>
  </si>
  <si>
    <t>Manag. Financ.</t>
  </si>
  <si>
    <t>10.1108/MF-04-2022-0167</t>
  </si>
  <si>
    <t>DEC 2022</t>
  </si>
  <si>
    <t>J2HH4</t>
  </si>
  <si>
    <t>WOS:000902960000001</t>
  </si>
  <si>
    <t>Zimmermann, L; Sobolev, M</t>
  </si>
  <si>
    <t>Zimmermann, Laura; Sobolev, Michael</t>
  </si>
  <si>
    <t>Digital Strategies for Screen Time Reduction: A Randomized Field Experiment</t>
  </si>
  <si>
    <t>CYBERPSYCHOLOGY BEHAVIOR AND SOCIAL NETWORKING</t>
  </si>
  <si>
    <t>screen time; smartphone; digital nudge; goal-setting; time limits; design friction</t>
  </si>
  <si>
    <t>IMPLEMENTATION INTENTIONS; ACADEMIC-PERFORMANCE; SMARTPHONE USAGE; BEHAVIOR; DISTRACTION; SYSTEM; COLOR</t>
  </si>
  <si>
    <t>Many consumers nowadays wish to reduce their smartphone usage in the hope of improving productivity and well-being. We conducted a pre-registered field experiment (N = 112) over a period of several weeks to test the effectiveness of two widely available digital strategies for screen time reduction. The effectiveness of a design friction intervention (i.e., activating grayscale mode) was compared with a goal-setting intervention (i.e., self-commitment to time limits) and a control condition (i.e., self-monitoring). The design friction intervention led to an immediate, significant reduction of objectively measured screen time compared with the control condition. Conversely, the goal-setting intervention led to a smaller and more gradual screen time reduction. In contrast to the popular belief that reducing screen time has broad benefits, we found no immediate causal effect of reducing usage on subjective well-being and academic performance.</t>
  </si>
  <si>
    <t>[Zimmermann, Laura] IE Univ, IE Tower,Paseo Castellana 259E, Madrid 28046, Spain; [Sobolev, Michael] Cornell Tech, New York, NY USA</t>
  </si>
  <si>
    <t>IE University</t>
  </si>
  <si>
    <t>Zimmermann, L (corresponding author), IE Univ, IE Tower,Paseo Castellana 259E, Madrid 28046, Spain.</t>
  </si>
  <si>
    <t>laura.zimmermann@ie.edu</t>
  </si>
  <si>
    <t>Zimmermann, Laura/0000-0001-8174-9459</t>
  </si>
  <si>
    <t>MARY ANN LIEBERT, INC</t>
  </si>
  <si>
    <t>NEW ROCHELLE</t>
  </si>
  <si>
    <t>140 HUGUENOT STREET, 3RD FL, NEW ROCHELLE, NY 10801 USA</t>
  </si>
  <si>
    <t>2152-2715</t>
  </si>
  <si>
    <t>2152-2723</t>
  </si>
  <si>
    <t>CYBERPSYCH BEH SOC N</t>
  </si>
  <si>
    <t>Cyberpsychology Behav. Soc. Netw.</t>
  </si>
  <si>
    <t>JAN 1</t>
  </si>
  <si>
    <t>10.1089/cyber.2022.0027</t>
  </si>
  <si>
    <t>Psychology, Social</t>
  </si>
  <si>
    <t>8C9YR</t>
  </si>
  <si>
    <t>WOS:000904990200001</t>
  </si>
  <si>
    <t>Clark, S; Gallagher, E; Boyle, N; Barrett, M; Hughes, C; O'Malley, N; Sanchez, A; Ebuenyi, I; Smith, E; Marshall, K; O'Sullivan, K</t>
  </si>
  <si>
    <t>Clark, Serena; Gallagher, Ellen; Boyle, Neasa; Barrett, Michael; Hughes, Corey; O'Malley, Niamh; Sanchez, Ana; Ebuenyi, Ikenna; Smith, Emma; Marshall, Kevin; O'Sullivan, Katriona</t>
  </si>
  <si>
    <t>The International Education Index: A global approach to education policy analysis, performance and sustainable development</t>
  </si>
  <si>
    <t>BRITISH EDUCATIONAL RESEARCH JOURNAL</t>
  </si>
  <si>
    <t>change and sustainability; COVID-19; education policy; policy analysis</t>
  </si>
  <si>
    <t>Before the COVID-19 pandemic, the world struggled to address growing educational inequalities and fulfil the commitment to Sustainable Development Goal 4, which seeks to ensure inclusive and equitable quality education and promote lifelong learning opportunities for all. The pandemic has exacerbated these inequalities and changed how education functions, moving to online and hybrid methods. The challenges in global education highlighted and worsened by the pandemic make it necessary to re-evaluate education systems and the policies in place to support access, quality and equal opportunity. This article focuses on analysing education policies at a national level. It tests a pilot policy analysis tool, the International Education Index (IEI), developed as a starting point to begin this reconsideration and create an accessible and comprehensive way to evaluate national education systems to inform decision-making and policies in the new context. This research uses Ireland and Northern Ireland to test the IEI pilot tool. The IEI consists of 54 questions across nine indicators, including institutional frameworks, education strategies, digital skills and infrastructure, twenty-first century skills, access to basic social services, adherence to international standards, legal frameworks, data gathering and availability and international partnerships. Countries can score 108 points to be categorised as having developed, emerging or nascent national education systems. Ireland scored 94 and Northern Ireland 81, indicating that they have developed national education systems.</t>
  </si>
  <si>
    <t>[Clark, Serena; Gallagher, Ellen; Boyle, Neasa; Sanchez, Ana; Ebuenyi, Ikenna; Smith, Emma; O'Sullivan, Katriona] Maynooth Univ, Maynooth, Kildare, Ireland; [Barrett, Michael; Hughes, Corey; O'Malley, Niamh; Marshall, Kevin] Microsoft Ireland, South Cty Business Pk,One Microsoft Pl, Dublin, Ireland</t>
  </si>
  <si>
    <t>Maynooth University</t>
  </si>
  <si>
    <t>O'Sullivan, K (corresponding author), Maynooth Univ, Maynooth, Kildare, Ireland.</t>
  </si>
  <si>
    <t>katriona.osullivan@mu.ie</t>
  </si>
  <si>
    <t>O'Sullivan, Katriona/0000-0001-7202-0033; Clark, Serena/0000-0001-8405-576X; Boyle, Neasa/0000-0003-4226-0751; Marshall, Kevin/0000-0002-6793-5535</t>
  </si>
  <si>
    <t>0141-1926</t>
  </si>
  <si>
    <t>1469-3518</t>
  </si>
  <si>
    <t>BRIT EDUC RES J</t>
  </si>
  <si>
    <t>Br. Educ. Res. J.</t>
  </si>
  <si>
    <t>10.1002/berj.3842</t>
  </si>
  <si>
    <t>C7UA0</t>
  </si>
  <si>
    <t>WOS:000903702100001</t>
  </si>
  <si>
    <t>Baxter, J; Floyd, A; Jewitt, K</t>
  </si>
  <si>
    <t>Baxter, Jacqueline; Floyd, Alan; Jewitt, Katharine</t>
  </si>
  <si>
    <t>Pandemic, a catalyst for change: Strategic planning for digital education in English secondary schools, before during and post Covid</t>
  </si>
  <si>
    <t>ICT</t>
  </si>
  <si>
    <t>Following lockdowns in 2020 owing to Covid-19, schools needed to find a way to ensure the education of their pupils. In order to do this, they engaged in digital learning, to varying extents. Innovations emanated from all school staff including, for example, teachers, leaders and teaching assistants. Some were already innovating in this area and brought forward and implemented digital strategies, while others engaged with digital learning for the first time. While research is emerging about the effects of the pandemic restrictions on pupils and staff in relation to key issues such as mental health and educational attainment, very little is known about the impact on school leaders' strategic planning processes. To address this gap, this paper draws on a UK Research and Innovation funded study adopting a strategy as learning approach to report on 50 qualitative interviews with school leaders to examine digital strategy in English secondary schools, before, during and after July 2021, when restrictions were lifted in England. It draws on strategy as learning literature to evaluate if schools have changed their strategic planning for digital learning, as a direct response to having learned and innovated during the pandemic. The paper concludes that there is evidence that digital innovations during the pandemic have changed the ways in which leaders think about their digital strategy, thus supporting a strategy as learning approach. However it also concludes that although there is ample evidence that the pandemic has changed the way many schools view digital learning, for some schools, there remain persistent barriers to digital integration and planning. These emanate both from material and cultural considerations, as well as leader vision and belief in digital learning.</t>
  </si>
  <si>
    <t>[Baxter, Jacqueline] Open Univ, Dept Publ Leadership &amp; Social Enterprise, Business Sch, Milton Keynes, England; [Floyd, Alan] Univ Reading, Inst Educ, Reading, England; [Jewitt, Katharine] Open Univ, Open Univ UK, Milton Keynes, England; [Baxter, Jacqueline] Ctr Res &amp; Innovat Online Business &amp; Legal Educ, Dept Publ Leadership &amp; Social Enterprise, Milton Keynes, England</t>
  </si>
  <si>
    <t>Open University - UK; University of Reading; Open University - UK</t>
  </si>
  <si>
    <t>Baxter, J (corresponding author), Ctr Res &amp; Innovat Online Business &amp; Legal Educ, Dept Publ Leadership &amp; Social Enterprise, Milton Keynes, England.</t>
  </si>
  <si>
    <t>jacqueline.baxter@open.ac.uk</t>
  </si>
  <si>
    <t>; Floyd, Alan/E-8017-2017</t>
  </si>
  <si>
    <t>Baxter, Jacqueline/0000-0001-6650-2984; Floyd, Alan/0000-0002-2008-7831</t>
  </si>
  <si>
    <t>Economic and Social Research Council</t>
  </si>
  <si>
    <t>Economic and Social Research Council(UK Research &amp; Innovation (UKRI)Economic &amp; Social Research Council (ESRC))</t>
  </si>
  <si>
    <t>10.1002/berj.3845</t>
  </si>
  <si>
    <t>hybrid, Green Accepted</t>
  </si>
  <si>
    <t>WOS:000899226200001</t>
  </si>
  <si>
    <t>Ning, Y; Li, LX; Xu, SX; Yang, SL</t>
  </si>
  <si>
    <t>Ning, Yu; Li, Lixu; Xu, Su Xiu; Yang, Shuili</t>
  </si>
  <si>
    <t>How do digital technologies improve supply chain resilience in the COVID-19 pandemic? Evidence from Chinese manufacturing firms</t>
  </si>
  <si>
    <t>FRONTIERS OF ENGINEERING MANAGEMENT</t>
  </si>
  <si>
    <t>digital technologies; supply chain resilience; information processing theory; COVID-19; China</t>
  </si>
  <si>
    <t>BIG DATA; PERFORMANCE; INTERNET; AGILITY; DESIGN; IMPACT; TRACEABILITY; CAPABILITIES; ANALYTICS; PRODUCTS</t>
  </si>
  <si>
    <t>Digital technologies (DTs) can assist businesses in coping with supply chain (SC) disruptions caused by unpredictability, such as pandemics. However, the current knowledge of the relationship between DTs and supply chain resilience (SCR) is insufficient. This study draws on information processing theory to develop a serial mediation model to address this deficiency. We analyze a sample set consisting of 264 Chinese manufacturers. The empirical results reveal that digital supply chain platforms (DSCPs), as well as supply chain traceability (SCT) and supply chain agility (SCA), fully mediate the favorable association between DTs and SCR. Specifically, the four significant indirect paths indicated that firms can improve SCR only if they use DTs to directly or indirectly improve SCT and SCA (through DSCPs). Our study contributes to the literature on resilience by examining the possible mechanism of mediation through which DTs influence SCR. The findings also offer essential insights for firms to modify their digital strategies and thrive in a turbulent environment.</t>
  </si>
  <si>
    <t>[Ning, Yu] South China Univ Technol, Sch Business Adm, Guangzhou 510641, Peoples R China; [Li, Lixu; Yang, Shuili] Xian Univ Technol, Sch Econ &amp; Management, Xian 710054, Peoples R China; [Xu, Su Xiu] Beijing Inst Technol, Sch Management &amp; Econ, Beijing 100081, Peoples R China</t>
  </si>
  <si>
    <t>South China University of Technology; Xi'an University of Technology; Beijing Institute of Technology</t>
  </si>
  <si>
    <t>Li, LX (corresponding author), Xian Univ Technol, Sch Econ &amp; Management, Xian 710054, Peoples R China.</t>
  </si>
  <si>
    <t>li.lixu@foxmail.com</t>
  </si>
  <si>
    <t>Li, Lixu/0000-0002-1927-0604</t>
  </si>
  <si>
    <t>Key Project of the National Social Science Foundation of China [21AJY020]</t>
  </si>
  <si>
    <t>Key Project of the National Social Science Foundation of China(National Office of Philosophy and Social Sciences)</t>
  </si>
  <si>
    <t>This work was funded by the Key Project of the National Social Science Foundation of China (Grant No. 21AJY020).</t>
  </si>
  <si>
    <t>2095-7513</t>
  </si>
  <si>
    <t>2096-0255</t>
  </si>
  <si>
    <t>FRONT ENG MANAG</t>
  </si>
  <si>
    <t>Front. Eng. Manag.</t>
  </si>
  <si>
    <t>10.1007/s42524-022-0230-4</t>
  </si>
  <si>
    <t>Engineering, Industrial</t>
  </si>
  <si>
    <t>9Z1OH</t>
  </si>
  <si>
    <t>WOS:000900054200001</t>
  </si>
  <si>
    <t>Barile, D; Secundo, G; Del Vecchio, P</t>
  </si>
  <si>
    <t>Barile, Domenica; Secundo, Giustina; Del Vecchio, Pasquale</t>
  </si>
  <si>
    <t>Food 4.0 for competing during the COVID-19 pandemic: experimenting digitalization in family firms</t>
  </si>
  <si>
    <t>EUROPEAN JOURNAL OF INNOVATION MANAGEMENT</t>
  </si>
  <si>
    <t>Food 4; 0; Digital transformation; Digital marketing; Action research; Family firm</t>
  </si>
  <si>
    <t>OPEN INNOVATION; BIG DATA; TECHNOLOGIES; BUSINESS; ENTREPRENEURSHIP; PERFORMANCE; CHALLENGES; MANAGEMENT; CREATION; SYSTEM</t>
  </si>
  <si>
    <t>PurposeWithin food industry several changes and innovations are affecting the management of the entire supply chain (production, logistics, etc.). As strategy for the survival and competition, digitalization has assumed a crucial role during the pandemic emergence by causing the reconfiguration of traditional chains and business models. Framed in these premises, the research analyses how digital technologies have innovated the sub-chains of bakery products and pasta within food industry with reference to customers' interactions, delivery and marketing during the COVID-19 pandemic emergence.Design/methodology/approachMoving from a critical literature review about the perspectives of digital technologies within the tradition of food industry, action research has been adopted to analyze in deep a case study of the start-up ArteBianca Delivery located in South Italy. Through this method, researchers have been deeply involved within the start-up to face the challenge of transforming the marketing and customer care into digital ones due to the COVID-19 restriction.FindingsFindings provide empirical evidence about the reconfiguration of the traditional business model of a family firm in the food sector into a digital one with the start-up ArteBianca Delivery. The marketing, delivery, e-commerce and customer care components of the business models have been supported and enhanced through the adoption of digital tools, such as mobile applications and social technologies useful both for users and for a more urgent digitization of company.Practical implicationsImplications for practice can be identified into the pattern of digital transformation implemented as well as in the opportunity of replication and contextualization of the results to other companies looking for setting up a digital strategy.Originality/valueElements of original contribution can be identified into: (1) the exploration of digital transformation in food family firms caused by the pandemic emergence, (2) the contextualization of the digital transformation to the sub-chains of bakery and pasta and (3) the geographical location of the case.</t>
  </si>
  <si>
    <t>[Barile, Domenica; Secundo, Giustina; Del Vecchio, Pasquale] Univ LUM Giuseppe Degennaro, Dept Management Finance &amp; Technol, Casamassima, Italy</t>
  </si>
  <si>
    <t>Del Vecchio, P (corresponding author), Univ LUM Giuseppe Degennaro, Dept Management Finance &amp; Technol, Casamassima, Italy.</t>
  </si>
  <si>
    <t>barile.phdstudent@lum.it; secundo@lum.it; delvecchio@lum.it</t>
  </si>
  <si>
    <t>Barile, Domenica/HNQ-0458-2023</t>
  </si>
  <si>
    <t>1460-1060</t>
  </si>
  <si>
    <t>1758-7115</t>
  </si>
  <si>
    <t>EUR J INNOV MANAG</t>
  </si>
  <si>
    <t>Eur. J. Innov. Manag.</t>
  </si>
  <si>
    <t>2022 DEC 14</t>
  </si>
  <si>
    <t>10.1108/EJIM-07-2022-0373</t>
  </si>
  <si>
    <t>6Z5WV</t>
  </si>
  <si>
    <t>WOS:000897847600001</t>
  </si>
  <si>
    <t>Weerabahu, WMSK; Samaranayake, P; Nakandala, D; Lau, H; Malaarachchi, DN</t>
  </si>
  <si>
    <t>Weerabahu, Weerabahu Mudiyanselage Samanthi Kumari; Samaranayake, Premaratne; Nakandala, Dilupa; Lau, Henry; Malaarachchi, Dasun Nirmala</t>
  </si>
  <si>
    <t>Barriers to the adoption of digital servitization: a case of the Sri Lankan manufacturing sector</t>
  </si>
  <si>
    <t>INTERNATIONAL JOURNAL OF EMERGING MARKETS</t>
  </si>
  <si>
    <t>Digital servitization; Industry 4; 0; Manufacturing; Barriers of digital servitization</t>
  </si>
  <si>
    <t>DYNAMIC CAPABILITIES; MODELING ENABLERS; INDUSTRY 4.0; MANAGEMENT; INNOVATION; TRANSFORMATION; DIGITIZATION; PERSPECTIVE</t>
  </si>
  <si>
    <t>PurposeThis research aims to identify, examine and evaluate barriers to the adoption of digital servitization in manufacturing firms in the case of the Sri Lankan manufacturing sector and analyze the inter-relationships among digital servitization barriers.Design/methodology/approachBased on the comprehensive literature review, 13 barriers were identified. The grey decision-making trial and evaluation laboratory (grey-DEMATEL) approach was used to uncover and analyze the relationships among barriers in terms of their overall influence and dependencies.FindingsA prominent barrier to the success of adopting digital servitization in the Sri Lankan manufacturing sector is the lack of digital strategy in developing activities related to the design of digital service packages, organizational structures and processes. Supply chain integration is the most influential factor, which plays an important role in developing a competitive advantage by encouraging innovation process capabilities in servitized companies.Practical implicationsIndustry practitioners can develop guidelines for adopting digital servitization practices based on the importance and interdependencies of different barriers and thereby prioritize projects within a program of digital servitization adoption in their organizations.Originality/valueResearch studies on barriers to digital servitization are limited to exploratory nature and have adopted mainly the qualitative approach, such as in-depth interviews. No empirical study has investigated the inter-relationships among digital servitization adoption barriers in the manufacturing sector. This study provides a holistic view of different barriers to the adoption of digital servitization in the manufacturing sector as a basis for developing comprehensive digital servitization strategies to manage and leverage complexity in digital transformation.</t>
  </si>
  <si>
    <t>[Weerabahu, Weerabahu Mudiyanselage Samanthi Kumari; Samaranayake, Premaratne; Nakandala, Dilupa; Lau, Henry] Western Sydney Univ, Sydney, NSW, Australia; [Malaarachchi, Dasun Nirmala] Queensland Univ Technol, Brisbane, QLD, Australia</t>
  </si>
  <si>
    <t>Western Sydney University; Queensland University of Technology (QUT)</t>
  </si>
  <si>
    <t>Weerabahu, WMSK (corresponding author), Western Sydney Univ, Sydney, NSW, Australia.</t>
  </si>
  <si>
    <t>S.Weerabahu@westernsydney.edu.au; p.samaranayake@westernsydney.edu.au; D.Nakandala@westernsydney.edu.au; H.Lau@westernsydney.edu.au; dasunnirmala.malaarachchi@hdr.qut.edu.au</t>
  </si>
  <si>
    <t>Samaranayake, Premaratne/ABI-6391-2022; Malaarachchi, Dasun Nirmala/ACO-6020-2022</t>
  </si>
  <si>
    <t>Samaranayake, Premaratne/0000-0002-6253-7976; Malaarachchi, Dasun Nirmala/0000-0002-0511-9858; Weerabahu, Samanthi/0000-0003-4925-7096; Nakandala, Dilupa/0000-0003-1535-5288</t>
  </si>
  <si>
    <t>1746-8809</t>
  </si>
  <si>
    <t>1746-8817</t>
  </si>
  <si>
    <t>INT J EMERG MARK</t>
  </si>
  <si>
    <t>Int. J. Emerg. Mark.</t>
  </si>
  <si>
    <t>10.1108/IJOEM-01-2022-0011</t>
  </si>
  <si>
    <t>Business; Economics; Management</t>
  </si>
  <si>
    <t>6Y1WT</t>
  </si>
  <si>
    <t>WOS:000896893300001</t>
  </si>
  <si>
    <t>Enrique, DV; Lerman, LV; de Sousa, PR; Benitez, GB; Santos, FMBC; Frank, AG</t>
  </si>
  <si>
    <t>Enrique, Daisy Valle; Lerman, Laura Visintainer; de Sousa, Paulo Renato; Benitez, Guilherme Brittes; Santos, Fernando M. Bigares Charrua; Frank, Alejandro G.</t>
  </si>
  <si>
    <t>Being digital and flexible to navigate the storm: How digital transformation enhances supply chain flexibility in turbulent environments</t>
  </si>
  <si>
    <t>Digital transformation; Industry 4; 0; Business uncertainties; Smart supply chain; Supply chain flexibility</t>
  </si>
  <si>
    <t>INDUSTRY 4.0 TECHNOLOGIES; MANUFACTURING FLEXIBILITY; FIRM PERFORMANCE; METHOD VARIANCE; MANAGEMENT; INTEGRATION; IMPACT; CAPABILITY; CONTEXT; FIT</t>
  </si>
  <si>
    <t>The growing environmental business uncertainties have forced companies to focus on developing more flexible supply chains. Digital transformation has been considered a key means to achieving such flexibility, but the literature lacks empirical evidence about how digital technologies effectively contribute to it. Thus, this study aims to analyze how Smart Supply Chain (i.e., a supply chain enabled by digital transformation) contributes to supply chain flexibility and operational performance in environments surrounded by customer and supplier uncertainty. We adopt the organizational information-processing theory to explain the fit between information needs to reduce these uncertainties through more supply chain flexibility (sourcing, delivery, and manufacturing) and information capabilities provided by three main dimensions of the Smart Supply Chain (digital transformation strategy, digital base technologies, and digital front-end technologies). We relate these information-processing fit between Smart Supply Chain and flexibility with the boundary conditions of envi-ronmental uncertainty and operational performance improvements. Such relationships are analyzed through moderation and mediation regression tests based on 379 manufacturing companies surveyed. Our findings show that Smart Supply Chain has a statistical association with operational performance through the sequential mediating role of the three supply chain flexibility dimensions. We also found that environments with high customer uncertainty increase the use of base technologies (IoT, cloud, big data, AI, and blockchain) to reach delivery flexibility and support manufacturing flexibility. When companies face high supplier uncertainty, they use front-end technologies (i.e., robotics, 3D printing, simulation, and augmented reality) to increase sourcing flexibility. We show new advances in supply chain flexibility through digital transformation.</t>
  </si>
  <si>
    <t>[Enrique, Daisy Valle; Lerman, Laura Visintainer; Benitez, Guilherme Brittes; Frank, Alejandro G.] Univ Fed Rio Grande do Sul, Dept Ind Engn, Org Engn Grp Nucleo Engn Org NEO, Porto Alegre, Brazil; [Enrique, Daisy Valle; Santos, Fernando M. Bigares Charrua] Univ Beira Interior, Mech Engn Dept, Covilha, Portugal; [de Sousa, Paulo Renato] Fdn Dom Cabral, Dept Management, Nova Lima, Brazil; [Benitez, Guilherme Brittes] Pontifical Catholic Univ Parana PUCPR, Polytech Sch, Ind &amp; Syst Engn Grad Program, Curitiba, Brazil; [Frank, Alejandro G.] Univ Fed Rio Grande do Sul, Escola Engn, Ctr, Ave Osvaldo Aranha 99,Sala LOPP 508,5, BR-90035190 Porto Alegre, RS, Brazil</t>
  </si>
  <si>
    <t>Universidade Federal do Rio Grande do Sul; Universidade da Beira Interior; Pontificia Universidade Catolica do Parana; Universidade Federal do Rio Grande do Sul</t>
  </si>
  <si>
    <t>Frank, AG (corresponding author), Univ Fed Rio Grande do Sul, Escola Engn, Ctr, Ave Osvaldo Aranha 99,Sala LOPP 508,5, BR-90035190 Porto Alegre, RS, Brazil.</t>
  </si>
  <si>
    <t>ag.frank@ufrgs.br</t>
  </si>
  <si>
    <t>Benitez, Guilherme Brittes/T-2979-2017; Frank, Alejandro G./H-7379-2014</t>
  </si>
  <si>
    <t>Benitez, Guilherme Brittes/0000-0003-1222-4557; Frank, Alejandro G./0000-0001-5041-6467</t>
  </si>
  <si>
    <t>Brazilian National Council for Scientific and Technological Development (CNPq - Conselho Nacional de Desenvolvimento Cientifico e Tecnologico) [PQ 1D]; Research Council of the State of Rio Grande do Sul (FAPERGS, (Fundacao de Amparo a Pesquisa do Estado do Rio Grande do Sul)) [21/2551-0002161-6]; Funda cao de Amparo a Pesquisa do Estado do Rio Grande do Sul; Research Coordination of the Brazilian Ministry of Education (CAPES); C-MAST/Center for Mechanical and Aerospace Science and Technologies of the University of Beira Interior; PT2020 and COMPETE2020 programs; European Union through the European Regional Development Fund (ERDF) [UID/EMS/00151/2019]</t>
  </si>
  <si>
    <t>Brazilian National Council for Scientific and Technological Development (CNPq - Conselho Nacional de Desenvolvimento Cientifico e Tecnologico)(Conselho Nacional de Desenvolvimento Cientifico e Tecnologico (CNPQ)Fundacao de Apoio a Pesquisa do Distrito Federal (FAPDF)); Research Council of the State of Rio Grande do Sul (FAPERGS, (Fundacao de Amparo a Pesquisa do Estado do Rio Grande do Sul)); Funda cao de Amparo a Pesquisa do Estado do Rio Grande do Sul(Fundacao de Amparo a Ciencia e Tecnologia do Estado do Rio Grande do Sul (FAPERGS)); Research Coordination of the Brazilian Ministry of Education (CAPES); C-MAST/Center for Mechanical and Aerospace Science and Technologies of the University of Beira Interior; PT2020 and COMPETE2020 programs; European Union through the European Regional Development Fund (ERDF)(European Union (EU)Marie Curie Actions)</t>
  </si>
  <si>
    <t>This project received research funds from the Brazilian National Council for Scientific and Technological Development (CNPq - Conselho Nacional de Desenvolvimento Cientfico e Tecnologico) (PQ 1D) , the Research Council of the State of Rio Grande do Sul (FAPERGS, Fundacao de Amparo a Pesquisa do Estado do Rio Grande do Sul) (Process n. 21/2551-0002161-6) and the Research Coordination of the Brazilian Min-istry of Education (CAPES) (PhD scholarship) . One of the authors of this project was also financially supported by C-MAST/Center for Mechani-cal and Aerospace Science and Technologies of the University of Beira Interior, and by the project INDTECH 4.0, co-financed by the PT2020 and COMPETE2020 programs, and the European Union through the European Regional Development Fund (ERDF) and UID/EMS/00151/2019.</t>
  </si>
  <si>
    <t>10.1016/j.ijpe.2022.108668</t>
  </si>
  <si>
    <t>7K2ZL</t>
  </si>
  <si>
    <t>WOS:000905154500001</t>
  </si>
  <si>
    <t>Corning, GP</t>
  </si>
  <si>
    <t>Corning, Gregory P.</t>
  </si>
  <si>
    <t>ASEAN and the Regime Complex for Digital Trade in the Asia-Pacific</t>
  </si>
  <si>
    <t>JOURNAL OF WORLD TRADE</t>
  </si>
  <si>
    <t>digital trade; e-commerce; cross-border data flows; regime complex; ASEAN; Digital Economy Partnership Agreement; Indo-Pacific Economic Framework; Singapore; Vietnam; Indonesia</t>
  </si>
  <si>
    <t>FRAGMENTATION</t>
  </si>
  <si>
    <t>How does the complexity and fragmentation of digital trade governance shape the digital trade strategies of members of the Association of Southeast Asian Nations (ASEAN)? And how are these strategies, in turn, shaping digital governance in the region? Drawing on the regime complexity literature in international relations, this article examines the different digital strategies used by three ASEAN members - Singapore, Vietnam, and Indonesia - to navigate between the regulatory approaches of the United States and China. The article highlights the Digital Economy Partnership Agreement (DEPA) as a key venue for increasing cooperation and consistency of digital trade rules in the Asia-Pacific. If the US pushes for a binding digital trade agreement as part of the Indo-Pacific Economic Framework (IPEF), the loose, modular cooperation of DEPA would become more attractive to ASEAN members. Yet, even a modest DEPA that chooses to emphasize breadth of membership over deep liberalization would still represent progress in reducing regime complexity.</t>
  </si>
  <si>
    <t>[Corning, Gregory P.] Santa Clara Univ, Dept Polit Sci, Santa Clara, CA 95053 USA</t>
  </si>
  <si>
    <t>Santa Clara University</t>
  </si>
  <si>
    <t>Corning, GP (corresponding author), Santa Clara Univ, Dept Polit Sci, Santa Clara, CA 95053 USA.</t>
  </si>
  <si>
    <t>gcorning@scu.edu</t>
  </si>
  <si>
    <t>1011-6702</t>
  </si>
  <si>
    <t>2210-2795</t>
  </si>
  <si>
    <t>J WORLD TRADE</t>
  </si>
  <si>
    <t>J. World Trade</t>
  </si>
  <si>
    <t>Economics; International Relations; Law</t>
  </si>
  <si>
    <t>Business &amp; Economics; International Relations; Government &amp; Law</t>
  </si>
  <si>
    <t>7S6ZL</t>
  </si>
  <si>
    <t>WOS:000910902100003</t>
  </si>
  <si>
    <t>Dávila-Morán, RC; Paredes, MAM; Roca, MCC; Vigil, VMA; Guzman, LCD</t>
  </si>
  <si>
    <t>Davila-Moran, Roberto Carlos; Paredes, Manuel Alberto Mori; Roca, Mirian Corina Cribillero; Vigil, Vilma Maria Arroyo; Guzman, Luz Chavela De la Torre</t>
  </si>
  <si>
    <t>DIGITAL TRANSFORMATION AND THE MANAGEMENT OF CHANGE IN TEACHERS OF A PERUVIAN UNIVERSITY, IN POST-PANDEMIC TIMES</t>
  </si>
  <si>
    <t>Digital transformation; strategy; technological innovation; digital talent; communication</t>
  </si>
  <si>
    <t>The objective of the study was to determine the relationship between digital transformation and the management of change in teachers of a Peruvian university, in post-pandemic times. The specific objectives were: to determine the relationship between the digital strategy and the management of change in teachers; determine the relationship between technological innovation and the management of change in teachers; determine the relationship between the management of digital talent and the management of change in teachers; determine the relationship between digital communication and the management of change in teachers. The study was of an applied type, correlational descriptive level, quantitative approach and non-experimental design. The population was 245 teachers from a Peruvian university, of which 35 were selected from industrial engineering. Two questionnaires were used, one for digital transformation and the other for change management, each with 16 questions and three response alternatives. The validity of the instrument was confirmed by expert judgment, as well as its reliability by Cronbach's Alpha coefficient. The data was tabulated using Microsoft Excel and SPSS version 26 software, as well as the descriptive analysis of absolute and relative frequencies; and inferential analysis with Spearman's Rho correlation coefficient.</t>
  </si>
  <si>
    <t>[Davila-Moran, Roberto Carlos] Univ Privada Norte, Trujillo, Peru; [Paredes, Manuel Alberto Mori] Univ Cesar Vallejo, Trujillo, Peru; [Roca, Mirian Corina Cribillero; Vigil, Vilma Maria Arroyo; Guzman, Luz Chavela De la Torre] Univ Nacl Callao, Bellavista, Peru</t>
  </si>
  <si>
    <t>Universidad Privada del Norte; Universidad Cesar Vallejo; Universidad Nacional de Callao</t>
  </si>
  <si>
    <t>Dávila-Morán, RC (corresponding author), Univ Privada Norte, Trujillo, Peru.</t>
  </si>
  <si>
    <t>rdavila430@gmail.com; m2paredes@hotmail.com; mccribilleror@unac.edu.pe; vmarroyov@unac.edu.pe; lcdelatorreg@unac.edu.pe</t>
  </si>
  <si>
    <t>I2HV4</t>
  </si>
  <si>
    <t>WOS:001001054900050</t>
  </si>
  <si>
    <t>Korucuk, S; Aytekin, A; Ecer, F; Karamasa, Ç; Zavadskas, EK</t>
  </si>
  <si>
    <t>Korucuk, Selcuk; Aytekin, Ahmet; Ecer, Fatih; Karamasa, Caglar; Zavadskas, Edmundas Kazimieras</t>
  </si>
  <si>
    <t>Assessing Green Approaches and Digital Marketing Strategies for Twin Transition via Fermatean Fuzzy SWARA-COPRAS</t>
  </si>
  <si>
    <t>AXIOMS</t>
  </si>
  <si>
    <t>twin transition; green transition; digital transition; fermatean fuzzy sets; sustainability; information and communication technology</t>
  </si>
  <si>
    <t>DECISION-MAKING; WEIGHT ASSESSMENT; MCDM MODEL; SELECTION; TRANSFORMATION; MANAGEMENT; INTERNET</t>
  </si>
  <si>
    <t>Integrating green approaches and digital marketing strategies for Information and Communication Technologies (ICTs), which reduce environmental risks to desired levels by eliminating emissions and pollution, is considered one of the most promising solutions for logistics companies. The study strives to bring a practical and applicable solution to the decision problem involving the selection of indicators for green approaches and digital marketing strategies for ICTs in the logistics sector. An integrated Fermatean Fuzzy Step-wise Weight Assessment Ratio Analysis (FF-SWARA) and Fermatean Fuzzy Complex Proportional Assessment (FF-COPRAS) methodology is applied to evaluate green approaches and digital marketing strategies. Concerning the findings, the foremost criterion is data management, whereas the best strategy is programmatic advertising. To the best of the authors' knowledge, there is no other study that both offers a strategy selection for the logistics industry and considers environmental protection, sustainability, digital transformation, energy costs, and social and economic factors. The study is a part of ongoing research on productivity, sustainability, the environment, digitization, recycling and estimating levels of waste reduction, as well as business practices, competitiveness and ensuring employee satisfaction and resource efficiency. Also, it investigates the similarities and dissimilarities in the green approach practices of business in logistics and determines the extent to which these practices could be reflected. It is expected to ensure a roadmap for green approach practices and to support sustainable and ecological awareness efforts for ICTs in the logistics sector. Logistics companies can select an integrated digital strategy based on green informatics that suits them using the decision model employed in this study, which can handle uncertainties effectively. In this regard, the study's findings, which focus on reaching customers and the most precise target audience in digital applications for businesses, are critical for developing strategy, plan and process.</t>
  </si>
  <si>
    <t>[Korucuk, Selcuk] Giresun Univ, Bulancak Kadir Karabas Vocat Sch, Dept Int Trade &amp; Logist, TR-28300 Giresun, Turkey; [Aytekin, Ahmet] Artvin Coruh Univ, Hopa Fac Econ &amp; Adm Sci, Dept Business Adm, TR-08100 Hopa, Turkey; [Ecer, Fatih] Afyon Kocatepe Univ, Fac Econ &amp; Adm Sci, Sub Dept Operat Res, ANS Campus, TR-03200 Afyon, Turkey; [Karamasa, Caglar] Anadolu Univ, Fac Business, Dept Business Adm, TR-26470 Eskisehir, Turkey; [Zavadskas, Edmundas Kazimieras] Vilnius Gediminas Tech Univ, Inst Sustainable Construct, Sauletekio Al 11, LT-10223 Vilnius, Lithuania</t>
  </si>
  <si>
    <t>Giresun University; Artvin Coruh University; Afyon Kocatepe University; Anadolu University; Vilnius Gediminas Technical University</t>
  </si>
  <si>
    <t>Ecer, F (corresponding author), Afyon Kocatepe Univ, Fac Econ &amp; Adm Sci, Sub Dept Operat Res, ANS Campus, TR-03200 Afyon, Turkey.;Zavadskas, EK (corresponding author), Vilnius Gediminas Tech Univ, Inst Sustainable Construct, Sauletekio Al 11, LT-10223 Vilnius, Lithuania.</t>
  </si>
  <si>
    <t>fecer@aku.edu.tr; edmundas.zavadskas@vilniustech.lt</t>
  </si>
  <si>
    <t>Aytekin, Ahmet/AAG-1900-2019; Ecer, Fatih/AAE-8455-2020</t>
  </si>
  <si>
    <t>Aytekin, Ahmet/0000-0002-1536-7097; Ecer, Fatih/0000-0002-6174-3241; KORUCUK, SELCUK/0000-0003-2471-1950; Karamasa, Caglar/0000-0003-2454-1824</t>
  </si>
  <si>
    <t>2075-1680</t>
  </si>
  <si>
    <t>Axioms</t>
  </si>
  <si>
    <t>10.3390/axioms11120709</t>
  </si>
  <si>
    <t>Mathematics, Applied</t>
  </si>
  <si>
    <t>Mathematics</t>
  </si>
  <si>
    <t>7D2QU</t>
  </si>
  <si>
    <t>WOS:000900342400001</t>
  </si>
  <si>
    <t>Li, X; Wu, T; Zhang, HJ; Yang, DY</t>
  </si>
  <si>
    <t>Li, Xing; Wu, Ting; Zhang, Hongjuan; Yang, Deyan</t>
  </si>
  <si>
    <t>Digital Technology Adoption and Sustainable Development Performance of Strategic Emerging Industries: The Mediating Role of Digital Technology Capability and the Moderating Role of Digital Strategy</t>
  </si>
  <si>
    <t>JOURNAL OF ORGANIZATIONAL AND END USER COMPUTING</t>
  </si>
  <si>
    <t>Digital technology adoption; Digital technology capability; Digital strategy; Strategic emerging industries; Sustainable development performance</t>
  </si>
  <si>
    <t>BIG DATA ANALYTICS; FIRM PERFORMANCE; INNOVATION; TRANSFORMATION</t>
  </si>
  <si>
    <t>Although digital technology adoption has received more attention from researchers in the field of innovation management research, the micro mechanism of the impact of digital technology adoption on the sustainable development of enterprises has not been fully investigated. The objective of this study is to identify the existing relationships between digital technology adoption, digital technology capability, digital strategy, and sustainable development performance of strategic emerging industries. A theoretical conceptual model was developed that analyzed the primary data from 385 sample enterprises in strategic emerging industries. The results indicated that digital technology adoption had a positive influence on both enterprises' economic performance and environmental performance in strategic emerging industries. Digital technology capability played a mediating role in the relationship between digital technology adoption and enterprises' economic performance and environmental performance. And digital strategy strengthened the influence of digital technology adoption on enterprises.</t>
  </si>
  <si>
    <t>[Li, Xing; Yang, Deyan] Jiangsu Normal Univ, Xuzhou, Peoples R China; [Wu, Ting] Anyang Univ, Anyang, Peoples R China; [Zhang, Hongjuan] Wuhan Univ Sci &amp; Technol, Wuhan, Peoples R China</t>
  </si>
  <si>
    <t>Jiangsu Normal University; Wuhan University of Science &amp; Technology</t>
  </si>
  <si>
    <t>Zhang, HJ (corresponding author), Wuhan Univ Sci &amp; Technol, Wuhan, Peoples R China.</t>
  </si>
  <si>
    <t>National Natural Science Foundation of China [72064003]; MOE (Ministry of Education in China) Project of Humanities and Social Science [18YJCZH234]; Research Project of Philosophy and Social Sciences of Department of Education of Hubei Province [20D017]; High -Level Project Plan of Wuhan University of Science and Technology [W201804]; Humanities and Social Science Foundation Project of Ministry of Education [20YJC630185]; Social Science Foundation of Jiangsu Province [19GLB003]</t>
  </si>
  <si>
    <t>National Natural Science Foundation of China(National Natural Science Foundation of China (NSFC)); MOE (Ministry of Education in China) Project of Humanities and Social Science; Research Project of Philosophy and Social Sciences of Department of Education of Hubei Province; High -Level Project Plan of Wuhan University of Science and Technology; Humanities and Social Science Foundation Project of Ministry of Education; Social Science Foundation of Jiangsu Province</t>
  </si>
  <si>
    <t>Acknowledgment This work was supported by the National Natural Science Foundation of China [No. 72064003] , MOE (Ministry of Education in China) Project of Humanities and Social Science (No. 18YJCZH234) , Research Project of Philosophy and Social Sciences of Department of Education of Hubei Province [No.20D017] , High -Level Project Plan of Wuhan University of Science and Technology [No. W201804] , Humanities and Social Science Foundation Project of Ministry of Education [No. 20YJC630185] , and Social Science Foundation of Jiangsu Province [No.19GLB003] .</t>
  </si>
  <si>
    <t>IGI GLOBAL</t>
  </si>
  <si>
    <t>HERSHEY</t>
  </si>
  <si>
    <t>701 E CHOCOLATE AVE, STE 200, HERSHEY, PA 17033-1240 USA</t>
  </si>
  <si>
    <t>1546-2234</t>
  </si>
  <si>
    <t>1546-5012</t>
  </si>
  <si>
    <t>J ORGAN END USER COM</t>
  </si>
  <si>
    <t>J. Organ. End User Comput.</t>
  </si>
  <si>
    <t>10.4018/JOEUC.315645</t>
  </si>
  <si>
    <t>Computer Science, Information Systems; Information Science &amp; Library Science; Management</t>
  </si>
  <si>
    <t>9V9BL</t>
  </si>
  <si>
    <t>WOS:000948679800010</t>
  </si>
  <si>
    <t>Piccoli, G; Rodriguez, J; Grover, V</t>
  </si>
  <si>
    <t>Piccoli, Gabriele; Rodriguez, Joaquin; Grover, Varun</t>
  </si>
  <si>
    <t>DIGITAL STRATEGIC INITIATIVES AND DIGITAL RESOURCES: CONSTRUCT DEFINITION AND FUTURE RESEARCH DIRECTIONS1</t>
  </si>
  <si>
    <t>MIS QUARTERLY</t>
  </si>
  <si>
    <t>Digital resources; digital strategy; digital innovation; IT resources; IT strategy</t>
  </si>
  <si>
    <t>INFORMATION-SYSTEMS RESEARCH; SERVICE-DOMINANT LOGIC; ORGANIZATIONAL ROUTINES; BOUNDARY RESOURCES; FIRM PERFORMANCE; INNOVATION; TECHNOLOGY; MODULARITY; INFRASTRUCTURES; CAPABILITIES</t>
  </si>
  <si>
    <t>This paper explores the structure and design of digital strategic initiatives (DSI): identifiable competitive moves that depend on digital resources to create and appropriate economic value. We use the term digital deliberately, in line with the recent push for discerning the so-called IT x and Digital x phenomena. The paper contributes to basic science by precisely defining the digital strategic initiative concept and its essential elements: digital resources. It clarifies the difference between digital resources and established constructs such as IT resources and IT-enabled resources. We posit that the defining characteristics of digital resources are their modular design, encapsulation of value, and programmatic interface. This work also shows how the design and development of digital strategic initiatives thrive in an infrastructural, combinatorial, and servitized environment. Using illustrative cases, we demonstrate applications of the concepts by introducing two value creation pathways for DSI: (1) orchestration of digital resources and (2) creation of novel digital resources. The paper concludes by presenting open research questions and offering extensions for future inquiry.</t>
  </si>
  <si>
    <t>[Piccoli, Gabriele] Louisiana State Univ, EJ Ourso Coll Business, Stephenson Dept Entrepreneurship &amp; Informat Syst, Baton Rouge, LA 70803 USA; [Piccoli, Gabriele] Louisiana State Univ, Ctr Computat &amp; Technol, Baton Rouge, LA 70803 USA; [Piccoli, Gabriele] Univ Pavia, Dept Econ &amp; Management, Pavia, Italy; [Rodriguez, Joaquin] Genoble Ecole Management, Dept Management Technol &amp; Strategy, F-38000 Grenoble, France; [Grover, Varun] Univ Arkansas, Walton Coll Business, Dept Informat Syst, Fayetteville, AR USA</t>
  </si>
  <si>
    <t>Louisiana State University System; Louisiana State University; Louisiana State University System; Louisiana State University; University of Pavia; University of Arkansas System; University of Arkansas Fayetteville</t>
  </si>
  <si>
    <t>Piccoli, G (corresponding author), Louisiana State Univ, Ctr Computat &amp; Technol, Baton Rouge, LA 70803 USA.;Piccoli, G (corresponding author), Univ Pavia, Dept Econ &amp; Management, Pavia, Italy.</t>
  </si>
  <si>
    <t>gpiccoli@lsu.edu; joaquin.rodriguez@grenoble-em.com; vgrover@uark.edu</t>
  </si>
  <si>
    <t>SOC INFORM MANAGE-MIS RES CENT</t>
  </si>
  <si>
    <t>MINNEAPOLIS</t>
  </si>
  <si>
    <t>UNIV MINNESOTA-SCH MANAGEMENT 271 19TH AVE SOUTH, MINNEAPOLIS, MN 55455 USA</t>
  </si>
  <si>
    <t>0276-7783</t>
  </si>
  <si>
    <t>MIS QUART</t>
  </si>
  <si>
    <t>MIS Q.</t>
  </si>
  <si>
    <t>10.25300/MISQ/2022/17061</t>
  </si>
  <si>
    <t>6R1QC</t>
  </si>
  <si>
    <t>WOS:000892083000015</t>
  </si>
  <si>
    <t>Flores, CC; Rezende, DA</t>
  </si>
  <si>
    <t>Flores, Carla Cavichiolo; Rezende, Denis Alcides</t>
  </si>
  <si>
    <t>Crowdsourcing framework applied to strategic digital city projects</t>
  </si>
  <si>
    <t>JOURNAL OF URBAN MANAGEMENT</t>
  </si>
  <si>
    <t>Crowdsourcing; Collective decision; e-participation; Social platforms; e-governance; Strategic digital city projects</t>
  </si>
  <si>
    <t>LOCAL E-GOVERNMENT; SOCIAL MEDIA USE; E-PARTICIPATION; CHALLENGES; EPARTICIPATION; TRANSPARENCY; ALTERNATIVES; TECHNOLOGY; MOTIVATION; NETWORKS</t>
  </si>
  <si>
    <t>If strategically implemented, crowdsourcing helps capture the intelligence of a variety of e -participation actors, enabling them to share the leading role with the government in decision -making processes. The objective is to elaborate an original crowdsourcing framework applied to strategic digital city projects. The research methodology is exploratory and descriptive. On the one hand, the model supports a systematic analysis of empowerment degrees of the e-participation actors to initiate task and innovation-oriented spontaneous crowdsourcing activities for solving wicked problems. On the other hand, strategic digital city projects play the role of passively monitoring spontaneous crowdsourcing activities, and actively planning and implementing gov-ernment initiatives. The conclusion shows that the framework can encourage local governments to identify talents, influencers, and partners among different stakeholders - to discover what moti-vates them to participate and the rewards they expect - thus evolving strategies to welcome innovative projects, processes, products, and ideas in a continuous learning cycle.</t>
  </si>
  <si>
    <t>[Flores, Carla Cavichiolo; Rezende, Denis Alcides] Pontificia Univ Catolica Parana PUCPR, Urban Management Postgrad Program, Curitiba, Brazil</t>
  </si>
  <si>
    <t>Rezende, DA (corresponding author), Pontificia Univ Catolica Parana PUCPR, Urban Management Postgrad Program, Curitiba, Brazil.</t>
  </si>
  <si>
    <t>carla@copta.com.br; denis.rezende@pucpr.br</t>
  </si>
  <si>
    <t>Rezende, Denis Alcides/0000-0002-3327-0424</t>
  </si>
  <si>
    <t>2226-5856</t>
  </si>
  <si>
    <t>2589-0360</t>
  </si>
  <si>
    <t>J URBAN MANAG</t>
  </si>
  <si>
    <t>J. Urban Manag.</t>
  </si>
  <si>
    <t>10.1016/j.jum.2022.08.004</t>
  </si>
  <si>
    <t>NOV 2022</t>
  </si>
  <si>
    <t>Urban Studies</t>
  </si>
  <si>
    <t>6W6FF</t>
  </si>
  <si>
    <t>Green Published</t>
  </si>
  <si>
    <t>WOS:000895823100006</t>
  </si>
  <si>
    <t>Gallardo-Rincón, H; Gascon, JL; Martínez-Juárez, LA; Montoya, A; Saucedo-Martínez, R; Rosales, RM; Tapia-Conyer, R</t>
  </si>
  <si>
    <t>Gallardo-Rincon, Hector; Lomelin Gascon, Julieta; Alberto Martinez-Juarez, Luis; Montoya, Alejandra; Saucedo-Martinez, Rodrigo; Mujica Rosales, Ricardo; Tapia-Conyer, Roberto</t>
  </si>
  <si>
    <t>MIDO COVID: A digital public health strategy designed to tackle chronic disease and the COVID-19 pandemic in Mexico</t>
  </si>
  <si>
    <t>PLOS ONE</t>
  </si>
  <si>
    <t>PREVENTION; OBESITY; HYPERTENSION</t>
  </si>
  <si>
    <t>Screening, prevention, and management of non-communicable diseases (NCDs, including obesity, hypertension, and type 2 diabetes) is the core function of Integrated Measurement for Early Detection (MIDO), a digital strategy developed by the Carlos Slim Foundation in Mexico. An extension of this strategy, MIDO COVID, was developed to address the need for an integrated plan in primary health care during the COVID-19 pandemic. MIDO COVID facilitates planning, surveillance, testing, and clinical management of SARS-CoV-2 infections and the major NCDs and their pre-disease states, to streamline the continuum of care. MIDO COVID screening was applied in 1063 Carso Group workplaces in 190 municipalities of the 32 Mexican states. Staff were trained to screen healthy workers for NCDs using a questionnaire, anthropomorphic measurements, and blood work; healthy individuals returning to work also received a SARS-CoV-2 antibody test. Between June 26 and December 31, 2020, 58,277 asymptomatic individuals underwent screening. The prevalence of obesity, hypertension, and type 2 diabetes was 32.1%, 25.7%, and 9.7% respectively. Only 2.2%, 8.8%, and 4.5% of individuals, respectively, were previously aware of their condition. Pre-obesity was identified in 38.6%, pre-hypertension in 17.4%, and prediabetes in 7.5% of the population. Risk of SARS-CoV-2 infection was highest for individuals with multiple NCDs. Many Mexicans are unaware of their health status and potentially increased risk of COVID-19 and serious complications. As a universal strategy implemented regardless of social factors, MIDO COVID promotes equity in access to health care prevention and early stage detection of NCDs; the information gained may help inform decisionmakers regarding prioritising vulnerable populations for immunisation.</t>
  </si>
  <si>
    <t>[Gallardo-Rincon, Hector; Lomelin Gascon, Julieta; Alberto Martinez-Juarez, Luis; Montoya, Alejandra; Saucedo-Martinez, Rodrigo; Mujica Rosales, Ricardo] Carlos Slim Fdn, Mexico City, DF, Mexico; [Gallardo-Rincon, Hector] Guadalajara Univ, Hlth Sci Univ Ctr, Guadalajara, Jalisco, Mexico; [Alberto Martinez-Juarez, Luis] London Sch Hyg &amp; Trop Med, London, England; [Tapia-Conyer, Roberto] Univ Nacl Autonoma Mexico, Mexico City, DF, Mexico</t>
  </si>
  <si>
    <t>Universidad de Guadalajara; University of London; London School of Hygiene &amp; Tropical Medicine; Universidad Nacional Autonoma de Mexico</t>
  </si>
  <si>
    <t>Montoya, A (corresponding author), Carlos Slim Fdn, Mexico City, DF, Mexico.</t>
  </si>
  <si>
    <t>airainmr@fundacioncarlosslim.org</t>
  </si>
  <si>
    <t>Gascon, Jose/Y-1746-2018</t>
  </si>
  <si>
    <t>Gascon, Jose/0000-0002-5070-3164; Martinez-Juarez, Luis Alberto/0000-0001-7550-7867; Montoya, Alejandra/0000-0002-9466-8452; Gallardo-Rincon, Hector Jose/0000-0002-0811-4606</t>
  </si>
  <si>
    <t>Carlos Slim Foundation</t>
  </si>
  <si>
    <t>The funder of the study, the Carlos Slim Foundation (https://fundacioncarlosslim.org/english/salud/), provided support in the form of salaries for authors (HGR, JLG, LMJ, AM, RSM, and RMR), and contributed to the study design, data collection, data analysis, data interpretation, and writing of the report. The specific roles of the authors are articulated in the `Author contributions' section.</t>
  </si>
  <si>
    <t>PUBLIC LIBRARY SCIENCE</t>
  </si>
  <si>
    <t>SAN FRANCISCO</t>
  </si>
  <si>
    <t>1160 BATTERY STREET, STE 100, SAN FRANCISCO, CA 94111 USA</t>
  </si>
  <si>
    <t>1932-6203</t>
  </si>
  <si>
    <t>PLoS One</t>
  </si>
  <si>
    <t>NOV 17</t>
  </si>
  <si>
    <t>e0277014</t>
  </si>
  <si>
    <t>10.1371/journal.pone.0277014</t>
  </si>
  <si>
    <t>8O7KW</t>
  </si>
  <si>
    <t>WOS:000926013600043</t>
  </si>
  <si>
    <t>Kosnik, MB; Kephalopoulos, S; Muñoz, A; Aurisano, N; Cusinato, A; Dimitroulopoulou, S; Slobodnik, J; De Mello, J; Jeddi, MZ; Cascio, C; Ahrens, A; de Bruin, YB; Lieck, L; Fantke, P</t>
  </si>
  <si>
    <t>Kosnik, Marissa B.; Kephalopoulos, Stylianos; Munoz, Amalia; Aurisano, Nicolo; Cusinato, Alberto; Dimitroulopoulou, Sani; Slobodnik, Jaroslav; De Mello, Jonathas; Jeddi, Maryam Zare; Cascio, Claudia; Ahrens, Andreas; de Bruin, Yuri Bruinen; Lieck, Lothar; Fantke, Peter</t>
  </si>
  <si>
    <t>Advancing exposure data analytics and repositories as part of the European Exposure Science Strategy 2020-2030</t>
  </si>
  <si>
    <t>ENVIRONMENT INTERNATIONAL</t>
  </si>
  <si>
    <t>International Society of Exposure Science; Data analysis; Data management; Chemicals; Exposure assessment; Risk assessment</t>
  </si>
  <si>
    <t>CHEMICALS; FRAMEWORK</t>
  </si>
  <si>
    <t>High-quality and comprehensive exposure-related data are critical for different decision contexts, including environmental and human health monitoring, and chemicals risk assessment and management. However, exposure-related data are currently scattered, frequently of unclear quality and structure, not readily accessible, and stored in various-partly overlapping-data repositories, leading to inefficient and ineffective data usage in Europe and globally. We propose strategic guidance for an integrated European exposure data production and management framework for use in science and policy, building on current and future data analysis and digita-lization trends. We map the existing exposure data landscape to requirements for data analytics and repositories across European policies and regulations. We further identify needs and ways forward for improving data generation, sharing, and usage, and translate identified needs into an operational action plan for European and global advancement of exposure data for policies and regulations. Identified key areas of action are to develop consistent exposure data standards and terminology for data production and reporting, increase data trans-parency and availability, enhance data storage and related infrastructure, boost automation in data management, increase data integration, and advance tools for innovative data analysis. Improving and streamlining exposure data generation and uptake into science and policy is crucial for the European Chemicals Strategy for Sustain -ability and European Digital Strategy, in line with EU Data policies on data management and interoperability.</t>
  </si>
  <si>
    <t>[Kosnik, Marissa B.; Aurisano, Nicolo; Fantke, Peter] Tech Univ Denmark, Dept Environm &amp; Resource Engn, Quantitat Sustainabil Assessment, DK-2800 Lyngby, Denmark; [Kephalopoulos, Stylianos; Cusinato, Alberto] European Commiss, Joint Res Ctr JRC, Ispra, Italy; [Munoz, Amalia] European Commiss, Joint Res Ctr JRC, Geel, Belgium; [Dimitroulopoulou, Sani] UK Hlth Secur Agcy, Air Qual &amp; Publ Hlth, EHE Dept, Chilton OX11 0RQ, England; [Slobodnik, Jaroslav] Environm Inst, Okruzna 784-42, Kos 97241, Slovakia; [De Mello, Jonathas] United Nations Environm Programme, Econ Div, F-75015 Paris, France; [Jeddi, Maryam Zare] Natl Inst Publ Hlth &amp; Environm RIVM, NL-3721 MA Bilthoven, Netherlands; [Cascio, Claudia] European Food Safety Author EFSA, Parma, Italy; [Ahrens, Andreas] European Chem Agcy ECHA, Helsinki, Finland; [de Bruin, Yuri Bruinen; Lieck, Lothar] European Agcy Safety &amp; Hlth Work EU OSHA, Bilbao, Spain</t>
  </si>
  <si>
    <t>Technical University of Denmark; European Commission Joint Research Centre; EC JRC ISPRA Site; UK Health Security Agency (UKHSA); Environmental Institute; Netherlands National Institute for Public Health &amp; the Environment; European Food Safety Authority; European Chemicals Agency</t>
  </si>
  <si>
    <t>Fantke, P (corresponding author), Tech Univ Denmark, Dept Environm &amp; Resource Engn, Quantitat Sustainabil Assessment, DK-2800 Lyngby, Denmark.;Kephalopoulos, S (corresponding author), European Commiss, Joint Res Ctr JRC, Ispra, Italy.</t>
  </si>
  <si>
    <t>stylianos.kephalopoulos@ec.europa.eu; pefan@dtu.dk</t>
  </si>
  <si>
    <t>Fantke, Peter/N-2704-2015</t>
  </si>
  <si>
    <t>Fantke, Peter/0000-0001-7148-6982; Dimitroulopoulou, Sani/0000-0001-9913-1526; Cascio, Claudia/0000-0002-3810-4134; Kosnik, Marissa/0000-0002-2609-5816</t>
  </si>
  <si>
    <t>European Commission [30032]; Safe and Efficient Chemistry by Design (SafeChem) project - Swedish Foundation for Strategic Environmental Research [DIA 2018/11]; SPRINT project under the European Union's Horizon 2020 Research and Innovation program [862568]; PARC project under the European Union's Horizon Europe Research and Innovation program [101057014]</t>
  </si>
  <si>
    <t>European Commission(European Union (EU)European Commission Joint Research Centre); Safe and Efficient Chemistry by Design (SafeChem) project - Swedish Foundation for Strategic Environmental Research; SPRINT project under the European Union's Horizon 2020 Research and Innovation program; PARC project under the European Union's Horizon Europe Research and Innovation program</t>
  </si>
  <si>
    <t>The review of the manuscript by Dr Antonio Franco (EC, DG JRC) and Dr Alessandro Carletti (EC, DG JRC), is gratefully acknowledged. This study was executed by the ISES Europe working group on Data repositories &amp; analytics, kicked-off during the 3rd European Exposure Science Strategy Workshop organised and supported by the European Commission's Joint Research Centre on 30/31 Jan 2020 in Ispra, Italy (JRC project no 30032: DTHC - Digital Transformation of Health and Care). The study was financially supported by the Safe and Efficient Chemistry by Design (SafeChem) project funded by the Swedish Foundation for Strategic Environmental Research (grant no. DIA 2018/11), by the SPRINT project (grant no. 862568) funded under the European Union's Horizon 2020 Research and Innovation program, and by the PARC project (grant no. 101057014) funded under the European Union's Horizon Europe Research and Innovation program.</t>
  </si>
  <si>
    <t>0160-4120</t>
  </si>
  <si>
    <t>1873-6750</t>
  </si>
  <si>
    <t>ENVIRON INT</t>
  </si>
  <si>
    <t>Environ. Int.</t>
  </si>
  <si>
    <t>10.1016/j.envint.2022.107610</t>
  </si>
  <si>
    <t>7W0CJ</t>
  </si>
  <si>
    <t>WOS:000913180200002</t>
  </si>
  <si>
    <t>Yun, K; Yu, JM; Liu, CY; Zhang, XX</t>
  </si>
  <si>
    <t>Yun, Ke; Yu, Jiaming; Liu, Changyang; Zhang, Xinxin</t>
  </si>
  <si>
    <t>A Cost-effectiveness Analysis of a Mobile Phone-Based Integrated HIV-Prevention Intervention Among Men Who Have Sex With Men in China: Economic Evaluation</t>
  </si>
  <si>
    <t>JOURNAL OF MEDICAL INTERNET RESEARCH</t>
  </si>
  <si>
    <t>cost-effectiveness; digital intervention; men who have sex with men; mathematical model</t>
  </si>
  <si>
    <t>RISK; TRANSMISSION</t>
  </si>
  <si>
    <t>Background: Mobile phone-based digital interventions have been shown to be a promising strategy for HIV prevention among men who have sex with men (MSM). Objective: This study aimed to evaluate the cost-effectiveness of a mobile phone-based digital intervention for HIV prevention among MSM in China from the perspective of a public health provider. Methods: The cost-effectiveness of the mobile phone-based digital intervention was estimated for a hypothetical cohort of 10,000 HIV-negative MSM who were followed for 1 year. A model was developed with China-specific data to project the clinical impact and cost-effectiveness of two mobile phone-based digital strategies for HIV prevention among MSM. The intervention group received an integrated behavioral intervention that included 1) individualized HIV infection risk assessment, 2) recommendation of centers testing for HIV and other STIs, 3) free online order of condoms and HIV and syphilis self-test kits and 4) educational materials about HIV/AIDS. The control group was only given educational materials about HIV/AIDS. Outcomes of interest were the number of HIV infections among MSM averted by the intervention, intervention costs, cost per HIV infection averted by the mobile phone-based digital intervention, and quality-adjusted life-years (QALYs). Univariate and multivariate sensitivity analyses were also conducted to examine the robustness of the results. Results: It is estimated that the intervention can prevent 48 MSM from becoming infected with HIV and can save 480 QALYs. The cost of preventing 1 case of HIV infection was US $2599.87, and the cost-utility ratio was less than 0. Sensitivity analysis showed that the cost-effectiveness of the mobile phone-based digital intervention was mainly impacted by the average number of sexual behaviors with each sexual partner. Additionally, the higher the HIV prevalence among MSM, the greater the benefit of the intervention. Conclusions: Mobile phone-based digital interventions are a cost-effective HIV-prevention strategy for MSM and could be considered for promotion and application among high-risk MSM subgroups.</t>
  </si>
  <si>
    <t>[Yun, Ke] China Med Univ, Dept Lab Med, Affiliated Hosp 1, Shenyang, Peoples R China; [Yu, Jiaming] China Med Univ, Dept Hosp Infect Management, Affiliated Hosp 4, Shenyang, Peoples R China; [Liu, Changyang; Zhang, Xinxin] China Med Univ, Dept Ophthalmol Lab, Affiliated Hosp 4, 11 Xinhua Rd, Shenyang 110006, Peoples R China</t>
  </si>
  <si>
    <t>China Medical University; China Medical University; China Medical University</t>
  </si>
  <si>
    <t>Zhang, XX (corresponding author), China Med Univ, Dept Ophthalmol Lab, Affiliated Hosp 4, 11 Xinhua Rd, Shenyang 110006, Peoples R China.</t>
  </si>
  <si>
    <t>zhangxinxin@cmu.edu.cn</t>
  </si>
  <si>
    <t>Yu, Jiaming/JDM-2390-2023; Liu, Changyang/GXM-9414-2022</t>
  </si>
  <si>
    <t>yu, jiaming/0000-0001-5322-2545</t>
  </si>
  <si>
    <t>Liaoning Natural Science Foundation Project [2020-BS-091]</t>
  </si>
  <si>
    <t>Liaoning Natural Science Foundation Project</t>
  </si>
  <si>
    <t>We thank the study participants who participated in the clinical trial. This research received funding from the Liaoning Natural Science Foundation Project (2020-BS-091).</t>
  </si>
  <si>
    <t>1438-8871</t>
  </si>
  <si>
    <t>J MED INTERNET RES</t>
  </si>
  <si>
    <t>J. Med. Internet Res.</t>
  </si>
  <si>
    <t>NOV 8</t>
  </si>
  <si>
    <t>e38855</t>
  </si>
  <si>
    <t>10.2196/38855</t>
  </si>
  <si>
    <t>8K4NF</t>
  </si>
  <si>
    <t>WOS:000923079900008</t>
  </si>
  <si>
    <t>Diaz, R; Montalvo, R</t>
  </si>
  <si>
    <t>Diaz, Regina; Montalvo, Raul</t>
  </si>
  <si>
    <t>Digital Transformation as an Enabler to Become More Efficient in Sustainability: Evidence from Five Leading Companies in the Mexican Market</t>
  </si>
  <si>
    <t>digital transformation; business management; sustainability; qualitative study research; Mexican market</t>
  </si>
  <si>
    <t>Not only was Digital Transformation (DT) accelerated by the COVID-19 pandemic, but over recent years some companies have already developed actions related to DT. It is well known that DT has many benefits, such as improving business models, making communication channels more efficient and facilitating decision-making. Furthermore, amongst others, one big challenge of DT is to contribute to areas related to sustainability. The objective of this article is to offer an exploratory review of how a small sample of leading Mexican companies have used DT as an enabler to be more efficient in some sustainability-related issues. The companies analyzed in this paper belong to different sectors: communication services, retail, financial, food and beverages, and materials. Through the identification of DT initiatives and implementations across time, a radar chart was constructed in order to identify, as a first approach, those related to sustainability in order to identify evidence of what some companies are doing in this regard. In addition, actions were grouped under the Business Dimensions defined by Deloitte Development LLC in order to emphasize the focus given by the organizations. One of the main conclusions from the evidence is that indeed big companies have a digital strategy agenda but not necessarily related to sustainability, but also that it is collaterally affected positively due to the economies of scale and operational improvements, from DT. This a qualitative primary study that can be reinforced in the future with analytical evidence that can measure impacts, effects, etc., to enrich strategies that relate to both DT and sustainability.</t>
  </si>
  <si>
    <t>[Diaz, Regina] Tecnol Monterrey, EGADE Business Sch, Carlos Lazo 100, Santa Fe 01389, Mexico; [Montalvo, Raul] Tecnol Monterrey, EGADE Business Sch, Ave Gen Ramon Corona 2514, Zapopan 45201, Mexico</t>
  </si>
  <si>
    <t>Tecnologico de Monterrey; Tecnologico de Monterrey</t>
  </si>
  <si>
    <t>Diaz, R (corresponding author), Tecnol Monterrey, EGADE Business Sch, Carlos Lazo 100, Santa Fe 01389, Mexico.</t>
  </si>
  <si>
    <t>reginadiaz@tec.mx</t>
  </si>
  <si>
    <t>Tecnologico de Monterrey</t>
  </si>
  <si>
    <t>Tecnologico de Monterrey.</t>
  </si>
  <si>
    <t>10.3390/su142215436</t>
  </si>
  <si>
    <t>6K7RX</t>
  </si>
  <si>
    <t>WOS:000887695400001</t>
  </si>
  <si>
    <t>Flores-Vivar, JM; Zaharía, AM</t>
  </si>
  <si>
    <t>Flores-Vivar, Jesus Miguel; Zaharia, Ana Maria</t>
  </si>
  <si>
    <t>The praxis of clickbait and The Trust Project: Risks and challenges for Spanish digital newspapers</t>
  </si>
  <si>
    <t>ANALISI-QUADERNS DE COMUNICACIO I CULTURA</t>
  </si>
  <si>
    <t>clickbait; fake news; The Trust Project; misinformation; cybermedia</t>
  </si>
  <si>
    <t>MEDIA</t>
  </si>
  <si>
    <t>This paper analyses clickbait as an extra-journalistic viral technique and strategy of digital news media aiming to attract readers. It studies the effects of clickbait and identifies the stylistic techniques most frequently used in Spanish digital newspapers. Clickbait is growing exponentially in news media, in many cases to the detriment of the quality of the information provided. Thus, this study also looks at the adoption by the media of The Trust Project model, a system of trust indicators that aims to counteract the pernicious effects of fake news generated, very often, by the use of clickbait. The study analysed the ten digital newspapers in Spain with the highest readership according to the Reuters Institute (2020). A dual methodology was used: qualitative, focused on the analysis of academic and scientific works on clickbait and the transparency standards of The Trust Project against disinformation; and quantitative. Empirical research on 'bait' headlines found the use of clickbait in 505 out of 1321 news headlines, which suggests a high presence of clickbait content in the selected digital media. It is therefore a key tool for attracting readers, although less common in digital newspapers that have signed up to The Trust Project. The paper reveals, among other findings, that Spanish digital newspapers do not generate dicks through high quality content, but rather through the creation of suspense, exaggeration or lurid subject-matter in the information they publish. Among the paper's conclusions is the dear need for further academic research in this field, to improve strategic digital culture in journalism and communication studies.</t>
  </si>
  <si>
    <t>[Flores-Vivar, Jesus Miguel] Univ Complutense Madrid, Madrid, Spain; [Zaharia, Ana Maria] Univ Rey Juan Carlos, Madrid, Spain</t>
  </si>
  <si>
    <t>Complutense University of Madrid; Universidad Rey Juan Carlos</t>
  </si>
  <si>
    <t>Flores-Vivar, JM (corresponding author), Univ Complutense Madrid, Madrid, Spain.</t>
  </si>
  <si>
    <t>jmflores@ucm.es; anamaria.zaharia@urjc.es</t>
  </si>
  <si>
    <t>UNIV AUTONOMA BARCELONA</t>
  </si>
  <si>
    <t>CERDANYOLA DEL VALLES, BARCELONA</t>
  </si>
  <si>
    <t>VICERECTORAT RELACIONS INSTITUCIONALS &amp; CULTURA, UNIV VALENCIA, VICERECTORAT INVESTIGACIO, CERDANYOLA DEL VALLES, BARCELONA, 08193, SPAIN</t>
  </si>
  <si>
    <t>0211-2175</t>
  </si>
  <si>
    <t>2340-5236</t>
  </si>
  <si>
    <t>ANALISI</t>
  </si>
  <si>
    <t>Analisi</t>
  </si>
  <si>
    <t>10.5565/rev/analisi.3463</t>
  </si>
  <si>
    <t>6Z6US</t>
  </si>
  <si>
    <t>Green Submitted, gold</t>
  </si>
  <si>
    <t>WOS:000897909700002</t>
  </si>
  <si>
    <t>Pourmorshed, S; Durst, S</t>
  </si>
  <si>
    <t>Pourmorshed, Sara; Durst, Susanne</t>
  </si>
  <si>
    <t>The Usefulness of the Digitalization Integration Framework for Developing Digital Supply Chains in SMEs</t>
  </si>
  <si>
    <t>digital supply chain; digitalization; small and medium-sized enterprises; SMEs; adoption; digital transformation</t>
  </si>
  <si>
    <t>RISK-MANAGEMENT; TRANSFORMATION; PERFORMANCE</t>
  </si>
  <si>
    <t>Although studies in the field of digital supply chains (DSC) have increased in recent years, there is still a lack of theoretical and empirical studies that show how DSC can be successfully implemented. There is a lack of studies in small and medium-sized enterprises (SMEs) in particular. This paper addresses this situation and explores the usefulness of the digitalization integration framework (DIF) proposed by Buyukozkan and Gocer in 2018 for the development of DSC in SMEs. More precisely, based on a case study design involving Swedish SMEs operating in the same supply chain, this paper provides insight into the DSC process of these Swedish SMEs adopting the DIF. The results of the study enable the proposal of an updated framework consisting of five main components in the digitalization process, namely: digital strategy, digital organization and culture, digital operations, digital products and services, and digital customer experience. Furthermore, each component consists of several steps, called sub-components, which could be considered by SMEs when developing DSC to increase the success of this challenging activity.</t>
  </si>
  <si>
    <t>[Pourmorshed, Sara; Durst, Susanne] Halmstad Univ, Sch Business Innovat &amp; Sustainabil, S-30118 Halmstad, Sweden</t>
  </si>
  <si>
    <t>Halmstad University</t>
  </si>
  <si>
    <t>Durst, S (corresponding author), Halmstad Univ, Sch Business Innovat &amp; Sustainabil, S-30118 Halmstad, Sweden.</t>
  </si>
  <si>
    <t>susanne.durst@hh.se</t>
  </si>
  <si>
    <t>Durst, Susanne/J-8919-2017</t>
  </si>
  <si>
    <t>Durst, Susanne/0000-0001-8469-2427</t>
  </si>
  <si>
    <t>10.3390/su142114352</t>
  </si>
  <si>
    <t>6F7CK</t>
  </si>
  <si>
    <t>WOS:000884214300001</t>
  </si>
  <si>
    <t>Yevtodyeva, MG</t>
  </si>
  <si>
    <t>Yevtodyeva, Marianna G.</t>
  </si>
  <si>
    <t>EMPLOYMENT AND EDUCATION POLICY IN GERMANY IN THE CONTEXT OF DIGITALISATION AND INDUSTRY 4.0 DEVELOPMENT</t>
  </si>
  <si>
    <t>MIROVAYA EKONOMIKA I MEZHDUNARODNYE OTNOSHENIYA</t>
  </si>
  <si>
    <t>Russian</t>
  </si>
  <si>
    <t>Germany; Industry 4.0; Labour 4.0; Education 4.0; digitalization; labour market; regulatory tools</t>
  </si>
  <si>
    <t>The article is devoted to the study of tools to regulate the evolution of the labour market and educational sphere in Germany in connection with digitalization and the development of the Industry 4.0. These issues have been studied insufficiently both at the country and cross-country levels, since most of the scientific literature deals mainly with economic and technological aspects of digital transformation, while the role of public policy and the formation of the digital environment (including human resources and education) are given much less attention. The paper highlights key features of Germany's digital strategy, such as the development of cyber-physical systems, IT security, and the reliance on public-private partnerships in the course of digitalization. It also analyzes a wide range of projects, initiatives and programs in the field of regulation of the labour market and education, on the basis of which the German Federal Government provides a solution to the most pressing problems and challenges for the country's digitalization. According to the findings of the White Paper Labour 4.0 by the Federal Ministry of Labour and Social Affairs and of a number of experts in labour market of Germany, these challenges include: the lack of the qualified specialists in MINT professions (Mathematik, Informatik, Naturwissenschaften, Technik), specialists with digital skills and knowledge of information and communication technologies; shortcomings in the development of education and digital environment, in particular low levels of technical equipment of schools and other educational institutions; the negative impact of demographics and migration problems on the labour market and employment.</t>
  </si>
  <si>
    <t>[Yevtodyeva, Marianna G.] Russian Acad Sci IMEMO, Primakov Natl Res Inst World Econ &amp; Int Relat, 23 Profsoyuznaya Str, Moscow 117997, Russia</t>
  </si>
  <si>
    <t>Russian Academy of Sciences; Primakov National Research Institute of World Economy &amp; International Relations of the Russian Academy of Sciences</t>
  </si>
  <si>
    <t>Yevtodyeva, MG (corresponding author), Russian Acad Sci IMEMO, Primakov Natl Res Inst World Econ &amp; Int Relat, 23 Profsoyuznaya Str, Moscow 117997, Russia.</t>
  </si>
  <si>
    <t>mariannaevt@imemo.ru</t>
  </si>
  <si>
    <t>Yevtodyeva, Marianna/Q-2240-2018</t>
  </si>
  <si>
    <t>Yevtodyeva, Marianna/0000-0002-3477-4763</t>
  </si>
  <si>
    <t>Russian Foundation for Basic Research (RFBR) [20-011-31492]</t>
  </si>
  <si>
    <t>Russian Foundation for Basic Research (RFBR)(Russian Foundation for Basic Research (RFBR))</t>
  </si>
  <si>
    <t>The article has been supported by a grant of the Russian Foundation for Basic Research (RFBR) . Project no. 20-011-31492 Science and Technology Policy in the Context of Society's Digital Transformation: Global Practices and Russia.</t>
  </si>
  <si>
    <t>NAUKA PUBLISHING HOUSE</t>
  </si>
  <si>
    <t>MOSCOW</t>
  </si>
  <si>
    <t>PROFSOYUZNAYA UL 90, MOSCOW, 117864, RUSSIA</t>
  </si>
  <si>
    <t>0131-2227</t>
  </si>
  <si>
    <t>MIROVAYA EKON MEZHD</t>
  </si>
  <si>
    <t>Mirovaya Ekon. Mezhdunarodyne Otnosheniya</t>
  </si>
  <si>
    <t>10.20542/0131-2227-2022-66-11-50-59</t>
  </si>
  <si>
    <t>6P7FA</t>
  </si>
  <si>
    <t>WOS:000891091400006</t>
  </si>
  <si>
    <t>Saihi, A; Ben-Daya, M; As'ad, R</t>
  </si>
  <si>
    <t>Saihi, Afef; Ben-Daya, Mohamed; As'ad, Rami</t>
  </si>
  <si>
    <t>Underpinning success factors of maintenance digital transformation: A hybrid reactive Delphi approach</t>
  </si>
  <si>
    <t>Maintenance digital transformation; Success factors; Hybrid reactive Delphi method; Expert verification; Ranking</t>
  </si>
  <si>
    <t>INDUSTRY 4.0; CHALLENGES; SYSTEMS</t>
  </si>
  <si>
    <t>In today's competitive landscape, maintenance is one of the critical functions that may greatly benefit from digital transformation (DT). Advances in technological developments are proving to be a game changer for improving maintenance strategies and practices. However, several challenges related to the lack of adequate managerial aspects, and adoption of wrong approaches to this transformation hinder its success. Research has shown that technology alone is not sufficient for organizations to ensure the success of their digitalization at-tempts. Therefore, the aim of this research is to adopt a holistic approach to identify, evaluate and rank a comprehensive list of the various influencing variables, multifaceted in nature, that drive the success of main-tenance DT initiatives. To that end, the authors solicited the different success factors based on a systematic literature review, then conducted a purification phase of these enablers and categorized them. Subsequently, a hybrid reactive Delphi approach, combined with AHP method, was adopted to evaluate and rank the success factors and their corresponding clusters through a panel of 17 highly qualified experts. The verified final list includes 41 factors mapped into 10 categories. The clusters are ranked according to their relative level of importance, and normalized weights are attributed to their factors. In particular, Digital strategy -strategic alignment cluster ranked highest followed by Top management and leadership skills then Organizational development and change management. The findings of this study contribute to enriching the extant literature, serve as a foundation to conduct further academic research, and provide proper guidance to practitioners in this field.</t>
  </si>
  <si>
    <t>[Saihi, Afef; Ben-Daya, Mohamed; As'ad, Rami] Amer Univ Sharjah, Ind Engn Dept, Sharjah, U Arab Emirates</t>
  </si>
  <si>
    <t>American University of Sharjah</t>
  </si>
  <si>
    <t>Saihi, A (corresponding author), Amer Univ Sharjah, Ind Engn Dept, Sharjah, U Arab Emirates.</t>
  </si>
  <si>
    <t>g00079250@aus.edu; mbendaya@aus.edu; rafif@aus.edu</t>
  </si>
  <si>
    <t>Ben-Daya, Mohamed/AAG-5851-2021</t>
  </si>
  <si>
    <t>Saihi, Afef/0000-0002-3664-8664</t>
  </si>
  <si>
    <t>American University of Sharjah; [FRG22-C-E17]</t>
  </si>
  <si>
    <t>American University of Sharjah;</t>
  </si>
  <si>
    <t>Acknowledgement The authors sincerely thank the experts of the Delphi panel for their contribution to the success of this research and acknowledge the support of the American University of Sharjah under grant number FRG22-C-E17. The authors are also greatly thankful to the anonymous reviewers for their constructive comments and suggestions which substantially improved the content and presentation of the paper.</t>
  </si>
  <si>
    <t>10.1016/j.ijpe.2022.108701</t>
  </si>
  <si>
    <t>OCT 2022</t>
  </si>
  <si>
    <t>6C6PA</t>
  </si>
  <si>
    <t>WOS:000882132400001</t>
  </si>
  <si>
    <t>Karimikia, H; Bradshaw, R; Singh, H; Ojo, A; Donnellan, B; Guerin, M</t>
  </si>
  <si>
    <t>Karimikia, Hadi; Bradshaw, Robert; Singh, Harminder; Ojo, Adegboyega; Donnellan, Brian; Guerin, Michael</t>
  </si>
  <si>
    <t>An emergent taxonomy of boundary spanning in the smart city context-The case of smart Dublin</t>
  </si>
  <si>
    <t>Smart city; Governance; Boundary spanning; Taxonomy</t>
  </si>
  <si>
    <t>KNOWLEDGE TRANSFORMATION; INTEGRATIVE FRAMEWORK; OPEN INNOVATION; ECO-CITY; CITIES; GOVERNANCE; WORK; ORGANIZATIONS; PARTICIPATION; PERFORMANCE</t>
  </si>
  <si>
    <t>Smart cities emphasize the use of advanced technology to deliver better services to and improve the well-being of their residents. Since the administrative authorities that manage cities often lack the knowledge and skills needed to transform their operations in this way, smart city initiatives usually involve a complex set of actors, from local urban authorities and their technical departments to small and large IT firms, academics, and civic organizations, as well as individual citizens. Mediating organizations are often set up to coordinate and manage such interactions. However, little is known about the roles and activities of such bodies. Using data from the Dublin smart city projects, this study draws on the concept of boundary spanning to develop a taxonomy of the work of such intermediaries. Divided into technical, political, social, and cultural domains, the study demonstrates the critical role of the work done by such bodies in enhancing collaboration among and the participation of a diverse group of citizens, IT and digital strategy departments of local authorities, universities and local/international IT companies (e.g., Google, Facebook or Airbnb), leading to a bottom-up governance style of leading smart city initiatives and projects.</t>
  </si>
  <si>
    <t>[Karimikia, Hadi] Natl Univ Ireland, Lero Irish Software Res Ctr, Univ Coll Cork, Cork, Cork, Ireland; [Bradshaw, Robert] Maynooth Univ, Sci Fdn Ireland SFI, Maynooth, Kildare, Ireland; [Singh, Harminder] Auckland Univ Technol, AUT Business Sch, Business Informat Syst Dept, Auckland, New Zealand; [Ojo, Adegboyega] Carleton Univ, Sch Publ Policy &amp; Adm, Fac Publ Affairs, Ottawa, ON, Canada; [Ojo, Adegboyega; Donnellan, Brian] Maynooth Univ, Sch Business, Maynooth, Kildare, Ireland; [Donnellan, Brian] Maynooth Univ, Innovat Value Inst, Maynooth, Kildare, Ireland; [Guerin, Michael] Dublins Smart City Testbed Smart Docklands, Dublin, Co Dublin, Ireland</t>
  </si>
  <si>
    <t>University College Cork; Maynooth University; Auckland University of Technology; Carleton University; Maynooth University; Maynooth University</t>
  </si>
  <si>
    <t>Karimikia, H (corresponding author), Natl Univ Ireland, Lero Irish Software Res Ctr, Univ Coll Cork, Cork, Cork, Ireland.</t>
  </si>
  <si>
    <t>hkarimikia@ucc.ie; robert.bradshaw@mu.ie; harminder.singh@aut.ac.nz; adegboyega.ojo@carelton.ca; brian.donnellan@mu.ie; michael@smartdocklands.ie</t>
  </si>
  <si>
    <t>Singh, Harminder/AAY-4506-2021</t>
  </si>
  <si>
    <t>Singh, Harminder/0000-0001-7335-035X</t>
  </si>
  <si>
    <t>10.1016/j.techfore.2022.122100</t>
  </si>
  <si>
    <t>8C5SO</t>
  </si>
  <si>
    <t>Green Accepted</t>
  </si>
  <si>
    <t>WOS:000917668300005</t>
  </si>
  <si>
    <t>Christodoulou, IP; Wasim, J; Reinhardt, RJ; Ivanov, K</t>
  </si>
  <si>
    <t>Christodoulou, Ioannis P.; Wasim, Jahangir; Reinhardt, Robert J.; Ivanov, Kirill</t>
  </si>
  <si>
    <t>The strategic role of middle managers in the formulation and implementation of digital transformation projects</t>
  </si>
  <si>
    <t>STRATEGIC CHANGE-BRIEFINGS IN ENTREPRENEURIAL FINANCE</t>
  </si>
  <si>
    <t>INNOVATION; MODEL; ORGANIZATIONS; TECHNOLOGY</t>
  </si>
  <si>
    <t>Middle managers play a crucial role in implementing digital strategy. They directly influence the success or failure of an organization's digital transformation. They are the enablers of digital strategy implementation and company transformation and sometimes can cast a sabotaging shadow side when not involved and engaged in the process. However, there are ways to engage them and divert their sabotaging behavior.</t>
  </si>
  <si>
    <t>[Christodoulou, Ioannis P.] Univ Westminster, London, England; [Wasim, Jahangir] Heriot Watt Univ Malaysia, Business &amp; Managment, Putrajaya, Malaysia; [Reinhardt, Robert J.] Sustainable Business Consultancy &amp; Res, Hohenzollernpl 7, D-53173 Bonn, Germany; [Ivanov, Kirill] St Petersburg State Univ, St Petersburg, Russia</t>
  </si>
  <si>
    <t>University of Westminster; Heriot Watt University; Saint Petersburg State University</t>
  </si>
  <si>
    <t>Reinhardt, RJ (corresponding author), Sustainable Business Consultancy &amp; Res, Hohenzollernpl 7, D-53173 Bonn, Germany.</t>
  </si>
  <si>
    <t>rr.robert.reinhardt@gmail.com</t>
  </si>
  <si>
    <t>Wasim, Jahangir/0000-0001-5699-9755</t>
  </si>
  <si>
    <t>JOHN WILEY &amp; SONS LTD</t>
  </si>
  <si>
    <t>CHICHESTER</t>
  </si>
  <si>
    <t>THE ATRIUM, SOUTHERN GATE, CHICHESTER PO19 8SQ, W SUSSEX, ENGLAND</t>
  </si>
  <si>
    <t>1086-1718</t>
  </si>
  <si>
    <t>1099-1697</t>
  </si>
  <si>
    <t>STRATEG CHANG</t>
  </si>
  <si>
    <t>Strateg. Chang.</t>
  </si>
  <si>
    <t>10.1002/jsc.2528</t>
  </si>
  <si>
    <t>5Z8FZ</t>
  </si>
  <si>
    <t>Green Published, Green Submitted</t>
  </si>
  <si>
    <t>WOS:000869789100001</t>
  </si>
  <si>
    <t>Ru, J; Mastan, E; Zhou, LY; Shao, CM; Zhao, J; Wang, SH; Zhu, SP</t>
  </si>
  <si>
    <t>Ru, Jing; Mastan, Erlita; Zhou, Liyang; Shao, Chunming; Zhao, Jie; Wang, Shuhua; Zhu, Shiping</t>
  </si>
  <si>
    <t>Digital Strategies to Improve Product Quality and Production Efficiency of Fluorinated Polymers: 1. Development of Kinetic Model and Experimental Verification for Fluorinated Ethylene Propylene Copolymerization</t>
  </si>
  <si>
    <t>INDUSTRIAL &amp; ENGINEERING CHEMISTRY RESEARCH</t>
  </si>
  <si>
    <t>RADICAL COPOLYMERIZATION; MOLECULAR-WEIGHT; DYNAMIC RHEOLOGY; POLYMERIZATION; TETRAFLUOROETHYLENE; MONOMERS</t>
  </si>
  <si>
    <t>Digitalization of industrial polymerization processes repre-sents an effective and efficient approach for product-grade upgrading and for production efficiency improvement. A mechanistic model based on the first principles of elementary reactions and mass balances provides a powerful tool in the practice of process digitalization. In this work, we developed a comprehensive kinetic model for the batch process of bulk copolymerization of tetrafluoroethylene with hexafluoropropylene. A series of experimental runs were carried out under various conditions. The fluorinated ethylene propylene copolymer samples were collected, with the monomer conversions, copolymer compositions, and polymer molecular weights, as well as the melting and crystallization properties, fully analyzed. The model was then correlated with the data for estimation of the model parameters. The reactivity ratios were found to be r1 = 65.5 and r2 = 2.6 x 10-3. With a whole set of estimated parameters, the model was used to simulate results under different polymerization conditions close to industrial production processes, which were further verified with additional experimental data. The agreement between simulated and experimental results was good. The experimentally verified model provides a powerful tool for industrial process optimization aiming at improvement of product quality and production efficiency.</t>
  </si>
  <si>
    <t>[Zhou, Liyang; Shao, Chunming; Zhao, Jie; Wang, Shuhua] Zhejiang Juhua Co Ltd, Quzhou 324004, Peoples R China; [Ru, Jing; Mastan, Erlita; Zhu, Shiping] Hangzhou Juyong Technol Ltd, Hangzhou 310030, Peoples R China; [Zhu, Shiping] Chinese Univ Hong Kong, Sch Sci &amp; Engn, Shenzhen 518172, Peoples R China; [Ru, Jing] Hangzhou Oxygen Plant Grp Co Ltd, Hangzhou 310014, Peoples R China</t>
  </si>
  <si>
    <t>Chinese University of Hong Kong, Shenzhen</t>
  </si>
  <si>
    <t>Zhou, LY (corresponding author), Zhejiang Juhua Co Ltd, Quzhou 324004, Peoples R China.;Zhu, SP (corresponding author), Hangzhou Juyong Technol Ltd, Hangzhou 310030, Peoples R China.;Zhu, SP (corresponding author), Chinese Univ Hong Kong, Sch Sci &amp; Engn, Shenzhen 518172, Peoples R China.</t>
  </si>
  <si>
    <t>fhzly@juhua.com; shipingzhu@cuhk.edu.cn</t>
  </si>
  <si>
    <t>Zhu, Shiping/M-6313-2016</t>
  </si>
  <si>
    <t>Zhu, Shiping/0000-0001-8551-0859</t>
  </si>
  <si>
    <t>AMER CHEMICAL SOC</t>
  </si>
  <si>
    <t>WASHINGTON</t>
  </si>
  <si>
    <t>1155 16TH ST, NW, WASHINGTON, DC 20036 USA</t>
  </si>
  <si>
    <t>0888-5885</t>
  </si>
  <si>
    <t>IND ENG CHEM RES</t>
  </si>
  <si>
    <t>Ind. Eng. Chem. Res.</t>
  </si>
  <si>
    <t>OCT 12</t>
  </si>
  <si>
    <t>10.1021/acs.iecr.2c01834</t>
  </si>
  <si>
    <t>Engineering, Chemical</t>
  </si>
  <si>
    <t>5K4GN</t>
  </si>
  <si>
    <t>WOS:000869686100001</t>
  </si>
  <si>
    <t>Jiao, KD; Wang, CM; Liao, MZ; Ma, J; Kang, DM; Tang, WM; Tucker, JD; Ma, W</t>
  </si>
  <si>
    <t>Jiao, Kedi; Wang, Chunmei; Liao, Meizhen; Ma, Jing; Kang, Dianmin; Tang, Weiming; Tucker, Joseph D.; Ma, Wei</t>
  </si>
  <si>
    <t>A differentiated digital intervention to improve antiretroviral therapy adherence among men who have sex with men living with HIV in China: a randomized controlled trial</t>
  </si>
  <si>
    <t>BMC MEDICINE</t>
  </si>
  <si>
    <t>Anti-retroviral agents; Therapeutics; Medication adherence; Digital technology; Sexual and gender minorities; Randomized controlled trial</t>
  </si>
  <si>
    <t>HEALTH-CARE; CLINICAL-OUTCOMES; UNITED-STATES; INFECTION; ENGAGEMENT; RETENTION; EFFICACY</t>
  </si>
  <si>
    <t>Background Antiretroviral therapy (ART) adherence is still suboptimal among some key populations, highlighting the need for innovative tailored strategies. This randomized controlled trial (RCT) aimed to evaluate the effect of a differentiated digital intervention on ART adherence among men who have sex with men (MSM) living with HIV in China. Methods The two-armed parallel RCT was conducted at one HIV clinic in Jinan of China from October 19, 2020, to June 31, 2021. Men were referred by health providers to join the study and then choose one of three digital strategies-text message, only instant message, or instant message plus social media. They were assigned in a 1:1 ratio to the intervention arm or control arm using block randomization, and inside each arm, there were three groups depending on the type of delivering the message. The groups were divided according to participants' preferred digital strategies. The intervention arm received ART medication messages, medication reminders, peer education, and involved in online discussion. The control arm received messages on health behavior and nutrition. The primary outcome was self-reported optimal ART adherence, defined as not missing any doses and not having any delayed doses within a one-month period. Secondary outcomes included CD4 T cell counts, viral suppression, HIV treatment adherence self-efficacy, and quality of life. Intention-to-treat analysis with generalized linear mixed models was used to evaluate the intervention's effect. Results A total of 576 participants were enrolled, including 288 participants assigned in the intervention arm and 288 assigned in the control arm. Most were &lt;= 40 years old (79.9%) and initiated ART &lt;= 3 years (60.4%). After intervention, the proportion of participants achieving optimal ART adherence in the intervention arm was higher than in the control arm (82.9% vs 71.1%). The differentiated digital intervention significantly improved ART adherence (RR = 1.74, 95%CI 1.21-2.50). Subgroup analysis showed one-to-one instant message-based intervention significantly improved ART adherence (RR = 2.40, 95% CI 1.39-4.17). Conclusions The differentiated digital intervention improved ART adherence among MSM living with HIV in China, which could be integrated into people living with HIV (PLWH) management and further promoted in areas where PLWH can access text messaging and instant messaging services.</t>
  </si>
  <si>
    <t>[Jiao, Kedi; Ma, Jing; Ma, Wei] Shandong Univ, Sch Publ Hlth, Dept Epidemiol, Cheeloo Coll Med, Jinan, Shandong, Peoples R China; [Wang, Chunmei] Shandong Publ Hlth Clin Ctr, Jinan, Shandong, Peoples R China; [Liao, Meizhen; Kang, Dianmin] Shandong Ctr Dis Control &amp; Prevent, Inst AIDS STD Control &amp; Prevent, Jinan, Shandong, Peoples R China; [Tang, Weiming; Tucker, Joseph D.] Univ North Carolina Chapel Hill Project China, Guangzhou, Guangdong, Peoples R China; [Tucker, Joseph D.] London Sch Hyg &amp; Trop Med, Dept Clin Res, Fac Infect &amp; Trop Dis, London, England</t>
  </si>
  <si>
    <t>Shandong University; University of London; London School of Hygiene &amp; Tropical Medicine</t>
  </si>
  <si>
    <t>Ma, W (corresponding author), Shandong Univ, Sch Publ Hlth, Dept Epidemiol, Cheeloo Coll Med, Jinan, Shandong, Peoples R China.;Kang, DM (corresponding author), Shandong Ctr Dis Control &amp; Prevent, Inst AIDS STD Control &amp; Prevent, Jinan, Shandong, Peoples R China.;Tang, WM; Tucker, JD (corresponding author), Univ North Carolina Chapel Hill Project China, Guangzhou, Guangdong, Peoples R China.;Tucker, JD (corresponding author), London Sch Hyg &amp; Trop Med, Dept Clin Res, Fac Infect &amp; Trop Dis, London, England.</t>
  </si>
  <si>
    <t>dmkang66@163.com; weiming_tang@med.unc.edu; jdtucker@med.unc.edu; weima@sdu.edu.cn</t>
  </si>
  <si>
    <t>Ma, Wei/C-4748-2019; tang, wei/HZH-5205-2023; Tang, Wei/IZQ-1283-2023; Jiao, Kedi/GQQ-9364-2022</t>
  </si>
  <si>
    <t>Ma, Wei/0000-0002-8092-3280; Jiao, Kedi/0000-0002-1774-8889</t>
  </si>
  <si>
    <t>National Key Research and Development Program of China [2017YFE0103800]</t>
  </si>
  <si>
    <t>National Key Research and Development Program of China</t>
  </si>
  <si>
    <t>The study was supported by the National Key Research and Development Program of China (grant number: 2017YFE0103800). The funders had no role in study design, data collection and analysis, decision to publish, or preparation of the manuscript.</t>
  </si>
  <si>
    <t>1741-7015</t>
  </si>
  <si>
    <t>BMC MED</t>
  </si>
  <si>
    <t>BMC Med.</t>
  </si>
  <si>
    <t>OCT 10</t>
  </si>
  <si>
    <t>10.1186/s12916-022-02538-3</t>
  </si>
  <si>
    <t>5E0SZ</t>
  </si>
  <si>
    <t>gold, Green Published, Green Accepted</t>
  </si>
  <si>
    <t>WOS:000865342400001</t>
  </si>
  <si>
    <t>Chen, QM; Zhang, W; Jin, NS; Wang, XC; Dai, PR</t>
  </si>
  <si>
    <t>Chen, Qingmei; Zhang, Wei; Jin, Nanshun; Wang, Xiaocheng; Dai, Peiru</t>
  </si>
  <si>
    <t>Digital Transformation Evaluation for Small- and Medium-Sized Manufacturing Enterprises Using the Fuzzy Synthetic Method DEMATEL-ANP</t>
  </si>
  <si>
    <t>digital transformation; decision-making test and evaluation laboratory methods; network analytic hierarchy process; fuzzy comprehensive evaluation; small- and medium enterprises</t>
  </si>
  <si>
    <t>INDUSTRY 4.0 READINESS; MATURITY MODEL; ENTREPRENEURS; COMPETENCE; RESOURCES; FIRMS</t>
  </si>
  <si>
    <t>In view of the characteristics of small- and medium-sized manufacturing enterprises and the status quo of digitalization, it is necessary to develop a more applicable digital transformation maturity model. The decision testing and evaluation laboratory method (DEMATEL) is used to provide the visual impact relationship between digital transformation criteria, and combined with the network analytic hierarchy process (ANP) to determine the mixed weight of indicators, and then fuzzy comprehensive evaluation is used to evaluate the digital maturity of small- and medium-sized manufacturing enterprises. The empirical analysis of small- and medium-sized manufacturing enterprises in Guangdong Province shows that digital strategy and information technology play a key role in the digital transformation of enterprises, and digital process and digital innovation are the main problems faced by small- and medium-sized enterprises. In addition, the digital maturity of enterprises is related to the industrial base, regional policies, industry types, etc. This study provides some guidance for the implementation path selection of small- and medium-sized enterprises' digital transformation and accelerates the digital transformation and sustainable development of small- and medium-sized manufacturing enterprises.</t>
  </si>
  <si>
    <t>[Chen, Qingmei; Zhang, Wei; Jin, Nanshun; Wang, Xiaocheng; Dai, Peiru] Guangdong Univ Sci &amp; Technol, Sch Management, Dongguan 523000, Peoples R China</t>
  </si>
  <si>
    <t>Guangdong University of Science &amp; Technology</t>
  </si>
  <si>
    <t>Chen, QM; Zhang, W (corresponding author), Guangdong Univ Sci &amp; Technol, Sch Management, Dongguan 523000, Peoples R China.</t>
  </si>
  <si>
    <t>amaze1211@163.com; zw1010551@whu.edu.cn</t>
  </si>
  <si>
    <t>The 2020 Guangdong Provincial Department of Education Youth Innovation Talents Project Research on the Status Quo and Maturity Evaluation of Digital Transformation of Small and Medium sized Manufacturing Enterprises in Dongguan [2020WQNCX077]; 2021 Research on Digital Transformation of Manufacturing Industry in Guangdong Province, a project of Guangdong Provincial Department of Education to improve the scientific research capacity of key construction disciplines in Guangdong Province [2021ZDJS113]</t>
  </si>
  <si>
    <t>The 2020 Guangdong Provincial Department of Education Youth Innovation Talents Project Research on the Status Quo and Maturity Evaluation of Digital Transformation of Small and Medium sized Manufacturing Enterprises in Dongguan; 2021 Research on Digital Transformation of Manufacturing Industry in Guangdong Province, a project of Guangdong Provincial Department of Education to improve the scientific research capacity of key construction disciplines in Guangdong Province</t>
  </si>
  <si>
    <t>This research was funded by the following two projects. The 2020 Guangdong Provincial Department of Education Youth Innovation Talents Project Research on the Status Quo and Maturity Evaluation of Digital Transformation of Small and Medium sized Manufacturing Enterprises in Dongguan (Project No.: 2020WQNCX077), which was initiated on 28 September 2020. And the 2021 Research on Digital Transformation of Manufacturing Industry in Guangdong Province (Project No.: 2021ZDJS113), a project of Guangdong Provincial Department of Education to improve the scientific research capacity of key construction disciplines in Guangdong Province, was established on 31 December 2021.</t>
  </si>
  <si>
    <t>10.3390/su142013038</t>
  </si>
  <si>
    <t>5P9XC</t>
  </si>
  <si>
    <t>WOS:000873494300001</t>
  </si>
  <si>
    <t>da Silva, MR; Bussador, A; Botton, JP; Zara, KRD; de Almeida, GGF; Rezende, DA</t>
  </si>
  <si>
    <t>da Silva, Marcelo Rodrigues; Bussador, Alessandra; Botton, Janine Padilha; de Freitas Zara, Katya Regina; Feijo de Almeida, Giovana Goretti; Rezende, Denis Alcides</t>
  </si>
  <si>
    <t>Relations between strategies, public services, and strategic digital city: cases of Foz do Iguacu and Pinhais, Parana, Brazil</t>
  </si>
  <si>
    <t>REVISTA TECNOLOGIA E SOCIEDADE</t>
  </si>
  <si>
    <t>Portuguese</t>
  </si>
  <si>
    <t>Urban services; Urban management; Strategic digital city; Information Technology; Public services</t>
  </si>
  <si>
    <t>COPRODUCTION</t>
  </si>
  <si>
    <t>The cities and public services strategies enhance the production of participatory urban environments for their citizens. The objective is to analyze the strategies and urban public services that use information technology resources and relationships with the strategic digital city subprojects. The research methodology emphasized the study of multiple cases in 2 cities in Parana, Brazil. The results showed that each city sought to highlight themes that coincide with the development provided by its locations. The conclusion reiterates that there is a commitment to comply with the strategies established in plans and institutional documents applying information technology resources to improve urban management and the citizens quality of life in both cities.</t>
  </si>
  <si>
    <t>[da Silva, Marcelo Rodrigues] Univ Tecnol Fed Parana, Curitiba, Parana, Brazil; [da Silva, Marcelo Rodrigues] Inst Fed Parana, Curitiba, Parana, Brazil; [Bussador, Alessandra; Botton, Janine Padilha; de Freitas Zara, Katya Regina] Univ Fed Integracao Latino Amer, Foz Do Iguacu, Parana, Brazil; [Feijo de Almeida, Giovana Goretti; Rezende, Denis Alcides] Pontificia Univ Catolica Parana, Curitiba, Parana, Brazil</t>
  </si>
  <si>
    <t>Universidade Tecnologica Federal do Parana; Universidade Federal do Parana; Pontificia Universidade Catolica do Parana; Instituto Federal do Parana; Universidade Federal da Integracao Latino-Americana; Pontificia Universidade Catolica do Parana</t>
  </si>
  <si>
    <t>da Silva, MR (corresponding author), Univ Tecnol Fed Parana, Curitiba, Parana, Brazil.;da Silva, MR (corresponding author), Inst Fed Parana, Curitiba, Parana, Brazil.</t>
  </si>
  <si>
    <t>marcelo.silva@ifpr.edu.br; bussador@yahoo.com.br; janine.padilha@unila.edu.br; katya.freitas@unila.edu.br; goretti.giovana@gmail.com; denis.rezende@pucpr.br</t>
  </si>
  <si>
    <t>UNIV TECNOLOGICA FED PARANA-UTFPR</t>
  </si>
  <si>
    <t>CURITIBA</t>
  </si>
  <si>
    <t>AV SETE SETEMBRO 3165, REBOUCAS, CURITIBA, PR 80230-901, BRAZIL</t>
  </si>
  <si>
    <t>1809-0044</t>
  </si>
  <si>
    <t>1984-3526</t>
  </si>
  <si>
    <t>REV TECNOL SOC</t>
  </si>
  <si>
    <t>REV. TECNOL. SOC.</t>
  </si>
  <si>
    <t>OCT-DEC</t>
  </si>
  <si>
    <t>10.3895/rts.v18n54.15324</t>
  </si>
  <si>
    <t>8U3VM</t>
  </si>
  <si>
    <t>WOS:000929883700018</t>
  </si>
  <si>
    <t>Deng, TY; Qiao, LM; Yao, X; Chen, SY; Tang, XW</t>
  </si>
  <si>
    <t>Deng, Tianyu; Qiao, Limeng; Yao, Xun; Chen, Shuangying; Tang, Xiaowo</t>
  </si>
  <si>
    <t>A Profit Framework Model for Digital Platforms Based on Value Sharing and Resource Complementarity</t>
  </si>
  <si>
    <t>flexible strategy; digital platform; profit mechanism; symbiosis; digital capability</t>
  </si>
  <si>
    <t>OPEN INNOVATION; INFORMATION; CAPABILITIES; PERFORMANCE; SYSTEMS; IMPACT; COLLABORATION; TECHNOLOGIES; MANAGEMENT; STRATEGY</t>
  </si>
  <si>
    <t>With the advent of the smart economy, Chinese digital platform companies have begun the process of digital innovation. The sudden outbreak of the COVID-19 epidemic in early 2020 has added a strong impulse to the acceleration of this process, highlighting the unique characteristics of the platform economy in resource allocation. Although digital platforms have already entered people's daily lives, the profit mechanism of digital platforms remains a black box to be cracked for the industry. The main contribution of this paper is to propose a framework model for the profit mechanism of digital platforms, which to a certain extent solves the problems essential to the digital realm faced by many traditional enterprises in the Internet age-knowing that the profit theory of traditional monopolies is not suitable for the rapidly changing internet economy, but that most of the time people still must use it. In this new profit framework, we first use the symbiotic logic of value sharing to explain the underlying logic of platform profitability; secondly, from the perspective of resource complementarity, we find that the key to digital platform companies' profitability lies in the symbiotic synergy between platform companies and massive userbases; lastly, our study finds that the profit condition of platform enterprises is digital capability, not system possession. This article will analyze the bottom layer of the digital economy and, by identifying the various drawbacks of the traditional industrial economic monopoly theory, propose three key factors for the profitability of platform companies in the digital age: flexible strategy, digital capabilities, and symbiotic synergy capabilities. On this basis, a theoretical model of the profit of a digital platform is constructed. Research shows that the hybrid structure of digital platforms and the need for external diversification together lead to a platform's resilience strategy. The realization process of the platform's strategic flexibility and the process of consumers obtaining the residual value will lead to an explosion in network effects, causing the platform and users to complete value co-creation and realize value sharing. The implementation of a flexible platform strategy also promotes the further development of a differentiation strategy and a more-refined division of labor for manufacturers, lowers the barriers-to-entry in the industry, and enables the platform and the manufacturers to realize value co-creation. On the one hand, platform enterprises can obtain greater market performance; on the other hand, users' personalized needs can be more satisfied.</t>
  </si>
  <si>
    <t>[Deng, Tianyu; Qiao, Limeng; Yao, Xun] Southwest Minzu Univ, Sch Business, Chengdu 610041, Peoples R China; [Chen, Shuangying; Tang, Xiaowo] Univ Elect Sci &amp; Technol, Sch Econ &amp; Management, Chengdu 611731, Peoples R China</t>
  </si>
  <si>
    <t>Southwest Minzu University; University of Electronic Science &amp; Technology of China</t>
  </si>
  <si>
    <t>Qiao, LM (corresponding author), Southwest Minzu Univ, Sch Business, Chengdu 610041, Peoples R China.</t>
  </si>
  <si>
    <t>mianding@126.com</t>
  </si>
  <si>
    <t>Qiao, limeng/0000-0003-2355-7023</t>
  </si>
  <si>
    <t>National Natural Science Foundation of China [72202186]; National Social Science Foundation of China [71672020, 72072020]; Research on the law of high-quality development of industrial digitization and digital industrialization from the perspective of circular economy [2021SYB10]; Research on the role of industrial digitization and digital industrialization in digital China and the law of high-quality development [4XHJJ-2102]</t>
  </si>
  <si>
    <t>National Natural Science Foundation of China(National Natural Science Foundation of China (NSFC)); National Social Science Foundation of China(National Office of Philosophy and Social Sciences); Research on the law of high-quality development of industrial digitization and digital industrialization from the perspective of circular economy; Research on the role of industrial digitization and digital industrialization in digital China and the law of high-quality development</t>
  </si>
  <si>
    <t>This research was funded by [National Natural Science Foundation of China] grant number [72202186]; [National Social Science Foundation of China] grant number [72072020]; [National Social Science Foundation of China] grant number [71672020]; [Research on the law of high-quality development of industrial digitization and digital industrialization from the perspective of circular economy] grant number [2021SYB10]; [Research on the role of industrial digitization and digital industrialization in digital China and the law of high-quality development] grant number [4XHJJ-2102].</t>
  </si>
  <si>
    <t>10.3390/su141911954</t>
  </si>
  <si>
    <t>5G8SO</t>
  </si>
  <si>
    <t>WOS:000867262000001</t>
  </si>
  <si>
    <t>Ibidunni, AS; Ayeni, AWA; Ogundana, OM; Otokiti, B; Mohalajeng, L</t>
  </si>
  <si>
    <t>Ibidunni, Ayodotun Stephen; Ayeni, Adebanji William Adejuwon; Ogundana, Oyedele Martins; Otokiti, Bisayo; Mohalajeng, Lerato</t>
  </si>
  <si>
    <t>Survival during Times of Disruptions: Rethinking Strategies for Enabling Business Viability in the Developing Economy</t>
  </si>
  <si>
    <t>environmental disruptions; small business survival; business environment; epidemics; pandemics; developing economies</t>
  </si>
  <si>
    <t>DATA ARTICLE; ENTREPRENEURSHIP; PERFORMANCE; RESILIENCE; PERSPECTIVE; ENTERPRISES; MANAGEMENT; COVID-19; BARRIERS; MARKET</t>
  </si>
  <si>
    <t>There exists a noticeable void in the literature about strategies that business operators, especially those in highly vulnerable economies, can adapt to sustain their survival and to achieve growth in economically turbulent times. This study investigated strategies that can support the viability and survival of businesses in times of environmental disruptions. The study adopted a qualitative research design that involved the interview of 31 business owners across different sectoral groups including fashion and telecommunication that are operating in Nigeria's Small and Medium Enterprises (SMEs) sector. The interview sessions were audio recorded, transcribed verbatim and thematically analysed. The findings reveal that amid disruptions, the business owners were resilient and established diverse digital strategies that helped them to keep their businesses afloat throughout the time of disruption. This finding contributes to the field of entrepreneurship as it offers practical strategies for supporting business owners during times of disruptions, especially in a developing country context.</t>
  </si>
  <si>
    <t>[Ibidunni, Ayodotun Stephen] Chrisl Univ, Dept Business Adm, Abeokuta 110118, Nigeria; [Ibidunni, Ayodotun Stephen] Shaveh Consulting, Int Ctr Policy Res &amp; Ind Linkages ICePRIL, Lagos 106104, Nigeria; [Ibidunni, Ayodotun Stephen] Covenant Univ, Ctr Econ Policy &amp; Dev Res CEPDeR, Ota 112104, Nigeria; [Ayeni, Adebanji William Adejuwon] Landmark Univ, Dept Business Adm, Omu Aran 251103, Nigeria; [Ogundana, Oyedele Martins] Nottingham Trent Univ, Accounting &amp; Finance Dept, Nottingham NG1 4FQ, England; [Otokiti, Bisayo] Kwara State Univ, Dept Business &amp; Entrepreneurship, Malete 241103, Nigeria; [Mohalajeng, Lerato] North West Univ, Dept Business Management, ZA-2531 Potchefstroom, South Africa</t>
  </si>
  <si>
    <t>Covenant University; Landmark University; Nottingham Trent University; North West University - South Africa</t>
  </si>
  <si>
    <t>Ibidunni, AS (corresponding author), Chrisl Univ, Dept Business Adm, Abeokuta 110118, Nigeria.;Ibidunni, AS (corresponding author), Shaveh Consulting, Int Ctr Policy Res &amp; Ind Linkages ICePRIL, Lagos 106104, Nigeria.;Ibidunni, AS (corresponding author), Covenant Univ, Ctr Econ Policy &amp; Dev Res CEPDeR, Ota 112104, Nigeria.</t>
  </si>
  <si>
    <t>aibidunni@chrislanduniversity.edu.ng</t>
  </si>
  <si>
    <t>Ogundana, Oyedele Martins/R-9840-2018; Ayeni, Adebanji Adejuwon Ayobami William/R-4754-2017</t>
  </si>
  <si>
    <t>Ogundana, Oyedele Martins/0000-0002-0121-7231; Ibidunni, Ayodotun Stephen/0000-0001-5790-3508; Ayeni, Adebanji Adejuwon Ayobami William/0000-0002-2409-0835</t>
  </si>
  <si>
    <t>10.3390/su142013549</t>
  </si>
  <si>
    <t>5P8DU</t>
  </si>
  <si>
    <t>Green Accepted, gold</t>
  </si>
  <si>
    <t>WOS:000873375900001</t>
  </si>
  <si>
    <t>Nicolau, C; Nichifor, E; Munteanu, D; Barbulescu, O</t>
  </si>
  <si>
    <t>Nicolau, Cristina; Nichifor, Eliza; Munteanu, Daniel; Barbulescu, Oana</t>
  </si>
  <si>
    <t>Decoding Business Potential for Digital Sustainable Entrepreneurship: What Romanian Entrepreneurs Think and Do for the Future</t>
  </si>
  <si>
    <t>digital sustainable entrepreneurship; digital transformation; digital strategy; entrepreneurial vision; digitalisation</t>
  </si>
  <si>
    <t>TRANSFORMATION; PERSPECTIVE; INNOVATION</t>
  </si>
  <si>
    <t>The digital environment and the businesses can no longer exist separately; the way in which entrepreneurs adapt to digital environments determines the future of the companies. By aiming to understand Romanian entrepreneurs' openness and the assets disposed for digitalisation, the authors performed a study which revealed different managerial approaches used in order to achieve digital entrepreneurial sustainability. With exploratory research, they (i) identified the strategic approaches of the businesses within the digital environment, (ii) analysed the importance of strategic objectives and the entrepreneurial vision, (iii) understood the long-term strategies and the costs of digitalisation, and (iv) analysed the future of the business in terms of cyber security. The study highlighted that no Romanian entrepreneur placed digitalisation as an independent objective for its company, showing that companies needed a proper digitalisation strategy correlated to the opportunities and threats of the business environment. Moreover, the Romanian entrepreneurs' knowledge in cyber security was low even though they were aware that it was imperative to control critical information and develop data security strategy so as to avoid data theft/loss in the company. All the findings favoured conceptualising a new Digital Sustainable Entrepreneurship Model based on owners' entrepreneurial visions and companies' strategic objectives alike, a guide-framework to remain competitive in a sustainable, ever-growing market.</t>
  </si>
  <si>
    <t>[Nicolau, Cristina; Nichifor, Eliza; Barbulescu, Oana] Transilvania Univ Brasov, Fac Econ Sci &amp; Business Adm, Brasov 500036, Romania; [Munteanu, Daniel] Transilvania Univ Brasov, Fac Mat Sci &amp; Engn, Brasov 500036, Romania</t>
  </si>
  <si>
    <t>Transylvania University of Brasov; Transylvania University of Brasov</t>
  </si>
  <si>
    <t>Nicolau, C (corresponding author), Transilvania Univ Brasov, Fac Econ Sci &amp; Business Adm, Brasov 500036, Romania.</t>
  </si>
  <si>
    <t>cristina.nicolau@unitbv.ro</t>
  </si>
  <si>
    <t>Nicolau, Cristina/E-8312-2015</t>
  </si>
  <si>
    <t>Nicolau, Cristina/0000-0002-7180-2102; NICHIFOR, ELIZA/0000-0003-2838-6155; Munteanu, Daniel/0000-0001-6749-6766</t>
  </si>
  <si>
    <t>Transilvania University of Brasov [CNFISFDI-2022-0012]</t>
  </si>
  <si>
    <t>Transilvania University of Brasov</t>
  </si>
  <si>
    <t>The research was funded by Transilvania University of Brasov within the project CNFISFDI-2022-0012 Innovation and Entrepreneurship at Transilvania University of Brasov-INOVANT.</t>
  </si>
  <si>
    <t>10.3390/su142013636</t>
  </si>
  <si>
    <t>5Q4MQ</t>
  </si>
  <si>
    <t>WOS:000873808300001</t>
  </si>
  <si>
    <t>Ovrelid, E</t>
  </si>
  <si>
    <t>Ovrelid, Egil</t>
  </si>
  <si>
    <t>Exploring the Alignment between Digital Strategies and Educational Practices in Higher Education Infrastructures</t>
  </si>
  <si>
    <t>EDUCATION SCIENCES</t>
  </si>
  <si>
    <t>digital strategies; higher education; educational practices; digital infrastructure</t>
  </si>
  <si>
    <t>INFORMATION INFRASTRUCTURES; INNOVATION; TRANSFORMATION; PERSPECTIVE; TECHNOLOGY; CONTINUITY; COMPLEXITY; LOGIC</t>
  </si>
  <si>
    <t>Higher education is a key pillar in constructing new knowledge economies for the 21st century, and the digitalization of higher education is a central focus area for national authorities. Visionary discourses from authorities state that the decision-making authority for digital strategies should be centralized to the domain of management. Digitalization is, however, driven by key features of modern technology and may also lead to the transformation of traditional educational methods as well as educational practices. Since the university contains several disciplines, different strategies can be used when products or processes within the disciplines are digitalized. It is important to consider in the ways that different disciplines can proceed to digitalize their educational practices. Based on these interests, our research question is as follows: how do digital strategies in higher education emerge, and how do they align with the educational context? Through a qualitative case study with interviews, participation in workshops, and document analyses, we investigated two digitalization efforts in the fields of medicine and law. We found that the two classical disciplines' strategic approaches differed substantially. Based on the findings, our main contribution is a digitalization model with two archetypes, namely digital transformation strategy and digital innovation strategy. The model highlight the main object of the respective strategies, but also the institutional reaction to digitalization efforts. An implication from our study is the demonstration of how specific faculties adapt digital strategies to educational practices. This may sometimes lead to the transformation of educational practices, while other times more incremental moderate changes may be implemented. From a practical point of view, policymakers, politicians, educational management, and professionals need knowledge and expertise about the implications of digital strategies for educational practices. Our contribution, we propose, strengthens the understanding of strategies within digital infrastructures in higher education.</t>
  </si>
  <si>
    <t>[Ovrelid, Egil] Univ Oslo, Dept Informat, N-0373 Oslo, Norway</t>
  </si>
  <si>
    <t>University of Oslo</t>
  </si>
  <si>
    <t>Ovrelid, E (corresponding author), Univ Oslo, Dept Informat, N-0373 Oslo, Norway.</t>
  </si>
  <si>
    <t>egilov@ifi.uio.no</t>
  </si>
  <si>
    <t>Ovrelid, Egil/0000-0002-9946-4686</t>
  </si>
  <si>
    <t>2227-7102</t>
  </si>
  <si>
    <t>EDUC SCI</t>
  </si>
  <si>
    <t>Educ. Sci.</t>
  </si>
  <si>
    <t>10.3390/educsci12100711</t>
  </si>
  <si>
    <t>5R0CL</t>
  </si>
  <si>
    <t>WOS:000874188300001</t>
  </si>
  <si>
    <t>Sakas, DP; Giannakopoulos, NT; Terzi, MC; Kamperos, IDG; Nasiopoulos, DK; Reklitis, DP; Kanellos, N</t>
  </si>
  <si>
    <t>Sakas, Damianos P.; Giannakopoulos, Nikolaos T.; Terzi, Marina C.; Kamperos, Ioannis Dimitrios G.; Nasiopoulos, Dimitrios K.; Reklitis, Dimitrios P.; Kanellos, Nikos</t>
  </si>
  <si>
    <t>Social Media Strategy Processes for Centralized Payment Network Firms after a War Crisis Outset</t>
  </si>
  <si>
    <t>PROCESSES</t>
  </si>
  <si>
    <t>strategic digital marketing; social media strategy; sustainable supply chain; innovation process; crisis; risk management; centralized payment networks (CPN); big data; fuzzy applications; decision support systems</t>
  </si>
  <si>
    <t>ORGANIZATIONAL CULTURE; INNOVATION; ANALYTICS; WEBSITES; DISASTER; IMPACT; RISK; ENGAGEMENT; CONSUMERS; FINTECH</t>
  </si>
  <si>
    <t>From the outset of the war in Ukraine, extensive crises in many sectors of the world economy have occurred, with firms offering services and products both online and through physical stores facing serious problems. These problems are mainly related to higher operational costs and the lack of website visibility. For this research study, centralized payment network organizations (CPNs), firms providing online payment services through their networks, were selected and analytical data from their websites were collected for a period of 6 months. The main focus of this research study is to evaluate benefits and the role of social media strategies for CPNs' digital marketing performance during crisis events and to also assess their utility as a risk-management tool. Following data collection, the authors performed statistical processes (regression and correlation analysis) and stationary modeling with Fuzzy Cognitive Mapping (FCM) tools; finally, dynamic simulations were performed by utilizing Agent-Based Models (ABM). The authors suggest that various variables of CPNs' social media platforms can aid in improving their digital marketing performance and, using proper analysis, can lead to higher user social engagement, thus rendering social media strategy a useful risk-management tool.</t>
  </si>
  <si>
    <t>[Sakas, Damianos P.; Giannakopoulos, Nikolaos T.; Terzi, Marina C.; Kamperos, Ioannis Dimitrios G.; Nasiopoulos, Dimitrios K.; Reklitis, Dimitrios P.; Kanellos, Nikos] Agr Univ Athens, Sch Appl Econ &amp; Social Sci, Dept Agribusiness &amp; Supply Chain Management, BICTEVAC LAB,Business Informat &amp; Commun Tech Valu, Athens 11855, Greece</t>
  </si>
  <si>
    <t>Agricultural University of Athens</t>
  </si>
  <si>
    <t>Giannakopoulos, NT; Reklitis, DP (corresponding author), Agr Univ Athens, Sch Appl Econ &amp; Social Sci, Dept Agribusiness &amp; Supply Chain Management, BICTEVAC LAB,Business Informat &amp; Commun Tech Valu, Athens 11855, Greece.</t>
  </si>
  <si>
    <t>n.giannakopoulos@aua.gr; drekleitis@aua.gr</t>
  </si>
  <si>
    <t>KAMPEROS, IOANNIS/JOJ-6198-2023; REKLITIS, Dimitrios P./HDO-1260-2022; Giannakopoulos, Nikolaos/HZJ-9352-2023</t>
  </si>
  <si>
    <t>REKLITIS, Dimitrios P./0000-0001-6857-6012; Sakas, Damianos/0000-0002-2253-8966; KAMPEROS, IOANNIS DIMITRIOS/0000-0002-0760-3360; Nasiopoulos, Dimitrios/0000-0001-7386-1029; Giannakopoulos, Nikolaos T./0000-0002-4480-5893</t>
  </si>
  <si>
    <t>2227-9717</t>
  </si>
  <si>
    <t>Processes</t>
  </si>
  <si>
    <t>10.3390/pr10101995</t>
  </si>
  <si>
    <t>5Q0JV</t>
  </si>
  <si>
    <t>WOS:000873527800001</t>
  </si>
  <si>
    <t>Wang, YY; Guo, YD</t>
  </si>
  <si>
    <t>Wang, Yanyong; Guo, Yingdong</t>
  </si>
  <si>
    <t>Does Digital Transformation Enhance Corporate Risk-Taking?: Evidence from China</t>
  </si>
  <si>
    <t>AFRICAN AND ASIAN STUDIES</t>
  </si>
  <si>
    <t>digital transformation; corporate risk-taking; information disclosure quality; asset utilization</t>
  </si>
  <si>
    <t>Corporate risk-taking, as an essential factor in corporation development, is influenced by the enterprise's strategic decision-making. Today, with the rapid development of science and technology, digital technology has a profound effect on the whole society and enterprises. Then, one question is proposed: how should enterprises make strate-gic decisions to deal with the current opportunities and challenges, enhance their own corporate risk-taking, and then achieve high-quality development? We collected the data from companies listed on China's Shenzhen Stock Exchange and Shanghai Stock Exchange from zo1o to zozo. Starting from the corporate risk-taking perspective, we conducted an empirical analysis to validate the relationship between digital transformation of corporations and corporate risk-taking. We found that digital transformation of corporations enhanced corporate risk-taking. The enhanced effect was realized as digital trans-formation improved the information disclosure quality and asset utilization. The enhanced effect was even greater if the enterprise occupied a less favorable competi-tive position or received less media attention. This paper reviews the literature con-cerning economic consequences of enterprise digital transformation, shed new light on the enterprise's selection of digital strategies to achieve sustainable development, and guides the digital transformation of an enterprise.</t>
  </si>
  <si>
    <t>[Wang, Yanyong; Guo, Yingdong] Shandong Jianzhu Univ, Sch Business, Jinan, Peoples R China</t>
  </si>
  <si>
    <t>Shandong Jianzhu University</t>
  </si>
  <si>
    <t>Wang, YY (corresponding author), Shandong Jianzhu Univ, Sch Business, Jinan, Peoples R China.</t>
  </si>
  <si>
    <t>wang_689w@163.com; guo_5251220@163.com</t>
  </si>
  <si>
    <t>National Natural Science Foundation of China, Research on the driving mechanism of China's manufacturing industry's green innovation strategy upgrade under the volatility of performance feedback-Dynamic boundary effect based on institutional fitting struc [72174108]</t>
  </si>
  <si>
    <t>National Natural Science Foundation of China, Research on the driving mechanism of China's manufacturing industry's green innovation strategy upgrade under the volatility of performance feedback-Dynamic boundary effect based on institutional fitting struc</t>
  </si>
  <si>
    <t>This study is funded by the National Natural Science Foundation of China, Research on the driving mechanism of China's manufacturing industry's green innovation strategy upgrade under the volatility of performance feedback-Dynamic boundary effect based on institutional fitting structure (72174108).</t>
  </si>
  <si>
    <t>BRILL</t>
  </si>
  <si>
    <t>LEIDEN</t>
  </si>
  <si>
    <t>PLANTIJNSTRAAT 2, P O BOX 9000, 2300 PA LEIDEN, NETHERLANDS</t>
  </si>
  <si>
    <t>1569-2094</t>
  </si>
  <si>
    <t>1569-2108</t>
  </si>
  <si>
    <t>AFR ASIAN STUD</t>
  </si>
  <si>
    <t>Afr. Asian Stud.</t>
  </si>
  <si>
    <t>10.1163/15692108-12341569</t>
  </si>
  <si>
    <t>Area Studies</t>
  </si>
  <si>
    <t>6R3PM</t>
  </si>
  <si>
    <t>WOS:000892219400003</t>
  </si>
  <si>
    <t>Mikalef, P; Lemmer, K; Schaefer, C; Ylinen, M; Fjortoft, SO; Torvatn, HY; Gupta, M; Niehaves, B</t>
  </si>
  <si>
    <t>Mikalef, Patrick; Lemmer, Kristina; Schaefer, Cindy; Ylinen, Maija; Fjortoft, Siw Olsen; Torvatn, Hans Yngvar; Gupta, Manjul; Niehaves, Bjoern</t>
  </si>
  <si>
    <t>Enabling AI capabilities in government agencies: A study of determinants for European municipalities</t>
  </si>
  <si>
    <t>GOVERNMENT INFORMATION QUARTERLY</t>
  </si>
  <si>
    <t>Artificial intelligence; Public organizations; AI capabilities; TOE framework</t>
  </si>
  <si>
    <t>BIG DATA ANALYTICS; ARTIFICIAL-INTELLIGENCE; FIRM PERFORMANCE; PLS-SEM; INFORMATION-TECHNOLOGY; USER ACCEPTANCE; ADOPTION; CHALLENGES; MODEL; SERVICES</t>
  </si>
  <si>
    <t>Artificial Intelligence (AI) is gradually becoming an integral part of the digital strategy of organizations. Yet, the use of AI in public organizations in still lagging significantly compared to private organizations. Prior literature looking into aspects that facilitate adoption and use of AI has concentrated on challenges concerning technical aspects of AI technologies, providing little insight regarding the organizational deployment of AI, particularly in public organizations. Building on this gap, this study seeks to examine what aspects enable public organizations to develop AI capabilities. To answer this question, we built an integrated and extended model from the Technology-Organization-Environment framework (TOE) and asked high-level technology managers from municipalities in Europe about factors that influence their development of AI capabilities. We collected data from 91 municipalities from three European countries (i.e., Germany, Norway, and Finland) and analyzed responses by means of structural equation modeling. Our findings indicate that five factors - i.e. perceived financial costs, organizational innovativeness, perceived governmental pressure, government incentives, regulatory support have an impact on the development of AI capabilities. We also find that perceived citizen pressure and perceived value of AI solutions are not important determinants of AI capability formation. Our findings bear the potential to stimulate a more reflected adoption of AI supporting managers in public organizations to develop AI capabilities.</t>
  </si>
  <si>
    <t>[Mikalef, Patrick; Fjortoft, Siw Olsen; Torvatn, Hans Yngvar] SINTEF Digital, Dept Technol Management, SP Andersens Vei 3, N-7032 Trondheim, Norway; [Lemmer, Kristina; Schaefer, Cindy; Niehaves, Bjoern] Univ Siegen, Inst Business &amp; Informat Syst Engn, Siegen, Germany; [Ylinen, Maija] Tampere Univ Technol, Dept Ind Management, Tampere, Finland; [Gupta, Manjul] Florida Int Univ, Coll Business, Dept Informat Syst &amp; Business Analyt, Miami, FL 33199 USA</t>
  </si>
  <si>
    <t>SINTEF; Universitat Siegen; Tampere University; State University System of Florida; Florida International University</t>
  </si>
  <si>
    <t>Mikalef, P (corresponding author), SINTEF Digital, Dept Technol Management, SP Andersens Vei 3, N-7032 Trondheim, Norway.</t>
  </si>
  <si>
    <t>patrick.mikalef@sintef.no</t>
  </si>
  <si>
    <t>Mikalef, Patrick/GVU-5020-2022</t>
  </si>
  <si>
    <t>Mikalef, Patrick/0000-0002-6788-2277; Ylinen, Maija Tuulikki/0000-0001-6331-7847</t>
  </si>
  <si>
    <t>Slovenian Research Agency [P5-0410]</t>
  </si>
  <si>
    <t>Slovenian Research Agency(Slovenian Research Agency - Slovenia)</t>
  </si>
  <si>
    <t>The authors acknowledge the financial support from the Slovenian Research Agency (research core funding No. P5-0410).</t>
  </si>
  <si>
    <t>ELSEVIER INC</t>
  </si>
  <si>
    <t>525 B STREET, STE 1900, SAN DIEGO, CA 92101-4495 USA</t>
  </si>
  <si>
    <t>0740-624X</t>
  </si>
  <si>
    <t>1872-9517</t>
  </si>
  <si>
    <t>GOV INFORM Q</t>
  </si>
  <si>
    <t>Gov. Inf. Q.</t>
  </si>
  <si>
    <t>10.1016/j.giq.2021.101596</t>
  </si>
  <si>
    <t>SEP 2022</t>
  </si>
  <si>
    <t>Information Science &amp; Library Science</t>
  </si>
  <si>
    <t>6M4NR</t>
  </si>
  <si>
    <t>WOS:000888846500001</t>
  </si>
  <si>
    <t>Shojaei, RS; Burgess, G</t>
  </si>
  <si>
    <t>Shojaei, Reyhaneh S.; Burgess, Gemma</t>
  </si>
  <si>
    <t>Non-technical inhibitors: Exploring the adoption of digital innovation in the UK construction industry</t>
  </si>
  <si>
    <t>Digital innovation; Building Information Modelling (BIM); Construction industry; Digital Innovation Implementation Inhibitors; Socio-technical theory; Non -technical barriers</t>
  </si>
  <si>
    <t>CRITICAL SUCCESS FACTORS; SOCIOTECHNICAL SYSTEMS; SECTORAL SYSTEMS; INFORMATION; BIM; IMPLEMENTATION; DYNAMICS; PROJECTS; TECHNOLOGIES; FRAMEWORK</t>
  </si>
  <si>
    <t>Digital technologies, in particular, Building Information Modelling (BIM), are claimed to provide an effective and efficient solution for tackling the plethora of problems in the UK construction industry, including time and cost overruns, low quality, and inefficient use of resources. Despite the potential benefits and government promotion, the adoption of digital innovation in the construction sector remains low. An extensive range of existing liter-ature has discussed the constraints hampering the widespread uptake in the construction industry. However, most provide quantitative data, preferring to focus on the technical constraints; only a few examine the theo-retical framework underpinning the barriers to increased adoption. This study responds to the call of Davis et al. (2014) to apply socio-technical theory to new areas, and uses a qualitative approach to explore the non-technical barriers to the take up of digital innovation in the construction industry. A number of non-technical barriers that constrain industry uptake (e.g., sociocultural, individual) were identified in a series of interviews, and are grouped under six analytical dimensions, encompassing people, culture, process and procedure, technology, goals and infrastructure. Our findings show that collaborative culture, driven leaders with a human-centric mindset who believe in the changes being implemented, and workforce training and upskilling are all needed for the successful adoption of digital technology in construction firms. Making managers and the wider workforce aware of the benefits of digital innovation results in enhanced perceptions of, and openness to, the adoption of new technologies. Creating a clear digital strategy, early involvement of the supply chain, keeping employees on board during the digitisation journey, and effective communication and coordination, help construction com-panies to tackle challenges related to process and procedure.</t>
  </si>
  <si>
    <t>[Shojaei, Reyhaneh S.; Burgess, Gemma] Univ Cambridge, Cambridge Ctr Housing &amp; Planning Res, Dept Land Econ, 19 Silver St, Cambridge CB3 9EP, England; [Shojaei, Reyhaneh S.] Univ Cambridge, Ctr Digital Built Britain, 21 JJ Thomson Ave, Cambridge CB3 0FA, England</t>
  </si>
  <si>
    <t>University of Cambridge; University of Cambridge</t>
  </si>
  <si>
    <t>Shojaei, RS (corresponding author), Univ Cambridge, Cambridge Ctr Housing &amp; Planning Res, Dept Land Econ, 19 Silver St, Cambridge CB3 9EP, England.;Shojaei, RS (corresponding author), Univ Cambridge, Ctr Digital Built Britain, 21 JJ Thomson Ave, Cambridge CB3 0FA, England.</t>
  </si>
  <si>
    <t>rss64@cam.ac.uk; glb36@cam.ac.uk</t>
  </si>
  <si>
    <t>Shojaei, Reyhaneh/0000-0003-1897-8245</t>
  </si>
  <si>
    <t>UK Research and Innovation through the Industrial Strategy Fund</t>
  </si>
  <si>
    <t>This research forms part of the Centre for Digital Built Britain's (CDBB) work at the University of Cambridge within the Construction Innovation Hub. The Construction Innovation Hub is funded by UK Research and Innovation through the Industrial Strategy Fund.</t>
  </si>
  <si>
    <t>10.1016/j.techfore.2022.122036</t>
  </si>
  <si>
    <t>5A9OW</t>
  </si>
  <si>
    <t>hybrid, Green Published</t>
  </si>
  <si>
    <t>WOS:000863209400005</t>
  </si>
  <si>
    <t>Chapano, M; Mey, MR; Werner, A</t>
  </si>
  <si>
    <t>Chapano, Munodani; Mey, Michelle R.; Werner, Amanda</t>
  </si>
  <si>
    <t>Adoption of digital strategies across the human resource value chain</t>
  </si>
  <si>
    <t>SA JOURNAL OF HUMAN RESOURCE MANAGEMENT</t>
  </si>
  <si>
    <t>HRM digitalisation; digital HRM technologies; HR value chain; digital HRM strategies; organisational objectives/performance; South Africa</t>
  </si>
  <si>
    <t>E-HRM; MANAGEMENT; PERFORMANCE; FUTURE; IMPACT</t>
  </si>
  <si>
    <t>Orientation: Digital technologies are transforming the way business functions operate, and this also applies to the human resource management (HRM) function. Research purpose: The purpose of this study is to determine the extent to which South African organisations have adopted digital HRM strategies across the human resource (HR) value chain and the extent to which these digital strategies are perceived to contribute to the achievement of business objectives. Motivation for the study: This study provides an indication of the trend of the adoption of digital HRM strategies and whether the digital strategies support business goals. Research approach/design and method: A quantitative research design using a cross-sectional survey was used. Data were collected by means of a survey with a questionnaire from 312 HRM professionals and line managers in the automotive industry in the Eastern Cape Province of South Africa. Purposive and snowball sampling was used, and data were analysed using exploratory factor analysis (EFA), descriptive, paired-sample tests, Pearson correlations and regression analysis. Main flndings: The findings of this study indicate that Digital HRM Strategies have been moderately adopted across the HR value chain. The perceived contribution of these digital strategies towards attainment of business objectives was high. Practical/managerial implications: Constraints such as lack of digital skills by HRM practitioners, which hinder the adoption of digital HRM strategies across the HR value chain, should be addressed. Contribution/value-add: This research assists HRM practitioners and leaders in South Africa regarding which digital strategies to adopt to contribute to the achievement of organisational objectives.</t>
  </si>
  <si>
    <t>[Chapano, Munodani; Mey, Michelle R.; Werner, Amanda] Nelson Mandela Univ, Fac Business &amp; Econ Sci, Dept Human Resources Management, Gqeberha, South Africa</t>
  </si>
  <si>
    <t>Nelson Mandela University</t>
  </si>
  <si>
    <t>Chapano, M (corresponding author), Nelson Mandela Univ, Fac Business &amp; Econ Sci, Dept Human Resources Management, Gqeberha, South Africa.</t>
  </si>
  <si>
    <t>mchapano@gmail.com</t>
  </si>
  <si>
    <t>Chapano, Munodani/HNQ-6327-2023</t>
  </si>
  <si>
    <t>Chapano, Munodani/0000-0003-4417-5964; Werner, Amanda/0000-0002-6849-6781; Mey, Michelle/0000-0001-5093-2162</t>
  </si>
  <si>
    <t>AOSIS</t>
  </si>
  <si>
    <t>Durbanville</t>
  </si>
  <si>
    <t>Postnet Suite 110, Private Bag x 19, Durbanville, SOUTH AFRICA</t>
  </si>
  <si>
    <t>1683-7584</t>
  </si>
  <si>
    <t>2071-078X</t>
  </si>
  <si>
    <t>SA J HUM RESOUR MANA</t>
  </si>
  <si>
    <t>SA J. Hum. Resour. Manag.</t>
  </si>
  <si>
    <t>SEP 22</t>
  </si>
  <si>
    <t>a1992</t>
  </si>
  <si>
    <t>10.4102/sajhrm.v20i0.1992</t>
  </si>
  <si>
    <t>5N0QO</t>
  </si>
  <si>
    <t>WOS:000871496100001</t>
  </si>
  <si>
    <t>Guo, Y; Zou, TT; Shan, ZW</t>
  </si>
  <si>
    <t>Guo, Yi; Zou, Tingting; Shan, Ziwei</t>
  </si>
  <si>
    <t>Taxation strategies for the governance of digital business model-An example of China</t>
  </si>
  <si>
    <t>tax strategy management; digital business model; operations; digital ecosystem; digital technology</t>
  </si>
  <si>
    <t>SERVICES TAX</t>
  </si>
  <si>
    <t>The digital business model emerges as a new business model and gradually penetrates global industries, and countries are putting in place various digital strategies to support their development. As one of the important tools, taxation strategies are highly expected by countries, which not only describe the economic development pattern of a country but also show the digital leadership of a country. Some countries have introduced their own unilateral digital services tax to govern their digital business models, while others have looked more to the global minimum tax, resulting in the current situation of both a unilateral digital services tax and a global minimum tax. However, both of them are of great reference value for the tax governance of digital business models. This paper compares the development history of digital tax strategies, categorizes, and analyzes the design logic of existing digital tax strategies, and takes China, one of the major digital economy countries, as an example to propose China's digital tax strategies by drawing on international experience. We set an example for the design of digital economy tax strategies for countries around the world so that they can manage digital business models more efficiently.</t>
  </si>
  <si>
    <t>[Guo, Yi; Shan, Ziwei] Beijing Technol &amp; Business Univ, Sch Int Econ &amp; Management, Beijing, Peoples R China; [Zou, Tingting] Beijing Technol &amp; Business Univ, Sch Econ, Beijing, Peoples R China</t>
  </si>
  <si>
    <t>Beijing Technology &amp; Business University; Beijing Technology &amp; Business University</t>
  </si>
  <si>
    <t>Shan, ZW (corresponding author), Beijing Technol &amp; Business Univ, Sch Int Econ &amp; Management, Beijing, Peoples R China.</t>
  </si>
  <si>
    <t>shanzw@th.btbu.edu.cn</t>
  </si>
  <si>
    <t>National Social Science Foundation of China; [21AGL012]</t>
  </si>
  <si>
    <t>National Social Science Foundation of China(National Office of Philosophy and Social Sciences);</t>
  </si>
  <si>
    <t>Funding Thanks to the support of the key project of the National Social Science Foundation of China (21AGL012).</t>
  </si>
  <si>
    <t>10.3389/fpsyg.2022.1013228</t>
  </si>
  <si>
    <t>6Q1XE</t>
  </si>
  <si>
    <t>WOS:000891411200001</t>
  </si>
  <si>
    <t>Tamborrino, R; Patti, E; Aliberti, A; Dinler, M; Orlando, M; de Luca, C; Tondelli, S; Barrientos, F; Martin, J; Cunha, LFM; Stam, A; Nales, A; Egusquiza, A; Amirzada, Z; Pavlova, I</t>
  </si>
  <si>
    <t>Tamborrino, Rosa; Patti, Edoardo; Aliberti, Alessandro; Dinler, Mesut; Orlando, Matteo; de Luca, Claudia; Tondelli, Simona; Barrientos, Francisco; Martin, John; Cunha, Luis F. M.; Stam, Andries; Nales, Aad; Egusquiza, Aitziber; Amirzada, Zahra; Pavlova, Irina</t>
  </si>
  <si>
    <t>A resources ecosystem for digital and heritage-led holistic knowledge in rural regeneration</t>
  </si>
  <si>
    <t>JOURNAL OF CULTURAL HERITAGE</t>
  </si>
  <si>
    <t>Digital heritage platform; FAIR data; Digital humanities; Cultural heritage; Rural digital strategies; Digital tools? integration</t>
  </si>
  <si>
    <t>This paper presents a digital resources ecosystem prototype of integrated tools and resources to support heritage-led regeneration of rural regions, thanks to a deeper understanding of the complexity of cultural natural landscapes throughout their historical and current development. The ecosystem is conceived as a distributed software platform establishing data ecosystem and open standards for the management of information, aimed at providing different services and applications to address the needs of the various end-users identified. The platform has been conceived and realised in the framework of a Horizon 2020 research project, with a view to building a set of holistic knowledge about rural regions and their cultural and natural heritage and making it available for long-lasting heritage-led territorial processes of change. It is the product of a multidisciplinary collaboration amongst heritage, digital humanities and ICTs ex-perts, and combines data and methodologies from a range of approaches to humanities together with the customisation of effective digital tools. It has been designed for deployment also in cloud systems compli-ant with the Infrastructure-as-a-Service paradigm. All data is Findable, Accessible, Interoperable, Reusable (FAIR data). It hosts and integrates different tools, making the data gathered with/for local stakeholders usable and making the same data re-usable within the tools' functions, generating integrated heritage knowledge. It comprises data on 19 rural pilot territories, where the tools and their integration have been developed and tested, while 62 more are partially included as additional territories which partici-pate in certain activities within the project. The main testers for this platform and its functions are the local stakeholders of these territories. The paper describes and analyses the platform and its impact, dis-cussing the integration of tools as an innovative approach that goes beyond the use of individual tools in shaping a multidimensional vision. It also offers an analysis of the potential of an integrated digital ecosystem in evidence-based and place-based regeneration strategies. Some reflections for developments and cooperation during the pandemic are also presented.(c) 2022 Published by Elsevier Masson SAS.</t>
  </si>
  <si>
    <t>[Tamborrino, Rosa; Patti, Edoardo; Aliberti, Alessandro; Dinler, Mesut; Orlando, Matteo] Politecn Torino, Viale Pier Andrea Mattioli 39, I-10125 Turin, Italy; [de Luca, Claudia; Tondelli, Simona] Univ Bologna, viale Risorgimento 2, I-40126 Bologna, Italy; [Barrientos, Francisco] CARTIF, Parque Tecnol Boecillo 205, Valladolid 47151, Spain; [Martin, John] Univ Plymouth, Sustainable Earth Inst, Drake Circus, Plymouth PL4, Devon, England; [Cunha, Luis F. M.; Stam, Andries; Nales, Aad] ALMENDE, Unit D1 116, Stationsplein 45, NL-3013 AK Rotterdam, Netherlands; [Egusquiza, Aitziber] Basque Res &amp; Technol Alliance BRTA, TECNALIA, Derio, Spain; [Amirzada, Zahra; Pavlova, Irina] UNESCO, 7 Pl Fontenoy, Paris, France</t>
  </si>
  <si>
    <t>Polytechnic University of Turin; University of Bologna; University of Plymouth</t>
  </si>
  <si>
    <t>Tamborrino, R (corresponding author), Politecn Torino, Viale Pier Andrea Mattioli 39, I-10125 Turin, Italy.</t>
  </si>
  <si>
    <t>rosa.tamborrino@polito.it</t>
  </si>
  <si>
    <t>Dinler, Mesut/ISB-7720-2023; Barrientos, Francisco J./C-1040-2013; Egusquiza, Aitziber/ABB-6332-2021</t>
  </si>
  <si>
    <t>Barrientos, Francisco J./0000-0001-6528-0902; Egusquiza, Aitziber/0000-0003-1051-6580; Manteigas Cunha, Luis Filipe/0000-0003-4345-1162; Aliberti, Alessandro/0000-0001-8828-608X; ORLANDO, MATTEO/0000-0002-7028-2301; Dinler, Mesut/0000-0001-5816-1278; Pavlova, Irina/0000-0003-1675-845X; Martin, John/0000-0003-3363-8855; Amirzada, Zahra/0009-0004-0990-1718</t>
  </si>
  <si>
    <t>ELSEVIER FRANCE-EDITIONS SCIENTIFIQUES MEDICALES ELSEVIER</t>
  </si>
  <si>
    <t>ISSY-LES-MOULINEAUX</t>
  </si>
  <si>
    <t>65 RUE CAMILLE DESMOULINS, CS50083, 92442 ISSY-LES-MOULINEAUX, FRANCE</t>
  </si>
  <si>
    <t>1296-2074</t>
  </si>
  <si>
    <t>1778-3674</t>
  </si>
  <si>
    <t>J CULT HERIT</t>
  </si>
  <si>
    <t>J. Cult. Herit.</t>
  </si>
  <si>
    <t>SEP-OCT</t>
  </si>
  <si>
    <t>10.1016/j.culher.2022.09.012</t>
  </si>
  <si>
    <t>Archaeology; Art; Chemistry, Analytical; Geosciences, Multidisciplinary; Materials Science, Multidisciplinary; Spectroscopy</t>
  </si>
  <si>
    <t>Science Citation Index Expanded (SCI-EXPANDED); Arts &amp; Humanities Citation Index (A&amp;HCI)</t>
  </si>
  <si>
    <t>Archaeology; Art; Chemistry; Geology; Materials Science; Spectroscopy</t>
  </si>
  <si>
    <t>5E0FF</t>
  </si>
  <si>
    <t>WOS:000865306200009</t>
  </si>
  <si>
    <t>Cheng, L</t>
  </si>
  <si>
    <t>Cheng, Lin</t>
  </si>
  <si>
    <t>Decision Modeling and Evaluation of Enterprise Digital Transformation Using Data Mining</t>
  </si>
  <si>
    <t>MOBILE INFORMATION SYSTEMS</t>
  </si>
  <si>
    <t>The paper discusses the commercial opportunities for digitalization, as well as the changes that occur when digital technology is adopted throughout all business areas. A survey of digital firms found that maturing digital organisations are concentrating on integrating digital technologies to revolutionise how businesses operate. A digital strategy supported by management who nurture a culture of change and innovation is a primary predictor of a company's ability to digitally remake itself. Companies that integrate big data, cloud, mobile, and social technologies into their infrastructure are more lucrative, have larger sales, and have a better market valuation than competitors with a weak vision. This paper aims to conduct an in-depth study on the evaluation and decision-making model of the effectiveness of enterprise transforming to digitalization based on data mining in order to address the shortcomings of self-evaluation, promote and improve the process and promote enterprise transforming to digitalization. First, it determines the evaluation index and uses triangular fuzzy numbers to clarify the index weight. It also gathers the opinions of various experts in the decision-making process. Afterward, the decision tree evaluation model is generated through the information gain and ROC curve. Based on enterprises' relevant transforming to digitalization data, the decision tree model is used as the evaluation decision model, and the research on the evaluation model of the point of enterprise transforming to digitalization is completed. Experiments show that the method proposed in this paper has high accuracy, fast algorithm operation efficiency, and robust data mining ability. It can effectively improve and promote the progress of enterprise transforming to digitalization.</t>
  </si>
  <si>
    <t>[Cheng, Lin] Shandong Polytech, New Generat Informat Technol Ind Inst, Jinan 250104, Shandong, Peoples R China</t>
  </si>
  <si>
    <t>Qilu University of Technology</t>
  </si>
  <si>
    <t>Cheng, L (corresponding author), Shandong Polytech, New Generat Informat Technol Ind Inst, Jinan 250104, Shandong, Peoples R China.</t>
  </si>
  <si>
    <t>1317421013@st.usst.edu.cn</t>
  </si>
  <si>
    <t>HINDAWI LTD</t>
  </si>
  <si>
    <t>ADAM HOUSE, 3RD FLR, 1 FITZROY SQ, LONDON, W1T 5HF, ENGLAND</t>
  </si>
  <si>
    <t>1574-017X</t>
  </si>
  <si>
    <t>1875-905X</t>
  </si>
  <si>
    <t>MOB INF SYST</t>
  </si>
  <si>
    <t>Mob. Inf. Syst.</t>
  </si>
  <si>
    <t>SEP 14</t>
  </si>
  <si>
    <t>10.1155/2022/2380100</t>
  </si>
  <si>
    <t>Computer Science, Information Systems; Telecommunications</t>
  </si>
  <si>
    <t>Computer Science; Telecommunications</t>
  </si>
  <si>
    <t>5I6VO</t>
  </si>
  <si>
    <t>WOS:000868492000003</t>
  </si>
  <si>
    <t>Yin, WL</t>
  </si>
  <si>
    <t>Yin, Weili</t>
  </si>
  <si>
    <t>Identifying the pathways through digital transformation to achieve supply chain resilience: an fsQCA approach</t>
  </si>
  <si>
    <t>Digital transformation; Supply chain resilience; Resource orchestration theory; R&amp;D intensity; R&amp;D Employee; fsQCA; Firm size</t>
  </si>
  <si>
    <t>QUALITATIVE COMPARATIVE-ANALYSIS; RESOURCE ORCHESTRATION; BLOCKCHAIN TECHNOLOGY; IMPACT; CAPABILITIES; STRATEGIES</t>
  </si>
  <si>
    <t>The manufacturing industry has placed a greater emphasis on digital transformation, especially under the impact of COVID-19. However, the influence mechanism between digital transformation and supply chain resilience is still a topic of discussion. Resource orchestration theory indicates that a firm not only need to emphasize the investment of resources but also pays attention to the allocation of resources. Therefore, based on the resource orchestration theory, this study divides the digital transformation into digital transformation breadth and digital transformation depth and combines R&amp;D spending (R&amp;D intensity and R&amp;D employee) and contingency factors (firm size) to construct a theoretical path of digital transformation-supply chain resilience. This research uses fuzzy sets qualitative comparative analysis to explore how to configure the digital transformation to achieve high supply chain resilience based on data from 193 listed manufacturing firms. Using the fsQCA software, it was discovered that there were no necessary conditions for achieving high supply chain resilience; sufficient condition analysis revealed that there are six paths to achieving high supply chain resilience, four of which can be summarized as digital transformation driven and the other two as R&amp;D spending driven. These several approaches highlight the complicated causal relationship between digital transformation and supply chain resilience, as well as give theoretical and practical recommendations for firms looking to implement digital strategies and enhance their supply chains.</t>
  </si>
  <si>
    <t>[Yin, Weili] Yunnan Univ Finance &amp; Econ, Sch Logist &amp; Management Engn, Kunming 650221, Yunnan, Peoples R China</t>
  </si>
  <si>
    <t>Yunnan University of Finance &amp; Economics</t>
  </si>
  <si>
    <t>Yin, WL (corresponding author), Yunnan Univ Finance &amp; Econ, Sch Logist &amp; Management Engn, Kunming 650221, Yunnan, Peoples R China.</t>
  </si>
  <si>
    <t>yinweili12345@163.com</t>
  </si>
  <si>
    <t>Yin, Weili/ACW-0782-2022</t>
  </si>
  <si>
    <t>Yin, Weili/0000-0002-9073-5195</t>
  </si>
  <si>
    <t>National Natural Science Foundation Council of China [71661029]; Scientific Research Funds in Yunnan Province Department of Education in 2022 [2022Y481]</t>
  </si>
  <si>
    <t>National Natural Science Foundation Council of China(National Natural Science Foundation of China (NSFC)); Scientific Research Funds in Yunnan Province Department of Education in 2022</t>
  </si>
  <si>
    <t>This research was funded by the National Natural Science Foundation Council of China under Project No. 71661029 and the Scientific Research Funds in Yunnan Province Department of Education in 2022 under No. 2022Y481.</t>
  </si>
  <si>
    <t>10.1007/s11356-022-22917-w</t>
  </si>
  <si>
    <t>F7SS7</t>
  </si>
  <si>
    <t>Bronze, Green Published</t>
  </si>
  <si>
    <t>WOS:000852342500013</t>
  </si>
  <si>
    <t>Stewart, H</t>
  </si>
  <si>
    <t>Stewart, Harrison</t>
  </si>
  <si>
    <t>Digital Transformation Security Challenges</t>
  </si>
  <si>
    <t>JOURNAL OF COMPUTER INFORMATION SYSTEMS</t>
  </si>
  <si>
    <t>Digital strategy security; digital strategy; digital transformation; IS; IT strategy security; information security; digital security</t>
  </si>
  <si>
    <t>INFORMATION SECURITY; DIRECTIONS; MANAGEMENT; USABILITY; CULTURE; DESIGN; IMPACT; NEEDS</t>
  </si>
  <si>
    <t>Digital transformation has become one of the most popular strategies for information systems (IS). Developing and implementing a digital strategy is a mandatory task for any organization that relies on information systems. In this digital age, an IS/IT strategy without security considerations could lead to serious data breaches. Despite all countermeasures, security remains a major concern in digital transformation, as digitization is misjudged and brings with it major security concerns. The digitization of manual goods, processes and services, as well as their use, leads to various security issues in different organizations. The aim of this study is to identify and analyze elements that are typical barriers to digital innovation in organizations. This study addresses common elements that impact the security of digital transformation through a literature review and a case study.</t>
  </si>
  <si>
    <t>[Stewart, Harrison] Univeril, Richmond, VA 23230 USA</t>
  </si>
  <si>
    <t>Stewart, H (corresponding author), Univeril, Robert Koch Str, D-20249 Hamburg 20249, Germany.</t>
  </si>
  <si>
    <t>stewart@harrisonstewart.net</t>
  </si>
  <si>
    <t>Stewart, Harrison/0000-0002-6956-9508</t>
  </si>
  <si>
    <t>TAYLOR &amp; FRANCIS INC</t>
  </si>
  <si>
    <t>PHILADELPHIA</t>
  </si>
  <si>
    <t>530 WALNUT STREET, STE 850, PHILADELPHIA, PA 19106 USA</t>
  </si>
  <si>
    <t>0887-4417</t>
  </si>
  <si>
    <t>2380-2057</t>
  </si>
  <si>
    <t>J COMPUT INFORM SYST</t>
  </si>
  <si>
    <t>J. Comput. Inf. Syst.</t>
  </si>
  <si>
    <t>JUL 4</t>
  </si>
  <si>
    <t>10.1080/08874417.2022.2115953</t>
  </si>
  <si>
    <t>L5TP7</t>
  </si>
  <si>
    <t>WOS:000850937400001</t>
  </si>
  <si>
    <t>Nakamura, CA; Scazufca, M; Moretti, FA; Didone, TVN; Martins, MMD; Pereira, LA; de Souza, CHQ; de Oliveira, GM; da Costa, MO; Machado, M; Bitencourt, ED; dos Santos, MS; Murdoch, J; van de Ven, P; Seward, N; Hollingworth, W; Peters, TJ; Araya, R</t>
  </si>
  <si>
    <t>Nakamura, Carina Akemi; Scazufca, Marcia; Moretti, Felipe Azevedo; Nadaleto Didone, Thiago Vinicius; de Sa Martins, Mariana Mendes; Pereira, Luara Aragoni; Queiroz de Souza, Caio Hudson; de Oliveira, Gabriel Macias; da Costa, Marcelo Oliveira; Machado, Marcelo; Bitencourt, Evelyn da Silva; dos Santos, Monica Souza; Murdoch, Jamie; van de Ven, Pepijn; Seward, Nadine; Hollingworth, William; Peters, Tim J.; Araya, Ricardo</t>
  </si>
  <si>
    <t>Digital psychosocial intervention for depression among older adults in socioeconomically deprived areas in Brazil (PRODIGITAL-D): protocol for an individually randomised controlled trial</t>
  </si>
  <si>
    <t>TRIALS</t>
  </si>
  <si>
    <t>Randomised controlled trial; Process evaluation; Depression; Digital intervention; Psychosocial intervention; Behavioural activation; Psychoeducation; Low- and middle-income countries; Brazil</t>
  </si>
  <si>
    <t>PRIMARY-CARE; LOW-INCOME; SYMPTOMS; VALIDITY; PHQ-9</t>
  </si>
  <si>
    <t>Background Depression in older adults is a challenge for health systems in most low- and middle-income countries (LMICs). Digital strategies for the management of this condition have been emerging worldwide, but the effectiveness of most of them is still unclear, especially among older adults. Thus, we aim to assess the effectiveness and cost-effectiveness of a digital psychosocial intervention to treat depression among older adults living in socioeconomically deprived areas in Guarulhos, Brazil. Methods We will conduct a two-arm individually randomised controlled trial with 1:1 allocation ratio. Five hundred older adults aged 60 years or over with depressive symptomatology (9-item Patient Health Questionnaire score, PHQ-9 &gt;= 10) and registered with one of the primary care clinics will be recruited to participate in this study. A 6-week digital psychosocial programme, named Viva Vida, will be delivered via WhatsApp to participants allocated to the intervention arm. The Viva Vida will send psychoeducational and behavioural activation audio and visual messages 4 days a week for 6 weeks. The control arm will only receive a single message with general information about depression. The primary outcome will be the proportion of depression recovery (PHQ-9 &lt; 10) assessed at 3 months. The cost-effectiveness of the intervention will be assessed at 5 months. A detailed process evaluation will be used to explore context and important implementation outcomes. Discussion This programme was based on the PROACTIVE intervention and designed to be delivered without face-to-face contact. If effective, it could be a simple treatment option, appropriate not only when social distancing is required, but it could also be included as a regular public health programme to initiate depression treatment, particularly in LMICs where resources allocated to mental health are scarce.</t>
  </si>
  <si>
    <t>[Nakamura, Carina Akemi; Scazufca, Marcia; Moretti, Felipe Azevedo; Nadaleto Didone, Thiago Vinicius; de Sa Martins, Mariana Mendes; Queiroz de Souza, Caio Hudson; de Oliveira, Gabriel Macias; da Costa, Marcelo Oliveira; dos Santos, Monica Souza] Univ Sao Paulo, Fac Med FMUSP, Dept Psiquiatria, Sao Paulo, Brazil; [Pereira, Luara Aragoni] Univ Sao Paulo, Fac Med, Hosp Clin HCF MUSP, Inst Psiquiatria, Sao Paulo, Brazil; [Machado, Marcelo] Debase Audiovisual, Sao Paulo, Brazil; [Bitencourt, Evelyn da Silva] Univ Sao Paulo, Fac Arquitetura &amp; Urbanismo FAU, Sao Paulo, Brazil; [Murdoch, Jamie] Kings Coll London, Dept Populat Hlth Sci, London, England; [van de Ven, Pepijn] Univ Limerick, Hlth Res Inst, Limerick, Ireland; [Seward, Nadine; Araya, Ricardo] Kings Coll London, Inst Psychiat Psychol &amp; Neurosci, Hlth Serv &amp; Populat Res, London, England; [Hollingworth, William] Univ Bristol, Bristol Med Sch, Hlth Econ Bristol, Populat Hlth Sci, Bristol, Avon, England; [Peters, Tim J.] Univ Bristol, Populat Hlth Sci, Bristol Med Sch, Bristol, Avon, England; [Peters, Tim J.] Univ Bristol, Bristol Dent Sch, Bristol, Avon, England</t>
  </si>
  <si>
    <t>Universidade de Sao Paulo; Universidade de Sao Paulo; Universidade de Sao Paulo; University of London; King's College London; University of Limerick; University of London; King's College London; University of Bristol; University of Bristol; University of Bristol</t>
  </si>
  <si>
    <t>Scazufca, M (corresponding author), Univ Sao Paulo, Fac Med FMUSP, Dept Psiquiatria, Sao Paulo, Brazil.</t>
  </si>
  <si>
    <t>scazufca@usp.br; ricardo.araya@kcl.ac.uk</t>
  </si>
  <si>
    <t>Peters, Tim/HNI-2741-2023; Scazufca, Marcia/K-7418-2012; Bitencourt, Evelyn/AGY-7211-2022</t>
  </si>
  <si>
    <t>Peters, Tim/0000-0003-2881-4180; Scazufca, Marcia/0000-0002-4545-006X; Nakamura, Carina Akemi/0000-0002-4761-4486; Araya, Ricardo/0000-0002-0420-5148; Seward, Nadine/0000-0002-4821-9437; Hollingworth, William/0000-0002-0840-6254; Murdoch, Jamie/0000-0002-9021-3629; Azevedo Moretti, Felipe/0000-0002-9747-7790</t>
  </si>
  <si>
    <t>Sao Paulo Research Foundation (FAPESP) [2017/50094-2]; Joint Global Health Trials initiative - Medical Research Council; Wellcome Trust; UK Department for International Development (MRC) [MR/R006229/1]; FAPESP [2018/19343-9, 2020/02272-1, 2021/04493-8, 2021/03849-3, 2020/14504-4, 2021/04230-7, 2020/14768-1, 2021/10148-1]; CNPq-Brazil [307579/2019-0]</t>
  </si>
  <si>
    <t>Sao Paulo Research Foundation (FAPESP)(Fundacao de Amparo a Pesquisa do Estado de Sao Paulo (FAPESP)); Joint Global Health Trials initiative - Medical Research Council; Wellcome Trust(Wellcome Trust); UK Department for International Development (MRC); FAPESP(Fundacao de Amparo a Pesquisa do Estado de Sao Paulo (FAPESP)); CNPq-Brazil(Conselho Nacional de Desenvolvimento Cientifico e Tecnologico (CNPQ))</t>
  </si>
  <si>
    <t>This study was funded by Sao Paulo Research Foundation (FAPESP, process number 2017/50094-2) and the Joint Global Health Trials initiative jointly funded by Medical Research Council, Wellcome Trust, and the UK Department for International Development (MRC, process number MR/R006229/1). FAPESP supported CAN (2018/19343-9), FAM (2020/02272-1), TVND (2021/04493-8), MMSM (2021/03849-3), CHQS (2020/14504-4), GMO (2021/04230-7), MOC (2020/14768-1), and MSS (2021/10148-1). MS is supported by CNPq-Brazil (307579/2019-0). For the purpose of open access, the authors have applied a CC BY public copyright licence to any Author Accepted Manuscript version arising from this submission. The funding bodies did not have any role in the design of the study or data collection, analyses, or interpretation of the data or in writing the manuscript.</t>
  </si>
  <si>
    <t>1745-6215</t>
  </si>
  <si>
    <t>Trials</t>
  </si>
  <si>
    <t>SEP 7</t>
  </si>
  <si>
    <t>10.1186/s13063-022-06623-z</t>
  </si>
  <si>
    <t>4I8IC</t>
  </si>
  <si>
    <t>WOS:000850816900003</t>
  </si>
  <si>
    <t>Alexander, B; Bellandi, N</t>
  </si>
  <si>
    <t>Alexander, Bethan; Bellandi, Niccolo</t>
  </si>
  <si>
    <t>Limited or Limitless? Exploring the Potential of NFTs on Value Creation in Luxury Fashion</t>
  </si>
  <si>
    <t>FASHION PRACTICE-THE JOURNAL OF DESIGN CREATIVE PROCESS &amp; THE FASHION INDUSTRY</t>
  </si>
  <si>
    <t>blockchain; NFTs; value creation; technology acceptance; luxury; fashion</t>
  </si>
  <si>
    <t>TECHNOLOGY ACCEPTANCE MODEL; INFORMATION-TECHNOLOGY; BLOCKCHAIN TECHNOLOGY; USER ACCEPTANCE; VIRTUAL-REALITY; PERCEIVED VALUE; QUALITY; PERCEPTIONS; CREDIBILITY; PRICE</t>
  </si>
  <si>
    <t>Accelerated by the global pandemic, the speed of technology adoption has significantly increased, resulting in new business opportunities, channels, touchpoints and digital toolkits. One such burgeoning technology which is generating increasing attention is Nonfungible tokens (NFTs). Adopting an exploratory approach, this study aims to develop a deeper understanding of the value of NFTs from a luxury business and consumer perspective. Taking a qualitative approach, interviews were conducted with luxury experts and consumers, totaling 11 informants. Our findings revealed new technology acceptance and value dimensions in addition to the existing dimensions from literature, within a luxury context, from which two models ensue, NFT value creation and NFT digital strategies. The research makes a valuable contribution to the paucity of existing scholarly studies on blockchain and NFTs and their value creation within a luxury context. It serves to provide preliminary insight into perceptions toward and potential value creation of NFTs for both luxury industry and consumers to inform future luxury digital strategies.</t>
  </si>
  <si>
    <t>[Alexander, Bethan] Univ Arts, London Coll Fash, Fash Retailing &amp; Customer Experience, London, England; [Alexander, Bethan] Univ Arts, London Coll Fash, Fash Business Sch, London, England</t>
  </si>
  <si>
    <t>University of Arts London; University of Arts London</t>
  </si>
  <si>
    <t>Alexander, B (corresponding author), Univ Arts, London Coll Fash, Fash Retailing &amp; Customer Experience, London, England.;Alexander, B (corresponding author), Univ Arts, London Coll Fash, Fash Business Sch, London, England.</t>
  </si>
  <si>
    <t>b.alexander@fashion.arts.ac.uk</t>
  </si>
  <si>
    <t>Alexander, Bethan/0000-0001-5122-9866</t>
  </si>
  <si>
    <t>1756-9370</t>
  </si>
  <si>
    <t>1756-9389</t>
  </si>
  <si>
    <t>FASHION PRACT</t>
  </si>
  <si>
    <t>Fash. Pract.</t>
  </si>
  <si>
    <t>SEP 2</t>
  </si>
  <si>
    <t>10.1080/17569370.2022.2118969</t>
  </si>
  <si>
    <t>Arts &amp; Humanities Citation Index (A&amp;HCI)</t>
  </si>
  <si>
    <t>6C2JE</t>
  </si>
  <si>
    <t>WOS:000881846600004</t>
  </si>
  <si>
    <t>Cillo, P; Verona, G</t>
  </si>
  <si>
    <t>Cillo, Paola; Verona, Gianmario</t>
  </si>
  <si>
    <t>The strategic organization of innovation: State of the art and emerging challenges</t>
  </si>
  <si>
    <t>STRATEGIC ORGANIZATION</t>
  </si>
  <si>
    <t>capabilities; digital strategy; dynamic capabilities; innovation management; organizational change; topics and perspectives</t>
  </si>
  <si>
    <t>TECHNOLOGICAL-CHANGE; DYNAMIC CAPABILITIES; PRODUCT DEVELOPMENT; COMPLEMENTARY ASSETS; DIGITAL PHOTOGRAPHY; MANAGEMENT; AMBIDEXTERITY; ATTENTION; FUTURE; DISCONTINUITIES</t>
  </si>
  <si>
    <t>Building on the vast literature on technological innovation and new product development, we propose a strategic organization framework to inform future research. The framework focuses on two core constructs: agents (external stakeholders and internal members of the firm involved in innovation activities) and capabilities (activities, systems, and values that retain and unfold organizational knowledge). It also distinguishes between two levels: the new product development process (the strategic and organizational sequences of tasks and decisions that compose product development activities); and the firm (the strategic and higher-order activities that shape corporate governance, corporate strategy, competitive strategy, and the organizational configuration of the firm). We draw on the framework to highlight how the strategic and organizational management of innovation has moved from a specialized organizational unit, the Research and Development function, to the C-suite. We discuss the implications of this framework for future research and highlight emerging challenges related to short-term financial pressures, sustainability, and digital transformation.</t>
  </si>
  <si>
    <t>[Cillo, Paola; Verona, Gianmario] Bocconi Univ, Management, Milan, Italy</t>
  </si>
  <si>
    <t>Bocconi University</t>
  </si>
  <si>
    <t>Verona, G (corresponding author), Bocconi Univ, Dept Management &amp; Technol, Via Roentgen 1, I-20136 Milan, Italy.</t>
  </si>
  <si>
    <t>paola.cillo@unibocconi.it; gianmario.verona@unibocconi.it</t>
  </si>
  <si>
    <t>Raharisoa, Emérancia/HOH-8694-2023</t>
  </si>
  <si>
    <t>VERONA, GIANMARIO/0000-0002-9992-2544; CILLO, PAOLA/0000-0002-2496-8900</t>
  </si>
  <si>
    <t>1476-1270</t>
  </si>
  <si>
    <t>1741-315X</t>
  </si>
  <si>
    <t>STRATEG ORGAN</t>
  </si>
  <si>
    <t>Strateg. Organ.</t>
  </si>
  <si>
    <t>10.1177/14761270221119113</t>
  </si>
  <si>
    <t>6H4QN</t>
  </si>
  <si>
    <t>WOS:000849427700001</t>
  </si>
  <si>
    <t>Ciccone, A; Suglia, P; Asprone, D; Salzano, A; Nicolella, M</t>
  </si>
  <si>
    <t>Ciccone, Angelo; Suglia, Pompilio; Asprone, Domenico; Salzano, Antonio; Nicolella, Maurizio</t>
  </si>
  <si>
    <t>Defining a Digital Strategy in a BIM Environment to Manage Existing Reinforced Concrete Bridges in the Context of Italian Regulation</t>
  </si>
  <si>
    <t>existing R; C; bridges; bridge management; BIM modelling; information management; structural regulatory context</t>
  </si>
  <si>
    <t>MODEL; MAINTENANCE; DELIVERY; REPAIR</t>
  </si>
  <si>
    <t>Regulatory activity concerning the management of existing bridges has recently been affected by updates, for instance, in Italy, which calls for a speedy and pragmatic approach based on new technologies such as building information modeling (BIM), when dealing with the survey and risk classification as well as the evaluation and monitoring of structural safety. This paper focuses on the development and integration of a digital solution, based principally on the specific framework developed by the authors, which supports BIM modeling and information management activities, in the structural setting under investigation, through the use of several technologies and tools, namely BIM-authoring, CDE platform and visual programming, in addition to programming in Python. Starting from the organization of a specific BIM object library and the initial data, inserted by means of a custom-made input environment, it was possible to reproduce digital models of bridges in accordance with specific information requirements following the new Level of Information Need setting. The applicability of the proposal is tested on two judiciously chosen real-life cases with different characteristics. Through this implementation, a series of advantages emerge, including expediting traditional procedures for BIM modeling, accessibility and traceability of information-which are constantly updated to support the monitoring of structural safety over time-and the decision-making process related to the bridge management context.</t>
  </si>
  <si>
    <t>[Ciccone, Angelo; Suglia, Pompilio; Asprone, Domenico] Univ Naples Federico II, Dept Struct Engn &amp; Architecture, I-80125 Naples, Italy; [Salzano, Antonio; Nicolella, Maurizio] Univ Naples Federico II, Dept Civil Architectural &amp; Environm Engn, I-80125 Naples, Italy</t>
  </si>
  <si>
    <t>University of Naples Federico II; University of Naples Federico II</t>
  </si>
  <si>
    <t>Ciccone, A (corresponding author), Univ Naples Federico II, Dept Struct Engn &amp; Architecture, I-80125 Naples, Italy.</t>
  </si>
  <si>
    <t>angelo.ciccone@unina.it</t>
  </si>
  <si>
    <t>Asprone, Domenico/G-8166-2012</t>
  </si>
  <si>
    <t>CICCONE, ANGELO/0000-0001-9737-4698; Salzano, Antonio/0000-0002-2068-760X</t>
  </si>
  <si>
    <t>10.3390/su141811767</t>
  </si>
  <si>
    <t>4R8WZ</t>
  </si>
  <si>
    <t>WOS:000857038300001</t>
  </si>
  <si>
    <t>de Araujo, EM; Rezende, DA; de Almeida, GGF</t>
  </si>
  <si>
    <t>de Araujo Junior, Edson Modesto; Rezende, Denis Alcides; Feijo de Almeida, Giovana Goretti</t>
  </si>
  <si>
    <t>Municipal public services and strategies in the context of the strategic digital city</t>
  </si>
  <si>
    <t>Municipal Strategy; Public Services; Strategic Digital City; Public Administration</t>
  </si>
  <si>
    <t>INFORMATION; CITIZENS</t>
  </si>
  <si>
    <t>The complexity of cities involves municipal transactional public strategies and services, involving the making of important decisions related to public administration strategies. The objective is to analyze city strategies and transactional services in the context of the strategic digital city. The research methodology adopted a case study with a qualitative approach and a research protocol with 6 variables. The results obtained were that the focus of transactional public services and city strategies are concentrated on the government theme. This shows that the other themes of the city still need to evolve in terms of public services and city strategies. The conclusion reiterates that there are municipal transactional strategies and services in Porto Velho in the context of the strategic digital city, which can help in the quality of life of citizens.</t>
  </si>
  <si>
    <t>[de Araujo Junior, Edson Modesto] Univ Fed Rondonia UNIR, V Pres Dutra,2965 Olaria, BR-76801058 Porto Velho, RO, Brazil; [Rezende, Denis Alcides] Depaul Univ, Sch Publ Serv, Cidade Digital Estrateg, Chicago, IL 60604 USA; [Rezende, Denis Alcides] Pontificia Univ Catolica Parana PUCPR, R Imac Conceicao,1155 Prado Velho, BR-80215901 Curitiba, PR, Brazil; [Feijo de Almeida, Giovana Goretti] CiTUR Leiria, R Gen Norton Matos Apartado 4133, P-2411901 Leiria, Portugal; [Feijo de Almeida, Giovana Goretti] Inst Politecn Leiria, R Gen Norton Matos Apartado 4133, P-2411901 Leiria, Portugal</t>
  </si>
  <si>
    <t>Universidade Federal de Rondonia; DePaul University; Polytechnic Institute of Leiria</t>
  </si>
  <si>
    <t>de Araujo, EM (corresponding author), Univ Fed Rondonia UNIR, V Pres Dutra,2965 Olaria, BR-76801058 Porto Velho, RO, Brazil.</t>
  </si>
  <si>
    <t>modesto@unir.br; denis.rezende@pucpr.br; goretti.giovana@gmail.com</t>
  </si>
  <si>
    <t>10.7769/gesec.v13i3.1387</t>
  </si>
  <si>
    <t>6R9AC</t>
  </si>
  <si>
    <t>WOS:000892587000004</t>
  </si>
  <si>
    <t>Hoyk, E; Szalai, A; Palkovics, A; Farkas, JZ</t>
  </si>
  <si>
    <t>Hoyk, Edit; Szalai, Adam; Palkovics, Andras; Farkas, Jeno Zsolt</t>
  </si>
  <si>
    <t>Policy Gaps Related to Sustainability in Hungarian Agribusiness Development</t>
  </si>
  <si>
    <t>AGRONOMY-BASEL</t>
  </si>
  <si>
    <t>sustainability; digitalization; ecologization; agribusiness development; Hungary</t>
  </si>
  <si>
    <t>COMMON AGRICULTURAL POLICY; CLIMATE-CHANGE; REGENERATIVE AGRICULTURE; FOOD; FUTURE; IMPACTS; EUROPE; CONSERVATION; CHALLENGES; EMISSIONS</t>
  </si>
  <si>
    <t>The world's agriculture faces many challenges nowadays, such as tackling the effects of climate change, conserving agrobiodiversity, or feeding the Earth's growing population. These issues often induce conflicting development directions, such as digitalization and ecologization, as the case of the European Union's Common Agricultural Policy (CAP) shows. In the last decades, policymakers have focused mainly on greening agricultural production and the food industry, and now the CAP is part of the European Green Deal. In our research, we assessed the sustainability problems affecting the agribusiness sector and food consumption in Hungary using descriptive statistical analysis. On the other hand, we examined the latest sectoral development documents (Digital Agricultural Strategy, Digital Food Industry Strategy) in order to find out to what extent they answer the identified issues. Our results revealed that the Hungarian agribusiness sector is struggling with several sustainability challenges, which do not receive adequate attention from policymakers. The newest development strategies are characterized by forced digitalization efforts, while their applicability and effectiveness are uncertain. Because of similar development trajectories, we believe most of our results are relevant to other Central Eastern European Member states. Hence, further CAP and national policy reforms are needed to make Europe's agribusiness sector more sustainable.</t>
  </si>
  <si>
    <t>[Hoyk, Edit; Szalai, Adam; Farkas, Jeno Zsolt] Ctr Econ &amp; Reg Studies, Great Plain Res Dept, 3 Rakoczi Str, H-6000 Kecskemet, Hungary; [Hoyk, Edit; Palkovics, Andras] John von Neumann Univ, Fac Hort &amp; Rural Dev, 10 Izsaki Str, H-6000 Kecskemet, Hungary</t>
  </si>
  <si>
    <t>Eotvos Lorand Research Network; Hungarian Academy of Sciences; Hungarian Centre for Economic &amp; Regional Studies; John von Neumann University</t>
  </si>
  <si>
    <t>Hoyk, E (corresponding author), Ctr Econ &amp; Reg Studies, Great Plain Res Dept, 3 Rakoczi Str, H-6000 Kecskemet, Hungary.;Hoyk, E (corresponding author), John von Neumann Univ, Fac Hort &amp; Rural Dev, 10 Izsaki Str, H-6000 Kecskemet, Hungary.</t>
  </si>
  <si>
    <t>hoyk.edit@krtk.hu</t>
  </si>
  <si>
    <t>Szalai, Adam/0000-0002-8786-0470; Farkas, Jeno Zsolt/0000-0002-4245-2908; Hoyk, Edit/0000-0002-2956-8308</t>
  </si>
  <si>
    <t>Janos Bolyai Research Scholarship of the Hungarian Academy of Sciences [BO/00353/21/10]</t>
  </si>
  <si>
    <t>Janos Bolyai Research Scholarship of the Hungarian Academy of Sciences(Hungarian Academy of Sciences)</t>
  </si>
  <si>
    <t>This paper was supported by the Janos Bolyai Research Scholarship of the Hungarian Academy of Sciences (BO/00353/21/10).</t>
  </si>
  <si>
    <t>2073-4395</t>
  </si>
  <si>
    <t>Agronomy-Basel</t>
  </si>
  <si>
    <t>10.3390/agronomy12092084</t>
  </si>
  <si>
    <t>Agronomy; Plant Sciences</t>
  </si>
  <si>
    <t>Agriculture; Plant Sciences</t>
  </si>
  <si>
    <t>4Q6BB</t>
  </si>
  <si>
    <t>WOS:000856165100001</t>
  </si>
  <si>
    <t>Koman, G; Bubeliny, O; Tumova, D; Jankal, R</t>
  </si>
  <si>
    <t>Koman, Gabriel; Bubeliny, Oliver; Tumova, Dominika; Jankal, Radoslav</t>
  </si>
  <si>
    <t>SUSTAINABLE TRANSPORT WITHIN THE CONTEXT OF SMART CITIES IN THE SLOVAK REPUBLIC</t>
  </si>
  <si>
    <t>ENTREPRENEURSHIP AND SUSTAINABILITY ISSUES</t>
  </si>
  <si>
    <t>Smart City; sustainable transport; sustainable mobility; digital strategy</t>
  </si>
  <si>
    <t>The presented article focuses on the area of sustainable transport within the Smart City concept. Mobility, created in connection with the Smart City concept, is a service integrating several other types of transport services into one complex platform. The article examined the current situation in this area and its future development in the Slovak Republic. The main motivation of the authors for focusing on the Smart City concept was the topicality of this issue and its usability for process optimization, cost savings, and the achievement of sustainability. Methods such as orientation analysis, content analysis of documents, or sociological questioning using the questionnaire survey technique were used in the analysis. Several research questions and a research hypothesis were defined. It focused on the operation of local governments in the implementation of the Smart City concept and their orientation on the aspect of transport. The main findings include the fact that 22 Slovak cities out of the total number of 39 analysed cities are interested in the application of modern technologies. Another finding concerns the availability of a strategy focused directly on the Smart City concept on the city's website. It can be argued that only five websites had such a strategy available. The output of the research presented in this article was the creation of recommendations aimed at the implementation of the Smart City concept regarding the support of sustainable transport in the Slovak Republic. Using these recommendations, local governments will be able to formulate their digital strategies more effectively, leading to the practical implementation of the Smart City concept.</t>
  </si>
  <si>
    <t>[Koman, Gabriel; Bubeliny, Oliver; Jankal, Radoslav] Univ Zilina, Fac Management Sci &amp; Informat, Univ 8215-1, Zilina 01026, Slovakia; [Tumova, Dominika] Univ Zilina, Fac Management Sci &amp; Informat, Univ Sci Pk,Univ 8215-1, Zilina 01026, Slovakia</t>
  </si>
  <si>
    <t>University of Zilina; University of Zilina</t>
  </si>
  <si>
    <t>Koman, G (corresponding author), Univ Zilina, Fac Management Sci &amp; Informat, Univ 8215-1, Zilina 01026, Slovakia.</t>
  </si>
  <si>
    <t>gabriel.koman@fri.uniza.sk; oliver.bubeliny@fri.uniza.sk; dominika.tumova@uniza.sk; radoslav.jankal@fri.uniza.sk</t>
  </si>
  <si>
    <t>Tumová, Dominika/AAY-2006-2021</t>
  </si>
  <si>
    <t>Tumová, Dominika/0000-0003-2393-2946; Bubeliny, Oliver/0000-0002-0818-2510</t>
  </si>
  <si>
    <t>Operational Program Integrated Infrastructure 2014 - 2020 of the project: Intelligent operating and processing systems for UAVs [ITMS 313011V422]; European Regional Development Fund</t>
  </si>
  <si>
    <t>Operational Program Integrated Infrastructure 2014 - 2020 of the project: Intelligent operating and processing systems for UAVs; European Regional Development Fund(European Union (EU))</t>
  </si>
  <si>
    <t>This publication was created with the support of Operational Program Integrated Infrastructure 2014 - 2020 of the project: Intelligent operating and processing systems for UAVs, code ITMS 313011V422, co-financed by the European Regional Development Fund.</t>
  </si>
  <si>
    <t>ENTERPRENEURSHIP &amp; SUSTAINABILITY CENTER</t>
  </si>
  <si>
    <t>VILNUS</t>
  </si>
  <si>
    <t>M K CIURLIONIO STR 86A, VILNUS, 03100, LITHUANIA</t>
  </si>
  <si>
    <t>2345-0282</t>
  </si>
  <si>
    <t>ENTREP SUSTAIN ISS</t>
  </si>
  <si>
    <t>Entrepreneurship. Sustain.</t>
  </si>
  <si>
    <t>10.9770/jesi.2022.10.1(9)</t>
  </si>
  <si>
    <t>6O7CA</t>
  </si>
  <si>
    <t>WOS:000890397700001</t>
  </si>
  <si>
    <t>Lousa, MD; Lousa, EP</t>
  </si>
  <si>
    <t>Lousa, Mario Dias; Lousa, Eva Petiz</t>
  </si>
  <si>
    <t>Conditioning factors in the remote learning context in higher education</t>
  </si>
  <si>
    <t>REVISTA EDAPECI-EDUCACAO A DISTANCIA E PRATICAS EDUCATIVAS COMUNICACIONAIS E INTERCULTURAIS</t>
  </si>
  <si>
    <t>COVID-19 pandemic; Efficacy; Information technology; Remote learning; Soft Skills.</t>
  </si>
  <si>
    <t>ENVIRONMENTS; EMOTIONS; SKILLS</t>
  </si>
  <si>
    <t>With the epidemiological scenario produced by the COVID-19 pandemic, information technologies have increased their importance in education and become even more significant, forcing unforeseen and fundamental adjustments in the organization of work. To ensure that students continue to learn, these developments in educational institutions have led to the increasing use of remote learning. This study investigates the factors that facilitate or condition students' perception of their perceived efficacy and development of soft skills in a remote learning environment during the second COVID-19 blockade in Portugal. Between March 1 and 15, 2021, 258 students (higher education) who were enrolled in remote learning answered a web-based cross-sectional questionnaire. The results of the regression analysis revealed several conditioning factors for this type of learning that can impact on the effectiveness and development of students' competencies: technological issues, learning conditions (e.g., autonomy, study materials) and demotivation were significant factors. Given current and future generations of students, the results of this study provide clues for higher education managers and teachers to develop digital strategies to provide innovative, attractive and motivating learning environments.</t>
  </si>
  <si>
    <t>[Lousa, Mario Dias] Inst Politecn Gaya ISPGaya, Lisbon, Portugal; [Lousa, Eva Petiz] Inst Univ Maia ISMAI, Porto, Portugal; [Lousa, Eva Petiz] Inst Politecn Porto, Escola Super Contabilidade &amp; Negocios Porto, Porto, Portugal</t>
  </si>
  <si>
    <t>Instituto Universitario da Maia (ISMAI); Instituto Politecnico do Porto</t>
  </si>
  <si>
    <t>Lousa, MD (corresponding author), Inst Politecn Gaya ISPGaya, Lisbon, Portugal.</t>
  </si>
  <si>
    <t>Lousã, Mário Dias/AAA-3387-2019; Lousa, Eva/S-1815-2018</t>
  </si>
  <si>
    <t>Lousã, Mário Dias/0000-0001-7776-5528; Lousa, Eva/0000-0001-8212-8638</t>
  </si>
  <si>
    <t>UNIV FEDERAL SERGIPE</t>
  </si>
  <si>
    <t>SERGIPE</t>
  </si>
  <si>
    <t>AV VEREADOR OLIMPIO GRANDE, ITABAIANA, SERGIPE, 00000, BRAZIL</t>
  </si>
  <si>
    <t>2176-171X</t>
  </si>
  <si>
    <t>REV EDAPECI</t>
  </si>
  <si>
    <t>Rev. EDaPECI</t>
  </si>
  <si>
    <t>10.29276/redapeci.2022.22.318349.19-31</t>
  </si>
  <si>
    <t>8F4ZN</t>
  </si>
  <si>
    <t>WOS:000919673400003</t>
  </si>
  <si>
    <t>Nikitenko, V; Voronkova, V; Oleksenko, R; Andriukaitiene, R; Holovii, L</t>
  </si>
  <si>
    <t>Nikitenko, Vitalina; Voronkova, Valentyna; Oleksenko, Roman; Andriukaitiene, Regina; Holovii, Liudmyla</t>
  </si>
  <si>
    <t>Education as a factor of cognitive society development in the conditions of digital transformation</t>
  </si>
  <si>
    <t>Education; society; computer literacy; Economic systems; information</t>
  </si>
  <si>
    <t>HOMO-ECONOMICUS</t>
  </si>
  <si>
    <t>The purpose of the study is to conceptualize the cognitive development of society as a factor of digital transformation. The solution of this problem contributes to the formation of a new theory that requires the introduction of innovative technologies that play a very important role in the sustainable development of society. The research methodology used consists of axiological, comparative, synergistic, structural-functional methods and approaches. The emergence of a new digital person is explored, whose essence is that the technological revolution has made it possible for everyone to connect to the network, to contribute to the network effect, allowing people to work in real time and generate income by moving in the markets. The concept of the formation of the digital economy has been structured, as a factor in the cognitive development of society, and new digital strategies have been revealed for firms, companies, organizations, companies that face immeasurable challenges and opportunities for digitization and for achieve success.</t>
  </si>
  <si>
    <t>[Nikitenko, Vitalina; Voronkova, Valentyna] Zaporizhzhia Natl Univ, Zaporizhzhia, Ukraine; [Oleksenko, Roman] Dmytro Motornyi Tavria State Agrotechnol Univ, Melitopol, Ukraine; [Andriukaitiene, Regina] Marijampole Univ Appl Sci, Marijampole, Lithuania; [Andriukaitiene, Regina] Lithuanian Sports Univ, Kaunas, Lithuania; [Holovii, Liudmyla] Natl Univ Life &amp; Environm Sci Ukraine, Kiev, Ukraine</t>
  </si>
  <si>
    <t>Ministry of Education &amp; Science of Ukraine; Zaporizhzhia National University; Ministry of Education &amp; Science of Ukraine; Dmytro Motornyi Tavria State Agrotechnological University; Lithuanian Sports University; National University of Life &amp; Environmental Sciences of Ukraine</t>
  </si>
  <si>
    <t>Nikitenko, V (corresponding author), Zaporizhzhia Natl Univ, Zaporizhzhia, Ukraine.</t>
  </si>
  <si>
    <t>vitalina2006@ukr.net; valentinavoronkova236@gmail.com; roman.xdsl@ukr.net; regina.andriukaitiene@gmail.com; Lyudmyla_Holoviy@nubip.edu.ua</t>
  </si>
  <si>
    <t>Holovii, Liudmyla/AET-4065-2022; Vitalina, Nikitenko/AAQ-5631-2021; Oleksenko, Roman/I-4725-2017; Voronkova, Valentyna/T-2057-2017</t>
  </si>
  <si>
    <t>Vitalina, Nikitenko/0000-0001-9588-7836; Oleksenko, Roman/0000-0002-2171-514X; Voronkova, Valentyna/0000-0002-0719-1546</t>
  </si>
  <si>
    <t>10.46925//rdluz.38.37</t>
  </si>
  <si>
    <t>5E3FE</t>
  </si>
  <si>
    <t>Green Submitted, hybrid</t>
  </si>
  <si>
    <t>WOS:000865512800035</t>
  </si>
  <si>
    <t>Panduru, DA; Scarlat, C</t>
  </si>
  <si>
    <t>Panduru, Dan Andrei; Scarlat, Cezar</t>
  </si>
  <si>
    <t>Digitalization and Strategic Changes in Romanian Retail Fuel Networks: A Qualitative Study</t>
  </si>
  <si>
    <t>strategic changes; digitalization; digital strategy; digital transformation; digital acceleration; coronavirus pandemic as digital accelerator; fuel retail networks; trends in oil and gas industry</t>
  </si>
  <si>
    <t>The oil and gas industry is among the most affected industries as a result of war in Ukraine, on top of other economic, political, and environmental global turbulences that culminated with the coronavirus pandemic. The purpose of this qualitative, explorative study was to identify strategic changes as well as the role played by newer technologies-digital technologies in particular-in this industry. The focus is on the Romanian oil and gas industry, more specifically on the retail fuel networks of the top companies. In addition to secondary research (literature and company documents), interview-based primary research was conducted. The data were collected during spring of 2022 by conducting interviews with two groups of subjects: the strategists-consisting of top managers from the largest companies active in the oil and gas industry in Romania; and the informed consumers-selected from people working in the oil and gas industry. The interview guides were slightly different depending on the two groups targeted, and the structure of the interview guide was developed according to research questions. Among the findings, we can observe that the fuel retail market and consumer behaviour changed due to a series of factors, such as the global economic crisis, COVID-19, the Russian invasion of Ukraine, and inflation. Those factors forced fuel retail companies, at the global level, to invest in filling station shops, services development, digitalization, and divestment-selling gas station networks in countries with poor integration with refineries. Romanian fuel retail companies are following the global trends and focusing on filling station shops, alternative fuels development, and digitalization. The results are followed by discussions, and several managerial implications are suggested. The study limitations and several further research paths are also identified. Based on the data available, we can conclude that the strategic directions at the level of products and services are aligned, but at the execution level, specialists offer different solutions for customer expectations.</t>
  </si>
  <si>
    <t>[Panduru, Dan Andrei; Scarlat, Cezar] Univ Politehn Bucuresti, Doctoral Sch Entrepreneurship Business Engn &amp; Man, Bucharest 060042, Romania</t>
  </si>
  <si>
    <t>Polytechnic University of Bucharest</t>
  </si>
  <si>
    <t>Panduru, DA (corresponding author), Univ Politehn Bucuresti, Doctoral Sch Entrepreneurship Business Engn &amp; Man, Bucharest 060042, Romania.</t>
  </si>
  <si>
    <t>dpanduru91@gmail.com</t>
  </si>
  <si>
    <t>2078-2489</t>
  </si>
  <si>
    <t>Information</t>
  </si>
  <si>
    <t>10.3390/info13090416</t>
  </si>
  <si>
    <t>4T6GR</t>
  </si>
  <si>
    <t>WOS:000858213600001</t>
  </si>
  <si>
    <t>Díaz, GR</t>
  </si>
  <si>
    <t>Ruiz Diaz, Gonzalo</t>
  </si>
  <si>
    <t>Private participation in government-led backbone network projects: Lessons from three Latin American experiments</t>
  </si>
  <si>
    <t>TELECOMMUNICATIONS POLICY</t>
  </si>
  <si>
    <t>Backbone network; Public-private partnership; Broadband; Risk allocation</t>
  </si>
  <si>
    <t>This study presents an ex post comparative assessment of the relative performance of three Latin American broadband network emblematic projects implemented through public-private projects (PPP). Results show that the relative performance of these projects is extremely sensitive to differences in contractual design and regulatory approaches applied in each case. The detailed examination and comparative analysis of these experiences allowed us to extract important lessons in terms of design and implementation of PPP in telecommunications sector. In particular, our analysis finds that imperfect financing and demand risk allocations in projects can jeopardize their operational and financial sustainability. As well, the examination of these experiences allows us to conclude that in markets characterized by continuous economic and technological transformations, vertical separation restrictions imposed for reducing the risk of increasing market power and concentration may not be justified. As well, analysis shows that in such evolving contexts, a more flexible and adaptable regulatory approach is recommendable. Finally, our analysis reveals the role of complementary policies in the context of the implementation of countries' digital strategies, as a means that contribute to ensure the accomplishment of broadband accessibility national targets.</t>
  </si>
  <si>
    <t>[Ruiz Diaz, Gonzalo] Pontifical Catholic Univ Peru, Dept Econ, Lima, Peru</t>
  </si>
  <si>
    <t>Pontificia Universidad Catolica del Peru</t>
  </si>
  <si>
    <t>Díaz, GR (corresponding author), Pontifical Catholic Univ Peru, Dept Econ, Lima, Peru.</t>
  </si>
  <si>
    <t>gruiz@pucp.edu.pe</t>
  </si>
  <si>
    <t>Ruiz Diaz, Gonzalo Martin/AGF-8317-2022</t>
  </si>
  <si>
    <t>Ruiz Diaz, Gonzalo Martin/0000-0001-9972-9181</t>
  </si>
  <si>
    <t>0308-5961</t>
  </si>
  <si>
    <t>1879-3258</t>
  </si>
  <si>
    <t>TELECOMMUN POLICY</t>
  </si>
  <si>
    <t>Telecommun. Policy</t>
  </si>
  <si>
    <t>10.1016/j.telpol.2022.102367</t>
  </si>
  <si>
    <t>Communication; Information Science &amp; Library Science; Telecommunications</t>
  </si>
  <si>
    <t>8T1UH</t>
  </si>
  <si>
    <t>WOS:000929053500004</t>
  </si>
  <si>
    <t>Santana, YP</t>
  </si>
  <si>
    <t>Santana, Yaimara Penate</t>
  </si>
  <si>
    <t>BINDING RELATIONSHIP BETWEEN DIGITAL MARKETING STRATEGIES AND THE FAILURE OF SMEs. GUAYAQUIL CASE STUDY</t>
  </si>
  <si>
    <t>digital marketing; business failure; ecuadorian SMEs; business survival</t>
  </si>
  <si>
    <t>Every day, SMEs face various challenges to operate, in which the use of digital marketing strategies has been crucial to ensure their success or failure. This study analyzed the perception of Ecuadorian entrepreneurs on the role of these strategies in the failure of their businesses. The research was exploratory-descriptive; through a survey applied to a non-probabilistic sample of 21 entrepreneurs. The results showed that the use of digital strategies as a means of advertising and promotion is almost null. The most used medium has been social networks (whatsapp and Facebook) and promotions were based on offers and free samples. E-commerce was not a widely used channel either, despite the fact that the benefit of web pages to achieve a greater reach and attract new customers is recognized. Correspondingly, investment in this type of strategy was almost nil, as was the use of metrics to track them. Finally, the entrepreneurs agreed that the limited use of digital marketing had no influence on the closure of their businesses, an opinion that contradicts the results of other research.</t>
  </si>
  <si>
    <t>[Santana, Yaimara Penate] Univ Guayaquil, Guayaquil, Ecuador</t>
  </si>
  <si>
    <t>Santana, YP (corresponding author), Univ Guayaquil, Guayaquil, Ecuador.</t>
  </si>
  <si>
    <t>yaimara.penates@ug.edu.ec</t>
  </si>
  <si>
    <t>6Z5OJ</t>
  </si>
  <si>
    <t>WOS:000897825500026</t>
  </si>
  <si>
    <t>7B7UO</t>
  </si>
  <si>
    <t>WOS:000899334400026</t>
  </si>
  <si>
    <t>Byiringiro, S; Lacanienta, C; Clark, R; Evans, C; Stevens, S; Reese, M; Ouyang, P; Terkowitz, M; Weston, C; Galiatsatos, P; Vazquez, MG; Luthardt, FW; Himmelfarb, CRD</t>
  </si>
  <si>
    <t>Byiringiro, Samuel; Lacanienta, Cyd; Clark, Roger; Evans, Crystal; Stevens, Sarah; Reese, Melanie; Ouyang, Pamela; Terkowitz, Mia; Weston, Christine; Galiatsatos, Panagis; Vazquez, Monica Guerrero; Luthardt, Frederick W.; Himmelfarb, Cheryl R. Dennison</t>
  </si>
  <si>
    <t>Digital and virtual strategies to advance community stakeholder engagement in research during COVID-19 pandemic</t>
  </si>
  <si>
    <t>JOURNAL OF CLINICAL AND TRANSLATIONAL SCIENCE</t>
  </si>
  <si>
    <t>Community engagement; community-engaged research; virtual engagement; community stakeholders; COVID-19</t>
  </si>
  <si>
    <t>Despite the adversity presented by COVID-19 pandemic, it also pushed for experimenting with innovative strategies for community engagement. The Community Research Advisory Council (C-RAC) at Johns Hopkins University (JHU), is an initiative to promote community engagement in research. COVID-19 rendered it impossible for C-RAC to conduct its meetings all of which have historically been in person. We describe the experience of advancing the work of the C-RAC during COVID-19 using digital and virtual strategies. Since March 2020, C-RAC transitioned from in person to virtual meetings. The needs assessment was conducted among C-RAC members, and individualized solutions provided for a successful virtual engagement. The usual working schedule was altered to respond to COVID-19 and promote community engaged research. Attendance to C-RAC meetings before and after the transition to virtual operation increased from 69% to 76% among C-RAC members from the community. In addition, the C-RAC launched new initiatives and in eighteen months since January 2020, it conducted 50 highly rated research reviews for 20 research teams. The experience of the C-RAC demonstrates that when community needs are assessed and addressed, and technical support is provided, digital strategies can lead to greater community collaborations.</t>
  </si>
  <si>
    <t>[Byiringiro, Samuel; Himmelfarb, Cheryl R. Dennison] Johns Hopkins Sch Nursing, Baltimore, MD USA; [Byiringiro, Samuel; Lacanienta, Cyd; Evans, Crystal; Stevens, Sarah; Ouyang, Pamela; Terkowitz, Mia; Weston, Christine; Vazquez, Monica Guerrero; Luthardt, Frederick W.; Himmelfarb, Cheryl R. Dennison] Johns Hopkins Inst Clin &amp; Translat Res, Baltimore, MD USA; [Clark, Roger; Reese, Melanie; Ouyang, Pamela; Galiatsatos, Panagis; Vazquez, Monica Guerrero; Luthardt, Frederick W.] Community Res Advisory Council, Baltimore, MD USA; [Ouyang, Pamela; Galiatsatos, Panagis; Vazquez, Monica Guerrero; Luthardt, Frederick W.; Himmelfarb, Cheryl R. Dennison] Johns Hopkins Univ, Sch Med, Baltimore, MD USA; [Galiatsatos, Panagis] Off Divers Inclus &amp; Hlth Equ, Baltimore, MD USA; [Vazquez, Monica Guerrero] Ctr Hlth &amp; Opportun Latinos, Baltimore, MD USA</t>
  </si>
  <si>
    <t>Johns Hopkins University; Johns Hopkins University; Johns Hopkins University</t>
  </si>
  <si>
    <t>Byiringiro, S (corresponding author), 525 N Wolfe St, Baltimore, MD 21205 USA.</t>
  </si>
  <si>
    <t>sbyirin1@jhu.edu</t>
  </si>
  <si>
    <t>Byiringiro, Samuel/0000-0001-9165-0348; Lacanienta, Cyd/0000-0002-3840-0822; Guerrero Vazquez, Monica/0000-0002-4072-3954</t>
  </si>
  <si>
    <t>National Center for Advancing Translational Sciences (NCATS) a component of the National Institutes of Health (NIH) [UL1 TR003098]; NIH Roadmap for Medical Research; Communities and Universities Engaged to Fight COVID-19 (CUE COVID-19) [OT2HL161612]</t>
  </si>
  <si>
    <t>National Center for Advancing Translational Sciences (NCATS) a component of the National Institutes of Health (NIH)(United States Department of Health &amp; Human ServicesNational Institutes of Health (NIH) - USANIH National Center for Advancing Translational Sciences (NCATS)); NIH Roadmap for Medical Research(United States Department of Health &amp; Human ServicesNational Institutes of Health (NIH) - USA); Communities and Universities Engaged to Fight COVID-19 (CUE COVID-19)</t>
  </si>
  <si>
    <t>This work was made possible by the Johns Hopkins Institute for Clinical and Translational Research (ICTR) which is funded in part by Grant Number UL1 TR003098 from the National Center for Advancing Translational Sciences (NCATS) a component of the National Institutes of Health (NIH), and NIH Roadmap for Medical Research. Its contents are solely the responsibility of the authors and do not necessarily represent the official view of the Johns Hopkins ICTR, NCATS or NIH. Funding was also provided by grant number OT2HL161612, Communities and Universities Engaged to Fight COVID-19 (CUE COVID-19).</t>
  </si>
  <si>
    <t>CAMBRIDGE UNIV PRESS</t>
  </si>
  <si>
    <t>EDINBURGH BLDG, SHAFTESBURY RD, CB2 8RU CAMBRIDGE, ENGLAND</t>
  </si>
  <si>
    <t>2059-8661</t>
  </si>
  <si>
    <t>J CLIN TRANSL SCI</t>
  </si>
  <si>
    <t>J. Clin. Transl. Sci.</t>
  </si>
  <si>
    <t>AUG 30</t>
  </si>
  <si>
    <t>e121</t>
  </si>
  <si>
    <t>10.1017/cts.2022.457</t>
  </si>
  <si>
    <t>5B5HF</t>
  </si>
  <si>
    <t>WOS:000863599900001</t>
  </si>
  <si>
    <t>Ali, FH; Bandi, S</t>
  </si>
  <si>
    <t>Ali, Faris Hyder; Bandi, Shamsulhadi</t>
  </si>
  <si>
    <t>Correlation between BIM data creation and big data attributes in construction</t>
  </si>
  <si>
    <t>INTERNATIONAL JOURNAL OF CONSTRUCTION MANAGEMENT</t>
  </si>
  <si>
    <t>Building information modelling; big data; relationship</t>
  </si>
  <si>
    <t>INTEGRATION; PROJECT; OPPORTUNITIES; TECHNOLOGIES; CAPABILITIES; MANAGEMENT; ANALYTICS; FRAMEWORK; INDUSTRY; DESIGN</t>
  </si>
  <si>
    <t>Considerable effort to leverage digital data was exerted as construction adopts innovative work processes. Among these, Building Information Modelling (BIM) sat at the backbone of digital strategy, with the capability to create huge digital data through its realizable multifunctionality and integration capacity. Ubiquitous to construction, the explosion of huge data through BIM sparked the relevancy of big data. While it was logical that the volume of BIM data swells from the adoption of BIM, a question remains whether the creation of BIM data conjures to big data progression. Hence, this research aimed to examine the relationship between BIM data creation and big data attributes. The study was carried out by a combination of literature reviews and a questionnaire survey. The outcome indicates two groups which are cost and operation and maintenance (OM) data had a very low correlation due to irrefutable reasons, the remaining material, design and schedule data reflected a strong positive relationship. Therefore, the outcome reflects the earlier attestation of the technological fusion in construction.</t>
  </si>
  <si>
    <t>[Ali, Faris Hyder; Bandi, Shamsulhadi] Univ Technol Malaysia, Fac Built Environm &amp; Surveying, Johor Baharu, Malaysia</t>
  </si>
  <si>
    <t>Universiti Teknologi Malaysia</t>
  </si>
  <si>
    <t>Ali, FH (corresponding author), Univ Technol Malaysia, Fac Built Environm &amp; Surveying, Johor Baharu, Malaysia.</t>
  </si>
  <si>
    <t>faris.ha@graduate.utm.my</t>
  </si>
  <si>
    <t>Hyder Ali, Faris/0000-0001-7780-5577</t>
  </si>
  <si>
    <t>Ministry of Higher Education under the Fundamental Research Grant Scheme (FRGS) [FRGS/1/2019/SS03/UTM/02/4]</t>
  </si>
  <si>
    <t>Ministry of Higher Education under the Fundamental Research Grant Scheme (FRGS)</t>
  </si>
  <si>
    <t>All these works are being supported/funded by Ministry of Higher Education under the Fundamental Research Grant Scheme (FRGS) (FRGS/1/2019/SS03/UTM/02/4).</t>
  </si>
  <si>
    <t>1562-3599</t>
  </si>
  <si>
    <t>2331-2327</t>
  </si>
  <si>
    <t>INT J CONSTR MANAG</t>
  </si>
  <si>
    <t>Int. J. Constr. Manag.</t>
  </si>
  <si>
    <t>2022 AUG 29</t>
  </si>
  <si>
    <t>10.1080/15623599.2022.2119071</t>
  </si>
  <si>
    <t>AUG 2022</t>
  </si>
  <si>
    <t>4K8FH</t>
  </si>
  <si>
    <t>WOS:000852177800001</t>
  </si>
  <si>
    <t>Gandon, C; Gricourt, Y; Thomas, M; Garnaud, B; Elhaj, M; Boisson, C; Boudemaghe, T; Jaber, S; Claret, PG; Cuvillon, P</t>
  </si>
  <si>
    <t>Gandon, Clea; Gricourt, Yann; Thomas, Maxime; Garnaud, Benjamin; Elhaj, Mona; Boisson, Christophe; Boudemaghe, Thierry; Jaber, Samir; Claret, Pierre Geraud; Cuvillon, Philippe</t>
  </si>
  <si>
    <t>How traditional and digital analytics interventions can enhance lung-protective ventilation strategies during general anaesthesia: A two-year quality improvement project analysis</t>
  </si>
  <si>
    <t>ANAESTHESIA CRITICAL CARE &amp; PAIN MEDICINE</t>
  </si>
  <si>
    <t>Protective ventilation; Recruitment; Quality improvement project; Software; Adherence</t>
  </si>
  <si>
    <t>MECHANICAL VENTILATION; SURGERY; PRESSURE</t>
  </si>
  <si>
    <t>Purpose: This quality improvement project evaluated interventions implemented to enhance individual adherence to a lung-protective ventilation strategy and its triad: low tidal volume, PEEP &gt;= 5, recruitment manoeuvres.Methods: For two years, nine anaesthesia workstations were connected to an automated cloud-based analytics software tool, which automatically recorded ventilation parameters as soon as a new patient case was opened. Four quality improvement periods were determined over the first year: baseline, intervention, no intervention, intervention + digital. In the second year, the digital strategy was continued for nine months, followed by a final overtime period. Baseline and no intervention periods included no training. The intervention period included both conventional and educational programs. The digital period included pop-up messages, which automatically appeared on the screen of the anaesthesia data management system when patients were intubated. The primary endpoint was provider adherence to the recommended triad.Results: From October 2018 to December 2020, 12,883 procedures were performed. Data were available for 8968 procedures: baseline (n = 2361), intervention (n = 2423), no intervention (n = 1064), intervention + digital (n = 1862), overtime (n = 1258). Age, Predicted Body Weight, ASA score, type of surgery and airway management were similar between periods. At baseline, 75.2% of procedures reported low tidal volume but only 6.9% involved the complete triad. At over time, Triad was 22% (p &lt; 0.001). Over study period, each parameter of the Triad (RM, Vt and Peep) increased (p &lt; 0.001 vs. baseline), driving pressure decreased although EtCO2 and plateau pressure had not changed.Conclusion: Training with the help of digital apps improved LPV adherence over time.(c) 2022 Socie acute accent te acute accent franc , aise d'anesthe acute accent sie et de re acute accent animation (Sfar). Published by Elsevier Masson SAS. All rights reserved.</t>
  </si>
  <si>
    <t>[Gandon, Clea; Gricourt, Yann; Thomas, Maxime; Garnaud, Benjamin; Elhaj, Mona; Boisson, Christophe; Cuvillon, Philippe] Ctr Hosp Univ CHU Caremeau, Dept Anaesthesiol &amp; Pain Management, Place Professeur Debre, Nimes, France; [Gandon, Clea; Gricourt, Yann; Thomas, Maxime; Garnaud, Benjamin; Elhaj, Mona; Boisson, Christophe; Boudemaghe, Thierry; Claret, Pierre Geraud; Cuvillon, Philippe] Montpellier Univ 1, Montpellier, France; [Boudemaghe, Thierry] Ctr Hosp Univ CHU Caremeau, Dept Med Informat, Pl Prof Debre, Nimes, France; [Jaber, Samir] Montpellier Univ, St Eloi Univ Hosp, Res Unit Phy MedExp, Dept Anaesthesiol &amp; Intensive Care DARB,INSERM ,CN, 80 Ave Augustin Fl, F-34295 Montpellier, France; [Claret, Pierre Geraud] Ctr Hosp Univ CHU Caremeau, Emergency Dept, Pl Prof Debre, Nimes, France; [Cuvillon, Philippe] Ctr Hosp Univ CHU Caremeau, Dept Anaesthesiol &amp; Pain Management, Pl Prof Debre, Nimes, France</t>
  </si>
  <si>
    <t>Universite de Montpellier; CHU de Nimes; Universite de Montpellier; Universite de Montpellier; CHU de Nimes; Institut National de la Sante et de la Recherche Medicale (Inserm); Universite de Montpellier; CHU de Montpellier; Universite de Montpellier; CHU de Nimes; Universite de Montpellier; CHU de Nimes</t>
  </si>
  <si>
    <t>Cuvillon, P (corresponding author), Ctr Hosp Univ CHU Caremeau, Dept Anaesthesiol &amp; Pain Management, Pl Prof Debre, Nimes, France.</t>
  </si>
  <si>
    <t>philippe.cuvillon@chu-nimes.fr</t>
  </si>
  <si>
    <t>BOUDEMAGHE, Thierry/0000-0003-4768-2267</t>
  </si>
  <si>
    <t>2352-5568</t>
  </si>
  <si>
    <t>ANAESTH CRIT CARE PA</t>
  </si>
  <si>
    <t>Anaesth. Crit. Care Pain Med.</t>
  </si>
  <si>
    <t>10.1016/j.accpm.2022.101143</t>
  </si>
  <si>
    <t>Anesthesiology; Critical Care Medicine</t>
  </si>
  <si>
    <t>Anesthesiology; General &amp; Internal Medicine</t>
  </si>
  <si>
    <t>4W7UH</t>
  </si>
  <si>
    <t>WOS:000860362800001</t>
  </si>
  <si>
    <t>Doellgast, V</t>
  </si>
  <si>
    <t>Doellgast, Virginia</t>
  </si>
  <si>
    <t>Strengthening social regulation in the digital economy: comparative findings from the ICT industry</t>
  </si>
  <si>
    <t>LABOUR AND INDUSTRY</t>
  </si>
  <si>
    <t>digital transformation; ICT industry; labour unions; artificial intelligence</t>
  </si>
  <si>
    <t>MARKET</t>
  </si>
  <si>
    <t>National economies with different industrial relations and welfare state traditions are experiencing a similar digital transformation. This article examines how labour unions are seeking to influence digital strategies and investments in the information and communication technology (ICT) industry, based on initial research findings in the US and Germany. These efforts can be divided into three action fields: campaigns focused on influencing state investment and data protection or AI regulation; efforts to extend legal or negotiated labour market protections to new groups of workers; and collective negotiations over new technologies at firm and workplace levels. All three can be seen as complementary in establishing the conditions for the social regulation of new digitally enabled markets.</t>
  </si>
  <si>
    <t>[Doellgast, Virginia] Cornell Univ, ILR Sch, Ithaca, NY 14850 USA</t>
  </si>
  <si>
    <t>Cornell University</t>
  </si>
  <si>
    <t>Doellgast, V (corresponding author), Cornell Univ, ILR Sch, Ithaca, NY 14850 USA.</t>
  </si>
  <si>
    <t>vld7@cornell.edu</t>
  </si>
  <si>
    <t>Social Sciences and Humanities Research Council of Canada (SSHRC) Insight Development Grant; Research Council of Norway Grant [295914]; German Academic Exchange Service (DAAD) Research Award</t>
  </si>
  <si>
    <t>Social Sciences and Humanities Research Council of Canada (SSHRC) Insight Development Grant(Social Sciences and Humanities Research Council of Canada (SSHRC)); Research Council of Norway Grant(Research Council of Norway); German Academic Exchange Service (DAAD) Research Award(Deutscher Akademischer Austausch Dienst (DAAD))</t>
  </si>
  <si>
    <t>Case study findings draw on research in progress with Sean O'Brady and Ines Wagner, funded by a Social Sciences and Humanities Research Council of Canada (SSHRC) Insight Development Grant, a Research Council of Norway Grant (#295914), and a German Academic Exchange Service (DAAD) Research Award.</t>
  </si>
  <si>
    <t>1030-1763</t>
  </si>
  <si>
    <t>2325-5676</t>
  </si>
  <si>
    <t>LABOUR IND</t>
  </si>
  <si>
    <t>Labour Ind.</t>
  </si>
  <si>
    <t>JAN 2</t>
  </si>
  <si>
    <t>10.1080/10301763.2022.2111987</t>
  </si>
  <si>
    <t>Industrial Relations &amp; Labor</t>
  </si>
  <si>
    <t>9R6WF</t>
  </si>
  <si>
    <t>WOS:000844955300001</t>
  </si>
  <si>
    <t>de Amorim, LA; Sousa, BB; Dias, AL; Santos, VR</t>
  </si>
  <si>
    <t>de Amorim, Luzia Arantes; Sousa, Bruno Barbosa; Dias, Alvaro Lopes; Santos, Vasco Ribeiro</t>
  </si>
  <si>
    <t>Exploring the outcomes of digital marketing on historic sites' visitor behaviour</t>
  </si>
  <si>
    <t>JOURNAL OF CULTURAL HERITAGE MANAGEMENT AND SUSTAINABLE DEVELOPMENT</t>
  </si>
  <si>
    <t>Digital marketing; Historic sites management; Destination marketing; Destination image; Visitor loyalty</t>
  </si>
  <si>
    <t>Purpose Digital communication and social media have an increasing importance in society and in tourism boosting. This study aims to analyse the role of digital marketing in the destination image and visitor loyalty of historic sites. Design/methodology/approach Using a mixed-method approach combining survey data from 318 respondents and three in-depth interviews. Using structural equations modelling results reveals experience, satisfaction, image and loyalty are concepts to be considered by the destinations' digital marketing promotion, as well as the increasing use of digital marketing by tourists, in the sense that tourists are increasing the habit of checking the opinion of others before scheduling their trip and gives them more importance, and a growing importance is given by tourists to the web/social networks of places they intend to visit. Findings This study contributes to the theory on tourism digital marketing which can be transposed to organizations management in order to encourage discussion on the processes of capture, retention and loyalty of target audiences. Research limitations/implications To enhance the importance of digital marketing in the process of the tourist development of the city, it is fundamental to define a clear strategy for attracting and responding to the greatest demand from cultural tourists who are increasingly interested in actively participating in learning experiences. Practical implications The results show that digital communication and social media have an increasing importance in society and in tourism boosting and economy recovery. Social implications The paper presents digital marketing as a possible factor in tourism development and social inclusion, advancing practical measures aimed at social justice through a fairer distribution of tourism revenues and the defence of historic centre residents' way (i.e. Barcelos'), and quality of life. Originality/value The authors suggest the development of a strategic digital marketing plan applied to the development and promotion of tourism in the city of Barcelos (Portugal), to complement the research presented here, thus contributing with a more practical perspective of the subject under study.</t>
  </si>
  <si>
    <t>[de Amorim, Luzia Arantes] Univ Minho, Braga, Portugal; [Sousa, Bruno Barbosa] Polytech Inst Cavado &amp; Ave IPCA, CiTUR &amp; UNIAG, Barcelos, Portugal; [Dias, Alvaro Lopes] Univ Lusofona, TRIE &amp; ISCTE IUL, Lisbon, Portugal; [Santos, Vasco Ribeiro] ISLA Santarem &amp; CiTUR, Santarem, Portugal</t>
  </si>
  <si>
    <t>Universidade do Minho; Instituto Politecnico do Cavado e do Ave - IPCA; Lusofona University</t>
  </si>
  <si>
    <t>Sousa, BB (corresponding author), Polytech Inst Cavado &amp; Ave IPCA, CiTUR &amp; UNIAG, Barcelos, Portugal.</t>
  </si>
  <si>
    <t>bsousa@ipca.pt</t>
  </si>
  <si>
    <t>Sousa, Bruno Miguel Barbosa/A-5325-2019</t>
  </si>
  <si>
    <t>Sousa, Bruno Miguel Barbosa/0000-0002-8588-2422; Arantes, Luzia/0000-0003-1179-9113; Santos, Vasco/0000-0002-3535-9377; Dias, Alvaro/0000-0003-4074-1586</t>
  </si>
  <si>
    <t>2044-1266</t>
  </si>
  <si>
    <t>2044-1274</t>
  </si>
  <si>
    <t>J CULT HERIT MANAG S</t>
  </si>
  <si>
    <t>J. Cult. Herit. Manag. Sustain. Dev.</t>
  </si>
  <si>
    <t>2022 AUG 23</t>
  </si>
  <si>
    <t>10.1108/JCHMSD-11-2021-0202</t>
  </si>
  <si>
    <t>Green &amp; Sustainable Science &amp; Technology</t>
  </si>
  <si>
    <t>3Y4EU</t>
  </si>
  <si>
    <t>Green Accepted, Green Submitted</t>
  </si>
  <si>
    <t>WOS:000843680000001</t>
  </si>
  <si>
    <t>de las Heras-Pedrosa, C; Iglesias-Sánchez, PP; Jambrino-Maldonado, C; López-Delgado, P; Galarza-Fernández, E</t>
  </si>
  <si>
    <t>de las Heras-Pedrosa, Carlos; Iglesias-Sanchez, Patricia P.; Jambrino-Maldonado, Carmen; Lopez-Delgado, Pilar; Galarza-Fernandez, Emelina</t>
  </si>
  <si>
    <t>Museum communication management in digital ecosystems. Impact of COVID-19 on digital strategy</t>
  </si>
  <si>
    <t>MUSEUM MANAGEMENT AND CURATORSHIP</t>
  </si>
  <si>
    <t>Communication; museum; social networks; digital strategy; COVID-19; lockdown</t>
  </si>
  <si>
    <t>SOCIAL MEDIA; P-VALUES</t>
  </si>
  <si>
    <t>The COVID-19 pandemic has seriously affected the world's cultural institutions, as well as driving digitization and a change in the relationships with their audiences. This study explores how the most visited art-museums in Spain have reacted through their social networks to the pandemic. Two key moments, the confinement and a period one-year after the declaration of the health crisis are compared. A mixed method by combining a content analysis of 2392 publications on Twitter and Instagram and two regression models evidence that COVID-19 has been a turning point in the management of museum communication in digital ecosystems. The main findings highlight the importance of active listening and the ability of these channels to create experiences beyond the physical visit. The strategic value of its implementation is underlined. Practical implications are included and it emphasized the role of entertainment and social support of the museums in crisis situations.</t>
  </si>
  <si>
    <t>[de las Heras-Pedrosa, Carlos; Galarza-Fernandez, Emelina] Univ Malaga, Fac Commun Sci, Dept Audiovisual Commun &amp; Advertising, Malaga, Spain; [Iglesias-Sanchez, Patricia P.; Jambrino-Maldonado, Carmen] Univ Malaga, Fac Commerce &amp; Management, Dept Econ &amp; Business Org, Malaga 29071, Spain; [Lopez-Delgado, Pilar] Univ Malaga, Fac Econ &amp; Business Studies, Dept Stat &amp; Econometr, Malaga, Spain</t>
  </si>
  <si>
    <t>Universidad de Malaga; Universidad de Malaga; Universidad de Malaga</t>
  </si>
  <si>
    <t>Jambrino-Maldonado, C (corresponding author), Univ Malaga, Fac Commerce &amp; Management, Dept Econ &amp; Business Org, Malaga 29071, Spain.</t>
  </si>
  <si>
    <t>mcjambrino@uma.es</t>
  </si>
  <si>
    <t>Jambrino-Maldonado, Carmen/H-6297-2017; de las Heras-Pedrosa, Carlos/M-4492-2015; Iglesias-Sanchez, Patricia P./A-2308-2015; Lopez Delgado, Pilar/K-4420-2015</t>
  </si>
  <si>
    <t>Jambrino-Maldonado, Carmen/0000-0001-8444-0967; de las Heras-Pedrosa, Carlos/0000-0002-2738-4177; Galarza Fernandez, Emelina/0000-0002-8299-7179; Lopez Delgado, Pilar/0000-0001-5937-7644</t>
  </si>
  <si>
    <t>Programme PAIDI Andalucia [PY20_00407]; Universidad de Malaga/CBUA; Consejeria de Conocimiento, Investigacion y Universidad; Junta de Andalucia</t>
  </si>
  <si>
    <t>Programme PAIDI Andalucia; Universidad de Malaga/CBUA; Consejeria de Conocimiento, Investigacion y Universidad; Junta de Andalucia(Junta de Andalucia)</t>
  </si>
  <si>
    <t>This work was supported by the Programme PAIDI Andalucia under grant number PY20_00407 (Junta de Andalucia/Universidad de Malaga) and Funding for Open Access Charge: Universidad de Malaga/CBUA; Consejeria de Conocimiento, Investigacion y Universidad, Junta de Andalucia</t>
  </si>
  <si>
    <t>0964-7775</t>
  </si>
  <si>
    <t>1872-9185</t>
  </si>
  <si>
    <t>MUS MANAGE CURATOR</t>
  </si>
  <si>
    <t>Mus. Manag. Curatorship</t>
  </si>
  <si>
    <t>SEP 3</t>
  </si>
  <si>
    <t>10.1080/09647775.2022.2111335</t>
  </si>
  <si>
    <t>T4XN7</t>
  </si>
  <si>
    <t>WOS:000843141000001</t>
  </si>
  <si>
    <t>Naraine, ML; Thompson, A; Lachance, EL; Séguin, B; Taks, M; Parent, MM; Hoye, R</t>
  </si>
  <si>
    <t>Naraine, Michael L.; Thompson, Ashley; Lachance, Erik L.; Seguin, Benoit; Taks, Marijke; Parent, Milena M.; Hoye, Russell</t>
  </si>
  <si>
    <t>Examining Board and Executive Staff Perceptions of Social Media in National Sport Organizations</t>
  </si>
  <si>
    <t>JOURNAL OF GLOBAL SPORT MANAGEMENT</t>
  </si>
  <si>
    <t>Digital media; boards; not-for-profit; sport governance; qualitative research</t>
  </si>
  <si>
    <t>GOVERNANCE; COMMUNITY; PATTERNS; STRATEGY</t>
  </si>
  <si>
    <t>The purpose of this paper was to highlight (1) how (if at all) social media is governed as a marketing communication channel and (2) whether there is conceptual congruence between board and executive staff with regards to social media in their organizations. Semi-structured interviews were conducted with one board member and one executive staff member from 22 Canadian national sport organizations. Results suggest nil governance and strategic oversight of social media; however, board and executive staff are seemingly aligned in this position. While having conceptual congruence is important for the organization's collective achievement, it is inherently problematic that neither side sees value in moving the discussion of social media to a governing level given its implications on marketing communication efforts. At the board level, NSOs should proactively establish a digital strategy considering the importance of the social (and digital) media function in the 21st century sport business landscape.</t>
  </si>
  <si>
    <t>[Naraine, Michael L.] Brock Univ, Sport Management, St Catharines, ON, Canada; [Thompson, Ashley; Lachance, Erik L.; Seguin, Benoit; Taks, Marijke; Parent, Milena M.] Univ Ottawa, Sport Management, Ottawa, ON, Canada; [Hoye, Russell] La Trobe Univ, Sch Allied Heath Human Serv &amp; Sport, Melbourne, Vic, Australia</t>
  </si>
  <si>
    <t>Brock University; University of Ottawa; La Trobe University</t>
  </si>
  <si>
    <t>Naraine, ML (corresponding author), Brock Univ, Sport Management, St Catharines, ON, Canada.</t>
  </si>
  <si>
    <t>mnaraine@brocku.ca</t>
  </si>
  <si>
    <t>Thompson, Ashley/0000-0003-4868-0482; Hoye, Russell/0000-0001-9000-1848; Lachance, Erik L./0000-0003-4935-5833</t>
  </si>
  <si>
    <t>Social Sciences and Humanities Research Council of Canada [435-2017-0247]; Government of Canada - Sport Canada [862-2017-0006]</t>
  </si>
  <si>
    <t>Social Sciences and Humanities Research Council of Canada(Social Sciences and Humanities Research Council of Canada (SSHRC)); Government of Canada - Sport Canada</t>
  </si>
  <si>
    <t>This work was supported by the Social Sciences and Humanities Research Council of Canada [grant number 435-2017-0247]; and Government of Canada - Sport Canada [grant number 862-2017-0006].</t>
  </si>
  <si>
    <t>2470-4067</t>
  </si>
  <si>
    <t>2470-4075</t>
  </si>
  <si>
    <t>J GLOB SPORT MANAGE</t>
  </si>
  <si>
    <t>J. Glob. Sport Manage.</t>
  </si>
  <si>
    <t>10.1080/24704067.2022.2116591</t>
  </si>
  <si>
    <t>Hospitality, Leisure, Sport &amp; Tourism; Management</t>
  </si>
  <si>
    <t>Social Sciences - Other Topics; Business &amp; Economics</t>
  </si>
  <si>
    <t>4H8SJ</t>
  </si>
  <si>
    <t>WOS:000850147000001</t>
  </si>
  <si>
    <t>Lardón-López, ME; Martín-Rojas, R; García-Morales, VJ</t>
  </si>
  <si>
    <t>Esmeralda Lardon-Lopez, Maria; Martin-Rojas, Rodrigo; Jesus Garcia-Morales, Victor</t>
  </si>
  <si>
    <t>Social media technologies: a waste of time or a good way to learn and improve technological competences?</t>
  </si>
  <si>
    <t>JOURNAL OF KNOWLEDGE MANAGEMENT</t>
  </si>
  <si>
    <t>Social media technologies; Organizational learning; Technological knowledge competences; Organizational performance</t>
  </si>
  <si>
    <t>KNOWLEDGE MANAGEMENT; DYNAMIC CAPABILITIES; INFORMATION-TECHNOLOGY; MARKET ORIENTATION; STRATEGY RESEARCH; CORPORATE ENTREPRENEURSHIP; ORGANIZATIONAL INNOVATION; ABSORPTIVE-CAPACITY; CORE CAPABILITIES; FIRM PERFORMANCE</t>
  </si>
  <si>
    <t>Purpose The purpose of this study is to deepen understanding of the effects of using social media technologies to acquire technological knowledge and organizational learning competences, of technological knowledge competences on organizational learning and finally of organizational learning on organizational performance. Design/methodology/approach The study was performed by analyzing data from a sample of 197 technology firms located in Spain. The hypotheses were tested using a structural equations model with the program LISREL 8.80. Findings This study's conceptual framework is grounded in complexity theory - along with dynamic capabilities theory, which complements the resource-based view. The study contributes to the literature by proposing a model that reflects empirically how business ecosystems that use social media technologies enable the development of interorganizational and social collaboration networks that encourage learning and development of technological knowledge competences. Research limitations/implications It would be interesting for future studies to consider other elements to conceptualize and measure social media technologies, including (among others) significance of the various tools used and strategic integration. The model might also analyze other sectors and another combination of variables. Practical implications The results of this study have several managerial implications: developing social media technologies and interorganizational social collaboration networks not only enables the organizational learning process but also encourages technological knowledge competences. Through innovation processes, use of social media technologies also contributes to strengthening companies' strategic positioning, which ultimately helps to improve firms' organizational performance. Social implications Since social media technologies drive information systems in contemporary society (because they enable interaction with numerous agents), the authors highlight the use of complexity theory to develop a conceptual framework. Originality/value The study also deepens understanding of the connections by which new experiential learning contributes to the generation of coevolutionary adaptive business ecosystems and digital strategies that enable development of interorganizational and social collaborative networks through technological knowledge competences. Only after examining the impact of social media technologies on organizational performance in prior literature, did the authors underscore that both quantity and frequency of social media technology use are positively related to improvement in knowledge processes that lead to employees' creation and acquisition of new metaknowledge.</t>
  </si>
  <si>
    <t>[Esmeralda Lardon-Lopez, Maria; Martin-Rojas, Rodrigo; Jesus Garcia-Morales, Victor] Univ Granada, Dept Business Adm, Granada, Spain</t>
  </si>
  <si>
    <t>University of Granada</t>
  </si>
  <si>
    <t>Lardón-López, ME (corresponding author), Univ Granada, Dept Business Adm, Granada, Spain.</t>
  </si>
  <si>
    <t>elardon@ugr.es</t>
  </si>
  <si>
    <t>MORALES, VÍCTOR JESÚS GARCÍA/F-9736-2016; Lardón-López, María Esmeralda/AAU-1126-2020</t>
  </si>
  <si>
    <t>MORALES, VÍCTOR JESÚS GARCÍA/0000-0001-9061-6973; Lardón-López, María Esmeralda/0000-0001-7422-5278</t>
  </si>
  <si>
    <t>Excellence Unit Advanced Research in Economics and Business of the University of Granada (Spain); Andalusian Regional Government [B-SEJ-042-UGR18, A-SEJ-192-UGR20, P20_00568]</t>
  </si>
  <si>
    <t>Excellence Unit Advanced Research in Economics and Business of the University of Granada (Spain); Andalusian Regional Government</t>
  </si>
  <si>
    <t>This study was funded by the Excellence Unit Advanced Research in Economics and Business of the University of Granada (Spain). It was also supported by the Andalusian Regional Government (projects: B-SEJ-042-UGR18, A-SEJ-192-UGR20, and P20_00568).</t>
  </si>
  <si>
    <t>1367-3270</t>
  </si>
  <si>
    <t>1758-7484</t>
  </si>
  <si>
    <t>J KNOWL MANAG</t>
  </si>
  <si>
    <t>J. Knowl. Manag.</t>
  </si>
  <si>
    <t>10.1108/JKM-02-2022-0130</t>
  </si>
  <si>
    <t>Information Science &amp; Library Science; Management</t>
  </si>
  <si>
    <t>Information Science &amp; Library Science; Business &amp; Economics</t>
  </si>
  <si>
    <t>4F7LL</t>
  </si>
  <si>
    <t>WOS:000848691400001</t>
  </si>
  <si>
    <t>Wang, YR</t>
  </si>
  <si>
    <t>Wang, Yurong</t>
  </si>
  <si>
    <t>The Impact of Digital Strategic Orientation on Enterprise Sustainable Performance Against the Background of 2030 Sustainable Performance Goal</t>
  </si>
  <si>
    <t>MATHEMATICAL PROBLEMS IN ENGINEERING</t>
  </si>
  <si>
    <t>ORGANIZATIONAL PERFORMANCE; CAPABILITY</t>
  </si>
  <si>
    <t>Under the background of the 2030 sustainable performance goal, in the sustainable performance, strategic orientation has been paid much attention because of its importance and management controllability. Whether the market-oriented strategy of enterprises can affect the legitimacy of enterprises and what kind of complex relationship exists between market orientation, legitimacy of enterprises, and enterprise performance. Therefore, from the perspective of digital theory, this paper makes an empirical test on the above problems by introducing the intermediary variable of enterprise legitimacy, so as to make up for the shortcomings of the existing research. When the time index reaches 50, among the four dimensions of the experiment, the average correlation of digital culture is 1.12, the average correlation of resource integration is 0.58, the average correlation of process optimization is 0.74, and the average correlation of technical capability is 0.64. Among the four dimensions, the proportion of digital culture is the highest, and the CITC value of each measurement item in each dimension is greater than 0.5, so the deletion of each item cannot be increased. If the enterprises under digitalization can meet the social expectations and cognition of all stakeholders in the strategic-oriented sustainable performance system, they will be recognized and accepted by them, thus gaining higher legitimacy.</t>
  </si>
  <si>
    <t>[Wang, Yurong] Xian Univ Finance &amp; Econ, Sch Business, Xian 710100, Peoples R China; [Wang, Yurong] Xian Univ Finance &amp; Econ, Res Ctr Modern Enterprise Management, Xian 710100, Peoples R China</t>
  </si>
  <si>
    <t>Xi'an University of Finance &amp; Economics; Xi'an University of Finance &amp; Economics</t>
  </si>
  <si>
    <t>Wang, YR (corresponding author), Xian Univ Finance &amp; Econ, Sch Business, Xian 710100, Peoples R China.;Wang, YR (corresponding author), Xian Univ Finance &amp; Econ, Res Ctr Modern Enterprise Management, Xian 710100, Peoples R China.</t>
  </si>
  <si>
    <t>wangyurong@xaufe.edu.cn</t>
  </si>
  <si>
    <t>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[18JZ029]; [2021R008]</t>
  </si>
  <si>
    <t>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t>
  </si>
  <si>
    <t>AcknowledgmentsThis work was supported by Philosophy and Social Science Key Research Base project of Shaanxi Education Department: Evaluation of innovation efficiency of equipment manufacturing industry in Shaanxi Province: An empirical study based on exploratory spatial analysis (No. 18JZ029) and Social Science Fund project of Shaanxi Province: Green innovation performance evaluation and spatial difference evolution in Shaanxi Province (No. 2021R008).</t>
  </si>
  <si>
    <t>1024-123X</t>
  </si>
  <si>
    <t>1563-5147</t>
  </si>
  <si>
    <t>MATH PROBL ENG</t>
  </si>
  <si>
    <t>Math. Probl. Eng.</t>
  </si>
  <si>
    <t>AUG 17</t>
  </si>
  <si>
    <t>10.1155/2022/2263222</t>
  </si>
  <si>
    <t>Engineering, Multidisciplinary; Mathematics, Interdisciplinary Applications</t>
  </si>
  <si>
    <t>Engineering; Mathematics</t>
  </si>
  <si>
    <t>4F3IN</t>
  </si>
  <si>
    <t>WOS:000848407800003</t>
  </si>
  <si>
    <t>Khalili-Mahani, N; Woods, S; Holowka, EM; Pahayahay, A; Roy, M</t>
  </si>
  <si>
    <t>Khalili-Mahani, Najmeh; Woods, Sandra; Holowka, Eileen Mary; Pahayahay, Amber; Roy, Mathieu</t>
  </si>
  <si>
    <t>Toward a digital citizen lab for capturing data about alternative ways of self-managing chronic pain: An attitudinal user study</t>
  </si>
  <si>
    <t>FRONTIERS IN REHABILITATION SCIENCES</t>
  </si>
  <si>
    <t>chronic pain; data sharing; citizen science; attitudinal survey study; non-pharmacological pain treatment; mHealth; mixed-methods research; patient-oriented research</t>
  </si>
  <si>
    <t>SCIENCE; HEALTH</t>
  </si>
  <si>
    <t>BackgroundMyriad psychosocial and cultural factors influence personal ways of coping with chronic pain (CP). Mobile health (mHealth) apps facilitate creation of citizen laboratories outside clinical frameworks. However, issues of safety, privacy and technostress must be addressed. This attitudinal user study aimed to assess whether persons with persistent pain (PwPP) would be open to sharing qualitative and quantitative data about their self-management of CP via mHealth platforms. MethodsIn March 2020, we invited PwPPs, their personal or medical caregivers, or those interested in the development of an app for researching alternative ways of self-managing CP to complete an anonymous survey. We formulated an attitudinal survey within the theoretical framework of stress to estimate whether the novelty, unpredictability, and risks of data-sharing via mHealth apps concerned users. Descriptive statistics (% Part/Group) were used to interpret the survey, and open comments were reflectively analyzed to identify emerging themes. ResultsOf 202 responses (June 2021), 127 identified as PwPPs (average age 43.86 +/- 14.97; 100/127 female), and listed several primary and secondary CP diagnoses. In almost 90% of PwPPs, physical and emotional wellbeing were affected by CP. More than 90% of PwPPs used alternative therapies (acupuncture, homeopathy, massage therapy, etc.). Attitude toward mHealth apps were positive even though nearly half of PwPPs were unfamiliar with them. More than 72% of respondents were open to using a health-related app as a research tool for data collection in real life situations. Comprehensive data collection (especially about psychosocial factors) was the most important requirement. More respondents (especially medical professionals) were concerned about health hazards of misinformation communicated via health-related information and communication systems (maximum 80%) than about privacy (maximum 40%). Qualitative analyses revealed several promises and impediments to creation of data-sharing platforms for CP. ConclusionsThis study shows a general willingness among PwPPs to become partners in studying alternative pain management. Despite a generally positive attitude toward the concept of sharing complex personal data to advance research, heterogeneity of attitudes shaped by personal experiences must be considered. Our study underlines the need for any digital strategy for CP research to be person-centered and flexible.</t>
  </si>
  <si>
    <t>[Khalili-Mahani, Najmeh] Montreal Neurol Inst, McGill Ctr Integrat Neurosci, Montreal, PQ, Canada; [Khalili-Mahani, Najmeh] Concordia Univ, Fac Fine Arts, Dept Design &amp; Computat Arts, Montreal, PQ, Canada; [Khalili-Mahani, Najmeh] Concordia Univ, PERFORM Ctr, Montreal, PQ, Canada; [Khalili-Mahani, Najmeh; Woods, Sandra; Roy, Mathieu] Quebec Pain Res Network QPRN, Sherbrooke, PQ, Canada; [Woods, Sandra] Patient Partner, Montreal, PQ, Canada; [Holowka, Eileen Mary] Concordia Univ, Fac Arts &amp; Sci, Dept Commun Studies, Montreal, PQ, Canada; [Pahayahay, Amber] Univ Waterloo, Sch Publ Hlth &amp; Hlth Syst, Waterloo, ON, Canada; [Roy, Mathieu] McGill Univ, Fac Sci, Dept Psychol, Montreal, PQ, Canada</t>
  </si>
  <si>
    <t>McGill University; Concordia University - Canada; Concordia University - Canada; Concordia University - Canada; University of Waterloo; McGill University</t>
  </si>
  <si>
    <t>Khalili-Mahani, N (corresponding author), Montreal Neurol Inst, McGill Ctr Integrat Neurosci, Montreal, PQ, Canada.;Khalili-Mahani, N (corresponding author), Concordia Univ, Fac Fine Arts, Dept Design &amp; Computat Arts, Montreal, PQ, Canada.;Khalili-Mahani, N (corresponding author), Concordia Univ, PERFORM Ctr, Montreal, PQ, Canada.;Khalili-Mahani, N (corresponding author), Quebec Pain Res Network QPRN, Sherbrooke, PQ, Canada.</t>
  </si>
  <si>
    <t>najmeh.khalilimahani@mcgill.ca</t>
  </si>
  <si>
    <t>2673-6861</t>
  </si>
  <si>
    <t>FRONT REHABIL SCI</t>
  </si>
  <si>
    <t>Front. Rehabil. Sci.</t>
  </si>
  <si>
    <t>AUG 15</t>
  </si>
  <si>
    <t>10.3389/fresc.2022.942822</t>
  </si>
  <si>
    <t>Rehabilitation</t>
  </si>
  <si>
    <t>J0LS0</t>
  </si>
  <si>
    <t>WOS:001006612900001</t>
  </si>
  <si>
    <t>Remané, G; Schneider, S; Hanelt, A</t>
  </si>
  <si>
    <t>Remane, Gerrit; Schneider, Sabrina; Hanelt, Andre</t>
  </si>
  <si>
    <t>DIGITAL BUSINESS MODEL TYPES: UNDERSTANDING THEIR MECHANISMS AS RECIPES TO COMMERCIALISE DIGITAL TECHNOLOGIES</t>
  </si>
  <si>
    <t>Digital business models; business model types; business model patterns; digital technologies; digital transformation; digital strategy; platforms</t>
  </si>
  <si>
    <t>INNOVATION; SERVITIZATION; FIRMS</t>
  </si>
  <si>
    <t>The increasingly digital business landscape has created manifold novel opportunities as well as threats to traditional business models. In consequence, a broad variety of digital business models emerged. Powerful tools and managerial guidance on how to shape digital strategies in this volatile and uncertain terrain are sought-after, but remain rare. Building on an analysis of the world's top-1.000 venture funded technology startups over the last decade, we identify 49 novel business model types that describe firms as vendors of digitally enabled products and services, as providers of resources and capabilities for digital business, and as facilitators of intermediation. Furthermore, we identify the novelties of these digital business models types in their components, i.c.. value proposition as well as their value creation, delivery, and capture processes. The result is a recipe collection of novel mechanisms to guide and inspire other firms when coirunercialising digital technologies in their business models.</t>
  </si>
  <si>
    <t>[Remane, Gerrit] Fachhochschule Wedel, Wedel, Germany; [Schneider, Sabrina] Management Ctr Innsbruck, Innsbruck, Austria; [Hanelt, Andre] Univ Kassel, Kassel, Germany</t>
  </si>
  <si>
    <t>Universitat Kassel</t>
  </si>
  <si>
    <t>Remané, G (corresponding author), Fachhochschule Wedel, Wedel, Germany.</t>
  </si>
  <si>
    <t>gerrit.remane@fh-wedel.de; sabrina.schneider@mci.edu; hanelt@uni-kassel.de</t>
  </si>
  <si>
    <t>Schneider, Sabrina/0000-0001-6027-5282</t>
  </si>
  <si>
    <t>10.1142/S1363919622400199</t>
  </si>
  <si>
    <t>4T1PW</t>
  </si>
  <si>
    <t>WOS:000848604400002</t>
  </si>
  <si>
    <t>Weerabahu, WMSK; Samaranayake, P; Nakandala, D; Hurriyet, H</t>
  </si>
  <si>
    <t>Weerabahu, W. M. Samanthi Kumari; Samaranayake, Premaratne; Nakandala, Dilupa; Hurriyet, Hilal</t>
  </si>
  <si>
    <t>Digital supply chain research trends: a systematic review and a maturity model for adoption</t>
  </si>
  <si>
    <t>BENCHMARKING-AN INTERNATIONAL JOURNAL</t>
  </si>
  <si>
    <t>Industry 4; 0; Digital supply chains; DSC enablers; Challenges of DSC adoption</t>
  </si>
  <si>
    <t>INDUSTRY 4.0 TECHNOLOGIES; CLOUD COMPUTING ADOPTION; BIG DATA ANALYTICS; DYNAMIC CAPABILITIES; MANAGEMENT-PRACTICES; FIRM PERFORMANCE; IMPLEMENTATION; DETERMINANTS; PERSPECTIVE; READINESS</t>
  </si>
  <si>
    <t>Purpose This study investigates the enablers and challenges of digital supply chains (DSCs) adoption and develops a digital supply chain maturity (DSCM) model as a basis for developing guidelines for DSC adoption in the digital transformation journey. Design/methodology/approach The research involves a systematic literature review (SLR) of Industry 4.0 (I4) adoption in supply chain (SC) practices to identify key enablers and associated maturity levels. The literature search of published articles during the 1997-2020 period and subsequent screening resulted in 64 articles. A DSCM model was developed using the categorization of important enablers and associated levels transitioning from the traditional SC to the DSC ecosystem. Findings Four broader categories of DSC enablers and challenges were identified from the content analysis of SLR. Digital strategy alongside I4 technologies and human capital were prominent in DSC adoption as I4 technologies and human capital depend on other enablers such as dynamic capabilities (DCs). Lack of infrastructure and financial constraints to implementing I4 were significant challenges in the DSC adoption. Research limitations/implications The proposed DSCM model provides a holistic view of enablers and maturity levels from traditional SC to DSC adoption. However, the DSCM model needs to be empirically validated and streamlined further using inputs from practitioners. Practical implications The proposed DSCM model can be used as a framework to guide practitioners in assessing maturity and developing implementation plans for successful DSC adoption. Originality/value This research introduces a novel DSC maturity model through a holistic view of enablers and maturity levels from traditional SC to DSC adoption.</t>
  </si>
  <si>
    <t>[Weerabahu, W. M. Samanthi Kumari; Samaranayake, Premaratne; Nakandala, Dilupa; Hurriyet, Hilal] Western Sydney Univ, Sch Business, Penrith, NSW, Australia</t>
  </si>
  <si>
    <t>Western Sydney University</t>
  </si>
  <si>
    <t>Weerabahu, WMSK (corresponding author), Western Sydney Univ, Sch Business, Penrith, NSW, Australia.</t>
  </si>
  <si>
    <t>S.Weerabahu@westernsydney.edu.au</t>
  </si>
  <si>
    <t>Samaranayake, Premaratne/ABI-6391-2022</t>
  </si>
  <si>
    <t>Samaranayake, Premaratne/0000-0002-6253-7976; Weerabahu, Samanthi/0000-0003-4925-7096; Nakandala, Dilupa/0000-0003-1535-5288</t>
  </si>
  <si>
    <t>1463-5771</t>
  </si>
  <si>
    <t>1758-4094</t>
  </si>
  <si>
    <t>BENCHMARKING</t>
  </si>
  <si>
    <t>Benchmarking</t>
  </si>
  <si>
    <t>2022 AUG 8</t>
  </si>
  <si>
    <t>10.1108/BIJ-12-2021-0782</t>
  </si>
  <si>
    <t>3N6UJ</t>
  </si>
  <si>
    <t>WOS:000836281300001</t>
  </si>
  <si>
    <t>Wang, SN; Lin, DD</t>
  </si>
  <si>
    <t>Wang, Sining; Lin, Dandan</t>
  </si>
  <si>
    <t>Applying the post-digital strategy of anexact architecture to non-standard design practices within the challenging construction contexts</t>
  </si>
  <si>
    <t>Design practice strategy; Post -digital architecture; Parametric design; Developing region; Non -standard architecture</t>
  </si>
  <si>
    <t>New architectural forms offered by digital design approaches often appear incompatible with the prescribed precision and control in construction, especially in developing regions where advanced implementation means are limited. In response, this paper suggests working with design practice indeterminacy. Named 'anexact architec-ture', the post-digital design practice strategy presents a convergent diagram of seeking the feasible design so-lution space. It relies on the procedural parametric modelling to constantly integrate computation and humanisation, so that a rigorous built outcome is capable of accommodating project-specific idiosyncrasies and constraints. The demonstrator projects are discussed based on the combination of the Participatory Action Research method and the idea of anexact architecture. This paper aims to illustrate the peculiarity of anexact architecture and its ideology of treating design delivery uncertainties as essentials rather than negatives when practicing in a volatile construction context.</t>
  </si>
  <si>
    <t>[Wang, Sining; Lin, Dandan] Soochow Univ, Sch Architecture, Suzhou, Peoples R China</t>
  </si>
  <si>
    <t>Soochow University - China</t>
  </si>
  <si>
    <t>Wang, SN (corresponding author), Soochow Univ, Sch Architecture, Suzhou, Peoples R China.</t>
  </si>
  <si>
    <t>snwang@suda.edu.cn</t>
  </si>
  <si>
    <t>Natural Science Foundation of Jiangsu Higher Education Institutions, China; Social Science Foundation of Jiangsu Province, China [20KJB560022]; [21SHD001]</t>
  </si>
  <si>
    <t>Natural Science Foundation of Jiangsu Higher Education Institutions, China; Social Science Foundation of Jiangsu Province, China;</t>
  </si>
  <si>
    <t>This work was supported by Natural Science Foundation of Jiangsu Higher Education Institutions, China (No. 20KJB560022) and by Social Science Foundation of Jiangsu Province, China (No. 21SHD001)</t>
  </si>
  <si>
    <t>e09982</t>
  </si>
  <si>
    <t>10.1016/j.heliyon.2022.e09982</t>
  </si>
  <si>
    <t>5F3MM</t>
  </si>
  <si>
    <t>WOS:000866223200014</t>
  </si>
  <si>
    <t>Centobelli, P; Cerchione, R; Esposito, E; Passaro, R; Quinto, I</t>
  </si>
  <si>
    <t>Centobelli, Piera; Cerchione, Roberto; Esposito, Emilio; Passaro, Renato; Quinto, Ivana</t>
  </si>
  <si>
    <t>The undigital behavior of innovative startups: empirical evidence and taxonomy of digital innovation strategies</t>
  </si>
  <si>
    <t>INTERNATIONAL JOURNAL OF ENTREPRENEURIAL BEHAVIOR &amp; RESEARCH</t>
  </si>
  <si>
    <t>Digital behavior; Digitalization; Digital transformation; Digital infrastructures; Emergent entrepreneurship; Startups; Startup strategies</t>
  </si>
  <si>
    <t>INFORMATION-SYSTEMS; ENTREPRENEURSHIP; TECHNOLOGY; PERFORMANCE; PERSPECTIVE; CREATION; AGENDA; WEB; UPS</t>
  </si>
  <si>
    <t>Purpose This paper aims to conceptualize the digital behavior of startups and investigate the emerging behaviors about digital strategies of the Italian startup firms enrolled in the Startup Act policy initiative. Digital technologies were divided into intra- and inter-organizational digital infrastructures, and this categorization offers startups the opportunity to identify a set of enabling technologies that could be used to improve their digital strategies. Design/methodology/approach An empirical analysis has been conducted to investigate the degree of adoption of digital intra- and inter-organizational digital infrastructures in the entire population of 6,178 Italian firms listed in the Register of Innovative Startups. Findings The paper proposes a taxonomy bringing together four startup behaviors for adopting digital technologies: digital follower, technical influencer, social influencer and digital leader. From the perspective of policy makers, considering the financial efforts that public authorities are supporting in the last decade, implications are mainly concerned with policy measures aimed both to reinforce the overall adoption of digital technologies and to develop a balanced adoption of intra- and inter-organizational digital infrastructures. Originality/value Measures addressed to support female and foreign entrepreneurship could be useful to support a more dynamic and well-balanced cultural and racial contamination, thus improving the adoption of digital tools.</t>
  </si>
  <si>
    <t>[Centobelli, Piera; Esposito, Emilio] Univ Naples Federico II, Dept Ind Engn, Naples, Italy; [Cerchione, Roberto; Passaro, Renato; Quinto, Ivana] Univ Naples Parthenope, Dept Engn, Naples, Italy</t>
  </si>
  <si>
    <t>University of Naples Federico II; Parthenope University Naples</t>
  </si>
  <si>
    <t>Cerchione, R (corresponding author), Univ Naples Parthenope, Dept Engn, Naples, Italy.</t>
  </si>
  <si>
    <t>piera.centobelli@unina.it; roberto.cerchione@uniparthenope.it; emilio.esposito@unina.it; renato.passaro@uniparthenope.it; ivana.quinto@uniparthenope.it</t>
  </si>
  <si>
    <t>Quinto, Ivana/AAO-3661-2020; Passaro, Renato/AFO-8339-2022; Peter, Serin/ITR-8938-2023</t>
  </si>
  <si>
    <t>Passaro, Renato/0000-0002-3263-2294; Cerchione, Roberto/0000-0002-7025-3295; Centobelli, Piera/0000-0002-3302-2236</t>
  </si>
  <si>
    <t>1355-2554</t>
  </si>
  <si>
    <t>1758-6534</t>
  </si>
  <si>
    <t>INT J ENTREP BEHAV R</t>
  </si>
  <si>
    <t>Int. J. Entrep. Behav. Res.</t>
  </si>
  <si>
    <t>AUG 3</t>
  </si>
  <si>
    <t>10.1108/IJEBR-08-2021-0626</t>
  </si>
  <si>
    <t>3M9JV</t>
  </si>
  <si>
    <t>WOS:000835773700001</t>
  </si>
  <si>
    <t>Fabac, R</t>
  </si>
  <si>
    <t>Fabac, Robert</t>
  </si>
  <si>
    <t>Digital Balanced Scorecard System as a Supporting Strategy for Digital Transformation</t>
  </si>
  <si>
    <t>digital balanced scorecard; digital transformation; strategy; supporting framework; sustainability; technology</t>
  </si>
  <si>
    <t>PERFORMANCE; MODEL; SWOT</t>
  </si>
  <si>
    <t>Reports of the high percentage of failed digital transformation ventures motivate the need to find a comprehensive framework with regulatory attributes to support these initiatives. Due to its structure, consistent strategy decomposition capabilities, and strategic map architecture, the assumption is that a customized version of the Balanced Scorecard can ensure the better overall success of digital transformation projects. The qualitative analysis methodology was applied to previous research, and this study identified critical issues and challenges related to the strategy and overall endeavor of digital transformation. Based on the methodology of the traditional Balanced Scorecard, a draft version of the Digital Balanced Scorecard was formulated. The Digital Balanced Scorecard is a comprehensive, primarily prescriptive model that is focused directly on the challenges, opportunities, and obstacles of transformation. The proposed BSC model can consistently interpret a digital strategy and assist organization leaders in successfully formulating and coordinating all necessary activities and projects to apply technologies. The Digital BSC provides the projection of financial results and improvements in sustainability after transformation. The proposed solution to support digital transformation can accelerate an organization's development, improve efficiency, and strengthen efforts to achieve an organization's sustainability goals.</t>
  </si>
  <si>
    <t>[Fabac, Robert] Univ Zagreb, Fac Org &amp; Informat, Pavlinska 2, Varazhdin 42000, Croatia</t>
  </si>
  <si>
    <t>University of Zagreb</t>
  </si>
  <si>
    <t>Fabac, R (corresponding author), Univ Zagreb, Fac Org &amp; Informat, Pavlinska 2, Varazhdin 42000, Croatia.</t>
  </si>
  <si>
    <t>rfabac@foi.unizg.hr</t>
  </si>
  <si>
    <t>Fabac, Robert/HII-6702-2022</t>
  </si>
  <si>
    <t>10.3390/su14159690</t>
  </si>
  <si>
    <t>3R5QL</t>
  </si>
  <si>
    <t>WOS:000838967000001</t>
  </si>
  <si>
    <t>Schallmo, D; Williams, CA; Tidd, J</t>
  </si>
  <si>
    <t>Schallmo, Daniel; Williams, Christopher A.; Tidd, Joe</t>
  </si>
  <si>
    <t>THE ART OF HOLISTIC DIGITALISATION: A META-VIEW ON STRATEGY, TRANSFORMATION, IMPLEMENTATION, AND MATURITY</t>
  </si>
  <si>
    <t>Digital strategy; digital transformation; digital implementation; digital maturity</t>
  </si>
  <si>
    <t>MODELS; MANAGEMENT</t>
  </si>
  <si>
    <t>In the new global digital economy, holistic digitalisation has become central for all non-profit and for-profit institutions. Recent developments in digital initiatives have heightened the need to investigate holistic digitalisation. This paper aims to develop a meta-view of holistic digitalisation consisting of several fundamental perspectives for strategically oriented digitalisation. These perspectives include digital strategy. digital transformation of business models, digital implementation, and digital maturity. Each perspective consists of an approach including a procedure model and relevant content. Combined with our previous work, we applied semi-structured interviews and included the insights to develop an initial, grounded theory for a meta-view of holistic digitalisation. The paper offers a relevant concept and outlines an appropriate research methodology to advance this research field. This closes an existing research gap regarding digitalisation.</t>
  </si>
  <si>
    <t>[Schallmo, Daniel] Neu Ulm Univ Appl Sci, Wileystr 1, D-89231 Neu Ulm, Germany; [Williams, Christopher A.] Johannes Kepler Univ Linz, Altenberger Str 69, A-4040 Linz, Austria; [Tidd, Joe] Univ Sussex, Sussex House Falmer, Brighton BN1 9RH, E Sussex, England</t>
  </si>
  <si>
    <t>Johannes Kepler University Linz; University of Sussex</t>
  </si>
  <si>
    <t>Schallmo, D (corresponding author), Neu Ulm Univ Appl Sci, Wileystr 1, D-89231 Neu Ulm, Germany.</t>
  </si>
  <si>
    <t>daniel.schallmo@hnu.de; chrs.a.willlams@gmail.com; j.tidd@sussex.ac.uk</t>
  </si>
  <si>
    <t>Williams, Christopher/GQQ-9115-2022</t>
  </si>
  <si>
    <t>Schallmo, Daniel/0000-0002-4221-001X</t>
  </si>
  <si>
    <t>10.1142/S1363919622400072</t>
  </si>
  <si>
    <t>JUL 2022</t>
  </si>
  <si>
    <t>WOS:000848605600004</t>
  </si>
  <si>
    <t>Fernandez-Vidal, J; Perotti, FA; Gonzalez, R; Gasco, J</t>
  </si>
  <si>
    <t>Fernandez-Vidal, Jorge; Perotti, Francesco Antonio; Gonzalez, Reyes; Gasco, Jose</t>
  </si>
  <si>
    <t>Managing digital transformation: The view from the top</t>
  </si>
  <si>
    <t>JOURNAL OF BUSINESS RESEARCH</t>
  </si>
  <si>
    <t>Digital Transformation; Corporate Transformation; Corporate strategy; Digital strategy; Talent management</t>
  </si>
  <si>
    <t>INNOVATION; BUSINESS; FUTURE; ORGANIZATION; MANAGEMENT; MODEL</t>
  </si>
  <si>
    <t>Digital Transformation is upending businesses everywhere. While there is ample research on this topic, there is a clear gap when it comes to understanding the changing talent management role of senior executives in digital transformation processes and the demands of individual employees. This article relies on 23 in-depth interviews with senior managers who are leading all or some of the digital transformation efforts of their respective or-ganizations. Our research, using a grounded theory approach, identifies four key activities (and 37 sub-activities or themes) stemming from the new managerial needs and talent management practices arising from DT pro-cesses. We branded these key activities Drive business change, Master fluid &amp; loose organizational structures, Master Talent Complexity, and Prioritize learning. This paper aims to provide an overview into the thinking and managerial practices of senior executives in a digital transformation context and complements the limited number of studies that examine the intersection between managerial actions and digital transformation. It also provides a conceptual framework that captures the key managerial demands arising from digital transformation processes and identifies key actions made by senior executives as part of these processes, which can be leveraged by both scholars and practitioners alike.</t>
  </si>
  <si>
    <t>[Fernandez-Vidal, Jorge] IE Business Sch, Dept Strategy, Alicante, Spain; [Fernandez-Vidal, Jorge] Univ Alicante, Alicante, Spain; [Perotti, Francesco Antonio] Univ Turin, Dept Management, Turin, Italy; [Gonzalez, Reyes; Gasco, Jose] Univ Alicante, Dept Management, Alicante, Spain</t>
  </si>
  <si>
    <t>IE University; Universitat d'Alacant; University of Turin; Universitat d'Alacant</t>
  </si>
  <si>
    <t>Fernandez-Vidal, J (corresponding author), IE Business Sch, Dept Strategy, Alicante, Spain.;Fernandez-Vidal, J (corresponding author), Univ Alicante, Alicante, Spain.</t>
  </si>
  <si>
    <t>jfernandezv@faculty.ie.edu; francescoantonio.perotti@unito.it; mr.gonzalez@ua.es; jl.gasco@ua.es</t>
  </si>
  <si>
    <t>Gascó, José L/L-1794-2014; Celestino, Leandro/HIR-4215-2022; Fernandez Vidal, Jorge/HIZ-5766-2022; Gonzalez-Ramirez, Reyes/L-1893-2014</t>
  </si>
  <si>
    <t>Gascó, José L/0000-0003-2461-7702; Gonzalez-Ramirez, Reyes/0000-0002-9758-7957; Perotti, Francesco Antonio/0000-0002-4719-7774</t>
  </si>
  <si>
    <t>0148-2963</t>
  </si>
  <si>
    <t>1873-7978</t>
  </si>
  <si>
    <t>J BUS RES</t>
  </si>
  <si>
    <t>J. Bus. Res.</t>
  </si>
  <si>
    <t>10.1016/j.jbusres.2022.07.020</t>
  </si>
  <si>
    <t>3P9HG</t>
  </si>
  <si>
    <t>WOS:000837844200003</t>
  </si>
  <si>
    <t>Schulte-Derne, D; Lehmann, C</t>
  </si>
  <si>
    <t>Schulte-Derne, Dorte; Lehmann, Claudia</t>
  </si>
  <si>
    <t>HOW CAN MANAGERS DRIVE FIRM PERFORMANCE VIA DIGITAL INNOVATIONS?</t>
  </si>
  <si>
    <t>Digitalisation; digital transformation; value creation; productivity; managerial behaviour; servitisation; innovation management; firm performance</t>
  </si>
  <si>
    <t>SERVITIZATION; INFORMATION; KNOWLEDGE; SYSTEMS</t>
  </si>
  <si>
    <t>This paper focuses on challenges regarding managerial behaviour and productivity in the context of digitalisation. It is neither understood precisely how managerial behaviours transcribe digital strategy into economic success nor how opportunities from digital innovations are transferred into productivity. A systematic literature review (SLR) is applied to acquire an organised overview of the research question How does managerial behaviour concerning digital innovations change productivity? The outcomes of this paper are threefold: (1) The research question will be answered by showing several aspects managers can make use of to influence productivity. In this regard knowledge, change management and data-driven behaviours, the creation of collaborative settings. and (customer) co-creative aspects are of particular importance. (2) Executives will be motivated to reflect and calibrate their own practices. (3) The Gutenberg rooted framework of production factors is used to discuss the results and six suggestions are made to transform the model to digital readiness.</t>
  </si>
  <si>
    <t>[Schulte-Derne, Dorte; Lehmann, Claudia] LF Grp Chair Digital Innovat Serv Ind, HHL Leipzig Grad Sch Management, Jahnallee 59, D-04109 Leipzig, Germany</t>
  </si>
  <si>
    <t>HHL Leipzig Graduate School of Management</t>
  </si>
  <si>
    <t>Schulte-Derne, D (corresponding author), LF Grp Chair Digital Innovat Serv Ind, HHL Leipzig Grad Sch Management, Jahnallee 59, D-04109 Leipzig, Germany.</t>
  </si>
  <si>
    <t>doerte.schulte-derne@hhl.de; claudia.lehmann@hhl.de</t>
  </si>
  <si>
    <t>10.1142/S1363919622400205</t>
  </si>
  <si>
    <t>WOS:000848604700001</t>
  </si>
  <si>
    <t>Senna, PP; Ferreira, LMDF; Barros, AC; Roca, JB; Magalhaes, V</t>
  </si>
  <si>
    <t>Senna, Pedro P.; Ferreira, Luis Miguel D. F.; Barros, Ana C.; Roca, Jaime Bonnin; Magalhaes, Vanessa</t>
  </si>
  <si>
    <t>Prioritizing barriers for the adoption of Industry 4.0 technologies</t>
  </si>
  <si>
    <t>Industry 4; 0; Barriers; Technology adoption; Interpretive structural modelling</t>
  </si>
  <si>
    <t>FUTURE; INTERNET; THINGS; IMPLEMENTATION; MODEL; DETERMINANTS; CHALLENGES; LOGISTICS; ANALYTICS; COMPANIES</t>
  </si>
  <si>
    <t>While Industry 4.0 promises large technological improvements, firms face multiple challenges in its adoption. Current literature has made significant efforts to identify the barriers which are common to most companies but fails to identify their interrelationships and their implications for practitioners. We use interpretive structural modelling (ISM) methodology to identify these barriers and their interrelationships, combined with matrix impact of cross multiplication applied to classification (MICMAC) analysis to identify the root barriers, in the context of the Portuguese manufacturing industry. We categorize these barriers using the Technology -Organization-Environment framework. We conclude that barriers related to standardization and lack of off -the-shelf solutions are considered root barriers. Our results differ from other studies that regard barriers related to legal and contractual uncertainty with the highest driving power and lowest dependence power. Also, we find that organizational barriers have the highest dependency and lowest driving power, contradicting studies on the topic. We provide recommendations for managers and policymakers in three areas: Standardization Dissemination, Infrastructure Development, and Digital Strategy.</t>
  </si>
  <si>
    <t>[Senna, Pedro P.] Univ Porto, Fac Engn, Rua Dr Roberto Frias, P-4200465 Porto, Portugal; [Senna, Pedro P.; Barros, Ana C.] Campus FEUP, Ctr Enterprise Syst Engn, INESC TEC, Rua Dr Roberto Frias, P-4200465 Porto, Portugal; [Ferreira, Luis Miguel D. F.; Magalhaes, Vanessa] Univ Coimbra, Dept Mech Engn, CEMMPRE, Coimbra, Portugal; [Roca, Jaime Bonnin] Eindhoven Univ Technol, Dept Ind Engn &amp; Innovat Sci, Eindhoven, Netherlands; [Senna, Pedro P.] Campus FEUP, INESC TEC, Rua Dr Roberto Frias S-N, P-4200465 Porto, Portugal</t>
  </si>
  <si>
    <t>Universidade do Porto; Universidade do Porto; INESC TEC; Universidade de Coimbra; Eindhoven University of Technology; Universidade do Porto; INESC TEC</t>
  </si>
  <si>
    <t>Senna, PP (corresponding author), Campus FEUP, INESC TEC, Rua Dr Roberto Frias S-N, P-4200465 Porto, Portugal.</t>
  </si>
  <si>
    <t>pedro.senna@inesctec.pt; luis.ferreira@dem.uc.pt; abarros2222@gmail.com; j.bonnin.roca@tue.nl; vanessa.magalhaes@dem.uc.pt</t>
  </si>
  <si>
    <t>Magalhães, Vanessa Sofia Melo/GZL-2926-2022; Roca, Jaime/AAK-3477-2021; Senna, Pedro Pinho/GRS-5705-2022; Ferreira, Luis/H-3046-2016</t>
  </si>
  <si>
    <t>Magalhães, Vanessa Sofia Melo/0000-0002-5265-8555; Roca, Jaime/0000-0003-4244-0357; Senna, Pedro Pinho/0000-0002-4025-5716; Ferreira, Luis/0000-0003-0459-0020</t>
  </si>
  <si>
    <t>FEDER funds; National Funds, National Funds through the Portuguese funding agency</t>
  </si>
  <si>
    <t>FEDER funds(European Union (EU)); National Funds, National Funds through the Portuguese funding agency</t>
  </si>
  <si>
    <t>This research is supported by FEDER funds through the program COMPETE - Programa Operacional Factores de Competitividade. This work was financed by National Funds through the Portuguese funding agency, FCT - Fundacao para a Ciencia e a Tecnologia, within project UIDB/50014/2020.</t>
  </si>
  <si>
    <t>10.1016/j.cie.2022.108428</t>
  </si>
  <si>
    <t>3R4TL</t>
  </si>
  <si>
    <t>WOS:000838907100011</t>
  </si>
  <si>
    <t>Li, L</t>
  </si>
  <si>
    <t>Li, Lan</t>
  </si>
  <si>
    <t>Evaluation of Digital Transformation Maturity of Small and Medium-Sized Entrepreneurial Enterprises Based on Multicriteria Framework</t>
  </si>
  <si>
    <t>This paper firstly constructs a set of digital maturity evaluation system for small and medium-sized enterprises based on the maturity model theory and adopts the AHP-DEMATEL evaluation method to evaluate the digital maturity of small and medium-sized enterprises. The four dimensions of digital strategy, operational technology, cultural organization capabilities, and ecosystem explore the impact mechanism of digitalization on enterprise product transformation capabilities. This research fully combines theory with practice and effectively makes up for the lack of digital theory research of small- and medium-sized enterprises.</t>
  </si>
  <si>
    <t>[Li, Lan] Balivag Univ Gil Carlos, St Baliuag 3006, Bulacan, Philippines</t>
  </si>
  <si>
    <t>Li, L (corresponding author), Balivag Univ Gil Carlos, St Baliuag 3006, Bulacan, Philippines.</t>
  </si>
  <si>
    <t>lanli@baliuagu.edu.ph</t>
  </si>
  <si>
    <t>JUL 11</t>
  </si>
  <si>
    <t>10.1155/2022/7085322</t>
  </si>
  <si>
    <t>4X3MM</t>
  </si>
  <si>
    <t>WOS:000860750100013</t>
  </si>
  <si>
    <t>Konigorski, S; Wernicke, S; Slosarek, T; Zenner, AM; Strelow, N; Ruether, DF; Henschel, F; Manaswini, M; Pottbaecker, F; Edelman, JA; Owoyele, B; Danieletto, M; Golden, E; Zweig, M; Nadkarni, GN; Boettinger, E</t>
  </si>
  <si>
    <t>Konigorski, Stefan; Wernicke, Sarah; Slosarek, Tamara; Zenner, Alexander M.; Strelow, Nils; Ruether, Darius F.; Henschel, Florian; Manaswini, Manisha; Pottbaecker, Fabian; Edelman, Jonathan A.; Owoyele, Babajide; Danieletto, Matteo; Golden, Eddye; Zweig, Micol; Nadkarni, Girish N.; Boettinger, Erwin</t>
  </si>
  <si>
    <t>StudyU: A Platform for Designing and Conducting Innovative Digital N-of-1 Trials</t>
  </si>
  <si>
    <t>digital interventions; N-of-1 trial; SCED; single-case experimental design; web application; mobile application; app; digital health</t>
  </si>
  <si>
    <t>PROTOCOL; METAANALYSIS; PERSPECTIVE; SYSTEM</t>
  </si>
  <si>
    <t>N-of-1 trials are the gold standard study design to evaluate individual treatment effects and derive personalized treatment strategies. Digital tools have the potential to initiate a new era of N-of-1 trials in terms of scale and scope, but fully functional platforms are not yet available. Here, we present the open source StudyU platform, which includes the StudyU Designer and StudyU app. With the StudyU Designer, scientists are given a collaborative web application to digitally specify, publish, and conduct N-of-1 trials. The StudyU app is a smartphone app with innovative user-centric elements for participants to partake in trials published through the StudyU Designer to assess the effects of different interventions on their health. Thereby, the StudyU platform allows clinicians and researchers worldwide to easily design and conduct digital N-of-1 trials in a safe manner. We envision that StudyU can change the landscape of personalized treatments both for patients and healthy individuals, democratize and personalize evidence generation for self-optimization and medicine, and can be integrated in clinical practice.</t>
  </si>
  <si>
    <t>[Konigorski, Stefan; Wernicke, Sarah; Slosarek, Tamara; Zenner, Alexander M.; Strelow, Nils; Ruether, Darius F.; Henschel, Florian; Manaswini, Manisha; Pottbaecker, Fabian; Edelman, Jonathan A.; Owoyele, Babajide; Boettinger, Erwin] Univ Potsdam, Hasso Plattner Inst Digital Engn, Digital Hlth Ctr, Potsdam, Germany; [Konigorski, Stefan; Wernicke, Sarah; Slosarek, Tamara; Zenner, Alexander M.; Strelow, Nils; Ruether, Darius F.; Henschel, Florian; Manaswini, Manisha; Pottbaecker, Fabian; Boettinger, Erwin] Univ Potsdam, Digital Engn Fac, Potsdam, Germany; [Konigorski, Stefan; Wernicke, Sarah; Slosarek, Tamara; Danieletto, Matteo; Golden, Eddye; Zweig, Micol; Nadkarni, Girish N.; Boettinger, Erwin] Hasso Plattner Inst Digital Hlth Mt Sinai, Icahn Sch Med Mt Sinai, New York, NY 10029 USA; [Ruether, Darius F.] Univ Med Ctr Hamburg Eppendorf, Dept Med, Hamburg, Germany; [Edelman, Jonathan A.] Ctr Adv Design Studies, Palo Alto, CA USA; [Konigorski, Stefan] Univ Potsdam, Hasso Plattner Inst Digital Engn, Digital Hlth Ctr, Prof Dr Helmert Str 2-3, D-14482 Potsdam, Germany</t>
  </si>
  <si>
    <t>University of Potsdam; University of Potsdam; Icahn School of Medicine at Mount Sinai; University of Hamburg; University Medical Center Hamburg-Eppendorf; University of Potsdam</t>
  </si>
  <si>
    <t>Konigorski, S (corresponding author), Univ Potsdam, Hasso Plattner Inst Digital Engn, Digital Hlth Ctr, Prof Dr Helmert Str 2-3, D-14482 Potsdam, Germany.</t>
  </si>
  <si>
    <t>stefan.konigorski@hpi.de</t>
  </si>
  <si>
    <t>Wernicke, Sarah/0000-0001-8127-1969; Slosarek, Tamara/0000-0003-1514-1706; owoyele, babajide/0000-0002-3688-5248; Ruether, Darius Ferenc/0000-0003-3783-380X; Zenner, Alexander Maximilian/0000-0002-6745-1610; Manaswini, Manisha/0000-0003-4403-7692</t>
  </si>
  <si>
    <t>European Union [491466077]; building a citizen -centered EU-electronic health record exchange for personalized health [826117]; Deutsche Forschungsgemeinschaft (DFG, German Research Foundation) [826117]</t>
  </si>
  <si>
    <t>European Union(European Union (EU)); building a citizen -centered EU-electronic health record exchange for personalized health; Deutsche Forschungsgemeinschaft (DFG, German Research Foundation)(German Research Foundation (DFG))</t>
  </si>
  <si>
    <t>This work has received funding from the European Union's Horizon 2020 research and innovation program under the grant agreement 826117 Smart4Health, building a citizen -centered EU-electronic health record exchange for personalized health, and from the Deutsche Forschungsgemeinschaft (DFG, German Research Foundation; project 491466077) .</t>
  </si>
  <si>
    <t>130 QUEENS QUAY E, STE 1102, TORONTO, ON M5A 0P6, CANADA</t>
  </si>
  <si>
    <t>JUL 5</t>
  </si>
  <si>
    <t>e35884</t>
  </si>
  <si>
    <t>10.2196/35884</t>
  </si>
  <si>
    <t>3B8QR</t>
  </si>
  <si>
    <t>gold, Green Submitted, Green Published</t>
  </si>
  <si>
    <t>WOS:000828200900002</t>
  </si>
  <si>
    <t>Üsküp, DK; Nieto, O; Rosenberg-Carlson, E; Lee, SJ; Milburn, NG; Brooks, RA</t>
  </si>
  <si>
    <t>Uskup, Dilara K.; Nieto, Omar; Rosenberg-Carlson, Elena; Lee, Sung-Jae; Milburn, Norweeta G.; Brooks, Ronald A.</t>
  </si>
  <si>
    <t>Acceptability and Appropriateness of Digital PrEP Interventions for Black and Latina Cisgender Women: Perspectives From Service Providers in Los Angeles County</t>
  </si>
  <si>
    <t>JAIDS-JOURNAL OF ACQUIRED IMMUNE DEFICIENCY SYNDROMES</t>
  </si>
  <si>
    <t>Black women; Latina women; pre-exposure prophylaxis; digital technology; telemedicine</t>
  </si>
  <si>
    <t>PREEXPOSURE PROPHYLAXIS PREP; ADHERENCE BUILDING ITAB; ANTIRETROVIRAL PROPHYLAXIS; UNITED-STATES; HIV; KNOWLEDGE; ATTITUDES; AWARENESS; TRIAL; USERS</t>
  </si>
  <si>
    <t>Background: Black and Latina cisgender women (BLCW) experience disproportionately high rates of HIV infection compared with White women. BLCW also experience disparities in uptake of pre-exposure prophylaxis (PrEP), a highly effective HIV prevention strategy. Digital technology interventions may help to improve PrEP accessibility among BLCW and address barriers to receiving PrEP services in clinical settings. Methods: We conducted a formative implementation research project with service providers to explore the use of digital technology interventions to improve PrEP care continuum outcomes among priority populations in Los Angeles County. A thematic analysis approach was then used to assess the perceived acceptability and appropriateness of digital PrEP interventions for BLCW. Results: Of the five technology products presented, service providers viewed the stand-alone telemedicine platforms as the most acceptable intervention type for BLCW. Service providers also noted perceived benefits and barriers that BLCW may experience in using stand-alone telemedicine platforms, and offered recommendations for tailoring the products to meet the individual needs of BLCW. Conclusions: Digital PrEP interventions may help address barriers BLCW experience in accessing PrEP in clinical settings. We offer suggestions of implementation strategies to optimize the use of digital PrEP interventions among BLCW.</t>
  </si>
  <si>
    <t>[Uskup, Dilara K.; Nieto, Omar; Rosenberg-Carlson, Elena; Brooks, Ronald A.] Univ Calif Los Angeles, Dept Family Med, 10880 Wilshire Blvd,Suite 1800, Los Angeles, CA 90024 USA; [Uskup, Dilara K.; Rosenberg-Carlson, Elena; Lee, Sung-Jae; Milburn, Norweeta G.; Brooks, Ronald A.] Univ Calif Los Angeles, Ctr HIV Identificat Prevent &amp; Treatment Serv CHIP, Los Angeles, CA 90024 USA; [Lee, Sung-Jae; Milburn, Norweeta G.] Univ Calif Los Angeles, Dept Psychiat &amp; Biobehav Sci, Los Angeles, CA 90024 USA</t>
  </si>
  <si>
    <t>University of California System; University of California Los Angeles; University of California System; University of California Los Angeles; University of California System; University of California Los Angeles</t>
  </si>
  <si>
    <t>Brooks, RA (corresponding author), Univ Calif Los Angeles, Dept Family Med, 10880 Wilshire Blvd,Suite 1800, Los Angeles, CA 90024 USA.</t>
  </si>
  <si>
    <t>rabrooks@mednet.ucla.edu</t>
  </si>
  <si>
    <t>Center for HIV Identification, Prevention, and Treatment Services (CHIPTS) under the National Institutes of Mental Health (NIMH) [P30 MH058107-23S]; National Institute of Neurological Disorders and Stroke (NINDS) [R25NS094093]; NIMH [5T32MH109205-03]</t>
  </si>
  <si>
    <t>Center for HIV Identification, Prevention, and Treatment Services (CHIPTS) under the National Institutes of Mental Health (NIMH); National Institute of Neurological Disorders and Stroke (NINDS)(United States Department of Health &amp; Human ServicesNational Institutes of Health (NIH) - USANIH National Institute of Neurological Disorders &amp; Stroke (NINDS)); NIMH(United States Department of Health &amp; Human ServicesNational Institutes of Health (NIH) - USANIH National Institute of Mental Health (NIMH))</t>
  </si>
  <si>
    <t>Supported by the Center for HIV Identification, Prevention, and Treatment Services (CHIPTS) under the National Institutes of Mental Health (NIMH) Grant No. P30 MH058107-23S. D.K.U. is supported by the National Institute of Neurological Disorders and Stroke (NINDS) under Grant No. R25NS094093 and NIMH under Grant No. 5T32MH109205-03. The content is solely the responsibility of the authors and does not necessarily represent the official views of NIH.</t>
  </si>
  <si>
    <t>LIPPINCOTT WILLIAMS &amp; WILKINS</t>
  </si>
  <si>
    <t>TWO COMMERCE SQ, 2001 MARKET ST, PHILADELPHIA, PA 19103 USA</t>
  </si>
  <si>
    <t>1525-4135</t>
  </si>
  <si>
    <t>1077-9450</t>
  </si>
  <si>
    <t>JAIDS-J ACQ IMM DEF</t>
  </si>
  <si>
    <t>JAIDS</t>
  </si>
  <si>
    <t>JUL 1</t>
  </si>
  <si>
    <t>S134</t>
  </si>
  <si>
    <t>S140</t>
  </si>
  <si>
    <t>10.1097/QAI.0000000000002973</t>
  </si>
  <si>
    <t>Immunology; Infectious Diseases</t>
  </si>
  <si>
    <t>2C7PI</t>
  </si>
  <si>
    <t>Bronze, Green Accepted</t>
  </si>
  <si>
    <t>WOS:000811055100017</t>
  </si>
  <si>
    <t>Garcia-Lomas, JD; Palacios, M; Zurdo, RP</t>
  </si>
  <si>
    <t>de la Guardia Garcia-Lomas, Juan; Palacios, Miguel; Zurdo, Ricardo Palomo</t>
  </si>
  <si>
    <t>Mergers &amp; acquisitions in the elevator industry: The use of information and communication technologies to avoid information asymmetry</t>
  </si>
  <si>
    <t>ENGINEERING REPORTS</t>
  </si>
  <si>
    <t>adverse selection; digital strategy; ICTs; information asymmetry; IoT; IT due diligence; M&amp;A performance; M&amp;A success</t>
  </si>
  <si>
    <t>Mergers and Acquisitions (M&amp;A) is one of the most explored growth strategies in all markets, and this is indeed the case in the elevator industry, an engineering-based industry with important service contracts. The reality is that a high percentage of the operations carried out do not meet the expectations of the investors once the integration phase has been completed. The authors have reviewed 290 papers related to successes and failures of M&amp;A operations from different industries, between 1990 and 2020, and the conclusion is that there are several causes of failures in M&amp;A operations, but the most common one, and the one with the highest risk of overprice in an acquisition decision, is information asymmetry. During the negotiation phase a large amount of data is collected, and subsequently analyzed during the due diligence period, but it may not correspond to the reality during the integration phase. In this article we will propose how information asymmetry can be avoided through internet of things (hereinafter IoT) devices installed in an elevator. This can also be applied to other engineering-based industries with service involvement and potential remote measurements.</t>
  </si>
  <si>
    <t>[de la Guardia Garcia-Lomas, Juan] Univ CEU San Pablo, CEU Univ, CEINDO, Madrid, Spain; [Palacios, Miguel] ESCP Business Sch, Madrid, Spain; [Zurdo, Ricardo Palomo] Univ CEU San Pablo, CEU Univ, Sch Business &amp; Econ, Madrid, Spain</t>
  </si>
  <si>
    <t>San Pablo CEU University; heSam Universite; ESCP Business School; San Pablo CEU University</t>
  </si>
  <si>
    <t>Garcia-Lomas, JD (corresponding author), Univ CEU San Pablo, CEU Univ, Madrid 28003, Spain.</t>
  </si>
  <si>
    <t>juan.deguardiagarcialomas@usp.ceu.es</t>
  </si>
  <si>
    <t>de la Guardia, Juan/HKE-8412-2023; PALOMO-ZURDO, RICARDO/C-4070-2015</t>
  </si>
  <si>
    <t>de la Guardia, Juan/0000-0002-8861-0940; PALOMO-ZURDO, RICARDO/0000-0002-4243-6684</t>
  </si>
  <si>
    <t>2577-8196</t>
  </si>
  <si>
    <t>ENG REP</t>
  </si>
  <si>
    <t>Eng. Rep.</t>
  </si>
  <si>
    <t>e12539</t>
  </si>
  <si>
    <t>10.1002/eng2.12539</t>
  </si>
  <si>
    <t>JUN 2022</t>
  </si>
  <si>
    <t>Computer Science, Interdisciplinary Applications; Engineering, Multidisciplinary; Materials Science, Multidisciplinary</t>
  </si>
  <si>
    <t>Computer Science; Engineering; Materials Science</t>
  </si>
  <si>
    <t>9E9CL</t>
  </si>
  <si>
    <t>WOS:000815732000001</t>
  </si>
  <si>
    <t>Massa, A; Anzera, G</t>
  </si>
  <si>
    <t>Massa, Alessandra; Anzera, Giuseppe</t>
  </si>
  <si>
    <t>The platformization of military communication: The digital strategy of the Israel Defense Forces on Twitter</t>
  </si>
  <si>
    <t>MEDIA WAR AND CONFLICT</t>
  </si>
  <si>
    <t>conflict; Israel Defense Forces (IDF); military communication; online platforms; strategic narratives; Twitter</t>
  </si>
  <si>
    <t>SOCIAL MEDIA; WAR; CONFLICT; CULTURE; IMAGES; POWER</t>
  </si>
  <si>
    <t>Platforms are conditioning the way public communication is conducted while presenting themselves as neutral connectors. Social media logic encompasses norms, strategies, mechanisms and economies acting at the intersection between online platforms and society. Military communication is adapting itself to communicative and socio-technical innovations dictated by online platforms and social network sites. Armies are currently using digital media and online platforms in at least two different ways: a promotional one, based on the 'normalization' of militarism, and a conflictual one, based on the display and management of conflicts. In this article, the authors apply qualitative content analysis to investigate the platformed strategy of the Israel Defense Forces (IDF) Twitter account. Results show how the IDF embraces platformization and uses social media logic to develop a coherent narrative, projecting an attractive image, establishing an international positioning and defining international interlocutors. The institution of communicative formats, the multiplication of themes and representational artefacts, and a redefined aesthetics of army and violence are enabled by social media logic. Tweets from the IDF follow a dual path: they contribute to normalizing militarism and act on the conflictual display of current affairs.</t>
  </si>
  <si>
    <t>[Massa, Alessandra] Univ Cagliari, Cagliari, Italy; [Anzera, Giuseppe] Sapienza Univ Rome, Dept Commun &amp; Social Res, Rome, Italy</t>
  </si>
  <si>
    <t>University of Cagliari; Sapienza University Rome</t>
  </si>
  <si>
    <t>Massa, A (corresponding author), Univ Cagliari, Dept Polit &amp; Social Sci, S Ignazio St 78, I-09123 Cagliari, Italy.</t>
  </si>
  <si>
    <t>alessandra.massa86@unica.it</t>
  </si>
  <si>
    <t>MASSA, ALESSANDRA/HTN-7674-2023</t>
  </si>
  <si>
    <t>MASSA, ALESSANDRA/0000-0002-2360-6772</t>
  </si>
  <si>
    <t>1750-6352</t>
  </si>
  <si>
    <t>1750-6360</t>
  </si>
  <si>
    <t>MEDIA WAR CONFL</t>
  </si>
  <si>
    <t>Media War Confl.</t>
  </si>
  <si>
    <t>10.1177/17506352221101257</t>
  </si>
  <si>
    <t>Q1TJ1</t>
  </si>
  <si>
    <t>WOS:000811019600001</t>
  </si>
  <si>
    <t>Chukwu, E; Garg, L; Foday, E; Konomanyi, A; Wright, R; Smart, F</t>
  </si>
  <si>
    <t>Chukwu, Emeka; Garg, Lalit; Foday, Edward; Konomanyi, Abdul; Wright, Royston; Smart, Francis</t>
  </si>
  <si>
    <t>Digital Health Solutions and State of Interoperability: Landscape Analysis of Sierra Leone</t>
  </si>
  <si>
    <t>digital health; mHealth; mobile health; eHealth; Health information and communication technologies; Sierra Leone; big data; HIE; interoperability</t>
  </si>
  <si>
    <t>BIG DATA</t>
  </si>
  <si>
    <t>Background: The government and partners have invested heavily in the health information system (HIS) for service delivery, surveillance, reporting, and monitoring. Sierra Leone's government launched its first digital health strategy in 2018. In 2019, a broader national innovation and digital strategy was launched. The health pillar direction will use big data and artificial intelligence (AI) to improve health care in general and maternal and child health in particular. Understanding the number, distribution, and interoperability of digital health solutions is crucial for successful implementation strategies. Objective: This paper presents the state of digital health solutions in Sierra Leone and how these solutions currently interoperate. This study further presents opportunities for big data and AI applications. Methods: All the district health management teams, all digital health implementing organizations, and a stratified sample of 72 (out of 1284) health facilities were purposefully selected from all health districts and surveyed. Results: The National Health Management Information System's (NHMIS's) aggregate reporting solution populated by health facility forms HF1 to HF9 was, by far, the most used tool. A health facility-based weekly aggregate electronic integrated disease surveillance and response solution was also widely used. Half of the health facilities had more than 2 digital health solutions in use. The different digital health software solutions do not share data among one another, though aggregate reporting data were sent as necessary. None of the respondents use any of the health care registries for patient, provider, health facility, or terminology identification. Conclusions: Many digital health solutions are currently used at health facilities in Sierra Leone. The government can leverage current investment in HIS from surveillance and reporting for using big data and AI for care. The vision of using big data for health care is achievable if stakeholders prioritize individualized and longitudinal patient data exchange using agreed use cases from national strategies. This study has shown evidence of distribution, types, and scale of digital health solutions in health facilities and opportunities for leveraging big data to fill critical gaps necessary to achieve the national digital health vision.</t>
  </si>
  <si>
    <t>[Chukwu, Emeka; Garg, Lalit] Univ Malta, Fac Informat &amp; Commun Technol, Dept Comp Informat Syst, PG Room A24,Level 0, MSD-2080 Msida, Malta; [Foday, Edward; Smart, Francis] Minist Hlth &amp; Sanitat, Directorate Planning Policy &amp; Informat, Freetown, Sierra Leone; [Konomanyi, Abdul] Minist Informat &amp; Commun, Directorate eGovt, Freetown, Sierra Leone; [Wright, Royston] UNICEF, Monitoring &amp; Evaluat Unit, Hlth &amp; Nutr, Freetown, Sierra Leone</t>
  </si>
  <si>
    <t>University of Malta; Ministry of Health &amp; Sanitation Sierra Leone</t>
  </si>
  <si>
    <t>Chukwu, E (corresponding author), Univ Malta, Fac Informat &amp; Commun Technol, Dept Comp Informat Syst, PG Room A24,Level 0, MSD-2080 Msida, Malta.</t>
  </si>
  <si>
    <t>nnaemeka.ec@hotmail.com</t>
  </si>
  <si>
    <t>Nasarian, Elham/ISB-6863-2023; Garg, Lalit/AAE-6453-2019</t>
  </si>
  <si>
    <t>Garg, Lalit/0000-0002-3868-0481; Chukwu, Emeka/0000-0003-3474-8108; Foday, Edward/0000-0003-3075-0964; Smart, Francis/0000-0002-9389-4730</t>
  </si>
  <si>
    <t>UNICEF; United States Agency for International Development; University of Malta</t>
  </si>
  <si>
    <t>UNICEF; United States Agency for International Development(United States Agency for International Development (USAID)); University of Malta</t>
  </si>
  <si>
    <t>The Ministry of Health and Sanitation was supported for this study by UNICEF with support from United States Agency for International Development. The University of Malta also supported this research. The authors would like to appreciate all survey respondents including district health medical officers, health facility officers in charge, Focus1000, eHealthAfrica, Emergency Operation Center, World Vision, GIZ, World Health Organization, UNICEF, Johns Hopkins University-Center for Communications Program, United Nations Population Fund, Cell, Care International, GOAL, Partners In Health, United Nations, Hellen Keller International, World Hope International, Community Health Workers Hub, and Monitoring and Evaluation, Directorate of Policy, Planning and Information.</t>
  </si>
  <si>
    <t>e29930</t>
  </si>
  <si>
    <t>10.2196/29930</t>
  </si>
  <si>
    <t>4N5SX</t>
  </si>
  <si>
    <t>WOS:000854080300016</t>
  </si>
  <si>
    <t>Ferretti, F</t>
  </si>
  <si>
    <t>Ferretti, Federico</t>
  </si>
  <si>
    <t>A SINGLE EUROPEAN DATA SPACE AND DATA ACT FOR THE DIGITAL SINGLE MARKET: ON DATAFICATION AND THE VIABILITY OF A PSD2-LIKE ACCESS REGIME FOR THE PLATFORM ECONOMY</t>
  </si>
  <si>
    <t>EUROPEAN JOURNAL OF LEGAL STUDIES</t>
  </si>
  <si>
    <t>Digital Single Market; Data Act; data; data rights and control; data access; data sharing; platform economy; PSD2</t>
  </si>
  <si>
    <t>BIG DATA; KNOWLEDGE; INFORMATION; DEFINITION; PROTECTION; CREDIT</t>
  </si>
  <si>
    <t>In its new digital strategy for Europe, the EU highlights the need for better data-access and sharing. In line with this priority, it is working on a proposal for a Data Act that aims to provide the underlying legal framework. This paper seeks to disentangle key legal concepts and issues related to datafication that affect the envisaged European Data Space. It reveals that the EU already has a suitable regulatory model under the Payment Services Directive 2 ('PSD2'). The strategy focuses on market imbalances of the platform economy and challenges the legitimacy of large technological companies ('Big-Techs'). The latter act as gatekeepers to maintain a key role in data-access and monetise their data dominance. The paper casts into question the existence of a data market, suggesting that the EU already has a viable legislative model provided by the 'PSD2' sectoral legislation. Its data-access model could be applied horizontally across data-driven markets and the platform economy without engineering new rules or adding regulatory layers.</t>
  </si>
  <si>
    <t>[Ferretti, Federico] Alma Mater Studiorum Univ Bologna, Law, Bologna, Italy</t>
  </si>
  <si>
    <t>University of Bologna</t>
  </si>
  <si>
    <t>Ferretti, F (corresponding author), Alma Mater Studiorum Univ Bologna, Law, Bologna, Italy.</t>
  </si>
  <si>
    <t>Erasmus+ Programme of the European Union</t>
  </si>
  <si>
    <t>Erasmus+ Programme of the European Union(Erasmus+)</t>
  </si>
  <si>
    <t>Associate Professor of Law, Alma Mater Studiorum University of Bologna; Director of the Jean Monnet Centre of Excellence 'Consumers and SMEs in the Digital Single Market (Digi-ConSME)'; Jean Monnet Chair of EU Digital Market Law (E-DSM). Co-funded by the Erasmus+ Programme of the European Union. The author is grateful to the three anonymous reviewers for their insightful and helpful comments. The usual disclaimer applies.</t>
  </si>
  <si>
    <t>EUROPEAN UNIV INST</t>
  </si>
  <si>
    <t>FIRENZE</t>
  </si>
  <si>
    <t>COMMUNICATIONS SERV-PUBL UNIT, VILLA SALVIATI, VIA BOLOGNESE 156, FIRENZE, FI 50139, ITALY</t>
  </si>
  <si>
    <t>1973-2937</t>
  </si>
  <si>
    <t>EUR J LEG STUD</t>
  </si>
  <si>
    <t>Eur. J. Leg. Stud.</t>
  </si>
  <si>
    <t>SUM</t>
  </si>
  <si>
    <t>10.2924/EJLS.2022.015</t>
  </si>
  <si>
    <t>4U3TE</t>
  </si>
  <si>
    <t>WOS:000858719700008</t>
  </si>
  <si>
    <t>Gulati, S; Grover, A</t>
  </si>
  <si>
    <t>Gulati, Sonal; Grover, Abha</t>
  </si>
  <si>
    <t>THE IMPACT OF SOCIAL MEDIA PLATFORMS ON THE GROWTH OF STARTUPS IN INDIA</t>
  </si>
  <si>
    <t>INTERNATIONAL JOURNAL OF EARLY CHILDHOOD SPECIAL EDUCATION</t>
  </si>
  <si>
    <t>social media advertising; startups; online sales; digital strategies; social media marketing effectiveness</t>
  </si>
  <si>
    <t>The fundamental reason behind this research is to study and investigate what role digital channels play if startups in India decide to advertise and promote their brand, product, or service through online mode. Nowadays, almost everyone wants to start a new venture and want to launch their brands and compete with more prominent names in the markets through cost effective ways. There have been several studies in the past where one can learn how one should expand their business in a certain targeted market. These research materials give us insights on failed startups as well who were unable to grow and could not run their business for more than two years. However; in today's era; we have observed that many entrepreneurs are now gaining momentum and their success rate is higher and they are relying maximum on digital strategies to promote their companies' offerings. Smart phones and smart devices have been a massive trend in marketing and they are contributing to more than half of the online traffic. Startups are now leveraging the digital space and using several digital channels for increasing their brand's visibility and influencing online sales. They are finding virtual mediums more cost effective with better customer engagement rate. They are able to control their marketing funds and execute their campaigns effectively if using digital marketing techniques such as pay per click, email marketing, search engine optimization &amp; social media marketing. The findings of this research imply that digital advertising for entrepreneurs has a huge impact on growing their business. If they do not utilize digital channels effectively, the augment is slow and redundant in some cases. It does show that online marketing efforts impact sales numbers and lead numbers for startups.</t>
  </si>
  <si>
    <t>[Gulati, Sonal] New Delhi Inst Management, Digital Mkt, New Delhi, India; [Grover, Abha] New Delhi Inst Management, Mkt, New Delhi, India</t>
  </si>
  <si>
    <t>Gulati, S (corresponding author), New Delhi Inst Management, Digital Mkt, New Delhi, India.</t>
  </si>
  <si>
    <t>sonalgulati.22@gmail.com; abhagrover.delhi@gmail.com</t>
  </si>
  <si>
    <t>ANADOLU UNIV</t>
  </si>
  <si>
    <t>ESKISEHIR</t>
  </si>
  <si>
    <t>INST FINE ARTS, ESKISEHIR, 26470, TURKEY</t>
  </si>
  <si>
    <t>1308-5581</t>
  </si>
  <si>
    <t>INT J EARLY CHILD SP</t>
  </si>
  <si>
    <t>Int. J. Early Child. Spec. Educ.</t>
  </si>
  <si>
    <t>10.9756/INT-JECSE/V14I1.260</t>
  </si>
  <si>
    <t>Education, Special</t>
  </si>
  <si>
    <t>0U9VM</t>
  </si>
  <si>
    <t>WOS:000787994800006</t>
  </si>
  <si>
    <t>Lotto, M; Jorge, OS; Menezes, TS; Ramalho, AM; Oliveira, TM; Bevilacqua, F; Cruvinel, T</t>
  </si>
  <si>
    <t>Lotto, Matheus; Jorge, Olivia Santana; Menezes, Tamires Sa; Ramalho, Ana Maria; Oliveira, Thais Marchini; Bevilacqua, Fernando; Cruvinel, Thiago</t>
  </si>
  <si>
    <t>Psychophysiological Reactions of Internet Users Exposed to Fluoride Information and Disinformation: Protocol for a Randomized Controlled Trial</t>
  </si>
  <si>
    <t>JMIR RESEARCH PROTOCOLS</t>
  </si>
  <si>
    <t>fluoride; disinformation; randomized controlled trial; social media; internet</t>
  </si>
  <si>
    <t>SOCIAL MEDIA; FAKE NEWS; ANXIETY; STRESS; POSTS</t>
  </si>
  <si>
    <t>Background: False messages on the internet continually propagate possible adverse effects of fluoridated oral care products and water, despite their essential role in preventing and controlling dental caries. Objective: This study aims to evaluate the patterns of psychophysiological reactions of adults after the consumption of internet-based fluoride-related information and disinformation. Methods: A 2-armed, single-blinded, parallel, and randomized controlled trial will be conducted with 58 parents or caregivers of children who attend the Clinics of Pediatric Dentistry at the Bauru School of Dentistry, considering an attrition of 10% and a significance level of 5%. The participants will be randomized into test and intervention groups, being respectively exposed to fluoride-related information and disinformation presented on a computer with simultaneous monitoring of their psychophysiological reactions, including analysis of their heart rates (HRs) and 7 facial features (mouth outer, mouth corner, eye area, eyebrow activity, face area, face motion, and facial center of mass). Then, participants will respond to questions about the utility and truthfulness of content, their emotional state after the experiment, eHealth literacy, oral health knowledge, and socioeconomic characteristics. The Shapiro-Wilk and Levene tests will be used to determine the normality and homogeneity of the data, which could lead to further statistical analyses for elucidating significant differences between groups, using parametric (Student t test) or nonparametric (Mann-Whitney U test) analyses. Moreover, multiple logistic regression models will be developed to evaluate the association of distinct variables with the psychophysiological aspects. Only factors with significant Wald statistics in the simple analysis will be included in the multiple models (P&lt;.2). Furthermore, receiver operating characteristic curve analysis will be performed to determine the accuracy of the remote HR with respect to the measured HR. For all analyses, P&lt;.05 will be considered significant. Results: From June 2022, parents and caregivers who frequent the Clinics of Pediatric Dentistry at the Bauru School of Dentistry will be invited to participate in the study and will be randomized into 1 of the 2 groups (control or intervention). Data collection is expected to be completed in December 2023. Subsequently, the authors will analyze the data and publish the findings of the clinical trial by June 2024. Conclusions: This randomized controlled trial aims to elucidate differences between psychophysiological patterns of adults exposed to true or false oral health content. This evidence may support the development of further studies and digital strategies, such as neural network models to automatically detect disinformation available on the internet.</t>
  </si>
  <si>
    <t>[Lotto, Matheus; Jorge, Olivia Santana; Menezes, Tamires Sa; Ramalho, Ana Maria; Oliveira, Thais Marchini; Cruvinel, Thiago] Univ Sao Paulo, Bauru Sch Dent, Dept Pediat Dent Orthodont &amp; Publ Hlth, Al Dr Octavio Pinheiro Brisolla 9-75,Vila Univ, BR-17012901 Bauru, SP, Brazil; [Bevilacqua, Fernando] Fed Univ Fronteira Sul, Dept Comp Sci, Chapeco, SC, Brazil</t>
  </si>
  <si>
    <t>Universidade de Sao Paulo; Universidade Federal da Fronteira Sul</t>
  </si>
  <si>
    <t>Cruvinel, T (corresponding author), Univ Sao Paulo, Bauru Sch Dent, Dept Pediat Dent Orthodont &amp; Publ Hlth, Al Dr Octavio Pinheiro Brisolla 9-75,Vila Univ, BR-17012901 Bauru, SP, Brazil.</t>
  </si>
  <si>
    <t>thiagocruvinel@fob.usp.br</t>
  </si>
  <si>
    <t>Lotto, Matheus/V-4759-2018; Cruvinel Silva, Thiago/K-2707-2012</t>
  </si>
  <si>
    <t>Lotto, Matheus/0000-0002-0121-4006; Menezes, Tamires/0000-0002-2184-5075; Santana Jorge, Olivia/0000-0002-5266-5798; Cruvinel Silva, Thiago/0000-0001-7095-908X; Juca, Ana Maria/0000-0003-0908-6819</t>
  </si>
  <si>
    <t>Sao Paulo Research Foundation [2019/27242-0]</t>
  </si>
  <si>
    <t>This work was supported by the Sao Paulo Research Foundation (grant #2019/27242-0).</t>
  </si>
  <si>
    <t>1929-0748</t>
  </si>
  <si>
    <t>JMIR RES PROTOC</t>
  </si>
  <si>
    <t>JMIR RES. Protoc.</t>
  </si>
  <si>
    <t>e39133</t>
  </si>
  <si>
    <t>10.2196/39133</t>
  </si>
  <si>
    <t>E2AV8</t>
  </si>
  <si>
    <t>WOS:000973635700047</t>
  </si>
  <si>
    <t>Pilares, ICA; Azam, S; Akbulut, S; Jonkman, M; Shanmugam, B</t>
  </si>
  <si>
    <t>Pilares, Iris Cathrina Abacan; Azam, Sami; Akbulut, Serkan; Jonkman, Mirjam; Shanmugam, Bharanidharan</t>
  </si>
  <si>
    <t>Addressing the Challenges of Electronic Health Records Using Blockchain and IPFS</t>
  </si>
  <si>
    <t>SENSORS</t>
  </si>
  <si>
    <t>blockchain; cryptography; electronic health record; privacy; security; distributed file system</t>
  </si>
  <si>
    <t>EHR; IMPLEMENTATION; SECURITY; ADOPTION; SYSTEMS; SCHEME; ISSUES</t>
  </si>
  <si>
    <t>Electronic Health Records (EHR) are the healthcare sector's core digital strategy meant to improve the quality of care provided to patients. Despite the benefits afforded by this digital transformation initiative, adoption among healthcare organizations has been slower than desired. The sheer volume and sensitive nature of patient records compel these organizations to exercise a healthy amount of caution in implementing EHR. Cyberattacks have also increased the risks associated with non-optimal EHR implementations. An influx of high-profile data breaches has plagued the sector during the COVID-19 pandemic, which put the spotlight on EHR cybersecurity. One objective of this research project is to aid the acceleration of EHR adoption. Another objective is to ensure the robustness of the system to resist malicious attacks. For the former, a systematic review was used to unearth all the possible causes why the adoption of EHR has been anemic. In this paper, sixty-five existing proposed EHR solutions were analyzed and it was found that there are fourteen major challenges that need to be addressed to reduce friction and risk for health organizations. These were privacy, security, confidentiality, interoperability, access control, scalability, authentication, accessibility, availability, data storage, data ownership, data validity, data integrity, and ease of use. We propose EHRChain, a new framework that tackles all the listed challenges simultaneously to address the first objective while also being designed to achieve the second objective. It is enabled by dual-blockchains based on Hyperledger Sawtooth to allow patient data decentralization via a consortium blockchain and IPFS for distributed data storage.</t>
  </si>
  <si>
    <t>[Pilares, Iris Cathrina Abacan; Azam, Sami; Akbulut, Serkan; Jonkman, Mirjam; Shanmugam, Bharanidharan] Charles Darwin Univ, Coll Engn IT &amp; Environm, Ellengowan Dr, Casuarina, NT 0810, Australia</t>
  </si>
  <si>
    <t>Charles Darwin University</t>
  </si>
  <si>
    <t>Azam, S (corresponding author), Charles Darwin Univ, Coll Engn IT &amp; Environm, Ellengowan Dr, Casuarina, NT 0810, Australia.</t>
  </si>
  <si>
    <t>iris.abacan@gmail.com; sami.azam@cdu.edu.au; s3rkanakbulut@gmail.com; mirjam.jonkman@cdu.edu.au; bharanidharan.shanmugam@cdu.edu.au</t>
  </si>
  <si>
    <t>; Shanmugam, Bharanidharan/C-3611-2011</t>
  </si>
  <si>
    <t>Azam, Sami/0000-0001-7572-9750; Shanmugam, Bharanidharan/0000-0002-2591-1949; AKBULUT, Serkan/0000-0002-4893-1379</t>
  </si>
  <si>
    <t>1424-8220</t>
  </si>
  <si>
    <t>SENSORS-BASEL</t>
  </si>
  <si>
    <t>Sensors</t>
  </si>
  <si>
    <t>10.3390/s22114032</t>
  </si>
  <si>
    <t>Chemistry, Analytical; Engineering, Electrical &amp; Electronic; Instruments &amp; Instrumentation</t>
  </si>
  <si>
    <t>Chemistry; Engineering; Instruments &amp; Instrumentation</t>
  </si>
  <si>
    <t>1Z5XM</t>
  </si>
  <si>
    <t>WOS:000808897100001</t>
  </si>
  <si>
    <t>Zhu, XM; Liu, Y</t>
  </si>
  <si>
    <t>Zhu, Xiumei; Liu, Yue</t>
  </si>
  <si>
    <t>The Formation Mechanism of an Enterprise?s Digital Intelligence Transformation Capability: A Case Study on ?Knowledge-Action Oneness? in Haier</t>
  </si>
  <si>
    <t>digital intelligence transformation capability; learning subject; learning process; ?knowledge-action oneness; ? Haier</t>
  </si>
  <si>
    <t>COMPETITIVE ADVANTAGE; VALUE CREATION; STRATEGY; ENTREPRENEURSHIP; PERSPECTIVE</t>
  </si>
  <si>
    <t>The rapid development of big data, artificial intelligence (AI), and blockchain technology makes the digital intelligence transformation of an enterprise possible. Based on the case study of Haier Group, this paper attempts to address the rationales behind building up the capability of digital intelligence transformation of enterprises by means of the traditional Chinese idiom, knowledge -action oneness. The result indicates that the learning process is an important factor for an enterprise to form its digital intelligence transformation capability. It is a process of mutual coupling between digital knowledge and digital actions. As a result of such a unity, different learning subjects form their corresponding digital intelligence transformation capability through their own learning process of mutual coupling of knowledge and action: Leaders form digital strategic capabilities through the mutual coupling of strategic knowledge and actions; employees form digital absorption capabilities through the mutual coupling of scenario -based knowledge and actions; teams form digital integration capabilities through the mutual coupling of integrated knowledge and actions; and the whole organization forms digital, eco-systemic capabilities through the mutual coupling of institutionalized knowledge and autonomous actions. Such a multi -level digital intelligence transformation system requires efforts from everyone in the enterprise.</t>
  </si>
  <si>
    <t>[Zhu, Xiumei; Liu, Yue] Jilin Univ, Sch Management, Changchun 130022, Peoples R China</t>
  </si>
  <si>
    <t>Jilin University</t>
  </si>
  <si>
    <t>Zhu, XM (corresponding author), Jilin Univ, Sch Management, Changchun 130022, Peoples R China.</t>
  </si>
  <si>
    <t>Project of the National Natural Science Foundation of China Research on the Formation and Evolution Mechanism of Digital Entrepreneurial Ecosystem [71972086]; Jilin University Doctoral Interdisciplinary Science and Technology Funding Scheme [101832020DJX015]</t>
  </si>
  <si>
    <t>Project of the National Natural Science Foundation of China Research on the Formation and Evolution Mechanism of Digital Entrepreneurial Ecosystem; Jilin University Doctoral Interdisciplinary Science and Technology Funding Scheme</t>
  </si>
  <si>
    <t>This paper is supported by Project of the National Natural Science Foundation of China Research on the Formation and Evolution Mechanism of Digital Entrepreneurial Ecosystem (No. 71972086) and Jilin University Doctoral Interdisciplinary Science and Technology Funding Scheme (No.101832020DJX015) .</t>
  </si>
  <si>
    <t>10.3868/s070-007-022-0007-7</t>
  </si>
  <si>
    <t>D5YQ9</t>
  </si>
  <si>
    <t>WOS:000969490800003</t>
  </si>
  <si>
    <t>Gartner, J; Maresch, D; Tierney, R</t>
  </si>
  <si>
    <t>Gartner, Johannes; Maresch, Daniela; Tierney, Robert</t>
  </si>
  <si>
    <t>The key to scaling in the digital era: Simultaneous automation, individualization and interdisciplinarity</t>
  </si>
  <si>
    <t>JOURNAL OF SMALL BUSINESS MANAGEMENT</t>
  </si>
  <si>
    <t>Scaling; digital technologies; hybrid strategies; cost-leadership; differentiation; small businesses; explanatory case study</t>
  </si>
  <si>
    <t>SUPERIOR FINANCIAL PERFORMANCE; COMPETITIVE STRATEGY; INFORMATION-TECHNOLOGY; KNOWLEDGE; INNOVATION; DIFFERENTIATION; DESIGN; USER; ENTREPRENEURSHIP; IMPLEMENTATION</t>
  </si>
  <si>
    <t>In this paper, we develop a theoretical framework that explains how digital technologies can help small businesses generate competitive advantages for scaling. To gain and sustain competitive advantages, small businesses traditionally had to choose between cost leadership and differentiation strategies. Digital technologies enable small businesses to reduce their costs and at the same time enhance the value of their market offerings through differentiation. The aim of this paper is to explain the role of digital technologies in such hybrid strategies for small businesses. We first identify automation, individualization and interdisciplinarity as the three dimensions of digital technologies that together enable technology-driven firms to gain and sustain competitive advantages and to scale rapidly. Second, we integrate these three dimensions into a theoretical framework. Third, we test and confirm the theoretical framework in an explanatory case study and discuss the results.</t>
  </si>
  <si>
    <t>[Gartner, Johannes] Lund Univ, Sch Econ &amp; Management, Box 7080, SE-22007 Lund, Sweden; [Maresch, Daniela] Grenoble Ecole Management, Dept Management Technol &amp; Strategy, Grenoble, France; [Maresch, Daniela] Univ Southern Denmark, Dept Entrepreneurship &amp; Relationship Management, Odense, Denmark; [Tierney, Robert] Northern New Mexico Coll, Espanola, NM USA</t>
  </si>
  <si>
    <t>Lund University; Grenoble Ecole Management; University of Southern Denmark</t>
  </si>
  <si>
    <t>Gartner, J (corresponding author), Lund Univ, Sch Econ &amp; Management, Box 7080, SE-22007 Lund, Sweden.</t>
  </si>
  <si>
    <t>johannes.gartner@fek.lu.se</t>
  </si>
  <si>
    <t>Maresch, Daniela/0000-0002-1443-2520</t>
  </si>
  <si>
    <t>0047-2778</t>
  </si>
  <si>
    <t>1540-627X</t>
  </si>
  <si>
    <t>J SMALL BUS MANAGE</t>
  </si>
  <si>
    <t>J. Small Bus. Manag.</t>
  </si>
  <si>
    <t>2022 MAY 28</t>
  </si>
  <si>
    <t>10.1080/00472778.2022.2073361</t>
  </si>
  <si>
    <t>MAY 2022</t>
  </si>
  <si>
    <t>1N2VG</t>
  </si>
  <si>
    <t>WOS:000800518200001</t>
  </si>
  <si>
    <t>Birnbaum, ML; Garrett, C; Baumel, A; Germano, NT; Lee, CY; Sosa, D; Ngo, H; Fox, KH; Dixon, L; Kane, JM</t>
  </si>
  <si>
    <t>Birnbaum, Michael L.; Garrett, Chantel; Baumel, Amit; Germano, Nicole T.; Lee, Cynthia; Sosa, Danny; Ngo, Hong; Fox, Kira H.; Dixon, Lisa; Kane, John M.</t>
  </si>
  <si>
    <t>Digital Strategies to Accelerate Help-Seeking in Youth With Psychiatric Concerns in New York State</t>
  </si>
  <si>
    <t>FRONTIERS IN PSYCHIATRY</t>
  </si>
  <si>
    <t>digital advertisements; early intervention; youth mental health; help-seeking; social media; pathways to care</t>
  </si>
  <si>
    <t>INITIAL TREATMENT CONTACT; HEALTH-RELATED STIGMA; MENTAL-DISORDERS; 1ST ONSET; 1ST-EPISODE PSYCHOSIS; UNTREATED ILLNESS; DEPRESSION; SCHIZOPHRENIA; DURATION; INTERNET</t>
  </si>
  <si>
    <t>BackgroundMental illness in transition age youth is common and treatment initiation is often delayed. Youth overwhelmingly report utilizing the Internet to gather information while psychiatric symptoms emerge, however, most are not yet ready to receive a referral to care, forestalling the established benefit of early intervention. MethodsA digital outreach campaign and interactive online care navigation platform was developed and deployed in New York State on October 22, 2020. The campaign offers live connection to a peer or counselor, a self-assessment mental health quiz, and educational material all designed to promote help-seeking in youth and their allies. ResultsBetween October 22, 2020 and July 31, 2021, the campaign resulted in 581,981 ad impressions, 16,665 (2.9%) clicks, and 13,717 (2.4%) unique website visitors. A third (4,562, 33.2%) completed the quiz and 793 (0.1%) left contact information. Of those, 173 (21.8%) completed a virtual assessment and 155 (19.5%) resulted in a referral to care. The median age of those referred was 21 years (IQR = 11) and 40% were considered to be from low-income areas. Among quiz completers, youth endorsing symptoms of depression or anxiety were more likely to leave contact information (OR = 2.18, 95% CI [1.39, 3.41] and OR = 1.69, 95% CI [1.31, 2.19], respectively) compared to those not reporting symptoms of depression or anxiety. Youth endorsing symptoms of psychosis were less likely to report a desire to receive a referral to care (OR = 0.58, 95% CI [0.43, 0.80]) compared to those who did not endorse symptoms of psychosis. ConclusionSelf-reported symptomatology impact trajectories to care, even at the earliest stages of help-seeking, while youth and their allies are searching for information online. An online care navigation team could serve as an important resource for individuals with emerging behavioral health concerns and help to guide the transition between online information seeking at baseline to care.</t>
  </si>
  <si>
    <t>[Birnbaum, Michael L.; Sosa, Danny; Kane, John M.] Zucker Hillside Hosp, Northwell Hlth, Glen Oaks, NY 11004 USA; [Birnbaum, Michael L.; Germano, Nicole T.; Lee, Cynthia; Sosa, Danny; Kane, John M.] Feinstein Inst Med Res, Manhasset, NY 11030 USA; [Birnbaum, Michael L.; Kane, John M.] Donald &amp; Barbara Zucker Sch Med Hofstra Northwell, Hempstead, NY 11549 USA; [Garrett, Chantel] Univ Washington, Dept Hlth Syst &amp; Populat Hlth, Seattle, WA USA; [Baumel, Amit] Univ Haifa, Dept Community Mental Hlth, Haifa, Israel; [Ngo, Hong; Dixon, Lisa] New York State Psychiat Inst &amp; Hosp, Dept Psychiat, New York, NY 10032 USA; [Fox, Kira H.] Columbia Univ, Barnard Coll, Dept Psychol, New York, NY 10027 USA</t>
  </si>
  <si>
    <t>Northwell Health; Northwell Health; Northwell Health; University of Washington; University of Washington Seattle; University of Haifa; New York State Psychiatry Institute; Columbia University</t>
  </si>
  <si>
    <t>Birnbaum, ML (corresponding author), Zucker Hillside Hosp, Northwell Hlth, Glen Oaks, NY 11004 USA.;Birnbaum, ML (corresponding author), Feinstein Inst Med Res, Manhasset, NY 11030 USA.;Birnbaum, ML (corresponding author), Donald &amp; Barbara Zucker Sch Med Hofstra Northwell, Hempstead, NY 11549 USA.</t>
  </si>
  <si>
    <t>Mbirnbaum@northwell.edu</t>
  </si>
  <si>
    <t>Fox, Kira/0009-0001-2610-9739</t>
  </si>
  <si>
    <t>National Institutes of Mental Health</t>
  </si>
  <si>
    <t>National Institutes of Mental Health(United States Department of Health &amp; Human ServicesNational Institutes of Health (NIH) - USANIH National Institute of Mental Health (NIMH))</t>
  </si>
  <si>
    <t>This work was supported through funding from the National Institutes of Mental Health (R34MH120790) as well as the One Mind Foundation.</t>
  </si>
  <si>
    <t>1664-0640</t>
  </si>
  <si>
    <t>FRONT PSYCHIATRY</t>
  </si>
  <si>
    <t>Front. Psychiatry</t>
  </si>
  <si>
    <t>MAY 16</t>
  </si>
  <si>
    <t>10.3389/fpsyt.2022.889602</t>
  </si>
  <si>
    <t>Psychiatry</t>
  </si>
  <si>
    <t>1T6DJ</t>
  </si>
  <si>
    <t>WOS:000804816900001</t>
  </si>
  <si>
    <t>Marcelin, JR; del Rio, C; Spec, A; Swartz, TH</t>
  </si>
  <si>
    <t>Marcelin, Jasmine R.; del Rio, Carlos; Spec, Andrej; Swartz, Talia H.</t>
  </si>
  <si>
    <t>Digital Strategy and Social Media for Infectious Diseases</t>
  </si>
  <si>
    <t>CLINICAL INFECTIOUS DISEASES</t>
  </si>
  <si>
    <t>digital strategy; infectious diseases; dissemination of information; social media</t>
  </si>
  <si>
    <t>COVID-19; TWITTER</t>
  </si>
  <si>
    <t>This supplement demonstrates the profound reach of social media across several domains: improved clinical care and advocacy, data analysis, broad reach to diverse patient populations, educational access, best practices in medical education, peer review, digital strategy for individuals and institutions, and combating misinformation.</t>
  </si>
  <si>
    <t>[Marcelin, Jasmine R.] Univ Nebraska Med Ctr, Dept Internal Med, Div Infect Dis, Omaha, NE USA; [del Rio, Carlos] Emory Univ, Dept Med, Div Infect Dis, Atlanta, GA USA; [Spec, Andrej] Washington Univ, Dept Internal Med, Div Infect Dis, Sch Med, St Louis, MO USA; [Swartz, Talia H.] Icahn Sch Med Mt Sinai, Inst Immunol, Dept Med, Div Infect Dis, New York, NY USA</t>
  </si>
  <si>
    <t>University of Nebraska System; University of Nebraska Medical Center; Emory University; Washington University (WUSTL); Icahn School of Medicine at Mount Sinai</t>
  </si>
  <si>
    <t>Swartz, TH (corresponding author), Mt Sinai Sch Med, Dept Med, Div Infect Dis, One Gustave L Levy Pl,Box 1090, New York, NY 10029 USA.</t>
  </si>
  <si>
    <t>talia.swartz@mssm.edu</t>
  </si>
  <si>
    <t>del Rio, Carlos/B-3763-2012; Swartz, Talia H./AAN-8591-2020</t>
  </si>
  <si>
    <t>del Rio, Carlos/0000-0002-0153-3517; Swartz, Talia H./0000-0003-1572-045X; Marcelin, Jasmine/0000-0003-0504-753X</t>
  </si>
  <si>
    <t>National Institutes of Health (National Institute of Allergy and Infectious Diseases) [1R01DA054526, R01DA052822, 1R21AI152833]</t>
  </si>
  <si>
    <t>National Institutes of Health (National Institute of Allergy and Infectious Diseases)(United States Department of Health &amp; Human ServicesNational Institutes of Health (NIH) - USANIH National Institute of Allergy &amp; Infectious Diseases (NIAID))</t>
  </si>
  <si>
    <t>The following grants were paid to T. H. S.: 1R01DA054526, R01DA052822, and 1R21AI152833 from the National Institutes of Health (National Institute of Allergy and Infectious Diseases).</t>
  </si>
  <si>
    <t>OXFORD UNIV PRESS INC</t>
  </si>
  <si>
    <t>CARY</t>
  </si>
  <si>
    <t>JOURNALS DEPT, 2001 EVANS RD, CARY, NC 27513 USA</t>
  </si>
  <si>
    <t>1058-4838</t>
  </si>
  <si>
    <t>1537-6591</t>
  </si>
  <si>
    <t>CLIN INFECT DIS</t>
  </si>
  <si>
    <t>Clin. Infect. Dis.</t>
  </si>
  <si>
    <t>MAY 15</t>
  </si>
  <si>
    <t>SUPPL 3</t>
  </si>
  <si>
    <t>S219</t>
  </si>
  <si>
    <t>S221</t>
  </si>
  <si>
    <t>10.1093/cid/ciac046</t>
  </si>
  <si>
    <t>Immunology; Infectious Diseases; Microbiology</t>
  </si>
  <si>
    <t>1H0SY</t>
  </si>
  <si>
    <t>WOS:000796257700007</t>
  </si>
  <si>
    <t>Nematollahi, S; Minter, DJ; Barlow, B; Nolan, NS; Spicer, JO; Wooten, D; Cortes-Penfield, N; Barlow, A; Chavez, MA; McCarty, T; Abdoler, E; Escota, GV</t>
  </si>
  <si>
    <t>Nematollahi, Saman; Minter, Daniel J.; Barlow, Brooke; Nolan, Nathanial S.; Spicer, Jennifer O.; Wooten, Darcy; Cortes-Penfield, Nicolas; Barlow, Ashley; Chavez, Miguel A.; McCarty, Todd; Abdoler, Emily; Escota, Gerome, V</t>
  </si>
  <si>
    <t>The Digital Classroom: How to Leverage Social Media for Infectious Diseases Education</t>
  </si>
  <si>
    <t>social media; medical education; digital strategy; infectious diseases; virtual learning</t>
  </si>
  <si>
    <t>12 TIPS; TWEETORIALS; SCHOLARSHIP; GUIDELINES; PHYSICIAN; TWITTER; VIDEOS</t>
  </si>
  <si>
    <t>Social media (SoMe) platforms have been increasingly used by infectious diseases (ID) learners and educators in recent years. This trend has only accelerated with the changes brought to our educational spaces by the coronavirus disease 2019 pandemic. Given the increasingly diverse SoMe landscape, educators may find themselves struggling with how to effectively use these tools. In this Viewpoint we describe how to use SoMe platforms (e.g., Twitter, podcasts, and open-access online content portals) in medical education, highlight medical education theories supporting their use, and discuss how educators can engage with these learning tools effectively. We focus on how these platforms harness key principles of adult learning and provide a guide for educators in the effective use of SoMe tools in educating ID learners. Finally, we suggest how to effectively interact with and leverage these increasingly important digital platforms.</t>
  </si>
  <si>
    <t>[Nematollahi, Saman] Univ Arizona, Dept Med, Coll Med, Tucson, AZ USA; [Minter, Daniel J.] Univ Calif San Francisco, Dept Med, San Francisco, CA 94143 USA; [Barlow, Brooke] Univ Florida, Dept Pharm, Shands Hosp, Gainesville, FL USA; [Nolan, Nathanial S.; Chavez, Miguel A.; Escota, Gerome, V] Washington Univ, Dept Med, St Louis, MO USA; [Spicer, Jennifer O.] Emory Univ, Sch Med, Dept Med, Atlanta, GA USA; [Wooten, Darcy] Univ Calif San Diego, Dept Med, San Diego, CA 92103 USA; [Cortes-Penfield, Nicolas] Univ Nebraska Med Ctr, Dept Med, Omaha, NE USA; [Barlow, Ashley] MD Anderson Canc Ctr, Dept Pharm, Houston, TX USA; [McCarty, Todd] Univ Alabama Birmingham, Dept Med, Birmingham, AL 35294 USA; [Abdoler, Emily] Univ Michigan, Dept Med, Ann Arbor, MI 48109 USA</t>
  </si>
  <si>
    <t>University of Arizona; University of California System; University of California San Francisco; State University System of Florida; University of Florida; Washington University (WUSTL); Emory University; University of California System; University of California San Diego; University of Nebraska System; University of Nebraska Medical Center; University of Texas System; UTMD Anderson Cancer Center; University of Alabama System; University of Alabama Birmingham; University of Michigan System; University of Michigan</t>
  </si>
  <si>
    <t>Nematollahi, S (corresponding author), 1501 N Campbell Ave,POB 245039, Tucson, AZ 85724 USA.</t>
  </si>
  <si>
    <t>snematol@email.arizona.edu</t>
  </si>
  <si>
    <t>Chávez, Miguel/HZJ-1612-2023; Barlow, Brooke/GZM-7960-2022</t>
  </si>
  <si>
    <t>Chávez, Miguel/0000-0001-7849-343X; Abdoler, Emily/0000-0002-0938-0527; Spicer, Jennifer/0000-0002-5565-9617</t>
  </si>
  <si>
    <t>Infectious Diseases Society of America</t>
  </si>
  <si>
    <t>This supplement is supported by the Infectious Diseases Society of America.</t>
  </si>
  <si>
    <t>S237</t>
  </si>
  <si>
    <t>S243</t>
  </si>
  <si>
    <t>10.1093/cid/ciac048</t>
  </si>
  <si>
    <t>WOS:000796257700010</t>
  </si>
  <si>
    <t>Huda, M</t>
  </si>
  <si>
    <t>Huda, Miftachul</t>
  </si>
  <si>
    <t>Digital marketplace for tourism resilience in the pandemic age: voices from budget hotel customers</t>
  </si>
  <si>
    <t>INTERNATIONAL JOURNAL OF ORGANIZATIONAL ANALYSIS</t>
  </si>
  <si>
    <t>Organisation strategy; Tourism resilience sustainability; Pandemic age; Beliefs; Practices and experiences; Malaysian budget hotel</t>
  </si>
  <si>
    <t>SERVICE; INSIGHTS</t>
  </si>
  <si>
    <t>Purpose This paper aims to examine the initiative of low-price hotels, budget hotels, in Malaysia, to restore the financial sustainability through empowering the digital marketplace strategy in the tourism resilience sector. Giving an open accessibility to customers for achieving their venue with a low price and have a friendly service comes from initiating the digital marketplace arrangement. Design/methodology/approach This study focuses on what is the importance of the digital marketplace strategy for tourism resilience in the pandemic age and how is it important. The data come from qualitative interview from one couple, husband and wife, regarding the budget hotel operation practice in the city of Sri Iskandar, the Perak state of Malaysia. Findings The findings revealed the importance of initiating the strategy of digital marketplace in enabling the customers' personalised decision towards the tourism destination they prefer based on their needs of low-cost and proper service. There are three main points, namely the importance of digital marketplace for tourism market enhancement, readiness of digital marketplace for tourism market enhancement and continued capacity to strategize digital marketplace for tourism market enhancement. The initiative to commit with applying for the resilience for tourism sustainability in the pandemic age is important to ensure they can take a small advantage continually with the frequent customers' sustainability. Originality/value This paper is supposed to contribute in developing the resilience practice through advancing the strategy of digital marketplace in raising the tourism sector, budget hotel operators. The main occupation aims to empower resilience for tourism sustainability in the pandemic age, in order to recover the market in online platform.</t>
  </si>
  <si>
    <t>[Huda, Miftachul] Univ Pendidikan Sultan Idris, Fac Human Sci, Tanjung Malim, Malaysia</t>
  </si>
  <si>
    <t>Universiti Pendidikan Sultan Idris</t>
  </si>
  <si>
    <t>Huda, M (corresponding author), Univ Pendidikan Sultan Idris, Fac Human Sci, Tanjung Malim, Malaysia.</t>
  </si>
  <si>
    <t>halimelhuda@gmail.com</t>
  </si>
  <si>
    <t>Huda, Miftachul/K-8125-2015</t>
  </si>
  <si>
    <t>Huda, Miftachul/0000-0001-6712-0056</t>
  </si>
  <si>
    <t>1934-8835</t>
  </si>
  <si>
    <t>1758-8561</t>
  </si>
  <si>
    <t>INT J ORGAN ANAL</t>
  </si>
  <si>
    <t>Int. J. Organ. Anal.</t>
  </si>
  <si>
    <t>JAN 13</t>
  </si>
  <si>
    <t>10.1108/IJOA-10-2021-2987</t>
  </si>
  <si>
    <t>7U3ZG</t>
  </si>
  <si>
    <t>WOS:000793338200001</t>
  </si>
  <si>
    <t>Pradana, M; Silvianita, A; Syarifuddin, S; Renaldi, R</t>
  </si>
  <si>
    <t>Pradana, Mahir; Silvianita, Anita; Syarifuddin, Syarifuddin; Renaldi, Renaldi</t>
  </si>
  <si>
    <t>The Implication of Digital Organisational Culture on Firm Performance</t>
  </si>
  <si>
    <t>organisational culture; human resource management; business administration; business digitalisation; human capital</t>
  </si>
  <si>
    <t>ABSORPTIVE-CAPACITY; INNOVATION</t>
  </si>
  <si>
    <t>Digital technologies have become a major factor for innovation in the business environment. Organisations have taken advantage of digitised data and information to increase performance. However, there is still little research focusing on the effect of digitalisation on organisational culture, which in the end will affect performance. We develop this research by exploring a proposed model involving digital organisational culture with the final goal to enhance organisational performance. The research involved 263 managers of state-owned companies in Indonesia. We analysed the theoretical model by using structural equation modelling and processed the data using the SmartPLS version 3 software. We conclude that digital organisational culture can become an essential factor in improving digital strategy and performance. However, business digitalisation does not really affect digital organisational values.</t>
  </si>
  <si>
    <t>[Pradana, Mahir; Silvianita, Anita; Syarifuddin, Syarifuddin] Telkom Univ, Dept Business Adm, Bandung, Indonesia; [Renaldi, Renaldi] Andi Djemma Univ Palopo, Dept Management, Palopo, Indonesia</t>
  </si>
  <si>
    <t>Telkom University</t>
  </si>
  <si>
    <t>Pradana, M (corresponding author), Telkom Univ, Dept Business Adm, Bandung, Indonesia.</t>
  </si>
  <si>
    <t>mahir.pradana@gmail.com</t>
  </si>
  <si>
    <t>PRADANA, MAHIR/AAL-8975-2020</t>
  </si>
  <si>
    <t>PRADANA, MAHIR/0000-0003-4761-2891</t>
  </si>
  <si>
    <t>MAY 12</t>
  </si>
  <si>
    <t>10.3389/fpsyg.2022.840699</t>
  </si>
  <si>
    <t>1R9XV</t>
  </si>
  <si>
    <t>WOS:000803715500001</t>
  </si>
  <si>
    <t>Zheng, R; Li, Z; Na, S</t>
  </si>
  <si>
    <t>Zheng, Run; Li, Zhuyuan; Na, Sanggyun</t>
  </si>
  <si>
    <t>How customer engagement in the live-streaming affects purchase intention and customer acquisition, E-tailer?s perspective</t>
  </si>
  <si>
    <t>JOURNAL OF RETAILING AND CONSUMER SERVICES</t>
  </si>
  <si>
    <t>Retailing; Live streaming; Customer engagement; E-tailers; Purchase intention; Customer acquisition</t>
  </si>
  <si>
    <t>CONSUMER-BRAND ENGAGEMENT; SOCIAL-MEDIA ENGAGEMENT; WORD-OF-MOUTH; BEHAVIOR; IMPACT; DYNAMICS; SATISFACTION; PERFORMANCE; RETENTION; SALES</t>
  </si>
  <si>
    <t>In the emerging retail market, e-tailers operating in developing economies have to cope with the rapid use of the Internet, new electronic purchasing methods and online selling platforms. However, e-tailers do not understand the effect patterns in which customer engagement on purchase intention and customer acquisition. From e-tailers' perspective, this study explores how customer engagement behaviors are related to both purchase intention and customer acquisition. We obtained live streaming data in the mature e-tail live streaming market environment and found empirical evidence supporting the conceptual framework through regression model analysis. The analysis results show that the specific indicators of the customer engagement are not all positively related to customer purchase intention and customer acquisition, and it is worth noting that the influence of like behavior on customer acquisition is no statistical significance. This is expected to encourage e-tailers to rethink their focus on customer acquisition and sales enhancement digital strategies as they operate in emerging markets.</t>
  </si>
  <si>
    <t>[Zheng, Run; Li, Zhuyuan; Na, Sanggyun] Wonkwang Univ, Coll Business Adm, 460 Iksandae Ro, Iksan 54538, South Korea</t>
  </si>
  <si>
    <t>Wonkwang University</t>
  </si>
  <si>
    <t>Li, Z (corresponding author), Wonkwang Univ, Coll Business Adm, 460 Iksandae Ro, Iksan 54538, South Korea.</t>
  </si>
  <si>
    <t>runzheng290@gmail.com; lzyazr520@gmail.com; nsghy@wku.ac.kr</t>
  </si>
  <si>
    <t>zhuyuan, li/IUN-4515-2023</t>
  </si>
  <si>
    <t>Li, Zhuyuan/0000-0003-4640-5129</t>
  </si>
  <si>
    <t>This paper was supported by Wonkwang University in 2022.</t>
  </si>
  <si>
    <t>0969-6989</t>
  </si>
  <si>
    <t>1873-1384</t>
  </si>
  <si>
    <t>J RETAIL CONSUM SERV</t>
  </si>
  <si>
    <t>J. Retail. Consum. Serv.</t>
  </si>
  <si>
    <t>10.1016/j.jretconser.2022.103015</t>
  </si>
  <si>
    <t>1Q3ON</t>
  </si>
  <si>
    <t>WOS:000802601300002</t>
  </si>
  <si>
    <t>Luo, XW; Yu, SC</t>
  </si>
  <si>
    <t>Luo, Xiaowen; Yu, Shun-Chi</t>
  </si>
  <si>
    <t>Relationship between External Environment, Internal Conditions, and Digital Transformation from the Perspective of Synergetics</t>
  </si>
  <si>
    <t>DISCRETE DYNAMICS IN NATURE AND SOCIETY</t>
  </si>
  <si>
    <t>INNOVATION</t>
  </si>
  <si>
    <t>As the digital technologies develop, traditional pharmaceutical enterprises have also begun the exploration of digital transformation (DT). Previous studies mainly focused on the technology application, strategy, performance, and leadership of digital in manufacturing enterprises and small- and medium-sized enterprises (SMEs), and more qualitative methods were used. However, few researchers systematically investigated the impact mechanism of pharmaceutical enterprises' DT. The purpose of this study is to analyze the influencing factors of Chinese pharmaceutical enterprises' DT by constructing the structural equation model (SEM) based on synergetics. This study shows that the influencing factors of pharmaceutical enterprises' DT include the external environment (customer needs, market competition, government policy, and digital technology) and internal conditions (digital strategy, leadership, and organization capability). The theoretical innovation of this study is to explore the synergistic effect of external environment and internal conditions on DT and put forward that the internal conditions play mediating role in the external environment and DT. Customer needs and digital strategies have great impacts on pharmaceutical enterprises' DT. Therefore, this study finds the main influencing factors, which are helpful in promoting pharmaceutical enterprises' DT.</t>
  </si>
  <si>
    <t>[Luo, Xiaowen; Yu, Shun-Chi] Natl Inst Dev Adm, Int Coll, Bangkok 10240, Thailand; [Luo, Xiaowen] Yunnan Minzu Univ, Coll Appl Technol, Kunming 650504, Peoples R China</t>
  </si>
  <si>
    <t>National Institute of Development Administration - Thailand; Yunnan Minzu University</t>
  </si>
  <si>
    <t>Yu, SC (corresponding author), Natl Inst Dev Adm, Int Coll, Bangkok 10240, Thailand.</t>
  </si>
  <si>
    <t>xiaowen.lu@stu.nida.ac.th; gavinee188@gmail.com</t>
  </si>
  <si>
    <t>Yu, Shun-Chi/AEQ-9076-2022</t>
  </si>
  <si>
    <t>Luo, Xiaowen/0000-0001-7507-8994; Yu, Shun Chi/0000-0001-9453-0229</t>
  </si>
  <si>
    <t>1026-0226</t>
  </si>
  <si>
    <t>1607-887X</t>
  </si>
  <si>
    <t>DISCRETE DYN NAT SOC</t>
  </si>
  <si>
    <t>Discrete Dyn. Nat. Soc.</t>
  </si>
  <si>
    <t>MAY 5</t>
  </si>
  <si>
    <t>10.1155/2022/6756548</t>
  </si>
  <si>
    <t>Mathematics, Interdisciplinary Applications; Multidisciplinary Sciences</t>
  </si>
  <si>
    <t>Mathematics; Science &amp; Technology - Other Topics</t>
  </si>
  <si>
    <t>1I7XY</t>
  </si>
  <si>
    <t>WOS:000797442100003</t>
  </si>
  <si>
    <t>Katz, A</t>
  </si>
  <si>
    <t>Katz, Ari</t>
  </si>
  <si>
    <t>Neglected to Indispensable: Lessons from beyond Access for Global Public Library Reform and Development</t>
  </si>
  <si>
    <t>PUBLIC LIBRARY QUARTERLY</t>
  </si>
  <si>
    <t>Public libraries; library development; ict4d; international development; leadership; community engagement; social inclusion; myanmar; bangladesh; philippines; georgia</t>
  </si>
  <si>
    <t>INFORMATION; TECHNOLOGY; ROMANIA</t>
  </si>
  <si>
    <t>Beyond Access was the first major global attempt to connect the international development and public library worlds. Taking the form of a series of projects in a dozen countries meant to help catalyze library development around national goals, the program operated from 2011 to 2018. Starting from a point at which libraries in most low - and middle-income countries were neglected, disused and staffed by librarians with outdated skills, it effectively launched public libraries into national dialogue in some countries and failed to do so in others. This article explores the conditions and actions that led to effective projects and what lessons for future library development efforts might be gleaned from the program's work. In Myanmar and Georgia, the program attracted new investment into public libraries aligned with central government digital strategies. In Bangladesh and the Philippines, the program integrated public libraries into education efforts where they had been previously ignored. With more than a quarter million public libraries in low - and middle-income countries, there remains vast potential for library systems to reinforce their relevancy in the 21st century, attract new resources, and provide vital services. Library leaders around the world can build on the experience of Beyond Access to help inform initiatives to revive libraries around modern needs.</t>
  </si>
  <si>
    <t>[Katz, Ari] San Jose State Univ, Sch Informat, One Washington Sq, San Jose, CA 95192 USA</t>
  </si>
  <si>
    <t>California State University System; San Jose State University</t>
  </si>
  <si>
    <t>Katz, A (corresponding author), San Jose State Univ, Sch Informat, One Washington Sq, San Jose, CA 95192 USA.</t>
  </si>
  <si>
    <t>ari.katz@sjsu.edu</t>
  </si>
  <si>
    <t>Bill and Melinda Gates Foundation</t>
  </si>
  <si>
    <t>Bill and Melinda Gates Foundation(Bill &amp; Melinda Gates Foundation)</t>
  </si>
  <si>
    <t>This paper owes a debt to the support, encouragement, and wisdom of advisor Dr. Michael Stephens at San Jose State University. None of the lessons described above would have been possible without the effort and dedication of the Beyond Access team at IREX, including Matthew Vanderwerff, Joel Turner, Rachel Crocker, Amber Ehrke, Matej Novak and Rob Cronin. Siri Oswald, Melissa Pailthorp and Deborah Jacobs at the Bill and Melinda Gates Foundation believed in the concept of Beyond Access and supported us to get the funding to accomplish it. Beyond Access's local partners in Myanmar (MBAPF), the Philippines (Molave Foundation), Georgia (Georgian Library Association) and Bangladesh (Save the Children) were responsible for the tough, day-to-day work that became the lessons discussed in this paper.</t>
  </si>
  <si>
    <t>0161-6846</t>
  </si>
  <si>
    <t>1541-1540</t>
  </si>
  <si>
    <t>PUBLIC LIBR Q</t>
  </si>
  <si>
    <t>Public Libr. Q.</t>
  </si>
  <si>
    <t>MAY 4</t>
  </si>
  <si>
    <t>10.1080/01616846.2021.1880260</t>
  </si>
  <si>
    <t>8K7DO</t>
  </si>
  <si>
    <t>WOS:000923257700004</t>
  </si>
  <si>
    <t>Alqahtani, M; Albahar, MA</t>
  </si>
  <si>
    <t>Alqahtani, Mdawi; Albahar, Marwan Ali</t>
  </si>
  <si>
    <t>The Impact of Security and Payment Method On Consumers' Perception of Marketplace in Saudi Arabia (Case Study on Noon)</t>
  </si>
  <si>
    <t>INTERNATIONAL JOURNAL OF ADVANCED COMPUTER SCIENCE AND APPLICATIONS</t>
  </si>
  <si>
    <t>Payment security; digital strategy; digital transformation; user security</t>
  </si>
  <si>
    <t>PRIVACY; ADOPTION; COMMERCE; TRUST</t>
  </si>
  <si>
    <t>Digital transformation has been accelerated in recent years, and COVID-19 has resulted in a rise in overall internet spending. Businesses must take measures in order to ensure that customers have a safe and enjoyable online purchasing experience. In this paper, customers' security perceptions regarding the most popular e-commerce applications in Saudi Arabia are explored. Surveys were distributed online via Google Form to 200 participants in total as part of a cross-sectional research design using quantitative methodology. The main findings were related to confirming eight main hypotheses of the research that were related to testing if some factors were important to forming perceived trust by customers. Five factors (trust, security, reputation, benefits, and convenience) were found to have a positive effect, and the remaining three were not (familiarity, size, and usefulness). Finally, this study recommends various actions for practitioners and policymakers to take in order to improve customer perceptions of payment methods and security in Saudi Arabia.</t>
  </si>
  <si>
    <t>[Alqahtani, Mdawi] Umm Al Qura Univ, Dept Business, POB 715, Mecca, Saudi Arabia; [Albahar, Marwan Ali] Umm Al Qura Univ, Dept Sci, POB 715, Mecca, Saudi Arabia</t>
  </si>
  <si>
    <t>Umm Al Qura University; Umm Al Qura University</t>
  </si>
  <si>
    <t>Alqahtani, M (corresponding author), Umm Al Qura Univ, Dept Business, POB 715, Mecca, Saudi Arabia.</t>
  </si>
  <si>
    <t>SCIENCE &amp; INFORMATION SAI ORGANIZATION LTD</t>
  </si>
  <si>
    <t>WEST YORKSHIRE</t>
  </si>
  <si>
    <t>19 BOLLING RD, BRADFORD, WEST YORKSHIRE, 00000, ENGLAND</t>
  </si>
  <si>
    <t>2158-107X</t>
  </si>
  <si>
    <t>2156-5570</t>
  </si>
  <si>
    <t>INT J ADV COMPUT SC</t>
  </si>
  <si>
    <t>Int. J. Adv. Comput. Sci. Appl.</t>
  </si>
  <si>
    <t>Computer Science, Theory &amp; Methods</t>
  </si>
  <si>
    <t>3L9OZ</t>
  </si>
  <si>
    <t>WOS:000835090900001</t>
  </si>
  <si>
    <t>Díaz, AC; Fernández, TD; Hernández, GA</t>
  </si>
  <si>
    <t>Castro Diaz, Adriel; Delgado Fernandez, Tatiana; Ash Hernandez, Gladys</t>
  </si>
  <si>
    <t>DIAGNOSIS OF DIGITAL TRANSFORMATION IN HOTEL BUSINESS: CASE STUDY AT THE HOTEL NACIONAL DE CUBA</t>
  </si>
  <si>
    <t>Digital transformation; digital maturity model; empathy map; customer experience map; tourism</t>
  </si>
  <si>
    <t>In the tourism sector, digital transformation is not an option, but rather an imperative, both to achieve a sustained increase in visitors and in the continuous improvement of the service provided to the client. Tourist-centric digitization is a prerequisite for being able to respond to growing consumer demands and remain competitive. From the administration of the hotel facilities, it is necessary to carry out a permanent monitoring of the operation of all internal operational processes and of the services offered to tourists through the use of digital technologies. In this scenario, the customer experience, increasingly immersed in digital technology, is a key element. This article offers a methodology for diagnosing digital transformation in the hotel sector, by combining a Digital Maturity Model with techniques of Empathy Maps and customer experience, which is applied to the Hotel Nacional de Cuba, as the case study, where there are the necessary readiness conditions to adopt a comprehensive digital transformation, supported by a digital strategy that has been deployed some years ago. Finally, recommendations are made to the hotel based on the main findings of the study.</t>
  </si>
  <si>
    <t>[Castro Diaz, Adriel; Delgado Fernandez, Tatiana] Univ Tecnol La Habana Jose Antonio Echeverria, Havana, Cuba; [Ash Hernandez, Gladys] Hotel Nacl Cuba, Havana, Cuba</t>
  </si>
  <si>
    <t>Díaz, AC (corresponding author), Univ Tecnol La Habana Jose Antonio Echeverria, Havana, Cuba.</t>
  </si>
  <si>
    <t>adrielcasdia@ind.cujae.edu.cu; tatiana.delgado@uic.cu; cinder0314@gmail.com</t>
  </si>
  <si>
    <t>2T9BY</t>
  </si>
  <si>
    <t>WOS:000822762700055</t>
  </si>
  <si>
    <t>Kim, K; Kim, B</t>
  </si>
  <si>
    <t>Kim, Kyungtae; Kim, Boyoung</t>
  </si>
  <si>
    <t>Decision-Making Model for Reinforcing Digital Transformation Strategies Based on Artificial Intelligence Technology</t>
  </si>
  <si>
    <t>digital transformation; AI technology; digital strategy; decision model; SERM model</t>
  </si>
  <si>
    <t>DYNAMIC CAPABILITIES; INTEGRATION; INNOVATION</t>
  </si>
  <si>
    <t>Firms' digital environment changes and industrial competitions have evolved quickly since the Fourth Industrial Revolution and the COVID-19 pandemic. Many companies are propelling company-wide digital transformation strategies based on artificial intelligence (AI) technology for the digital innovation of organizations and businesses. This study aims to define the factors affecting digital transformation strategies and present a decision-making model required for digital transformation strategies based on the definition. It also reviews previous AI technology and digital transformation strategies and draws influence factors. The research model drew four evaluation areas, such as subject, environment, resource, and mechanism, and 16 evaluation factors through the SERM model. After the factors were reviewed through the Delphi methods, a questionnaire survey was conducted targeting experts with over 10 years of work experience in the digital strategy field. The study results were produced by comparing the data's importance using an Analytic Hierarchy Process (AHP) on each group. According to the analysis, the subject was the most critical factor, and the CEO (top management) was more vital than the core talent or technical development organization. The importance was shown in the order of resource, mechanism and environment, following subject. It was ascertained that there were differences of importance in industrial competition and market digitalization in the demander and provider groups.</t>
  </si>
  <si>
    <t>[Kim, Kyungtae; Kim, Boyoung] Seoul Sch Integrated Sci &amp; Technol aSSIST, Seoul Business Sch, Seoul 03767, South Korea</t>
  </si>
  <si>
    <t>Kim, B (corresponding author), Seoul Sch Integrated Sci &amp; Technol aSSIST, Seoul Business Sch, Seoul 03767, South Korea.</t>
  </si>
  <si>
    <t>ktkim@stud.assistac.kr; bykim2@assist.ac.kr</t>
  </si>
  <si>
    <t>10.3390/info13050253</t>
  </si>
  <si>
    <t>1R4DD</t>
  </si>
  <si>
    <t>WOS:000803320500001</t>
  </si>
  <si>
    <t>Majdalawieh, M; Khan, S</t>
  </si>
  <si>
    <t>Majdalawieh, Munir; Khan, Shafaq</t>
  </si>
  <si>
    <t>Building an Integrated Digital Transformation System Framework: A Design Science Research, the Case of FedUni</t>
  </si>
  <si>
    <t>agile; change management; design thinking; design science research; digital transformation; digital; digital technologies; digital strategy; integrated framework; system development life cycle</t>
  </si>
  <si>
    <t>MATURITY; THINKING; EDUCATION; BARRIERS</t>
  </si>
  <si>
    <t>The purpose of this paper is to propose an integrated digital transformation system framework (IDTSF) to help support business leaders and teams in making their products, services, and operations more streamlined and competitive. The framework will help organizations to best meet user/customer needs with minimum waste and time and enables businesses to achieve efficiency compared with island and traditional sequential approaches. The proposed framework can also provide insights to help organizations to avoid common failures when deploying digital transformation initiatives. The paper follows the design science research (DSR) and the information systems design science research (ISDSR) methodologies to develop the IDTSF model and a practical design artifact. The main problems were the initiation, execution, and governance challenges associated with digital transformation. After identifying the problems and the objectives, a relevant IDTSF model was synthesized and tested as a design artifact. The results of the test of the proposed artifact showed its effectiveness and efficiency in facilitating the components of the model in creating a cohesive framework.</t>
  </si>
  <si>
    <t>[Majdalawieh, Munir] Zayed Univ, Informat Syst &amp; Technol Management Dept, POB 19282, Dubai, U Arab Emirates; [Khan, Shafaq] Univ Windsor, Sch Comp Sci, Windsor, ON N9B 3P4, Canada</t>
  </si>
  <si>
    <t>Zayed University; University of Windsor</t>
  </si>
  <si>
    <t>Majdalawieh, M (corresponding author), Zayed Univ, Informat Syst &amp; Technol Management Dept, POB 19282, Dubai, U Arab Emirates.</t>
  </si>
  <si>
    <t>munir.majdalawieh@zu.ac.ae; shafaq.khan@uwindsor.ca</t>
  </si>
  <si>
    <t>Khan, Shafaq/0000-0003-3091-5394</t>
  </si>
  <si>
    <t>Zayed University [R21064]</t>
  </si>
  <si>
    <t>Zayed University</t>
  </si>
  <si>
    <t>This research was funded by Zayed University, grant number R21064.</t>
  </si>
  <si>
    <t>10.3390/su14106121</t>
  </si>
  <si>
    <t>1R4XJ</t>
  </si>
  <si>
    <t>WOS:000803373100001</t>
  </si>
  <si>
    <t>McGillivray, L; Gan, DZQ; Wong, Q; Han, J; Hetrick, S; Christensen, H; Torok, M</t>
  </si>
  <si>
    <t>McGillivray, Lauren; Gan, Daniel Z. Q.; Wong, Quincy; Han, Jin; Hetrick, Sarah; Christensen, Helen; Torok, Michelle</t>
  </si>
  <si>
    <t>Three-arm randomised controlled trial of an m-health app and digital engagement strategy for improving treatment adherence and reducing suicidal ideation in young people: study protocol</t>
  </si>
  <si>
    <t>MENTAL HEALTH; Suicide &amp; self-harm; PSYCHIATRY</t>
  </si>
  <si>
    <t>MENTAL-HEALTH; SOCIAL PHOBIA; MINI-SPIN; INTERVENTIONS; ADOLESCENTS; ANXIETY; SCALE; VALIDATION; DEPRESSION; DISORDER</t>
  </si>
  <si>
    <t>Introduction Youth suicidal ideation and behaviour is concerning due to its widespread prevalence, morbidity and potentially fatal consequences. Digital mental health interventions have been found to improve access to low-cost and high-quality support for a range of mental health issues, yet there are few digital interventions available for suicide prevention in young people. In addition, no studies have examined how digital engagement strategies may impact the engagement and efficacy of digital interventions in suicide prevention. The current protocol describes a three-arm parallel randomised controlled trial. A therapeutic smartphone application ('LifeBuoy'; intervention condition) will be tested against a condition that consists of the LifeBuoy application plus access to a digital engagement strategy ('LifeBuoy+engagement'; intervention condition) to determine whether the addition of the digital strategy improves app engagement metrics. To establish the efficacy of the LifeBuoy application, both of these intervention conditions will be tested against an attention-matched control condition (a placebo app). Methods and analysis 669 young Australians aged 17-24 years who have experienced suicidal ideation in the past 30 days will be recruited by Facebook advertisement. The primary outcomes will be suicidal ideation severity and level of app engagement. Primary analyses will use an intention-to-treat approach and compare changes from baseline to 30-day, 60-day and 120-day follow-up time points relative to the control group using mixed-effect modelling. A subset of participants in the intervention groups will be interviewed on their experience with the app and engagement strategy. Qualitative data will be analysed using an inductive approach, independent of a theoretical confirmative method to identify the group themes. Ethics and dissemination The study has been approved by the University of New South Wales Human Research Ethics Committee (HC210400). The results of the trial will be disseminated via peer-reviewed publications in scientific journals and conferences.</t>
  </si>
  <si>
    <t>[McGillivray, Lauren; Gan, Daniel Z. Q.; Han, Jin; Christensen, Helen; Torok, Michelle] Univ New South Wales, Black Dog Inst, Sydney, NSW, Australia; [Wong, Quincy] Western Sydney Univ, Sch Psychol, Sydney, NSW, Australia; [Hetrick, Sarah] Univ Auckland, Dept Psychol Med, Auckland, New Zealand</t>
  </si>
  <si>
    <t>Black Dog Institute; University of New South Wales Sydney; Western Sydney University; University of Auckland</t>
  </si>
  <si>
    <t>Torok, M (corresponding author), Univ New South Wales, Black Dog Inst, Sydney, NSW, Australia.</t>
  </si>
  <si>
    <t>m.torok@unsw.edu.au</t>
  </si>
  <si>
    <t>Torok, Michelle/R-3231-2018</t>
  </si>
  <si>
    <t>Torok, Michelle/0000-0003-3741-8075; Gan, Daniel/0000-0002-3788-5848</t>
  </si>
  <si>
    <t>Australian Rotary Health; Roth Family Foundation; Goodman Foundation; Mantana Foundation for Young People</t>
  </si>
  <si>
    <t>This work was supported by Australian Rotary Health, The Roth Family Foundation, Mantana Foundation for Young People, and The Goodman Foundation.</t>
  </si>
  <si>
    <t>e058584</t>
  </si>
  <si>
    <t>10.1136/bmjopen-2021-058584</t>
  </si>
  <si>
    <t>1S6ML</t>
  </si>
  <si>
    <t>WOS:000804163100015</t>
  </si>
  <si>
    <t>Sakas, DP; Giannakopoulos, NT; Kanellos, N; Tryfonopoulos, C</t>
  </si>
  <si>
    <t>Sakas, Damianos P.; Giannakopoulos, Nikolaos T.; Kanellos, Nikos; Tryfonopoulos, Christos</t>
  </si>
  <si>
    <t>Digital Marketing Enhancement of Cryptocurrency Websites through Customer Innovative Data Process</t>
  </si>
  <si>
    <t>strategic digital marketing; innovation process; decentralized systems; data analysis; web analytics; customer electronics; decision support systems</t>
  </si>
  <si>
    <t>ADOPTION; SYSTEMS</t>
  </si>
  <si>
    <t>Today, more than ever, the popularity of decentralized payment systems has risen, creating an outbreak of new cryptocurrencies hitting the market. Unique websites have been staged for each cryptocurrency, where information and means for mining cryptocurrencies are available daily. People visit those cryptocurrency websites either from desktop or mobile devices. Thus, the impulsion for appropriate promotion of cryptocurrency websites and customer factors affecting it rises. The above process increases cryptocurrency organizations' website visibility, raising the need for customer relationships and satisfaction optimization concerning organizations' supply chain strategy. Research data were collected from 10 well-known cryptocurrency websites, regarding mobile and desktop devices, in 180 days, regarding on-site web analytics. Therefore, a model consisting of three stages was applied. Starting phase of the model pertains to statistical and regression analysis of cryptocurrency web analytics, followed by Fuzzy Cognitive Mapping and Agent-Based Model deployment. Throughout this study, methods for promoting cryptocurrency websites can be deduced from assessing specific website metrics and device preferences. Research results indicate that web analytics give a clearer image of customer behavior in cryptocurrency websites and, therefore, provide opportunities for further website optimization through increased web traffic and digital reputation.</t>
  </si>
  <si>
    <t>[Sakas, Damianos P.; Giannakopoulos, Nikolaos T.; Kanellos, Nikos] Agr Univ Athens, Sch Appl Econ &amp; Social Sci, Dept Agribusiness &amp; Supply Chain Management, Business Informat &amp; Commun Technol Value Chains L, Athens 11855, Greece; [Tryfonopoulos, Christos] Univ Peloponnese, Dept Informat &amp; Telecommun, Karaiskaki 70, Tripoli 22100, Greece</t>
  </si>
  <si>
    <t>Agricultural University of Athens; University of Peloponnese</t>
  </si>
  <si>
    <t>Giannakopoulos, NT (corresponding author), Agr Univ Athens, Sch Appl Econ &amp; Social Sci, Dept Agribusiness &amp; Supply Chain Management, Business Informat &amp; Commun Technol Value Chains L, Athens 11855, Greece.</t>
  </si>
  <si>
    <t>d.sakas@aua.gr; n.giannakopoulos@aua.gr; nikos.kanellos2@aua.gr; trifon@uop.gr</t>
  </si>
  <si>
    <t>Giannakopoulos, Nikolaos/HZJ-9352-2023; Tryfonopoulos, Christos/HKW-5651-2023</t>
  </si>
  <si>
    <t>Sakas, Damianos/0000-0002-2253-8966; Tryfonopoulos, Christos/0000-0003-0640-9088; Giannakopoulos, Nikolaos T./0000-0002-4480-5893</t>
  </si>
  <si>
    <t>10.3390/pr10050960</t>
  </si>
  <si>
    <t>1Q0UZ</t>
  </si>
  <si>
    <t>WOS:000802415300001</t>
  </si>
  <si>
    <t>Valencia, JT; Filián, JF</t>
  </si>
  <si>
    <t>Valencia, Jose Townsend; Filian, Janina Figueroa</t>
  </si>
  <si>
    <t>Digital transformation models in the management of commercial companies</t>
  </si>
  <si>
    <t>REVISTA COOPERATIVISMO Y DESARROLLO-COODES</t>
  </si>
  <si>
    <t>digital transformation; digital transformation models; digitalization; customers; organizational culture</t>
  </si>
  <si>
    <t>The phenomenon of digital transformation is emerging as a result of the Covid-19 crisis, which has accelerated commercial companies, forcing them to modify their processes, improve their competitiveness and develop new digital strategies, taking advantage of the full potential of technology to meet their customers. The objective of the study is to establish whether companies in the commerce sector are prepared for the digital transformation process. The proposed research model exposes the areas of the business in which digital technologies are most affected; it focuses on answering the what? and the which? from the perspective of five domains of the underlying principles of the strategies, changing the rules of the business. The research conducted is of qualitative and non-experimental design. The research method was inductive and its scope descriptive and correlational with the objective of quantifying the relationship between the concepts and their variables. The statistical and field technique was used, the main instrument for collecting information was the questionnaire, followed by the databases, using a statistical analysis program that showed the most significant aspects of the indicators studied.</t>
  </si>
  <si>
    <t>[Valencia, Jose Townsend; Filian, Janina Figueroa] Business Technol Univ Guayaquil, Guayaquil, Ecuador</t>
  </si>
  <si>
    <t>Valencia, JT (corresponding author), Business Technol Univ Guayaquil, Guayaquil, Ecuador.</t>
  </si>
  <si>
    <t>jose.townsend@uteg.edu.ec; jfigueroaf@outlook.es</t>
  </si>
  <si>
    <t>UNIV PINAR RIO HERMANOS SAIZ MONTES OCA</t>
  </si>
  <si>
    <t>PINA DEL RIO</t>
  </si>
  <si>
    <t>CALLE MARTI NO 300 27 NOVIEMBRE &amp; GONZALEZ ALCORTA, PINA DEL RIO, CP 20100, CUBA</t>
  </si>
  <si>
    <t>2310-340X</t>
  </si>
  <si>
    <t>REV COOP DESARRO-COO</t>
  </si>
  <si>
    <t>Rev. Coop. Desarro.-COODES</t>
  </si>
  <si>
    <t>Development Studies</t>
  </si>
  <si>
    <t>H1UQ5</t>
  </si>
  <si>
    <t>WOS:000993888800009</t>
  </si>
  <si>
    <t>Högberg, K; Willermark, S</t>
  </si>
  <si>
    <t>Hogberg, Karin; Willermark, Sara</t>
  </si>
  <si>
    <t>Strategic Responses to Digital Disruption in Incumbent Firms- A Strategy-as-Practice Perspective</t>
  </si>
  <si>
    <t>Digital business strategy; digital transformation; incumbent firms; disruptive digital innovations; hospitality industry</t>
  </si>
  <si>
    <t>DYNAMIC CAPABILITIES; TRANSFORMATION; INNOVATION; TECHNOLOGY; HOTELS; FIELD</t>
  </si>
  <si>
    <t>Hardly any organization remains unaffected by the digitalization of society and the whole global economy is shaken by disruptive digital innovations (DDI). This calls for strategic responses from incumbent firms to remain relevant in a changing environment. This study explores the phenomenon of digital transformation and the development of digital business strategy in the context of incumbent firms, in this case, the hotel industry. We address the following research questions: 1) How are hotel organizations disrupted by digital innovations? and 2) How do they respond strategically to these disruptions? The research approach consists of multiple longitudinal case studies of two international hotel chains, offering a rich dataset. Strategy-as-practice is used as a theoretical lens. The results show three overall organizational responses due to DDI including: 1) relating to a new digital business environment; 2) translating strategy to practices 3) renegotiating value. Contributions include extending the existing literature on digital strategies and responses to digital disruptions in incumbent firms as well as providing implications to practice.</t>
  </si>
  <si>
    <t>[Hogberg, Karin; Willermark, Sara] Univ West, Trollhattan, Sweden</t>
  </si>
  <si>
    <t>University West - Sweden</t>
  </si>
  <si>
    <t>Högberg, K (corresponding author), Univ West, Trollhattan, Sweden.</t>
  </si>
  <si>
    <t>karin.hogberg@hv.se</t>
  </si>
  <si>
    <t>Willermark, Sara/0000-0003-1390-8379</t>
  </si>
  <si>
    <t>MAR 4</t>
  </si>
  <si>
    <t>10.1080/08874417.2022.2057373</t>
  </si>
  <si>
    <t>APR 2022</t>
  </si>
  <si>
    <t>9L9NI</t>
  </si>
  <si>
    <t>WOS:000790136000001</t>
  </si>
  <si>
    <t>Partridge, SR; Reece, L; Sim, KA; Todd, A; Jia, SS; Raeside, R; Schirmer, T; Phongsavan, P; Redfern, J</t>
  </si>
  <si>
    <t>Partridge, Stephanie R.; Reece, Lindsey; Sim, Kyra A.; Todd, Allyson; Jia, Si Si; Raeside, Rebecca; Schirmer, Teisha; Phongsavan, Philayrath; Redfern, Julie</t>
  </si>
  <si>
    <t>An analysis of current obesity strategies for adolescents in NSW against best practice recommendations: Implications for researchers, policymakers and practitioners</t>
  </si>
  <si>
    <t>HEALTH PROMOTION JOURNAL OF AUSTRALIA</t>
  </si>
  <si>
    <t>adolescent; management; obesity; policy; prevention; public health; young people</t>
  </si>
  <si>
    <t>Issue addressed Obesity is a significant health challenge facing adolescents. There is a critical need for government action to support all adolescents to improve risk factors for obesity. This study critically appraised initiatives, guidelines and policies (termed strategies) from local health districts (LHDs), speciality health networks and Primary Health Networks (PHNs) across New South Wales (NSW), relevant to the prevention and management of obesity amongst adolescents and compare these to best practice recommendations. Methods We critically appraised strategies against best practice recommendations that included support, access, responsiveness to needs, supportive environment, monitoring and evaluation and health equity. Strategies were collected by systematically searching websites of 15 LHDs, one speciality health network and 10 PHNs. Results There was evidence of strategies regarding adolescent obesity prevention and management across all best practice recommendations. There was limited evidence of adolescent consumer participation, digital strategies for health services and online health information. There were minimal targeted public or school-based education campaigns and interventions on physical activity or nutrition. Place-based approaches such as sports and recreation facilities were not included in policies regarding the sale of healthy food and drinks. Evaluation evidence across all strategies was minimal. Conclusions Numerous strategies are being implemented across NSW to address adolescent obesity. Despite this, the alignment of strategies with best practice recommendations is poor and evidence of progress in tackling adolescent obesity remains unclear. So what? Opportunities to generate and translate best practice evidence within government strategies for obesity must be prioritised with embedded measurement and evaluation plans.</t>
  </si>
  <si>
    <t>[Partridge, Stephanie R.; Todd, Allyson; Jia, Si Si; Raeside, Rebecca; Redfern, Julie] Univ Sydney, Fac Med &amp; Hlth, Sch Hlth Sci, Engagement &amp; Codesign Hub, Sydney, NSW, Australia; [Partridge, Stephanie R.; Reece, Lindsey; Phongsavan, Philayrath] Univ Sydney, Fac Med &amp; Hlth, Sydney Sch Publ Hlth, Prevent Res Collaborat, Sydney, NSW, Australia; [Partridge, Stephanie R.; Reece, Lindsey; Sim, Kyra A.; Phongsavan, Philayrath] Univ Sydney, Charles Perkins Ctr, Sydney, NSW, Australia; [Sim, Kyra A.] Sydney Local Hlth Dist, Camperdown, NSW, Australia; [Schirmer, Teisha] Mid North Coast Local Hlth Dist, Port Macquarie, NSW, Australia; [Redfern, Julie] Univ New South Wales, George Inst Global Hlth, Camperdown, NSW, Australia</t>
  </si>
  <si>
    <t>University of Sydney; University of Sydney; University of Sydney; University of New South Wales Sydney; University of Sydney; George Institute for Global Health</t>
  </si>
  <si>
    <t>Partridge, SR (corresponding author), Univ Sydney, Westmead Hosp, Level 6,Block K, Westmead, NSW 2145, Australia.</t>
  </si>
  <si>
    <t>stephanie.partridge@sydney.edu.au</t>
  </si>
  <si>
    <t>Redfern, Julie/AAM-8617-2020; Partridge, Stephanie R/B-7327-2018</t>
  </si>
  <si>
    <t>Redfern, Julie/0000-0001-8707-5563; Todd, Allyson/0000-0001-6948-9754; Raeside, Rebecca/0000-0003-2016-6393; Sim, Kyra/0000-0003-2825-665X; Reece, Lindsey/0000-0003-2883-3963; Phongsavan, Philayrath/0000-0003-2460-5031; Partridge, Stephanie R/0000-0001-5390-3922; Schirmer, Teisha/0000-0002-5863-3885</t>
  </si>
  <si>
    <t>University of Sydney; Heart Foundation; National Health and Medical Research Council [APP1143538, APP1157438]</t>
  </si>
  <si>
    <t>University of Sydney(University of Sydney); Heart Foundation; National Health and Medical Research Council(National Health and Medical Research Council (NHMRC) of Australia)</t>
  </si>
  <si>
    <t>University of Sydney; Heart Foundation; National Health and Medical Research Council, Grant/Award Numbers: APP1143538, APP1157438</t>
  </si>
  <si>
    <t>1036-1073</t>
  </si>
  <si>
    <t>2201-1617</t>
  </si>
  <si>
    <t>HEALTH PROMOT J AUST</t>
  </si>
  <si>
    <t>Health Promot. J. Aust.</t>
  </si>
  <si>
    <t>10.1002/hpja.606</t>
  </si>
  <si>
    <t>F1HJ2</t>
  </si>
  <si>
    <t>WOS:000786521800001</t>
  </si>
  <si>
    <t>Li, LX</t>
  </si>
  <si>
    <t>Li, Lixu</t>
  </si>
  <si>
    <t>Digital transformation and sustainable performance: The moderating role of market turbulence</t>
  </si>
  <si>
    <t>INDUSTRIAL MARKETING MANAGEMENT</t>
  </si>
  <si>
    <t>Digital transformation; Market turbulence; Economic performance; Environmental performance; China</t>
  </si>
  <si>
    <t>BIG DATA ANALYTICS; DYNAMIC CAPABILITIES; FIRM PERFORMANCE; SUPPLY CHAIN; RESOURCE; STRATEGY; SERVICE; PRODUCT; IMPACT; END</t>
  </si>
  <si>
    <t>As digital technologies disrupt one sector after another, many companies are actively embracing digital transformation. However, the relationship between digital transformation and sustainable performance remains unclear. To fill this gap, based on an integrated perspective of dynamic capability and organizational inertia, this study examines the curvilinear relationships between digital transformation and economic and environmental dimensions of sustainable performance. Survey data from 223 Chinese companies articulate that although digital transformation fosters economic performance at an accelerating rate, it depicts an inverse U-shaped relationship with environmental performance. More interestingly, the accelerating rate of digital transformation on economic performance is quicker under low market turbulence. In contrast, when market turbulence is high, higher digital transformation is associated with worse environmental performance. This study contributes to the literature by providing new theoretical explanations for the inconsistent relationship between digital transformation and sustainable performance. This study also assists companies in re-evaluating their digital strategies.</t>
  </si>
  <si>
    <t>[Li, Lixu] Xian Univ Technol, Sch Econ &amp; Management, Xian 710054, Peoples R China</t>
  </si>
  <si>
    <t>Xi'an University of Technology</t>
  </si>
  <si>
    <t>0019-8501</t>
  </si>
  <si>
    <t>1873-2062</t>
  </si>
  <si>
    <t>IND MARKET MANAG</t>
  </si>
  <si>
    <t>Ind. Mark. Manage.</t>
  </si>
  <si>
    <t>10.1016/j.indmarman.2022.04.007</t>
  </si>
  <si>
    <t>1E2DQ</t>
  </si>
  <si>
    <t>WOS:000794305800001</t>
  </si>
  <si>
    <t>Dal Forno, AJ; Bataglini, WV; Steffens, F; de Souza, AAU</t>
  </si>
  <si>
    <t>Dal Forno, Ana Julia; Bataglini, Walakis Vieira; Steffens, Fernanda; Ulson de Souza, Antonio Augusto</t>
  </si>
  <si>
    <t>Maturity model toll to diagnose Industry 4.0 in the clothing industry</t>
  </si>
  <si>
    <t>JOURNAL OF FASHION MARKETING AND MANAGEMENT</t>
  </si>
  <si>
    <t>Diagnosis tool; Clothing industry; Maturity model; Industry 4; 0; Emerging technologies</t>
  </si>
  <si>
    <t>FASHION; CREATION</t>
  </si>
  <si>
    <t>Purpose The purpose of this paper is to present a diagnostic instrument of the maturity of Industry 4.0 technologies adapted to the textile and clothing sector and constructed based on the technological references that support this industrial evolution process. Design/methodology/approach The proposed methodology began with the systematic literature review using the SciMAT software and then a questionnaire was developed with 49 questions divided into 5 categories - demography, technologies, strategy, digital skills and benefits of the deployment. Findings The application in 19 different sectors and 72 people in a textile industry showed this sector is still traditional. The diagnosis results pointed that the level of implementation of Industry 4.0 is considered the first level, later advancing in this order to levels of connectivity, visibility, predictability and adaptability of the processes. Research limitations/implications Only in one company was applied the developed instrument, in this case study, a factory that makes children's and adult clothing items located in Santa Catarina, Brazil. Practical implications Through the use of this assessment instrument, it is possible to perform an internal benchmarking at the company detecting the strong and weak points, as well as involve a multidisciplinary collaborator team. Social implications The comparisons and improvements may be carried out per dimension or sector, which motivates the constant application and assessment of improvements. The instrument to diagnose the maturity of Industry 4.0 technologies in the textile and clothing sector is considered an effective tool for application in a single company or to have its use expanded in a new piece of research to the entire industrial textile segment. Originality/value The developed diagnostic tool may be used for both the internal assessment of the company and its placement relative to its competitors, involving several companies from the same sector. It is possible to know about what level of Industry 4.0 maturity the company is and after benchmarking by others and improve.</t>
  </si>
  <si>
    <t>[Dal Forno, Ana Julia; Bataglini, Walakis Vieira; Steffens, Fernanda; Ulson de Souza, Antonio Augusto] Santa Catarina Fed Univ, Text Engn Postgrad Program PGETEX UFSC, Blumenau, Brazil</t>
  </si>
  <si>
    <t>Universidade Federal de Santa Catarina (UFSC)</t>
  </si>
  <si>
    <t>Dal Forno, AJ (corresponding author), Santa Catarina Fed Univ, Text Engn Postgrad Program PGETEX UFSC, Blumenau, Brazil.</t>
  </si>
  <si>
    <t>ana.forno@ufsc.br</t>
  </si>
  <si>
    <t>Dal Forno, Ana Julia/F-3652-2015; Ulson de Souza, Antonio Augusto/K-1051-2012</t>
  </si>
  <si>
    <t>Dal Forno, Ana Julia/0000-0003-2441-5385; Ulson de Souza, Antonio Augusto/0000-0002-7115-2621</t>
  </si>
  <si>
    <t>CAPES/Brazil (Coordenac~ao de Apefeicoamento de Pessoal de N~ivel Superior -Coordination for the Improvement of Higher Education Personnel)</t>
  </si>
  <si>
    <t>The authors would like to thank CAPES/Brazil (Coordenac~ao de Apefeicoamento de Pessoal de N~ivel Superior -Coordination for the Improvement of Higher Education Personnel) for incentivizing the postgraduate program and Lunelli company.</t>
  </si>
  <si>
    <t>1361-2026</t>
  </si>
  <si>
    <t>1758-7433</t>
  </si>
  <si>
    <t>J FASH MARK MANAG</t>
  </si>
  <si>
    <t>J. Fash. Mark. Manag.</t>
  </si>
  <si>
    <t>10.1108/JFMM-09-2021-0241</t>
  </si>
  <si>
    <t>D4DA0</t>
  </si>
  <si>
    <t>WOS:000783066900001</t>
  </si>
  <si>
    <t>Liu, LJ; Fan, Q; Liu, RH; Zhang, GQ; Wan, WH; Long, J</t>
  </si>
  <si>
    <t>Liu, Longjun; Fan, Qing; Liu, Ruhong; Zhang, Guiqing; Wan, Wenhai; Long, Jing</t>
  </si>
  <si>
    <t>How to benefit from digital platform capabilities? Examining the role of knowledge bases and organisational routines updating</t>
  </si>
  <si>
    <t>Digital platform capabilities; Knowledge bases; Technological innovation; Organisational routines; Resource-based view</t>
  </si>
  <si>
    <t>RESOURCE-BASED VIEW; RESEARCH-AND-DEVELOPMENT; COMPETITIVE ADVANTAGE; FIRM PERFORMANCE; INFORMATION-TECHNOLOGY; INNOVATION; PRODUCT; BREADTH; DEPTH; FLEXIBILITY</t>
  </si>
  <si>
    <t>Purpose This study aims to explore whether digital platform capabilities (integration and reconstruction) affect technological innovation through knowledge bases in the dimensions of breadth and depth and the moderating role of organisational routines updating. Design/methodology/approach Hierarchical regression, mediation effect test macro and bootstrap were conducted to empirically analyse two waves of longitudinal survey data from 179 Chinese technology firms. Findings Results confirmed that knowledge bases (breadth and depth) mediated the effect of digital platform capabilities (integration and reconstruction) on technological innovation and that updating of organisational routines moderated the relationship between knowledge bases and technological innovation. Practical implications These findings offer guidance to firms that aim to achieve technological innovation and advantages, highlighting the importance of digital platform capabilities, knowledge bases and organisational routines updating. Originality/value Advancing from existing digital strategies and firm innovation literature, the authors provide a new perspective (knowledge bases) to respond to the information technology (IT) paradox and understand the role of digital platform capabilities in improving technological innovation.</t>
  </si>
  <si>
    <t>[Liu, Longjun; Liu, Ruhong; Long, Jing] Nanjing Univ, Sch Business, Nanjing, Peoples R China; [Fan, Qing] Shanghai Univ, Sch Management, Shanghai, Peoples R China; [Zhang, Guiqing] Hohai Univ, Business Sch, Nanjing, Peoples R China; [Wan, Wenhai] Huaqiao Univ, Sch Business Adm, Quanzhou, Peoples R China</t>
  </si>
  <si>
    <t>Nanjing University; Shanghai University; Hohai University; Huaqiao University</t>
  </si>
  <si>
    <t>Long, J (corresponding author), Nanjing Univ, Sch Business, Nanjing, Peoples R China.</t>
  </si>
  <si>
    <t>longjing@nju.edu.cn</t>
  </si>
  <si>
    <t>Zhang, Guiqing/0000-0002-6706-1946; Fan, Qing/0000-0001-5179-921X; Liu, Longjun/0000-0002-6495-1695</t>
  </si>
  <si>
    <t>Leeds</t>
  </si>
  <si>
    <t>floor 5, Northspring 21-23 Wellington Street, Leeds, W YORKSHIRE, ENGLAND</t>
  </si>
  <si>
    <t>AUG 29</t>
  </si>
  <si>
    <t>10.1108/EJIM-10-2021-0532</t>
  </si>
  <si>
    <t>R3XR2</t>
  </si>
  <si>
    <t>WOS:000780937900001</t>
  </si>
  <si>
    <t>Boyd, L; Berardi, V; Hughes, D; Cibrian, F; Johnson, J; Sean, V; DelPizzo-Cheng, E; Mackin, B; Tusneem, A; Mody, R; Jones, S; Lotich, K</t>
  </si>
  <si>
    <t>Boyd, LouAnne; Berardi, Vincent; Hughes, Deanna; Cibrian, Franceli; Johnson, Jazette; Sean, Viseth; DelPizzo-Cheng, Eliza; Mackin, Brandon; Tusneem, Ayra; Mody, Riya; Jones, Sara; Lotich, Karen</t>
  </si>
  <si>
    <t>Manipulating image luminance to improve eye gaze and verbal behavior in autistic children</t>
  </si>
  <si>
    <t>HUMANITIES &amp; SOCIAL SCIENCES COMMUNICATIONS</t>
  </si>
  <si>
    <t>ATTENTION-DEFICIT/HYPERACTIVITY DISORDER; SPATIAL-FREQUENCY CHANNELS; GLOBAL PRECEDENCE; STIMULUS OVERSELECTIVITY; EXECUTIVE FUNCTION; VISUAL-ATTENTION; PERCEPTION; VISION; MOVEMENTS; INTERFERENCE</t>
  </si>
  <si>
    <t>Autism has been characterized by a tendency to attend to the local visual details over surveying an image to understand the gist-a phenomenon called local interference. This sensory processing trait has been found to negatively impact social communication. Although much work has been conducted to understand these traits, little to no work has been conducted to intervene to provide support for local interference. Additionally, recent understanding of autism now introduces the core role of sensory processing and its impact on social communication. However, no interventions to the end of our knowledge have been explored to leverage this relationship. This work builds on the connection between visual attention and semantic representation in autistic children. In this work, we ask the following research questions: RQ1: Does manipulating image characteristics of luminance and spatial frequency increase likelihood of fixations in hot spots (Areas of Interest) for autistic children? RQ2: Does manipulating low-level image characteristics of luminance and spatial frequency increase the likelihood of global verbal responses for autistic children? We sought to manipulate visual attention as measured by eye gaze fixations and semantic representation of verbal response to the question What is this picture about?. We explore digital strategies to offload low-level, sensory processing of global features via digital filtering. In this work, we designed a global filter to reduce image characteristics found to be distracting for autistic people and compared baseline images to featured images in 11 autistic children. Participants saw counterbalanced images way over 2 sessions. Eye gaze in areas of interest and verbal responses were collected and analyzed. We found that luminance in non-salient areas impacted both eye gaze and verbal responding-however in opposite ways (however versus high levels of luminance). Additionally, the interaction of luminance and spatial frequency in areas of interest is also significant. This is the first empirical study in designing an assistive technology aimed to augment global processing that occurs at a sensory-processing and social-communication level. Contributions of this work include empirical findings regarding the quantification of local interference in images of natural scenes for autistic children in real-world settings; digital methods to offload global visual processing to make this information more accessible via insight on the role of luminance and spatial frequency in visual perception of and semantic representation in images of natural scenes.</t>
  </si>
  <si>
    <t>[Boyd, LouAnne; Berardi, Vincent; Hughes, Deanna; Cibrian, Franceli; Sean, Viseth; Mackin, Brandon; Tusneem, Ayra; Mody, Riya] Chapman Univ, Orange, CA 92866 USA; [Johnson, Jazette] Univ Calif Irvine, Irvine, CA USA; [DelPizzo-Cheng, Eliza] Endicott Coll, Beverly, MA USA; [Jones, Sara; Lotich, Karen] Speech &amp; Language Dev Ctr, Buena Pk, CA USA</t>
  </si>
  <si>
    <t>Chapman University System; Chapman University; University of California System; University of California Irvine</t>
  </si>
  <si>
    <t>Boyd, L (corresponding author), Chapman Univ, Orange, CA 92866 USA.</t>
  </si>
  <si>
    <t>lboyd@chapman.edu</t>
  </si>
  <si>
    <t>Cibrian, Franceli L./0000-0002-7084-6904</t>
  </si>
  <si>
    <t>SPRINGERNATURE</t>
  </si>
  <si>
    <t>CAMPUS, 4 CRINAN ST, LONDON, N1 9XW, ENGLAND</t>
  </si>
  <si>
    <t>2662-9992</t>
  </si>
  <si>
    <t>HUM SOC SCI COMMUN</t>
  </si>
  <si>
    <t>Hum. Soc. Sci. Commun.</t>
  </si>
  <si>
    <t>APR 4</t>
  </si>
  <si>
    <t>10.1057/s41599-022-01131-6</t>
  </si>
  <si>
    <t>Humanities, Multidisciplinary; Social Sciences, Interdisciplinary</t>
  </si>
  <si>
    <t>Social Science Citation Index (SSCI); Arts &amp; Humanities Citation Index (A&amp;HCI)</t>
  </si>
  <si>
    <t>Arts &amp; Humanities - Other Topics; Social Sciences - Other Topics</t>
  </si>
  <si>
    <t>0G5XJ</t>
  </si>
  <si>
    <t>WOS:000778117600004</t>
  </si>
  <si>
    <t>Longhi-Heredia, SA; Quezada-Tello, LL</t>
  </si>
  <si>
    <t>Alberto Longhi-Heredia, Sebastian; Liset Quezada-Tello, Laddy</t>
  </si>
  <si>
    <t>Museum digital strategies during the pandemic: Prado National Museum and Reina Sofia National Art Center Museum</t>
  </si>
  <si>
    <t>QUESTION</t>
  </si>
  <si>
    <t>Museum; Covid-19; Educommunication; Digital Strategies; UNESCO</t>
  </si>
  <si>
    <t>The global pandemic derived from Covid-19 affected cultural institutions since 2020 implied an adaptation by museums to the new social reality. The context favored fostering digital interactions to connect with the public and digital communication prospered towards dialogue with society during the confinement and the Spanish state of alarm. This article analyzes the digital strategies carried out by two Spanish museum: the Museo Nacional del Prado and the Museo Nacional Centro de Arte Reina Sofia in order to understand how the four essential functions outlined by UNESCO (research, preservation, education and communication) were implemented during the pandemic. The results indicated that the communicative actions were the most used together with the educational ones. Digital technologies focused on education had as their epicenter social networks and numerous initiatives that helped educommunicate Spanish heritage during the health crisis.</t>
  </si>
  <si>
    <t>[Alberto Longhi-Heredia, Sebastian; Liset Quezada-Tello, Laddy] Univ Huelva, Huelva, Spain; [Liset Quezada-Tello, Laddy] Inst Tecnol Super Ismael Perez Pazmino, Machala, Ecuador</t>
  </si>
  <si>
    <t>Universidad de Huelva</t>
  </si>
  <si>
    <t>Longhi-Heredia, SA (corresponding author), Univ Huelva, Huelva, Spain.</t>
  </si>
  <si>
    <t>slonghi7@yahoo.com.ar; laddy.quezada@gmail.com</t>
  </si>
  <si>
    <t>wang, wjd/GSD-2051-2022</t>
  </si>
  <si>
    <t>UNIV NACIONAL PLATA, INST INVESTIGACIONES &amp; COMUNICACION-IICOM</t>
  </si>
  <si>
    <t>BUENOS AIRES</t>
  </si>
  <si>
    <t>FAC PERIODISMO &amp; COMUNICACION SOCIAL, AVE 44 NO 676, LA PLATA, BUENOS AIRES, 1900, ARGENTINA</t>
  </si>
  <si>
    <t>1669-6581</t>
  </si>
  <si>
    <t>Question</t>
  </si>
  <si>
    <t>APR-JUN</t>
  </si>
  <si>
    <t>e666</t>
  </si>
  <si>
    <t>10.24215/16696581e666</t>
  </si>
  <si>
    <t>2X6TS</t>
  </si>
  <si>
    <t>Green Submitted, Green Published, gold</t>
  </si>
  <si>
    <t>WOS:000825334300002</t>
  </si>
  <si>
    <t>Fonseca, DLD; Fonseca, MGFS</t>
  </si>
  <si>
    <t>de Souza Fonseca, Diego Leonardo; Severo Fonseca, Maria Gabriella Flores</t>
  </si>
  <si>
    <t>TikTok as a tool for innovation in library information services</t>
  </si>
  <si>
    <t>EM QUESTAO</t>
  </si>
  <si>
    <t>Social network; Innovation; Information services; Consumption of information; Libraries</t>
  </si>
  <si>
    <t>The study aims to analyze the digital positioning of some libraries in the social network TikTok, observing the use of this platform as an innovation strategy in services from the perspective of new trends in information consumption. This is a descriptive research of qualitative approach, whose study design was divided into two phases: bibliographic research (survey of research and experience reports on the theme) and survey of the profiles of libraries on the social network that use the platform. Five profiles were analyzed: Sierra Madre Public Library, Vancouver Public Library, Iowa Public Library, Dover Public Library, and Calgary Public Library. The research analysis process about the digital positioning of these spaces was carried out based on four aspects: marketing, engagement, interaction with users, and content production. It was observed that these libraries, by combining their professional character with the entertainment potential of the social network TikTok, developed a relationship of interaction and engagement with their users, which generated greater interest in their information services and products through digital marketing. They thus became innovative in their strategic digital positioning, following the new trends of information consumption by users.</t>
  </si>
  <si>
    <t>[de Souza Fonseca, Diego Leonardo] Univ Estadual Londrina, Londrina, Parana, Brazil; [Severo Fonseca, Maria Gabriella Flores] Univ Brasilia, Brasilia, DF, Brazil</t>
  </si>
  <si>
    <t>Universidade Estadual de Londrina; Universidade de Brasilia</t>
  </si>
  <si>
    <t>Fonseca, DLD (corresponding author), Univ Estadual Londrina, Londrina, Parana, Brazil.</t>
  </si>
  <si>
    <t>diego.leonardo@uel.br; gabriellafloress@hotmail.com</t>
  </si>
  <si>
    <t>UNIV FEDERAL RIO GRANDE SUL, FAC BIBLIOTECONOMIA &amp; COMUNICACAO</t>
  </si>
  <si>
    <t>PORTO ALEGRE</t>
  </si>
  <si>
    <t>RUA RAMIRO BARCELOS, 2705, SALA 519, PORTO ALEGRE, RS 90040-060, BRAZIL</t>
  </si>
  <si>
    <t>1807-8893</t>
  </si>
  <si>
    <t>1808-5245</t>
  </si>
  <si>
    <t>Em. Questao</t>
  </si>
  <si>
    <t>e-116231</t>
  </si>
  <si>
    <t>10.19132/1808-5245282.116231</t>
  </si>
  <si>
    <t>ZH5ZX</t>
  </si>
  <si>
    <t>WOS:000761017800008</t>
  </si>
  <si>
    <t>Hensel, PG</t>
  </si>
  <si>
    <t>Hensel, Przemyslaw G.</t>
  </si>
  <si>
    <t>Organization and management scholars' technological conservatism: Could we free ourselves from the shackles of paper-bound logic?</t>
  </si>
  <si>
    <t>deinstitutionalization; digital strategy; institutional change; technological change; technology; topics and perspectives</t>
  </si>
  <si>
    <t>SCIENCE; REPRODUCIBILITY; TRANSPARENCY</t>
  </si>
  <si>
    <t>Despite capitalizing on many new possibilities offered by the digital revolution, our research community still remains bound by the 17th-century technology of research results reporting. Our work can progress faster and achieve greater impact within and beyond academia if we replace the one-package manuscript form, born three hundred years ago, with a full package that takes advantage of everything digital technology has to offer. However, the switch from paper-bound to digitally enabled logic will not be easy as our thinking and practices have been formed by decades of honing skills that bring success in the current conventions.</t>
  </si>
  <si>
    <t>[Hensel, Przemyslaw G.] Univ Warsaw, Fac Management, 1-3 Szturmowa St, PL-02678 Warsaw, Poland</t>
  </si>
  <si>
    <t>University of Warsaw</t>
  </si>
  <si>
    <t>Hensel, PG (corresponding author), Univ Warsaw, Fac Management, 1-3 Szturmowa St, PL-02678 Warsaw, Poland.</t>
  </si>
  <si>
    <t>phensel@uw.edu.pl</t>
  </si>
  <si>
    <t>Hensel, Przemysław/K-9234-2019</t>
  </si>
  <si>
    <t>Hensel, Przemysław/0000-0002-2352-2317</t>
  </si>
  <si>
    <t>National Science Centre, Poland [2018/31/B/HS4/00390]</t>
  </si>
  <si>
    <t>National Science Centre, Poland(National Science Centre, Poland)</t>
  </si>
  <si>
    <t>The author disclosed receipt of the following financial support for the research, authorship, and/or publication of this article: This work was supported by the National Science Centre, Poland under Grant 2018/31/B/HS4/00390.</t>
  </si>
  <si>
    <t>2022 APR 1</t>
  </si>
  <si>
    <t>10.1177/14761270211067162</t>
  </si>
  <si>
    <t>0F9JV</t>
  </si>
  <si>
    <t>WOS:000777672700001</t>
  </si>
  <si>
    <t>Leiva, JJ; del Olmo, MJA; Aguilera, FJG; Villalba, MJS</t>
  </si>
  <si>
    <t>Leiva, Juan J.; Alcala del Olmo, Ma Jose; Garcia Aguilera, Francisco J.; Santos Villalba, Ma Jesus</t>
  </si>
  <si>
    <t>Promotion of Intercultural Competencies and Use of ICT: Towards a Digitally Inclusive University</t>
  </si>
  <si>
    <t>REICE-REVISTA IBEROAMERICANA SOBRE CALIDAD EFICACIA Y CAMBIO EN EDUCACION</t>
  </si>
  <si>
    <t>Interculturality; Inclusion; Digital skill; Active methodologies; Educational innovation</t>
  </si>
  <si>
    <t>Intercultural and inclusive education has become a priority for higher education professionals due to the presence of cultural diversity in educational spaces and the heterogeneity of the student body. The university of the 21st century must promote the implementation of pedagogical guidelines aimed at facilitating the acquisition of intercultural and digital competences, with the aim of empowering students through ICT, favouring their integral development and the autonomous construction of their identity. The aim of this study is to find out teachers' evaluations of the potential of ICT to favour the acquisition of intercultural competences in their students. The methodology is qualitative through focus groups in which 14 teachers from the University of Malaga (Spain) participated. The content analysis followed a deductive category development model. The results reveal that the participating teachers use digital tools as a means of acquiring knowledge rather than to promote cultural interaction. The main conclusions include the importance of improving lifelong learning, more in line with participatory, creative, and digital strategies in university classrooms.</t>
  </si>
  <si>
    <t>[Leiva, Juan J.; Alcala del Olmo, Ma Jose; Garcia Aguilera, Francisco J.; Santos Villalba, Ma Jesus] Univ Malaga, Malaga, Spain</t>
  </si>
  <si>
    <t>Universidad de Malaga</t>
  </si>
  <si>
    <t>Leiva, JJ (corresponding author), Univ Malaga, Malaga, Spain.</t>
  </si>
  <si>
    <t>juanleiva@uma.es; mjalcaladelolmo@uma.es; fjgarciaa@uma.es; mjsantos@ugr.es</t>
  </si>
  <si>
    <t>Aguilera, Francisco José García/AAE-5361-2021; Santos-Villalba, María Jesús/AAE-7185-2021</t>
  </si>
  <si>
    <t>Aguilera, Francisco José García/0000-0002-5764-7409; Santos-Villalba, María Jesús/0000-0001-6641-0916</t>
  </si>
  <si>
    <t>UNIV AUTONOMA MADRID, FAC FORMACION PROFESORADO &amp; EDUCACION</t>
  </si>
  <si>
    <t>MADRID</t>
  </si>
  <si>
    <t>MODULO III, DESPACHO 302, CAMPUS CANTOBLANCO, MADRID, 28049, SPAIN</t>
  </si>
  <si>
    <t>1696-4713</t>
  </si>
  <si>
    <t>REICE-REV IBEROAM CA</t>
  </si>
  <si>
    <t>REICE-Rev. Iberoam. Calid. Efic. Cambio Educ.</t>
  </si>
  <si>
    <t>10.15366/reice2022.20.2.003</t>
  </si>
  <si>
    <t>1J4GD</t>
  </si>
  <si>
    <t>Green Submitted</t>
  </si>
  <si>
    <t>WOS:000797875600004</t>
  </si>
  <si>
    <t>Fumagalli, LAW; Rezende, DA; Guimaraes, TA</t>
  </si>
  <si>
    <t>Wernecke Fumagalli, Luis Andre; Rezende, Denis Alcides; Guimaraes, Thiago Andre</t>
  </si>
  <si>
    <t>Data Intelligence in Public Transportation: Sustainable and Equitable Solutions to Urban Modals in Strategic Digital City Subproject</t>
  </si>
  <si>
    <t>public transport; public administration; public investments; sustainable urban development; strategic digital city</t>
  </si>
  <si>
    <t>DEMAND ELASTICITIES; MOBILITY; INVESTMENTS; POLICY; MODEL</t>
  </si>
  <si>
    <t>Transport infrastructure investments must be linked to the public transport demand strategically. User behavior and decision-making process bring several possible alternative transportation options due to a series of factors that define it. Municipalities must manage these factors to promote equal and sustainable transport solutions through urban infrastructure, public transport competitiveness, and attractiveness, and fossil fuels use and pricing policy. The research objective is to determine these factors to monitor and use them for citizens' benefit by means of analytical tools and methods to gain a superior knowledge of reality with a focus on improving investments and services in an agile and efficient manner. Methodologically, the number of passengers of main Curitiba's (Brazil) bus rapid transit (BRT) lines is operated in two linear regression models combined with the number of private vehicles, public transport fare, and fuel price for the period between January/2010 and December/2019. Research analysis indicates direct causal relationships between the studied factors and that the necessary data for decision-making is available in the government information systems. In conclusion, urban management and strategic digital city project can be more balanced and assertive in transport infrastructure investments and citizen services provision.</t>
  </si>
  <si>
    <t>[Wernecke Fumagalli, Luis Andre; Rezende, Denis Alcides] Pontificia Univ Catolica Parana PUCPR, Strateg Digital City Res Grp CNPq, Masters &amp; Doctoral Program Urban Management, BR-80215901 Curitiba, Parana, Brazil; [Wernecke Fumagalli, Luis Andre] FAE Business Sch FAE, MBA Dept, BR-80010100 Curitiba, Parana, Brazil; [Guimaraes, Thiago Andre] Fed Univ Parana UFPR, Business Sch, BR-80210170 Curitiba, Parana, Brazil; [Guimaraes, Thiago Andre] Fed Inst Sci &amp; Technol Parana IFPR, Tech &amp; Technol Educ Dept, BR-80230150 Curitiba, Parana, Brazil</t>
  </si>
  <si>
    <t>Pontificia Universidade Catolica do Parana; Universidade Federal do Parana</t>
  </si>
  <si>
    <t>Rezende, DA (corresponding author), Pontificia Univ Catolica Parana PUCPR, Strateg Digital City Res Grp CNPq, Masters &amp; Doctoral Program Urban Management, BR-80215901 Curitiba, Parana, Brazil.</t>
  </si>
  <si>
    <t>luis.fumagalli@fae.edu; denis.rezende@pucpr.br; thiagoandre@ufpr.br</t>
  </si>
  <si>
    <t>Guimaraes, Thiago Andre/JCN-8842-2023; Fumagalli, Luis Andre Wernecke/C-7061-2013</t>
  </si>
  <si>
    <t>Rezende, Denis Alcides/0000-0002-3327-0424; Guimaraes, Thiago Andre/0000-0003-2483-976X; Fumagalli, Luis Andre Wernecke/0000-0002-1406-5230</t>
  </si>
  <si>
    <t>10.3390/su14084683</t>
  </si>
  <si>
    <t>0T4KT</t>
  </si>
  <si>
    <t>WOS:000786938000001</t>
  </si>
  <si>
    <t>Xie, XM; Han, YH; Anderson, A; Ribeiro-Navarrete, S</t>
  </si>
  <si>
    <t>Xie, Xuemei; Han, Yuhang; Anderson, Alistair; Ribeiro-Navarrete, Samuel</t>
  </si>
  <si>
    <t>Digital platforms and SMEs' business model innovation: Exploring the mediating mechanisms of capability reconfiguration</t>
  </si>
  <si>
    <t>INTERNATIONAL JOURNAL OF INFORMATION MANAGEMENT</t>
  </si>
  <si>
    <t>Digital platforms; Business model innovation; Capability reconfiguration; Dynamic capability; SMEs</t>
  </si>
  <si>
    <t>INDUSTRY 4.0; DYNAMIC CAPABILITIES; PERFORMANCE; EVOLUTION; STRATEGY; ROLES; TRANSFORMATION; COLLABORATION; TECHNOLOGIES; INVOLVEMENT</t>
  </si>
  <si>
    <t>In our digital era, many small and medium-sized enterprises (SMEs) face the challenge of relying on digital platforms to enhance their business model innovation. Prior research on this subject has mainly focused on the interaction between SMEs and their partners through their use of digital platforms. Meanwhile, how SMEs reconfigure their capabilities to promote business model innovation by adopting digital platforms has remained an under-researched area. To address this gap, we establish a conceptual framework to explain how digital platforms affect SMEs' business model innovation through capability reconfiguration, and we then test this conceptual framework empirically by using a sample of 325 manufacturing SMEs in China. We find that digital platforms positively affect both business model innovation and the capability reconfiguration of SMEs. We also find that both evolutionary capability reconfiguration and substitutional capability reconfiguration mediate the relationship between digital platforms and SMEs' business model innovation. These findings contribute theoretically to the research on digital platforms and SMEs while also providing important managerial implications for policymakers and SMEs to help firms implement digital strategies.</t>
  </si>
  <si>
    <t>[Xie, Xuemei; Han, Yuhang] Tongji Univ, Sch Econ &amp; Management, Shanghai 200092, Peoples R China; [Anderson, Alistair] Lancaster Univ Management Sch, Lancaster, England; [Ribeiro-Navarrete, Samuel] ES Business &amp; Mkt Sch, Madrid, Spain</t>
  </si>
  <si>
    <t>Tongji University</t>
  </si>
  <si>
    <t>Han, YH (corresponding author), Tongji Univ, Sch Econ &amp; Management, Shanghai 200092, Peoples R China.</t>
  </si>
  <si>
    <t>hanyuhang@tongji.edu.cn</t>
  </si>
  <si>
    <t>Ribeiro-Navarrete, Samuel/GXW-2229-2022; Xie, X.M./ABQ-6831-2022; Han, Yuhang/HGB-0213-2022; Ribeiro-Navarrete, Samuel/CAG-7783-2022</t>
  </si>
  <si>
    <t>HAN, Yuhang/0000-0002-7688-619X; Ribeiro-Navarrete, Samuel/0000-0003-1046-5322</t>
  </si>
  <si>
    <t>National Natural Science Foundation of China [71922016, 71772118]; Major Project of National Social Science Fund of China [20ZD059]; Fundamental Research Funds for the Central Universities [22120220119]</t>
  </si>
  <si>
    <t>National Natural Science Foundation of China(National Natural Science Foundation of China (NSFC)); Major Project of National Social Science Fund of China; Fundamental Research Funds for the Central Universities(Fundamental Research Funds for the Central Universities)</t>
  </si>
  <si>
    <t>This research was supported by the National Natural Science Foundation of China (Grant number: 71922016; 71772118) , Major Project of National Social Science Fund of China (Grant number: 20&amp;ZD059) , and the Fundamental Research Funds for the Central Universities (Grant number: 22120220119) .</t>
  </si>
  <si>
    <t>0268-4012</t>
  </si>
  <si>
    <t>1873-4707</t>
  </si>
  <si>
    <t>INT J INFORM MANAGE</t>
  </si>
  <si>
    <t>Int. J. Inf. Manage.</t>
  </si>
  <si>
    <t>10.1016/j.ijinfomgt.2022.102513</t>
  </si>
  <si>
    <t>MAR 2022</t>
  </si>
  <si>
    <t>0Z7YM</t>
  </si>
  <si>
    <t>WOS:000791289200008</t>
  </si>
  <si>
    <t>Yu, HL; Fletcher, M; Buck, T</t>
  </si>
  <si>
    <t>Yu, Honglan; Fletcher, Margaret; Buck, Trevor</t>
  </si>
  <si>
    <t>Managing digital transformation during re-internationalization: Trajectories and implications for performance</t>
  </si>
  <si>
    <t>JOURNAL OF INTERNATIONAL MANAGEMENT</t>
  </si>
  <si>
    <t>Re-internationalization; Digital transformation; Internationalized SMEs; International performance</t>
  </si>
  <si>
    <t>DYNAMIC CAPABILITIES; KNOWLEDGE ACQUISITION; RETROSPECTIVE REPORTS; MARKET REENTRY; UPPSALA MODEL; BUSINESS; FIRMS; EXPLORATION; TECHNOLOGY; MANAGEMENT</t>
  </si>
  <si>
    <t>This paper contributes to our theoretical understanding of how SMEs digitally transform during re-internationalization. We conducted qualitative, multiple-case studies into reinternationalization processes across 11 Chinese international SMEs. Using inductive data analysis, we identify two types of digital transformation, operational and strategic, and trajectories during re-internationalization. The complexity of digital transformation in re-internationalization is delineated by the intricate tensions between strategic digital transformation and new product development. Firm re-internationalization performance can plausibly be differentiated by how these tensions are managed.</t>
  </si>
  <si>
    <t>[Yu, Honglan] Univ Huddersfield, Huddersfield Business Sch, Huddersfield HD1 3DH, W Yorkshire, England; [Fletcher, Margaret; Buck, Trevor] Univ Glasgow, Adam Smith Business Sch, Gilbert Scott Bldg, Glasgow G12 8QQ, Lanark, Scotland</t>
  </si>
  <si>
    <t>University of Huddersfield; University of Glasgow</t>
  </si>
  <si>
    <t>Yu, HL (corresponding author), Univ Huddersfield, Huddersfield Business Sch, Huddersfield HD1 3DH, W Yorkshire, England.</t>
  </si>
  <si>
    <t>H.Yu2@hud.ac.uk; Margaret.Fletcher@glasgow.ac.uk; Trevor.Buck@glasgow.ac.uk</t>
  </si>
  <si>
    <t>Fletcher, Margaret/HNQ-5888-2023; N'Dri, Amoin Bernadine/IWD-7811-2023</t>
  </si>
  <si>
    <t>Yu, Honglan/0000-0002-1492-4250</t>
  </si>
  <si>
    <t>1075-4253</t>
  </si>
  <si>
    <t>1873-0620</t>
  </si>
  <si>
    <t>J INT MANAG</t>
  </si>
  <si>
    <t>J. Int. Manag.</t>
  </si>
  <si>
    <t>10.1016/j.intman.2022.100947</t>
  </si>
  <si>
    <t>1C4UL</t>
  </si>
  <si>
    <t>WOS:000793116100001</t>
  </si>
  <si>
    <t>AlNuaimi, BK; Singh, SK; Ren, S; Budhwar, P; Vorobyev, D</t>
  </si>
  <si>
    <t>AlNuaimi, Bader K.; Singh, Sanjay Kumar; Ren, Shuang; Budhwar, Pawan; Vorobyev, Dmitriy</t>
  </si>
  <si>
    <t>Mastering digital transformation: The nexus between leadership, agility, and digital strategy</t>
  </si>
  <si>
    <t>Digital transformation; Organizational agility; Leadership; Digital strategy; Institutional theory; COVID-19</t>
  </si>
  <si>
    <t>SUPPLY CHAIN AGILITY; ORGANIZATIONAL AGILITY; INSTITUTIONAL THEORY; MANUFACTURING PERFORMANCE; INNOVATION CAPABILITY; DYNAMIC CAPABILITIES; GREEN PROCUREMENT; PLS-SEM; BUSINESS; PERSPECTIVE</t>
  </si>
  <si>
    <t>Drawing upon new institutional theory, we developed and tested a model on how digital transformational leadership and organizational agility influence digital transformation with digital strategy as a moderator. We found that digital transformational leadership and organizational agility positively influence digital transformation, and digital transformational leadership influences organizational agility. The finding of our study also indicates organizational agility to mediate the relationship between digital transformational leadership and digital transformation. Our findings offer an advanced understanding of the impact of transformational leadership and organizational agility on digital transformation and the role of digital strategy. Our study's findings address critical questions about how leadership style and promoting organizational agility in the public sector can enhance digital transformation.</t>
  </si>
  <si>
    <t>[AlNuaimi, Bader K.] Abu Dhabi Univ, Coll Business, Abu Dhabi, U Arab Emirates; [Singh, Sanjay Kumar] Maynooth Univ, Sch Business, Maynooth, Ireland; [Ren, Shuang] Deakin Business Sch, Melbourne, Australia; [Budhwar, Pawan] Aston Business Sch, Birmingham, England; [Vorobyev, Dmitriy] PRIGO Univ, Havirov, Czech Republic</t>
  </si>
  <si>
    <t>Abu Dhabi University; Deakin University; Aston University; PRIGO University</t>
  </si>
  <si>
    <t>Singh, SK (corresponding author), Maynooth Univ, Sch Business, Maynooth, Ireland.</t>
  </si>
  <si>
    <t>1063826@students.adu.ac.ae; sanjay.singh@mu.ie; shuang.ren@deakin.edu.au; p.s.budhwar@aston.ac.uk; dmitriy.vorobyev@prigo.cz</t>
  </si>
  <si>
    <t>SINGH, SANJAY KUMAR/M-8813-2013; Singh, Srishti/JCO-3741-2023; Singh, Sanjay Prithviraj/IQV-1492-2023; Vorobyev, Dmitriy/A-6975-2018</t>
  </si>
  <si>
    <t>SINGH, SANJAY KUMAR/0000-0001-7651-5009; Singh, Sanjay Prithviraj/0000-0001-5043-8762; Vorobyev, Dmitriy/0000-0002-2230-182X; Ren, Shuang/0000-0002-8768-8447</t>
  </si>
  <si>
    <t>10.1016/j.jbusres.2022.03.038</t>
  </si>
  <si>
    <t>1L3NN</t>
  </si>
  <si>
    <t>WOS:000799198500009</t>
  </si>
  <si>
    <t>Ding, DF; Zhang, RL</t>
  </si>
  <si>
    <t>Ding, Difeng; Zhang, Ruilian</t>
  </si>
  <si>
    <t>China's COVID-19 Control Strategy and Its Impact on the Global Pandemic</t>
  </si>
  <si>
    <t>COVID-19; control strategy; challenges; equity; global pandemic</t>
  </si>
  <si>
    <t>Public health crises are challenging for governments and health systems, and coronavirus disease 2019 (COVID-19) has presented huge challenges to humans worldwide. In the context of COVID-19 in China, we explore China's control strategies and challenges. Our analysis examines seven strategies: digital technology pandemic prevention, zero-case policy, all-staff nucleic acid testing, all-staff vaccinations, the long-term quarantine system, and the official accountability system. Additionally, it considers three challenges: repeated pandemic waves, increased downward pressure on the economy and social exhaustion. We identify the causes of these challenges, including social and natural factors, and the controls put in place. We contend that China's control strategies slowed the spread of the global pandemic and that Chinese vaccines have promoted global vaccine equity.</t>
  </si>
  <si>
    <t>[Ding, Difeng] Hohai Univ, Sch Marxism, Nanjing, Peoples R China; [Zhang, Ruilian] Univ Queensland, Sustainable Minerals Inst, Brisbane, Qld, Australia</t>
  </si>
  <si>
    <t>Hohai University; University of Queensland</t>
  </si>
  <si>
    <t>Zhang, RL (corresponding author), Univ Queensland, Sustainable Minerals Inst, Brisbane, Qld, Australia.</t>
  </si>
  <si>
    <t>ruilian.zhang@uq.edu.au</t>
  </si>
  <si>
    <t>Zhang, Ruilian/N-4087-2017</t>
  </si>
  <si>
    <t>Zhang, Ruilian/0000-0001-5064-1226</t>
  </si>
  <si>
    <t>MAR 14</t>
  </si>
  <si>
    <t>10.3389/fpubh.2022.857003</t>
  </si>
  <si>
    <t>0H1RG</t>
  </si>
  <si>
    <t>WOS:000778515400001</t>
  </si>
  <si>
    <t>Almeida, S; Ramires, A; Marinho, J</t>
  </si>
  <si>
    <t>Almeida, Sofia; Ramires, Ana; Marinho, Joao</t>
  </si>
  <si>
    <t>Hashtags - A Keystone of Instagram in the Hotel Digital Strategy. An Iberian Case Study</t>
  </si>
  <si>
    <t>JOURNAL OF QUALITY ASSURANCE IN HOSPITALITY &amp; TOURISM</t>
  </si>
  <si>
    <t>Hotel sector; digital marketing; social media; instagram; hashtags; Portugal; Spain</t>
  </si>
  <si>
    <t>NETNOGRAPHY</t>
  </si>
  <si>
    <t>One of the ways hoteliers can gain a competitive advantage is by increasing their digital footprint, which includes a hashtag strategy. In fact, hashtags have become an integral part of social networks, but are often not properly implemented in the hotel sector. The purpose of this study is to explore the importance of hashtags as an effective tool for a hotel's online marketing strategy, with a particular focus on Instagram. The objective of this research is to provide an in-depth analysis of the hotel chains' Instagram accounts with the most followers in Portugal and Spain. To such end, ten hotel chains were analyzed in both countries. Desk research was carried out to identify the sample and to consider metrics such as: number of mentions, hashtag reach, likes, comments and followers. The hotel with the most Instagram mentions is the Ushuaia Beach Hotel in Spain and the Six Senses Douro Valley in Portugal. By means of this last example, results showed that the average of likes, and comments increased significantly with the use of hashtags. Therefore, it is possible to ascertain that the use of hashtags increases the engagement of followers with the hotel brand.</t>
  </si>
  <si>
    <t>[Almeida, Sofia] Univ Lisbon, Univ Europeia &amp; Ceg Igot, Fac Social Sci &amp; Technol, Lisbon, Portugal; [Ramires, Ana; Marinho, Joao] Univ Europeia, Fac Social Sci &amp; Technol, Lisbon, Portugal</t>
  </si>
  <si>
    <t>Universidade de Lisboa; Universidade Europeia</t>
  </si>
  <si>
    <t>Almeida, S (corresponding author), Univ Lisbon, Univ Europeia &amp; Ceg Igot, Fac Social Sci &amp; Technol, Lisbon, Portugal.</t>
  </si>
  <si>
    <t>salmeida@universidadeeuropeia.pt</t>
  </si>
  <si>
    <t>Almeida, Sofia/HHC-1576-2022; Ramires, Ana/AAL-9851-2021</t>
  </si>
  <si>
    <t>Almeida, Sofia/0000-0003-4561-6776; Ramires, Ana/0000-0002-3028-0563</t>
  </si>
  <si>
    <t>1528-008X</t>
  </si>
  <si>
    <t>1528-0098</t>
  </si>
  <si>
    <t>J QUAL ASSUR HOSP TO</t>
  </si>
  <si>
    <t>J. Qual. Assur. Hosp. Tour.</t>
  </si>
  <si>
    <t>10.1080/1528008X.2022.2050876</t>
  </si>
  <si>
    <t>Hospitality, Leisure, Sport &amp; Tourism</t>
  </si>
  <si>
    <t>E1TP7</t>
  </si>
  <si>
    <t>WOS:000767649100001</t>
  </si>
  <si>
    <t>Lane, J; Côté, LP; Gaudreault, J; Massicotte, L; Manceau, LM; Labelle, R; Bardon, C; Bazinet, J; Rassy, J; Rembert, M</t>
  </si>
  <si>
    <t>Lane, Julie; Cote, Louis-Philippe; Gaudreault, Jerome; Massicotte, Luc; Manceau, Luiza Maria; Labelle, Real; Bardon, Cecile; Bazinet, Jeanne; Rassy, Jessica; Rembert, Melanie</t>
  </si>
  <si>
    <t>The Development Process of the New Quebec Digital Suicide Prevention Strategy: Suicide.ca</t>
  </si>
  <si>
    <t>SANTE MENTALE AU QUEBEC</t>
  </si>
  <si>
    <t>French</t>
  </si>
  <si>
    <t>suicide prevention; digital strategy; digital technology; digital services; e-mental health; implementation science</t>
  </si>
  <si>
    <t>KNOWLEDGE TRANSLATION; SCIENCE</t>
  </si>
  <si>
    <t>In Quebec, nearly 3 persons still take their own lives every day, even though this number has been declining since 2000. Several institutional and community actors are involved in suicide prevention and several initiatives have contributed to the reduction of suicide rates. Despite this hard work, additional efforts are needed to intensify service offers and resource access to better reach people at risk of suicide not reached by actual services. For many years, several countries have been implementing digital technologies to reach them. In Quebec, there were delays in adoption of digital technologies for suicide prevention. In this context, the Health and Social services Ministry mandated Association quebecoise de prevention du suicide (AQPS) to develop a Digital Strategy for Suicide Prevention (DSPS). From the beginning, AQPS wanted to anchor DSPS's development in a decision-making process based on scientific, contextual and experiential evidence. A process, derived from implementation science, was therefore put in place to actualize this intent. Implementation science is defined as the science of implementing programs in real-world settings. It is recognized as contributing to the successful implementation of new programs while promoting a rigorous evaluation of their impacts and outcomes. Objectives This article aims to: 1) present the process that was put in place to facilitate DSPS design, implementation, and evaluation; and 2) describe the DSPS action model and the DSPS. Method The Knowledge to Action (KTA) framework is central to the design, implementation, and evaluation of DSPS. This framework proposes a cyclical process in 7 iterative phases, each with its own methodological aspects and data collections Results The results section illustrates the concrete actions taken at each phase of the KTA process and the highlights that emerge from the analysis of the data collected. This section also presents the DSPS. Conclusion Optimal conditions to promote the implementation of DSPS, its use and its sustainability have been put in place. The current implementation and evaluation of this implementation and its impacts will allow to assess the capacity of DSPS to achieve its main objectives: to provide information about suicide, to identify suicidal individuals, to increase the visibility of resources, and to offer help to suicidal individuals who respond less to traditional resources.</t>
  </si>
  <si>
    <t>[Lane, Julie] Univ Sherbrooke, Dept Etud Adaptat Scolaire &amp; Sociale, Sherbrooke, PQ, Canada; [Lane, Julie] Univ Sherbrooke, Ctr RBC Expertise Univ Sante Mentale, Sherbrooke, PQ, Canada; [Cote, Louis-Philippe; Labelle, Real; Bardon, Cecile] Univ Quebec Montreal, Dept Psychol, Montreal, PQ, Canada; [Gaudreault, Jerome; Massicotte, Luc; Rembert, Melanie] Assoc Quebecoise Prevent Suicide, Quebec City, PQ, Canada; [Manceau, Luiza Maria] Univ Sherbrooke, Sherbrooke, PQ, Canada; [Labelle, Real] Univ Quebec Montreal, Ctr Serv Psychol, Montreal, PQ, Canada; [Bazinet, Jeanne] CIUSSS Estrie CHUS, Inst Univ Premiere Ligne Sante &amp; Serv Sociaux, Montreal, PQ, Canada; [Rassy, Jessica] Univ Sherbrooke, Ecole Sci Infirmieres, Sherbrooke, PQ, Canada</t>
  </si>
  <si>
    <t>University of Sherbrooke; University of Sherbrooke; University of Quebec; University of Quebec Montreal; University of Sherbrooke; University of Quebec; University of Quebec Montreal; University of Sherbrooke</t>
  </si>
  <si>
    <t>Lane, J (corresponding author), Univ Sherbrooke, Dept Etud Adaptat Scolaire &amp; Sociale, Sherbrooke, PQ, Canada.;Lane, J (corresponding author), Univ Sherbrooke, Ctr RBC Expertise Univ Sante Mentale, Sherbrooke, PQ, Canada.</t>
  </si>
  <si>
    <t>REVUE SANTE MENTALE QUEBEC</t>
  </si>
  <si>
    <t>MONTREAL</t>
  </si>
  <si>
    <t>C P 60194, MONTREAL, QC H2J 4E1, CANADA</t>
  </si>
  <si>
    <t>0383-6320</t>
  </si>
  <si>
    <t>1708-3923</t>
  </si>
  <si>
    <t>SANTE MENT QUE</t>
  </si>
  <si>
    <t>Sant. Ment. Que.</t>
  </si>
  <si>
    <t>SPR</t>
  </si>
  <si>
    <t>7K7YQ</t>
  </si>
  <si>
    <t>WOS:000905494300017</t>
  </si>
  <si>
    <t>Rundel, C; Salemink, K</t>
  </si>
  <si>
    <t>Rundel, Christina; Salemink, Koen</t>
  </si>
  <si>
    <t>Hubs, hopes and high stakes for a relatively disadvantaged low tech place</t>
  </si>
  <si>
    <t>LOCAL ECONOMY</t>
  </si>
  <si>
    <t>rural digital hub; digital strategy; place-based approach; rural proofing; hub concept</t>
  </si>
  <si>
    <t>COMMUNITY</t>
  </si>
  <si>
    <t>The transition to a digitally inclusive and knowledge-based rural society can be challenging. Digital hubs are often proposed as a way of overcoming digital exclusion in rural and small-town contexts, yet studies into how to set up such a hub in these challenging contexts are scarce. While hubs are usually associated with an urban environment, this case study deals with the development of a rural digital hub over several years in a small town in East Groningen (NL). In the context of an Interreg project, observations during project meetings, in-depth interviews and document analysis were conducted to closely monitor the hub's development process. Initially, the hub initiators aimed at stimulating business activities and innovation linked to digital technologies. Thereby, an originally urban digital hub concept was copied into a rural context without a rural translation. Along the way, they were forced to adapt and scale down the scope of the project while at the same time, a broader target group had to be formulated. Moreover, the municipality lacked an overarching digital strategy, which compromised demand aggregation and supply synchronisation - two essential ingredients for rural digital hubs.</t>
  </si>
  <si>
    <t>[Rundel, Christina; Salemink, Koen] Univ Groningen, Dept Cultural Geog, POB 800, NL-9700 AV Groningen, Netherlands</t>
  </si>
  <si>
    <t>University of Groningen</t>
  </si>
  <si>
    <t>Rundel, C (corresponding author), Univ Groningen, Dept Cultural Geog, POB 800, NL-9700 AV Groningen, Netherlands.</t>
  </si>
  <si>
    <t>c.t.rundel@rug.nl</t>
  </si>
  <si>
    <t>Salemink, Koen/0000-0002-9331-7343; Rundel, Christina/0000-0002-3687-9198</t>
  </si>
  <si>
    <t>EU Interreg VB North Sea Region Programme (CORA project); EU Interreg VB North Sea Region Programme (COM3 project)</t>
  </si>
  <si>
    <t>EU Interreg VB North Sea Region Programme (CORA project)(Interreg Europe); EU Interreg VB North Sea Region Programme (COM3 project)(Interreg Europe)</t>
  </si>
  <si>
    <t>The author(s) disclosed receipt of the following financial support for the research, authorship, and/or publication of this article: This research would not have been possible without the funding we received from the EU Interreg VB North Sea Region Programme (CORA and COM3 project).</t>
  </si>
  <si>
    <t>0269-0942</t>
  </si>
  <si>
    <t>1470-9325</t>
  </si>
  <si>
    <t>LOCAL ECON</t>
  </si>
  <si>
    <t>Local Econ.</t>
  </si>
  <si>
    <t>10.1177/02690942221077120</t>
  </si>
  <si>
    <t>FEB 2022</t>
  </si>
  <si>
    <t>1N7XQ</t>
  </si>
  <si>
    <t>WOS:000759655500001</t>
  </si>
  <si>
    <t>Jain, B; Bajaj, SS; Stanford, FC</t>
  </si>
  <si>
    <t>Jain, Bhav; Bajaj, Simar S.; Stanford, Fatima Cody</t>
  </si>
  <si>
    <t>Randomized clinical trials of weight loss: Pragmatic and digital strategies and innovations</t>
  </si>
  <si>
    <t>CONTEMPORARY CLINICAL TRIALS</t>
  </si>
  <si>
    <t>Digital trials; Weight loss trials; Remote clinical trials</t>
  </si>
  <si>
    <t>During the COVID-19 pandemic, digital strategies and decentralized approaches allowed for the continuation of weight loss clinical trials despite in-person engagement coming to a halt. In particular, trials leveraged remote mediums to measure data in real-time across a broad array of metrics while testing novel strategies to streamline patient care. Such approaches may address longstanding challenges with traditional trials, including attrition and underrepresentation of racial and ethnic minorities. Ultimately, emerging data from trials utilizing both digital and in-person strategies may indicate the promise of a hybrid approach in incorporating a robust virtual component for continuous patient monitoring and an in-person component for patient adherence and data standardization. In this commentary, we provide an overview of the most innovative digital approaches in clinical trials of weight loss during the COVID-19 era, as well as identify opportunities and challenges for these modes of research going forward.</t>
  </si>
  <si>
    <t>[Jain, Bhav] MIT, 77 Massachusetts Ave, Cambridge, MA 02139 USA; [Bajaj, Simar S.] Harvard Univ, Cambridge, MA 02138 USA; [Stanford, Fatima Cody] Massachusetts Gen Hosp, Dept Med, Neuroendocrine Unit, Boston, MA USA; [Stanford, Fatima Cody] Harvard Med Sch, Boston, MA 02115 USA; [Stanford, Fatima Cody] Nutr Obes Res Ctr Harvard NORCH, Dept Pediat, Div Endocrinol, 50 Staniford St, Boston, MA 02114 USA</t>
  </si>
  <si>
    <t>Massachusetts Institute of Technology (MIT); Harvard University; Harvard University; Massachusetts General Hospital; Harvard University; Harvard Medical School</t>
  </si>
  <si>
    <t>Stanford, FC (corresponding author), Weight Ctr, 4th Floor,50 Staniford St, Boston, MA 02114 USA.</t>
  </si>
  <si>
    <t>fstanford@mgh.harvard.edu</t>
  </si>
  <si>
    <t>Stanford, Fatima Cody/H-3953-2019; Jain, Bhav/HLW-2803-2023</t>
  </si>
  <si>
    <t>Stanford, Fatima Cody/0000-0003-4616-533X; Jain, Bhav/0000-0003-2648-4894; Bajaj, Simar/0000-0002-8498-9674</t>
  </si>
  <si>
    <t>NIH NIDDK [P30 DK040561]</t>
  </si>
  <si>
    <t>NIH NIDDK(United States Department of Health &amp; Human ServicesNational Institutes of Health (NIH) - USANIH National Institute of Diabetes &amp; Digestive &amp; Kidney Diseases (NIDDK))</t>
  </si>
  <si>
    <t>NIH NIDDK P30 DK040561 (FCS).</t>
  </si>
  <si>
    <t>1551-7144</t>
  </si>
  <si>
    <t>1559-2030</t>
  </si>
  <si>
    <t>CONTEMP CLIN TRIALS</t>
  </si>
  <si>
    <t>Contemp. Clin. Trials</t>
  </si>
  <si>
    <t>10.1016/j.cct.2022.106687</t>
  </si>
  <si>
    <t>Medicine, Research &amp; Experimental; Pharmacology &amp; Pharmacy</t>
  </si>
  <si>
    <t>Research &amp; Experimental Medicine; Pharmacology &amp; Pharmacy</t>
  </si>
  <si>
    <t>2Q2IR</t>
  </si>
  <si>
    <t>WOS:000820252100006</t>
  </si>
  <si>
    <t>Gebretekle, YT; Kamau, DW; Raoufi, M; Fayek, AR</t>
  </si>
  <si>
    <t>Gebretekle, Yisshak Tadesse; Kamau, Daniel Waweru; Raoufi, Mohammad; Fayek, Aminah Robinson</t>
  </si>
  <si>
    <t>Digitalization Opportunities Road Mapping Tool (DORMT©): A framework to assess digitalization opportunities in construction organizations</t>
  </si>
  <si>
    <t>CANADIAN JOURNAL OF CIVIL ENGINEERING</t>
  </si>
  <si>
    <t>fuzzy logic; fuzzy arithmetic; construction; linguistic evaluation; digitalization</t>
  </si>
  <si>
    <t>LINGUISTIC REPRESENTATION MODEL; FUZZY</t>
  </si>
  <si>
    <t>The construction industry is entering the digital age, which offers innovative digitalization opportunities (DOs) regarding cost efficiency, project management, and improved client experience. In their early efforts to implement DOs, construction organizations have had varying degrees of success, and the results prompted organizations to question whether they have the appropriate digital strategy and capabilities. Hence, construction organizations need a framework to systematically evaluate the potential benefits of implementing DOs and factors influencing their successful implementation. This paper presents a framework that supports decision makers in construction organizations to assess DOs based on experts' judgement of the factors influencing their successful implementation. The framework incorporates fuzzy arithmetic and linguistic evaluation to capture experts' subjective assessments and is implemented in the Digitalization Opportunities Road Mapping Tool (DORMT (c)). DORMT (c), which allows organizations to evaluate individual DOs, rank multiple DOs, and identify the best options for implementing digitalization within their organization.</t>
  </si>
  <si>
    <t>[Gebretekle, Yisshak Tadesse] Univ Alberta, Sch Construct Engn, Dept Civil &amp; Environm Engn, CNRL Nat Resources Engn Facil, 1-051 Markin, Edmonton, AB T6G 2W2, Canada; [Kamau, Daniel Waweru] Univ Alberta, Sch Construct Engn, Dept Civil &amp; Environm Engn, CNRL Nat Resources Engn Facil, 1-048 Markin, Edmonton, AB T6G 2W2, Canada; [Kamau, Daniel Waweru] Univ Alberta, Alberta Sch Business, CNRL Nat Resources Engn Facil, 1-048 Markin, Edmonton, AB T6G 2W2, Canada; [Raoufi, Mohammad] Univ Alberta, Dept Civil &amp; Environm Engn, 7-203 Donadeo Innovat Ctr Engn,9211 116 St NW, Edmonton, AB T6G 1H9, Canada; [Fayek, Aminah Robinson] Univ Alberta, Sch Construct Engn, Dept Civil &amp; Environm Engn, 7-203 Donadeo Innovat Ctr Engn,9211 116 St NW, Edmonton, AB T6G 1H9, Canada</t>
  </si>
  <si>
    <t>University of Alberta; University of Alberta; University of Alberta; University of Alberta; University of Alberta</t>
  </si>
  <si>
    <t>Fayek, AR (corresponding author), Univ Alberta, Sch Construct Engn, Dept Civil &amp; Environm Engn, 7-203 Donadeo Innovat Ctr Engn,9211 116 St NW, Edmonton, AB T6G 1H9, Canada.</t>
  </si>
  <si>
    <t>aminah.robinson@ualberta.ca</t>
  </si>
  <si>
    <t>Natural Sciences and Engineering Research Council of Canada Industrial Research Chair in Strategic Construction Modeling and Delivery [NSERC IRCPJ 428226-15]</t>
  </si>
  <si>
    <t>Natural Sciences and Engineering Research Council of Canada Industrial Research Chair in Strategic Construction Modeling and Delivery(Natural Sciences and Engineering Research Council of Canada (NSERC))</t>
  </si>
  <si>
    <t>This research is funded by the Natural Sciences and Engineering Research Council of Canada Industrial Research Chair in Strategic Construction Modeling and Delivery (NSERC IRCPJ 428226-15), which is held by Dr. Aminah Robinson Fayek.</t>
  </si>
  <si>
    <t>CANADIAN SCIENCE PUBLISHING</t>
  </si>
  <si>
    <t>OTTAWA</t>
  </si>
  <si>
    <t>65 AURIGA DR, SUITE 203, OTTAWA, ON K2E 7W6, CANADA</t>
  </si>
  <si>
    <t>0315-1468</t>
  </si>
  <si>
    <t>1208-6029</t>
  </si>
  <si>
    <t>CAN J CIVIL ENG</t>
  </si>
  <si>
    <t>Can. J. Civ. Eng.</t>
  </si>
  <si>
    <t>10.1139/cjce-2020-0762</t>
  </si>
  <si>
    <t>YR3TB</t>
  </si>
  <si>
    <t>WOS:000749915700004</t>
  </si>
  <si>
    <t>Gull, H; Saeed, S; Iqbal, SZ; Bamarouf, YA; Alqahtani, MA; Alabbad, DA; Saqib, M; Al Qahtani, SH; Alamer, A</t>
  </si>
  <si>
    <t>Gull, Hina; Saeed, Saqib; Iqbal, Sardar Zafar; Bamarouf, Yasser A.; Alqahtani, Mohammed A.; Alabbad, Dina A.; Saqib, Madeeha; Al Qahtani, Saeed Hussein; Alamer, Albandary</t>
  </si>
  <si>
    <t>An Empirical Study of Mobile Commerce and Customers Security Perception in Saudi Arabia</t>
  </si>
  <si>
    <t>ELECTRONICS</t>
  </si>
  <si>
    <t>mobile commerce; security; digital strategy; digital transformation; user security</t>
  </si>
  <si>
    <t>USABILITY EVALUATION; PRIVACY; ADOPTION; AUTHENTICATION; CONSUMERS; SEM</t>
  </si>
  <si>
    <t>Digital transformation of businesses has seen tremendous growth recently, moreover, COVID-19 has increased online shopping. However, it is important for businesses that customers' online shopping experience is secure and joyful. In this paper, customers' security perception regarding some leading mobile commerce applications in Saudi Arabia is explored. Our survey questions focused on three aspects, namely: Consumer rating, trustworthiness, and credit card security. The results highlight that consumers perceive that mobile commerce applications in Saudi Arabia need further improvement in security. In this work, a model to improve customers' security perception in Saudi Arabia is presented. This model can be generalized to other geographical regions as well. The model outlines different actions for practitioners and policymakers that help in improving security infrastructure, authentication mechanisms, and trustworthiness.</t>
  </si>
  <si>
    <t>[Gull, Hina; Iqbal, Sardar Zafar; Bamarouf, Yasser A.; Alqahtani, Mohammed A.; Saqib, Madeeha; Al Qahtani, Saeed Hussein; Alamer, Albandary] Imam Abdulrahman Bin Faisal Univ, Coll Comp Sci &amp; Informat Technol, Dept Comp Informat Syst, POB 1982, Dammam 31441, Saudi Arabia; [Saeed, Saqib] Imam Abdulrahman Bin Faisal Univ, Coll Comp Sci &amp; Informat Technol, Dept Comp Informat Syst, Saudi Aramco Cybersecur Chair, POB 1982, Dammam 31441, Saudi Arabia; [Alabbad, Dina A.] Imam Abdulrahman Bin Faisal Univ, Coll Comp Sci &amp; Informat Technol, Dept Comp Engn, POB 1982, Dammam 31441, Saudi Arabia</t>
  </si>
  <si>
    <t>Imam Abdulrahman Bin Faisal University; Imam Abdulrahman Bin Faisal University; Imam Abdulrahman Bin Faisal University</t>
  </si>
  <si>
    <t>Saqib, M (corresponding author), Imam Abdulrahman Bin Faisal Univ, Coll Comp Sci &amp; Informat Technol, Dept Comp Informat Syst, POB 1982, Dammam 31441, Saudi Arabia.</t>
  </si>
  <si>
    <t>hgull@iau.edu.sa; sbsaed@iau.edu.sa; saiqbal@iau.edu.sa; yabamarouf@iau.edu.sa; maqhtani@iau.edu.sa; daalabbad@iau.edu.sa; mssaeed@iau.edu.sa; shaqahtani@iau.edu.sa; amalamer@iau.edu.sa</t>
  </si>
  <si>
    <t>Alamer, Albandary/GYA-4905-2022; Saeed, Saqib/E-4381-2014; Alabbad, Dina/GYU-5534-2022; Saqib, Madeeha/GYA-2663-2022</t>
  </si>
  <si>
    <t>Alamer, Albandary/0000-0002-5994-2321; Saeed, Saqib/0000-0001-7136-3480; Alabbad, Dina/0000-0001-7624-8924; Saqib, Madeeha/0000-0003-4856-8095; Gull, Hina/0000-0002-6685-5189; Al Qahtani, Saeed Hussein/0000-0002-7424-6420; Alqahtani, Dr. Mohammed/0000-0002-5158-3344</t>
  </si>
  <si>
    <t>2079-9292</t>
  </si>
  <si>
    <t>ELECTRONICS-SWITZ</t>
  </si>
  <si>
    <t>Electronics</t>
  </si>
  <si>
    <t>10.3390/electronics11030293</t>
  </si>
  <si>
    <t>Computer Science, Information Systems; Engineering, Electrical &amp; Electronic; Physics, Applied</t>
  </si>
  <si>
    <t>Computer Science; Engineering; Physics</t>
  </si>
  <si>
    <t>ZA2UI</t>
  </si>
  <si>
    <t>WOS:000756024500001</t>
  </si>
  <si>
    <t>Martin, NM; Barnett, DJ; Poirier, L; Sundermeir, SM; Reznar, MM; Gittelsohn, J</t>
  </si>
  <si>
    <t>Martin, Nina M.; Barnett, Daniel J.; Poirier, Lisa; Sundermeir, Samantha M.; Reznar, Melissa M.; Gittelsohn, Joel</t>
  </si>
  <si>
    <t>Moving Food Assistance into the Digital Age: A Scoping Review</t>
  </si>
  <si>
    <t>food security; food assistance; digital applications; digital technology; digital health</t>
  </si>
  <si>
    <t>ONLINE SOCIAL NETWORKS; STRATEGIES; INTERVENTIONS; INFORMATION; TECHNOLOGY; INSECURITY; BEHAVIORS; WEIGHT; APP</t>
  </si>
  <si>
    <t>One of the most basic needs globally, food assistance refers to the multitude of programs, both governmental and non-governmental, to improve food access and consumption by food-insecure individuals and families. Despite the importance of digital and mobile Health (mHealth) strategies in food insecurity contexts, little is known about their specific use in food assistance programs. Therefore, the purpose of this study was to address that gap by conducting a scoping review of the literature. Keywords were defined within the concepts of food assistance and digital technology. The search included relevant peer-reviewed and grey literature from 2011 to 2021. Excluded articles related to agriculture and non-digital strategies. PRISMA guidelines were followed to perform a partnered, two-round scoping literature review. The final synthesis included 39 studies of which most (84.6%) were from the last five years and United States-based (93.2%). The top three types of articles or studies included text and opinion, qualitative research, and website, application, or model development (17.9%). The top three types of digital tools were websites (56.4%), smartphone applications (20.5%), and chatbots (5.1%). Nineteen digital features were identified as desirable. Most tools included just one or two features. The most popular feature to include was online shopping (n = 14), followed by inventory management, and client tracking. Digital tools for individual food assistance represent an opportunity for equitable and stable access to programs that can enhance or replace in-person services. While this review identified 39 tools, all are in early development and/or implementation stages. Review findings highlight an overall lack of these tools, an absence of user-centered design in their development, and a critical need for research on their effectiveness globally. Further analysis and testing of current digital tool usage and interventions examining the health and food security impacts of such tools should be explored in future studies, including in the context of pandemics, where digital tools allow for help from a distance.</t>
  </si>
  <si>
    <t>[Martin, Nina M.; Poirier, Lisa; Sundermeir, Samantha M.; Gittelsohn, Joel] Johns Hopkins Bloomberg Sch Publ Hlth, Dept Int Hlth, Human Nutr Program, Baltimore, MD 21205 USA; [Barnett, Daniel J.] Johns Hopkins Bloomberg Sch Publ Hlth, Dept Environm Hlth &amp; Engn, Baltimore, MD 21205 USA; [Reznar, Melissa M.] Oakland Univ, Sch Hlth Sci, Dept Interdisciplinary Hlth Sci, Rochester, MI 48309 USA</t>
  </si>
  <si>
    <t>Johns Hopkins University; Johns Hopkins Bloomberg School of Public Health; Johns Hopkins University; Johns Hopkins Bloomberg School of Public Health; Oakland University</t>
  </si>
  <si>
    <t>Martin, NM (corresponding author), Johns Hopkins Bloomberg Sch Publ Hlth, Dept Int Hlth, Human Nutr Program, Baltimore, MD 21205 USA.</t>
  </si>
  <si>
    <t>nmarti38@jhu.edu; dbarnet4@jhu.edu; lpoirie4@jhu.edu; srex2@jh.edu; reznar@oakland.edu; jgittel1@jh.edu</t>
  </si>
  <si>
    <t>Reznar, Melissa/AGF-5330-2022</t>
  </si>
  <si>
    <t>Reznar, Melissa/0000-0002-6304-3943; Sundermeir, Samantha/0000-0003-4471-0621; Martin, Nina/0000-0002-3361-7037; Poirier, Lisa/0000-0003-4180-0357; Gittelsohn, Joel/0000-0003-2761-3280</t>
  </si>
  <si>
    <t>Bloomberg American Health Initiative</t>
  </si>
  <si>
    <t>This research was funded by the Bloomberg American Health Initiative.</t>
  </si>
  <si>
    <t>10.3390/ijerph19031328</t>
  </si>
  <si>
    <t>ZA3JX</t>
  </si>
  <si>
    <t>WOS:000756065300001</t>
  </si>
  <si>
    <t>Han, BR; Sun, TS; Chu, LY; Wu, LX</t>
  </si>
  <si>
    <t>Han, Brian Rongqing; Sun, Tianshu; Chu, Leon Yang; Wu, Lixia</t>
  </si>
  <si>
    <t>COVID-19 and E-Commerce Operations: Evidence from Alibaba</t>
  </si>
  <si>
    <t>M&amp;SOM-MANUFACTURING &amp; SERVICE OPERATIONS MANAGEMENT</t>
  </si>
  <si>
    <t>e-commerce; COVID-19; containment measures; digital resilience; logistics</t>
  </si>
  <si>
    <t>SUPPLY CHAIN GLITCHES; IMPACT; MARKETS</t>
  </si>
  <si>
    <t>Problem definition: This paper investigates the impact of COVID-19 on e-commerce sales and the underlying operational driver. Academic/practical relevance: As COVID-19 continues to disrupt offline retail, anecdotal evidence suggests a rapid growth of e-commerce. However, the pandemic may also significantly decrease offline logistics capacity, which in turn decreases e-commerce sales. Then, how does e-commerce respond to COVID-19, and what are the corresponding opportunities and challenges? Methodology: We leverage e-commerce sales data from Alibaba and construct a city-day panel across three years, representing sales for all buyers and sellers on the platform across 339 cities in mainland China. We develop three identification strategies to estimate the overall impact of COVID-19 (based on a year-on-year comparison), the impact of COVID-19 intensity (based on the different number of cases across cities), and the impact of corresponding containment measures (leveraging policy changes of checkpoint, partial shutdown, and complete shutdown measures across cities). Results: We provide two key findings. First, across different identification strategies, we observe a common drop and recovery pattern, which illustrates the digital resilience of e-commerce during the pandemic. For example, we estimate an overall decrease of 22% in e-commerce sales during the period of the Wuhan shutdown (January 23-April 7, 2020). However, it recovers in most cities within five weeks. Second, we identify a key operational driver-logistics capacity-that significantly explains the decline and recovery of e-commerce sales during and after the outbreak. Managerial implications: We provide important evidence on how e-commerce responds to and recovers from COVID-19, contrary to the common perception. The evidence in the recovery phase can also inform platforms and policymakers to design digital strategies and invest in logistics infrastructure.</t>
  </si>
  <si>
    <t>[Han, Brian Rongqing] Univ Illinois, Gies Coll Business, Champaign, IL 61820 USA; [Sun, Tianshu] Univ Southern Calif, Marshall Sch Business, Los Angeles, CA 90089 USA; [Chu, Leon Yang] Cheung Kong Grad Sch Business, Beijing 100006, Peoples R China; [Wu, Lixia] Alibaba Grp Inc, Hangzhou 311121, Peoples R China</t>
  </si>
  <si>
    <t>University of Illinois System; University of Illinois Urbana-Champaign; University of Southern California; Alibaba Group</t>
  </si>
  <si>
    <t>Han, BR (corresponding author), Univ Illinois, Gies Coll Business, Champaign, IL 61820 USA.</t>
  </si>
  <si>
    <t>brianhan@illinois.edu; tianshus@marshall.usc.edu; yzhu@ckgsb.edu.cn; wallace.wulx@cainiao.com</t>
  </si>
  <si>
    <t>Han, Brian/0000-0002-7730-7401</t>
  </si>
  <si>
    <t>INFORMS</t>
  </si>
  <si>
    <t>CATONSVILLE</t>
  </si>
  <si>
    <t>5521 RESEARCH PARK DR, SUITE 200, CATONSVILLE, MD 21228 USA</t>
  </si>
  <si>
    <t>1523-4614</t>
  </si>
  <si>
    <t>1526-5498</t>
  </si>
  <si>
    <t>M&amp;SOM-MANUF SERV OP</t>
  </si>
  <si>
    <t>M&amp;SOM-Manuf. Serv. Oper. Manag.</t>
  </si>
  <si>
    <t>10.1287/msom.2021.1075</t>
  </si>
  <si>
    <t>JAN 2022</t>
  </si>
  <si>
    <t>Management; Operations Research &amp; Management Science</t>
  </si>
  <si>
    <t>Business &amp; Economics; Operations Research &amp; Management Science</t>
  </si>
  <si>
    <t>8N3KE</t>
  </si>
  <si>
    <t>WOS:000748655300001</t>
  </si>
  <si>
    <t>Hu, LL</t>
  </si>
  <si>
    <t>Hu, Lala</t>
  </si>
  <si>
    <t>The PPE industry in Italy during COVID-19: supply chain disruption and the adoption of digital and social media in B2B firms</t>
  </si>
  <si>
    <t>Supply chain; B2B; Social media; Disruption; COVID-19; PPE</t>
  </si>
  <si>
    <t>TRADE FAIRS; BUSINESS; IMPACT; TECHNOLOGY; STRATEGIES; INSIGHTS; SALES; PERFORMANCE; DEPENDENCE; DECISIONS</t>
  </si>
  <si>
    <t>Purpose The purpose of this paper is to analyze how the personal protective equipment (PPE) industry managed supply chain and business relationships disrupted by the COVID-19 pandemic, and the adoption of digital and social media during the period of crisis management. Design/methodology/approach The methodology used is qualitative based on 14 interviews with 11 PPE firms operating in Italy, the first Western country that implemented a national lockdown during the COVID-19 outbreak in 2020. Findings Findings suggest that although most PPE companies in Italy have been slow in implementing digital transformation, digital technologies and communication enhanced existing assets and capabilities creating new customer value during the COVID-19 outbreak. The pandemic has increased the relevance of social media as an effective tool in the business-to-business (B2B) context to provide updated information and training, as well as to reinforce and personalize business relationships, weakened by the lack of physical contacts during the lockdown. Moreover, highly interdependent buyer-supplier relations can increase supply chain resilience to disruptions in mutually dependent relationships/partnerships. Research limitations/implications By analyzing the main issues encountered during the pandemic and the digital strategies adopted by PPE companies, this study seeks to extend B2B literature on supply chain disruption management and digitalization. The limitations refer to the study's generalizability as a limited number of firms are analyzed. Practical implications Implications for B2B companies and policymakers are provided with the extent of managing supply chain disruptions during emergency situations such as COVID-19 pandemic, when collaboration between different actors involved become essential. Originality/value No previous studies have analyzed how PPE firms used digital and social media in managing disruption in supply chain and business relationships. Therefore, the present study contributes to extend the B2B literature by analyzing the related effects during the COVID-19 pandemic.</t>
  </si>
  <si>
    <t>[Hu, Lala] Univ Cattolica Sacro Cuore, Milan, Italy</t>
  </si>
  <si>
    <t>Catholic University of the Sacred Heart</t>
  </si>
  <si>
    <t>Hu, LL (corresponding author), Univ Cattolica Sacro Cuore, Milan, Italy.</t>
  </si>
  <si>
    <t>lala.hu@unicatt.it</t>
  </si>
  <si>
    <t>Hu, Lala/0000-0001-5492-3706</t>
  </si>
  <si>
    <t>OCT 21</t>
  </si>
  <si>
    <t>10.1108/JBIM-01-2021-0005</t>
  </si>
  <si>
    <t>5L3YB</t>
  </si>
  <si>
    <t>WOS:000751085600001</t>
  </si>
  <si>
    <t>Oztig, LI</t>
  </si>
  <si>
    <t>Oztig, Lacin Idil</t>
  </si>
  <si>
    <t>Holocaust museums, Holocaust memorial culture, and individuals: a Constructivist perspective</t>
  </si>
  <si>
    <t>JOURNAL OF MODERN JEWISH STUDIES</t>
  </si>
  <si>
    <t>Holocaust museums; Holocaust memorial culture; individuals; agency; Constructivism</t>
  </si>
  <si>
    <t>SOCIAL CONSTRUCTION; POLITICS</t>
  </si>
  <si>
    <t>There is a rich body of literature examining the contribution of Holocaust museums to the Holocaust memorial culture by focusing on their educative, awareness-raising, and memorializing functions. In this context, ample attention has been devoted to these museums' exhibitions, educatory activities, reenactment practices, digital strategies, as well as their historical and architectural narratives. This article brings a novel perspective to the literature by giving an account of how Holocaust museums act as a medium through which individuals contribute to the Holocaust memorial culture from a Constructivist perspective. It argues that Holocaust museums do not treat individuals as passive recipients of the Holocaust memorial culture, but actors who could exercise agential capacities in relation to the Holocaust memorial culture. This argument is illustrated by case studies of the United States Holocaust Memorial Museum (USHMM), the Berlin Jewish Museum, and the Anne Frank House. It is shown that these museums offer platforms through which individuals actively contribute to the Holocaust memorial culture by encouraging them to conduct and share their Holocaust-related research, donating Holocaust-related objects, and engaging in social activities to diffuse related norms and messages.</t>
  </si>
  <si>
    <t>[Oztig, Lacin Idil] Yildiz Tech Univ, Dept Polit Sci &amp; Int Relat, Istanbul, Turkey</t>
  </si>
  <si>
    <t>Yildiz Technical University</t>
  </si>
  <si>
    <t>Oztig, LI (corresponding author), Yildiz Tech Univ, Dept Polit Sci &amp; Int Relat, Istanbul, Turkey.</t>
  </si>
  <si>
    <t>loztig@yildiz.edu.tr</t>
  </si>
  <si>
    <t>1472-5886</t>
  </si>
  <si>
    <t>1472-5894</t>
  </si>
  <si>
    <t>J MOD JEW STUD</t>
  </si>
  <si>
    <t>J. Mod. Jew. Stud.</t>
  </si>
  <si>
    <t>2022 JAN 21</t>
  </si>
  <si>
    <t>10.1080/14725886.2021.2011607</t>
  </si>
  <si>
    <t>6R0YY</t>
  </si>
  <si>
    <t>WOS:000892035000001</t>
  </si>
  <si>
    <t>Ho, WR; Tsolakis, N; Dawes, T; Dora, M; Kumar, M</t>
  </si>
  <si>
    <t>Ho, Wan Ri; Tsolakis, Naoum; Dawes, Tom; Dora, Manoj; Kumar, Mukesh</t>
  </si>
  <si>
    <t>A Digital Strategy Development Framework for Supply Chains</t>
  </si>
  <si>
    <t>IEEE TRANSACTIONS ON ENGINEERING MANAGEMENT</t>
  </si>
  <si>
    <t>Supply chains; Manufacturing; Companies; Decision making; Robots; Real-time systems; Bibliographies; Digital strategy development; digital supply chain strategy typologies; strategic management; supply chain digitalization criteria; supply chain management</t>
  </si>
  <si>
    <t>INSTITUTION-BASED VIEW; DYNAMIC CAPABILITIES; INDUSTRY 4.0; MANUFACTURING STRATEGY; AGILE; MANAGEMENT; FUTURE; TRANSFORMATION; KNOWLEDGE; COMPANIES</t>
  </si>
  <si>
    <t>Digitalization has provoked rapid changes in the operational landscape, thus requiring prompt decision-making across end-to-end supply chains. Notwithstanding the fact that technology is the epicenter of digital transformation, more often than not, organizations fail to effectively adopt innovative applications, harness their full potential, and realize growth and competitiveness. Therefore, this article argues that a unique strategy formulation process is required to embrace digitalization in manufacturing supply chains. However, within the context of manufacturing networks, strategy formulation approaches are limited. To this end, this article adopts a case study approach to extract tacit knowledge across 12 multinational companies within the theoretical boundaries of corporate strategy development. Research findings and a theoretically derived framework demonstrate that there are three typologies of digital strategy development for manufacturing supply chains, namely: 1) top-down; 2) bottom-up; and 3) mixed. Every identified typology is supplemented with three determinant criteria for digital supply chain strategy formulation, i.e., number of suppliers, market demand, and product types. Noteworthy, the aforementioned strategies are context-dependent. This article contributes to the operations management field by formulating a novel strategy development framework for digital supply chains. The proposed framework, synthesized via strategic management theoretical views and primary evidence, can provide a reference point as companies chart their current and future digital supply chain strategy state.</t>
  </si>
  <si>
    <t>[Ho, Wan Ri; Tsolakis, Naoum; Dawes, Tom; Kumar, Mukesh] Univ Cambridge, Inst Mfg, Dept Engn, Cambridge CB3 0FS, England; [Ho, Wan Ri] Swiss Fed Inst Technol, Dept Management Technol &amp; Econ, CH-8092 Zurich, Switzerland; [Dawes, Tom] Valuechain, Warrington WA4 4FS, Cheshire, England; [Dora, Manoj] Brunel Univ London, Brunel Business Sch, Uxbridge UB8 3PH, Middx, England</t>
  </si>
  <si>
    <t>University of Cambridge; Swiss Federal Institutes of Technology Domain; ETH Zurich; Brunel University</t>
  </si>
  <si>
    <t>Tsolakis, N (corresponding author), Univ Cambridge, Inst Mfg, Dept Engn, Cambridge CB3 0FS, England.</t>
  </si>
  <si>
    <t>who@ethz.ch; nt377@cam.ac.uk; tbd24@cam.ac.uk; manoj.dora@brunel.ac.uk; mk501@cam.ac.uk</t>
  </si>
  <si>
    <t>Kumar, Mukesh/A-9178-2012; N'Dri, Amoin Bernadine/IWD-7811-2023; Tsolakis, Naoum/AAQ-9163-2021</t>
  </si>
  <si>
    <t>Kumar, Mukesh/0000-0002-1961-5078; Tsolakis, Naoum/0000-0003-2042-7047; Dora, Manoj/0000-0003-4730-8144</t>
  </si>
  <si>
    <t>Industrial Resilience Research Group at the University of Cambridge</t>
  </si>
  <si>
    <t>This work was supported by the Industrial Resilience Research Group at the University of Cambridge. Review of this manuscript was arranged by Department Editor F. CEBI. (Corresponding author: Naoum Tsolakis.)</t>
  </si>
  <si>
    <t>0018-9391</t>
  </si>
  <si>
    <t>1558-0040</t>
  </si>
  <si>
    <t>IEEE T ENG MANAGE</t>
  </si>
  <si>
    <t>IEEE Trans. Eng. Manage.</t>
  </si>
  <si>
    <t>10.1109/TEM.2021.3131605</t>
  </si>
  <si>
    <t>Business; Engineering, Industrial; Management</t>
  </si>
  <si>
    <t>Business &amp; Economics; Engineering</t>
  </si>
  <si>
    <t>I6YE0</t>
  </si>
  <si>
    <t>WOS:000750226100001</t>
  </si>
  <si>
    <t>Wu, SH; Tan, Y; Chen, YB; Liang, YT</t>
  </si>
  <si>
    <t>Wu, Shaohui; Tan, Yong; Chen, Yubo; Liang, Yitian (Sky)</t>
  </si>
  <si>
    <t>How Is Mobile User Behavior Different?-A Hidden Markov Model of Cross-Mobile Application Usage Dynamics</t>
  </si>
  <si>
    <t>INFORMATION SYSTEMS RESEARCH</t>
  </si>
  <si>
    <t>econometrics; economics of IS; electronic commerce; mobile computing; mobile Internet</t>
  </si>
  <si>
    <t>INTERNET ADDICTION; TIME; IMPACT; ONLINE; ENVIRONMENT; CONSUMERS; MUSIC; SCENT</t>
  </si>
  <si>
    <t>Mobile application use has become an essential activity in many people's daily lives in the mobile Internet era. Driven by its ubiquity and strong context dependence, Internet companies are in a race of cross-industry expansion to build a seamless ecosystem incorporating various contexts. Amid such trends, a better understanding of cross-app uses and the impact of contexts becomes critical and imperative. Yet, research on cross-app uses in information systems and marketing is scarce. In this paper, we aim to fill this gap. We develop a hidden Markov model to study cross-app uses (choice and duration), capturing their interdependence and the impacts of contextual factors. We calibrate it using a consumer panel that contains real-time app use information. Our key findings are as follows. (1) In addition to the utilitarian and hedonic states behind consumer decisions identified in prior literature, we uncover a novel social state behind mobile user behavior. App use behavior exhibits large differences across three states. (2) Within-state app interdependence is strongest in the hedonic state, followed by the social and utilitarian states. (3) Social state is the most transient (i.e., mostly likely to switch away), followed by the hedonic and utilitarian states. (4) Contextual factors-in particular, location and time of day-influence the state dynamic. Compared with the intrinsic state transition, being at home or on the way (versus office) and in the morning or evening (versus night) leads to higher volatility. We discuss the managerial implications for a variety of mobile digital strategies.</t>
  </si>
  <si>
    <t>[Wu, Shaohui] Harbin Inst Technol, Sch Management, Harbin 150080, Peoples R China; [Wu, Shaohui] Univ Sci &amp; Technol China, Sch Management, Int Inst Finance, Hefei 230026, Peoples R China; [Tan, Yong] Univ Washington, Michael G Foster Sch Business, Seattle, WA 98195 USA; [Chen, Yubo; Liang, Yitian (Sky)] Tsinghua Univ, Sch Econ &amp; Management, Dept Mkt, Beijing 100084, Peoples R China</t>
  </si>
  <si>
    <t>Harbin Institute of Technology; Chinese Academy of Sciences; University of Science &amp; Technology of China, CAS; University of Washington; University of Washington Seattle; Tsinghua University</t>
  </si>
  <si>
    <t>Chen, YB (corresponding author), Tsinghua Univ, Sch Econ &amp; Management, Dept Mkt, Beijing 100084, Peoples R China.</t>
  </si>
  <si>
    <t>wushaohui@hit.edu.cn; ytan@uw.edu; chenyubo@sem.tsinghua.edu.cn; liangyt@sem.tsinghua.edu.cn</t>
  </si>
  <si>
    <t>Chen, Yubo/AFM-3238-2022</t>
  </si>
  <si>
    <t>Chen, Yubo/0000-0002-2322-2349; Liang, Yitian (Sky)/0000-0002-3091-4861</t>
  </si>
  <si>
    <t>National Natural Science Foundation of China [71991461, 71902095, 91746302, 71532006, 71325005]; China Ministry of Education Project for Key Research Institute of Humanities and Social Sciences in Universities [16JJD630006]; Fundamental Research Funds for the Central Universities [WK2040000022]</t>
  </si>
  <si>
    <t>National Natural Science Foundation of China(National Natural Science Foundation of China (NSFC)); China Ministry of Education Project for Key Research Institute of Humanities and Social Sciences in Universities; Fundamental Research Funds for the Central Universities(Fundamental Research Funds for the Central Universities)</t>
  </si>
  <si>
    <t>This work was supported by the National Natural Science Foundation of China [Grants 71991461, 71902095, 91746302, 71532006, and 71325005], the China Ministry of Education Project for Key Research Institute of Humanities and Social Sciences in Universities [Grant 16JJD630006], and the Fundamental Research Funds for the Central Universities [WK2040000022].</t>
  </si>
  <si>
    <t>1047-7047</t>
  </si>
  <si>
    <t>1526-5536</t>
  </si>
  <si>
    <t>INFORM SYST RES</t>
  </si>
  <si>
    <t>Inf. Syst. Res.</t>
  </si>
  <si>
    <t>2022 JAN 20</t>
  </si>
  <si>
    <t>10.1287/isre.2021.1093</t>
  </si>
  <si>
    <t>YP9PZ</t>
  </si>
  <si>
    <t>WOS:000748953200001</t>
  </si>
  <si>
    <t>Scupola, A; Mergel, I</t>
  </si>
  <si>
    <t>Scupola, Ada; Mergel, Ines</t>
  </si>
  <si>
    <t>Co-production in digital transformation of public administration and public value creation: The case of Denmark</t>
  </si>
  <si>
    <t>Digital transformation; Public value; Co-production; Public service delivery; Public administration; Digital strategy; Digital policy</t>
  </si>
  <si>
    <t>MANAGEMENT; GOVERNMENT; IMPACTS</t>
  </si>
  <si>
    <t>Public administrations are investing in the digital transformation of their citizen-oriented services and internal administrative processes. They are using co-production approaches and include different types of stakeholders into these transformative processes to increase service quality and generate public value. In this study, we investigate how these co-production approaches are implemented in both digital strategy formulation and implementation in Denmark. We identify four different types of public value: citizen, economic, administrative and societal public value.</t>
  </si>
  <si>
    <t>[Scupola, Ada] Roskilde Univ, Dept Social Sci &amp; Business, Univ Svej 1, DK-4000 Roskilde, Denmark; [Mergel, Ines] Univ Konstanz, Dept Polit &amp; Publ Adm, Univ Str 10, D-78464 Constance, Germany</t>
  </si>
  <si>
    <t>Roskilde University; University of Konstanz</t>
  </si>
  <si>
    <t>Scupola, A (corresponding author), Roskilde Univ, Dept Social Sci &amp; Business, Univ Svej 1, DK-4000 Roskilde, Denmark.</t>
  </si>
  <si>
    <t>ada@ruc.dk; ines.mergel@uni-konstanz.de</t>
  </si>
  <si>
    <t>Scupola, Ada/0000-0002-3537-7639</t>
  </si>
  <si>
    <t>European Union [770356]</t>
  </si>
  <si>
    <t>This project has received funding from the European Union's Horizon 2020 research and innovation programme under grant agreement No 770356. This publication reflects the views only of the authors, and the Agency cannot be held responsible for any use, which may be made of the information contained therein.</t>
  </si>
  <si>
    <t>10.1016/j.giq.2021.101650</t>
  </si>
  <si>
    <t>YG9BV</t>
  </si>
  <si>
    <t>WOS:000742775400016</t>
  </si>
  <si>
    <t>Ali, Z</t>
  </si>
  <si>
    <t>Ali, Zuraina</t>
  </si>
  <si>
    <t>21ST-CENTURY LEARNING: UNDERSTANDING THE LANGUAGE LEARNING STRATEGIES WITH TECHNOLOGY LITERACY AMONG L2 LEARNERS</t>
  </si>
  <si>
    <t>JOURNAL OF NUSANTARA STUDIES-JONUS</t>
  </si>
  <si>
    <t>21st-century learning; Language Learning Strategies (LLS); technology literacy</t>
  </si>
  <si>
    <t>ENGLISH; ONLINE; SKILLS</t>
  </si>
  <si>
    <t>Background and Purpose: The study concerns investigating the learning of English in the 21st-century when digital learning platforms were used in assigning writing activities to students. Specifically, the use of the media was related to the Language Learning Strategies (LLS), namely metacognitive, cognitive, and social strategies classified by O'Malley et al. (1985) with the learning in the 21st-century. Methodology: The study employed a qualitative research design to collect responses from 72 engineering students studying at a technical university on the East Coast of Malaysia. An open-ended questionnaire was used to collect the responses from the participants and was validated by the researcher's colleague. Reliability was also taken care of in that verbatim reporting was observed in writing the current study's findings. Data were analysed using codes and themes formulated before they were reported. Findings: The study found that students used metacognitive strategies to check their language in the writing tasks. It was evident that Grammarly, Quillbot, and Google translate, to name a few, were used to check their writing. It was also reported that they linked new information to visual concepts in terms of cognitive strategies. Specifically, they used deduction methods to ensure they understood the sentences they composed. For social strategy, digital platforms, namely WhatsApp, Google Meet, and Discord, were among the common platforms used by the students. The study confirmed that the students demonstrated strong technology literacy as they could use multi-digital platforms to complete the writing tasks. Contributions: The study identifies the LLS employed by English as a Second Language (ESL) learners in 21st-century-learning. Also, it contributes to providing techniques that English practitioners can use in their writing classes.</t>
  </si>
  <si>
    <t>[Ali, Zuraina] Univ Malaysia Pahang, Ctr Modern Languages, Pekan 26600, Pahang, Malaysia</t>
  </si>
  <si>
    <t>Universiti Malaysia Pahang Al-Sultan Abdullah (UMPSA)</t>
  </si>
  <si>
    <t>Ali, Z (corresponding author), Univ Malaysia Pahang, Ctr Modern Languages, Pekan 26600, Pahang, Malaysia.</t>
  </si>
  <si>
    <t>zuraina@ump.edu.my</t>
  </si>
  <si>
    <t>ali, zuraina/L-3331-2016</t>
  </si>
  <si>
    <t>ali, zuraina/0000-0002-1527-6320</t>
  </si>
  <si>
    <t>UNIV SULTAN ZAINAL ABIDIN</t>
  </si>
  <si>
    <t>TERENGGANU DARUL IMAN</t>
  </si>
  <si>
    <t>21300 KUALA NERUS, TERENGGANU DARUL IMAN, 00000, MALAYSIA</t>
  </si>
  <si>
    <t>0127-9319</t>
  </si>
  <si>
    <t>0127-9386</t>
  </si>
  <si>
    <t>J NUSANT STUD-JONUS</t>
  </si>
  <si>
    <t>J. Nusant. Stud.-JONUS</t>
  </si>
  <si>
    <t>10.24200/jonus.vol7iss2pp202-220</t>
  </si>
  <si>
    <t>2X5EK</t>
  </si>
  <si>
    <t>WOS:000825226800011</t>
  </si>
  <si>
    <t>Baslyman, M</t>
  </si>
  <si>
    <t>Baslyman, Malak</t>
  </si>
  <si>
    <t>Digital Transformation From the Industry Perspective: Definitions, Goals, Conceptual Model, and Processes</t>
  </si>
  <si>
    <t>Industries; Digital transformation; Data models; Companies; Interviews; Technological innovation; Transforms; Digital transformation; digital strategy; business mode; conceptual model; industry; digital transformation process; digital transformation goals</t>
  </si>
  <si>
    <t>PROCESS INTEGRATION; BIG DATA</t>
  </si>
  <si>
    <t>Digital transformation (DT) is a unique transformation that organizations undergo, as it depends on understanding the role of data and available technologies, which bring drastic changes to an organization's structure and capabilities. Studies discussing DT concepts, frameworks, and tools are increasing rapidly. However, few studies empirically present the industrial understanding and practices of the DT process and how to successfully implement DT. In this study, I interviewed nine senior DT leaders to provide a holistic and comprehensive understanding of DT in practice. The DT leaders provided definitions of DT, its core goals and motivations, its concepts and relationships, and its implementation processes. Through analyzing the leaders' responses, an empirically driven definition of DT and its goals are presented. In addition, the study provides a conceptual model that depicts the basic entities in the DT context and their relationships. Finally, it provides a comprehensive representation of phases and processes through which organizations, that have already implemented DT successfully in some of their business units, undergo.</t>
  </si>
  <si>
    <t>[Baslyman, Malak] King Fahd Univ Petr &amp; Minerals, Dept Informat &amp; Comp Sci, Dhahran 31261, Saudi Arabia</t>
  </si>
  <si>
    <t>King Fahd University of Petroleum &amp; Minerals</t>
  </si>
  <si>
    <t>Baslyman, M (corresponding author), King Fahd Univ Petr &amp; Minerals, Dept Informat &amp; Comp Sci, Dhahran 31261, Saudi Arabia.</t>
  </si>
  <si>
    <t>malak.baslyman@kfupm.edu.sa</t>
  </si>
  <si>
    <t>Baslyman, Malak/0000-0003-4002-4480</t>
  </si>
  <si>
    <t>Deanship of Scienti~c Research, King Fahd University of Petroleum and Minerals [SR191012]</t>
  </si>
  <si>
    <t>Deanship of Scienti~c Research, King Fahd University of Petroleum and Minerals</t>
  </si>
  <si>
    <t>This work was supported by the Deanship of Scienti~c Research, King Fahd University of Petroleum and Minerals, under Grant SR191012.</t>
  </si>
  <si>
    <t>10.1109/ACCESS.2022.3166937</t>
  </si>
  <si>
    <t>0W4GM</t>
  </si>
  <si>
    <t>WOS:000788987300001</t>
  </si>
  <si>
    <t>Bourcheix-Laporte, M</t>
  </si>
  <si>
    <t>Beauregard, D; Paquette, J</t>
  </si>
  <si>
    <t>Bourcheix-Laporte, Mariane</t>
  </si>
  <si>
    <t>Digital cultural industrialism and the arts A critical look at Creative Canada and the Canada Council for the Arts' Digital Strategy Fund</t>
  </si>
  <si>
    <t>CANADIAN CULTURAL POLICY IN TRANSITION</t>
  </si>
  <si>
    <t>Routledge Studies in Media and Cultural Industries</t>
  </si>
  <si>
    <t>Article; Book Chapter</t>
  </si>
  <si>
    <t>[Bourcheix-Laporte, Mariane] Simon Fraser Univ, Sch Commun, Vancouver, BC, Canada</t>
  </si>
  <si>
    <t>Simon Fraser University</t>
  </si>
  <si>
    <t>Bourcheix-Laporte, M (corresponding author), Simon Fraser Univ, Sch Commun, Vancouver, BC, Canada.</t>
  </si>
  <si>
    <t>ROUTLEDGE</t>
  </si>
  <si>
    <t>2 PARK SQ, MILTON PARK, ABINGDON OX14 4RN, OXFORD, ENGLAND</t>
  </si>
  <si>
    <t>978-0-367-68061-9; 978-1-00-313402-2; 978-0-367-68059-6</t>
  </si>
  <si>
    <t>ROU S MEDIA CULT IND</t>
  </si>
  <si>
    <t>10.4324/9781003134022-16</t>
  </si>
  <si>
    <t>10.4324/9781003134022</t>
  </si>
  <si>
    <t>Humanities, Multidisciplinary; Cultural Studies; Public Administration</t>
  </si>
  <si>
    <t>Book Citation Index – Social Sciences &amp; Humanities (BKCI-SSH)</t>
  </si>
  <si>
    <t>Arts &amp; Humanities - Other Topics; Cultural Studies; Public Administration</t>
  </si>
  <si>
    <t>BT5GJ</t>
  </si>
  <si>
    <t>WOS:000836414000014</t>
  </si>
  <si>
    <t>Mata, CC</t>
  </si>
  <si>
    <t>Castrejon Mata, Carmen</t>
  </si>
  <si>
    <t>Impact of COVID-19 on the consumption of local brands in Guanajuato: an analysis from the population distribution</t>
  </si>
  <si>
    <t>CIMEXUS</t>
  </si>
  <si>
    <t>COVID-19; marketing; local brands; entrepreneurs, and digital strategies</t>
  </si>
  <si>
    <t>The present work shows the consumption of local brands derived from the impact generated by COVID-19, with the objective of identifying the increase in the purchase of local brands over national and global ones. The research had a quantitative, descriptive and cross-sectional approach, it was carried out a little more than a year after the beginning of the pandemic in Mexico, in the period of June-July 2021, in order to see more clearly and objective the effects generated by it in the consumption of local brands. An instrument was developed that was applied as a pilot test before the final instrument and later 268 instruments were applied on various digital platforms to people such as the analysis units that allowed us to identify their consumption of local brands in the different municipalities of the state of Guanajuato., Mexico; a considerable increase in the consumption of these brands was identified. Important data was obtained regarding the consumer profiles of local brands in the particular case of the genre that most consumed local brands. The study is intended to be carried out with the purpose of identifying the social behaviors of consumers with respect to an external element such as the COVID-19 virus, which transformed the consumption habits themselves in the various local, national and international markets, causing a transformation unprecedented global economy. Marketing from its own conception becomes important from the point of view of identifying social needs and developing products and services that satisfy them, it does not create needs, it identifies them derived from and influenced by these needs of social and cultural psychological factors that lead the consumer to take your purchasing decisions.</t>
  </si>
  <si>
    <t>[Castrejon Mata, Carmen] Univ Autonoma Guanajuato, Guanajuato, Mexico</t>
  </si>
  <si>
    <t>Mata, CC (corresponding author), Univ Autonoma Guanajuato, Guanajuato, Mexico.</t>
  </si>
  <si>
    <t>carsais@hotmail.com</t>
  </si>
  <si>
    <t>UNIV MICHOACANA SAN NICOLAS HIDALGO, INST INVESTIGACIONES HISTORICAS</t>
  </si>
  <si>
    <t>MICHOACAN</t>
  </si>
  <si>
    <t>BENEDICTO LOPEZ 122, COLONIA VENTURA PUENTE, AP 46-A, MICHOACAN, MORELIA CP 58020, MEXICO</t>
  </si>
  <si>
    <t>1870-6479</t>
  </si>
  <si>
    <t>2007-9206</t>
  </si>
  <si>
    <t>Cimexus</t>
  </si>
  <si>
    <t>JAN-JUN</t>
  </si>
  <si>
    <t>10.33110/cimexus170109</t>
  </si>
  <si>
    <t>2F7HY</t>
  </si>
  <si>
    <t>WOS:000813078300006</t>
  </si>
  <si>
    <t>Evans, JM; Baym, NK</t>
  </si>
  <si>
    <t>Evans, Jabari M.; Baym, Nancy K.</t>
  </si>
  <si>
    <t>The Audacity of Clout (Chasing): Digital Strategies of Black Youth in Chicago DIY Hip-Hop</t>
  </si>
  <si>
    <t>INTERNATIONAL JOURNAL OF COMMUNICATION</t>
  </si>
  <si>
    <t>hip-hop; social media; media literacy; visibility labor; microcelebrity; platformed creation</t>
  </si>
  <si>
    <t>SOCIAL MEDIA; MUSIC; RAP; INSTAGRAM; CULTURE; CAREERS; BRANDS; LABOR</t>
  </si>
  <si>
    <t>Though many scholars have theorized about the communication of Black youth in digital spaces, academic work has generally not sought artist perspectives of how their platformed creation might be connected to relational labor. Using observations and interviews with artists, artist managers, and entrepreneurs, we examine relational practices of hip- hop youth on social media. We describe their work on social media toward acquiring clout-a digital form of influence self-described by emerging musicians as allowing them to leverage digital tools in building social and professional status, amplify authenticity, cultivate connections with fans, and connect with friends and other cultural producers. In this study, we detail examples of three relational strategies that our respondents used to acquire clout: (a) corralling (b) capping, and (c) cosigning. To conclude, we argue that Chicago's hip-hop scene provides an example of why formal institutions and researchers need to rethink how race, class, gender, and geography influence the digital interactions of young people and how their social practices add to the understanding of the counterpublics arising from globalizing social media.</t>
  </si>
  <si>
    <t>[Evans, Jabari M.] Univ South Carolina, Columbia, SC 29208 USA; [Baym, Nancy K.] Microsoft Res, Redmond, WA USA</t>
  </si>
  <si>
    <t>University of South Carolina System; University of South Carolina Columbia; Microsoft</t>
  </si>
  <si>
    <t>Evans, JM (corresponding author), Univ South Carolina, Columbia, SC 29208 USA.</t>
  </si>
  <si>
    <t>JE27@mailbox.sc.edu; baym@microsoft.com</t>
  </si>
  <si>
    <t>USC ANNENBERG PRESS</t>
  </si>
  <si>
    <t>LOS ANGELES</t>
  </si>
  <si>
    <t>UNIV SOUTHERN CALIFORNIA, KERCKHOFF HALL, 734 W ADAMS BLVD, MC7725, LOS ANGELES, CA 90089 USA</t>
  </si>
  <si>
    <t>1932-8036</t>
  </si>
  <si>
    <t>INT J COMMUN-US</t>
  </si>
  <si>
    <t>Int. J. Commun.</t>
  </si>
  <si>
    <t>T7KQ9</t>
  </si>
  <si>
    <t>WOS:001079739800002</t>
  </si>
  <si>
    <t>Gault, J; Cuevas, JA</t>
  </si>
  <si>
    <t>Gault, Jimmy; Cuevas, Joshua A.</t>
  </si>
  <si>
    <t>Uses of Blended Learning and its Impact in a High School Social Studies Classroom</t>
  </si>
  <si>
    <t>INTERNATIONAL JOURNAL OF TECHNOLOGY IN EDUCATION</t>
  </si>
  <si>
    <t>Blended learning; Digital learning; Instructional technology; Social studies; Student perceptions</t>
  </si>
  <si>
    <t>STUDENTS; VIEWS</t>
  </si>
  <si>
    <t>As society becomes more technologically advanced, digital instructional strategies continue to emerge. Students are becoming more involved with technology, and schools must supply students with more tools to succeed in an increasingly technology-based world. This study examined the impact of technology-based strategies in a high school social studies classroom. It focused on blended learning pedagogy in addition to the flexibility of digital strategies and their impact on student achievement and perceptions. The sample comprised 88 students from three 9th grade geography courses. No differences in achievement were found, and there was no correlation between time spent on the digital modules and student learning. However, students reported positive perceptions regarding blended learning, including high confidence in their ability to access information and confidence in interactions regarding collaborations with peers and the teacher. They also most often believed that they were learning more in the blended learning environment and reported high enjoyment.</t>
  </si>
  <si>
    <t>[Gault, Jimmy; Cuevas, Joshua A.] Univ North Georgia, Coll Educ, 3820 Mundy Mill Rd, Oakwood, GA 30566 USA</t>
  </si>
  <si>
    <t>University of North Georgia</t>
  </si>
  <si>
    <t>Cuevas, JA (corresponding author), Univ North Georgia, Coll Educ, 3820 Mundy Mill Rd, Oakwood, GA 30566 USA.</t>
  </si>
  <si>
    <t>josh.cuevas@ung.edu</t>
  </si>
  <si>
    <t>INT SOC TECHNOLOGY EDUCATION &amp; SCIENCE-ISTES</t>
  </si>
  <si>
    <t>MONUMENT</t>
  </si>
  <si>
    <t>19723 LINDENMERE DR, MONUMENT, COLORADO, UNITED STATES</t>
  </si>
  <si>
    <t>2689-2758</t>
  </si>
  <si>
    <t>INT J TECHNOL EDUC</t>
  </si>
  <si>
    <t>Int. J. Technol. Educ.</t>
  </si>
  <si>
    <t>10.46328/ijte.247</t>
  </si>
  <si>
    <t>6I5UR</t>
  </si>
  <si>
    <t>WOS:000886192900001</t>
  </si>
  <si>
    <t>Godoy-Martín, FJ</t>
  </si>
  <si>
    <t>Godoy-Martin, Francisco Javier</t>
  </si>
  <si>
    <t>Communication agencies in the face of new Social Media. Early adopters or late incorporations?</t>
  </si>
  <si>
    <t>REVISTA INTERNACIONAL DE RELACIONES PUBLICAS</t>
  </si>
  <si>
    <t>agencies; communication; public relations; social networks; content</t>
  </si>
  <si>
    <t>Social media are already part of the communicative routines of most organizations, including communication agencies. Nevertheless, given their duty to serve other companies, these agencies should have an advanced understanding of these platforms, not only in their most profound sense but also in a time-advanced one. In other words, agencies should test emerging social media with the aim of knowing them in-depth and determining whether they serve their communicative purpose. It should be noticed that investment in digital advertising and actions with influencers are greater and greater. Besides, they are platforms that not necessarily remain unalterable, but some of them achieve their life cycle, even disappearing. On this matter, it is necessary to check if agencies really are working on the most recent social networks or only on those which are already consolidated. For such a research, the quantitative method, based on the content analysis, was adopted within a descriptive study. It was used on a sample of the ten communication agencies with the highest billing which operate in Spain. As secondary research objectives, it was considered to analyze the use that agencies do of social media which they are present in, to determine the existence of online content strategies, as well as to value the interaction level of these companies on online channels. The results show that most of analyzed agencies offer web 2.0-related services, such as digital strategy, online content management, monitoring and influencers relations. Social media talking, except for a few cases, communication agencies prefer to maintain a presence on the most consolidated social networks (Twitter, Facebook, Instagram, LinkedIn and YouTube). Furthermore, those are the ones that usually have links on their websites. This does not mean that agencies do not use the more recent applications, but that, mostly, they do not do this for their benefit as a brand. Otherwise they keep them in the background. In fact, some agencies use current platforms, such as Twitch or TikTok, publishing suitable content to their characteristics, which means that agencies know their possibilities, although their use is not still usual among them. Among the commonly used social networks, the activity of these agencies remains along the lines of what has already been concluded in previous academic papers: the purpose of information dissemination prevails with a self-promoting role. Communication agencies keep their social profiles updated and, during the month of research, they constantly published content, especially, information about themselves or about the communication sector, followed by news of common interest, clients news and projects carried out. Finally, although they published content frequently, the interaction with other users is low and, when it happens, it usually has, as mentioned, a self-promoting intention. In conclusion, communication agencies, as other kinds of organizations, are used to introduce social media work in their routines. However, it cannot be said that they are early adopters, at least to self-use. Probably, public relations professionals are researching and going deep in these new platforms, but in a private way, so agencies cannot, or prefer not to show their know-how by doing it.</t>
  </si>
  <si>
    <t>[Godoy-Martin, Francisco Javier] Univ Cadiz, Grad Publ Relaciones Publ, Cadiz, Spain</t>
  </si>
  <si>
    <t>Universidad de Cadiz</t>
  </si>
  <si>
    <t>Godoy-Martín, FJ (corresponding author), Univ Cadiz, Grad Publ Relaciones Publ, Cadiz, Spain.</t>
  </si>
  <si>
    <t>franciscojavier.godoy@uca.es</t>
  </si>
  <si>
    <t>Godoy Martin, Francisco Javier/0000-0001-5284-2283</t>
  </si>
  <si>
    <t>UNIV MALAGA, INST INVESTIGACION RELACIONES PUBLICAS</t>
  </si>
  <si>
    <t>MALAGA</t>
  </si>
  <si>
    <t>CAMPUS TEATINOS, MALAGA, 29071, SPAIN</t>
  </si>
  <si>
    <t>2174-3681</t>
  </si>
  <si>
    <t>REV INT RELAC PUBLIC</t>
  </si>
  <si>
    <t>Rev. Int. Relac. Publicas</t>
  </si>
  <si>
    <t>10.5783/RIRP-23-2022-12-225-244</t>
  </si>
  <si>
    <t>2Z9NV</t>
  </si>
  <si>
    <t>WOS:000826896000009</t>
  </si>
  <si>
    <t>Kamariotou, M; Kitsios, F; Charatsari, C; Lioutas, ED; Talias, MA</t>
  </si>
  <si>
    <t>Kamariotou, Maria; Kitsios, Fotis; Charatsari, Chrysanthi; Lioutas, Evagelos D.; Talias, Michael A.</t>
  </si>
  <si>
    <t>Digital Strategy Decision Support Systems: Agrifood Supply Chain Management in SMEs</t>
  </si>
  <si>
    <t>decision support systems; agrifood supply chains; information systems planning; digitalization; SMEs</t>
  </si>
  <si>
    <t>MARKET POWER; ALIGNMENT; BUSINESS; NETWORK; DESIGN; PERFORMANCE; SECURITY</t>
  </si>
  <si>
    <t>The specific attributes of agrifood supply chains, along with their importance for the economy and society, have led to an increased interest in the parameters that enhance their effectiveness. Recently, numerous digital tools aimed at improving supply chain effectiveness have been developed. The majority of existing research focuses on optimizing individual processes rather than the overall growth of a food supply chain. This study aims to identify the stages of the information systems planning (ISP) process that affect the success of developing a strategic decision support system (DSS) for improving the decision-making process in the agrifood supply chains. Data were collected from 66 IT executives from Greek small and medium-sized enterprises (SMEs) in the agrifood sector and analyzed using regression analysis. The results revealed that situation analysis is the only stage of ISP that predicts ISP success. These findings can assist managers in appreciating the critical role of ISP for improving the performance of agrifood supply chain operations. Implementing the most appropriate information systems (IS) and digital tools results in increased competitive advantage, cost savings, and increased customer value.</t>
  </si>
  <si>
    <t>[Kamariotou, Maria; Kitsios, Fotis] Univ Macedonia, Dept Appl Informat, 156 Egnatia St, GR-54636 Thessaloniki, Greece; [Charatsari, Chrysanthi] Aristotle Univ Thessaloniki, Sch Agr, GR-54124 Thessaloniki, Greece; [Lioutas, Evagelos D.] Int Hellen Univ, Dept Supply Chain Management, Katerini 60100, Greece; [Talias, Michael A.] Open Univ Cyprus, Hlthcare Management Postgrad Program, POB 12794, CY-2252 Nicosia, Cyprus</t>
  </si>
  <si>
    <t>University of Macedonia; Aristotle University of Thessaloniki; Open University of Cyprus</t>
  </si>
  <si>
    <t>Kitsios, F (corresponding author), Univ Macedonia, Dept Appl Informat, 156 Egnatia St, GR-54636 Thessaloniki, Greece.</t>
  </si>
  <si>
    <t>mkamariotou@uom.edu.gr; kitsios@uom.gr; chcharat@agro.auth.gr; evagelos@agro.auth.gr; michael.talias@ouc.ac.cy</t>
  </si>
  <si>
    <t>Lioutas, Evagelos/AGK-8015-2022; Lioutas, Evagelos/W-9206-2019; Talias, Michael A./R-1867-2017; Charatsari, Chrysanthi/X-2312-2019; Kamariotou, Maria/AAZ-8488-2021; Kitsios, Fotis C./B-2286-2017</t>
  </si>
  <si>
    <t>Lioutas, Evagelos/0000-0003-3784-9553; Talias, Michael A./0000-0002-1802-5586; Charatsari, Chrysanthi/0000-0002-9160-3469; Kamariotou, Maria/0000-0002-7873-9265; Kitsios, Fotis C./0000-0001-7269-5567</t>
  </si>
  <si>
    <t>10.3390/s22010274</t>
  </si>
  <si>
    <t>YE8OJ</t>
  </si>
  <si>
    <t>WOS:000741378600001</t>
  </si>
  <si>
    <t>Letsio, A; Polyzos, N; Poulopoulos, C; Skamnakis, C</t>
  </si>
  <si>
    <t>Letsio, A.; Polyzos, N.; Poulopoulos, Ch; Skamnakis, Ch</t>
  </si>
  <si>
    <t>Hospital managers' participation in operational planning: insights from a recent study in the Greek National Health System</t>
  </si>
  <si>
    <t>HIPPOKRATIA</t>
  </si>
  <si>
    <t>Greece; National Health System; hospitals; strategic planning; health policy; management; operational efficiency</t>
  </si>
  <si>
    <t>PERFORMANCE EVALUATION; CARE ORGANIZATION; EFFICIENCY; STRATEGY; QUALITY; SUCCESS</t>
  </si>
  <si>
    <t>Background: The performance of the public hospitals of the National Health System (NHS) of Greece, as reflected in their financial and operational results, is related to their strategic planning and the factors that influence the accomplishment of their objectives. Method: The organizational performance of NHS hospitals was assessed by analyzing their operational and financial data for the period 2010-2020 (recorded by the BI-Health system of the Ministry of Health). Based on internationally accepted factors that influence the successful implementation of strategic planning and the achievement of its objectives, a structured questionnaire consisting of 11 demographic and 93 (on a scale of 1 to 7) factor-related questions was developed and addressed to 56 managers and senior executives. Their response was analyzed using descriptive statistical methods and inference, and significant factors were extracted using Principal Components Analysis. Results: Hospitals reduced their expenditure from 2010 to 2015 by 34.6 %, while the number of inpatients increased by 5.9 %. However, expenditure increased by 41.2 % in the period 2016-2020, while concurrently, inpatients rose by 14.7 %. Outpatient and emergency department visits remained almost stable (6.5 and 4.8 million/year, respectively), during 2010-2015, while increased by 14.5 % till 2020. The average length of stay decreased from 4.1 in 2010 to 3.8 in 2015 and 3.4 in 2020. The survey data showed that NHS hospitals' strategic plan is well documented, but its actual implementation is moderate; The achievement of the objectives related to clinical work, quality improvement of services, human resources development, financial strategy, asset strategy, digital strategy, communication and engagement strategy, and research might be good; chief executive officers, nurses, laboratory physicians, and administrators receive a positive grade of participation while the Board of Directors, physicians, employee representatives and the School of Medicine/University receive a moderate grade. The factors: elements of strategic planning (33.6 %), evaluation of services and staff (20.5 %), employees' commitment and involvement (20.1 %), and operational outcomes and performance (8.9 %), as derived from the principal component analysis, had the highest impact on achieving their financial and operational objectives, as assessed by the views of the managers of the 35 NHS hospitals. Conclusion: The NHS hospitals increased their efficiency from 2010 to 2020 but failed to maintain control over their expenditure. Through their clinical managers and other employees' representatives, chief executive officers and the Board of Directors need to improve planning formulation, staff involvement and utilization, financial performance, and outcomes as their primary commitment among health policy and management sectors in the Greek NHS.</t>
  </si>
  <si>
    <t>[Letsio, A.; Polyzos, N.; Poulopoulos, Ch] Democritus Univ Thrace, Dept Social Work Sch Social Polit &amp; Econ Sci, Komotini, Greece; [Skamnakis, Ch] Pante Univ, Dept Social Policy, Athens, Greece; [Letsio, A.] 42 Byzantiou Str, Athens 16232, Greece</t>
  </si>
  <si>
    <t>Democritus University of Thrace; Panteion University</t>
  </si>
  <si>
    <t>Letsio, A (corresponding author), 42 Byzantiou Str, Athens 16232, Greece.</t>
  </si>
  <si>
    <t>apostolos.letsios@gmail.com</t>
  </si>
  <si>
    <t>LITHOGRAPHIA</t>
  </si>
  <si>
    <t>THESSALONIKI</t>
  </si>
  <si>
    <t>ANTONIADIS I-PSARRAS TH G P, NEA REDESTOS, THESSALONIKI, 00000, GREECE</t>
  </si>
  <si>
    <t>1108-4189</t>
  </si>
  <si>
    <t>Hippokratia</t>
  </si>
  <si>
    <t>L4ZC4</t>
  </si>
  <si>
    <t>WOS:001023353200001</t>
  </si>
  <si>
    <t>Zamora, GM</t>
  </si>
  <si>
    <t>Macababbad Zamora, Gina</t>
  </si>
  <si>
    <t>UNRAVELING THE MEDICAL LABORATORY SCIENCE STUDENTS' ACADEMIC LIVED-EXPERIENCES AND THEIR APPRECIATION OF MOTIVATIONAL LEARNING STRATEGIESINTHE DIGITAL LEARNING</t>
  </si>
  <si>
    <t>digital learning; academic lived-experiences; motivational learning experiences</t>
  </si>
  <si>
    <t>ATTITUDES; ACHIEVEMENT; INTERNET</t>
  </si>
  <si>
    <t>Every student's heart and spirit are instilled with all they learn in school. For those students who are in severe need of it, it is the most effective cure for lack of education that has ever been identified. It is revealed in this study that medical laboratory students have had academic lived-experiences in digital learning, as well as their appreciation of the motivational learning strategies that have been adopted by their professors. It was decided to use the qualitative research method for this investigation. The research approach included investigating or unraveling the lived-experiences of Medical laboratory Science students in an online learning environment, as well as the impact of these experiences on their scholastic standing. It also included investigating the attitudes of students toward flexible learning. As a result of the iterative and analytical examination of the data, the following categories were identified from the open-ended response questions: flexibility and time convenience; self-confidence in discussion posts; a lack of support; language and linguistics differences (cultural); and a lack of self-regulated learning skills. Flexible and convenient scheduling, student trust in discussion postings, disparities in language and linguistics, a lack of self-regulated learning skills, and a lack of assistance were all shown by the students' responses to the open-ended questions. Faculty members must make an effort to incorporate diversity into their curriculum in order to ensure that all students are supported and met in their educational efforts.</t>
  </si>
  <si>
    <t>[Macababbad Zamora, Gina] Cagayan State Univ, Andrews Campus, Tuguegarao City, Philippines</t>
  </si>
  <si>
    <t>Cagayan State University</t>
  </si>
  <si>
    <t>Zamora, GM (corresponding author), Cagayan State Univ, Andrews Campus, Tuguegarao City, Philippines.</t>
  </si>
  <si>
    <t>gmzmsmt0530@gmail.com</t>
  </si>
  <si>
    <t>10.9756/INT-JECSE/V14I2.248</t>
  </si>
  <si>
    <t>1V7BX</t>
  </si>
  <si>
    <t>WOS:000806241600015</t>
  </si>
  <si>
    <t>Murayama, M</t>
  </si>
  <si>
    <t>Kazeroony, HH; Tsang, D</t>
  </si>
  <si>
    <t>Murayama, Meiko</t>
  </si>
  <si>
    <t>Society 5.0 Transformation Digital Strategy in Japan</t>
  </si>
  <si>
    <t>MANAGEMENT EDUCATION AND AUTOMATION</t>
  </si>
  <si>
    <t>Routledge Advances in Management and Business Studies</t>
  </si>
  <si>
    <t>INFORMATION; TECHNOLOGY; ADOPTION</t>
  </si>
  <si>
    <t>[Murayama, Meiko] Univ Reading, Reading, Berks, England; [Murayama, Meiko] Akita Int Univ, Akita, Japan</t>
  </si>
  <si>
    <t>University of Reading; Akita International University</t>
  </si>
  <si>
    <t>Murayama, M (corresponding author), Univ Reading, Reading, Berks, England.;Murayama, M (corresponding author), Akita Int Univ, Akita, Japan.</t>
  </si>
  <si>
    <t>978-1-032-06108-5; 978-1-003-01770-7; 978-0-367-86111-7</t>
  </si>
  <si>
    <t>ROUTL ADV MANAG BUS</t>
  </si>
  <si>
    <t>Business; Education &amp; Educational Research; Management</t>
  </si>
  <si>
    <t>BT5VM</t>
  </si>
  <si>
    <t>WOS:000838665700003</t>
  </si>
  <si>
    <t>Ng, PC; Spachos, P; Gregori, S; Plataniotis, KN</t>
  </si>
  <si>
    <t>Ng, Pai Chet; Spachos, Petros; Gregori, Stefano; Plataniotis, Konstantinos N.</t>
  </si>
  <si>
    <t>Epidemic Exposure Tracking With Wearables: A Machine Learning Approach to Contact Tracing</t>
  </si>
  <si>
    <t>Sensors; COVID-19; Machine learning; Temperature measurement; Coronaviruses; Wearable computers; Protocols; Bluetooth low energy; contact tracing; disease outbreak; physical distancing; smartwatch; wearables; COVID-19; proximity sensing; pandemic; artificial intelligence; supervised learning; neural network</t>
  </si>
  <si>
    <t>COVID-19 CLASSIFICATION; BLUETOOTH; LOCALIZATION; PROXIMITY; ACCURACY</t>
  </si>
  <si>
    <t>The recent pandemic revealed weaknesses in several areas, including the limited capacity of public health systems for efficient case tracking and reporting. In the post-pandemic era, it is essential to be ready and provide not only preventive measures, but also effective digital strategies and solutions to protect our population from future outbreaks. This work presents a contact tracing solution based on wearable devices to track epidemic exposure. Our proximity-based privacy-preserving contact tracing (P3CT) integrates: 1) the Bluetooth Low Energy (BLE) technology for reliable proximity sensing, 2) a machine-learning approach to classify the exposure risk of a user, and 3) an ambient signature protocol for preserving the user's identity. Proximity sensing exploits the signals emitted from a smartwatch to estimate users' interaction, in terms of distance and duration. Supervised learning is then used to train four classification models to identify the exposure risk of a user with respect to a patient diagnosed with an infectious disease. Finally, our proposed P3CT protocol uses ambient signatures to anonymize the infected patient's identity. Extensive experiments demonstrate the feasibility of our proposed solution for real-world contact tracing problems. The large-scale dataset consisting of the signal information collected from the smartwatch is available online. According to experimental results, wearable devices along with machine learning models are a promising approach for epidemic exposure notification and tracking.</t>
  </si>
  <si>
    <t>[Ng, Pai Chet; Spachos, Petros; Gregori, Stefano] Univ Guelph, Sch Engn, Guelph, ON N1G 2W1, Canada; [Ng, Pai Chet; Plataniotis, Konstantinos N.] Univ Toronto, Dept Elect &amp; Comp Engn, Toronto, ON M5S 3G8, Canada</t>
  </si>
  <si>
    <t>University of Guelph; University of Toronto</t>
  </si>
  <si>
    <t>Spachos, P (corresponding author), Univ Guelph, Sch Engn, Guelph, ON N1G 2W1, Canada.</t>
  </si>
  <si>
    <t>petros@uoguelph.ca</t>
  </si>
  <si>
    <t>Ng, Pc/ITV-2513-2023; Gregori, Stefano/U-8583-2019; Plataniotis, Konstantinos/E-8471-2014</t>
  </si>
  <si>
    <t>Gregori, Stefano/0000-0001-5410-1139; Plataniotis, Konstantinos/0000-0003-3647-5473</t>
  </si>
  <si>
    <t>Natural Sciences and Engineering Research Council of Canada (NSERC) [401656]</t>
  </si>
  <si>
    <t>Natural Sciences and Engineering Research Council of Canada (NSERC)(Natural Sciences and Engineering Research Council of Canada (NSERC))</t>
  </si>
  <si>
    <t>This work was supported in part by the Natural Sciences and Engineering Research Council of Canada (NSERC) through the NSERC Alliance COVID-19 grant #401656.</t>
  </si>
  <si>
    <t>10.1109/ACCESS.2022.3148051</t>
  </si>
  <si>
    <t>YW4SM</t>
  </si>
  <si>
    <t>WOS:000753404200001</t>
  </si>
  <si>
    <t>Nishanov, AK; Norboyo'g'li, SS; Satimbaevich, BE</t>
  </si>
  <si>
    <t>Nishanov, Akhram Khasanovich; Norboyo'g'li, Saidrasulov Sherzod; Satimbaevich, Babadjanov Elmurad</t>
  </si>
  <si>
    <t>ANALYSIS OF METHODOLOGY OF RATING EVALUATION OF DIGITAL ECONOMY AND E-GOVERNMENT DEVELOPMENT IN UZBEKISTAN</t>
  </si>
  <si>
    <t>digital economy; e-government; rating assessment; interactive services; information systems; information security; database</t>
  </si>
  <si>
    <t>This article discusses the new rating assessment methodology approved by the Cabinet of Ministers of the Republic of Uzbekistan on June 15, 2021 On measures to further improve the rating system of the digital economy and e-government No. 373. initially the indicators are examined. In accordance with the Strategy Digital Uzbekistan - 2030 in order to assess the state of digital transformation in the regions, a methodology for rating the level of digital development of regions was developed, which made it possible to diagnose the state of digitalization in the regions. In the rating assessment methodology, the indicators used by the United Nations (UN) to assess the development of information technology and the introduction of e-government in countries around the world have been adopted.</t>
  </si>
  <si>
    <t>[Nishanov, Akhram Khasanovich] Tashkent Univ Informat Technol, Dept Software Informat Technol, Tashkent, Uzbekistan; [Norboyo'g'li, Saidrasulov Sherzod] Minist Innovat Dev Republ Uzbekistan, Dept Intro Digital Technol Innovat Act, Tashkent, Uzbekistan; [Satimbaevich, Babadjanov Elmurad] Tashkent Univ Informat Technol, Nukus Branch, Dept Informat Secur, Tashkent, Uzbekistan</t>
  </si>
  <si>
    <t>Tashkent University of Information Technologies; Ministry of Innovative Development of the Republic of Uzbekistan; Tashkent University of Information Technologies</t>
  </si>
  <si>
    <t>Norboyo'g'li, SS (corresponding author), Minist Innovat Dev Republ Uzbekistan, Dept Intro Digital Technol Innovat Act, Tashkent, Uzbekistan.</t>
  </si>
  <si>
    <t>sh.saidrasulov@mininnovation.uz</t>
  </si>
  <si>
    <t>Akhram, Nishanov Khasanovich/AAQ-9342-2021</t>
  </si>
  <si>
    <t>10.9756/INT-JECSE/V14I2.230</t>
  </si>
  <si>
    <t>1V3YY</t>
  </si>
  <si>
    <t>WOS:000806030700037</t>
  </si>
  <si>
    <t>Payutvorased, R; Sukwatthana, S</t>
  </si>
  <si>
    <t>Payutvorased, Rinyapat; Sukwatthana, Saijaisiri</t>
  </si>
  <si>
    <t>STRATEGIC DIGITAL MARKETING DEVELOPMENT: A CASE STUDY OF AN ONLINE ENTREPRENEUR IN FACEBOOK DURING EMERGING DISEASES OF THE NOVEL CORONAVIRUS 2019 (COVID-19) PANDEMIC</t>
  </si>
  <si>
    <t>digital marketing; big data; emerging diseases of the Novel Coronavirus 2019 (COVID-19) pandemic</t>
  </si>
  <si>
    <t>BIG DATA; ANALYTICS</t>
  </si>
  <si>
    <t>The purpose of this research was to study big data, social media, Web Data, Sensor, Mobile Usage correlating to Strategic Digital Marketing Development: A Case Study of an Online Entrepreneur in Facebook During emerging diseases of the Novel Coronavirus 2019 (COVID-19) pandemic is quantitative research in the research is a group of entrepreneurs selling online products, a total of 1,332 people determined the sample size by Taro Yamane (1973) was a sample size of 400 people. questionnaire created by the researcher which is a 5-level estimator and the data is analyzed by means of the standard deviation and the statistic used to test the hypothesis were multiple regression analysis. The results showed that Big data, Social Media, Web Data, Sensor, Mobile Usage correlates with the Strategic Digital Marketing Development: A Case Study of an Online Entrepreneur in Facebook During emerging diseases of the Novel Coronavirus 2019 (COVID-19) pandemic statistically significant .05</t>
  </si>
  <si>
    <t>[Payutvorased, Rinyapat] Rattana Bundit Univ, Coll Business &amp; Finance, Bangkok, Thailand; [Sukwatthana, Saijaisiri] Rattana Bundit Univ, Fac Business &amp; Financial Management, Bangkok, Thailand</t>
  </si>
  <si>
    <t>Payutvorased, R (corresponding author), Rattana Bundit Univ, Coll Business &amp; Finance, Bangkok, Thailand.</t>
  </si>
  <si>
    <t>10.9756/INT-JECSE/V14I2.750</t>
  </si>
  <si>
    <t>2Z9HK</t>
  </si>
  <si>
    <t>WOS:000826879200029</t>
  </si>
  <si>
    <t>Peres-Neto, L</t>
  </si>
  <si>
    <t>Peres-Neto, Luiz</t>
  </si>
  <si>
    <t>Journalist-Twitterers as Political Influencers in Brazil: Narratives and Disputes Towards a New Intermediary Model</t>
  </si>
  <si>
    <t>Brazil; freedom of the press; influencers; Jair Bolsonaro; journalists</t>
  </si>
  <si>
    <t>SOCIAL MEDIA; NEWS</t>
  </si>
  <si>
    <t>The ascendency of Jair Bolsonaro to the presidency of Brazil in 2018 put the role of traditional media companies and jour-nalists under the spotlight. Bad news or opinions against his government have been officially treated as fake, inaccurate, or false information. In this context, data show a decrease in news trust and growing news consumption through platforms. According to the 2021 Reuters Institute report on news trust, only 21% of Brazilians trust the press as an institution, with 71% using social media platforms to be informed. As part of a broad and complex crisis of the traditional intermediary model, several journalists appeared in the Brazilian public sphere as influencers on social media platforms such as Twitter. Based on a qualitative perspective, this article aims to research the role of journalists as political influencers and their use of Twitter to express their voices. A sample of 10 journalists with more than 10,000 followers on Twitter, five working for traditional media and five from native digital media, were interviewed in depth. We realized that they use their digital capital in two political directions. On the one hand, as part of a digital strategy promoted by media outlets to gain attention and call the audience, journalists share their spots and comments on daily issues. On the other hand, in a polarized political context, journalists have found Twitter a means to express their voices in a context of increasing violence and restrictions on free expression among this collective.</t>
  </si>
  <si>
    <t>[Peres-Neto, Luiz] Autonomous Univ Barcelona, Dept Journalism &amp; Commun Sci, Barcelona, Spain</t>
  </si>
  <si>
    <t>Autonomous University of Barcelona</t>
  </si>
  <si>
    <t>Peres-Neto, L (corresponding author), Autonomous Univ Barcelona, Dept Journalism &amp; Commun Sci, Barcelona, Spain.</t>
  </si>
  <si>
    <t>luiz.peres@uab.cat</t>
  </si>
  <si>
    <t>Peres-Neto, Luiz/ABF-8201-2021</t>
  </si>
  <si>
    <t>Peres-Neto, Luiz/0000-0001-8190-8720</t>
  </si>
  <si>
    <t>10.17645/mac.v10i3.5363</t>
  </si>
  <si>
    <t>3R1AL</t>
  </si>
  <si>
    <t>WOS:000838651500004</t>
  </si>
  <si>
    <t>Pesci, A; Teza, G; Loddo, F; Fabris, M; Monego, M; Amoroso, S</t>
  </si>
  <si>
    <t>Pesci, Ariann; Teza, Giordano; Loddo, Fabiana; Fabris, Massimo; Monego, Michele; Amoroso, Sara</t>
  </si>
  <si>
    <t>Evaluation of possible systematic effects in SfM UAV based point clouds: TLS and surface variations for error mitigation methods</t>
  </si>
  <si>
    <t>QUADERNI DI GEOFISICA</t>
  </si>
  <si>
    <t>Italian</t>
  </si>
  <si>
    <t>Structure from Moon (SfM); Deformaon analysis; Point cloud distorons</t>
  </si>
  <si>
    <t>Structure from Motion (SfM) photogrammetry is based on the use of algorithms allowing the automatically identification of a large amount of homologous points (or pixels) between images overlapping areas. The coordinates of the homologous points (provided in different reference systems for each acquisition), allow the images alignment meaning the internal and external camera calibration. The number and the distribution of homologous points drives the entire procedure of photogrammetric restitution. In some cases, due to a fatal combination of acquisition strategy, digital cameras and software, anomalies could occur causing systematic effects in the point clouds representing the observed surfaces. This paper shows the results obtained from SfM surveys carried out as part of a project for the study of deformations due to the phenomenon of liquefaction by comparing multi-temporal models. This is the only case we have observed in years of SfM survey experience in which there are systematic effects preventing the direct use of the point clouds obtained using Photoscan (versions 1.1.2 and 1.7.0). Some approaches aimed at mitigating the distortions by balancing the distribution of homologous points and inhibiting the adjustment of internal camera calibration are used to improve results. A reference Terrestrial Laser Scanning (TLS) survey allowed the evaluation unexpected problems. Finally, the images data set processed by means of Metashape (1.5.0), a new improved version of Photoscan, provide good results free from systematism proving the greater efficiency of new algorithms for homologous points selection optimization. Since Photoscan is a very widespread product and also used within the INGV, it is believed that this experience can be useful to many operators involved in monitoring and studying surface deformations.</t>
  </si>
  <si>
    <t>[Pesci, Ariann; Loddo, Fabiana] Ist Nazl Geofis &amp; Vulcanol, INGV, Sez Bologna, Rome, Italy; [Teza, Giordano] Univ Padua, Dipartimento Geosci, Padua, Italy; [Fabris, Massimo; Monego, Michele] Univ Padua, Dipartimento ICEA, Padua, Italy; [Amoroso, Sara] Univ G dAnnunzio, Dipartimento Ingn &amp; Geol, Chieti, Italy; [Amoroso, Sara] INGV Ist Nazl Geofis &amp; Vulcanol, Sez Sismol &amp; Tettonofis, Rome, Italy</t>
  </si>
  <si>
    <t>Istituto Nazionale Geofisica e Vulcanologia (INGV); University of Padua; University of Padua; G d'Annunzio University of Chieti-Pescara; Istituto Nazionale Geofisica e Vulcanologia (INGV)</t>
  </si>
  <si>
    <t>Pesci, A (corresponding author), Ist Nazl Geofis &amp; Vulcanol, INGV, Sez Bologna, Rome, Italy.</t>
  </si>
  <si>
    <t>Amoroso, Sara/L-7179-2014</t>
  </si>
  <si>
    <t>Amoroso, Sara/0000-0001-5835-079X</t>
  </si>
  <si>
    <t>IST NAZIONALE GEOFISICA &amp; VULCANOLOGIA-INGV</t>
  </si>
  <si>
    <t>ROME</t>
  </si>
  <si>
    <t>VIA VIGNA MURATA, 605, ROME, 00143, ITALY</t>
  </si>
  <si>
    <t>1590-2595</t>
  </si>
  <si>
    <t>QUAD GEOFIS</t>
  </si>
  <si>
    <t>Quad. Geofis.</t>
  </si>
  <si>
    <t>10.13127/qdg/177</t>
  </si>
  <si>
    <t>Geochemistry &amp; Geophysics</t>
  </si>
  <si>
    <t>1L3KT</t>
  </si>
  <si>
    <t>WOS:000799191100001</t>
  </si>
  <si>
    <t>Sakas, DP; Giannakopoulos, NT; Kanellos, N; Migkos, SP</t>
  </si>
  <si>
    <t>Sakas, Damianos P.; Giannakopoulos, Nikolaos T.; Kanellos, Nikos; Migkos, Stavros P.</t>
  </si>
  <si>
    <t>Innovative Cryptocurrency Trade Websites' Marketing Strategy Refinement, via Digital Behavior</t>
  </si>
  <si>
    <t>Cryptocurrency; Behavioral sciences; Organizations; Measurement; Blockchains; Costs; Technological innovation; Strategic digital marketing; digital behavior; innovation; decentralized payment networks; big data; e-commerce; decision support systems</t>
  </si>
  <si>
    <t>Nowadays, the cryptocurrency market is thriving, through the rise in cryptocurrency trading, opening the way for cryptocurrency trading websites' optimization. Optimization of customer satisfaction is a vital part of cryptocurrency trade organizations' digital marketing problems. It is vital to keep digital advertisement costs low while driving more traffic to a website. This study aims to define a digital marketing strategy for cryptocurrency trading websites by utilizing digital behavior metrics. Web analytics data were gathered from 10 world-leading cryptocurrency trade websites over 80 days. Statistical analysis of cryptocurrency trade web analytics, Fuzzy Cognitive Mapping modeling, and Agent-Based Model development have been deployed. Enhancement of cryptocurrency trade digital engagement levels can boost organizations' SEO and SEM strategy campaigns. Outputs of the study provide a handful of insights regarding cryptocurrency trading websites' digital promotion strategy optimization and the parameters of digital behavior mostly connected with websites' digital marketing costs and traffic. Cryptocurrency trade organizations should utilize both organic and paid campaigns, observe regularly their website KPIs connected with visitors' behavior and enhance their website users' experience, by increasing their engagement.</t>
  </si>
  <si>
    <t>[Sakas, Damianos P.; Giannakopoulos, Nikolaos T.; Kanellos, Nikos] Agr Univ Athens, Sch Appl Econ &amp; Social Sci, Dept Agribusiness &amp; Supply Chain Management, BICTEVAC Lab, Athens 11855, Greece; [Migkos, Stavros P.] Univ Western Macedonia, Sch Econ Sci, Dept Int &amp; European Econ Studies, Kozani 50100, Greece</t>
  </si>
  <si>
    <t>Agricultural University of Athens; University of Western Macedonia</t>
  </si>
  <si>
    <t>Giannakopoulos, NT (corresponding author), Agr Univ Athens, Sch Appl Econ &amp; Social Sci, Dept Agribusiness &amp; Supply Chain Management, BICTEVAC Lab, Athens 11855, Greece.</t>
  </si>
  <si>
    <t>n.giannakopoulos@aua.gr</t>
  </si>
  <si>
    <t>Giannakopoulos, Nikolaos/HZJ-9352-2023</t>
  </si>
  <si>
    <t>Giannakopoulos, Nikolaos T./0000-0002-4480-5893; Migkos, Stavros/0000-0003-2356-5568</t>
  </si>
  <si>
    <t>10.1109/ACCESS.2022.3182396</t>
  </si>
  <si>
    <t>2H8JK</t>
  </si>
  <si>
    <t>WOS:000814535000001</t>
  </si>
  <si>
    <t>Sangil, L; Salaverría, R; Pérez-Latre, FJ</t>
  </si>
  <si>
    <t>Sangil, Luis; Salaverria, Ramon; Javier Perez-Latre, Francisco</t>
  </si>
  <si>
    <t>The arrangement of elmundo.es in the digital strategy of Unidad Editorial (1996-2021)</t>
  </si>
  <si>
    <t>HISTORIA Y COMUNICACION SOCIAL</t>
  </si>
  <si>
    <t>Strategy; digital; management; big data</t>
  </si>
  <si>
    <t>BUSINESS MODELS; NEWS MEDIA; NEWSPAPERS; INNOVATION; ENTREPRENEURSHIP; FUTURE</t>
  </si>
  <si>
    <t>This paper addresses how Unidad Editorial, publisher of El Mundo newspaper, understood the digital business and the role that it has given to elmundo.es within the strategy over the years. The stages of evolution in the twenty-five years since its beginning (1996-2021) are described, which were conditioned by external and internal factors. Among the external ones, the ???dot-com bubble???, the economic crisis in 2008 and the economic exploitation due to the handling of large volumes of data, big data, are especially important. Regarding internal components, the most important was the merger with Recoletos media company and the management by brands that the inherited.</t>
  </si>
  <si>
    <t>[Sangil, Luis; Salaverria, Ramon; Javier Perez-Latre, Francisco] Univ Navarra, Navarra, Spain</t>
  </si>
  <si>
    <t>University of Navarra</t>
  </si>
  <si>
    <t>Sangil, L (corresponding author), Univ Navarra, Navarra, Spain.</t>
  </si>
  <si>
    <t>luis.sangil@gmail.com; rsalaver@unav.es; perezlatre@unav.es</t>
  </si>
  <si>
    <t>Salaverría, Ramón/D-8527-2013; Pérez-Latre, Francisco J./I-6615-2016</t>
  </si>
  <si>
    <t>Salaverría, Ramón/0000-0002-4188-7811; Pérez-Latre, Francisco J./0000-0002-9844-3496</t>
  </si>
  <si>
    <t>UNIV COMPLUTENSE MADRID, SERVICIO PUBLICACIONES</t>
  </si>
  <si>
    <t>CIUDAD UNIV, OBISPO TREJO 3, MADRID, 28040, SPAIN</t>
  </si>
  <si>
    <t>1137-0734</t>
  </si>
  <si>
    <t>1988-3056</t>
  </si>
  <si>
    <t>HIST COMUN SOC</t>
  </si>
  <si>
    <t>Hist. Comun. Soc.</t>
  </si>
  <si>
    <t>10.5209/hics.81585</t>
  </si>
  <si>
    <t>Film, Radio, Television; History</t>
  </si>
  <si>
    <t>Film, Radio &amp; Television; History</t>
  </si>
  <si>
    <t>1P3RX</t>
  </si>
  <si>
    <t>WOS:000801931300015</t>
  </si>
  <si>
    <t>Santos, J; Lima, AP</t>
  </si>
  <si>
    <t>Santos, Joana; Lima, Ana Pinto</t>
  </si>
  <si>
    <t>Digital Strategies to Combat the Impacts of the Covid-19 Pandemic in the Business Context</t>
  </si>
  <si>
    <t>INTERNATIONAL JOURNAL OF MARKETING COMMUNICATION AND NEW MEDIA</t>
  </si>
  <si>
    <t>Covid-19; digital strategies; digital marketing; pandemic impacts</t>
  </si>
  <si>
    <t>MANAGEMENT</t>
  </si>
  <si>
    <t>The Covid-19 pandemic is considered an unprecedented crisis, due to its atypical character and because it has dragged on over time. Metaphorically, it is considered a black swan event, that is, a surprising and unpredictable event of great significance and serious consequences that drastically alter the political and economic environment. As a result of the existing changes, companies had to adapt to a new context, a new consumer and a new way of operating. This study is aimed at exploring the main digital strategies carried out by companies to mitigate/exploit the effects of the current pandemic situation. For this purpose, a qualitative methodology is proposed, based on 7 semi structured interviews with managers of companies that acted during the pandemic and in the digital context, in order to know the main impacts of the pandemic and digital strategies used to minimize/explore them. The study approaches the digital strategies that have proven successful to manage the pandemic situation in the interviewed companies, highlighting the focus on the customer, the focus on service, the development of partnerships, the creation of new products and services and the adoption of socially responsible measures. This study presents the main digital guidelines carried out by the companies under study in a context of fear and uncertainty. It is a valuable contribution at the business level, not only for the pandemic period in question, but also for future crises.</t>
  </si>
  <si>
    <t>[Santos, Joana; Lima, Ana Pinto] Inst Politecn Porto, Inst Super Contabilidade &amp; Adm Porto, Porto, Portugal</t>
  </si>
  <si>
    <t>Instituto Politecnico do Porto</t>
  </si>
  <si>
    <t>Santos, J (corresponding author), Inst Politecn Porto, Inst Super Contabilidade &amp; Adm Porto, Porto, Portugal.</t>
  </si>
  <si>
    <t>joanaaasantos_@hotmail.com; analima@iscap.ipp.pt</t>
  </si>
  <si>
    <t>INST SUPERIOR ENTRE DOURO &amp; VOUGA</t>
  </si>
  <si>
    <t>SANTA MARIA DA FEIRA</t>
  </si>
  <si>
    <t>RUA ANT CASTRO CORTE REAL, SANTA MARIA DA FEIRA, AVEIRO 4520-909, PORTUGAL</t>
  </si>
  <si>
    <t>2182-9306</t>
  </si>
  <si>
    <t>INT J MARKET COMMUN</t>
  </si>
  <si>
    <t>Int. J. Market. Commun. New Media</t>
  </si>
  <si>
    <t>10.1054663/2182-9306.sn11.92-113</t>
  </si>
  <si>
    <t>YV0HS</t>
  </si>
  <si>
    <t>WOS:000752414800001</t>
  </si>
  <si>
    <t>Solar, BM; Reyes, RJ</t>
  </si>
  <si>
    <t>Solar, Belen Merino; Reyes, Rene Jara</t>
  </si>
  <si>
    <t>Feminist Cyberactivism in Chile. The experience of the Observatory against Street Harassment</t>
  </si>
  <si>
    <t>APUNTES-REVISTA DE CIENCIAS SOCIALES</t>
  </si>
  <si>
    <t>Feminist Cyberactivism; Street Harassment; Gender Violence; Chile; OCAC (Observatory against Street harassment)</t>
  </si>
  <si>
    <t>ACTIVISM; VIOLENCE</t>
  </si>
  <si>
    <t>This article addresses the issue of feminist cyberactivism, focusing on the experience of the Observatory against Street Harassment (OCAC in Spanish) in Chile, between 2014 and 2017. Based on an analysis centred on its digital strategy, the article explores its effects on three areas: the organization of the collective, identity and their ability to put the issue of gender violence on the public agenda, by promoting a bill proposal named Respeto Callejero (Spanish for Respect in the Streets). Three study techniques were used: interviews with movement participants, analysis of Facebook metrics and keywords analysis in traditional and digital media. Amongst the results, we can point out that before the emergence of this organization there was no media coverage in Chile regarding Street Harassment, and, therefore, the digital strategy of positioning and call to action developed by the OCAC has allowed for a gradual change in these affairs, installing the matter of gender violence in public spaces.</t>
  </si>
  <si>
    <t>[Solar, Belen Merino; Reyes, Rene Jara] Univ Santiago Chile, Santiago, Chile</t>
  </si>
  <si>
    <t>Universidad de Santiago de Chile</t>
  </si>
  <si>
    <t>Solar, BM (corresponding author), Univ Santiago Chile, Santiago, Chile.</t>
  </si>
  <si>
    <t>belen.merino@usach.cl; rene.jara@usach.cl</t>
  </si>
  <si>
    <t>jara reyes, rene/JAZ-0211-2023</t>
  </si>
  <si>
    <t>UNIV PACIFICO</t>
  </si>
  <si>
    <t>LIMA</t>
  </si>
  <si>
    <t>AVE SALAVERRY 2020, JESUS MARIA, LIMA, 11, PERU</t>
  </si>
  <si>
    <t>0252-1865</t>
  </si>
  <si>
    <t>2223-1757</t>
  </si>
  <si>
    <t>APUNTES-REV CIENC SO</t>
  </si>
  <si>
    <t>Apuntes-Rev. Cienc. Soc.</t>
  </si>
  <si>
    <t>10.21678/apuntes.90.1372</t>
  </si>
  <si>
    <t>YP3BZ</t>
  </si>
  <si>
    <t>WOS:000748501500002</t>
  </si>
  <si>
    <t>Sorrentino, C; Solito, L; Pezzoli, S; Materassi, L</t>
  </si>
  <si>
    <t>Sorrentino, Carlo; Solito, Laura; Pezzoli, Silvia; Materassi, Letizia</t>
  </si>
  <si>
    <t>The interweaving of influences The pandemic and the communication strategies of 12 actors through their accounts Facebook</t>
  </si>
  <si>
    <t>CAMBIO-RIVISTA SULLE TRASFORMAZIONI SOCIALI</t>
  </si>
  <si>
    <t>communicative space; public sphere; covid-19; social media; journalism</t>
  </si>
  <si>
    <t>POLITICAL COMMUNICATION; PUBLIC SPHERES; TIME</t>
  </si>
  <si>
    <t>The COVID-19 pandemic has monopolized communication and media information for months, becoming the first global social fact in the digital age. In a new and redefined communicative space, characterized by the pervasive presence of digital media, each information source needs to establish a specific positioning strategy in the crowded communication field. The article aims at investigating the impact of those processes on the production, spread and use of institutional information. It focuses the attention on the communicative behaviors of 12 Italian institutional, political and media players, analyzing their contents' production, the intensity and characteristics of this production and the communicative resources they used in managing their Facebook pages/profiles. In order to outline the players' digital strategies and to frame their positioning in the public sphere, different metrics were analyzed and the possible and meaningful connections among the different players and strategies were considered. From this study, a dense interweaving of voices seems to emerge, attesting the complexity of the communicative space, but also the functionality of each voice in a sort of inter-relational attitude.</t>
  </si>
  <si>
    <t>[Sorrentino, Carlo; Solito, Laura; Pezzoli, Silvia; Materassi, Letizia] Univ Firenze, Florence, Italy</t>
  </si>
  <si>
    <t>University of Florence</t>
  </si>
  <si>
    <t>Sorrentino, C (corresponding author), Univ Firenze, Florence, Italy.</t>
  </si>
  <si>
    <t>carlo.sorrentino@unifi.it; laura.solito@unifi.it; silvia.pezzoli@unifi.it; letizia.materassi@unifi.it</t>
  </si>
  <si>
    <t>UNIV STUDI FIRENZE</t>
  </si>
  <si>
    <t>FLORENCE</t>
  </si>
  <si>
    <t>C/O PROF F DESSI-FULGHERI, VIA ROMANA 17, 50125 FLORENCE, ITALY</t>
  </si>
  <si>
    <t>2239-1118</t>
  </si>
  <si>
    <t>CAMBIO</t>
  </si>
  <si>
    <t>Cambio</t>
  </si>
  <si>
    <t>10.36253/cambio-11490</t>
  </si>
  <si>
    <t>Sociology</t>
  </si>
  <si>
    <t>C3YJ8</t>
  </si>
  <si>
    <t>WOS:000961307000005</t>
  </si>
  <si>
    <t>Voda, AI; Florea, N; Ciulu, R; Costuleanu, CL; Gradinaru, C</t>
  </si>
  <si>
    <t>Voda, Ana Iolanda; Florea, Nelu; Ciulu, Ruxandra; Costuleanu, Carmen Luiza; Gradinaru, Camelia</t>
  </si>
  <si>
    <t>DIGITAL STRATEGY ASSESSMENT IN EDUCATION. WHAT ACTIONS NEED TO BE ADDRESSED? THE PERCEPTION OF STUDENTS IN SOCIAL SCIENCES AND HUMANITIES</t>
  </si>
  <si>
    <t>TRANSFORMATIONS IN BUSINESS &amp; ECONOMICS</t>
  </si>
  <si>
    <t>digital strategy; directions for action; education</t>
  </si>
  <si>
    <t>Given the importance of the digitalization of education, especially in the context of the worldwide outbreak of Covid-19, this paper focuses on the main directions for action necessary in developing and implementing a digital strategy in education. To achieve this goal, we collected data from March to August 2021 and gathered a total of N=282 participants enrolled at four faculties from the Alexandru Ioan Cuza University, Romania, in the fields of social sciences and humanities. Our results support the importance of digital skills, digital training assessment, digital infrastructure, education institutions incentives, digital education instruments design, open access resources, public-private partnerships, best-practices exchanges, security and protection and strategic forecasting, in assessing a digital strategy in education from the perspective of both social sciences and humanities students.</t>
  </si>
  <si>
    <t>[Voda, Ana Iolanda; Florea, Nelu; Ciulu, Ruxandra; Gradinaru, Camelia] Alexandru Ioan Cuza Univ, Bd Carol I 11, Iasi 700506, Romania; [Costuleanu, Carmen Luiza] Ion Ionescu de la Brad Univ Agr Sci &amp; Vet Med Ias, Al Mihail Sadoveanu 3, Iasi 700490, Romania</t>
  </si>
  <si>
    <t>Alexandru Ioan Cuza University; Iasi University of Life Sciences, Romania</t>
  </si>
  <si>
    <t>Costuleanu, CL (corresponding author), Ion Ionescu de la Brad Univ Agr Sci &amp; Vet Med Ias, Al Mihail Sadoveanu 3, Iasi 700490, Romania.</t>
  </si>
  <si>
    <t>yolanda.voda@gmail.com; nflorea@uaic.ro; ruxandra.ciulu@uaic.ro; ccostuleanu@yahoo.com; camelia.gradinaru@uaic.ro</t>
  </si>
  <si>
    <t>Gradinaru, Camelia/AAL-9226-2020; Voda, Ana Iolanda/AAB-9492-2020; Ciulu, Ruxandra/AAG-2871-2021; Costuleanu, Carmen Luiza/D-8165-2011</t>
  </si>
  <si>
    <t>Gradinaru, Camelia/0000-0002-3019-3056; Voda, Ana Iolanda/0000-0003-2306-0172; Costuleanu, Carmen Luiza/0000-0003-0071-4241</t>
  </si>
  <si>
    <t>Jean Monnet Module European Smart Cities for Sustainable Development-SmartEU; European Union [620415-EPP-1-2020-1-RO-EPPJMO-MODULE]</t>
  </si>
  <si>
    <t>Jean Monnet Module European Smart Cities for Sustainable Development-SmartEU; European Union(European Union (EU))</t>
  </si>
  <si>
    <t>This work was supported by Jean Monnet Module European Smart Cities for Sustainable Development-SmartEU, co-funded by the European Union (620415-EPP-1-2020-1-RO-EPPJMO-MODULE).</t>
  </si>
  <si>
    <t>VILNIUS UNIV</t>
  </si>
  <si>
    <t>VILNIUS</t>
  </si>
  <si>
    <t>UNIVERSITETO ST 3, VILNIUS, LT-01513, LITHUANIA</t>
  </si>
  <si>
    <t>1648-4460</t>
  </si>
  <si>
    <t>TRANSFORM BUS ECON</t>
  </si>
  <si>
    <t>Transform. Bus. Econ.</t>
  </si>
  <si>
    <t>2A</t>
  </si>
  <si>
    <t>Business; Economics</t>
  </si>
  <si>
    <t>8R0MG</t>
  </si>
  <si>
    <t>WOS:000927592100004</t>
  </si>
  <si>
    <t>Xu, YT; Li, TH</t>
  </si>
  <si>
    <t>Xu, Yanting; Li, Tinghui</t>
  </si>
  <si>
    <t>Measuring digital economy in China</t>
  </si>
  <si>
    <t>NATIONAL ACCOUNTING REVIEW</t>
  </si>
  <si>
    <t>digital economy; index compilation; entropy grey target method; sigma convergence; cluster analysis</t>
  </si>
  <si>
    <t>CONSTRUCTION; INDEX</t>
  </si>
  <si>
    <t>The COVID-19 pandemic has highlighted the importance of the digital economy in restoring economic and social development, creating more jobs and improving people's well-being. To inform policy makers about changes to digital strategies, measuring the digital economy is a prerequisite. This study aimed to compile an index of digital economy at the provincial (municipalities, autonomous regions, collectively referred to as provinces) level to present an accurate and in-depth depiction of how it has developed in China. Our sample covers 31 provinces in China, over the period 2010-2020. This paper firstly constructs the digital economy index system from the four dimensions of digital users, digital platforms, digital industries and digital innovation, and then adopts a combination of entropy weighting method and grey target theory to measure the digital economy index. This paper study revealed that China's digital economy has been on an upward trend from 2010 to 2019 and has a decline in 2020, and the digital innovation is an important driving force for the growth of the digital economy index. The convergence of China's digital economy is decreasing, indicating that the gap in digital economy development between provinces is increasing. The proposed index in this study can be used as a screening tool, decision making tool, benchmarking tool and guidance of high-quality digital economy development.</t>
  </si>
  <si>
    <t>[Xu, Yanting; Li, Tinghui] Guangzhou Univ, Sch Econ &amp; Stat, Guangzhou 510006, Peoples R China</t>
  </si>
  <si>
    <t>Guangzhou University</t>
  </si>
  <si>
    <t>Li, TH (corresponding author), Guangzhou Univ, Sch Econ &amp; Stat, Guangzhou 510006, Peoples R China.</t>
  </si>
  <si>
    <t>lith@gzhu.edu.cn</t>
  </si>
  <si>
    <t>The authors would like to thank Guangzhou University for sponsoring this research.</t>
  </si>
  <si>
    <t>AMER INST MATHEMATICAL SCIENCES-AIMS</t>
  </si>
  <si>
    <t>SPRINGFIELD</t>
  </si>
  <si>
    <t>PO BOX 2604, SPRINGFIELD, MO 65801-2604, UNITED STATES</t>
  </si>
  <si>
    <t>2689-3010</t>
  </si>
  <si>
    <t>NATL ACCOUNT REV</t>
  </si>
  <si>
    <t>Natl. Account. Rev.</t>
  </si>
  <si>
    <t>10.3934/NAR.2022015</t>
  </si>
  <si>
    <t>Business, Finance; Economics</t>
  </si>
  <si>
    <t>7M3CI</t>
  </si>
  <si>
    <t>WOS:000906531700003</t>
  </si>
  <si>
    <t>García, A; Bregon, A; Martínez-Prieto, MA</t>
  </si>
  <si>
    <t>Garcia, Alvaro; Bregon, Anibal; Martinez-Prieto, Miguel A.</t>
  </si>
  <si>
    <t>A non-intrusive Industry 4.0 retrofitting approach for collaborative maintenance in traditional manufacturing</t>
  </si>
  <si>
    <t>Digital retrofitting; Collaborative maintenance; Industry 4; 0; Human -machine interfaces; Traditional manufacturing; Non-intrusive sensors</t>
  </si>
  <si>
    <t>PREDICTIVE MAINTENANCE; INTELLIGENT; MANAGEMENT; FRAMEWORK; MACHINE; SYSTEMS; BARRIERS; MODELS</t>
  </si>
  <si>
    <t>The recent COVID-19 outbreak impact on the world economy has boosted the increasing business needs to force manufacturing plants adapting to unpredictable changes and ensuring the continuity of industrial production. The demand for asset monitoring solutions and specialised support at the shop floor has become an increasingly important digital priority in industry that pushes human-machine technological upgrades leading to digital workforce skills assessment. In the case of traditional manufacturing, Small and Medium-sized Enterprises (SMEs) face the challenge of managing digital technologies and Industry 4.0 (I4.0) maturity models with a low adoption rate. In this digital context very few SMEs with traditional means have anticipated the latest advances in maintenance strategies impeded by technical and economical barriers. This work presents a human-machine technological integration solution in traditional manufacturing based on a non-intrusive retrofitting development with interoperable I4.0 tools. The method provides a common and rapidly deployable hardware and software architecture supporting an HMI-based legacy maintenance approach and addresses its evaluation focused on the physical-digital convergence of older industrial systems. A case study applying a digital process approach integrated with condition-based maintenance (CBM) techniques, has been carried out on a CNC milling machine and reproduced in an injection moulding machine during COVID-19 alert state. These already existing scenarios served to deploy digital retrofitting and communication strategies without interfering in working conditions. Patterns extracted from the machines were monitored in real-time interacting with the operational knowledge of the experienced staff. In this way, we provided an original contribution to confront human-machine challenges with improvements applied in traditional manufacturing, where workers and industrial systems were collaboratively updated with augmented digital strategies and proactive CBM environments.</t>
  </si>
  <si>
    <t>[Garcia, Alvaro] Fdn Cidaut, ICT Ind 4 0 Area, Valladolid, Spain; [Garcia, Alvaro; Bregon, Anibal; Martinez-Prieto, Miguel A.] Univ Valladolid, Dept Informat, Valladolid, Spain</t>
  </si>
  <si>
    <t>Universidad de Valladolid</t>
  </si>
  <si>
    <t>García, A (corresponding author), Fdn Cidaut, ICT Ind 4 0 Area, Valladolid, Spain.</t>
  </si>
  <si>
    <t>alvgar@cidaut.es; anibal@infor.uva.es; migumar2@infor.uva.es</t>
  </si>
  <si>
    <t>Martínez-Prieto, Miguel A./A-4891-2011; Bregon, Anibal/R-6700-2018</t>
  </si>
  <si>
    <t>Martínez-Prieto, Miguel A./0000-0003-4418-561X; Bregon, Anibal/0000-0001-6752-1159; Garcia, Alvaro/0000-0002-8628-3405</t>
  </si>
  <si>
    <t>Regional Funding Agency Institute for Business Competitiveness of Castile Leon (iDIGIT4L project) [CCTT1/17/VA/0007]; FEDER funds</t>
  </si>
  <si>
    <t>Regional Funding Agency Institute for Business Competitiveness of Castile Leon (iDIGIT4L project); FEDER funds(European Union (EU))</t>
  </si>
  <si>
    <t>This work was supported by Spanish funds through Regional Funding Agency Institute for Business Competitiveness of Castile Leon (iDIGIT4L project, exp. number: CCTT1/17/VA/0007), co-financed with FEDER funds, budget line Applied R&amp;D projects carried out by technology centers. Call 2017.</t>
  </si>
  <si>
    <t>10.1016/j.cie.2021.107896</t>
  </si>
  <si>
    <t>DEC 2021</t>
  </si>
  <si>
    <t>YD3PH</t>
  </si>
  <si>
    <t>WOS:000740319900002</t>
  </si>
  <si>
    <t>Khalili-Mahani, N; Holowka, E; Woods, S; Khaled, R; Roy, M; Lashley, M; Glatard, T; Timm-Bottos, J; Dahan, A; Niesters, M; Hovey, RB; Simon, B; Kirmayer, LJ</t>
  </si>
  <si>
    <t>Khalili-Mahani, Najmeh; Holowka, Eileen; Woods, Sandra; Khaled, Rilla; Roy, Mathieu; Lashley, Myrna; Glatard, Tristan; Timm-Bottos, Janis; Dahan, Albert; Niesters, Marieke; Hovey, Richard B.; Simon, Bart; Kirmayer, Laurence J.</t>
  </si>
  <si>
    <t>Play the Pain: A Digital Strategy for Play-Oriented Research and Action</t>
  </si>
  <si>
    <t>chronic pain; personalized medicine; citizen labs; stigma &amp; discrimination; digital health; serious games (SGs); big-data; play</t>
  </si>
  <si>
    <t>The value of understanding patients' illness experience and social contexts for advancing medicine and clinical care is widely acknowledged. However, methodologies for rigorous and inclusive data gathering and integrative analysis of biomedical, cultural, and social factors are limited. In this paper, we propose a digital strategy for large-scale qualitative health research, using play (as a state of being, a communication mode or context, and a set of imaginative, expressive, and game-like activities) as a research method for recursive learning and action planning. Our proposal builds on Gregory Bateson's cybernetic approach to knowledge production. Using chronic pain as an example, we show how pragmatic, structural and cultural constraints that define the relationship of patients to the healthcare system can give rise to conflicted messaging that impedes inclusive health research. We then review existing literature to illustrate how different types of play including games, chatbots, virtual worlds, and creative art making can contribute to research in chronic pain. Inspired by Frederick Steier's application of Bateson's theory to designing a science museum, we propose DiSPORA (Digital Strategy for Play-Oriented Research and Action), a virtual citizen science laboratory which provides a framework for delivering health information, tools for play-based experimentation, and data collection capacity, but is flexible in allowing participants to choose the mode and the extent of their interaction. Combined with other data management platforms used in epidemiological studies of neuropsychiatric illness, DiSPORA offers a tool for large-scale qualitative research, digital phenotyping, and advancing personalized medicine.</t>
  </si>
  <si>
    <t>[Khalili-Mahani, Najmeh] McGill Univ, Montreal Neurol Inst, McGill Ctr Integrat Neurosci, Montreal, PQ, Canada; [Khalili-Mahani, Najmeh; Lashley, Myrna; Kirmayer, Laurence J.] McGill Univ, Div Social Transcultural Psychiat, Montreal, PQ, Canada; [Khalili-Mahani, Najmeh; Lashley, Myrna; Kirmayer, Laurence J.] Jewish Gen Hosp, Lady Davis Inst, Culture &amp; Mental Hlth Res Unit, Montreal, PQ, Canada; [Khalili-Mahani, Najmeh; Holowka, Eileen; Khaled, Rilla; Simon, Bart] Concordia Univ, Milieux Inst Art Culture &amp; Technol, Technoculture Arts &amp; Game Ctr, Montreal, PQ, Canada; [Roy, Mathieu] McGill Univ, Dept Psychol, Montreal, PQ, Canada; [Glatard, Tristan] Concordia Univ, Dept Comp Sci, Montreal, PQ, Canada; [Glatard, Tristan] Concordia Univ, PERFORM Ctr, Montreal, PQ, Canada; [Timm-Bottos, Janis] Concordia Univ, Dept Creat Art Therapies, Montreal, PQ, Canada; [Dahan, Albert; Niesters, Marieke] Leiden Univ, Leiden Univ Med Ctr, Dept Anesthesiol, Leiden, Netherlands; [Hovey, Richard B.] McGill Univ, Fac Dent, Montreal, PQ, Canada; [Simon, Bart] Concordia Univ, Dept Sociol, Montreal, PQ, Canada</t>
  </si>
  <si>
    <t>McGill University; McGill University; McGill University; Lady Davis Institute; Concordia University - Canada; McGill University; Concordia University - Canada; Concordia University - Canada; Concordia University - Canada; Leiden University; Leiden University Medical Center (LUMC); Leiden University - Excl LUMC; McGill University; Concordia University - Canada</t>
  </si>
  <si>
    <t>Khalili-Mahani, N (corresponding author), McGill Univ, Montreal Neurol Inst, McGill Ctr Integrat Neurosci, Montreal, PQ, Canada.;Khalili-Mahani, N (corresponding author), McGill Univ, Div Social Transcultural Psychiat, Montreal, PQ, Canada.;Khalili-Mahani, N (corresponding author), Jewish Gen Hosp, Lady Davis Inst, Culture &amp; Mental Hlth Res Unit, Montreal, PQ, Canada.;Khalili-Mahani, N (corresponding author), Concordia Univ, Milieux Inst Art Culture &amp; Technol, Technoculture Arts &amp; Game Ctr, Montreal, PQ, Canada.</t>
  </si>
  <si>
    <t>najmeh.khalili-mahani@concordia.ca</t>
  </si>
  <si>
    <t>Dahan, Albert/B-8845-2008</t>
  </si>
  <si>
    <t>Dahan, Albert/0000-0003-3161-3945; Khalili-Mahani, Najmeh/0000-0002-5248-2609; Holowka, Eileen Mary/0000-0003-2419-4981</t>
  </si>
  <si>
    <t>Quebec Research Funds; MCIN (McGill University); Milieux Institute for Art, Culture and Technology, PERFORM Center (Concordia University); Healthy Brains for Healthy Lives Program (CFREF, McGill University)</t>
  </si>
  <si>
    <t>This research was funded by a grant from the Quebec Research Funds to NK-M (FRQSC-AUDACE), additionally supported by MCIN (McGill University), Milieux Institute for Art, Culture and Technology, PERFORM Center (Concordia University), and the Healthy Brains for Healthy Lives Program (CFREF, McGill University).</t>
  </si>
  <si>
    <t>DEC 15</t>
  </si>
  <si>
    <t>10.3389/fpsyt.2021.746477</t>
  </si>
  <si>
    <t>VM5RX</t>
  </si>
  <si>
    <t>WOS:001027264700001</t>
  </si>
  <si>
    <t>Boonstra, MD; Reijneveld, SA; Navis, G; Westerhuis, R; de Winter, AF</t>
  </si>
  <si>
    <t>Boonstra, Marco D.; Reijneveld, Sijmen A.; Navis, Gerjan; Westerhuis, Ralf; de Winter, Andrea F.</t>
  </si>
  <si>
    <t>Co-Creation of a Multi-Component Health Literacy Intervention Targeting Both Patients with Mild to Severe Chronic Kidney Disease and Health Care Professionals</t>
  </si>
  <si>
    <t>chronic kidney disease; health literacy; self-management; communication; patient education; intervention; professional training</t>
  </si>
  <si>
    <t>SELF-MANAGEMENT; COMMUNICATION; QUALITY; BEHAVIORS; FRAMEWORK; PEOPLE</t>
  </si>
  <si>
    <t>Limited health literacy (LHL) is common in chronic kidney disease (CKD) patients and frequently associated with worse self-management. Multi-component interventions targeted at patients and healthcare professionals (HCPs) are recommended, but evidence is limited. Therefore, this study aims to determine the objectives and strategies of such an intervention, and to develop, produce and evaluate it. For this purpose, we included CKD patients with LHL (n = 19), HCPs (n = 15), educators (n = 3) and students (n = 4) from general practices, nephrology clinics and universities in an Intervention Mapping (IM) process. The determined intervention objectives especially address the patients' competences in maintaining self-management in the long term, and communication competences of patients and HCPs. Patients preferred visual strategies and strategies supporting discussion of needs and barriers during consultations to written and digital strategies. Moreover, they preferred an individual approach to group meetings. We produced a four-component intervention, consisting of a visually attractive website and topic-based brochures, consultation cards for patients, and training on LHL for HCPs. Evaluation revealed that the intervention was useful, comprehensible and fitting for patients' needs. Healthcare organizations need to use visual strategies more in patient education, be careful with digitalization and group meetings, and train HCPs to improve care for patients with LHL. Large-scale research on the effectiveness of similar HL interventions is needed.</t>
  </si>
  <si>
    <t>[Boonstra, Marco D.; Reijneveld, Sijmen A.; de Winter, Andrea F.] Univ Med Ctr Groningen, Dept Hlth Sci, NL-9713 GZ Groningen, Netherlands; [Navis, Gerjan; Westerhuis, Ralf] Univ Med Ctr Groningen, Dept Nephrol, NL-9713 GZ Groningen, Netherlands</t>
  </si>
  <si>
    <t>University of Groningen; University of Groningen</t>
  </si>
  <si>
    <t>Boonstra, MD (corresponding author), Univ Med Ctr Groningen, Dept Hlth Sci, NL-9713 GZ Groningen, Netherlands.</t>
  </si>
  <si>
    <t>m.d.boonstra@umcg.nl; s.a.reijneveld@umcg.nl; g.j.navis@umcg.nl; r.westerhuis@dcg.nl; a.f.de.winter@umcg.nl</t>
  </si>
  <si>
    <t>Boonstra, Marco Douwe/0000-0001-8807-3068; Reijneveld, Sijmen/0000-0002-1206-7523</t>
  </si>
  <si>
    <t>10.3390/ijerph182413354</t>
  </si>
  <si>
    <t>XZ4MQ</t>
  </si>
  <si>
    <t>WOS:000737627800001</t>
  </si>
  <si>
    <t>Cauffman, C; Goanta, C</t>
  </si>
  <si>
    <t>Cauffman, Caroline; Goanta, Catalina</t>
  </si>
  <si>
    <t>A New Order: The Digital Services Act and Consumer Protection</t>
  </si>
  <si>
    <t>EUROPEAN JOURNAL OF RISK REGULATION</t>
  </si>
  <si>
    <t>On 16 December 2020, the European Commission delivered on the plans proposed in the European Digital Strategy by publishing two proposals related to the governance of digital services in the European Union: the Digital Services Act (DSA) and the Digital Markets Act (DMA). The much-awaited regulatory reform is often mentioned in the context of content moderation and freedom of expression, market power and competition. It is, however, important to bear in mind the contractual nature of the relationship between users and platforms and the additional contracts concluded on the platform between the users, in particular traders and consumers. Moreover, the monetisation offered by digital platforms has led to new dynamics and economic interests. This paper explores the reform proposed by the European Commission by means of the DSA by touching upon four main themes that will be addressed from the perspective of consumer protection: (1) the internal coherence of European Union law; (2) intermediary liability; (3) the outsourcing of solutions to private parties; and (4) digital enforcement.</t>
  </si>
  <si>
    <t>[Cauffman, Caroline; Goanta, Catalina] Maastricht Univ, Bouillonstr 1-3, NL-6211 LH Maastricht, Netherlands</t>
  </si>
  <si>
    <t>Maastricht University</t>
  </si>
  <si>
    <t>Cauffman, C (corresponding author), Maastricht Univ, Bouillonstr 1-3, NL-6211 LH Maastricht, Netherlands.</t>
  </si>
  <si>
    <t>caroline.cauffman@maastrichtuniversity.nl; catalina.goanta@maastrichtuniversity.nl</t>
  </si>
  <si>
    <t>Cauffman, Caroline/K-7726-2019; Cauffman, Caroline/X-1949-2019</t>
  </si>
  <si>
    <t>Cauffman, Caroline/0000-0002-0159-9823;</t>
  </si>
  <si>
    <t>1867-299X</t>
  </si>
  <si>
    <t>2190-8249</t>
  </si>
  <si>
    <t>EUR J RISK REGUL</t>
  </si>
  <si>
    <t>Eur. J. Risk Regul.</t>
  </si>
  <si>
    <t>10.1017/err.2021.8</t>
  </si>
  <si>
    <t>XD4UN</t>
  </si>
  <si>
    <t>WOS:000722706200004</t>
  </si>
  <si>
    <t>Salvador, E; Benghozi, PJ</t>
  </si>
  <si>
    <t>Salvador, Elisa; Benghozi, Pierre-Jean</t>
  </si>
  <si>
    <t>The Digital Strategies of Publishing Houses: A Matter of Book Content?</t>
  </si>
  <si>
    <t>INTERNATIONAL JOURNAL OF ARTS MANAGEMENT</t>
  </si>
  <si>
    <t>Cultural and creative industries; book publishing industry; e-book; e-readers; book catalogue; digital economy</t>
  </si>
  <si>
    <t>LONG TAIL; COMPETITION; MARKET</t>
  </si>
  <si>
    <t>Traditional publishing houses are being confronted with the online diffusion of e-books. This phenomenon has forced publishers to offer digital versions of their printed books. However, it would be inaccurate to envision and report on the digital strategies of publishers in a global way, since the effect of digitization differs widely according to book type for example, dictionaries, illustrated books, novels. This study examines whether, how and to what extent the types and categories of books influence the behaviour of publishers in terms of their digitization strategies and the design of their e-books. The results reflect divergent approaches to proactive behaviour and the appropriation of e-book technologies. Not all publishers are on the path to publishing in digital formats. The authors provide a comparative analysis of print and e-book catalogues. They compare the strategies of 104 publishers in one specific country: France. The most widely diffused book categories with the total number of titles available in print and digital formats are identified for each publisher. The analysis uses Electre, the national databank of French publishers. The results shed light on the influence of the digital book on printed book categories and make it possible to characterize the strategies of publishing houses in the digital age.</t>
  </si>
  <si>
    <t>[Salvador, Elisa] Italian Natl Res Council, CNR, Innovat Policies, Rome, Italy; [Salvador, Elisa] Politecn Torino, Turin, Italy; [Salvador, Elisa] ESCP Europe Business Sch, Paris, France; [Salvador, Elisa] Ieseg Sch Management, Paris, France; [Salvador, Elisa; Benghozi, Pierre-Jean] Ecole Polytech, Paris, France; [Salvador, Elisa] ESSCA Sch Management, Angers, France; [Benghozi, Pierre-Jean] Natl Ctr Sci Res, CNRS, Paris, France; [Benghozi, Pierre-Jean] Univ Geneva, GSEM, Geneva, Switzerland; [Benghozi, Pierre-Jean] AIMAC, Doha, Qatar</t>
  </si>
  <si>
    <t>Consiglio Nazionale delle Ricerche (CNR); Polytechnic University of Turin; heSam Universite; ESCP Business School; IESEG School of Management; ESSCA Ecole de Management; Centre National de la Recherche Scientifique (CNRS); University of Geneva</t>
  </si>
  <si>
    <t>Salvador, E (corresponding author), Italian Natl Res Council, CNR, Innovat Policies, Rome, Italy.;Salvador, E (corresponding author), Politecn Torino, Turin, Italy.;Salvador, E (corresponding author), ESCP Europe Business Sch, Paris, France.;Salvador, E (corresponding author), Ieseg Sch Management, Paris, France.;Salvador, E (corresponding author), Ecole Polytech, Paris, France.;Salvador, E (corresponding author), ESSCA Sch Management, Angers, France.</t>
  </si>
  <si>
    <t>ECOLE DES HAUTES ETUDES COMMERCIALES DE MONTREAL</t>
  </si>
  <si>
    <t>3000, CHEMIN DE LA COTE-SAINTE-CATHERINE, MONTREAL, H3T 2A7, CANADA</t>
  </si>
  <si>
    <t>1480-8986</t>
  </si>
  <si>
    <t>INT J ARTS MANAG</t>
  </si>
  <si>
    <t>Int. J. Arts Manag.</t>
  </si>
  <si>
    <t>WIN</t>
  </si>
  <si>
    <t>Humanities, Multidisciplinary; Management</t>
  </si>
  <si>
    <t>Arts &amp; Humanities - Other Topics; Business &amp; Economics</t>
  </si>
  <si>
    <t>SL5BC</t>
  </si>
  <si>
    <t>WOS:000656931900006</t>
  </si>
  <si>
    <t>Sándor, A; Gubán, A</t>
  </si>
  <si>
    <t>Sandor, Agnes; Guban, Akos</t>
  </si>
  <si>
    <t>A Measuring Tool for the Digital Maturity of Small and Medium-Sized Enterprises</t>
  </si>
  <si>
    <t>MANAGEMENT AND PRODUCTION ENGINEERING REVIEW</t>
  </si>
  <si>
    <t>Digitalization; Digital maturity model; SMEs; Fuzzy method</t>
  </si>
  <si>
    <t>COMPETITIVE ADVANTAGE; FIRM PERFORMANCE; CAPABILITIES; SMES; ICT; TECHNOLOGY; ADOPTION</t>
  </si>
  <si>
    <t>In digital revolution, the appropriate IT infrastructure, technological knowledge are essential for the success of companies, where the success of the digital transformation depends on digital maturity. The aim of the study is to define the digital maturity, theoretical foundation of the digital maturity model and present a framework for small and medium-sized enterprises (SMEs) understanding where they are in digitalisation (how advanced their digital resource system and digital approach) to respond faster and efficiently to environmental changes. The model construction is based on theory of dynamic capabilities, graduation models, and SMEs management challenges. The model is a dynamic model to support management in strategic, digital and organizational developments, which is divided into IT and organizational dimensions, including 6 components and 28 subcomponents. The ultimate goal of the study is to determine the component weights to create a neurofuzzy model.</t>
  </si>
  <si>
    <t>[Sandor, Agnes; Guban, Akos] Budapest Business Sch, Fac Finance &amp; Accountancy, Dept Business Informat Technol, Buzogany St 10-12, H-1149 Budapest, Hungary</t>
  </si>
  <si>
    <t>Budapest Business University</t>
  </si>
  <si>
    <t>Sándor, A (corresponding author), Budapest Business Sch, Fac Finance &amp; Accountancy, Dept Business Informat Technol, Buzogany St 10-12, H-1149 Budapest, Hungary.</t>
  </si>
  <si>
    <t>sandor.agnes@uni-bge.hu</t>
  </si>
  <si>
    <t>Future Value Chains Center of Excellence</t>
  </si>
  <si>
    <t>The research was supported by the Future Value Chains Center of Excellence.</t>
  </si>
  <si>
    <t>POLSKA AKAD NAUK, POLISH ACAD SCIENCES</t>
  </si>
  <si>
    <t>WARSZAWA</t>
  </si>
  <si>
    <t>PL DEFILAD 1, WARSZAWA, 00-901, POLAND</t>
  </si>
  <si>
    <t>2080-8208</t>
  </si>
  <si>
    <t>2082-1344</t>
  </si>
  <si>
    <t>MANAG PROD ENG REV</t>
  </si>
  <si>
    <t>Manag. Prod. Eng. Rev.</t>
  </si>
  <si>
    <t>10.24425/mper.2021.140001</t>
  </si>
  <si>
    <t>YP1LH</t>
  </si>
  <si>
    <t>WOS:000748389200012</t>
  </si>
  <si>
    <t>Trzaska, R; Sulich, A; Organa, M; Niemczyk, J; Jasinski, B</t>
  </si>
  <si>
    <t>Trzaska, Rafal; Sulich, Adam; Organa, Michal; Niemczyk, Jerzy; Jasinski, Bartosz</t>
  </si>
  <si>
    <t>Digitalization Business Strategies in Energy Sector: Solving Problems with Uncertainty under Industry 4.0 Conditions</t>
  </si>
  <si>
    <t>ENERGIES</t>
  </si>
  <si>
    <t>business models; digital revolution; energy sector transformation; Hellwig's method; Industry 4; 0; literature review; strategic management</t>
  </si>
  <si>
    <t>SUSTAINABLE DEVELOPMENT; CIRCULAR ECONOMY; MODEL; INNOVATION; DIGITIZATION; TECHNOLOGIES; ATTRIBUTES; PREDICTION; EFFICIENCY; CONTEXT</t>
  </si>
  <si>
    <t>Digital transformation is a concept based on the use of digitalization and digitization. Digitalization leads to change of business models and provides a competitive advantage also in the energy sector. The process of change towards a digital business requires a specific strategy type, aimed to solve problems with uncertainty caused by Industry 4.0 implementation. This paper aims to propose a theoretical model combining different digitalization strategies and business models. Their theoretical foundations were discussed in the literature review part and related empirical research questions were attempted to be answered by the reference method analysis. The quantitative method of analysis was based on the secondary data from Eurostat for all EU member states and backed the theoretical part in terms of ICT variables. The novelty of this research is based on Hellwig's reference method used in management sciences and the presented managerial implications. The discussed challenges of the energy sector are related to the digital strategy implementation, relationships between digital transformation and business models, and solutions for such issues as strategy communication and new roles for managers, who should become digital leaders in the energy sector organizations. The main consequence of the proposed model in this study, for the energy sector companies' managers, is that uncertainty in modern energy sector organizations is more related to employees and their technical skills than implemented ICT itself.</t>
  </si>
  <si>
    <t>[Trzaska, Rafal; Organa, Michal; Niemczyk, Jerzy; Jasinski, Bartosz] Wroclaw Univ Econ &amp; Business, Dept Strategy &amp; Management Methods, Fac Management, Ul Komandorska 118-120, PL-53345 Wroclaw, Poland; [Sulich, Adam] Wroclaw Univ Econ &amp; Business, Dept Adv Res Management, Fac Management, Ul Komandorska 118-120, PL-53345 Wroclaw, Poland</t>
  </si>
  <si>
    <t>Wroclaw University of Economics &amp; Business; Wroclaw University of Economics &amp; Business</t>
  </si>
  <si>
    <t>Trzaska, R (corresponding author), Wroclaw Univ Econ &amp; Business, Dept Strategy &amp; Management Methods, Fac Management, Ul Komandorska 118-120, PL-53345 Wroclaw, Poland.;Sulich, A (corresponding author), Wroclaw Univ Econ &amp; Business, Dept Adv Res Management, Fac Management, Ul Komandorska 118-120, PL-53345 Wroclaw, Poland.</t>
  </si>
  <si>
    <t>adam.sulich@ue.wroc.pl; jerzy.niemczyk@ue.wroc.pl</t>
  </si>
  <si>
    <t>Niemczyk, Jerzy/R-5727-2018; Sulich, Adam/M-7935-2019</t>
  </si>
  <si>
    <t>Niemczyk, Jerzy/0000-0002-0766-3929; Sulich, Adam/0000-0001-8841-9102</t>
  </si>
  <si>
    <t>National Science Centre in Poland [2019/33/N/HS4/02957]; Ministry of Science and Higher Education in Poland [015/RID/2018/19]</t>
  </si>
  <si>
    <t>National Science Centre in Poland(National Science Centre, Poland); Ministry of Science and Higher Education in Poland(Ministry of Science and Higher Education, Poland)</t>
  </si>
  <si>
    <t>(A.S.) The project is financed by the National Science Centre in Poland under the program Business Ecosystem of the Environmental Goods and Services Sector in Poland, implemented in 2020-2022; project number 2019/33/N/HS4/02957; total funding amount PLN 120,900.00. (A.S., R.T, M.O., B.J, and J.N.) The project is financed by the Ministry of Science and Higher Education in Poland under the program Regional Initiative of Excellence 2019-2022; project number 015/RID/2018/19; total funding amount PLN 10,721,040.00.</t>
  </si>
  <si>
    <t>1996-1073</t>
  </si>
  <si>
    <t>Energies</t>
  </si>
  <si>
    <t>10.3390/en14237997</t>
  </si>
  <si>
    <t>Energy &amp; Fuels</t>
  </si>
  <si>
    <t>XW2IJ</t>
  </si>
  <si>
    <t>WOS:000735449200001</t>
  </si>
  <si>
    <t>Marty, PF; Buchanan, V</t>
  </si>
  <si>
    <t>Marty, Paul F.; Buchanan, Vivian</t>
  </si>
  <si>
    <t>Exploring the Contributions and Challenges of Museum Technology Professionals during the COVID-19 Crisis</t>
  </si>
  <si>
    <t>CURATOR-THE MUSEUM JOURNAL</t>
  </si>
  <si>
    <t>This paper presents results from an online survey designed to explore the role of museum technology professionals during times of crisis such as the COVID-19 pandemic. The survey results offer an important first look at the contributions and challenges of museum technology professionals during a critical turning point in the history of museums. The analysis of these results provides insight into how museum technology professionals are affected during times of crisis, the contributions they can make to museums in crisis, and how they can better advocate their value to museum leadership in crisis situations. The research results demonstrate the need for museums to promote digital literacy skills, increase their investment in digital technologies, and develop the digital strategies they will need to respond to future crises head on.</t>
  </si>
  <si>
    <t>[Buchanan, Vivian] Florida State Univ, Sch Informat, Tallahassee, FL 32306 USA; [Marty, Paul F.] Florida State Univ, Sch Informat, Coll Commun &amp; Informat, Tallahassee, FL 32306 USA</t>
  </si>
  <si>
    <t>State University System of Florida; Florida State University; State University System of Florida; Florida State University</t>
  </si>
  <si>
    <t>Marty, PF (corresponding author), Florida State Univ, Sch Informat, Tallahassee, FL 32306 USA.</t>
  </si>
  <si>
    <t>marty@fsu.edu</t>
  </si>
  <si>
    <t>Marty, Paul/0000-0002-5948-5730</t>
  </si>
  <si>
    <t>0011-3069</t>
  </si>
  <si>
    <t>2151-6952</t>
  </si>
  <si>
    <t>CURATOR</t>
  </si>
  <si>
    <t>Curator</t>
  </si>
  <si>
    <t>10.1111/cura.12455</t>
  </si>
  <si>
    <t>NOV 2021</t>
  </si>
  <si>
    <t>YF2LE</t>
  </si>
  <si>
    <t>WOS:000723010600001</t>
  </si>
  <si>
    <t>Tantscher, D; Mayer, B</t>
  </si>
  <si>
    <t>Tantscher, Dominik; Mayer, Barbara</t>
  </si>
  <si>
    <t>Digital Retrofitting of legacy machines: A holistic procedure model for industrial companies</t>
  </si>
  <si>
    <t>CIRP JOURNAL OF MANUFACTURING SCIENCE AND TECHNOLOGY</t>
  </si>
  <si>
    <t>Digital Transformation; Digital Retrofitting; Industry 4.0; Procedure model</t>
  </si>
  <si>
    <t>VERIFICATION; VALIDATION; MANAGEMENT; INTERNET</t>
  </si>
  <si>
    <t>Digital Transformation is a demanding evolutional process for industrial companies that touches all important business areas. A central role for the development towards a more flexible and efficient manufacture play production data. However, most machines in use lack a digital interface, such that they are not capable to connect in a network. Thus, data cannot be utilized. One solution from the technical perspective is Digital Retrofitting focusing on the implementation of additional sensors and edge devices to digitally connect the machine and transforming it into a cyber-physical system. This approach is also economically promising for companies since investing in new machines is far more expensive than the retrofitting of legacy systems. Nevertheless, industrial practice shows that Digital Retrofitting projects often do not lead to sustainable solutions because they lack integration into the digital transformation process. This paper thus introduces a holistic procedure model for Digital Retrofitting that is the result of an analysis and clustering of existing process models. The framework incorporates the perspectives on digital strategy, interdisciplinarity, change and lean management and, therefore, provides a guideline for companies leading to a more effective and efficient implementation process with sustainable impact. Furthermore, a description of a successful validation of the procedure model is given on the example of a condition monitoring use case in the Smart Production Lab of FH JOANNEUM. (C) 2021 CIRP.</t>
  </si>
  <si>
    <t>[Tantscher, Dominik; Mayer, Barbara] FH JOANNEUM, Inst Ind Management, A-8605 Kapfenberg, Austria</t>
  </si>
  <si>
    <t>Tantscher, D (corresponding author), FH JOANNEUM, Inst Ind Management, A-8605 Kapfenberg, Austria.</t>
  </si>
  <si>
    <t>dominik.tantscher@fh-joanneum.at; barbara.mayer@fh-joanneum.at</t>
  </si>
  <si>
    <t>1755-5817</t>
  </si>
  <si>
    <t>1878-0016</t>
  </si>
  <si>
    <t>CIRP J MANUF SCI TEC</t>
  </si>
  <si>
    <t>CIRP J. Manuf. Sci. Technol.</t>
  </si>
  <si>
    <t>10.1016/j.cirpj.2021.10.011</t>
  </si>
  <si>
    <t>Engineering, Manufacturing</t>
  </si>
  <si>
    <t>XB1RY</t>
  </si>
  <si>
    <t>WOS:000721112900004</t>
  </si>
  <si>
    <t>González-Neira, A; Vázquez-Herrero, J; Quintas-Froufe, N</t>
  </si>
  <si>
    <t>Gonzalez-Neira, Ana; Vazquez-Herrero, Jorge; Quintas-Froufe, Natalia</t>
  </si>
  <si>
    <t>Convergence of linear television and digital platforms: An analysis of YouTube offer and consumption</t>
  </si>
  <si>
    <t>EUROPEAN JOURNAL OF COMMUNICATION</t>
  </si>
  <si>
    <t>digital video; audience; television; YouTube; digitalization</t>
  </si>
  <si>
    <t>SOCIAL MEDIA; TV</t>
  </si>
  <si>
    <t>This research studies the offer and consumption on YouTube in Spain of videos from the three main media groups on free-to-air TV. Firstly, a study of the offer of these channels' onset platforms was conducted. Later, the audience data gathered by YouTube Data API and Comscore between February and May 2020 was analyzed to ascertain the traditional broadcasters' strategy regarding new viewing windows. The results indicate that this window display is used mainly as a promotional strategy and the channels do not consider it to be a key element in their digital strategy, with practical nonexistence of crossmedia initiatives and exclusive content. The consumer analysis permits definition of the TV content, its success and user patterns.</t>
  </si>
  <si>
    <t>[Gonzalez-Neira, Ana; Quintas-Froufe, Natalia] Univ A Coruna, La Coruna, Spain; [Vazquez-Herrero, Jorge] Univ Santiago de Compostela, Santiago De Compostela, A Coruna, Spain</t>
  </si>
  <si>
    <t>Universidade da Coruna; Universidade de Santiago de Compostela</t>
  </si>
  <si>
    <t>Vázquez-Herrero, J (corresponding author), Univ Santiago de Compostela, Fac Commun Sci, Ave Castelao S-N, Santiago De Compostela 15782, A Coruna, Spain.</t>
  </si>
  <si>
    <t>jorge.vazquez@usc.es</t>
  </si>
  <si>
    <t>Vázquez-Herrero, Jorge/J-8399-2017; Gonzalez-Neira, Ana/K-7155-2014</t>
  </si>
  <si>
    <t>Vázquez-Herrero, Jorge/0000-0002-9081-3018; Gonzalez-Neira, Ana/0000-0002-6369-0323</t>
  </si>
  <si>
    <t>0267-3231</t>
  </si>
  <si>
    <t>1460-3705</t>
  </si>
  <si>
    <t>EUR J COMMUN</t>
  </si>
  <si>
    <t>Eur. J. Commun.</t>
  </si>
  <si>
    <t>10.1177/02673231211054720</t>
  </si>
  <si>
    <t>3I9QB</t>
  </si>
  <si>
    <t>WOS:000716511200001</t>
  </si>
  <si>
    <t>He, ZX; Lu, WQ; Hua, GH; Wang, JM</t>
  </si>
  <si>
    <t>He, Zhengxia; Lu, Wenqi; Hua, Guihong; Wang, Jianming</t>
  </si>
  <si>
    <t>Factors Affecting Enterprise Level Green Innovation Efficiency in the Digital Economy Era - Evidence from Listed Paper Enterprises in China</t>
  </si>
  <si>
    <t>BIORESOURCES</t>
  </si>
  <si>
    <t>Green technology innovation; Media attention; Tobit model; Environmental regulation; Digital economy</t>
  </si>
  <si>
    <t>SCALE</t>
  </si>
  <si>
    <t>The Guidelines on Building a Market-Oriented Green Technology Innovation System, which was released by China in 2019, has become a powerful signal to guide the development of green technology innovation (GTI). In the current digital strategy of China, the public media has become a key factor for promoting the transparency of enterprise environmental information. This paper measures the GTI efficiency of the listed paper enterprises in China as well as incorporating media attention into the research framework to explore the influencing factors of GTI of the listed paper enterprises in China during the digital economy era. The results showed that a positive media report had a positive impact on GTI and has become a new driving factor in promoting sustainable production in the digital era. Government support and openness also have a positive impact on GTI. However, negative media reports, environmental regulations, and technological innovation abilities have an inhibitory effect on the GTI efficiency of paper making enterprises.</t>
  </si>
  <si>
    <t>[He, Zhengxia; Lu, Wenqi; Hua, Guihong; Wang, Jianming] Jiangsu Normal Univ, Xuzhou, Jiangsu, Peoples R China</t>
  </si>
  <si>
    <t>Jiangsu Normal University</t>
  </si>
  <si>
    <t>Hua, GH; Wang, JM (corresponding author), Jiangsu Normal Univ, Xuzhou, Jiangsu, Peoples R China.</t>
  </si>
  <si>
    <t>1035329325@qq.com; huaguihong@jsnu.edu.cn; sjwjm@zufe.edu.cn</t>
  </si>
  <si>
    <t>National Social Science Fund of China [19BJL033]</t>
  </si>
  <si>
    <t>National Social Science Fund of China</t>
  </si>
  <si>
    <t>The authors gratefully acknowledge the financial support of The National Social Science Fund of China(19BJL033).</t>
  </si>
  <si>
    <t>NORTH CAROLINA STATE UNIV DEPT WOOD &amp; PAPER SCI</t>
  </si>
  <si>
    <t>RALEIGH</t>
  </si>
  <si>
    <t>CAMPUS BOX 8005, RALEIGH, NC 27695-8005 USA</t>
  </si>
  <si>
    <t>1930-2126</t>
  </si>
  <si>
    <t>BioResources</t>
  </si>
  <si>
    <t>10.15376/biores.16.4.7648-7670</t>
  </si>
  <si>
    <t>Materials Science, Paper &amp; Wood</t>
  </si>
  <si>
    <t>Materials Science</t>
  </si>
  <si>
    <t>YS7KL</t>
  </si>
  <si>
    <t>WOS:000750851200076</t>
  </si>
  <si>
    <t>Kondratieva, NB</t>
  </si>
  <si>
    <t>Kondratieva, N. B.</t>
  </si>
  <si>
    <t>EU Agricultural Digitalization Decalogue</t>
  </si>
  <si>
    <t>HERALD OF THE RUSSIAN ACADEMY OF SCIENCES</t>
  </si>
  <si>
    <t>digital strategy; common agricultural policy; supranational regulation; COVID-19 pandemic; sustainable development; global climate change</t>
  </si>
  <si>
    <t>The aim of the article is to summarize the ideological foundations and to characterize the current stage of agricultural digitalization in the EU. The author identifies the framework documents and areas of discussion on the development of the digital strategy of the European Union in the agricultural sector. Taking into account the successful practice and opinions of the competent centers, an idea was formed about the principles and ten areas that are covered by supranational assistance, which form a kind of Decalogue of agricultural digitalization. The author notes that the regulation of digital transformation in agriculture is due not so much to the need to increase the economic efficiency of business processes, but rather to the intention to facilitate the control of their compliance with the criteria of climate neutrality and inclusiveness. The digitalization strategy of the Common agricultural policy (CAP) brings its goals closer to those of sustainable development. The ongoing crisis in Europe and the world caused by the COVID-19 coronavirus pandemic gives the European Commission a formal reason to step up digital transformation in agriculture. Relying on legal and investment-based regulatory tools, it uses tactics to force progress in the name of improving the sustainability of agriculture in the face of probable shocks.</t>
  </si>
  <si>
    <t>[Kondratieva, N. B.] Russian Acad Sci, Inst Europe, Moscow 125009, Russia</t>
  </si>
  <si>
    <t>Institute of Europe RAS; Russian Academy of Sciences</t>
  </si>
  <si>
    <t>Kondratieva, NB (corresponding author), Russian Acad Sci, Inst Europe, Moscow 125009, Russia.</t>
  </si>
  <si>
    <t>nkondratieva@inbox.ru</t>
  </si>
  <si>
    <t>MAIK NAUKA/INTERPERIODICA/SPRINGER</t>
  </si>
  <si>
    <t>233 SPRING ST, NEW YORK, NY 10013-1578 USA</t>
  </si>
  <si>
    <t>1019-3316</t>
  </si>
  <si>
    <t>1555-6492</t>
  </si>
  <si>
    <t>HER RUSS ACAD SCI+</t>
  </si>
  <si>
    <t>Her. Russ. Acad. Sci.</t>
  </si>
  <si>
    <t>10.1134/S1019331621060150</t>
  </si>
  <si>
    <t>History &amp; Philosophy Of Science; Multidisciplinary Sciences</t>
  </si>
  <si>
    <t>History &amp; Philosophy of Science; Science &amp; Technology - Other Topics</t>
  </si>
  <si>
    <t>YR9ZE</t>
  </si>
  <si>
    <t>WOS:000750345500017</t>
  </si>
  <si>
    <t>Guzek, D</t>
  </si>
  <si>
    <t>Guzek, Damian</t>
  </si>
  <si>
    <t>When partisan groups get access to the digital society: re-voicing religion in Poland</t>
  </si>
  <si>
    <t>Iteration practices; digital society; religion; partisan groups; far-right; Poland</t>
  </si>
  <si>
    <t>POLITICS; MEDIA</t>
  </si>
  <si>
    <t>In recent years, radical voices of all kinds have become increasingly visible due to digital platforms. Within this context, issues connected with religious diversity have received little attention. But valuable insights can be gained from examining how radical religious advocates embrace digital strategies, using their own marginality to ironically oppose religious diversity. This article discusses the discursive strategies of the Polish far-right, their approach to religious diversity, and their iteration practices. It focuses on the discursive strategies and practices of far-right leaders of opinion in Poland opposed to religious diversity that have worked to narrow Christian values to a reinvented idea of traditional Catholicism. In this, they use techniques of language and narrative control, with intentional repetition playing a key role. My research suggests the need for an intricate understanding of these processes, in which Poland's far-right movements shape identities through shifting religious norms in often hidden practices of religious exclusion.</t>
  </si>
  <si>
    <t>[Guzek, Damian] Univ Silesia Katowice, Inst Journalism &amp; Media Commun, Bakowa 11, PL-40007 Katowice, Poland</t>
  </si>
  <si>
    <t>University of Silesia in Katowice</t>
  </si>
  <si>
    <t>Guzek, D (corresponding author), Univ Silesia Katowice, Inst Journalism &amp; Media Commun, Bakowa 11, PL-40007 Katowice, Poland.</t>
  </si>
  <si>
    <t>damian.guzek@us.edu.pl</t>
  </si>
  <si>
    <t>APR 26</t>
  </si>
  <si>
    <t>10.1080/1369118X.2021.1994628</t>
  </si>
  <si>
    <t>OCT 2021</t>
  </si>
  <si>
    <t>F9IT0</t>
  </si>
  <si>
    <t>WOS:000712668000001</t>
  </si>
  <si>
    <t>Fernandez-Vidal, J; Gonzalez, R; Gasco, J; Llopis, J</t>
  </si>
  <si>
    <t>Fernandez-Vidal, Jorge; Gonzalez, Reyes; Gasco, Jose; Llopis, Juan</t>
  </si>
  <si>
    <t>Digitalization and corporate transformation: The case of European oil &amp; gas firms</t>
  </si>
  <si>
    <t>Digital transformation; Business transformation; Digital strategy; Corporate strategy; Energy sector</t>
  </si>
  <si>
    <t>STRATEGY TOOLS; GENERATION; INNOVATION; CAPABILITY; INDUSTRY; OPTIONS; ERA</t>
  </si>
  <si>
    <t>Digital technologies have had a tremendous impact on the world and have forced companies to adapt their business models, strategies and management practices. There is a scarcity of research about digital transformation in the energy sector, so this paper aims to analyze this phenomenon in the Oil &amp; Gas sector through a comparative case analysis of eight market leading European Oil &amp; Gas companies. To ensure an adequate methodological approach, the authors have applied Eisenhardt's framework to build theories from case study research. This article relies on multiple data collection methods. 26 interviews with 18 senior executives from the sample energy firms and two global consulting firms were completed in two separate phases. To complement these interviews, information and data were collected from a range of public sources, such as newspapers, video interviews, business magazines and analyst reports, as well as public information from the eight companies under analysis, such as annual and financial reports, company presentations, regulatory filings and announcements and company news. Our research highlights several transformational moves in the firms under study that bring substantial new capabilities and allow them to achieve market-leading positions in new and digitally native business areas -although modest in size. The sample firms mainly opt for combinations of small transformational strategies to achieve their large transformation goals. However, in many organizations, digital and business transformation initiatives suffer from poor governance and are typically just a collection of unconnected activities, piecemeal strategies and pilot projects. Developing a coherent transformation strategy, with the right structure and governance, remains a challenge for most organizations. This paper, leveraging the collective learnings from the eight companies studied, aims to help decision-makers with a conceptual guideline to select the most appropriate strategic tools when undergoing a transformation, based on four dimensions that are of high relevance across multiple strategic environments.</t>
  </si>
  <si>
    <t>[Fernandez-Vidal, Jorge] Univ Alicante, Fac Econ, Alicante 03690, Spain; [Gonzalez, Reyes; Gasco, Jose; Llopis, Juan] Univ Alicante, Business Management, Alicante, Spain; [Gasco, Jose] Univ Alicante, Res Inst Tourism, Alicante, Spain</t>
  </si>
  <si>
    <t>Universitat d'Alacant; Universitat d'Alacant; Universitat d'Alacant</t>
  </si>
  <si>
    <t>Gonzalez, R (corresponding author), Univ Alicante, Fac Econ, Alicante 03690, Spain.</t>
  </si>
  <si>
    <t>mr.gonzalez@ua.es</t>
  </si>
  <si>
    <t>Gascó, José L/L-1794-2014; Fernandez Vidal, Jorge/HIZ-5766-2022; Gonzalez-Ramirez, Reyes/L-1893-2014</t>
  </si>
  <si>
    <t>Gascó, José L/0000-0003-2461-7702; Gonzalez-Ramirez, Reyes/0000-0002-9758-7957</t>
  </si>
  <si>
    <t>10.1016/j.techfore.2021.121293</t>
  </si>
  <si>
    <t>WY6EE</t>
  </si>
  <si>
    <t>WOS:000719370700002</t>
  </si>
  <si>
    <t>Noehrer, L; Gilmore, A; Jay, C; Yehudi, Y</t>
  </si>
  <si>
    <t>Noehrer, Lukas; Gilmore, Abigail; Jay, Caroline; Yehudi, Yo</t>
  </si>
  <si>
    <t>The impact of COVID-19 on digital data practices in museums and art galleries in the UK and the US</t>
  </si>
  <si>
    <t>The first quarter of 2020 heralded the beginning of an uncertain future for museums and galleries as the COVID-19 pandemic hit and the only means to stay 'open' was to turn towards the digital. In this paper, we investigate how the physical closure of museum buildings due to lockdown restrictions caused shockwaves within their digital strategies and changed their data practices potentially for good. We review the impact of COVID-19 on the museum sector, based on literature and desk research, with a focus on the implications for three museums and art galleries in the United Kingdom and the United States, and their mission, objectives, and digital data practices. We then present an analysis of ten qualitative interviews with expert witnesses working in the sector, representing different roles and types of institutions, undertaken between April and October 2020. Our research finds that digital engagement with museum content and practices around data in institutions have changed and that digital methods for organising and accessing collections for both staff and the general public have become more important. We present evidence that strategic preparedness influenced how well institutions were able to transition during closure and that metrics data became pivotal in understanding this novel situation. Increased engagement online changed traditional audience profiles, challenging museums to find ways of accommodating new forms of engagement in order to survive and thrive in the post-pandemic environment.</t>
  </si>
  <si>
    <t>[Noehrer, Lukas; Gilmore, Abigail; Jay, Caroline; Yehudi, Yo] Univ Manchester, Manchester, Lancs, England</t>
  </si>
  <si>
    <t>University of Manchester</t>
  </si>
  <si>
    <t>Noehrer, L (corresponding author), Univ Manchester, Manchester, Lancs, England.</t>
  </si>
  <si>
    <t>lukas.noehrer@manchester.ac.uk</t>
  </si>
  <si>
    <t>Noehrer, Lukas/AHB-1229-2022; Gilmore, Abigail/JMB-2510-2023</t>
  </si>
  <si>
    <t>Noehrer, Lukas/0000-0002-9167-0397; Gilmore, Abigail/0000-0003-0596-6667; Yehudi, Yo/0000-0003-2705-1724; Jay, Caroline/0000-0002-6080-1382</t>
  </si>
  <si>
    <t>UK Engineering and Physical Sciences Research Council (EPSRC) [EP/R513131/1]; AHRC/UKRI COVID-19: Impacts on the Cultural Industries and Implications for Policy [AH/V00994X/1]; AHRC Centre of Excellence for Policy and Evidence in the Creative Industries [AH/S001298/1]; AHRC [AH/V00994X/1, AH/S012893/1] Funding Source: UKRI</t>
  </si>
  <si>
    <t>UK Engineering and Physical Sciences Research Council (EPSRC)(UK Research &amp; Innovation (UKRI)Engineering &amp; Physical Sciences Research Council (EPSRC)); AHRC/UKRI COVID-19: Impacts on the Cultural Industries and Implications for Policy; AHRC Centre of Excellence for Policy and Evidence in the Creative Industries; AHRC(UK Research &amp; Innovation (UKRI)Arts &amp; Humanities Research Council (AHRC))</t>
  </si>
  <si>
    <t>This work was supported by the UK Engineering and Physical Sciences Research Council (EPSRC) grant EP/R513131/1 for the University of Manchester and we further acknowledge funding for Gilmore from AHRC/UKRI COVID-19: Impacts on the Cultural Industries and Implications for Policy (AH/V00994X/1) and AHRC Centre of Excellence for Policy and Evidence in the Creative Industries (AH/S001298/1). We would also like to thank our participants for their time in participating in this study.</t>
  </si>
  <si>
    <t>OCT 15</t>
  </si>
  <si>
    <t>10.1057/s41599-021-00921-8</t>
  </si>
  <si>
    <t>WH3LU</t>
  </si>
  <si>
    <t>WOS:000707584600002</t>
  </si>
  <si>
    <t>McIntyre, DP; Srinivasan, A; Chintakananda, A</t>
  </si>
  <si>
    <t>McIntyre, David P.; Srinivasan, Arati; Chintakananda, Asda</t>
  </si>
  <si>
    <t>The persistence of platforms: The role of network, platform, and complementor attributes</t>
  </si>
  <si>
    <t>Platforms; Digital strategy; Network effects; Complements</t>
  </si>
  <si>
    <t>EMPIRICAL-ANALYSIS; MARKETS; SOFTWARE; STRATEGY; QUALITY; US; EXTERNALITIES; PERFORMANCE; COMPETITION; INNOVATION</t>
  </si>
  <si>
    <t>Existing research on digital platforms emphasizes the contexts that enable such platforms - and their sponsoring firms -to emerge and achieve market dominance. However, this body of research has not sufficiently addressed the ability of certain platform sponsors to persist over time, despite the existence of competing platforms or new entrants. Drawing upon research on network effects, competitive dynamics, and complementor interaction, we develop propositions highlighting the role of network, platform, and complementor attributes that facilitate or hinder the persistence of a technology-based platform in the market. In doing so, we conceptualize platform dominance as part of a dynamic process, rather than a static outcome as often characterized by previous literature. Our propositions advance research on digital platform strategy and user networks by examining the factors that enhance the continued viability of a platform, and generates a number of important directions for future research on technology management, innovation, and strategy, as well as for managerial practice in platform-mediated markets.</t>
  </si>
  <si>
    <t>[McIntyre, David P.; Srinivasan, Arati] Providence Coll, Dept Management, 1 Cunningham Sq, Providence, RI 02918 USA; [Chintakananda, Asda] Natl Inst Dev Adm, 118 Moo 3,Serithai Road, Bangkok 10240, Thailand</t>
  </si>
  <si>
    <t>Providence College; National Institute of Development Administration - Thailand</t>
  </si>
  <si>
    <t>McIntyre, DP (corresponding author), Providence Coll, Dept Management, 1 Cunningham Sq, Providence, RI 02918 USA.</t>
  </si>
  <si>
    <t>dmcinty2@providence.edu; asriniva@providence.edu; asda.chi@nida.ac.th</t>
  </si>
  <si>
    <t>10.1016/j.lrp.2020.101987</t>
  </si>
  <si>
    <t>WF7JD</t>
  </si>
  <si>
    <t>WOS:000706477200009</t>
  </si>
  <si>
    <t>Silva, C</t>
  </si>
  <si>
    <t>Silva, Carolina</t>
  </si>
  <si>
    <t>Pockets of Resilience - the Digital Responses of Youth Collectives in Contemporary Art Museums During Lockdown</t>
  </si>
  <si>
    <t>JOURNAL OF MUSEUM EDUCATION</t>
  </si>
  <si>
    <t>Youth collectives; contemporary art museums; youth; collaborative art practices; digital strategies; lockdown</t>
  </si>
  <si>
    <t>When museums across the world closed due to the COVID-19 pandemic and staff struggled to rethink their new roles in a challenging and unprecedented context, youth collectives - long-term programs for teens and young adults, aged 15-24 - reinvented themselves. The focus of my research is the digital projects developed during lockdown by youth collectives in three metropolitan contemporary art museums. These include MOCA Teens, the MCA Youth Committee and Duchamp &amp; Sons, based, respectively, at LA MOCA (U.S.A.), MCA Australia, and Whitechapel Gallery (U.K.). They adjusted quickly to the new digital pace and devised creative communication and mediation strategies that allowed their collaborative work to continue online. For this research, I combined the analysis of the digital content they produced - websites, social media and podcasts - with interviews I did with the museum educators leading each program. The success of these projects is grounded on a shared trust between museums, educators, and participants.</t>
  </si>
  <si>
    <t>[Silva, Carolina] Univ Lisbon, Inst Social Sci, Lisbon, Portugal</t>
  </si>
  <si>
    <t>Institute of Social Sciences, University of Lisbon (ICS-UL); Universidade de Lisboa</t>
  </si>
  <si>
    <t>Silva, C (corresponding author), Univ Lisbon, Inst Social Sci, Lisbon, Portugal.</t>
  </si>
  <si>
    <t>European Union [892010]; Marie Curie Actions (MSCA) [892010] Funding Source: Marie Curie Actions (MSCA)</t>
  </si>
  <si>
    <t>European Union(European Union (EU)); Marie Curie Actions (MSCA)(Marie Curie Actions)</t>
  </si>
  <si>
    <t>This project has received funding from the European Union's Horizon 2020 research and innovation programme under the Marie Sklodowska-Curie [Grant agreement No 892010].</t>
  </si>
  <si>
    <t>1059-8650</t>
  </si>
  <si>
    <t>2051-6169</t>
  </si>
  <si>
    <t>J MUS EDUC</t>
  </si>
  <si>
    <t>J. Museum Education</t>
  </si>
  <si>
    <t>10.1080/10598650.2021.1974235</t>
  </si>
  <si>
    <t>XH2RG</t>
  </si>
  <si>
    <t>WOS:000725287500010</t>
  </si>
  <si>
    <t>de Barros, MJF; Melo, P; dos Santos, EM; Bispo, LVD</t>
  </si>
  <si>
    <t>de Barros, Manoel Joaquim F.; Melo, Paulo; dos Santos, Ernani Marques; de Oliveira Bispo, Livia Veiga</t>
  </si>
  <si>
    <t>THE PANDEMIC OF COVID-19 AND THE LEVEL OF DIGITAL MATURITY OF MICRO AND SMALL BUSINESSES, A GLOBAL CONCERN</t>
  </si>
  <si>
    <t>RISUS-JOURNAL ON INNOVATION AND SUSTAINABILITY</t>
  </si>
  <si>
    <t>digital maturity; micro and small businesses; Covid-19 pandemic; digital strategy</t>
  </si>
  <si>
    <t>The COVID-19 pandemic urged the implementation of new corporate digital strategies which are, in fact, no longer an option but compulsory. Given the context, this study aims to raise the following question: Are the micro and small companies matured enough to face the challenges of digital transformation due to the Covid-19 pandemic? This study has an exploratory approach in order to answer this intriguing question which seems to be a global concern. Data were collected by applying online questionnaires to 256 managers of micro and small enterprises in the state of Bahia, Brazil. The main findings showed that half (50,2%) of respondents considered their enterprises to be in a medium level of digital maturity and 39.13% considered themselves highly prepared to face the challenges of digital transformation due to the Covid-19 pandemic. Also, the study showed that it seems to be an inversely proportional relation between managers' age range and level of digital maturity of companies. Young managers are much more open for new technologies than old ones.</t>
  </si>
  <si>
    <t>[de Barros, Manoel Joaquim F.; Melo, Paulo; de Oliveira Bispo, Livia Veiga] Univ Salvador UNIFACS, Salvador, BA, Brazil; [dos Santos, Ernani Marques] Univ Fed Bahia, Escola Adm, Salvador, BA, Brazil</t>
  </si>
  <si>
    <t>Universidade Salvador (UNIFACS); Universidade Federal da Bahia</t>
  </si>
  <si>
    <t>de Barros, MJF (corresponding author), Univ Salvador UNIFACS, Salvador, BA, Brazil.</t>
  </si>
  <si>
    <t>manoeljfb@gmail.com; pmmelo@yahoo.com; ernanims@gmail.com; liviavobispo@gmail.com</t>
  </si>
  <si>
    <t>PONTIFICIA UNIV CATOLICA SAO PAULO-PUC-SP</t>
  </si>
  <si>
    <t>RUA LUIS FELIPE ATALHA 9, ALTO MOOCA, SAO PAULO, SP 03180-070, BRAZIL</t>
  </si>
  <si>
    <t>2179-3565</t>
  </si>
  <si>
    <t>RISUS</t>
  </si>
  <si>
    <t>OCT-NOV</t>
  </si>
  <si>
    <t>10.23925/2179-3565.2021v12i4p29-35</t>
  </si>
  <si>
    <t>YI9TC</t>
  </si>
  <si>
    <t>WOS:000744182400004</t>
  </si>
  <si>
    <t>Maier, CD; Ravazzani, S</t>
  </si>
  <si>
    <t>Maier, Carmen Daniela; Ravazzani, Silvia</t>
  </si>
  <si>
    <t>Framing Diversity in Corporate Digital Contexts: A Multimodal Approach to Discursive Recontextualizations of Social Practices</t>
  </si>
  <si>
    <t>INTERNATIONAL JOURNAL OF BUSINESS COMMUNICATION</t>
  </si>
  <si>
    <t>corporate multimodal communication; discursive digital strategies; critical discourse analysis; diversity commitment and management</t>
  </si>
  <si>
    <t>DISCOURSE; LEGITIMATION; MANAGEMENT; WORKPLACE</t>
  </si>
  <si>
    <t>Diversity has become a buzzword and a must-have corporate practice for contemporary organizations. This article aims to determine how discursive strategies employed by organizations to frame diversity are constructed in digital contexts. Drawing on the literature related to diversity in organizations and its framing in external digital contexts, this study adopts a critical perspective on the discourse analysis of corporate multimodal communication. This methodological approach allows us, first, to map the discursive strategies used to frame diversity in digital contexts through several semiotic modes; and second, to unravel in detail how this discursive construction is realized in terms of social actors, social actions, space, and time. This approach is empirically applied to the case of a leading global organization, Google. The study takes current research on diversity-related framing in corporate digital communication forward and shifts the focus to multimodal discursive strategies. Researchers can use this methodological approach to capture and analyze in detail the ongoing processes of discursive representations, and to produce longitudinal studies. Practitioners can become more aware of the multimodal character of contemporary communication and build on this study to ensure that their diversity-related framing is characterized by consistency across different digital platforms.</t>
  </si>
  <si>
    <t>[Maier, Carmen Daniela; Ravazzani, Silvia] Aarhus Univ, Corp Commun Sect, Dept Management, Aarhus, Denmark</t>
  </si>
  <si>
    <t>Aarhus University</t>
  </si>
  <si>
    <t>Maier, CD (corresponding author), Aarhus Univ, Dept Management, Fuglesangs 4, DK-8210 Aarhus V, Denmark.</t>
  </si>
  <si>
    <t>cdm@mgmt.au.dk</t>
  </si>
  <si>
    <t>Maier, Carmen Daniela/AAA-4855-2020</t>
  </si>
  <si>
    <t>Maier, Carmen Daniela/0000-0002-4082-1116</t>
  </si>
  <si>
    <t>2329-4884</t>
  </si>
  <si>
    <t>2329-4892</t>
  </si>
  <si>
    <t>INT J BUS COMMUN</t>
  </si>
  <si>
    <t>Int. J. Bus. Commun.</t>
  </si>
  <si>
    <t>10.1177/2329488418768690</t>
  </si>
  <si>
    <t>Business; Communication</t>
  </si>
  <si>
    <t>Business &amp; Economics; Communication</t>
  </si>
  <si>
    <t>UB4SH</t>
  </si>
  <si>
    <t>WOS:000685837400001</t>
  </si>
  <si>
    <t>Palmer, L</t>
  </si>
  <si>
    <t>Palmer, Lindsay</t>
  </si>
  <si>
    <t>Press Freedom during Covid-19: The Digital Discourses of the International Press Institute, Reporters Sans Frontieres, and the Committee to Protect Journalists</t>
  </si>
  <si>
    <t>DIGITAL JOURNALISM</t>
  </si>
  <si>
    <t>Covid-19; pandemic; coronavirus; press freedom; Committee to Protect Journalists; International Press Institute; Reporters sans Frontieres; Twitter</t>
  </si>
  <si>
    <t>MEDIA; COMMUNICATION; NEWS</t>
  </si>
  <si>
    <t>This study explores the ways in which global press freedom watchdogs have discursively constructed the issue of press freedom during the Covid-19 pandemic. Drawing on a multimodal discourse analysis, the study examines web stories and Tweets posted by the International Press Institute (IPI), the Committee to Protect Journalists (CPJ), and Reporters sans Frontieres (RSF), with the purpose of answering three primary questions: (1) Who or what do the CPJ, the IPI, and RSF represent as the greatest threat to press freedom in relation to Covid-19? (2) What are the differences between these groups' representations of press freedom in their own regions of the world and their representations of press freedom in Other places? (3) What digital strategies do the IPI, CPJ, and RSF use in coverage of the Covid-19 pandemic? The article ultimately seeks to understand the ways in which each of these influential press freedom groups help to popularize particular understandings of press freedom in the 21st century.</t>
  </si>
  <si>
    <t>[Palmer, Lindsay] Univ Wisconsin, Sch Journalism &amp; Mass Commun, Madison, WI 53706 USA</t>
  </si>
  <si>
    <t>University of Wisconsin System; University of Wisconsin Madison</t>
  </si>
  <si>
    <t>Palmer, L (corresponding author), Univ Wisconsin, Sch Journalism &amp; Mass Commun, Madison, WI 53706 USA.</t>
  </si>
  <si>
    <t>lindsay.palmer@wisc.edu</t>
  </si>
  <si>
    <t>2167-0811</t>
  </si>
  <si>
    <t>2167-082X</t>
  </si>
  <si>
    <t>DIGIT JOURNAL</t>
  </si>
  <si>
    <t>Digit. Journal.</t>
  </si>
  <si>
    <t>JUL 3</t>
  </si>
  <si>
    <t>10.1080/21670811.2021.1943480</t>
  </si>
  <si>
    <t>SEP 2021</t>
  </si>
  <si>
    <t>3Z1WL</t>
  </si>
  <si>
    <t>WOS:000710036400001</t>
  </si>
  <si>
    <t>Pereira, AC; da Silva, MAD; Patel, US; Tanday, A; Hill, KB; Walmsley, AD</t>
  </si>
  <si>
    <t>Pereira, Andresa Costa; Dias da Silva, Marco Antonio; Patel, Upen S.; Tanday, Ajit; Hill, Kirsty B.; Walmsley, Anthony Damien</t>
  </si>
  <si>
    <t>Using quizzes to provide an effective and more enjoyable dental education: A pilot study</t>
  </si>
  <si>
    <t>EUROPEAN JOURNAL OF DENTAL EDUCATION</t>
  </si>
  <si>
    <t>feedback; formative assessment; gamification; medical education; online quiz</t>
  </si>
  <si>
    <t>GAME</t>
  </si>
  <si>
    <t>Introduction Increasingly, dental education is using digital strategies to deliver teaching; however, not all of these learning materials are engaging and effective. Aim To evaluate the perception and knowledge retention of undergraduate dental students after using two different digital learning tools: quizzes and PDF. Methods Thirty-three students from a Dental School in the United Kingdom took part in the research. They received learning material derived from the Prosthodontic (Kennedy classification) or Paediatric dentistry content (Tooth classification). The same content was delivered in two different formats: quiz game (n = 17) and PDF file (n = 16). The PDF file had ten images and their classifications, whilst the quiz had the same images with a question about the classification, along with alternatives (single best answer). Results All students gave similar performances on the knowledge assessment; however, their perception about the learning material differed. Students using quizzes (88%) agreed that they were fun and an interesting way of learning, while only 37.5% had this opinion about PDF material (p = .002). When using quizzes, learners were more motivated and confident. They would frequently recommend quizzes to other colleagues; however, the use of PDF was not suggested as frequently (p = .039). As a learning strategy, 100% of the students using quizzes wanted more of the same to study other dental subjects. This was not the case with the PDF format (p = .005). Conclusion Despite quizzes and PDF files resulting in a similar understanding of dental subjects, learners prefer quizzes to supplement their studies. Educators should consider using this interactive digital tool to engage students, instead of PDF files.</t>
  </si>
  <si>
    <t>[Pereira, Andresa Costa; Dias da Silva, Marco Antonio; Patel, Upen S.; Tanday, Ajit; Hill, Kirsty B.; Walmsley, Anthony Damien] Univ Birmingham, Birmingham, W Midlands, England; [Pereira, Andresa Costa; Dias da Silva, Marco Antonio] Univ Fed Campina Grande, Patos de Minas, Brazil</t>
  </si>
  <si>
    <t>University of Birmingham; Universidade Federal de Campina Grande</t>
  </si>
  <si>
    <t>Pereira, AC (corresponding author), Univ Birmingham, Birmingham, W Midlands, England.</t>
  </si>
  <si>
    <t>andresa@cstr.ufcg.edu.br</t>
  </si>
  <si>
    <t>da Silva, Marco Antonio Dias/K-4730-2012</t>
  </si>
  <si>
    <t>da Silva, Marco Antonio Dias/0000-0002-2774-4769; Pereira, Andresa Costa/0000-0002-3654-6123; Walmsley, Anthony Damien/0000-0003-4970-0764</t>
  </si>
  <si>
    <t>1396-5883</t>
  </si>
  <si>
    <t>1600-0579</t>
  </si>
  <si>
    <t>EUR J DENT EDUC</t>
  </si>
  <si>
    <t>Eur. J. Dent. Educ.</t>
  </si>
  <si>
    <t>10.1111/eje.12716</t>
  </si>
  <si>
    <t>Dentistry, Oral Surgery &amp; Medicine; Education, Scientific Disciplines</t>
  </si>
  <si>
    <t>Dentistry, Oral Surgery &amp; Medicine; Education &amp; Educational Research</t>
  </si>
  <si>
    <t>0H4UO</t>
  </si>
  <si>
    <t>WOS:000700037800001</t>
  </si>
  <si>
    <t>Büyüközkan, G; Havle, CA; Feyzioglu, O</t>
  </si>
  <si>
    <t>Buyukozkan, Gulcin; Havle, Celal Alpay; Feyzioglu, Orhan</t>
  </si>
  <si>
    <t>An integrated SWOT based fuzzy AHP and fuzzy MARCOS methodology for digital transformation strategy analysis in airline industry</t>
  </si>
  <si>
    <t>JOURNAL OF AIR TRANSPORT MANAGEMENT</t>
  </si>
  <si>
    <t>Airline industry; Digital transformation; SWOT Analysis; Fuzzy AHP; Fuzzy MARCOS</t>
  </si>
  <si>
    <t>ANP-BASED SWOT; DECISION-MAKING; SUPPLIER SELECTION; RISK-ASSESSMENT; TOPSIS; FRAMEWORK; PROJECTS; MODEL</t>
  </si>
  <si>
    <t>Driven by business strategies, digital transformation (DT) facilitates dramatic change in air passenger behavior. This study aims to determine and analyze different DT strategies (DTSs) with the help of an integrated SWOTbased fuzzy AHP-MARCOS methodology that is proposed for the first time in the literature for this purpose. This methodology is validated with a case study concerning the airline industry in Turkey. The weights of the SWOT factors are determined with the fuzzy AHP method. The fuzzy MARCOS approach is used to select the most suitable DTS. The most appropriate strategy is obtained as focusing on differentiated digital customer experience and service quality by the adaptation of business models to DT to provide benefits.</t>
  </si>
  <si>
    <t>[Buyukozkan, Gulcin; Havle, Celal Alpay; Feyzioglu, Orhan] Galatasaray Univ, Dept Ind Engn, TR-34349 Istanbul, Turkey; [Havle, Celal Alpay] Ozyegin Univ, Dept Profess Flight, Fac Aviat &amp; Aeronaut Sci, Istanbul, Turkey</t>
  </si>
  <si>
    <t>Galatasaray University; Ozyegin University</t>
  </si>
  <si>
    <t>Büyüközkan, G (corresponding author), Galatasaray Univ, Dept Ind Engn, TR-34349 Istanbul, Turkey.</t>
  </si>
  <si>
    <t>gbuyukozkan@gsu.edu.tr; celal.alpay.havle@gmail.com; ofeyzioglu@gsu.edu.tr</t>
  </si>
  <si>
    <t>Feyzioglu, Orhan/AAG-5351-2019</t>
  </si>
  <si>
    <t>Feyzioglu, Orhan/0000-0002-8919-191X</t>
  </si>
  <si>
    <t>0969-6997</t>
  </si>
  <si>
    <t>1873-2089</t>
  </si>
  <si>
    <t>J AIR TRANSP MANAG</t>
  </si>
  <si>
    <t>J. Air Transp. Manag.</t>
  </si>
  <si>
    <t>10.1016/j.jairtraman.2021.102142</t>
  </si>
  <si>
    <t>Transportation</t>
  </si>
  <si>
    <t>WN7LM</t>
  </si>
  <si>
    <t>WOS:000711948900002</t>
  </si>
  <si>
    <t>Masella, M; Crudu, A; Leonforte, F</t>
  </si>
  <si>
    <t>Masella, Michel; Crudu, Alina; Leonforte, Fabien</t>
  </si>
  <si>
    <t>Hybrid polarizable simulations of a conventional hydrophobic polyelectrolyte. Toward a theoretical tool for green science innovation</t>
  </si>
  <si>
    <t>JOURNAL OF CHEMICAL PHYSICS</t>
  </si>
  <si>
    <t>FORCE-FIELD; MOLECULAR SIMULATION; DYNAMICS SIMULATIONS; NEUTRON-SCATTERING; AQUEOUS-SOLUTIONS; DRIVING-FORCE; SOLVENT MODEL; WATER; ION; SOLVATION</t>
  </si>
  <si>
    <t>Hybrid modeling approaches based on all-atom force fields to handle a solute and coarse-grained models to account for the solvent are promising numerical tools that can be used to understand the properties of large and multi-components solutions and thus to speed up the development of new industrial products that obey the standard of green and sustainable chemistry. Here, we discuss the ability of a full polarizable hybrid approach coupled to a standard molecular dynamics scheme to model the behavior in the aqueous phase and at infinite dilution conditions of a standard hydrophobic polyelectrolyte polymer whose charge is neutralized by explicit counterions. Beyond the standard picture of a polyelectrolyte behavior governed by an interplay between opposite intra-polyelectrolyte and inter-polyelectrolyte/counterion Coulombic effects, our simulations show the key role played by both intra-solute polarization effects and long range solute/solvent electrostatics to stabilize compact globular conformations of that polyelectrolyte. Our full polarizable hybrid modeling approach is thus a new theoretical tool well suited to be used in digital strategies for accelerating innovation for green science, for instance.</t>
  </si>
  <si>
    <t>[Masella, Michel] Inst Joliot, Serv Bioenerget Biol Struct &amp; Mec, Lab Biol Struct &amp; Radiobiol, CEA Saclay, F-91191 Gif Sur Yvette, France; [Crudu, Alina; Leonforte, Fabien] LOreal Res &amp; Innovat, Aulnay Sous Bois, France</t>
  </si>
  <si>
    <t>Universite Paris Saclay; CEA; L'Oreal Group</t>
  </si>
  <si>
    <t>Masella, M (corresponding author), Inst Joliot, Serv Bioenerget Biol Struct &amp; Mec, Lab Biol Struct &amp; Radiobiol, CEA Saclay, F-91191 Gif Sur Yvette, France.</t>
  </si>
  <si>
    <t>michel.masella@cea.fr; fabien.leonforte@rd.loreal.com</t>
  </si>
  <si>
    <t>Masella, Michel/I-8367-2019</t>
  </si>
  <si>
    <t>Masella, Michel/0000-0003-1073-4457</t>
  </si>
  <si>
    <t>GENCI [A0090312049]</t>
  </si>
  <si>
    <t>GENCI</t>
  </si>
  <si>
    <t>This work was granted access to the TGCC HPC resources under the allocation 2019-2 020 [Grant No. A0090312049] and the Grand Challenge allocation [GC0429] made by GENCI. We sincerely thanks the reviewers for their help in improving the manuscript.</t>
  </si>
  <si>
    <t>AIP Publishing</t>
  </si>
  <si>
    <t>MELVILLE</t>
  </si>
  <si>
    <t>1305 WALT WHITMAN RD, STE 300, MELVILLE, NY 11747-4501 USA</t>
  </si>
  <si>
    <t>0021-9606</t>
  </si>
  <si>
    <t>1089-7690</t>
  </si>
  <si>
    <t>J CHEM PHYS</t>
  </si>
  <si>
    <t>J. Chem. Phys.</t>
  </si>
  <si>
    <t>SEP 21</t>
  </si>
  <si>
    <t>10.1063/5.0056508</t>
  </si>
  <si>
    <t>Chemistry, Physical; Physics, Atomic, Molecular &amp; Chemical</t>
  </si>
  <si>
    <t>Chemistry; Physics</t>
  </si>
  <si>
    <t>YT4ZY</t>
  </si>
  <si>
    <t>WOS:000751371200003</t>
  </si>
  <si>
    <t>Ellström, D; Holtstrom, J; Berg, E; Johansson, C</t>
  </si>
  <si>
    <t>Ellstrom, Daniel; Holtstrom, Johan; Berg, Emma; Johansson, Cecilia</t>
  </si>
  <si>
    <t>Dynamic capabilities for digital transformation</t>
  </si>
  <si>
    <t>Digital transformation; Dynamic capabilities; Routines; Digitalization; Qualitative research; Innovation; Technology</t>
  </si>
  <si>
    <t>TRANSACTION COST; INNOVATION; STRATEGY; MICROFOUNDATIONS; EXPLORATION; INSIGHTS; FIT</t>
  </si>
  <si>
    <t>Purpose The purpose of this paper is to identify sensing, seizing and reconfiguring routines of dynamic capabilities that enable digital transformation in firms. Design/methodology/approach A qualitative approach is used. Representatives from a firm going through digital transformations are interviewed, and focus groups have been carried out with a consultancy firm experienced in giving advice to firms going through digital transformation. Findings Six routines identified as relevant specifically for digital transformation are identified. These are cross-industrial digital sensing, inside-out digital infrastructure sensing, digital strategy development, determination of enterprise boundaries, decomposition of digital transformation into specified projects and creation of a unified digital infrastructure. Practical implications The authors provide direction for managers on how to approach digital transformation. In relation to previous research, the authors provide more specific guidance regarding how to reconfigure the organization in digital transformation. Originality/value The paper uses a novel context for digital transformation and complements the very few studies available using dynamic capabilities to understand digital transformation.</t>
  </si>
  <si>
    <t>[Ellstrom, Daniel; Holtstrom, Johan; Berg, Emma; Johansson, Cecilia] Linkoping Univ, Dept Management &amp; Engn, Linkoping, Sweden</t>
  </si>
  <si>
    <t>Linkoping University</t>
  </si>
  <si>
    <t>Ellström, D (corresponding author), Linkoping Univ, Dept Management &amp; Engn, Linkoping, Sweden.</t>
  </si>
  <si>
    <t>daniel.ellstrom@liu.se</t>
  </si>
  <si>
    <t>Celestino, Leandro/HIR-4215-2022</t>
  </si>
  <si>
    <t>APR 19</t>
  </si>
  <si>
    <t>10.1108/JSMA-04-2021-0089</t>
  </si>
  <si>
    <t>0N8HA</t>
  </si>
  <si>
    <t>WOS:000697394700001</t>
  </si>
  <si>
    <t>Yan, MR; Hong, LY; Warren, K</t>
  </si>
  <si>
    <t>Yan, Min-Ren; Hong, Lin-Ya; Warren, Kim</t>
  </si>
  <si>
    <t>Integrated knowledge visualization and the enterprise digital twin system for supporting strategic management decision</t>
  </si>
  <si>
    <t>MANAGEMENT DECISION</t>
  </si>
  <si>
    <t>Knowledge visualization; Digital twin; Strategy; Decision support; System dynamics (SD); Digital transformation; Performance management; Innovation; Data analytics; Dynamic capability</t>
  </si>
  <si>
    <t>WEB-BASED SIMULATIONS; BIG DATA ANALYTICS; DYNAMIC CAPABILITIES; FLIGHT SIMULATORS; PROJECT PERFORMANCE; BUSINESS MODEL; INNOVATION; TECHNOLOGIES; SUSTAINABILITY; COMMUNICATION</t>
  </si>
  <si>
    <t>Purpose This paper proposes an integrated knowledge visualization and digital twin system for supporting strategic management decisions. The concepts and applications of strategic architecture have been illustrated with a concrete real-world case study and decision rules of using the strategic digital twin management decision system (SDMDS) as a more visualized, adaptive and effective model for decision-making. Design/methodology/approach This paper integrates the concepts of mental and computer models and examines a real case's business operations by applying system dynamics modelling and digital technologies. The enterprise digital twin system with displaying real-world data and simulations for future scenarios demonstrates an improved process of strategic decision-making in the digital age. Findings The findings reveal that data analytics and the visualized enterprise digital twin system offer better practices for strategic management decisions in the dynamic and constantly changing business world by providing a constant and frequent adjustment on every decision that affects how the business performs over both operational and strategic timescales. Originality/value In the digital age and dynamic business environment, the proposed strategic architecture and managerial digital twin system converts the existing conceptual models into an advanced operational model. It can facilitate the development of knowledge visualization and become a more adaptive and effective model for supporting real-time management decision-making by dealing with the complicated dependence of constant flow of data input, output and the feedback loop across business units and boundaries.</t>
  </si>
  <si>
    <t>[Yan, Min-Ren] Chinese Culture Univ, Coll Business, Taipei, Taiwan; [Hong, Lin-Ya] Georg August Univ Goettingen, Human Resources Management &amp; Asian Business, Gottingen, Germany; [Warren, Kim] Strategy Dynam Ltd, Bletchley, Bucks, England; [Warren, Kim] London Business Sch, Strategy Fac, London, England</t>
  </si>
  <si>
    <t>Chinese Culture University; University of Gottingen; University of London; London Business School</t>
  </si>
  <si>
    <t>Yan, MR (corresponding author), Chinese Culture Univ, Coll Business, Taipei, Taiwan.</t>
  </si>
  <si>
    <t>ymr3@faculty.pccu.edu.tw; linya.hong@stud.uni-goettingen.de; kim@strategydynamics.com</t>
  </si>
  <si>
    <t>Yan, Min-Ren/0000-0002-8270-9763; Hong, Lin-Ya/0000-0001-5032-3682</t>
  </si>
  <si>
    <t>0025-1747</t>
  </si>
  <si>
    <t>1758-6070</t>
  </si>
  <si>
    <t>MANAGE DECIS</t>
  </si>
  <si>
    <t>Manag. Decis.</t>
  </si>
  <si>
    <t>MAR 21</t>
  </si>
  <si>
    <t>10.1108/MD-02-2021-0182</t>
  </si>
  <si>
    <t>ZY5YK</t>
  </si>
  <si>
    <t>WOS:000696595900001</t>
  </si>
  <si>
    <t>Antoniazzi, L; Popple, S; Lupu, R</t>
  </si>
  <si>
    <t>Antoniazzi, Luca; Popple, Simon; Lupu, Ruxandra</t>
  </si>
  <si>
    <t>Neither Sublimes Nor Castrophes: Digital Affordances In Silent Film Heritage And Suggestions From Home Movies Collections</t>
  </si>
  <si>
    <t>STUDIES IN EUROPEAN CINEMA</t>
  </si>
  <si>
    <t>Silent film heritage; digital technology; public engagement; home movie collections; affordance</t>
  </si>
  <si>
    <t>The digital optimism of the past decade has been reflected in many policy documents related to cultural heritage in which digital technology is portrayed as a great opportunity to bring cultural heritage to a much wider audience. This potential has been contested as widening access has proved much more complex than some at first thought. Despite that, in this paper we argue that curators of national silent film collections can realistically get inspired by grassroots participatory projects. We consider two digital projects: silent feature films in the British context; and silent home movies in Italy. The first study considers the BFI Player as part of the broader BFI digital strategy. We examine the development of institutional practices to digitally publish silent films, the role of the archive and curators, and the new public experiences of silent cinema. The second study is a grassroots project that looks at the role of digitisation in the re-use of digitised footage from Sicilian home movie collections. The study explores digital forms of organisation and access to this material and how they encourage creative reuse. We extrapolate some best practices that curators and policy makers might find useful and could follow nationally and locally.</t>
  </si>
  <si>
    <t>[Antoniazzi, Luca] Univ Bologna, Dept Arts, Bologna, Italy; [Popple, Simon; Lupu, Ruxandra] Univ Leeds, Sch Media &amp; Commun, Leeds, W Yorkshire, England</t>
  </si>
  <si>
    <t>University of Bologna; University of Leeds</t>
  </si>
  <si>
    <t>Antoniazzi, L (corresponding author), Univ Via Barberia 4, I-40123 Bologna, IT, Italy.</t>
  </si>
  <si>
    <t>luca.antoniazzi3@unibo.it</t>
  </si>
  <si>
    <t>Antoniazzi, Luca/0000-0003-0437-0511</t>
  </si>
  <si>
    <t>1741-1548</t>
  </si>
  <si>
    <t>2040-0594</t>
  </si>
  <si>
    <t>STUD EUR CINE</t>
  </si>
  <si>
    <t>Stud. Eur. Cine.</t>
  </si>
  <si>
    <t>10.1080/17411548.2021.1921930</t>
  </si>
  <si>
    <t>Film, Radio, Television</t>
  </si>
  <si>
    <t>Film, Radio &amp; Television</t>
  </si>
  <si>
    <t>WC3NS</t>
  </si>
  <si>
    <t>WOS:000695454600001</t>
  </si>
  <si>
    <t>Campos, AC; de Rezende, DC; Leme, PHMV; de Brito, MJ; Antonialli, LM</t>
  </si>
  <si>
    <t>Campos, Alyce Cardoso; de Rezende, Daniel Carvalho; Montagnana Vicente Leme, Paulo Henrique; de Brito, Mozar Jose; Antonialli, Luiz Marcelo</t>
  </si>
  <si>
    <t>DIGITAL MARKETING IN CRISIS TIME</t>
  </si>
  <si>
    <t>GESTAO E DESENVOLVIMENTO</t>
  </si>
  <si>
    <t>Digital strategies; Crisis; Integrative literature review</t>
  </si>
  <si>
    <t>The crisis can affect an organization for many reasons, including changes that occur in the market, technology, competition or even a pandemic currently experienced. With this, it is necessary to find solutions so that it is possible to work around the situation and continue operating in the market. This article aims to analyze what are the digital marketing strategies adopted by organizations in different crisis situations, including the Covid-19 pandemic. For this purpose, an integrative review of articles published in the Web of Science, Scopus, SPELL and SciELO databases was carried out. The results show that several strategies in the digital environment are capable of collaborating with the challenges that organizations face with globalization, such as investing in their websites, acting on their social media with content and campaigns, applications, virtual assistants, advertising and others. A research framework was created with the aim of synthesizing the findings of this integrative review. Organizations from different sectors can mirror these strategies to deal with the crisis they face or even join them so that they are not hit by unexpected adversities, resulting in loss of space or even their withdrawal from the market.</t>
  </si>
  <si>
    <t>[Campos, Alyce Cardoso] Univ Fed Lavras, Adm, Lavras, Brazil; [de Rezende, Daniel Carvalho; Montagnana Vicente Leme, Paulo Henrique; de Brito, Mozar Jose; Antonialli, Luiz Marcelo] Univ Fed Lavras, Lavras, Brazil</t>
  </si>
  <si>
    <t>Universidade Federal de Lavras; Universidade Federal de Lavras</t>
  </si>
  <si>
    <t>Campos, AC (corresponding author), Univ Fed Lavras, Adm, Lavras, Brazil.</t>
  </si>
  <si>
    <t>alycecardosoc@yahoo.com.br; rezendedc@gmail.com; paulo.leme@ufla.br; mozarbrito@gmail.com; lmantonialli@gmail.com</t>
  </si>
  <si>
    <t>UNIV FEEVALE, INST CIENCIAS SOCIAIS APLICADASICSA</t>
  </si>
  <si>
    <t>NOVO HAMBURGO</t>
  </si>
  <si>
    <t>ERS 239, 2755-B VILA NOVA, NOVO HAMBURGO, CEP93525-075, BRAZIL</t>
  </si>
  <si>
    <t>1807-5436</t>
  </si>
  <si>
    <t>2446-6875</t>
  </si>
  <si>
    <t>GEST DESENVOLV</t>
  </si>
  <si>
    <t>GEST. Desenvolv.</t>
  </si>
  <si>
    <t>10.25112/rgd.v18i3.2784</t>
  </si>
  <si>
    <t>XL4JV</t>
  </si>
  <si>
    <t>WOS:000728112300006</t>
  </si>
  <si>
    <t>Elangovan, P; Seshadri, S; Seetharaman, P</t>
  </si>
  <si>
    <t>Elangovan, Porkkovan; Seshadri, Sosmeta; Seetharaman, Priya</t>
  </si>
  <si>
    <t>6B Model for Business-Aligned Digital Transformation</t>
  </si>
  <si>
    <t>IT PROFESSIONAL</t>
  </si>
  <si>
    <t>Analytical models; Digital transformation; Organizations; Information age; Planning; Monitoring</t>
  </si>
  <si>
    <t>Digital transformation is a moving target for most organizations. Firms continue to be primarily focused on their business strategy or they are ahead of the curve on their technology strategy. Only those who find their sweet spot between these two are able to successfully traverse the transformation path. Prior research also indicates many enterprises fail to garner business value from their digital transformation efforts. This article is aimed at dovetailing the strategy and implementation steps through a 6B customer centric model. It provides a framework that can be leveraged by any organization that seeks to measure its business performance and strengthen its competitive business strategy supported by a well-defined digital strategy, executed through a concerted organizational change management exercise and continuously monitored using a business outcome analytics model. We present specific frameworks for each of these through an illustrative case from practice.</t>
  </si>
  <si>
    <t>[Elangovan, Porkkovan] Cognizant Technol Solut, Teaneck, NJ 07666 USA; [Seshadri, Sosmeta] Cognizant Technol Solut, Chennai 600119, Tamil Nadu, India; [Seetharaman, Priya] Indian Inst Management Calcutta, Kolkata 700104, India</t>
  </si>
  <si>
    <t>Indian Institute of Management (IIM System); Indian Institute of Management Calcutta</t>
  </si>
  <si>
    <t>Elangovan, P (corresponding author), Cognizant Technol Solut, Teaneck, NJ 07666 USA.</t>
  </si>
  <si>
    <t>IEEE COMPUTER SOC</t>
  </si>
  <si>
    <t>LOS ALAMITOS</t>
  </si>
  <si>
    <t>10662 LOS VAQUEROS CIRCLE, PO BOX 3014, LOS ALAMITOS, CA 90720-1314 USA</t>
  </si>
  <si>
    <t>1520-9202</t>
  </si>
  <si>
    <t>1941-045X</t>
  </si>
  <si>
    <t>IT PROF</t>
  </si>
  <si>
    <t>IT Prof.</t>
  </si>
  <si>
    <t>SEPT 1</t>
  </si>
  <si>
    <t>10.1109/MITP.2021.3069910</t>
  </si>
  <si>
    <t>Computer Science, Information Systems; Computer Science, Software Engineering; Telecommunications</t>
  </si>
  <si>
    <t>WG2LT</t>
  </si>
  <si>
    <t>WOS:000706829300013</t>
  </si>
  <si>
    <t>Habelsberger, BEM; Bhansing, PV</t>
  </si>
  <si>
    <t>Habelsberger, Beatrix E. M.; Bhansing, Pawan, V</t>
  </si>
  <si>
    <t>Art Galleries in Transformation: Is COVID-19 Driving Digitisation?</t>
  </si>
  <si>
    <t>ARTS</t>
  </si>
  <si>
    <t>art galleries; art market; digital technology; multi-channel strategy; business model innovation</t>
  </si>
  <si>
    <t>SPECIAL-ISSUE</t>
  </si>
  <si>
    <t>Compared to other consumer goods markets, art galleries have long been reluctant to innovate through digitisation. However, the global outbreak of COVID-19 forces art galleries to reconsider the role of digital channels. This study aims to provide a better understanding of the art gallery business model and its related difficulties of integrating digital channels into marketing, communication, and sales. Twenty interviews with gallery owners and managers in Vienna and Salzburg were conducted. They were asked about their attitudes towards, opinions on, and experiences with digital channels, and how they reacted to the restrictions caused by COVID-19. The findings verify that COVID-19 has led galleries of any type to reconsider their digital strategy. We identified limitations with respect to digital channels: plain presentation of information online; lacking or distanced personal interaction; online anonymity that disconnects from the social art environment; increased information and price transparency; a more commercial appearance; limited resources for digital adaptations. Galleries striving to integrate digital channels into their business model should pay attention to ensuring that analogue, as well as digital, channels are integrated into a coherent system where personal contact and the physical location remain the core of the business.</t>
  </si>
  <si>
    <t>[Habelsberger, Beatrix E. M.; Bhansing, Pawan, V] Erasmus Univ, Erasmus Sch Hist Culture &amp; Commun, Dept Media &amp; Commun, NL-3000 DR Rotterdam, Netherlands</t>
  </si>
  <si>
    <t>Erasmus University Rotterdam; Erasmus University Rotterdam - Excl Erasmus MC</t>
  </si>
  <si>
    <t>Bhansing, PV (corresponding author), Erasmus Univ, Erasmus Sch Hist Culture &amp; Commun, Dept Media &amp; Commun, NL-3000 DR Rotterdam, Netherlands.</t>
  </si>
  <si>
    <t>habelsberger@outlook.com; bhansing@eshcc.eur.nl</t>
  </si>
  <si>
    <t>2076-0752</t>
  </si>
  <si>
    <t>Arts</t>
  </si>
  <si>
    <t>10.3390/arts10030048</t>
  </si>
  <si>
    <t>UV0ZQ</t>
  </si>
  <si>
    <t>WOS:000699218500001</t>
  </si>
  <si>
    <t>Leao, P; da Silva, MM</t>
  </si>
  <si>
    <t>Leao, Pedro; da Silva, Miguel Mira</t>
  </si>
  <si>
    <t>Impacts of digital transformation on firms' competitive advantages: A systematic literature review</t>
  </si>
  <si>
    <t>competitive advantage; digital strategy; digital transformation; global value chains; impact</t>
  </si>
  <si>
    <t>STRATEGIC GROUPS; BUSINESS MODELS; RESOURCE; DIVERSIFICATION; PERSPECTIVE; VIEW</t>
  </si>
  <si>
    <t>Digital transformation impacts firms' competitiveness mainly on innovation, efficiency, cost reduction, and impacts global value chains on specialization, geographic scope, governance, and upgrading. According to literature, the impacts of digital transformation over firms' competitiveness, while presenting a more prominent role over more classical advantages, present a majority of positively signed impact directions, being, on average, beneficial to the firms that implement such transformations. Industrial processes' digitalization links global value chains' four main dimensions by increasing the firm's focus on more specific value chain activities (specialization) and international expansion opportunities (geographic scope) activity. In parallel, industrial digital transformation is also motivating firms to expand into upstream activities across the value chains (upgrading) and impacting significantly at GVCs' strategy (governance) due to the emergence of digital platforms, disrupting former competitive settings into new networked extended business ecosystems.</t>
  </si>
  <si>
    <t>[Leao, Pedro] Univ Lisbon, AESE Business Sch, Lisbon, Portugal; [da Silva, Miguel Mira] Univ Lisbon, INOV, Lisbon, Portugal</t>
  </si>
  <si>
    <t>Universidade de Lisboa; Universidade de Lisboa; INOV INESC Inovacao</t>
  </si>
  <si>
    <t>Leao, P (corresponding author), Av Rovisco Pais 1, P-1049001 Lisbon, Portugal.</t>
  </si>
  <si>
    <t>pedro.leao@tecnico.ulisboa.pt</t>
  </si>
  <si>
    <t>Mira da Silva, Miguel/A-2892-2009; Mira da Silva, Miguel/ABA-4774-2021</t>
  </si>
  <si>
    <t>Mira da Silva, Miguel/0000-0002-0489-4465; Mira da Silva, Miguel/0000-0002-0489-4465</t>
  </si>
  <si>
    <t>10.1002/jsc.2459</t>
  </si>
  <si>
    <t>UL2RU</t>
  </si>
  <si>
    <t>WOS:000692505100003</t>
  </si>
  <si>
    <t>Martínez, ON; García, JI; Salcedo, VT</t>
  </si>
  <si>
    <t>Navarro Martinez, Olga; Igual Garcia, Jorge; Traver Salcedo, Vicente</t>
  </si>
  <si>
    <t>Estimating Patient Empowerment and Nurses' Use of Digital Strategies: eSurvey Study</t>
  </si>
  <si>
    <t>health literacy; digital literacy; digital skills; patient empowerment</t>
  </si>
  <si>
    <t>HEALTH INFORMATION-SEEKING; SOCIAL NETWORKS; INTERNET; CHALLENGES; EXPERIENCE; COPD</t>
  </si>
  <si>
    <t>Patient empowerment is seen as the capability to understand health information and make decisions based on it. It is a competence that can improve self-care, adherence and overall health. The COVID-19 pandemic has increased the need for information and has also reduced the number of visits to health centers. Nurses have had to adapt in order to continue offering quality care in different environments such as the digital world, but this entails assessing the level of their patients' empowerment and adapting material and educational messages to new realities. The aim of this study is, on the one hand, to assess nurses' use of digital resources to provide reinforcing information to their patients and, on the other hand, to evaluate how they assess the level of empowerment of their patients. To perform the study, 850 nurses answered 21 questions related to their own digital literacy and patients' empowerment. The ability to make decisions is the characteristic most selected by nurses (70%) as useful in measuring patient empowerment, whereas 9.19% do not measure it in any way. Printed material is most often used by nurses to offer additional information to patients (71.93%), mobile applications are the least used option (21.58%), and elder nurses are those who most recommend digital resources. In this study, younger nurses make little or no use of technology as a resource for training and monitoring patients. In spite of some limitations concerning the study, digital health needs to be promoted as an indisputable tool in the nurse's briefcase in the future to ensure that older patients can manage electronic resources in different fields.</t>
  </si>
  <si>
    <t>[Navarro Martinez, Olga] Catholic Univ Valencia, Dept Nursing, Valencia 46007, Spain; [Navarro Martinez, Olga; Traver Salcedo, Vicente] Univ Politecn Valencia, Inst ITACA, Valencia 46022, Spain; [Igual Garcia, Jorge] Univ Politecn Valencia, Inst Telecomunicac &amp; Aplicac Multimedia ITEAM, Dept Comunicac, Valencia 46022, Spain</t>
  </si>
  <si>
    <t>Universidad Catolica de Valencia San Vicente Martir; Universitat Politecnica de Valencia; Universitat Politecnica de Valencia</t>
  </si>
  <si>
    <t>Martínez, ON (corresponding author), Catholic Univ Valencia, Dept Nursing, Valencia 46007, Spain.;Martínez, ON (corresponding author), Univ Politecn Valencia, Inst ITACA, Valencia 46022, Spain.</t>
  </si>
  <si>
    <t>olga.navarro@ucv.es; jigual@dcom.upv.es; vtraver@itaca.upv.es</t>
  </si>
  <si>
    <t>Navarro Martínez, Olga/HDN-2718-2022; Traver, Vicente/B-8139-2015</t>
  </si>
  <si>
    <t>Navarro Martínez, Olga/0000-0003-3563-4129; Igual, Jorge/0000-0003-3408-4014; Traver, Vicente/0000-0003-1806-8575</t>
  </si>
  <si>
    <t>10.3390/ijerph18189844</t>
  </si>
  <si>
    <t>UV5PO</t>
  </si>
  <si>
    <t>WOS:000699530300001</t>
  </si>
  <si>
    <t>Yu, JT; Moon, T</t>
  </si>
  <si>
    <t>Yu, Jiatong; Moon, Taesoo</t>
  </si>
  <si>
    <t>Impact of Digital Strategic Orientation on Organizational Performance through Digital Competence</t>
  </si>
  <si>
    <t>customer orientation; competitor orientation; technology orientation; digital infrastructure; digital integration; digital management; organizational performance</t>
  </si>
  <si>
    <t>DYNAMIC CAPABILITIES; PLS-SEM; TRANSFORMATION; FUTURE</t>
  </si>
  <si>
    <t>In the era of the digital economy, enterprises need a comprehensive digital transformation of strategy, business, organization, competence, and operation. However, being limited themselves to the development of digital technology, previous studies mainly focused on the development and application of digital technology, single case studies, and multi-case studies of digital transformation. Few researchers systematically studied the digital transformation mechanism at the organizational level. Therefore, this study explored the relationship between a strategic orientation and organizational performance though digital competence at the organizational level. To accomplish the task, this study basically constructed the dimensions of digital competence according to core competence theory. Digital competence contains three hub-factors: digital infrastructure, digital integration, and digital management. This study collected 160 questionnaires from Chinese enterprises and analyzed the data using SmartPLS 3. This study analyzed the positive relationship between digital strategic orientation, digital competence, and organization performance. This study identified the importance of digital competence through the empirical analysis of enterprises that are undergoing digital transformation or had completed a digital transformation. Therefore, enterprises need to pay attention to the impact of digital competence on organizational performance. Digital competence is a reshaping of corporate resources when facing a turbulent digital environment. Moreover, digital competence can ultimately achieve value delivery through the improvement of enterprise organizational performance.</t>
  </si>
  <si>
    <t>[Yu, Jiatong] China Jiliang Univ, Coll Econ &amp; Management, Hangzhou 310018, Peoples R China; [Moon, Taesoo] Dongguk Univ, Sch Management, Gyeongju 38066, South Korea</t>
  </si>
  <si>
    <t>China Jiliang University; Dongguk University</t>
  </si>
  <si>
    <t>Moon, T (corresponding author), Dongguk Univ, Sch Management, Gyeongju 38066, South Korea.</t>
  </si>
  <si>
    <t>yjt@cjlu.edu.cn; tsmoon@dongguk.ac.kr</t>
  </si>
  <si>
    <t>10.3390/su13179766</t>
  </si>
  <si>
    <t>UO1OK</t>
  </si>
  <si>
    <t>WOS:000694471200001</t>
  </si>
  <si>
    <t>Saura, JR; Palacios-Marqués, D; Ribeiro-Soriano, D</t>
  </si>
  <si>
    <t>Saura, Jose Ramon; Palacios-Marques, Daniel; Ribeiro-Soriano, Domingo</t>
  </si>
  <si>
    <t>Digital marketing in SMEs via data-driven strategies: Reviewing the current state of research</t>
  </si>
  <si>
    <t>SMEs; entrepreneurial marketing; data sciences; digital marketing; multiple correspondence analysis</t>
  </si>
  <si>
    <t>MEDIUM-SIZED ENTERPRISES; MULTIPLE CORRESPONDENCE-ANALYSIS; SUPPLY CHAIN MANAGEMENT; SOCIAL NETWORK ANALYSIS; BIG DATA; KNOWLEDGE MANAGEMENT; TECHNOLOGY ADOPTION; SYSTEMATIC REVIEWS; CONJOINT-ANALYSIS; CRM ADOPTION</t>
  </si>
  <si>
    <t>The development of the Internet and the implementation of traditional marketing strategies have given rise to the emergence of digital marketing strategies exploited both by SMEs and large companies. These companies combine data sciences with digital marketing strategies to sell products, generate brand awareness, or access new markets. The present study aims to understand the role and use of data science by SMEs in their online marketing performance. The research method used in this study is a systematic literature review. The data were analyzed using multiple correspondence analysis (MCA) in the programming language R. Based on the results, we identify a total of seven state-of-the-art uses of data science in digital marketing used by SMEs in their online marketing strategies that are graphically represented and analyzed. In addition, four future lines of research are proposed and discussed to understand the direction of the next steps that SMEs should take to successfully develop their digital strategies. Finally, the review concludes with a discussion of the theoretical and practical implications of our findings for further research on the influence and use of data sciences in SMEs' online marketing performance.</t>
  </si>
  <si>
    <t>[Saura, Jose Ramon] Rey Juan Carlos Univ, Dept Business Econ, Paseo Artilleros S-N, Madrid 28032, Spain; [Palacios-Marques, Daniel] Univ Politecn Valencia, Dept Business Org, Valencia, Spain; [Ribeiro-Soriano, Domingo] Univ Alcala, Dept Econ &amp; Business, Alcala De Henares, Spain</t>
  </si>
  <si>
    <t>Universidad Rey Juan Carlos; Universitat Politecnica de Valencia; Universidad de Alcala</t>
  </si>
  <si>
    <t>Saura, JR (corresponding author), Rey Juan Carlos Univ, Dept Business Econ, Paseo Artilleros S-N, Madrid 28032, Spain.</t>
  </si>
  <si>
    <t>joseramon.saura@urjc.es</t>
  </si>
  <si>
    <t>Ribeiro-Soriano, Domingo/G-5798-2015; Saura, José Ramón/L-2861-2018</t>
  </si>
  <si>
    <t>Ribeiro-Soriano, Domingo/0000-0003-3222-9101; Saura, José Ramón/0000-0002-9457-7745</t>
  </si>
  <si>
    <t>Ministry of Science, Innovation and Universities; European Regional Development Fund [RTI2018-096295-B-C22]</t>
  </si>
  <si>
    <t>Ministry of Science, Innovation and Universities; European Regional Development Fund(European Union (EU))</t>
  </si>
  <si>
    <t>In gratitude to the Ministry of Science, Innovation and Universities and the European Regional Development Fund: RTI2018-096295-B-C22.</t>
  </si>
  <si>
    <t>10.1080/00472778.2021.1955127</t>
  </si>
  <si>
    <t>AUG 2021</t>
  </si>
  <si>
    <t>F9DI3</t>
  </si>
  <si>
    <t>WOS:000686398500001</t>
  </si>
  <si>
    <t>Kim, DH; Desai, M</t>
  </si>
  <si>
    <t>Kim, Dam Hee; Desai, Meera</t>
  </si>
  <si>
    <t>Are Social Media Worth It for News Media?: Explaining News Engagement on Tumblr and Digital Traffic of News Websites</t>
  </si>
  <si>
    <t>JMM-INTERNATIONAL JOURNAL ON MEDIA MANAGEMENT</t>
  </si>
  <si>
    <t>HEALTH COMMUNICATION; ONLINE NEWS; OF-MOUTH; ORGANIZATIONS; ATTENTION; RICHNESS</t>
  </si>
  <si>
    <t>News organizations, faced with financial challenges in transitioning to a digital era, have embraced social media to attract an audience. Little, however, is empirically known regarding which factors generate engagement on social media to drive traffic to dedicated news websites. To answer this question, digital traffic of top 50 news organizations and 230,375 posts made by 41 accounts of these organizations on a social media platform, Tumblr, were analyzed. The results suggest that both still and animated images in news posts can be helpful for engagement not just linearly but in a non-linear, exponential fashion while hashtags in news posts may also positively predict digital traffic to news websites. Nonetheless, having a link to news websites in posts does not increase engagement or digital traffic to news websites. The implications of results are discussed for news organizations' digital strategies that not only engage but also inform audiences for better journalism.</t>
  </si>
  <si>
    <t>[Kim, Dam Hee; Desai, Meera] Univ Arizona, Dept Commun, 1103 E Univ Blvd, Tucson, AZ 85721 USA</t>
  </si>
  <si>
    <t>University of Arizona</t>
  </si>
  <si>
    <t>Kim, DH (corresponding author), Univ Arizona, Dept Commun, 1103 E Univ Blvd, Tucson, AZ 85721 USA.</t>
  </si>
  <si>
    <t>damheekim@email.arizona.edu</t>
  </si>
  <si>
    <t>1424-1277</t>
  </si>
  <si>
    <t>1424-1250</t>
  </si>
  <si>
    <t>JMM-INT J MEDIA MANA</t>
  </si>
  <si>
    <t>JMM-Int. J. Media Manag.</t>
  </si>
  <si>
    <t>APR 3</t>
  </si>
  <si>
    <t>1-2</t>
  </si>
  <si>
    <t>10.1080/14241277.2021.1958820</t>
  </si>
  <si>
    <t>XJ8PL</t>
  </si>
  <si>
    <t>WOS:000684090700001</t>
  </si>
  <si>
    <t>Javornik, A; Duffy, K; Rokka, J; Scholz, J; Nobbs, K; Motala, A; Goldenberg, A</t>
  </si>
  <si>
    <t>Javornik, Ana; Duffy, Katherine; Rokka, Joonas; Scholz, Joachim; Nobbs, Karinna; Motala, Anisa; Goldenberg, Adriana</t>
  </si>
  <si>
    <t>Strategic approaches to augmented reality deployment by luxury brands</t>
  </si>
  <si>
    <t>Luxury brand; Augmented reality; Brand equity; Customer journey; Brand experience; Strategic approaches</t>
  </si>
  <si>
    <t>SOCIAL MEDIA; EXPERIENCE; INNOVATION; EQUITY; WORLD</t>
  </si>
  <si>
    <t>Luxury brands' pioneering digital strategies now incorporate augmented reality (AR), which offers new opportunities thanks to AR unique characteristics. Luxury brands differ from other brands in their specific attributes, such as authenticity, exclusivity, hedonism, and aesthetic expression. This research investigates how AR characteristics can support luxury brands by drawing on illustrative cases of AR deployment by luxury brands and indepth interviews with executives and senior managers. Specifically, it identifies how luxury brands deploy AR through four distinct strategic approaches focused on: ephemeral elevation; auratic amplification; bespoke personalization; and effortless continuation. The study contributes to literature on digital technologies and luxury brands by offering, first, a focused analysis of how AR uniquely conveys luxury attributes, and second, by conceptualizing how AR enables brands to enhance customer journeys and brand experiences through four strategic approaches. Finally, it provides managerial guidance on how luxury brands can effectively deploy AR to build brand equity.</t>
  </si>
  <si>
    <t>[Javornik, Ana] Univ Bristol, Sch Management, Queens Ave, Bristol BS8 1TU, Avon, England; [Duffy, Katherine] Univ Glasgow, Adam Smith Business Sch, Gilbert Scott Bldg, Glasgow G12 8QQ, Lanark, Scotland; [Rokka, Joonas] EMLYON Business Sch, Lifestyle Res Ctr, 23 Ave Guy Collongue, F-69130 Ecully, France; [Scholz, Joachim] Brock Univ, Goodman Sch Business, St Catharines, ON L2S 3A1, Canada; [Nobbs, Karinna] ESCP Europe, 527 Finchley Rd, London NW3 7BG, England; [Motala, Anisa; Goldenberg, Adriana] Holition, Thavies Inn House,3-4 Holborn Circus, London EC1N 2PL, England</t>
  </si>
  <si>
    <t>University of Bristol; University of Glasgow; EMLYON Business School; Brock University; heSam Universite; ESCP Business School</t>
  </si>
  <si>
    <t>Javornik, A (corresponding author), Univ Bristol, Sch Management, Queens Ave, Bristol BS8 1TU, Avon, England.</t>
  </si>
  <si>
    <t>ana.javornik@bristol.ac.uk; katherine.duffy@glasgow.ac.uk; rokka@em-lyon.com; jscholz@brocku.ca; knobbs@escpeurope.eu; anisa.motala@holition.com; adriana.goldenberg@holition.com</t>
  </si>
  <si>
    <t>Javornik, Ana/0000-0002-3230-6405</t>
  </si>
  <si>
    <t>Adam Smith Business School - University of Glasgow; Newcastle University Business School</t>
  </si>
  <si>
    <t>The authors wish to thank the agency Holition, especially Dr Ana Maria Moutinho and Jonathan Chippindale, CEO, for their invaluable support of this study. They also gratefully acknowledge the support from Adam Smith Business School - University of Glasgow and Newcastle University Business School. The authors are very grateful to the managers and experts who took part in the interviews and shared their insights. The authors thank the participants of the 5th International AR&amp;VR 2019 conference for their feedback on the earlier version of this research. Finally, many thanks to the reviewers and the guest editors for their comments and guidance during the review process.</t>
  </si>
  <si>
    <t>10.1016/j.jbusres.2021.07.040</t>
  </si>
  <si>
    <t>WE2ZL</t>
  </si>
  <si>
    <t>WOS:000705493100004</t>
  </si>
  <si>
    <t>Benesová, A; Basl, J; Tupa, J; Steiner, F</t>
  </si>
  <si>
    <t>Benesova, Andrea; Basl, Josef; Tupa, Jiri; Steiner, Frantisek</t>
  </si>
  <si>
    <t>Design of a business readiness model to realise a green industry 4.0 company</t>
  </si>
  <si>
    <t>INTERNATIONAL JOURNAL OF COMPUTER INTEGRATED MANUFACTURING</t>
  </si>
  <si>
    <t>Industry 4.0; maturity model of industry 4.0; green; sustainable manufacturing; sustainability carbon neutrality</t>
  </si>
  <si>
    <t>MATURITY MODEL</t>
  </si>
  <si>
    <t>The paper reports research on the implementation of green aspects into the latest industrial revolution called Industry 4.0 and proposes the design of a business readiness level model for Industry 4.0. The analysis is based on the available maturity models for Industry 4.0, which are investigated to determine whether and to what extent they fulfil the 'green' trends by their name, content or specialized dimensions. This analysis was initiated over recent years, by a strong interest in integrating the elements and principles of Industry 4.0 into enterprises, together with an increased interest in achieving carbon neutral production and society in the coming decades, including recent EU Green Deal documents. The first part of the paper describes the basic requirements of the Industry 4.0, new digital strategies and green agreements. The major parts of the paper provide an analysis of current maturity and readiness models for Industry 4.0 together with specification, design and development of a readiness model for companies to implement Industry 4.0 with respect to green aspects. The final part of the paper provides an evaluation based on questionnaire survey with discussion, conclusions and avenues for future research.</t>
  </si>
  <si>
    <t>[Benesova, Andrea; Tupa, Jiri; Steiner, Frantisek] Univ West Bohemia, Fac Elect Engn, Dept Mat &amp; Technol, Plzen, Czech Republic; [Basl, Josef] Univ West Bohemia, Fac Mech Engn, Dept Ind Engn &amp; Management, Plzen, Czech Republic</t>
  </si>
  <si>
    <t>University of West Bohemia Pilsen; University of West Bohemia Pilsen</t>
  </si>
  <si>
    <t>Benesová, A (corresponding author), Univ West Bohemia, Fac Elect Engn, Dept Mat &amp; Technol, Plzen, Czech Republic.</t>
  </si>
  <si>
    <t>benesov2@rek.zcu.cz</t>
  </si>
  <si>
    <t>Tupa, Jiri/P-1692-2016; Steiner, Frantisek/M-8283-2014; Benešová, Andrea/JER-5311-2023</t>
  </si>
  <si>
    <t>Tupa, Jiri/0000-0002-4329-5406; Steiner, Frantisek/0000-0002-5702-7015; Benesova, Andrea/0000-0003-0879-7846</t>
  </si>
  <si>
    <t>Software platform for Implementation Accelerating of Process Control and Automation Systems [TH02010577]; Student Grant Agency of the University of West Bohemia in Pilsen [SGS-2021-003]</t>
  </si>
  <si>
    <t>Software platform for Implementation Accelerating of Process Control and Automation Systems; Student Grant Agency of the University of West Bohemia in Pilsen</t>
  </si>
  <si>
    <t>This work was supported by the Software platform for Implementation Accelerating of Process Control and Automation Systems [TH02010577] and funding of Student Grant Agency of the University of West Bohemia in Pilsen, No. SGS-2021-003 Materials, technologies and diagnostics in electrical engineering.</t>
  </si>
  <si>
    <t>0951-192X</t>
  </si>
  <si>
    <t>1362-3052</t>
  </si>
  <si>
    <t>INT J COMPUT INTEG M</t>
  </si>
  <si>
    <t>Int. J. Comput. Integr. Manuf.</t>
  </si>
  <si>
    <t>10.1080/0951192X.2021.1946858</t>
  </si>
  <si>
    <t>Computer Science, Interdisciplinary Applications; Engineering, Manufacturing; Operations Research &amp; Management Science</t>
  </si>
  <si>
    <t>Computer Science; Engineering; Operations Research &amp; Management Science</t>
  </si>
  <si>
    <t>UR5UC</t>
  </si>
  <si>
    <t>WOS:000680740800001</t>
  </si>
  <si>
    <t>Canhoto, AI; Quinton, S; Pera, R; Molinillo, S; Simkin, L</t>
  </si>
  <si>
    <t>Canhoto, Ana Isabel; Quinton, Sarah; Pera, Rebecca; Molinillo, Sebastin; Simkin, Lyndon</t>
  </si>
  <si>
    <t>Digital strategy aligning in SMEs: A dynamic capabilities perspective</t>
  </si>
  <si>
    <t>JOURNAL OF STRATEGIC INFORMATION SYSTEMS</t>
  </si>
  <si>
    <t>Digital strategy aligning; SMEs; Europe; Dynamic capabilities; Five-phase model</t>
  </si>
  <si>
    <t>INFORMATION-SYSTEMS STRATEGY; MEDIUM-SIZED ENTERPRISES; MARKET ORIENTATION; TECHNOLOGY ADOPTION; SMALL BUSINESSES; E-GOVERNMENT; AS-PRACTICE; ALIGNMENT; ENTREPRENEURIAL; MANAGEMENT</t>
  </si>
  <si>
    <t>Digital strategy alignment is a dominant concern for today's managers and information systems researchers. Yet research in this area remains fragmented, particularly on the digital strategy alignment of small and medium-sized enterprises (SMEs), which is concerning owing to their value to European economies. Employing dynamic capabilities as an analytical lens, we investigate how 43 British, Irish, Italian, and Spanish SMEs, across five industry sectors, enact digital aligning. We identify a model of digital alignment comprising five phases, which we term passive acceptance, connection, immersion, fusion, and transformation, as well as the specific combinations of sensing, seizing, and reorganizing capabilities associated with each phase. Our model provides a holistic, practice-based perspective and highlights the role of micro-behaviors and leadership in SMEs implementing digital strategy.</t>
  </si>
  <si>
    <t>[Canhoto, Ana Isabel] Brunel Univ London, Kingston Lane, Uxbridge UB8 3PH, Middx, England; [Quinton, Sarah] Oxford Brookes Univ, Oxford, England; [Pera, Rebecca] Univ Piemonte Orientale, Vercelli, Italy; [Molinillo, Sebastin] Univ Malaga, Malaga, Spain; [Simkin, Lyndon] Coventry Univ, Coventry, W Midlands, England</t>
  </si>
  <si>
    <t>Brunel University; Oxford Brookes University; University of Eastern Piedmont Amedeo Avogadro; Universidad de Malaga; Coventry University</t>
  </si>
  <si>
    <t>Canhoto, AI (corresponding author), Brunel Univ London, Kingston Lane, Uxbridge UB8 3PH, Middx, England.</t>
  </si>
  <si>
    <t>Ana.Canhoto@brunel.ac.uk</t>
  </si>
  <si>
    <t>Molinillo, Sebastian/I-2420-2015; Canhoto, Ana Isabel/M-1980-2017</t>
  </si>
  <si>
    <t>Molinillo, Sebastian/0000-0001-9132-5190; Canhoto, Ana Isabel/0000-0002-1623-611X</t>
  </si>
  <si>
    <t>Oxford Brookes University, UK [0012-15/48]</t>
  </si>
  <si>
    <t>Oxford Brookes University, UK</t>
  </si>
  <si>
    <t>This research received funding from Oxford Brookes University, UK, internal small grants award number 0012-15/48.</t>
  </si>
  <si>
    <t>0963-8687</t>
  </si>
  <si>
    <t>1873-1198</t>
  </si>
  <si>
    <t>J STRATEGIC INF SYST</t>
  </si>
  <si>
    <t>J. Strateg. Inf. Syst.</t>
  </si>
  <si>
    <t>10.1016/j.jsis.2021.101682</t>
  </si>
  <si>
    <t>JUL 2021</t>
  </si>
  <si>
    <t>UR5LG</t>
  </si>
  <si>
    <t>Green Submitted, Green Published, Green Accepted</t>
  </si>
  <si>
    <t>WOS:000696790200004</t>
  </si>
  <si>
    <t>Zaman, M; Vo-Thanh, T; Hasan, R; Babu, MM</t>
  </si>
  <si>
    <t>Zaman, Mustafeed; Vo-Thanh, Tan; Hasan, Rajibul; Mohiuddin Babu, Mujahid</t>
  </si>
  <si>
    <t>Mobile channel as a strategic distribution channel in times of crisis: a self-determination theory perspective</t>
  </si>
  <si>
    <t>JOURNAL OF STRATEGIC MARKETING</t>
  </si>
  <si>
    <t>Multi-channel; omni-channel; mobile channel; Too Good To Go (TGTG) app; self-determination theory; motives</t>
  </si>
  <si>
    <t>INTEGRATION QUALITY; PRODUCT DESIGN; EXPERIENCE; ADOPTION; AGENDA; FUTURE; NEEDS; APPS</t>
  </si>
  <si>
    <t>The Covid-19 pandemic has profoundly disrupted the worldwide economy, particularly the restaurant sector. To face these challenges, the multi- and omni-channel approaches have been embraced by several firms, especially with the integration of mobile channels and social media. However, no research is conducted to investigate how this integration can be successful in times of crisis, such as pandemic. Therefore, drawing upon the self-determination theory, the present study aims at addressing this research gap by exploring, from both the restaurant owners' and customers' perspectives, how an anti-food waste mobile app called Too Good To Go (TGTG) - the largest social case in Europe, is perceived as a strategic distribution channel in the time of pandemic. Based on 18 in-depth interviews with restaurant owners and 22 with customers in Paris, findings highlight the success factors for restaurants to achieve their digital strategies. Theoretical and practical implications, and future research perspectives are presented.</t>
  </si>
  <si>
    <t>[Zaman, Mustafeed] Normandie Business Sch, Metis Lab, Dept Mkt, Le Havre, France; [Vo-Thanh, Tan] CERIIM, Excelia Grp, Dept Mkt, La Rochelle, France; [Vo-Thanh, Tan] CEREGE EA 1722, La Rochelle, France; [Hasan, Rajibul] Maynooth Univ, Dept Mkt, Maynooth, Kildare, Ireland; [Mohiuddin Babu, Mujahid] Coventry Univ, Dept Mkt, Coventry, W Midlands, England</t>
  </si>
  <si>
    <t>Maynooth University; Coventry University</t>
  </si>
  <si>
    <t>Zaman, M (corresponding author), Normandie Business Sch, Metis Lab, Dept Mkt, Le Havre, France.</t>
  </si>
  <si>
    <t>mzaman@em-normandie.fr</t>
  </si>
  <si>
    <t>Zaman, Mustafeed/ABA-1317-2021; Vo-Thanh, Tan/O-5735-2019</t>
  </si>
  <si>
    <t>Zaman, Mustafeed/0000-0002-8582-9445; Vo-Thanh, Tan/0000-0001-9964-3724; Mohiuddin Babu, Mujahid/0000-0001-6952-0723; Hasan, Rajibul/0000-0002-1290-4627</t>
  </si>
  <si>
    <t>0965-254X</t>
  </si>
  <si>
    <t>1466-4488</t>
  </si>
  <si>
    <t>J STRATEG MARK</t>
  </si>
  <si>
    <t>J. Strateg. Mark.</t>
  </si>
  <si>
    <t>2021 JUL 29</t>
  </si>
  <si>
    <t>10.1080/0965254X.2021.1959629</t>
  </si>
  <si>
    <t>UC4BX</t>
  </si>
  <si>
    <t>WOS:000686474100001</t>
  </si>
  <si>
    <t>Radanliev, P; De Roure, D; Burnap, P; Santos, O</t>
  </si>
  <si>
    <t>Radanliev, Petar; De Roure, David; Burnap, Pete; Santos, Omar</t>
  </si>
  <si>
    <t>Epistemological Equation for Analysing Uncontrollable States in Complex Systems: Quantifying Cyber Risks from the Internet of Things</t>
  </si>
  <si>
    <t>REVIEW OF SOCIONETWORK STRATEGIES</t>
  </si>
  <si>
    <t>Epistemological analysis; Internet of Things; Risk transformation roadmap; Cyber risk regulations; Empirical analysis; Cyber risk self-assessment; Cyber risk target state</t>
  </si>
  <si>
    <t>The Internet-of-Things (IoT) triggers data protection questions and new types of cyber risks. Cyber risk regulations for the IoT, however, are still in their infancy. This is concerning, because companies integrating IoT devices and services need to perform a self-assessment of its IoT cyber security posture. At present, there are no self-assessment methods for quantifying IoT cyber risk posture. It is considered that IoT represent a complex system with too many uncontrollable risk states for quantitative risk assessment. To enable quantitative risk assessment of uncontrollable risk states in complex and coupled IoT systems, a new epistemological equation is designed and tested though comparative and empirical analysis. The comparative analysis is conducted on national digital strategies, followed by an empirical analysis of cyber risk assessment approaches. The results from the analysis present the current and a target state for IoT systems, followed by a transformation roadmap, describing how IoT systems can achieve the target state with a new epistemological analysis model. The new epistemological analysis approach enables the assessment of uncontrollable risk states in complex IoT systems-which begin to resemble artificial intelligence-and can be used for a quantitative self-assessment of IoT cyber risk posture.</t>
  </si>
  <si>
    <t>[Radanliev, Petar; De Roure, David] Univ Oxford, Dept Engn Sci, Oxford eRes Ctr, Oxford, England; [Burnap, Pete] Cardiff Univ, Sch Comp Sci &amp; Informat, Cardiff, Wales; [Santos, Omar] Cisco Res Ctr, Durham, NC USA</t>
  </si>
  <si>
    <t>University of Oxford; Cardiff University; Cisco Systems Inc</t>
  </si>
  <si>
    <t>Radanliev, P (corresponding author), Univ Oxford, Dept Engn Sci, Oxford eRes Ctr, Oxford, England.</t>
  </si>
  <si>
    <t>petar.radanliev@oerc.ox.ac.uk</t>
  </si>
  <si>
    <t>Radanliev, Petar/L-7509-2015</t>
  </si>
  <si>
    <t>Radanliev, Petar/0000-0001-5629-6857</t>
  </si>
  <si>
    <t>EPSRC [EP/S035362/1]; Cisco Research Centre [CG1525381]; EPSRC [EP/S035362/1] Funding Source: UKRI</t>
  </si>
  <si>
    <t>EPSRC(UK Research &amp; Innovation (UKRI)Engineering &amp; Physical Sciences Research Council (EPSRC)); Cisco Research Centre; EPSRC(UK Research &amp; Innovation (UKRI)Engineering &amp; Physical Sciences Research Council (EPSRC))</t>
  </si>
  <si>
    <t>This work was funded by the EPSRC [Grant Number: EP/S035362/1] and by the Cisco Research Centre [Grant Number CG1525381]. Earlier versions of this work from the combined working papers and project reports prepared for the PETRAS National Centre of Excellence and the Cisco Research Centre can be found in a pre-print online.</t>
  </si>
  <si>
    <t>SPRINGER JAPAN KK</t>
  </si>
  <si>
    <t>TOKYO</t>
  </si>
  <si>
    <t>SHIROYAMA TRUST TOWER 5F, 4-3-1 TORANOMON, MINATO-KU, TOKYO, 105-6005, JAPAN</t>
  </si>
  <si>
    <t>2523-3173</t>
  </si>
  <si>
    <t>1867-3236</t>
  </si>
  <si>
    <t>REV SOCIONETWORK STR</t>
  </si>
  <si>
    <t>Rev. Socionetwork Strateg.</t>
  </si>
  <si>
    <t>10.1007/s12626-021-00086-5</t>
  </si>
  <si>
    <t>WX8WK</t>
  </si>
  <si>
    <t>Green Published, Green Submitted, hybrid</t>
  </si>
  <si>
    <t>WOS:000675728900001</t>
  </si>
  <si>
    <t>Arayesh, MB; Rezaeirad, M; Aidi, M; Lamuki, TG</t>
  </si>
  <si>
    <t>Arayesh, Mohammad Bagher; Rezaeirad, Mostafa; Aidi, Mohammad; Lamuki, Tohfeh Ghobadi</t>
  </si>
  <si>
    <t>Modeling the platform-based banking in commercial banks of Iran</t>
  </si>
  <si>
    <t>JOURNAL OF BANKING REGULATION</t>
  </si>
  <si>
    <t>Platform banking; Commercial banks; Grounded theory; The banking industry</t>
  </si>
  <si>
    <t>Platform-based banking provides opportunities for financial systems to increasing competition, stimulating a FinTech economy, and improving the availability and quality of service to the customers. Platform-based banking is a system that provides a user with a network of financial institution's data through the use of application programming interfaces. With the help of platform banking, it is easy to show how data be created, accessed, and shared. The purpose of this paper is to provide a model of platform banking in commercial banks of Iran by benefiting banking experts. A mixed method was used in the present research including qualitative and quantitative analysis. The qualitative strategy of the present study is based on the grounded theory method, and the quantitative strategy is conducted using the structural equation model based on the Strauss and Corbin model. The main tool for collecting qualitative information was semi-structured interviews, in which the data were coded in three stages: open, axial, and selective coding. In the quantitative phase, the descriptive survey method was used to analyze and explain the proposed model through structural equations and using SmartPLS software. According to the codes which were obtained from the interviews, the 373 final codes were extracted in the form of 51 concepts, 25 sub-categories, and 6 main categories. In the quantitative part of the research, causal relationships between variables and testing the research hypotheses were performed. The findings show that the platform banking model has six components such as economic management and banking process reform, customers experience management, infrastructure engineering, and implementation mechanisms, digital strategic management of customer, and facilitate the achievement of structural productivity and digital governance in the shadow of knowledge partnerships with competing partners. Developing a model of platform banking model depends on the superior management of these components. Also, the research results indicate the confirmation of the conceptual model presented using the structural equation model. All structural model fit indices had acceptable values.</t>
  </si>
  <si>
    <t>[Arayesh, Mohammad Bagher] Islamic Azad Univ, Dept Management, Hamedan Branch, Hamadan, Hamadan, Iran; [Rezaeirad, Mostafa] Univ Boalisina, Dept Management &amp; Accounting, Hamadan, Hamadan, Iran; [Aidi, Mohammad] Univ Ilam, Dept Management, Ilam, Iran; [Lamuki, Tohfeh Ghobadi] Islamic Azad Univ, Dept Management, Gonbad Kavoos Branch, Gonbad Kavoos, Iran</t>
  </si>
  <si>
    <t>Islamic Azad University; Islamic Azad University</t>
  </si>
  <si>
    <t>Rezaeirad, M (corresponding author), Univ Boalisina, Dept Management &amp; Accounting, Hamadan, Hamadan, Iran.</t>
  </si>
  <si>
    <t>m.rezaeirad@basu.ac.ir</t>
  </si>
  <si>
    <t>1745-6452</t>
  </si>
  <si>
    <t>1750-2071</t>
  </si>
  <si>
    <t>J BANK REGUL</t>
  </si>
  <si>
    <t>J. Bank Regul.</t>
  </si>
  <si>
    <t>10.1057/s41261-021-00169-x</t>
  </si>
  <si>
    <t>5V1DW</t>
  </si>
  <si>
    <t>WOS:000673014800001</t>
  </si>
  <si>
    <t>Matricano, D; Castaldi, L; Sorrentino, M; Candelo, E</t>
  </si>
  <si>
    <t>Matricano, Diego; Castaldi, Laura; Sorrentino, Mario; Candelo, Elena</t>
  </si>
  <si>
    <t>The behavior of managers handling digital business transformations: theoretical issues and preliminary evidence from firms in the manufacturing industry</t>
  </si>
  <si>
    <t>Digital business transformation; Organizational culture; Leadership; Manufacturing industry; Content analysis; Case studies</t>
  </si>
  <si>
    <t>RESOURCE-BASED THEORY; COMPETING VALUES; DYNAMIC THEORY; KNOWLEDGE; LEADERSHIP; INNOVATION; STRATEGY; CULTURE; ORGANIZATION; TECHNOLOGY</t>
  </si>
  <si>
    <t>Purpose Organizational culture plays a central role when dealing with the issue of digital business transformation (DBT). Managers handling a DBT and involved in digital strateging are expected to modify the organizational culture of firms to make it more fitting with the paradigm of digital economy and having more chance of success. Thus, it is noteworthy to inspect the role they can have over DBTs. Accordingly, the purpose of this paper is to investigate the behavior that managers assume when they approach DBTs by investigating whether they act as mentors/facilitators or entrepreneurs/innovators, as coordinators or decision makers. Design/methodology/approach To achieve the above purpose, ten case studies about manufacturing firms have been selected. Case studies, retrieved by the Digital Innovation Observatories of the School of Management of the Politecnico di Milano, are studied and analyzed by means of a qualitative content analysis on textual data. This allows getting specific insights into organizational culture before and after DBT and about the role played by managers. Findings Achieved results disclose that managers need to modify the organizational culture of their firms to handle a successful DBT. However, firms can assume different organizational culture and thus the role assumed by managers handling a DBT can change as well. Originality/value To the authors knowledge, this paper is among the first that aim to investigate the role that mangers assume when handling DBTs. In particular, originality lies in the fact that assumed roles are rebuilt in reference to their ability to modify organizational culture.</t>
  </si>
  <si>
    <t>[Matricano, Diego; Castaldi, Laura; Sorrentino, Mario] Univ Campania Luigi Vanvitelli, Dept Management, Caserta, Italy; [Candelo, Elena] Univ Torino, Dept Management, Turin, Italy</t>
  </si>
  <si>
    <t>Universita della Campania Vanvitelli; University of Turin</t>
  </si>
  <si>
    <t>Matricano, D (corresponding author), Univ Campania Luigi Vanvitelli, Dept Management, Caserta, Italy.</t>
  </si>
  <si>
    <t>diego.matricano@unicampania.it</t>
  </si>
  <si>
    <t>JUL 8</t>
  </si>
  <si>
    <t>10.1108/IJEBR-01-2021-0077</t>
  </si>
  <si>
    <t>2U2PR</t>
  </si>
  <si>
    <t>WOS:000670396600001</t>
  </si>
  <si>
    <t>Khan, IA</t>
  </si>
  <si>
    <t>Khan, Intakhab Alam</t>
  </si>
  <si>
    <t>Attention Deficit Hyperactivity Disorder among English language learners of Sterilization program amidst COVID-19</t>
  </si>
  <si>
    <t>PAKISTAN JOURNAL OF MEDICAL &amp; HEALTH SCIENCES</t>
  </si>
  <si>
    <t>ADHD; English language; sterilization; Attention deficit hyperactivity; digital strategies; motivation</t>
  </si>
  <si>
    <t>STUDENTS; ADHD</t>
  </si>
  <si>
    <t>Background: This study explored the prevalence of Attention Deficit Hyperactivity Disorder (ADHD) among the students of 'sterilization program' while learning English language amidst COVID-19 in Saudi Arabia. Aim: To diagnose ADHD among the learners, and later propose some digital strategies to motivate the learners for resilience. Methods: A qualitative exploratory study was undertaken in April, 2020. A diagnostic tool was administered to 41 students pursuing 'Sterilization program' at king Abdulaziz University in Kingdom of Saudi Arabia (KSA). Later, learners with ADHD (N=9) were selected for in-depth study. Data was collected using the ADHD self-report scale V1.1 screener. Results Five professors from the concerned department were purposively selected for the interviews for qualitative analysis using thematic analysis. Confidentiality and anonymity was ensured as per the ethical standard. Many students demonstrate signs of ADHD, therefore there is a need of assessment and intervention. Teachers, counselors and managers need to take care of such learners. Conclusions: Conclusions were drawn that students with ADHD need relevant interventions in general and specific pedagogy.</t>
  </si>
  <si>
    <t>[Khan, Intakhab Alam] King Abdulaziz Univ, Jeddah, Saudi Arabia</t>
  </si>
  <si>
    <t>King Abdulaziz University</t>
  </si>
  <si>
    <t>Khan, IA (corresponding author), King Abdulaziz Univ, Jeddah, Saudi Arabia.</t>
  </si>
  <si>
    <t>ikhan1@kau.edu.sa</t>
  </si>
  <si>
    <t>Khan, Intakhab Alam/J-4924-2012</t>
  </si>
  <si>
    <t>Khan, Intakhab Alam/0000-0001-7058-2200</t>
  </si>
  <si>
    <t>Deanship of Scientific Research (DSR), King Abdul Aziz University, Jeddah [D: 155-156-1435]; DSR</t>
  </si>
  <si>
    <t>Deanship of Scientific Research (DSR), King Abdul Aziz University, Jeddah; DSR</t>
  </si>
  <si>
    <t>This project was funded by the Deanship of Scientific Research (DSR), King Abdul Aziz University, Jeddah, under grant no. D: 155-156-1435. The author, therefore, acknowledges with thanks DSR technical and financial support.</t>
  </si>
  <si>
    <t>LAHORE MEDICAL &amp; DENTAL COLL</t>
  </si>
  <si>
    <t>LAHORE</t>
  </si>
  <si>
    <t>CANAL BANK N, TULSPURA, LAHORE, 00000, PAKISTAN</t>
  </si>
  <si>
    <t>1996-7195</t>
  </si>
  <si>
    <t>PAK J MED HEALTH SCI</t>
  </si>
  <si>
    <t>Pak. J. Med. Health Sci.</t>
  </si>
  <si>
    <t>10.53350/pjmhs211571668</t>
  </si>
  <si>
    <t>UI2PM</t>
  </si>
  <si>
    <t>WOS:000690456000038</t>
  </si>
  <si>
    <t>Kimura, M</t>
  </si>
  <si>
    <t>Kimura, Makoto</t>
  </si>
  <si>
    <t>Customer segment transition through the customer loyalty program</t>
  </si>
  <si>
    <t>ASIA PACIFIC JOURNAL OF MARKETING AND LOGISTICS</t>
  </si>
  <si>
    <t>Customer journey; Customer loyalty; Smartphone app; Digital strategy; Forecasting; System dynamics</t>
  </si>
  <si>
    <t>Purpose This study presents the applicability of a model-based approach for loyalty program forecasting using smartphone app in the digital strategy of the retail industry. Design/methodology/approach The authors develop a dynamic model with the cyclical structure of customer segments through customer experience. They use time-series data on the number of members of the loyalty program, Seven Mile Program and confirm the validity of the approximate calculation of customer segment share, customer segment sales share and aggregate sales performance. The authors present three medium-term forecast scenarios after the launch of a smartphone payment service linked with the loyalty program. Findings The sum of the two customer segment shares for forecasting (the sum of the quasi-excellent and excellent customer ratios) is about 30% in each scenario, consistent with an essential customer loyalty (true loyalty) share obtained in the existing empirical study. Research limitations/implications Digital strategy in the retail industry should focus more on estimating and forecasting average amounts of customer segments and the number of aggregated customers through the digitalization on the customer side than on individual customer journeys and responses. Practical implications Multi-scenario evaluation through simulation of dynamic models from a systemic view can be used for decision-making in retailing digital strategies. Originality/value This study builds a model that integrates the cyclicality of customer segment transition through customer experiences into a loyalty matrix framework, which is a method that has previously been used in the hospitality industry.</t>
  </si>
  <si>
    <t>[Kimura, Makoto] Niigata Univ Int &amp; Informat Studies, Dept Business Adm, Niigata, Japan</t>
  </si>
  <si>
    <t>Niigata University</t>
  </si>
  <si>
    <t>Kimura, M (corresponding author), Niigata Univ Int &amp; Informat Studies, Dept Business Adm, Niigata, Japan.</t>
  </si>
  <si>
    <t>mkimura@nuis.ac.jp</t>
  </si>
  <si>
    <t>Kimura, Makoto/ABA-6662-2021; Kimura, Makoto/F-8018-2016</t>
  </si>
  <si>
    <t>Kimura, Makoto/0000-0002-2733-628X; Kimura, Makoto/0000-0002-2733-628X</t>
  </si>
  <si>
    <t>JSPS KAKENHI [JP17K04017, JP19H01534]</t>
  </si>
  <si>
    <t>JSPS KAKENHI(Ministry of Education, Culture, Sports, Science and Technology, Japan (MEXT)Japan Society for the Promotion of ScienceGrants-in-Aid for Scientific Research (KAKENHI))</t>
  </si>
  <si>
    <t>Funding: This work was supported by JSPS KAKENHI Grant Numbers JP17K04017, JP19H01534.</t>
  </si>
  <si>
    <t>1355-5855</t>
  </si>
  <si>
    <t>1758-4248</t>
  </si>
  <si>
    <t>ASIA PAC J MARKET LO</t>
  </si>
  <si>
    <t>Asia Pac. J. Market. Logist.</t>
  </si>
  <si>
    <t>FEB 14</t>
  </si>
  <si>
    <t>10.1108/APJML-09-2020-0630</t>
  </si>
  <si>
    <t>ZF4XY</t>
  </si>
  <si>
    <t>WOS:000669598200001</t>
  </si>
  <si>
    <t>Martincevic, I; Kozina, G</t>
  </si>
  <si>
    <t>Martincevic, Ivana; Kozina, Goran</t>
  </si>
  <si>
    <t>Influence of Digital Technologies and Its Technological Dynamics on Company Management</t>
  </si>
  <si>
    <t>TEHNICKI VJESNIK-TECHNICAL GAZETTE</t>
  </si>
  <si>
    <t>digitalization; digital strategy; digital transformation; digital technology; export companies; information and communication technologies (ICT); management</t>
  </si>
  <si>
    <t>Doing business in the market today is unthinkable without new and modern technology, which is one of the key resources by which companies achieve a sustainable competitive advantage. Digitalization and digital transformation of business includes a number of information and communication technologies (ICT) that are built into business processes and which make it easier for management to do business but also ensure market recognition. Globalization of business affects the expansion and easier access to markets, whereby the management of the company must find new ways and methods of doing business, where the digital transformation of business and new digital and information-communication technologies have an effect on growth and competitive advantage. The ability of an organization to transform its business towards digitalization and application of new digital technologies largely depends on the management of the company and a clear digital strategy as an integral part of the corporate business strategy. In order to investigate the impact of constant and rapid development of digital technologies on the management of the company from the aspect of its acceptance and integration within the company's strategy, a survey was conducted in the territory of the Republic of Croatia and Croatian export companies (micro, small, medium and large) were included in the survey.</t>
  </si>
  <si>
    <t>[Martincevic, Ivana; Kozina, Goran] Univ North, Trg Zarka Dolinara 1, Koprivnica 48000, Croatia</t>
  </si>
  <si>
    <t>University North - Croatia</t>
  </si>
  <si>
    <t>Martincevic, I (corresponding author), Univ North, Trg Zarka Dolinara 1, Koprivnica 48000, Croatia.</t>
  </si>
  <si>
    <t>ivana.martincevic@unin.hr; goran.kozina@unin.hr</t>
  </si>
  <si>
    <t>Martincevic, Ivana/0000-0002-9154-4331</t>
  </si>
  <si>
    <t>UNIV OSIJEK, TECH FAC</t>
  </si>
  <si>
    <t>SLAVONSKI BROD</t>
  </si>
  <si>
    <t>TRG IVANE BRLIC-MAZURANIC 2, SLAVONSKI BROD, HR-35000, CROATIA</t>
  </si>
  <si>
    <t>1330-3651</t>
  </si>
  <si>
    <t>1848-6339</t>
  </si>
  <si>
    <t>TEH VJESN</t>
  </si>
  <si>
    <t>Teh. Vjesn.</t>
  </si>
  <si>
    <t>10.17559/TV-20200924091906</t>
  </si>
  <si>
    <t>TM9UE</t>
  </si>
  <si>
    <t>WOS:000675891000025</t>
  </si>
  <si>
    <t>Ritala, P; Baiyere, A; Hughes, M; Kraus, S</t>
  </si>
  <si>
    <t>Ritala, Paavo; Baiyere, Abayomi; Hughes, Mathew; Kraus, Sascha</t>
  </si>
  <si>
    <t>Digital strategy implementation: The role of individual entrepreneurial orientation and relational capital</t>
  </si>
  <si>
    <t>Digital strategy; Individual entrepreneurial orientation; Proactiveness; Risk-taking; Innovativeness; Relational capital; Performance</t>
  </si>
  <si>
    <t>DESIGN SCIENCE RESEARCH; INFORMATION-SYSTEMS; CORPORATE ENTREPRENEURSHIP; DYNAMIC CAPABILITIES; FIRM PERFORMANCE; USER ACCEPTANCE; KNOWLEDGE; TECHNOLOGY; WORK; INNOVATION</t>
  </si>
  <si>
    <t>In transformational strategy contexts such as digitalization, the entrepreneurial behavior of the firm's employees is crucial. This study examines the role of employees' individual-level entrepreneurial orientation (IEO) in terms of proactiveness, risk-taking, and innovativeness, and their relational capital within the organization, on their performance in achieving organizations' digital strategy goals. We hypothesize that all IEO dimensions are positively associated with employees' digital strategy performance and that relational capital positively moderates the effect of proactiveness and risk-taking but negatively moderates the effect of innovativeness. The results of an intra-organizational survey of 166 employees at a medium-sized Northern European manufacturing firm provide partial support for our hypotheses. As part of the empirical design, we introduce a four-dimensional scale for organizational and individual digital strategy performance (Digital - Management, Infrastructure, Networking, and development - MIND). With this scale, we contrast the informants' self-assessment of their individual performance against their assessment of the overall organizational performance. Our study is one of the first to investigate IEO in a digital strategy context and provides implications for harnessing employees' entrepreneurial and innovative potential in digital transformation.</t>
  </si>
  <si>
    <t>[Ritala, Paavo] LUT Univ, Sch Business &amp; Management, Lappeenranta, Finland; [Baiyere, Abayomi] Copenhagen Business Sch, Dept Digitalizat, Copenhagen, Denmark; [Baiyere, Abayomi] Univ Turku, Informat Syst Sci, Turku, Finland; [Hughes, Mathew] Loughborough Univ, Sch Business &amp; Econ, Loughborough LE11 3TU, Leics, England; [Kraus, Sascha] Free Univ Bozen Bolzano, Fac Econ &amp; Management, Piazza Univ 1, I-39100 Bolzano, Italy</t>
  </si>
  <si>
    <t>Lappeenranta-Lahti University of Technology LUT; Copenhagen Business School; University of Turku; Loughborough University; Free University of Bozen-Bolzano</t>
  </si>
  <si>
    <t>Ritala, P (corresponding author), LUT Univ, Sch Business &amp; Management, Lappeenranta, Finland.</t>
  </si>
  <si>
    <t>ritala@lut.fi; aba.digi@cbs.dk; m.hughes2@lboro.ac.uk; sascha.kraus@zfke.de</t>
  </si>
  <si>
    <t>Ritala, Paavo/0000-0002-8525-4610; Hughes, Mathew/0000-0001-6859-558X</t>
  </si>
  <si>
    <t>PoDoCo - Post Docs in Companies</t>
  </si>
  <si>
    <t>We want to thank PoDoCo -Post Docs in Companies -for financial support regarding this research. We also want to thank Hannu Salmela, Matti Mantymaki, and Milla Wirren for their support.</t>
  </si>
  <si>
    <t>10.1016/j.techfore.2021.120961</t>
  </si>
  <si>
    <t>JUN 2021</t>
  </si>
  <si>
    <t>TU7XL</t>
  </si>
  <si>
    <t>WOS:000681245200014</t>
  </si>
  <si>
    <t>Balhara, YPS; Szerman, N; Singh, S; Raga, JM; Salom, C; Peris, L; Ganesh, R</t>
  </si>
  <si>
    <t>Singh Balhara, Yatan Pal; Szerman, Nestor; Singh, Swarndeep; Martinez Raga, Jose; Salom, Caroline; Peris, Lola; Ganesh, Ragul</t>
  </si>
  <si>
    <t>Treatment Needs and Service Delivery for Patients with Dual Disorders During the COVID-19 Pandemic: Findings From the WADD Survey</t>
  </si>
  <si>
    <t>JOURNAL OF DUAL DIAGNOSIS</t>
  </si>
  <si>
    <t>Dual disorders; COVID-19; service delivery; health care delivery; barriers</t>
  </si>
  <si>
    <t>Objective The COVID-19 pandemic has posed a great challenge for the existing health systems. The restrictions imposed across countries on the movement of people and the realignment of health care services in response to the pandemic are likely to negatively affect the health status and delivery of mental health services to persons with dual disorders (PWDD). Methods: An online survey was conducted among mental health professionals involved in providing care to PWDD to better understand the problems encountered and identify potential solutions in providing continued treatment for PWDD during the COVID-19 pandemic. Results: The findings confirmed significant disruption in the delivery of treatment services for PWDD during the COVID-19 pandemic. Dissatisfaction with personal protective equipment, inadequate COVID-19 testing services at treatment facility, and lack of guidelines on providing continued treatment services to PWDD by national authorities or professional bodies were identified as the likely reasons for this disruption. Conclusions: These concerns in turn need to be addressed by the policy-makers, hospital management staff, and other stakeholders. Specifically, there should be a focus on developing and disseminating guidelines to assist mental health professionals in setting-up and providing continued treatment services to PWDD via tele-psychiatry and other novel digital strategies.</t>
  </si>
  <si>
    <t>[Singh Balhara, Yatan Pal] All India Inst Med Sci AIIMS, Natl Drug Dependence Treatment Ctr, Dept Psychiat, Room 4096,4th Floor,Acad Block, New Delhi, India; [Szerman, Nestor] Univ Hosp Gregorio Maranon, Mental Hlth Unit Retiro, Madrid, Spain; [Singh, Swarndeep; Ganesh, Ragul] All India Inst Med Sci AIIMS, Natl Drug Dependence Treatment Ctr, New Delhi, India; [Singh, Swarndeep; Ganesh, Ragul] All India Inst Med Sci AIIMS, Dept Psychiat, New Delhi, India; [Martinez Raga, Jose] Univ Valencia, Dept Psychiat, Valencia, Spain; [Salom, Caroline] Univ Queensland, Inst Social Sci Res, Brisbane, Qld, Australia; [Salom, Caroline; Peris, Lola] CNP Ctr Neuchatelois Psychiat, Neuchatel, Switzerland</t>
  </si>
  <si>
    <t>All India Institute of Medical Sciences (AIIMS) New Delhi; National Drug Dependence Treatment Centre (NDDTC); General University Gregorio Maranon Hospital; All India Institute of Medical Sciences (AIIMS) New Delhi; National Drug Dependence Treatment Centre (NDDTC); All India Institute of Medical Sciences (AIIMS) New Delhi; University of Valencia; University of Queensland</t>
  </si>
  <si>
    <t>Balhara, YPS (corresponding author), All India Inst Med Sci AIIMS, Natl Drug Dependence Treatment Ctr, Dept Psychiat, Room 4096,4th Floor,Acad Block, New Delhi, India.</t>
  </si>
  <si>
    <t>ypsbalhara@gmail.com</t>
  </si>
  <si>
    <t>Salom, Caroline/C-1761-2014; Ganesh, Ragul/IVH-4408-2023; Martinez-Raga, Jose/B-6251-2017</t>
  </si>
  <si>
    <t>Salom, Caroline/0000-0002-8986-9735; Martinez-Raga, Jose/0000-0002-2856-6562; BALHARA, YATAN PAL SINGH/0000-0003-1616-6403</t>
  </si>
  <si>
    <t>1550-4263</t>
  </si>
  <si>
    <t>1550-4271</t>
  </si>
  <si>
    <t>J DUAL DIAGN</t>
  </si>
  <si>
    <t>J. Dual Diagn.</t>
  </si>
  <si>
    <t>10.1080/15504263.2021.1940413</t>
  </si>
  <si>
    <t>Psychology, Clinical; Substance Abuse; Psychiatry</t>
  </si>
  <si>
    <t>Psychology; Substance Abuse; Psychiatry</t>
  </si>
  <si>
    <t>UQ9MD</t>
  </si>
  <si>
    <t>WOS:000665659700001</t>
  </si>
  <si>
    <t>Ko, A; Fehér, P; Kovacs, T; Mitev, A; Szabó, Z</t>
  </si>
  <si>
    <t>Ko, Andrea; Feher, Peter; Kovacs, Tibor; Mitev, Ariel; Szabo, Zoltan</t>
  </si>
  <si>
    <t>Influencing factors of digital transformation: management or IT is the driving force?</t>
  </si>
  <si>
    <t>INTERNATIONAL JOURNAL OF INNOVATION SCIENCE</t>
  </si>
  <si>
    <t>Structural equation modeling; Digital transformation; Management commitment; Digital innovation; Digital strategy; Role of IT department</t>
  </si>
  <si>
    <t>INFORMATION-TECHNOLOGY; INNOVATION; SHADOW; ACCEPTANCE; GOVERNANCE</t>
  </si>
  <si>
    <t>Purpose - This research aims to discuss the success of digital transformation focusing on the role of IT and management commitment in digitalization together with sectorial relevance as influencing factors. According to the literature, these dimensions are key elements of digitalization, and there is no consensus on their decisiveness. The authors measure the success of digital transformation with the digital innovation. The research is part of ongoing work, in which the IT-related practice of Hungarian organizations has been explored on an annual basis since 2009. Design/methodology/approach - The research methodology is a combined one; both qualitative and quantitative methods were applied including surveying digital transformation literature, interviews with key representatives of Hungarian organizations, developing a survey to collect quantitative data, data collection and processing with PLS-SEM. Findings - The results revealed that the digital innovations are strongly determined by business, management commitment and, to a far lesser extent, by strategy. In the case of digital transformation, the role of IT departments and the services they provide are less relevant. Research limitations/implications - The most important limitation of the research is the size and composition of the sample. Results do not present the situation of a specific industrial sector. Originality/value - Digital technologies influence and disrupt practically every industry; the development of information and communication technology has changed economies all over the world. Decisive factors of digital transformations are widely researched, but there is no consensus about them. This research contributes to understanding the role of IT department and their services in this process together with leadership, sectorial relevance as influencing factors.</t>
  </si>
  <si>
    <t>[Ko, Andrea; Feher, Peter; Kovacs, Tibor; Mitev, Ariel; Szabo, Zoltan] Corvinus Univ Budapest, Budapest, Hungary</t>
  </si>
  <si>
    <t>Corvinus University Budapest</t>
  </si>
  <si>
    <t>Ko, A (corresponding author), Corvinus Univ Budapest, Budapest, Hungary.</t>
  </si>
  <si>
    <t>andrea.ko@uni-corvinus.hu</t>
  </si>
  <si>
    <t>Mitev, Ariel/ACP-3192-2022; Kovacs, Tibor/ABD-2662-2020</t>
  </si>
  <si>
    <t>Mitev, Ariel/0000-0002-9986-3513; Kovacs, Tibor/0000-0002-7408-998X; Szabo, Zoltan/0000-0001-9466-1448; Ko, Andrea/0000-0003-0023-1143</t>
  </si>
  <si>
    <t>European Union [EFOP-3.6.1-16-2016-00013]</t>
  </si>
  <si>
    <t>This publication was written within the Szechenyi 2020 programme framework (EFOP-3.6.1-16-2016-00013) under the European Union project titled: Institutional developments for intelligent specialization at the Szekesfehervar Campus of Corvinus University of Budapest.</t>
  </si>
  <si>
    <t>1757-2223</t>
  </si>
  <si>
    <t>1757-2231</t>
  </si>
  <si>
    <t>INT J INOV SCI</t>
  </si>
  <si>
    <t>Int. J. Innov. Sci.</t>
  </si>
  <si>
    <t>JAN 7</t>
  </si>
  <si>
    <t>10.1108/IJIS-01-2021-0007</t>
  </si>
  <si>
    <t>YC5MA</t>
  </si>
  <si>
    <t>WOS:000663140300001</t>
  </si>
  <si>
    <t>Mastromartino, B; Naraine, ML</t>
  </si>
  <si>
    <t>Mastromartino, Brandon; Naraine, Michael L.</t>
  </si>
  <si>
    <t>(Dis)Innovative digital strategy in professional sport: examining sponsor leveraging through social media</t>
  </si>
  <si>
    <t>INTERNATIONAL JOURNAL OF SPORTS MARKETING &amp; SPONSORSHIP</t>
  </si>
  <si>
    <t>Social media; Innovation; NHL; COVID; Disinnovation</t>
  </si>
  <si>
    <t>USER ENGAGEMENT; ACTIVATION; MOTIVATIONS; CONGRUENCE; NETWORKS; BASEBALL; USAGE</t>
  </si>
  <si>
    <t>Purpose The purpose of this study was to examine the effectiveness of social media strategies of sport organizations when an unexpected absence of relevant content occurs. The study explored the typologies of Instagram posts of NHL teams and measured engagement of social media content that was not planned in advance. Design/methodology/approach A mixed methods approach was utilized through a content analysis of 12 NHL team social media feeds. 502 (n = 502) posts were examined from the period of March 12 - May 26 during which the NHL season was suddenly paused due to the COVID-19 pandemic. Typologies of posts were identified through a qualitative coding process and ANOVA tests were conducted to examine the effectiveness of each typology in engaging consumers. Findings This study found that social media strategies of the sampled NHL teams is evidence of disinnovation with digital, as opposed to the previously conceptualized innovative properties that these activities bear. Therefore, in order to achieve the consumer engagement outcomes sought to build stronger relationships with fans and deliver on the expected leveraging capabilities for sponsors, sport marketers must reconsider their current, imbalanced approach and whether the more inherently interactive content should be balanced with entertaining content that requires organic consumer engagement. Originality/value This study offers a unique application of UGT, highlighting that social media in a sport context is not just about gratifying consumers, but preventing diminishing engagement and exploitation of users through overuse of sponsorship-laced content.</t>
  </si>
  <si>
    <t>[Mastromartino, Brandon] Southern Methodist Univ, Dallas, TX 75205 USA; [Naraine, Michael L.] Brock Univ, St Catharines, ON, Canada</t>
  </si>
  <si>
    <t>Southern Methodist University; Brock University</t>
  </si>
  <si>
    <t>Mastromartino, B (corresponding author), Southern Methodist Univ, Dallas, TX 75205 USA.</t>
  </si>
  <si>
    <t>bmastromartino@smu.edu</t>
  </si>
  <si>
    <t>1464-6668</t>
  </si>
  <si>
    <t>2515-7841</t>
  </si>
  <si>
    <t>INT J SPORT MARK SPO</t>
  </si>
  <si>
    <t>Int. J. Sports Mark. Spons.</t>
  </si>
  <si>
    <t>10.1108/IJSMS-02-2021-0032</t>
  </si>
  <si>
    <t>4P3SD</t>
  </si>
  <si>
    <t>WOS:000663118500001</t>
  </si>
  <si>
    <t>Van Zeebroeck, N; Kretschmer, T; Bughin, J</t>
  </si>
  <si>
    <t>Van Zeebroeck, Nicolas; Kretschmer, Tobias; Bughin, Jacques</t>
  </si>
  <si>
    <t>Digital is Strategy: The Role of Digital Technology Adoption in Strategy Renewal</t>
  </si>
  <si>
    <t>Companies; Industries; Cognition; Steady-state; Space exploration; Mobile applications; Insurance; Digital strategy; digital transformation; strategic organization design (SOD); strategic renewal; technology adoption</t>
  </si>
  <si>
    <t>INFORMATION-TECHNOLOGY; ORGANIZATION DESIGN; ALIGNMENT; BUSINESS; CAPABILITIES; INNOVATION; INSIGHTS; AGILITY</t>
  </si>
  <si>
    <t>As digital technologies emerge and improve rapidly, firms face changing tradeoffs in terms of their technology infrastructure and strategic direction. Hence, many of them adopt new digital technology and develop new business models and strategies. The literature on strategic alignment of IT suggests that firms need to synchronize these different domains of choice. We therefore, ask how far firms renew their strategy as they adopt new technologies. In this article, we study this question empirically by assessing if the adoption of new digital technologies is associated with, or even leads to, changes to firm strategy using a detailed survey-based dataset on firms' strategy renewal and their adoption of digital technologies. We observe a strong positive association between the extent of strategy change and the stage of adoption of advanced digital technologies overall, suggesting a tight coupling between (technological) structure and strategy. Further, using instrumental variable regressions to disentangle the two effects, we find that the adoption of new technologies may lead to a large and robust effect on strategy change: the more extensive the adoption, the larger the change in strategy. This result is robust to various specifications and across industries. However, we notice substantial differences across technologies, potentially pointing at heterogeneity in their strategic nature or maturity level.</t>
  </si>
  <si>
    <t>[Van Zeebroeck, Nicolas] Univ Libre Bruxelles, Solvay Brussels Sch Econ &amp; Management, iCITE, B-1050 Brussels, Belgium; [Kretschmer, Tobias] Ludwig Maximilians Univ Munchen, Inst Strategy Technol &amp; Org, D-80539 Munich, Germany; [Kretschmer, Tobias] Ctr Econ Policy Res, London, England; [Bughin, Jacques] Univ Libre Bruxelles, Solvay Brussels Sch Econ &amp; Management, B-1050 Brussels, Belgium; [Bughin, Jacques] Machaon Advisory, B-1050 Brussels, Belgium</t>
  </si>
  <si>
    <t>Universite Libre de Bruxelles; Solvay SA; University of Munich; Centre for Economic Policy Research - UK; Universite Libre de Bruxelles; Solvay SA</t>
  </si>
  <si>
    <t>Kretschmer, T (corresponding author), Ludwig Maximilians Univ Munchen, Inst Strategy Technol &amp; Org, D-80539 Munich, Germany.</t>
  </si>
  <si>
    <t>nicolas.van.zeebroeck@ulb.be; t.kretschmer@lmu.de; bughinjacquesrenejean@gmail.com</t>
  </si>
  <si>
    <t>Bughin, Jacques/0000-0002-1973-3656; van Zeebroeck, Nicolas/0000-0003-3079-7877</t>
  </si>
  <si>
    <t>Advanced Studies at LMU</t>
  </si>
  <si>
    <t>Y Manuscript received April 15, 2020; revised October 26, 2020 and April 6, 2021; accepted April 29, 2021. The work of Kretschmer was supported by the Advanced Studies at LMU. Review of this article was arranged by Department Editor T. Ravichandran. (Corresponding author: Tobias Kretschmer.)</t>
  </si>
  <si>
    <t>10.1109/TEM.2021.3079347</t>
  </si>
  <si>
    <t>L8CF8</t>
  </si>
  <si>
    <t>WOS:000732678400001</t>
  </si>
  <si>
    <t>Fumagalli, Luis Andre Wernecke; Rezende, Denis Alcides; Guimaraes, Thiago Andre</t>
  </si>
  <si>
    <t>Challenges for public transportation: Consequences and possible alternatives for the Covid-19 pandemic through strategic digital city application</t>
  </si>
  <si>
    <t>COVID-19; Public transportation; Strategic digital city; Bus</t>
  </si>
  <si>
    <t>QUALITY ATTRIBUTES; DEMAND; USERS</t>
  </si>
  <si>
    <t>Public transport was already one of the biggest issues for all municipalities where people are highly concentrated at the same space at the same time. With COVID-19 pandemic and social distancing consequences, mass transportation is actually the main barrier for students and workers dependents of transport to go back to their daily routines with comfort and safety. Thus, the objective is to determine a demand control able to equalize the number of passengers in each car, respecting the COVID-19 social distancing protocols. The number of passengers in each time-ofday range were combined in four different models that included independent variables related to passenger's behavior indicating that almost 90% of all passengers are following a very strict and straight daily routine that can be coordinated and scheduled creating enough time space one from the other to avoid undesirable concentrations inside buses and bus stops. In conclusion, a very accurate urban management tool can arise from the study and may be able to solve not only the pandemic issues but also to improve local public services efficiency, to attract private investments and to improve citizen's quality of life.</t>
  </si>
  <si>
    <t>[Fumagalli, Luis Andre Wernecke; Rezende, Denis Alcides] Pontificia Univ Catolica Parana PUCPR, R Imaculada Conceicao 1155, BR-80215901 Curitiba, PR, Brazil; [Fumagalli, Luis Andre Wernecke] FAE Business Sch FAE, Av Visconde Guarapuava 3263, BR-80010100 Curitiba, PR, Brazil; [Rezende, Denis Alcides] Depaul Univ, Sch Publ Serv, Chicago, IL 60604 USA; [Rezende, Denis Alcides] USP Univ, Sao Paulo, Brazil; [Rezende, Denis Alcides] UFSC Univ, Informat Technol &amp; Publ Private Strateg Planning, Florianopolis, SC, Brazil; [Rezende, Denis Alcides] UFPR Univ, Informat Technol, Curitiba, Parana, Brazil; [Guimaraes, Thiago Andre] Fed Univ Parana UFPR, Res Grp Technol Appl Optimizat GTAO, Av Prefeito Lothario Meissner 632, Curitiba, Parana, Brazil; [Guimaraes, Thiago Andre] UFPR Univ, Dept Gen &amp; Appl Adm DAGA, Curitiba, Parana, Brazil; [Guimaraes, Thiago Andre] Univ Laval, Ctr Interuniv Rech Reseaux Entreprise Logist &amp; Tr, Fed Inst Educ Sci &amp; Technol Parana IFPR, Quebec City, PQ, Canada; [Guimaraes, Thiago Andre] UFPR, Operat Res Grad Program Numer Methods Engn, Area Concentrat Math Programming, Curitiba, Parana, Brazil</t>
  </si>
  <si>
    <t>DePaul University; Universidade Federal do Parana; Laval University; Universite de Montreal; Universidade Federal do Parana</t>
  </si>
  <si>
    <t>Fumagalli, LAW (corresponding author), FAE Business Sch FAE, Av Visconde Guarapuava 3263, BR-80010 Curitiba, Parana, Brazil.</t>
  </si>
  <si>
    <t>Rezende, Denis Alcides/AAR-2488-2021; Fumagalli, Luis André Wernecke/C-7061-2013; Guimaraes, Thiago Andre/JCN-8842-2023</t>
  </si>
  <si>
    <t>Rezende, Denis Alcides/0000-0002-3327-0424; Fumagalli, Luis André Wernecke/0000-0002-1406-5230;</t>
  </si>
  <si>
    <t>10.1016/j.jum.2021.04.002</t>
  </si>
  <si>
    <t>SP9UW</t>
  </si>
  <si>
    <t>WOS:000660009100002</t>
  </si>
  <si>
    <t>Ramadan, Z; Nsouli, NZ</t>
  </si>
  <si>
    <t>Ramadan, Zahy; Nsouli, Nour Zakaria</t>
  </si>
  <si>
    <t>Luxury fashion start-up brands' digital strategies with female Gen Y in the Middle East</t>
  </si>
  <si>
    <t>Digital marketing; Start-ups; Fashion; Luxury; UAE; KSA</t>
  </si>
  <si>
    <t>GENERATION Y; SOCIAL MEDIA; CONSUMER; ADDICTION; CONSUMPTION; DESIGN; EQUITY; WOMEN</t>
  </si>
  <si>
    <t>Purpose With US$ 320 bn spent on luxury fashion in the Middle East and a growing digital consumer presence, local start-ups must form an integrated online relationship with millennials in order to recruit and retain a viable customer base. Nonetheless, these elements are yet to be extensively and properly researched as the literature is still scarce vis-a-vis this area. Design/methodology/approach A mixed qualitative approach was adopted using both in-depth interviews and focus groups. Two qualitative studies were conducted, with a total of 13 elite respondents and 28 consumer respondents from Saudi Arabia and the United Arab Emirates (UAE) using semi-structured interviews. Four focus groups were also conducted in both countries with six participants each group for triangulation of the findings. Findings The findings enhance current understanding pertaining to Gen Ys' motivations when selecting and engaging online with a luxury fashion start-up brand. The study suggests a detailed strategic framework that can be used in an integrated omni-channel approach. It also discusses the different touchpoints that play a role in influencing luxury consumption across different motivation stages. Originality/value The literature relating to digital strategies for luxury fashion start-up brands in the Middle East is still nascent. This study fills a considerable gap in the literature related to such brands that are aiming to stay relevant amidst the growing impact of the digital landscape on luxury fashion brand shoppers in the Middle East.</t>
  </si>
  <si>
    <t>[Ramadan, Zahy] Lebanese Amer Univ, Beirut, Lebanon; [Nsouli, Nour Zakaria] Inst Marangoni, Milan, Italy</t>
  </si>
  <si>
    <t>Lebanese American University</t>
  </si>
  <si>
    <t>Ramadan, Z (corresponding author), Lebanese Amer Univ, Beirut, Lebanon.</t>
  </si>
  <si>
    <t>zahy.ramadan@lau.edu.lb; nourzakariansouli@gmail.com</t>
  </si>
  <si>
    <t>Stellaki, Kalliopi/GZN-0958-2022; Ramadan, Zahy/O-2521-2016</t>
  </si>
  <si>
    <t>Ramadan, Zahy/0000-0001-8368-3617</t>
  </si>
  <si>
    <t>FEB 18</t>
  </si>
  <si>
    <t>10.1108/JFMM-10-2020-0222</t>
  </si>
  <si>
    <t>ZH2AT</t>
  </si>
  <si>
    <t>WOS:000658314900001</t>
  </si>
  <si>
    <t>Donida, B; da Costa, CA; Scherer, JN</t>
  </si>
  <si>
    <t>Donida, Bruna; da Costa, Cristiano Andre; Scherer, Juliana Nichterwitz</t>
  </si>
  <si>
    <t>Making the COVID-19 Pandemic a Driver for Digital Health: Brazilian Strategies</t>
  </si>
  <si>
    <t>JMIR PUBLIC HEALTH AND SURVEILLANCE</t>
  </si>
  <si>
    <t>COVID-19; digital technology; Brazil; public health; medical informatics; digital health; strategy; outbreak; system; data; health data; implementation; monitoring</t>
  </si>
  <si>
    <t>The COVID-19 outbreak exposed several problems faced by health systems worldwide, especially concerning the safe and rapid generation and sharing of health data. However, this pandemic scenario has also facilitated the rapid implementation and monitoring of technologies in the health field. In view of the occurrence of the public emergency caused by SARS-CoV-2 in Brazil, the Department of Informatics of the Brazilian Unified Health System created a contingency plan. In this paper, we aim to report the digital health strategies applied in Brazil and the first results obtained during the fight against COVID-19. Conecte SUS, a platform created to store all the health data of an individual throughout their life, is the center point of the Brazilian digital strategy. Access to the platform can be obtained through an app by the patient and the health professionals involved in the case. Health data sharing became possible due to the creation of the National Health Data Network (Rede Nacional de Dados em Saude, RNDS). A mobile app was developed to guide citizens regarding the need to go to a health facility and to assist in disseminating official news about the virus. The mobile app can also alert the user if they have had contact with an infected person. The official numbers of cases and available hospital beds are updated and published daily on a website containing interactive graphs. These data are obtained due to creating a web-based notification system that uses the RNDS to share information about the cases. Preclinical care through telemedicine has become essential to prevent overload in health facilities. The exchange of experiences between medical teams from large centers and small hospitals was made possible using telehealth. Brazil took a giant step toward digital health adoption, creating and implementing important initiatives; however, these initiatives do not yet cover the entire health system. It is expected that the sharing of health data that are maintained and authorized by the patient will become a reality in the near future. The intention is to obtain better clinical outcomes, cost reduction, and faster and better services in the public health network.</t>
  </si>
  <si>
    <t>[Donida, Bruna; da Costa, Cristiano Andre; Scherer, Juliana Nichterwitz] Univ Vale do Rio dos Sinos, SOFTWARELAB Software Innovat Lab, Av Unisinos 950, BR-93022750 Sao Leopoldo, Brazil</t>
  </si>
  <si>
    <t>da Costa, CA (corresponding author), Univ Vale do Rio dos Sinos, SOFTWARELAB Software Innovat Lab, Av Unisinos 950, BR-93022750 Sao Leopoldo, Brazil.</t>
  </si>
  <si>
    <t>cac@unisinos.br</t>
  </si>
  <si>
    <t>da Costa, Cristiano André/AAV-1894-2020; Scherer, Juliana/M-6344-2016</t>
  </si>
  <si>
    <t>da Costa, Cristiano André/0000-0003-3859-6199; Donida, Bruna/0000-0001-6346-5153; Scherer, Juliana/0000-0002-9235-0416</t>
  </si>
  <si>
    <t>Coordenacao de Aperfeicoamento de Pessoal de Nivel Superior (CAPES) -Brasil [001]</t>
  </si>
  <si>
    <t>Coordenacao de Aperfeicoamento de Pessoal de Nivel Superior (CAPES) -Brasil(Coordenacao de Aperfeicoamento de Pessoal de Nivel Superior (CAPES))</t>
  </si>
  <si>
    <t>The authors would like to acknowledge the efforts of all Brazilian public servants during this pandemic crisis. This study was financed in part by the Coordenacao de Aperfeicoamento de Pessoal de Nivel Superior (CAPES) -Brasil, Finance Code 001.</t>
  </si>
  <si>
    <t>2369-2960</t>
  </si>
  <si>
    <t>JMIR PUBLIC HLTH SUR</t>
  </si>
  <si>
    <t>JMIR Public Health Surveill.</t>
  </si>
  <si>
    <t>e28643</t>
  </si>
  <si>
    <t>10.2196/28643</t>
  </si>
  <si>
    <t>YA7LO</t>
  </si>
  <si>
    <t>WOS:000738510300001</t>
  </si>
  <si>
    <t>Gajdzik, B; Wolniak, R</t>
  </si>
  <si>
    <t>Gajdzik, Bozena; Wolniak, Radoslaw</t>
  </si>
  <si>
    <t>Digitalisation and Innovation in the Steel Industry in Poland-Selected Tools of ICT in an Analysis of Statistical Data and a Case Study</t>
  </si>
  <si>
    <t>Industry 4; 0; steel industry; digitalisation</t>
  </si>
  <si>
    <t>SUPPLY CHAIN; THINGS IOT; SYSTEM; IDENTIFICATION; MAINTENANCE; INTERNET; FUTURE; ENTERPRISE; MANAGEMENT; FRAMEWORK</t>
  </si>
  <si>
    <t>Digital technologies enable companies to build cyber-physical systems (CPS) in Industry 4.0. In the increasingly popular concept of Industry 4.0, an important research topic is the application of digital technology in industry, and in particular in specific industry sectors. The aim of this paper is to present the tools used in the steel industry in Poland on its way to the full digitalisation that is needed for the development of Industry 4.0. The paper consists of two parts: a literature review and a practical analysis. The paper provides the background information about digitalisation using digital tools in the steel industry in Poland. The paper was prepared based on secondary information and statistical data. The object of the research is the Polish steel sector. This study assumes that digitalisation is the main area of innovation in the steel industry. The digitalisation determines the creation of new or modified products, processes, techniques and expansion of the company's infrastructure; therefore, the data on digital technology were supplemented with data on the innovativeness of the Polish steel sector. The results of this study provide managers with valuable information to understand the importance of full digitalisation and the need to focus on digital strategies. Such insights can be used to improve companies' processing capabilities and produce better products, which is key to innovation.</t>
  </si>
  <si>
    <t>[Gajdzik, Bozena] Silesian Tech Univ, Dept Ind Informat, PL-40019 Katowice, Poland; [Wolniak, Radoslaw] Silesian Tech Univ, Dept Management &amp; Org, PL-41800 Zabrze, Poland</t>
  </si>
  <si>
    <t>Silesian University of Technology; Silesian University of Technology</t>
  </si>
  <si>
    <t>Gajdzik, B (corresponding author), Silesian Tech Univ, Dept Ind Informat, PL-40019 Katowice, Poland.</t>
  </si>
  <si>
    <t>bozena.gajdzik@polsl.pl; radoslaw.wolniak@polsl.pl</t>
  </si>
  <si>
    <t>Gajdzik, Bozena/S-8265-2018; Wolniak, Radoslaw/P-7146-2017</t>
  </si>
  <si>
    <t>Gajdzik, Bozena/0000-0002-0408-1691; Wolniak, Radoslaw/0000-0003-0317-9811</t>
  </si>
  <si>
    <t>Department of Industrial Informatics, Silesian University of Technology [11/990/BK_21/0080]</t>
  </si>
  <si>
    <t>Department of Industrial Informatics, Silesian University of Technology</t>
  </si>
  <si>
    <t>Department of Industrial Informatics, Silesian University of Technology supported this work as a part of Statutory Research 11/990/BK_21/0080.</t>
  </si>
  <si>
    <t>10.3390/en14113034</t>
  </si>
  <si>
    <t>SP7LD</t>
  </si>
  <si>
    <t>WOS:000659845500001</t>
  </si>
  <si>
    <t>Karekla, M; Pollalis, Y; Angelopoulos, M</t>
  </si>
  <si>
    <t>Karekla, Maria; Pollalis, Yannis; Angelopoulos, Michail</t>
  </si>
  <si>
    <t>Key Drivers of Digital Transformation in Greek Businesses: Strategy vs. Technology</t>
  </si>
  <si>
    <t>CENTRAL EUROPEAN MANAGEMENT JOURNAL</t>
  </si>
  <si>
    <t>digital transformation; digital strategy; digital technology; digital maturity; digital technology management; businesses; Greece</t>
  </si>
  <si>
    <t>Purpose: This article aims to assess strategy and technology as key drivers of Greek businesses' digital transformation and compare the results to those of international studies and sources. Methodology: A research was conducted on 124 Greek businesses from different sectors and industries with the use of an anonymous questionnaire from December 2019 to January 2020. Greek businesses were categorized as early, developing, and maturing according to their perceptions about the level of their digital maturity, and differences were identified. The results were finally compared to an international relevant survey. Findings: Several differences were located among the Greek businesses of the three digital maturity categories as formulated after their self-evaluation, and evolution has been identified on their perceptions about their digital strategy, its existence, objectives, and structure, which can be seen developing and expanding from the lowest to the highest levels of digital maturity. Originality: The findings can be useful in creating an initial picture of the perceptions and practices applied by Greek businesses to their use of digital technologies. They can also become a measure of comparison for the self-evaluation of Greek businesses in their efforts to digitally transform.</t>
  </si>
  <si>
    <t>[Karekla, Maria] Hellen Open Univ, Patras, Greece; [Pollalis, Yannis] Univ Piraeus, Econ Pireas, Piraeus, Greece; [Angelopoulos, Michail] Univ Piraeus, Econ Karaoli &amp; Dimitriou, EL-18534 Piraeus, Greece</t>
  </si>
  <si>
    <t>Hellenic Open University; University of Piraeus</t>
  </si>
  <si>
    <t>Angelopoulos, M (corresponding author), Univ Piraeus, Econ Karaoli &amp; Dimitriou, EL-18534 Piraeus, Greece.</t>
  </si>
  <si>
    <t>yannis@unipi.gr; mangelopoulos66@gmail.com</t>
  </si>
  <si>
    <t>POLLALIS, YANNIS/0000-0003-4893-1624</t>
  </si>
  <si>
    <t>2658-0845</t>
  </si>
  <si>
    <t>2658-2430</t>
  </si>
  <si>
    <t>CENT EUR MANAG J</t>
  </si>
  <si>
    <t>Cent. Eur. Manag. J.</t>
  </si>
  <si>
    <t>10.7206/cemj.2658-0845.45</t>
  </si>
  <si>
    <t>TI3EO</t>
  </si>
  <si>
    <t>WOS:000672677100002</t>
  </si>
  <si>
    <t>Jiménez-Consuegra, MA; Maldonado, EF; Pantoja, GD; Berrio-Valbuena, J; Rodríguez-Nieto, CA; Cervantes-Barraza, JA; Araújo, AA</t>
  </si>
  <si>
    <t>Alejandra Jimenez-Consuegra, Mayra; Florez Maldonado, Emma; Domenech Pantoja, Geraldis; Berrio-Valbuena, Jesus; Andres Rodriguez-Nieto, Camilo; Alberto Cervantes-Barraza, Jonathan; Aroca Araujo, Armando</t>
  </si>
  <si>
    <t>Strategies and Digital Organization of Professors for Teaching and Connectivity in the Context of the COVID-19 Pandemic</t>
  </si>
  <si>
    <t>ACADEMIA Y VIRTUALIDAD</t>
  </si>
  <si>
    <t>connectivity; virtual classes; aptitude for virtuality; virtual teaching methodologies; virtual or remote evaluation</t>
  </si>
  <si>
    <t>the research problem consisted of the pedagogical, didactic, methodological and assessment implications emerging from the sudden shift from face-to-face education to virtual education in all undergraduate programs at Universidad del Atlantico, without lecturers having received prior training. Therefore, the objective of this research is to obtain elements of discussion on professors' teaching strategies, digital organization, methodological processes, and evaluation at Universidad del Atlantico in the context of the COVID-19 pandemic, during the beginning of the first virtual semester in each undergraduate program. This study is descriptive, exploratory and non-experimental, conducted by Grupo de Investigacion Horizontes en Educacion Matematica (gihem), where the information was collected through an online survey, designed in Google Forms and disseminated massively through emails from participating lecturers. Among the main results, strategies are classified into three categories: 1) aptitude for virtual classes, 2) classroom methodologies and 3) assessment strategies in the teaching and virtual learning process.</t>
  </si>
  <si>
    <t>[Alejandra Jimenez-Consuegra, Mayra] Secretaria Educ Dist Barranquilla, Barranquilla, Colombia; [Florez Maldonado, Emma; Domenech Pantoja, Geraldis; Berrio-Valbuena, Jesus; Andres Rodriguez-Nieto, Camilo; Alberto Cervantes-Barraza, Jonathan; Aroca Araujo, Armando] Univ Atlantico, Barranquilla, Colombia; [Florez Maldonado, Emma] IED Carlos Meisel, Barranquilla, Colombia; [Domenech Pantoja, Geraldis] IE Maria Auxiliadora, Galapa, Colombia</t>
  </si>
  <si>
    <t>Jiménez-Consuegra, MA (corresponding author), Secretaria Educ Dist Barranquilla, Barranquilla, Colombia.</t>
  </si>
  <si>
    <t>mayra.jimenez@sedbarranquilla.edu.co; emmaflorez@mail.uniatlantico.edu.co; geraldisdomenech@mail.uniatlantico.edu.co; jberriovalbuena@mail.uniatlantico.edu.co; crodriguez@uagro.mx; jacbmath@hotmail.com; doaroca@mail.uniatlantico.edu.co</t>
  </si>
  <si>
    <t>UNIV MILITAR NUEVA GRANADA</t>
  </si>
  <si>
    <t>BOGOTA</t>
  </si>
  <si>
    <t>FAC DERECHO, SEDE BOGOTA CRA 11 N 101-80, BOGOTA, 00000, COLOMBIA</t>
  </si>
  <si>
    <t>2011-0731</t>
  </si>
  <si>
    <t>ACAD VIRTUALIDAD</t>
  </si>
  <si>
    <t>Acad. Virtualidad</t>
  </si>
  <si>
    <t>MAY 28</t>
  </si>
  <si>
    <t>10.18359/ravi.5027</t>
  </si>
  <si>
    <t>SL9UJ</t>
  </si>
  <si>
    <t>WOS:000657259400005</t>
  </si>
  <si>
    <t>Adam, M; Roethke, K; Benlian, A</t>
  </si>
  <si>
    <t>Adam, Martin; Roethke, Konstantin; Benlian, Alexander</t>
  </si>
  <si>
    <t>Gamblified digital product offerings: an experimental study of loot box menu designs</t>
  </si>
  <si>
    <t>ELECTRONIC MARKETS</t>
  </si>
  <si>
    <t>Gamblification; Gambling; Gamification; Digital business models; Loot box; Prospect theory</t>
  </si>
  <si>
    <t>COGNITIVE DISTORTIONS; STATISTICAL POWER; OPTIMISTIC BIAS; BEHAVIOR; RISK; PREFERENCES; ATTRIBUTES; OUTCOMES; SYSTEMS; GAMES</t>
  </si>
  <si>
    <t>To augment traditional monetization strategies, digital platform providers increasingly draw on gamblification (i.e., the use of gambling design elements). By means of gambling design elements (e.g., lottery tickets, scratch cards, loot boxes), platform providers do not only entertain users but also incentivize them to purchase digital products. Yet, despite the increasing prevalence of gamblified digital platforms, little is known about how gamblification influences user purchase behaviors. Drawing on prospect theory, we investigate gamblification in the form of loot box menu designs and the associated effects of uncertainty, loss experience and behavioral control on user purchase behavior. Specifically, we conducted a contest-based online experiment with 159 participants, finding that platform providers can profit from offering loot boxes with certain (vs. uncertain) rewards in loot box menus. Furthermore, this effect intensifies when participants previously experienced a loss and decreases when they perceive to have more control over the result. Thus, our findings provide theoretical and practical insights for a better understanding of gamblification in general and of loot box menu designs for enhancing digital business models in particular.</t>
  </si>
  <si>
    <t>[Adam, Martin; Roethke, Konstantin; Benlian, Alexander] Tech Univ Darmstadt, Fachgebiet Wirtschaftsinformat Informat Syst &amp; El, Hsch Str 1, D-64289 Darmstadt, Germany</t>
  </si>
  <si>
    <t>Technical University of Darmstadt</t>
  </si>
  <si>
    <t>Adam, M (corresponding author), Tech Univ Darmstadt, Fachgebiet Wirtschaftsinformat Informat Syst &amp; El, Hsch Str 1, D-64289 Darmstadt, Germany.</t>
  </si>
  <si>
    <t>adam@ise.tu-darmstadt.de</t>
  </si>
  <si>
    <t>Benlian, Alexander/E-1075-2014</t>
  </si>
  <si>
    <t>Benlian, Alexander/0000-0002-7294-3097; Adam, Martin/0000-0001-9369-7203</t>
  </si>
  <si>
    <t>Projekt DEAL</t>
  </si>
  <si>
    <t>Open Access funding enabled and organized by Projekt DEAL.</t>
  </si>
  <si>
    <t>1019-6781</t>
  </si>
  <si>
    <t>1422-8890</t>
  </si>
  <si>
    <t>ELECTRON MARK</t>
  </si>
  <si>
    <t>Electron. Mark.</t>
  </si>
  <si>
    <t>10.1007/s12525-021-00477-0</t>
  </si>
  <si>
    <t>MAY 2021</t>
  </si>
  <si>
    <t>3U9EM</t>
  </si>
  <si>
    <t>WOS:000651362200001</t>
  </si>
  <si>
    <t>Ano, B; Bent, R</t>
  </si>
  <si>
    <t>Ano, Blandine; Bent, Richard</t>
  </si>
  <si>
    <t>Human determinants influencing the digital transformation strategy of multigenerational family businesses: a multiple-case study of five French growth-oriented family firms</t>
  </si>
  <si>
    <t>JOURNAL OF FAMILY BUSINESS MANAGEMENT</t>
  </si>
  <si>
    <t>Multigenerational family business; Millennials; Digital strategy; Human capital; Non-economic goals</t>
  </si>
  <si>
    <t>INNOVATION; AGENDA; IMPACT; SMES</t>
  </si>
  <si>
    <t>Purpose In a context of technological disruption, companies face a digital imperative to adopt successfully emerging new technologies. While family firms have a huge potential for growth and innovation, they may - due to idiosyncratic but often limited resources, have to address the complex challenges induced by digital technologies introduction. The purpose of this paper is to explore how human and cultural resources influence the formulation and implementation of five French family firms' digital strategy. Design/methodology/approach Based on a phenomenological epistemology, semi-structured interviews among different generational cohorts of family business owners. Findings The thematic analysis highlights five main cultural and psychological determinants holding the potential for positive and synergetic outcomes while implementing a digital strategy: the change management nurtured by long-term sustainability, the emotional attachment to the firm, the entrepreneurial legacy influence, the personalised involvement of individual family members and the family owners' central focus on employees. Originality/value This paper is one of the first research projects exploring the digital transformation process of family businesses from the perspective of the firm's human capital. The participants of the study reveal idiosyncratic attitudes such as long-term orientation, entrepreneurial bridging and non-economic goals leading to competitive advantages and transgenerational wealth creation.</t>
  </si>
  <si>
    <t>[Ano, Blandine] Queen Margaret Univ, Edinburgh, Midlothian, Scotland; [Bent, Richard] Queen Margaret Univ, Queen Margaret Business Sch, Edinburgh, Midlothian, Scotland</t>
  </si>
  <si>
    <t>Queen Margaret University; Queen Margaret University</t>
  </si>
  <si>
    <t>Ano, B (corresponding author), Queen Margaret Univ, Edinburgh, Midlothian, Scotland.</t>
  </si>
  <si>
    <t>ano.blandine@gmail.com</t>
  </si>
  <si>
    <t>, Blandine/0000-0003-0826-0440; Bent, Richard/0000-0003-0709-0160</t>
  </si>
  <si>
    <t>2043-6238</t>
  </si>
  <si>
    <t>2043-6246</t>
  </si>
  <si>
    <t>J FAM BUS MANAG</t>
  </si>
  <si>
    <t>J. Fam. Bus. Manag.</t>
  </si>
  <si>
    <t>DEC 1</t>
  </si>
  <si>
    <t>10.1108/JFBM-12-2020-0117</t>
  </si>
  <si>
    <t>6R8PN</t>
  </si>
  <si>
    <t>WOS:000651880300001</t>
  </si>
  <si>
    <t>Ponis, ST; Lada, C</t>
  </si>
  <si>
    <t>Ponis, Stavros T.; Lada, Chrysanthi</t>
  </si>
  <si>
    <t>Digital transformation in the Greek fashion industry: A survey</t>
  </si>
  <si>
    <t>INTERNATIONAL JOURNAL OF FASHION DESIGN TECHNOLOGY AND EDUCATION</t>
  </si>
  <si>
    <t>Digital transformation; Industry 4; 0; fashion industry; survey</t>
  </si>
  <si>
    <t>The purpose of this study is to explore the emerging issue of Digital Transformation (DT) in the Greek fashion industry, which according to literature, is highly fragmented, populated by a large number of digitally immature SMEs and financially strained, even before the outburst of the COVID-19 crisis. This paper aims to explore the current level of knowledge, understanding and adoption of Digital Transformation from fashion companies in Greece, by evaluating the results of an online survey of sixty middle and top-level executives from the fashion industry. The descriptive analysis of the survey data reveals the aforementioned technology lag and -among other findings- showcases the need for a more comprehensive, efficient, structured, less fragmented and coordinated approach towards developing a digital strategy and implementation roadmap that will guide fashion companies through the harsh realities of the post-COVID19 era, as dictated and imposed by the 'next normal' for manufacturers and retailers all over the world.</t>
  </si>
  <si>
    <t>[Ponis, Stavros T.; Lada, Chrysanthi] Natl Tech Univ Athens, Sch Mech Engn, Athens, Greece</t>
  </si>
  <si>
    <t>National Technical University of Athens</t>
  </si>
  <si>
    <t>Ponis, ST (corresponding author), Sch Mech Engn, Heroon Polytech 9, Athens 15780, Greece.</t>
  </si>
  <si>
    <t>staponis@central.ntua.gr</t>
  </si>
  <si>
    <t>PONIS, STAVROS T/AAC-9945-2019</t>
  </si>
  <si>
    <t>PONIS, STAVROS T/0000-0002-9544-9219</t>
  </si>
  <si>
    <t>1754-3266</t>
  </si>
  <si>
    <t>1754-3274</t>
  </si>
  <si>
    <t>INT J FASH DES TECHN</t>
  </si>
  <si>
    <t>Int. J. Fash. Des. Technol. Educ.</t>
  </si>
  <si>
    <t>10.1080/17543266.2021.1903085</t>
  </si>
  <si>
    <t>Business; Materials Science, Textiles</t>
  </si>
  <si>
    <t>Business &amp; Economics; Materials Science</t>
  </si>
  <si>
    <t>7A2BX</t>
  </si>
  <si>
    <t>WOS:000898268600004</t>
  </si>
  <si>
    <t>Hänninen, M; Smedlund, A</t>
  </si>
  <si>
    <t>Hanninen, Mikko; Smedlund, Anssi</t>
  </si>
  <si>
    <t>Same Old Song with a Different Melody: The Paradox of Market Reach and Financial Performance on Digital Platforms</t>
  </si>
  <si>
    <t>JOURNAL OF MANAGEMENT STUDIES</t>
  </si>
  <si>
    <t>digital strategy; entrepreneurship; marketplace; platform economy; service provider; services</t>
  </si>
  <si>
    <t>In the service sector, digital platforms now enable service providers to reach customers through an online marketplace and use the value-adding complementary services offered. However, despite the widespread prevalence of digital platforms, there has been little research on the market reach and financial performance captured by service providers. We explored these service provider-specific outcomes of digital platforms by studying a digital platform in the beauty industry. Our results show that digital platforms present a troubling paradox for service providers participating in a platform-based online marketplace: despite increases in market reach, in terms of a higher rate of new customer acquisition, those service providers participating in the marketplace have lower sales than others. However, the 'dark side' of this paradox is compensated by higher sales for service providers using more of the complementary services offered by the platform. Hence, although digital platforms may open new markets and add value, service providers should be wary of their paradoxical consequences. With these findings, we contribute new theoretical and managerial insight about the service provider-specific outcomes of digital platforms and add to the ongoing debate about firm strategies in the digital age concerning the platform economy.</t>
  </si>
  <si>
    <t>[Hanninen, Mikko] Univ Nottingham, Business Sch, Nottingham, England; [Smedlund, Anssi] Aalto Univ, Sch Business, Espoo, Finland</t>
  </si>
  <si>
    <t>University of Nottingham; Aalto University</t>
  </si>
  <si>
    <t>Hänninen, M (corresponding author), Univ Nottingham, Business Sch, Operat Management &amp; Informat Syst Div, Nottingham NG8 1BB, England.</t>
  </si>
  <si>
    <t>mikko.hanninen@nottingham.ac.uk</t>
  </si>
  <si>
    <t>0022-2380</t>
  </si>
  <si>
    <t>1467-6486</t>
  </si>
  <si>
    <t>J MANAGE STUD</t>
  </si>
  <si>
    <t>J. Manage. Stud.</t>
  </si>
  <si>
    <t>10.1111/joms.12701</t>
  </si>
  <si>
    <t>WI2WK</t>
  </si>
  <si>
    <t>WOS:000646325900001</t>
  </si>
  <si>
    <t>Kilcoyne, A</t>
  </si>
  <si>
    <t>Kilcoyne, Anthony</t>
  </si>
  <si>
    <t>Living and learning with Covid-19: re-imagining the digital strategy for schools in Ireland</t>
  </si>
  <si>
    <t>IRISH EDUCATIONAL STUDIES</t>
  </si>
  <si>
    <t>Covid-19; policy enactment; policy actors; school context; online practices</t>
  </si>
  <si>
    <t>POLICY ENACTMENTS</t>
  </si>
  <si>
    <t>This article explores how the digital strategy for schools policy 2015-2020, Ireland's national digital technology in education policy and its enactment in schools prepared them for school closures as part of the Covid-19 response. The educational, economic and social context in which the digital strategy for schools was published in 2015 was vastly different from the current living with Covid-19 context. When schools eventually recalibrate, lockdown induced school closures will have provided a collective perspective and richer evidence base for the triumvirate of student, teacher and parent to contribute to the technology in the education debate. This paper utilises Ball, Maguire, and Braun's concept of context as a heuristic tool to illuminate the enactment of the Digital Strategy for Schools 2015-2020. The approach taken is discursive drawing on the digital strategy for schools policy document and the corpus of national and international reports and literature that have been published during Covid-19. Findings are fused with a detailed theoretical discussion about what we understand by digital learning for a post-pandemic society, how the current digital strategy speaks to this new reality and where attention should be directed in future reviews and strategy documents.</t>
  </si>
  <si>
    <t>[Kilcoyne, Anthony] Natl Univ Ireland Galway, Sch Educ, Galway, Ireland</t>
  </si>
  <si>
    <t>Ollscoil na Gaillimhe-University of Galway</t>
  </si>
  <si>
    <t>Kilcoyne, A (corresponding author), Natl Univ Ireland Galway, Sch Educ, Galway, Ireland.</t>
  </si>
  <si>
    <t>a.kilcoyne1@nuigalway.ie</t>
  </si>
  <si>
    <t>0332-3315</t>
  </si>
  <si>
    <t>1747-4965</t>
  </si>
  <si>
    <t>IRISH EDUC STUD</t>
  </si>
  <si>
    <t>Ir. Educ. Stud.</t>
  </si>
  <si>
    <t>10.1080/03323315.2021.1915839</t>
  </si>
  <si>
    <t>APR 2021</t>
  </si>
  <si>
    <t>TK4QG</t>
  </si>
  <si>
    <t>WOS:000646830900001</t>
  </si>
  <si>
    <t>Soliman, M; Karia, N</t>
  </si>
  <si>
    <t>Soliman, Mohamed; Karia, Noorliza</t>
  </si>
  <si>
    <t>Investigating ERP Readiness Enablers and Inhibitors Among Egyptian Higher Education Institutions</t>
  </si>
  <si>
    <t>GLOBAL BUSINESS REVIEW</t>
  </si>
  <si>
    <t>Higher education; higher education institutions; enablers; inhibitors; technological readiness; TRI; enterprise resource planning adoption; Egypt</t>
  </si>
  <si>
    <t>ORGANIZATION-ENVIRONMENT FRAMEWORK; CLOUD COMPUTING ADOPTION; INFORMATION-TECHNOLOGY; DETERMINANTS; SYSTEMS; IDENTIFICATION; MODEL</t>
  </si>
  <si>
    <t>In light of higher education institutions (HEIs) need to implement intelligent, innovative systems for their digital strategic transformation to stay competitive, the enterprise resource planning (ERP) system can tailor solutions to such technological problems through its integration characteristic. The present study sheds light on the emergence of enablers and inhibitors, explaining technological readiness insight for ERP adoption. The study aims to understand better ERP readiness among HEIs to ease the substantial change required for the adoption process. The findings show a profound perception of ERP systems among 112 Egyptian HEIs, demonstrating that HEIs are technologically ready for adoption. Results reveal that HEIs have positive ERP readiness, although HEIs' managers are still uncertain and expect some ERP inhibitors. Therefore, ERP adoption is principally contingent on perceiving enablers and eliminating any inhibitors comprising ERP technological readiness. This study delivers practical verification to the higher education context by advancing ERP concepts and characteristics from the HEIs' perspective. This study, finally, suggests that ERP adoption is beneficial for HEIs</t>
  </si>
  <si>
    <t>[Soliman, Mohamed; Karia, Noorliza] Univ Sains Malaysia, Sch Management, Gelugor 11800, Penang, Malaysia</t>
  </si>
  <si>
    <t>Universiti Sains Malaysia</t>
  </si>
  <si>
    <t>Karia, N (corresponding author), Univ Sains Malaysia, Sch Management, Gelugor 11800, Penang, Malaysia.</t>
  </si>
  <si>
    <t>noorliza@usm.my</t>
  </si>
  <si>
    <t>Karia, Noorliza/E-3948-2012; Mohamed Soliman, Mohamed Soliman/I-1974-2018</t>
  </si>
  <si>
    <t>Karia, Noorliza/0000-0002-1449-9979; Mohamed Soliman, Mohamed Soliman/0000-0003-2212-3813</t>
  </si>
  <si>
    <t>USM fellowship from the Institute of Postgraduate Studies (IPS) in Universiti Sains Malaysia (USM)</t>
  </si>
  <si>
    <t>This research is supported by the USM fellowship from the Institute of Postgraduate Studies (IPS) in Universiti Sains Malaysia (USM). The authors would like to thank the School of Management (SOM) for providing any facilities for this research. Also, the authors are grateful to the anonymous referees of the journal for their extremely useful suggestions to improve the quality of the article. Usual disclaimers apply.</t>
  </si>
  <si>
    <t>0972-1509</t>
  </si>
  <si>
    <t>0973-0664</t>
  </si>
  <si>
    <t>GLOB BUS REV</t>
  </si>
  <si>
    <t>Glob. Bus. Rev.</t>
  </si>
  <si>
    <t>2021 APR 20</t>
  </si>
  <si>
    <t>10.1177/0972150920988652</t>
  </si>
  <si>
    <t>RU5GQ</t>
  </si>
  <si>
    <t>WOS:000645176800001</t>
  </si>
  <si>
    <t>McCarthy, P; Sammon, D; Alhassan, I</t>
  </si>
  <si>
    <t>McCarthy, Patrick; Sammon, David; Alhassan, Ibrahim</t>
  </si>
  <si>
    <t>Digital Transformation Leadership Characteristics: a Literature Analysis</t>
  </si>
  <si>
    <t>JOURNAL OF DECISION SYSTEMS</t>
  </si>
  <si>
    <t>Digital transformation; leadership; open coding; literature analysis; taxonomy; c-suite</t>
  </si>
  <si>
    <t>Digital Transformation has generated much research and curiosity recently, with the COVID-19 global pandemic accelerating its pace across all industry sectors. Current literature has not adequately provided a comprehensive understanding of Digital Transformation Leadership (DTL). The objective of this research is to explore the characteristics of DTL by undertaking a comprehensive review of Information Systems literature using a systematic procedure of identifying and coding 87 research papers, resulting in 600 coded excerpts, capturing the 'who' and 'what' of DTL. Our analysis identifies eight DTL characteristics, namely: digital strategist, digital culturalist, digital architect, customer centrist, organisational agilist, data advocate, business process optimiser and digital workplace landscaper. We discuss mapping the DTL characteristics to c-suite roles, presenting a taxonomy from the literature, of interest to both academics and practitioners. This research raises the awareness of the concept of DTL characteristics, especially amongst those in positions of leadership and decision making authority.</t>
  </si>
  <si>
    <t>[McCarthy, Patrick] Munster Technol Univ Cork, Dept Comp Sci, Munster, Ireland; [Sammon, David] Cork Univ, Business Sch, Univ Coll Cork, Dept Business Informat Syst, Cork, Ireland; [Alhassan, Ibrahim] Saudi Elect Univ, E Commerce Dept, Riyadh, Saudi Arabia</t>
  </si>
  <si>
    <t>University College Cork; Saudi Electronic University</t>
  </si>
  <si>
    <t>McCarthy, P (corresponding author), Cork Univ, Business Sch, Univ Coll Cork, Cork, Ireland.</t>
  </si>
  <si>
    <t>pat.mccarthy@cit.ie</t>
  </si>
  <si>
    <t>Sammon, David/0000-0001-6138-0105; Alhassan, Ibrahim/0000-0002-3118-0855</t>
  </si>
  <si>
    <t>1246-0125</t>
  </si>
  <si>
    <t>2116-7052</t>
  </si>
  <si>
    <t>J DECIS SYST</t>
  </si>
  <si>
    <t>J. Decis. Syst.</t>
  </si>
  <si>
    <t>DEC 21</t>
  </si>
  <si>
    <t>10.1080/12460125.2021.1908934</t>
  </si>
  <si>
    <t>Operations Research &amp; Management Science</t>
  </si>
  <si>
    <t>N7XG5</t>
  </si>
  <si>
    <t>WOS:000640580200001</t>
  </si>
  <si>
    <t>Bonacini, E; Giaccone, SC</t>
  </si>
  <si>
    <t>Bonacini, Elisa; Giaccone, Sonia Caterina</t>
  </si>
  <si>
    <t>Gamification and cultural institutions in cultural heritage promotion: a successful example from Italy</t>
  </si>
  <si>
    <t>CULTURAL TRENDS</t>
  </si>
  <si>
    <t>Gamification; serious games; cultural institutions; digital heritage; digital marketing; game tourism</t>
  </si>
  <si>
    <t>This article deals with the application of serious games to cultural heritage. Through an overview of the growing importance of gamification in promoting cultural sites and museum collections, the research highlights the changing practices of cultural institutions, which are increasingly involved in producing serious games, considering them as strategic digital marketing tools to promote cultural heritage and tourism in addition to their traditional learning by playing function. The article explores a case study, namely Mi Rasna, a game on the Etruscan society commissioned by several Italian cultural institutions.</t>
  </si>
  <si>
    <t>[Bonacini, Elisa] Univ S Florida, Dept Hist, Inst Digital Explorat IDEx, 4202 E Fowler Ave, Tampa, FL 33620 USA; [Bonacini, Elisa] Univ Cordoba, Escuelas Doctorado, Cordoba, Spain; [Giaccone, Sonia Caterina] Univ Catania, Dept Econ &amp; Business, Catania, Italy</t>
  </si>
  <si>
    <t>State University System of Florida; University of South Florida; Universidad de Cordoba; University of Catania</t>
  </si>
  <si>
    <t>Bonacini, E (corresponding author), Univ S Florida, Dept Hist, Inst Digital Explorat IDEx, 4202 E Fowler Ave, Tampa, FL 33620 USA.;Bonacini, E (corresponding author), Univ Cordoba, Escuelas Doctorado, Cordoba, Spain.</t>
  </si>
  <si>
    <t>e_bonacini@hotmail.com</t>
  </si>
  <si>
    <t>Bonacini, Elisa/IRZ-6023-2023</t>
  </si>
  <si>
    <t>BONACINI, Elisa/0000-0001-6987-6180; GIACCONE, Sonia Caterina/0000-0002-4422-9566</t>
  </si>
  <si>
    <t>0954-8963</t>
  </si>
  <si>
    <t>1469-3690</t>
  </si>
  <si>
    <t>CULT TRENDS</t>
  </si>
  <si>
    <t>Cult. Trends</t>
  </si>
  <si>
    <t>10.1080/09548963.2021.1910490</t>
  </si>
  <si>
    <t>Humanities, Multidisciplinary; Cultural Studies; Social Sciences, Interdisciplinary</t>
  </si>
  <si>
    <t>Arts &amp; Humanities - Other Topics; Cultural Studies; Social Sciences - Other Topics</t>
  </si>
  <si>
    <t>ZQ1XJ</t>
  </si>
  <si>
    <t>WOS:000639710300001</t>
  </si>
  <si>
    <t>Váne, J; Kalvas, F; Basl, J</t>
  </si>
  <si>
    <t>Vane, Jan; Kalvas, Frantisek; Basl, Josef</t>
  </si>
  <si>
    <t>Engineering companies and their readiness for Industry 4.0</t>
  </si>
  <si>
    <t>INTERNATIONAL JOURNAL OF PRODUCTIVITY AND PERFORMANCE MANAGEMENT</t>
  </si>
  <si>
    <t>Industry 4; 0; Digital strategy; Engineering companies; Readiness</t>
  </si>
  <si>
    <t>Purpose This case study of the readiness of engineering companies for Industry 4.0 (I4.0) presents how surveyed key figures manage the implementation of I4.0. The research comprised a census of larger and medium-sized engineering companies in the Pilsen region of the Czech Republic. The selected region is characterised by a long industrial tradition and a high concentration of technical and technology-oriented companies. The survey questionnaire monitors a wide range of topics. In this text, the authors present the results only from selected areas. In particular, the authors examined: (1) the use of I4.0 technologies in individual areas, (2) the level of the digital strategy (DS), (3) factors influencing investments in I4.0 technologies, (4) the impact of I4.0 on the workforce and (5) existing threats to I4.0 implementation. The purpose of this paper is to show how key figures with a real impact on the implementation of I4.0 think and act in practice (as opposed to declarations). Design/methodology/approach In the presented article, thanks to the unique data obtained in the form of a census in the selected, traditionally engineering-oriented Pilsen region, and within the highly industrially oriented Czech Republic, the authors explored the state of readiness of companies for implementation of I4.0. The obtained data allowed the authors to present, in a suitably descriptive way, the current level, with respect to the future, of the planned use of I4.0 principles in the surveyed companies. They monitored not only the state of the adoption process (Industry of 4.0 technologies) compared to the declared proclamations but also which phenomena represent key obstacles. Findings First, medium-sized companies have barely implemented I4.0, whereas I4.0 is more often implemented in larger companies, especially the so-called DS aspect of I4.0. Furthermore, it appears that larger companies also clearly consider I4.0 more often and see it more significantly as a key success factor. Second, the survey highlighted the fact that customer satisfaction is the determining impetus for the introduction of I4.0. It can be assumed that with an increase in pressure from customers and a decrease in the price of technology, the introduction of I4.0 will increase. The third important finding is that the authors can observe a kind of two-stage flow of innovation in the results. The transformation towards I4.0 is approached by larger companies first, because they are more sensitive to customer satisfaction, are looking for new opportunities, and have greater resources to cover the costly implementation of innovations. Originality/value In the presented article, thanks to the unique data obtained in the form of a census in the selected, traditionally engineering-oriented Pilsen region, and within the highly industrially oriented Czech Republic, the authors explored the state of implementation of I4.0. The obtained data allowed the authors to present, in a suitably descriptive way, the current level, with respect to the future, of the planned use of I4.0 principles in the surveyed companies.</t>
  </si>
  <si>
    <t>[Vane, Jan; Kalvas, Frantisek] Univ West Bohemia Pilsen, Fac Arts, Sociol, Plzen, Czech Republic; [Basl, Josef] Univ West Bohemia Pilsen, Fac Mech Engn, Plzen, Czech Republic</t>
  </si>
  <si>
    <t>Váne, J (corresponding author), Univ West Bohemia Pilsen, Fac Arts, Sociol, Plzen, Czech Republic.</t>
  </si>
  <si>
    <t>vanejan@kss.zcu.cz; kalvas@kss.zcu.cz; basljo@kpv.zcu.cz</t>
  </si>
  <si>
    <t>Váně, Jan/W-2066-2019; Kalvas, Frantisek/C-7225-2016</t>
  </si>
  <si>
    <t>Váně, Jan/0000-0002-5109-505X; Kalvas, Frantisek/0000-0002-9495-1602</t>
  </si>
  <si>
    <t>project Innovation of study programmes of mechanical engineering, education and health care within the 4.0 Phenomenon - change of role of Higher Education Institution by the Technology Agency of the Czech Republic in ETA programme [TL01000081]</t>
  </si>
  <si>
    <t>project Innovation of study programmes of mechanical engineering, education and health care within the 4.0 Phenomenon - change of role of Higher Education Institution by the Technology Agency of the Czech Republic in ETA programme</t>
  </si>
  <si>
    <t>This study was supported by the project Innovation of study programmes of mechanical engineering, education and health care within the 4.0 Phenomenon - change of role of Higher Education Institution by the Technology Agency of the Czech Republic in ETA programme (no. TL01000081).</t>
  </si>
  <si>
    <t>1741-0401</t>
  </si>
  <si>
    <t>1758-6658</t>
  </si>
  <si>
    <t>INT J PRODUCT PERFOR</t>
  </si>
  <si>
    <t>Int. J. Product Perform. Manag.</t>
  </si>
  <si>
    <t>JUN 2</t>
  </si>
  <si>
    <t>10.1108/IJPPM-06-2020-0318</t>
  </si>
  <si>
    <t>SO1KJ</t>
  </si>
  <si>
    <t>WOS:000637705700001</t>
  </si>
  <si>
    <t>Gaynor, SoRelle Wyckoff; Gimpel, James G.</t>
  </si>
  <si>
    <t>Small Donor Contributions in Response to Email Outreach by a Political Campaign</t>
  </si>
  <si>
    <t>JOURNAL OF POLITICAL MARKETING</t>
  </si>
  <si>
    <t>Small donations; campaign contributions; text analysis; digital strategy; email; political campaigns; campaign strategy; political participation</t>
  </si>
  <si>
    <t>SOCIAL MEDIA; E-MAIL; INTERNET; CANDIDATES; ELECTIONS; MESSAGES; FACEBOOK; WORDS</t>
  </si>
  <si>
    <t>This research examines variation in response to mass email communications by a large and sophisticated political campaign over the course of the 2018 election cycle. Computational text analysis is utilized to generate and catalogue the most frequent themes across a body of 690 separate email messages. We find open rates vary somewhat by the subject key words of messages as well as when they were sent. In addition, small donations received through email are also responsive to the contents of messages, controlling for timing and other relevant factors. Given the very low cost associated with using email to communicate with supporters, it appears to be an effective means for harvesting small contributions and of providing opportunities for large numbers of voters to elevate their level of participation in the electoral process.</t>
  </si>
  <si>
    <t>[Gaynor, SoRelle Wyckoff; Gimpel, James G.] Univ Maryland, 3140 Tydings Hall, College Pk, MD 20742 USA</t>
  </si>
  <si>
    <t>University System of Maryland; University of Maryland College Park</t>
  </si>
  <si>
    <t>Gimpel, JG (corresponding author), Univ Maryland, 3140 Tydings Hall, College Pk, MD 20742 USA.</t>
  </si>
  <si>
    <t>jgimpel@umd.edu</t>
  </si>
  <si>
    <t>Gaynor, SoRelle/0000-0003-3545-6182</t>
  </si>
  <si>
    <t>1537-7857</t>
  </si>
  <si>
    <t>1537-7865</t>
  </si>
  <si>
    <t>J POLITICAL MARKETIN</t>
  </si>
  <si>
    <t>J. Political Marketing</t>
  </si>
  <si>
    <t>2021 APR 1</t>
  </si>
  <si>
    <t>10.1080/15377857.2021.1910611</t>
  </si>
  <si>
    <t>RX9CZ</t>
  </si>
  <si>
    <t>WOS:000647515900001</t>
  </si>
  <si>
    <t>Harvey, S</t>
  </si>
  <si>
    <t>Harvey, Savanna</t>
  </si>
  <si>
    <t>Come to My Garbage Show!: Semiotics and Audience Development for Wastelands</t>
  </si>
  <si>
    <t>CANADIAN THEATRE REVIEW</t>
  </si>
  <si>
    <t>#ecotheatre; #ecoart; #ecodramaturgy; #greentheatre; #ecoscenography; #artforsocialchange; #puppetry; #immersivetheatre; #artsadministration; #audiencedevelopment</t>
  </si>
  <si>
    <t>When working on audience development for her ecotheatre show, Wastelands, Savanna Harvey was provided the opportunity to reflect on the limitations of the word 'theatre.' In an analysis founded in reader-response theory, social justice, semiotics, lived experience, and digital strategy, this article challenges the contemporary linguistic utility of the word 'theatre.' To bring her analysis outside of theory and into practice, Harvey demonstrates how this communications gap impacts audience development. She delineates how the linguistic limitations of the word 'theatre' could negatively impact face-to-face interactions, marketing materials and copywriting, and digital discoverability. When producing a piece of theatre for the environment or other justice-driven causes, the urgency of the call to action should take precedence over any nostalgia or sensibility attached to the word 'theatre.' To this end, Harvey suggests applying a more accessible and liminal terminology, one that carries less historical baggage, bypassing barriers to audience engagement for certain audience members.</t>
  </si>
  <si>
    <t>UNIV TORONTO PRESS INC</t>
  </si>
  <si>
    <t>JOURNALS DIVISION, 5201 DUFFERIN ST, DOWNSVIEW, TORONTO, ON M3H 5T8, CANADA</t>
  </si>
  <si>
    <t>0315-0836</t>
  </si>
  <si>
    <t>1920-941X</t>
  </si>
  <si>
    <t>CAN THEATRE REV</t>
  </si>
  <si>
    <t>Can. Theatre Rev.</t>
  </si>
  <si>
    <t>10.3138/ctr.186.004</t>
  </si>
  <si>
    <t>Theater</t>
  </si>
  <si>
    <t>RP8YK</t>
  </si>
  <si>
    <t>WOS:000642009300004</t>
  </si>
  <si>
    <t>McGee, B; Leonte, M; Wildenhaus, K; Wilcox, M; Reps, J; LaCross, L</t>
  </si>
  <si>
    <t>McGee, Beth; Leonte, Marie; Wildenhaus, Kevin; Wilcox, Marsha; Reps, Jenna; LaCross, Lauren</t>
  </si>
  <si>
    <t>Leveraging Digital Technology in Conducting Longitudinal Research on Mental Health in Pregnancy: Longitudinal Panel Survey Study</t>
  </si>
  <si>
    <t>JMIR PEDIATRICS AND PARENTING</t>
  </si>
  <si>
    <t>digital; longitudinal; pregnancy; postpartum; perinatal; panel; study design; mental health</t>
  </si>
  <si>
    <t>DEPRESSION; PARTICIPATE; RISK</t>
  </si>
  <si>
    <t>Background: Collecting longitudinal data during and shortly after pregnancy is difficult, as pregnant women often avoid studies with repeated surveys. In contrast, pregnant women interact with certain websites at multiple stages throughout pregnancy and the postpartum period. This digital connection presents the opportunity to use a website as a way to recruit and enroll pregnant women into a panel study and collect valuable longitudinal data for research. These data can then be used to learn new scientific insights and improve health care. Objective: The objective of this paper is to describe the approaches applied and lessons learned from designing and conducting an online panel for health care research, specifically perinatal mood disorders. Our panel design and approach aimed to recruit a large sample (N=1200) of pregnant women representative of the US population and to minimize attrition over time. Methods: We designed an online panel to enroll participants from the pregnancy and parenting website BabyCenter. We enrolled women into the panel from weeks 4 to 10 of pregnancy (Panel 1) or from weeks 28 to 33 of pregnancy (Panel 2) and administered repeated psychometric assessments from enrollment through 3 months postpartum. We employed a combination of adaptive digital strategies to recruit, communicate with, and build trust with participants to minimize attrition over time. We were transparent at baseline about expectations, used monetary and information-based incentives, and sent personalized reminders to reduce attrition. The approach was participant-centric and leveraged many aspects of flexibility that digital methods afford. Results: We recruited 1179 pregnant women-our target was 1200-during a 26-day period between August 25 and September 19, 2016. Our strategy to recruit participants using adaptive sampling tactics resulted in a large panel that was similar to the US population of pregnant women. Attrition was on par with existing longitudinal observational studies in pregnant populations, and 79.2% (934/1179) of our panel completed another survey after enrollment. There were 736 out of 1179 (62.4%) women who completed at least one assessment in both the prenatal and postnatal periods, and 709 out of 1179 (60.1%) women who completed the final assessment. To validate the data, we compared participation rates and factors of perinatal mood disorders ascertained from this study with prior research, suggesting reliability of our approach. Conclusions: A suitably designed online panel created in partnership with a digital media source that reaches the target audience is a means to leverage a conveniently sized and viable sample for scientific research. Our key lessons learned are as follows: sampling tactics may need to be adjusted to enroll a representative sample, attrition can be reduced by adapting to participants' needs, and study engagement can be boosted by personalizing interactions with the flexibility afforded by digital technologies.</t>
  </si>
  <si>
    <t>[McGee, Beth; Leonte, Marie; LaCross, Lauren] BabyCenter LLC, 163 Freelon St, San Francisco, CA 94107 USA; [Wildenhaus, Kevin; Wilcox, Marsha; Reps, Jenna] Janssen Res &amp; Dev LLC, Titusville, NJ USA</t>
  </si>
  <si>
    <t>Johnson &amp; Johnson; Johnson &amp; Johnson USA; Janssen Biotech Inc</t>
  </si>
  <si>
    <t>McGee, B (corresponding author), BabyCenter LLC, 163 Freelon St, San Francisco, CA 94107 USA.</t>
  </si>
  <si>
    <t>bethannmcgee@gmail.com</t>
  </si>
  <si>
    <t>Wilcox, Marsha/0000-0001-8339-8621; Wildenhaus, Kevin/0000-0003-4634-1794; LaCross, Lauren/0000-0002-2017-8346; Leonte, Marie/0000-0002-2822-5899</t>
  </si>
  <si>
    <t>2561-6722</t>
  </si>
  <si>
    <t>JMIR PEDIATR PARENT</t>
  </si>
  <si>
    <t>JMIR Pediatr. Parent.</t>
  </si>
  <si>
    <t>e16280</t>
  </si>
  <si>
    <t>10.2196/16280</t>
  </si>
  <si>
    <t>Pediatrics</t>
  </si>
  <si>
    <t>0K0JK</t>
  </si>
  <si>
    <t>WOS:000780483300002</t>
  </si>
  <si>
    <t>Rendina, HJ; Talan, AJ; Tavella, NF; Matos, JL; Jimenez, RH; Jones, SS; Salfas, B; Westmoreland, D</t>
  </si>
  <si>
    <t>Rendina, H. Jonathon; Talan, Ali J.; Tavella, Nicola F.; Matos, Jonathan Lopez; Jimenez, Ruben H.; Jones, S. Scott; Salfas, Brian; Westmoreland, Drew</t>
  </si>
  <si>
    <t>Leveraging Technology to Blend Large-Scale Epidemiologic Surveillance With Social and Behavioral Science Methods: Successes, Challenges, and Lessons Learned Implementing the UNITE Longitudinal Cohort Study of HIV Risk Factors Among Sexual Minority Men in the United States</t>
  </si>
  <si>
    <t>AMERICAN JOURNAL OF EPIDEMIOLOGY</t>
  </si>
  <si>
    <t>cohort methods; digital technology; HIV prevention; home-based testing; sexual minority men</t>
  </si>
  <si>
    <t>GAY; HEALTH; CITY</t>
  </si>
  <si>
    <t>The use of digital technologies to conduct large-scale research with limited interaction (i.e., no in-person contact) and objective endpoints (i.e., biological testing) has significant potential for the field of epidemiology, but limited research to date has been published on the successes and challenges of such approaches. We analyzed data from a cohort study of sexual minority men across the United States, collected using digital strategies during a 10-month period from 2017 to 2018. Overall, 113,874 individuals were screened, of whom 26,000 were invited to the study, 10,691 joined the study, and 7,957 completed all enrollment steps, including return of a human immunodeficiency virus-negative sample. We examined group differences in completion of the steps towards enrollment to inform future research and found significant differences according to several factors, including age and race. This study adds to prior work to provide further proof-of-concept for this limited-interaction, technology-mediated methodology, highlighting some of its strengths and challenges, including rapid access to more diverse populations but also potential for bias due to differential enrollment. This method has strong promise, and future implementation research is needed to better understand the roles of burden, privacy, access, and compensation, to enhance representativeness and generalizability of the data generated.</t>
  </si>
  <si>
    <t>[Rendina, H. Jonathon; Talan, Ali J.; Tavella, Nicola F.; Matos, Jonathan Lopez; Jimenez, Ruben H.; Jones, S. Scott; Salfas, Brian] CUNY Hunter Coll, Dept Psychol, 695 Pk Ave, New York, NY 10065 USA; [Rendina, H. Jonathon; Matos, Jonathan Lopez] CUNY, Grad Ctr, Hlth Psychol &amp; Clin Sci PhD Program, New York, NY USA; [Westmoreland, Drew] CUNY, Grad Sch Publ Hlth &amp; Hlth Policy, New York, NY 10021 USA</t>
  </si>
  <si>
    <t>City University of New York (CUNY) System; Hunter College (CUNY); City University of New York (CUNY) System; City University of New York (CUNY) System</t>
  </si>
  <si>
    <t>Rendina, HJ (corresponding author), CUNY Hunter Coll, Dept Psychol, 695 Pk Ave, New York, NY 10065 USA.</t>
  </si>
  <si>
    <t>hrendina@hunter.cuny.edu</t>
  </si>
  <si>
    <t>Westmoreland, Drew A./GMX-2667-2022; Westmoreland, Drew A./GZG-4428-2022</t>
  </si>
  <si>
    <t>Westmoreland, Drew A./0000-0003-4085-7941;</t>
  </si>
  <si>
    <t>Eunice Kennedy Shriver National Institute of Child Health and Human Development [UG3-AI133674]; National Institute on Drug Abuse [UG3-AI133674]; National Institute of Allergy and Infectious Diseases [UG3-AI133674]; National Institute of Mental Health [UG3-AI133674]</t>
  </si>
  <si>
    <t>Eunice Kennedy Shriver National Institute of Child Health and Human Development(United States Department of Health &amp; Human ServicesNational Institutes of Health (NIH) - USANIH Eunice Kennedy Shriver National Institute of Child Health &amp; Human Development (NICHD)); National Institute on Drug Abuse(United States Department of Health &amp; Human ServicesNational Institutes of Health (NIH) - USANIH National Institute on Drug Abuse (NIDA)); National Institute of Allergy and Infectious Diseases(United States Department of Health &amp; Human ServicesNational Institutes of Health (NIH) - USANIH National Institute of Allergy &amp; Infectious Diseases (NIAID)); National Institute of Mental Health(United States Department of Health &amp; Human ServicesNational Institutes of Health (NIH) - USANIH National Institute of Mental Health (NIMH))</t>
  </si>
  <si>
    <t>This study was supported by a grant jointly awarded by the National Institute of Allergy and Infectious Diseases, National Institute of Mental Health, Eunice Kennedy Shriver National Institute of Child Health and Human Development, and National Institute on Drug Abuse (grant UG3-AI133674, PI: H.J.R.).</t>
  </si>
  <si>
    <t>0002-9262</t>
  </si>
  <si>
    <t>1476-6256</t>
  </si>
  <si>
    <t>AM J EPIDEMIOL</t>
  </si>
  <si>
    <t>Am. J. Epidemiol.</t>
  </si>
  <si>
    <t>10.1093/aje/kwaa226</t>
  </si>
  <si>
    <t>RT5KA</t>
  </si>
  <si>
    <t>WOS:000644497600020</t>
  </si>
  <si>
    <t>Proksch, D; Rosin, AF; Stubner, S; Pinkwart, A</t>
  </si>
  <si>
    <t>Proksch, Dorian; Rosin, Anna Frieda; Stubner, Stephan; Pinkwart, Andreas</t>
  </si>
  <si>
    <t>The influence of a digital strategy on the digitalization of new ventures: The mediating effect of digital capabilities and a digital culture</t>
  </si>
  <si>
    <t>Digital entrepreneurship; digital new ventures; digital strategy</t>
  </si>
  <si>
    <t>A higher degree of digitalization in new ventures' product/service offerings and their processes can lead to a faster time to market and the ability to rapidly scale. Hence, it has the possibility to significantly impact the performance. To increase the degree of digitalization in new ventures, they can implement a digital strategy. Currently there is no evidence if this measure has a strong impact on the degree of digitalization. We therefore empirically investigate the influence of a digital strategy on the degree of digitalization in new ventures' products/services and processes. We analyzed 102 new ventures using SEM. Building on the contingency theory, we show that only having a digital strategy is insufficient to achieve a high degree of digitalization. The digitalization of products/services is partially mediated by digital IT capabilities, and the effect of digital strategy on process digitalization is partially mediated by digital IT capabilities and a digital culture.</t>
  </si>
  <si>
    <t>[Proksch, Dorian; Pinkwart, Andreas] HHL Leipzig Grad Sch Management, Stiftungsfond Deutsch Bank Chair Innovat Manageme, Leipzig, Germany; [Proksch, Dorian] Univ Twente, Fac Behav Management &amp; Social Studies, Res Grp Entrepreneurship &amp; Technol Management ETM, Enschede, Netherlands; [Rosin, Anna Frieda; Stubner, Stephan] HHL Leipzig Grad Sch Management, Porsche Chair Strateg Management &amp; Digital Entrep, Leipzig, Germany</t>
  </si>
  <si>
    <t>HHL Leipzig Graduate School of Management; University of Twente; HHL Leipzig Graduate School of Management</t>
  </si>
  <si>
    <t>Proksch, D (corresponding author), Fac Behav Management &amp; Social Studies, RA2109,POB 217, NL-7500 AE Enschede, Netherlands.</t>
  </si>
  <si>
    <t>d.e.proksch@utwente.nl</t>
  </si>
  <si>
    <t>Proksch, Dorian/0000-0002-8252-3248</t>
  </si>
  <si>
    <t>2021 MAR 18</t>
  </si>
  <si>
    <t>10.1080/00472778.2021.1883036</t>
  </si>
  <si>
    <t>MAR 2021</t>
  </si>
  <si>
    <t>QX5YO</t>
  </si>
  <si>
    <t>WOS:000629423000001</t>
  </si>
  <si>
    <t>Mikheev, A; Serkina, Y; Vasyaev, A</t>
  </si>
  <si>
    <t>Mikheev, Alexey; Serkina, Yana; Vasyaev, Alexander</t>
  </si>
  <si>
    <t>RETRACTED: Current trends in the digital transformation of higher education institutions in Russia (Retracted article. See APR, 2023)</t>
  </si>
  <si>
    <t>EDUCATION AND INFORMATION TECHNOLOGIES</t>
  </si>
  <si>
    <t>Article; Retracted Publication</t>
  </si>
  <si>
    <t>Digital transformation; Digitalization; Higher education; Digital technologies; Social institutions</t>
  </si>
  <si>
    <t>This research aimed to analyze the current trends in the digital transformation of educational institutions. The investigation lasted from November 2019 to May 2020 and was based on three higher educational institutions (HEIs) in the Russian Federation: Belgorod State University, Moscow State Institute of International Relations, and Kutafin Moscow State Law University. The number of respondents enrolled was 420 people. In an attempt to bring together views and experiences of different actors of the educational sector, three individual online surveys were conducted among administrative staff, teachers, and students of mentioned educational institutions. All respondents were provided with questionnaires aimed at identifying current trends in educational paradigm transformation and studying the extent to which digital strategies are applied in the process of HEIs' development. The detailed analysis of survey outcomes allowed indicating positive and negative trends in digitalization of educational processes from the perspective of university administrative staff, teachers, and students. Positive trends were: ensuring the availability of higher education through the implementation of full-fledged distance learning courses; enhancing the students' experience through the introduction of innovative teaching methods; providing open access to educational resources and research results; opportunity to participate in global open science initiatives; and reduction of higher education cost to ensure its accessibility and mass scale. The barriers to the digital transformation of the educational sphere were: lack of funds for the implementation of a comprehensive digital transformation strategy; resistance to changes on the part of the staff; and a low level of confidence in technological solutions used in teaching practice. As a result, the conducted investigation uncovered the essence of digital transformation in the institutional structures of the higher education sector. However, given that digitalization is a complex process affecting most spheres of socio-economic interaction, consideration of only positive and negative digital transformation trends is insufficient to thoroughly analyze global digital shifts and the formation of national vectors for digital society development.</t>
  </si>
  <si>
    <t>[Mikheev, Alexey] MGIMO Univ, Dept Publ Adm, Moscow, Russia; [Serkina, Yana] Belgorod State Natl Res Univ, Dept Management &amp; Mkt, Belgorod, Russia; [Vasyaev, Alexander] Moscow State Law Univ, Dept Advocacy, Moscow, Russia</t>
  </si>
  <si>
    <t>MGIMO University; Belgorod State University; Kutafin Moscow State Law University</t>
  </si>
  <si>
    <t>Mikheev, A (corresponding author), MGIMO Univ, Dept Publ Adm, Moscow, Russia.</t>
  </si>
  <si>
    <t>mikheevalex87@rambler.ru</t>
  </si>
  <si>
    <t>Serkina, Yana/O-4544-2017; Mikheev, Alexey/AAR-8829-2021</t>
  </si>
  <si>
    <t>Serkina, Yana/0000-0002-5106-7104; Mikheev, Alexey/0000-0002-9875-8172</t>
  </si>
  <si>
    <t>1360-2357</t>
  </si>
  <si>
    <t>1573-7608</t>
  </si>
  <si>
    <t>EDUC INF TECHNOL</t>
  </si>
  <si>
    <t>Educ. Inf. Technol.</t>
  </si>
  <si>
    <t>10.1007/s10639-021-10467-6</t>
  </si>
  <si>
    <t>TL6AD</t>
  </si>
  <si>
    <t>WOS:000626820200001</t>
  </si>
  <si>
    <t>Dueñas, PPM; Carmona, DG</t>
  </si>
  <si>
    <t>Marin Duenas, Pedro Pablo; Gomez Carmona, Diego</t>
  </si>
  <si>
    <t>Management of digital communication in spanish cooperatives</t>
  </si>
  <si>
    <t>CIRIEC-ESPANA REVISTA DE ECONOMIA PUBLICA SOCIAL Y COOPERATIVA</t>
  </si>
  <si>
    <t>Business communication; Digital communication; Social Media Marketing; Communication management; web 2.0</t>
  </si>
  <si>
    <t>Today, communication has become an indispensable condition for achieving a favourable position in society and business success. The Internet has marked a before and after in developing marketing and communication strategies that organisations implement to relate with the population. The increase in the use of New Technologies Information and Communication (NTIC) by the population contributes to increasing the effectiveness of companies' online communication tools, allowing a bidirectional relationship with consumers and enhancing a better relationship between the organisation and its target audience. Cooperatives, which, even though they are social economy organisations, are ultimately companies and as such depend on the sale of products and services for their development, cannot and should not ignore this new reality, which imposes new forms, different from those used until now and in which the role between sender and receiver is exchanged. Given the importance that Spanish cooperatives have for the development of local economies and their social relevance for the environment in which they are integrated (Monzon and Chaves, 2017; Chaves, Monzon and Zaragoza, 2013; Puentes and Velasco, 2009), this research on the management of digital communication by cooperatives is necessary. The purpose is to analyse the importance that cooperatives give to the development of online communication strategies. Specifically, the general objective of the study is to analyse how cooperatives manage their digital communication. It is articulated in a series of specific objectives that complement it and serve as a basis for the design of the research and the choice of methodological tools to be implemented during the development of the same. To measure the degree of importance that cooperatives attach to communication. To analyse whether cooperatives plan their digital communication. O.E.3. Find out who manages the digital communication of the cooperatives. O.E.4. Determine the level of investment in digital communication by the cooperatives. O.E.5. To analyse how cooperatives manage digital communication. The work used an online survey based on a structured questionnaire. This methodological instrument will allow the proposed objectives to be achieved. Self-reporting consists of obtaining observable data on variables of interest from the population under study in an orderly and systematic way. This quantitative tool is one of the best known and one of the most complete of those used by communication researchers. From a scientific perspective, it is undoubtedly a valuable instrument for understanding social and business reality. In this sense, it is widely used in social science research. The variables studied and measured were: Importance of communication Level of investment Communication planning Assumption of tasks Definition of objectives Strategies Presence in Social media Social media followers Implementation of actions. The final questionnaire was implemented through the Google Forms tool. The final sample, made up of 338 cooperatives from all over Spain, was selected through non-probabilistic convenience sampling. The results suggest that those cooperatives that implement adequate online communication management will have a particular advantage and will be better positioned to compete in the market. Although cooperatives allocate few economic resources to online communication, it is found that the higher the percentage of investment in communication, the more importance cooperatives attach to communication. Moreover, their management from a planned and strategic perspective is insufficient. In this sense, the cooperatives that consider this activity to be very relevant have more plans of this type. The findings show that it is not the cooperatives with the largest number of employees or those operating in the international market that attaches most importance to communication. Although cooperatives tend to increase the importance of communication as the number of employees grows, it seems that this pattern slows down in those with between 50 and 249 workers and more than 500 employees. From a positive point of view, it should be understood that the communication objectives are considered to incorporate rather than commercial terms, and improving the image, achieving notoriety and building customer loyalty stand out among the objectives of these companies, above other more market-oriented objectives such as promoting and selling products and services. In this sense, one shortcoming has to do with internal communication. Due to their eminently social and democratic nature, these organisations are a key element in which cooperative members do not set their communication objectives in terms of internal communication. The cooperatives choose to promote the web as an information portal ahead of more interactive strategies in line with web 2.0, especially social media, about the development of digital communication strategies. Finally, neither do the cooperatives studied develop critical actions in the management of digital communication, such as measuring the return on investment or studying non-economic KPIs, which are fundamental when analysing the strategies being developed. For all these reasons, it can be stated that the cooperatives analysed are at a medium-low level in terms of their digital communication management. Lack of investment and planning, preference for the web over social media or paid advertising and lack of measurement allow us to affirm that the cooperatives should boost their digital communication much more and promote it through investment and strategic plans. Given these results, things have not changed much and currently; cooperatives still do not have a strategic vision of their (digital) communication, being scarce the resources they devote to it both in terms of planning and investment, which results in low visibility of these organisations within society to help their development and growth. There is little research that has tried to analyse the digital strategies developed by cooperatives to our knowledge. This work provides information from a large part of the target population, so the findings are robust and generalisable. The study results highlight the reality of Spanish cooperatives concerning their communication strategies and their current short-comings.</t>
  </si>
  <si>
    <t>[Marin Duenas, Pedro Pablo; Gomez Carmona, Diego] Univ Cadiz, Cadiz, Spain</t>
  </si>
  <si>
    <t>Dueñas, PPM (corresponding author), Univ Cadiz, Cadiz, Spain.</t>
  </si>
  <si>
    <t>pablo.marin@uca.es; diego.gomez@uca.es</t>
  </si>
  <si>
    <t>Gómez-Carmona, Diego/AAP-3488-2021</t>
  </si>
  <si>
    <t>CIRIEC-ESPANA</t>
  </si>
  <si>
    <t>VALENCIA</t>
  </si>
  <si>
    <t>AVE NARANJOS, S-N, EDIF DEP ORIENTAL 2P21, VALENCIA, 46022, SPAIN</t>
  </si>
  <si>
    <t>0213-8093</t>
  </si>
  <si>
    <t>1989-6816</t>
  </si>
  <si>
    <t>CIRIEC</t>
  </si>
  <si>
    <t>10.7203/CIRIEC-E.101.17638</t>
  </si>
  <si>
    <t>RH8OT</t>
  </si>
  <si>
    <t>WOS:000636471400008</t>
  </si>
  <si>
    <t>Knudsen, KE; Willman, C; Winn, R</t>
  </si>
  <si>
    <t>Knudsen, Karen E.; Willman, Cheryl; Winn, Robert</t>
  </si>
  <si>
    <t>Optimizing the Use of Telemedicine in Oncology Care: Postpandemic Opportunities</t>
  </si>
  <si>
    <t>CLINICAL CANCER RESEARCH</t>
  </si>
  <si>
    <t>TELECONSENT; TELEHEALTH; COVID-19</t>
  </si>
  <si>
    <t>Utilization of telehealth as part of the cancer care delivery continuum dramatically escalated in response to the COVID-19 pandemic at major cancer centers across the globe. The rapid shift toward telehealth visits for nontreatment cancer care provided immediate benefit through reducing unnecessary risk of exposure, overcoming transportation barriers faced by both patients and caregivers, and fast-tracking care transformation. As such, delineating the impact of telehealth on access, health equity, quality, and outcomes will be essential for refining the use of digital strategies and telehealth toward optimizing cancer care. Herein, experiences to date with telehealth usage for oncology care are reviewed, and priorities are outlined for postpandemic opportunities to improve the lives of patients with cancer through telemedicine.</t>
  </si>
  <si>
    <t>[Knudsen, Karen E.] Jefferson Hlth, Sidney Kimmel Canc Ctr, 233 S 10th St,Bluemle BLSB 1050, Philadelphia, PA 19107 USA; [Knudsen, Karen E.] Thomas Jefferson Univ, Philadelphia, PA 19107 USA; [Willman, Cheryl] Univ New Mexico, Comprehens Canc Ctr, Albuquerque, NM 87131 USA; [Winn, Robert] Virginia Commonwealth Univ, Massey Canc Ctr, Richmond, VA USA</t>
  </si>
  <si>
    <t>Jefferson University; Jefferson University; University of New Mexico; Virginia Commonwealth University</t>
  </si>
  <si>
    <t>Knudsen, KE (corresponding author), Jefferson Hlth, Sidney Kimmel Canc Ctr, 233 S 10th St,Bluemle BLSB 1050, Philadelphia, PA 19107 USA.</t>
  </si>
  <si>
    <t>karen.knudsen@jefferson.edu</t>
  </si>
  <si>
    <t>Winn, Robert A/0000-0001-5948-9291</t>
  </si>
  <si>
    <t>NCI [P30 CA05560]</t>
  </si>
  <si>
    <t>NCI(United States Department of Health &amp; Human ServicesNational Institutes of Health (NIH) - USANIH National Cancer Institute (NCI))</t>
  </si>
  <si>
    <t>The authors would like to thank the oncology and telehealth teams at our respective institutions who have worked tirelessly to ensure rapid access to continued cancer care during the ongoing global pandemic. Particular appreciation is also extended to Drs. A.M. Lopez, A. Chapman, J. Hollander, and A. Leader in addition to V. Cisk, J. Palidora, and A. Khariton (Sidney Kimmel Cancer Center at Jefferson Health) for expert leadership and ongoing discussions regarding telehealth refinement. This work was funded, in part, by a supplement award to the Cancer Center Support grant P30 CA05560 (to principal investigator, K.E. Knudsen) provided by the NCI.</t>
  </si>
  <si>
    <t>AMER ASSOC CANCER RESEARCH</t>
  </si>
  <si>
    <t>615 CHESTNUT ST, 17TH FLOOR, PHILADELPHIA, PA 19106-4404 USA</t>
  </si>
  <si>
    <t>1078-0432</t>
  </si>
  <si>
    <t>1557-3265</t>
  </si>
  <si>
    <t>CLIN CANCER RES</t>
  </si>
  <si>
    <t>Clin. Cancer Res.</t>
  </si>
  <si>
    <t>FEB 15</t>
  </si>
  <si>
    <t>10.1158/1078-0432.CCR-20-3758</t>
  </si>
  <si>
    <t>Oncology</t>
  </si>
  <si>
    <t>QK1VB</t>
  </si>
  <si>
    <t>Green Accepted, Bronze</t>
  </si>
  <si>
    <t>WOS:000620168400008</t>
  </si>
  <si>
    <t>El Said, GR</t>
  </si>
  <si>
    <t>El Said, Ghada Refaat</t>
  </si>
  <si>
    <t>How Did the COVID-19 Pandemic Affect Higher Education Learning Experience? An Empirical Investigation of Learners' Academic Performance at a University in a Developing Country</t>
  </si>
  <si>
    <t>ADVANCES IN HUMAN-COMPUTER INTERACTION</t>
  </si>
  <si>
    <t>COVID-19 has dramatically reshaped the way global education is delivered. Millions of learners were affected by educational institution closures due to the pandemic, which resulted in the largest online movement in the history of education. With this sudden shift away from classrooms in many parts of the globe, universities had to rapidly shift to virtual and digital strategies. Many believe that the adoption of online distance learning will persist after pandemic. A new hybrid model of education is expected to emerge, and, given the digital divide, new shifts in education approaches could widen equality gaps. This is one of the first empirical studies investigating the effect of the sudden shift from face-to-face to online distance learning due to COVID-19 lockdown at one of the universities in Egypt. Comparison of grades was made between 376 business students who completed a face-to-face course in spring 2019 and 372 students who completed the same course but fully online via distance learning mode in spring 2020 during the lockdown. T-test was conducted to compare grades of quizzes, course work, and final exam for the two groups. Chi-square test was used to compare grade distribution for both groups. The effect of gender, credit hours, age, and CGPA was assessed. The results suggested that there was no statistically significant difference in students' grades. In addition, the unplanned and rapid move to online distance learning at the time of pandemic did not result in a poor learning experience as was expected. The study also included a survey of 435 students and interviews with a sample of professors about their learning and teaching experience during the lockdown. The results of this study provide specific recommendations for universities, instructors, and higher education portal designers about future application of online distance learning. Since Egypt decided to make the shift to online distant learning in all future higher education plans, the results of this research would be especially vital for universities in Egypt and other developing countries. If administered correctly, this shift could lead to a larger learner population, more cost efficiencies, and more university revenue.</t>
  </si>
  <si>
    <t>[El Said, Ghada Refaat] Future Univ Egypt FUE, Dept Management Informat Syst, 90th St,Fifth Settlement, New Cairo, Egypt</t>
  </si>
  <si>
    <t>Egyptian Knowledge Bank (EKB); Future University in Egypt</t>
  </si>
  <si>
    <t>El Said, GR (corresponding author), Future Univ Egypt FUE, Dept Management Informat Syst, 90th St,Fifth Settlement, New Cairo, Egypt.</t>
  </si>
  <si>
    <t>ghada.refaat@fue.edu.eg</t>
  </si>
  <si>
    <t>El Said, Ghada Refaat/0000-0001-9624-5229</t>
  </si>
  <si>
    <t>1687-5893</t>
  </si>
  <si>
    <t>1687-5907</t>
  </si>
  <si>
    <t>ADV HUM-COMPUT INTER</t>
  </si>
  <si>
    <t>Adv. Hum-Comput. Interact.</t>
  </si>
  <si>
    <t>FEB 10</t>
  </si>
  <si>
    <t>10.1155/2021/6649524</t>
  </si>
  <si>
    <t>QM0EH</t>
  </si>
  <si>
    <t>WOS:000621451400001</t>
  </si>
  <si>
    <t>Appolloni, A; Colasanti, N; Fantauzzi, C; Fiorani, G; Frondizi, R</t>
  </si>
  <si>
    <t>Appolloni, Andrea; Colasanti, Nathalie; Fantauzzi, Chiara; Fiorani, Gloria; Frondizi, Rocco</t>
  </si>
  <si>
    <t>Distance Learning as a Resilience Strategy during Covid-19: An Analysis of the Italian Context</t>
  </si>
  <si>
    <t>higher education; digitalization; distance learning; Covid-19 outbreak; resilience</t>
  </si>
  <si>
    <t>The purpose of this paper is to analyze the strategic model of distance learning adopted by Italian higher education, showing how the health emergency due to Covid-19 has transformed it from an optional for traditional universities to the only means to ensure public health protection and continuity in education programs. Comparing two situations (before and during the pandemic), the aim is to identify best practices that, even after the end of the emergency, can be adopted by Italian higher education institutions to boost their digital supply and compete in an international context. After a general context analysis, aimed to underline benefits and risks connected to the development of distance learning, the case of the Italian higher education system has been analyzed. Data were collected through a documentary analysis, looking at what Italian higher education institutions disclosed through their official websites and documents: every form of communication about digital strategy was taken into account. Then, they were analyzed qualitatively, in order to individuate which platforms have been combined to ensure quality in education provided. Research findings demonstrate the resilience of the Italian higher education, able to react and to re-organize itself in only one week: the results of the pandemic may be a stronger university, able to combine quality in education with the potential of technological devices and to compete at the international level. Distance learning represents a complex field, still characterized by separated understandings and in a context where limited attention has been dedicated to its development for what concerns the Italian context, the choice to examine it represents the originality of this paper.</t>
  </si>
  <si>
    <t>[Appolloni, Andrea; Colasanti, Nathalie; Fantauzzi, Chiara; Fiorani, Gloria; Frondizi, Rocco] Univ Roma Tor Vergata, Dept Management &amp; Law, I-00133 Rome, Italy; [Appolloni, Andrea] Natl Res Council CNR, Inst Res Innovat &amp; Serv Dev IRISS, I-80134 Naples, Italy</t>
  </si>
  <si>
    <t>University of Rome Tor Vergata; Consiglio Nazionale delle Ricerche (CNR); Istituto di Ricerca su Innovazione e Servizi per lo Sviluppo (IRISS-CNR)</t>
  </si>
  <si>
    <t>Appolloni, A (corresponding author), Univ Roma Tor Vergata, Dept Management &amp; Law, I-00133 Rome, Italy.;Appolloni, A (corresponding author), Natl Res Council CNR, Inst Res Innovat &amp; Serv Dev IRISS, I-80134 Naples, Italy.</t>
  </si>
  <si>
    <t>andrea.appolloni@uniroma2.it; nathalie.colasanti@uniroma2.it; chiara.fantauzzi@uniroma2.it; gloria.fiorani@uniroma2.it; rocco.frondizi@uniroma2.it</t>
  </si>
  <si>
    <t>Appolloni, Andrea/L-3607-2014; Frondizi, Rocco/ABH-3850-2020; Fantauzzi, Chiara/HTR-6656-2023</t>
  </si>
  <si>
    <t>Appolloni, Andrea/0000-0001-5741-398X; Frondizi, Rocco/0000-0002-9913-349X;</t>
  </si>
  <si>
    <t>University of Rome Tor Vergata, Department of Management and Law; MARIS Master Program in Reporting Innovation Sustainability</t>
  </si>
  <si>
    <t>This research was supported and funded by the University of Rome Tor Vergata, Department of Management and Law by the research project named Sustainable Development and by the MARIS Master Program in Reporting Innovation Sustainability.</t>
  </si>
  <si>
    <t>10.3390/su13031388</t>
  </si>
  <si>
    <t>QD6KT</t>
  </si>
  <si>
    <t>WOS:000615625200001</t>
  </si>
  <si>
    <t>Bonfanti, S; Guerra, R; Zaiser, M; Zapperi, S</t>
  </si>
  <si>
    <t>Bonfanti, Silvia; Guerra, Roberto; Zaiser, Michael; Zapperi, Stefano</t>
  </si>
  <si>
    <t>Digital strategies for structured and architected materials design</t>
  </si>
  <si>
    <t>APL MATERIALS</t>
  </si>
  <si>
    <t>MECHANICAL METAMATERIALS; NACRE; SIMULATION; PRINCIPLES; OPTIMIZATION; COMPOSITES; ELASTICITY; HIERARCHY; BREAKDOWN; TI-6AL-4V</t>
  </si>
  <si>
    <t>Designing materials with tailored structural or functional properties is a fundamental goal of materials science and engineering. A vast research activity is currently devoted to achieving metamaterials with superior properties and optimized functionalities by carefully fine tuning both the microstructure and geometry of the material. Here, we discuss the impact of digital technologies in this research field by providing fast and cost effective tools to explore a large array of possibilities for materials and metamaterials. We report on recent progress obtained by combining numerical simulations, optimization techniques, artificial intelligence, and additive manufacturing methods and highlight promising research lines. The exploration of the space of possible material microstructures and geometries is reminiscent of the process of biological evolution in which traits are explored and selected according to their fitness. Biomimetic materials have long profited from adapting features of biological systems to the design of new materials and structures. Combining biomimetic approaches with digital simulation and optimization and with high throughput fabrication and characterization techniques may provide a step change in the evolutionary development of new materials. (c) 2021 Author(s). All article content, except where otherwise noted, is licensed under a Creative Commons Attribution (CC BY) license (http://creativecommons.org/licenses/by/4.0/).</t>
  </si>
  <si>
    <t>[Bonfanti, Silvia; Guerra, Roberto; Zapperi, Stefano] Univ Milan, Dept Phys, Ctr Complex &amp; Biosyst, Via Celoria 16, I-20133 Milan, Italy; [Zaiser, Michael] Friedrich Alexander Univ Erlangen Nurnberg, Dept Mat Sci, Inst Mat Simulat, Dr Mack Str 77, D-90762 Furth, Germany; [Zapperi, Stefano] CNR, Ist Chim Mat Condensata &amp; Tecnol Energia, Via R Cozzi 53, I-20125 Milan, Italy</t>
  </si>
  <si>
    <t>University of Milan; University of Erlangen Nuremberg; Consiglio Nazionale delle Ricerche (CNR); Istituto di Chimica della Materia Condensata e di Tecnologie per l Energia (ICMATE-CNR)</t>
  </si>
  <si>
    <t>Zapperi, S (corresponding author), Univ Milan, Dept Phys, Ctr Complex &amp; Biosyst, Via Celoria 16, I-20133 Milan, Italy.;Zapperi, S (corresponding author), CNR, Ist Chim Mat Condensata &amp; Tecnol Energia, Via R Cozzi 53, I-20125 Milan, Italy.</t>
  </si>
  <si>
    <t>zaiser@fau.de; stefano.zapperi@unimi.it</t>
  </si>
  <si>
    <t>Bonfanti, Silvia/ABF-7621-2021; Zapperi, Stefano/C-9473-2009</t>
  </si>
  <si>
    <t>Bonfanti, Silvia/0000-0002-0323-8714; Zapperi, Stefano/0000-0001-5692-5465; Guerra, Roberto/0000-0002-1278-8021</t>
  </si>
  <si>
    <t>European Research Council [841640 METADESIGN]; Alexander von Humboldt Foundation</t>
  </si>
  <si>
    <t>European Research Council(European Research Council (ERC)); Alexander von Humboldt Foundation(Alexander von Humboldt Foundation)</t>
  </si>
  <si>
    <t>S.B., R.G., and S.Z. were supported by the European Research Council through the Proof of Concept Grant 841640 METADESIGN. S.Z. also acknowledges support from the Alexander von Humboldt Foundation through the Humboldt Research Award and thanks Friedrich-Alexander-Universitat Erlangen-Nurnberg for hospitality.</t>
  </si>
  <si>
    <t>2166-532X</t>
  </si>
  <si>
    <t>APL MATER</t>
  </si>
  <si>
    <t>APL Mater.</t>
  </si>
  <si>
    <t>FEB 1</t>
  </si>
  <si>
    <t>10.1063/5.0026817</t>
  </si>
  <si>
    <t>Nanoscience &amp; Nanotechnology; Materials Science, Multidisciplinary; Physics, Applied</t>
  </si>
  <si>
    <t>Science &amp; Technology - Other Topics; Materials Science; Physics</t>
  </si>
  <si>
    <t>QZ7NV</t>
  </si>
  <si>
    <t>WOS:000630910500004</t>
  </si>
  <si>
    <t>Delgado, F</t>
  </si>
  <si>
    <t>Delgado, Francisco</t>
  </si>
  <si>
    <t>Teaching Physics for Computer Science Students in Higher Education During the COVID-19 Pandemic: A Fully Internet-Supported Course</t>
  </si>
  <si>
    <t>FUTURE INTERNET</t>
  </si>
  <si>
    <t>blended learning; mobile learning; COVID-19; physics education; performance learning; educational innovation; higher education</t>
  </si>
  <si>
    <t>The COVID-19 pandemic has modified and diversified the ways that students receive education. During confinements, complex courses integrating previous knowledge must be carefully designed and implemented to effectively replace the elements present in face-to-face learning to improve the students' experience. This work assesses the implementation of a digital-learning physics course for computer science students in a skill-based education program in higher education. The assessment was useful for the institution to evaluate if the digital strategy implemented in the course fulfilled the original premises and objectives. The analyses performed provide useful knowledge of theoretical and operational actions applied in this methodology that could be adapted to similar courses for the younger generations in this university. COVID-19 confinement will continue in Mexico in 2021. This assessment resulted in a positive evaluation of the digital strategy being followed, which can be continued while the contingency lasts. Three teachers came together to design math, physics, and computational sciences content for various sections of a physics course. The analysis was developed and implemented according to an institutional digital delivery model for the COVID-19 pandemic. Elements related to attendance, digital access, performance distribution by gender, activity types, and the course learning sections were considered. The analysis was performed with some techniques found in the literature for small groups, complemented when necessary by standard statistical tests to discern meaningful trends. A primary goal was to assess skill-based learning in the course delivered digitally due to the COVID-19 confinement. Furthermore, additional issues concerning the learning dynamics were searched, reported, and analyzed. Finally, the outcomes of an institutional exit survey collecting students' opinions supported certain observed behaviors. The analysis produced meaningful evidence that the course's skill-based development was well supported by the digital delivery during the confinement. Furthermore, differences in the students' performances in the various course content sections proved statistically significant and are discussed in this work.</t>
  </si>
  <si>
    <t>[Delgado, Francisco] Tecnol Monterrey, Sch Engn &amp; Sci, Atizapan 52926, Mexico</t>
  </si>
  <si>
    <t>Delgado, F (corresponding author), Tecnol Monterrey, Sch Engn &amp; Sci, Atizapan 52926, Mexico.</t>
  </si>
  <si>
    <t>fdelgado@tec.mx</t>
  </si>
  <si>
    <t>Delgado, Francisco/A-7728-2015</t>
  </si>
  <si>
    <t>Delgado, Francisco/0000-0002-9809-6746</t>
  </si>
  <si>
    <t>Writing Lab, Institute for the Future of Education, Tecnologico de Monterrey, Mexico</t>
  </si>
  <si>
    <t>I am grateful to my students for their dedication during the COVID-19 crisis from October to November 2020. Thanks, particularly, because their participation contributed to in-depth knowledge about blended learning, which was proved successfully during a critical era for humankind. Special thanks to Lourdes Quezada and Mario Estrada for the exemplary collaboration as a team teaching for the block being referred in the current report. The author acknowledges the technical and economical support of Writing Lab, Institute for the Future of Education, Tecnologico de Monterrey, Mexico, in the production of this work.</t>
  </si>
  <si>
    <t>1999-5903</t>
  </si>
  <si>
    <t>Future Internet</t>
  </si>
  <si>
    <t>10.3390/fi13020035</t>
  </si>
  <si>
    <t>QN6GV</t>
  </si>
  <si>
    <t>WOS:000622556300001</t>
  </si>
  <si>
    <t>Gain, U</t>
  </si>
  <si>
    <t>Gain, Ulla</t>
  </si>
  <si>
    <t>Applying Frameworks for Cognitive Services in IIoT</t>
  </si>
  <si>
    <t>JOURNAL OF SYSTEMS SCIENCE AND SYSTEMS ENGINEERING</t>
  </si>
  <si>
    <t>Digitalization; industrial internet of things; cognitive services; digital twin; blockchain</t>
  </si>
  <si>
    <t>The technology, which enables creating new types of products, processes and services (i.e., things), which outcomes alter traditional competition and industry boundaries and create new lasting value. The digitalization process uses digital technologies to provide the possibilities of new revenue and value-producing, i.e., it changes business models and offers new value propositions. This change is ongoing. The most important ten strategic technology trends in 2019 include Edge computing, Blockchain, event and data-driven strategies, Digital Twins, and the maintenance of transparency (i.e., traceability), Intelligent Apps and Analytics (Gartner 2018). In this paper, we experiment with the capabilities of intelligent applications to match the industrial business needs. This paper aims to bring insights closer to business objectives. Digitalization's technological advantages can be achieved through data-driven strategies and wherein cognitive services are integrated into IoT (Internet of Things) and big data. We experiment with the Industrial IoT (IIoT) business models and value propositions to match the intelligent insights of cognitive solutions to business objectives. The IIoTs support and demand transparency and thus also data-driven objective insights, and because cognitive solutions can enhance insights on a product, a process or service and therefore provide measurable business objectives. Functional indicators enable interconnected smart things to collaborate.</t>
  </si>
  <si>
    <t>[Gain, Ulla] Univ Eastern Finland, Sch Comp, FI-70211 Kuopio, Finland</t>
  </si>
  <si>
    <t>Gain, U (corresponding author), Univ Eastern Finland, Sch Comp, FI-70211 Kuopio, Finland.</t>
  </si>
  <si>
    <t>gain@uef.fi</t>
  </si>
  <si>
    <t>1004-3756</t>
  </si>
  <si>
    <t>1861-9576</t>
  </si>
  <si>
    <t>J SYST SCI SYST ENG</t>
  </si>
  <si>
    <t>J. Syst. Sci. Syst. Eng.</t>
  </si>
  <si>
    <t>10.1007/s11518-021-5480-x</t>
  </si>
  <si>
    <t>FEB 2021</t>
  </si>
  <si>
    <t>QT5YU</t>
  </si>
  <si>
    <t>WOS:000613165800001</t>
  </si>
  <si>
    <t>Nas, A</t>
  </si>
  <si>
    <t>Nas, Alparslan</t>
  </si>
  <si>
    <t>Women in Mosques: mapping the gendered religious space through online activism</t>
  </si>
  <si>
    <t>FEMINIST MEDIA STUDIES</t>
  </si>
  <si>
    <t>Gender; feminism; Islam; space; Turkey; online activism</t>
  </si>
  <si>
    <t>Initiated in October 2017 by a group of Muslim women in Turkey, the activism of Women in Mosques aims to increase public awareness regarding the gendered organization of the religious space. Turkey's patriarchal religious and cultural dynamics exhibit a gender-segregated organization of the mosque area, which treats men as the primary religious audience while isolating women in limited spaces. Using online tools such as their website and social media pages, Women in Mosques encourages women to participate in their digital campaign to reveal experiences of marginalization in mosques through testimonials. In addition to exposing the gendered and spatial ideology of the mosque that subordinates women, Women in Mosques also endeavors to employ potential means of resistance by fostering digital solidarity. This paper aims to analyze the bodily and digital strategies of women resisting the spatial organization of the religious space as a field of power. In this regard, the mapping of religious spaces through the representation of ideological spatiality and cartography constitutes the major strategies applied by activists to tackle the patriarchal making of the religious space.</t>
  </si>
  <si>
    <t>[Nas, Alparslan] Marmara Univ, Fac Commun, Goztepe Campus, TR-34722 Istanbul, Turkey</t>
  </si>
  <si>
    <t>Marmara University</t>
  </si>
  <si>
    <t>Nas, A (corresponding author), Marmara Univ, Fac Commun, Goztepe Campus, TR-34722 Istanbul, Turkey.</t>
  </si>
  <si>
    <t>alparslan.nas@marmara.edu.tr</t>
  </si>
  <si>
    <t>Nas, Alparslan/H-1102-2018</t>
  </si>
  <si>
    <t>Nas, Alparslan/0000-0002-1759-4357</t>
  </si>
  <si>
    <t>1468-0777</t>
  </si>
  <si>
    <t>1471-5902</t>
  </si>
  <si>
    <t>FEM MEDIA STUD</t>
  </si>
  <si>
    <t>Fem. Media Stud.</t>
  </si>
  <si>
    <t>10.1080/14680777.2021.1878547</t>
  </si>
  <si>
    <t>JAN 2021</t>
  </si>
  <si>
    <t>Communication; Women's Studies</t>
  </si>
  <si>
    <t>4Y7TR</t>
  </si>
  <si>
    <t>WOS:000611636700001</t>
  </si>
  <si>
    <t>Marcelin, JR; Cortés-Penfield, N; del Rio, C; Desai, A; Echenique, I; Granwehr, B; Lawal, F; Kuriakose, K; Lee, DH; Malinis, M; Ruidera, D; Siddiqui, J; Spec, A; Swartz, TH</t>
  </si>
  <si>
    <t>Marcelin, Jasmine R.; Cortes-Penfield, Nicolas; del Rio, Carlos; Desai, Angel; Echenique, Ignacio; Granwehr, Bruno; Lawal, Folake; Kuriakose, Kevin; Lee, Dong Heun; Malinis, Maricar; Ruidera, Diandra; Siddiqui, Javeed; Spec, Andrej; Swartz, Talia H.</t>
  </si>
  <si>
    <t>Infect Dis Soc Amer IDSA Digital S</t>
  </si>
  <si>
    <t>How the Field of Infectious Diseases Can Leverage Digital Strategy and Social Media Use During a Pandemic</t>
  </si>
  <si>
    <t>OPEN FORUM INFECTIOUS DISEASES</t>
  </si>
  <si>
    <t>digital strategy; infectious diseases; information dissemination; social media</t>
  </si>
  <si>
    <t>TWITTER; PREPRINTS</t>
  </si>
  <si>
    <t>Rapid information dissemination is critical in a world changing rapidly due to global threats. Ubiquitous internet access has created new methods of information dissemination that are rapid, far-reaching, and universally accessible. However, inaccuracies may accompany rapid information dissemination, and rigorous evaluation of primary data through various forms of peer review is crucial. In an era in which high-quality information can save lives, it is critical that infectious diseases specialists are well versed in digital strategy to effectively disseminate information to colleagues and the community and diminish voices spreading misinformation. In this study, we review how social media can be used for rapid dissemination of quality information, benefits and pitfalls of social media use, and general recommendations for developing a digital strategy as an infectious diseases specialist. We will describe how the Infectious Diseases Society of America has leveraged digital strategy and social media and how individuals can amplify these resources to disseminate information, provide clinical knowledge, community guidance, and build their own person brand. We conclude in providing guidance to infectious diseases specialists in aiming to build and preserve public trust, consider their audience and specific goals, and use social media to highlight the value of the field of infectious diseases.</t>
  </si>
  <si>
    <t>[Marcelin, Jasmine R.; Cortes-Penfield, Nicolas] Univ Nebraska Med Ctr, Dept Med, Div Infect Dis, Omaha, NE USA; [del Rio, Carlos] Emory Univ, Dept Med, Div Infect Dis, Atlanta, GA 30322 USA; [Desai, Angel] Univ Calif Davis, Med Ctr, Dept Med, Div Infect Dis, Sacramento, CA 95817 USA; [Echenique, Ignacio] Teva Pharmaceut, Miramar, FL USA; [Granwehr, Bruno] Univ Texas MD Anderson Canc Ctr, Div Infect Dis, Dept Med, Houston, TX 77030 USA; [Lawal, Folake] Augusta Univ, Dept Med, Div Infect Dis, Med Coll Georgia, Augusta, GA USA; [Kuriakose, Kevin] Renown Hlth, Sect Infect Dis, Reno, NV USA; [Lee, Dong Heun] Univ Calif San Francisco, Dept Med, Div Infect Dis, San Francisco, CA 94143 USA; [Malinis, Maricar] Yale Univ, Sch Med, Dept Internal Med, Sect Infect Dis, New Haven, CT 06510 USA; [Ruidera, Diandra] Tric Med Ctr, Oceanside, CA USA; [Siddiqui, Javeed] TeleMed2U, Roseville, CA USA; [Spec, Andrej] Washington Univ, Sch Med, Dept Med, Div Infect Dis, St Louis, MO 63110 USA; [Swartz, Talia H.] Icahn Sch Med Mt Sinai, Immunol Inst, Dept Med, Div Infect Dis, New York, NY 10029 USA</t>
  </si>
  <si>
    <t>University of Nebraska System; University of Nebraska Medical Center; Emory University; University of California System; University of California Davis; Teva Pharmaceutical Industries; Teva Pharmaceutical Industries USA; University of Texas System; UTMD Anderson Cancer Center; University System of Georgia; Augusta University; University of California System; University of California San Francisco; Yale University; Washington University (WUSTL); Icahn School of Medicine at Mount Sinai</t>
  </si>
  <si>
    <t>Swartz, TH (corresponding author), Mt Sinai Sch Med, Div Infect Dis, Dept Med, One Gustave Levy Pl,Box 1090, New York, NY 10029 USA.</t>
  </si>
  <si>
    <t>del Rio, Carlos/B-3763-2012; Swartz, Talia H./AAN-8591-2020; Cortes-Penfield, Nicolas/ACS-1833-2022</t>
  </si>
  <si>
    <t>del Rio, Carlos/0000-0002-0153-3517; Swartz, Talia H./0000-0003-1572-045X;</t>
  </si>
  <si>
    <t>2328-8957</t>
  </si>
  <si>
    <t>OPEN FORUM INFECT DI</t>
  </si>
  <si>
    <t>Open Forum Infect. Dis.</t>
  </si>
  <si>
    <t>ofab027</t>
  </si>
  <si>
    <t>10.1093/ofid/ofab027</t>
  </si>
  <si>
    <t>RJ0WD</t>
  </si>
  <si>
    <t>WOS:000637323400065</t>
  </si>
  <si>
    <t>Sampugnaro, R; Montemagno, F</t>
  </si>
  <si>
    <t>Sampugnaro, Rossana; Montemagno, Francesca</t>
  </si>
  <si>
    <t>In Search of the Americanization: Candidates and Political Campaigns in European General Election</t>
  </si>
  <si>
    <t>Americanization; convergence; digitalization; personalization</t>
  </si>
  <si>
    <t>The digital platform has deeply changed the electoral campaigns, producing a consequent evolution of political consulting. Social networks have become the mainstream media so that the digital strategist and the big data analysts have achieved a special place in the war room, next to the campaign director and the pollster. In 2012, Obama's election has marked the entrance in the Fast Politics: resulting, on one hand, in 24 hours news, a large amount of auto-generated contents produced by the voters through digital media, fragmentation, instantaneous transmission of messages and, on the other hand, a reduction of the attention threshold. Once again, similarly to the past, the evolution of the media (2.0) ends up changing the nature of election campaigns and political consulting request. What happens in Europe? The objective is to carry out a comparative analysis on the professionalization of candidates' electoral staff. We wanted to verify if the American model has been imported in Europe with special focus on the techniques and the style of election campaigns management. In particular, within a comparative approach among the European states, the study analyzed the usage of political consulting and the degree of digitalization during last general elections: an ancillary practice or, on the contrary, a new tool for consensus? The comparative analysis among European states exploited the data provided by Comparative Candidates Survey (CCS 2013) and constructed synthetic indexes on the professionalization and digitization campaigns, conducting a quantitative and qualitative analysis.</t>
  </si>
  <si>
    <t>[Sampugnaro, Rossana; Montemagno, Francesca] Univ Catania, Dept Polit &amp; Social Sci, Via Vittorio Emanuele II,8, I-95131 Catania, Italy</t>
  </si>
  <si>
    <t>Sampugnaro, R (corresponding author), Univ Catania, Dept Polit &amp; Social Sci, Via Vittorio Emanuele II,8, I-95131 Catania, Italy.</t>
  </si>
  <si>
    <t>rossana.sampugnaro@unict.it</t>
  </si>
  <si>
    <t>Sampugnaro, Rossana/0000-0002-7518-7776; Montemagno, Francesca/0000-0002-2721-3669</t>
  </si>
  <si>
    <t>MAR 29</t>
  </si>
  <si>
    <t>10.1080/15377857.2020.1869832</t>
  </si>
  <si>
    <t>RK6SO</t>
  </si>
  <si>
    <t>WOS:000628917400001</t>
  </si>
  <si>
    <t>Chib, A; Nguyen, H; Lin, DY</t>
  </si>
  <si>
    <t>Chib, Arul; Nguyen, Hoan; Lin, Daoyi</t>
  </si>
  <si>
    <t>Provocation as Agentic Practice: Gender Performativity in Online Strategies of Transgender Sex Workers</t>
  </si>
  <si>
    <t>JOURNAL OF COMPUTER-MEDIATED COMMUNICATION</t>
  </si>
  <si>
    <t>Agency; Identity; Internet; Intersectionality; Marginalization; Performativity</t>
  </si>
  <si>
    <t>SOCIAL MEDIA; YOUNG-PEOPLE; IDENTITIES; DISCONNECTION; EXPERIENCES; CONNECTION; INTERNET; YOUTH</t>
  </si>
  <si>
    <t>Fluid performances of gender online by gender-diverse individuals facing discrimination and fetishization raises questions about whether these acts are a source of empowerment or reinforce prevailing prejudice. We combine virtual ethnography and interviews with transwomen sex workers in Singapore (n=14) to explore the dynamic between sociostructural oppression and agentic resistance. First, heterosexual power relations manifest online via digital practices of access, surveillance, and intervention to discriminate against and objectify respondents' identities and bodies. Second, the online response can be categorized into specific digital practices of avoidance involving privacy and anonymity, accommodation via subtle practices of submission, and collaboration via community mobilization. Finally, gender performativity on sites for sex solicitation manifests in the presentation of both essentialist (submissive femininity) and provocative (hyper-sexual) embodiments, defying simplistic characterization into the structure-agency dynamic. We discuss the co-constructive nature of socially situated gender performances and the potential for challenging normative regimes of gender. Lay Summary Online spaces allow people to perform their gender more fluidly. We studied how gender-diverse people's online media use can lead to both personal empowerment and social oppression. Social forces oppress gender-diverse people through online harassment and abuse. We classify these progressively intrusive digital practices as access, surveillance, and intervention. However, gender-diverse people also respond to such oppression through digital strategies such as avoidance, accommodation, and collaboration. Transwomen sex workers in Singapore perform femininity online in submissive and hyper-sexual ways. Our material suggests that they do this to both affirm their transgender identities and also to attract customers. These nuances blur the line between individual choice and compliance with social demands. Indeed, the informants' quotes suggest that the digital strategies that seem to accommodate client desires may in fact empower these transwomen sex workers. Yet, it is uncertain if this individual empowerment leads to broader social change for gender-diverse communities.</t>
  </si>
  <si>
    <t>[Chib, Arul; Lin, Daoyi] Nanyang Technol Univ, Wee Kim Wee Sch Commun &amp; Informat, Singapore 637718, Singapore; [Nguyen, Hoan] Univ Southern Calif, Annenberg Sch Commun &amp; Journalism, Los Angeles, CA 90089 USA</t>
  </si>
  <si>
    <t>Nanyang Technological University &amp; National Institute of Education (NIE) Singapore; Nanyang Technological University; University of Southern California</t>
  </si>
  <si>
    <t>Chib, A (corresponding author), Nanyang Technol Univ, Wee Kim Wee Sch Commun &amp; Informat, Singapore 637718, Singapore.</t>
  </si>
  <si>
    <t>arulchib@ntu.edu.sg</t>
  </si>
  <si>
    <t>Chib, Arul/0000-0002-3833-8889</t>
  </si>
  <si>
    <t>Wee Kim Wee School of Communication and Information, Nanyang Technological University</t>
  </si>
  <si>
    <t>Wee Kim Wee School of Communication and Information, Nanyang Technological University(Nanyang Technological University)</t>
  </si>
  <si>
    <t>The study was funded by a grant from Wee Kim Wee School of Communication and Information, Nanyang Technological University.</t>
  </si>
  <si>
    <t>1083-6101</t>
  </si>
  <si>
    <t>J COMPUT-MEDIAT COMM</t>
  </si>
  <si>
    <t>J. Comput.-Mediat. Commun.</t>
  </si>
  <si>
    <t>10.1093/jcmc/zmaa017</t>
  </si>
  <si>
    <t>Communication; Information Science &amp; Library Science</t>
  </si>
  <si>
    <t>RQ3EV</t>
  </si>
  <si>
    <t>WOS:000642306200001</t>
  </si>
  <si>
    <t>Porfírio, JA; Carrilho, T; Felício, JA; Jardim, J</t>
  </si>
  <si>
    <t>Porfirio, Jose Antonio; Carrilho, Tiago; Felicio, Jose Augusto; Jardim, Jacinto</t>
  </si>
  <si>
    <t>Leadership characteristics and digital transformation</t>
  </si>
  <si>
    <t>Leadership; Digital transformation; Corporate strategy; Business strategy; Digital strategy</t>
  </si>
  <si>
    <t>INFORMATION-TECHNOLOGY; CORPORATE-STRATEGY; CAPABILITY; OPTIONS; CONTEXT</t>
  </si>
  <si>
    <t>Digital transformation (DT) is essential for all companies and industries, depending crucially on systems, IT, strategy, and people. In this research, we analyse how firms' characteristics, associated with management characteristics, promote DT in Portuguese companies. The model considers the relationship between digital strategy and corporate and business strategy, according to firm and management characteristics. We use a multilevel analysis, applying fsQCA to data obtained from 47 Portuguese firms. The results represent an important step forward in the knowledge of the conditions to promote higher stages of DT, especially regarding leadership and management associated with certain firms' characteristics. The conclusions support the crucial role of leadership and especially the importance of managers' coherence towards companies' mission to promote more advanced stages of DT. At the same time, it contributes to develop knowledge about the best possible combination of firms' and management characteristics to promote DT.</t>
  </si>
  <si>
    <t>[Porfirio, Jose Antonio; Carrilho, Tiago] Univ Aberta, Social Sci &amp; Management Dept, Lisbon, Portugal; [Felicio, Jose Augusto] ISEG Lisbon Sch Econ &amp; Management, Lisbon, Portugal; [Jardim, Jacinto] Univ Aberta, Catedra Infante D Henrique Estudos Insulares, Lisbon, Portugal</t>
  </si>
  <si>
    <t>Universidade Aberta; Universidade Aberta</t>
  </si>
  <si>
    <t>Porfírio, JA (corresponding author), Univ Aberta, Social Sci &amp; Management Dept, Lisbon, Portugal.</t>
  </si>
  <si>
    <t>Jose.Porfirio@uab.pt; Tiago.Mendes@uab.pt; jaufeli@netcabo.pt; Jacinto.Jardiim@uab.pt</t>
  </si>
  <si>
    <t>Jardim, Jacinto/AAH-9791-2020; Porfírio, José A/I-3940-2012</t>
  </si>
  <si>
    <t>Jardim, Jacinto/0000-0002-0600-3128; Porfírio, José A/0000-0001-9551-9531; Carrilho, Tiago/0000-0001-8258-8546; FELICIO, J. AUGUSTO/0000-0001-5862-1094</t>
  </si>
  <si>
    <t>FCT - Fundacao para a Ciencia e Tecnologia (Portugal) [UIDB/04521/2020]</t>
  </si>
  <si>
    <t>FCT - Fundacao para a Ciencia e Tecnologia (Portugal)(Fundacao para a Ciencia e a Tecnologia (FCT))</t>
  </si>
  <si>
    <t>We gratefully acknowledge: financial support from FCT - Fundacao para a Ciencia e Tecnologia (Portugal); national funding through research grant UIDB/04521/2020.</t>
  </si>
  <si>
    <t>10.1016/j.jbusres.2020.10.058</t>
  </si>
  <si>
    <t>PP1DI</t>
  </si>
  <si>
    <t>WOS:000605608800052</t>
  </si>
  <si>
    <t>Hobley, J</t>
  </si>
  <si>
    <t>Hobley, Janet</t>
  </si>
  <si>
    <t>Cultivating learners who 'think like vocational professionals': signature pedagogies, technology and vocational learning</t>
  </si>
  <si>
    <t>RESEARCH IN POST-COMPULSORY EDUCATION</t>
  </si>
  <si>
    <t>Pedagogical Content Knowledge; technological Pedagogical Content Knowledge; signature Pedagogies; expansive education and vocational capacity</t>
  </si>
  <si>
    <t>KNOWLEDGE</t>
  </si>
  <si>
    <t>The author is Teaching and Learning Manager at the college with rsponsibility for observation of all teaching staff and their professional development. This research looks at differing concepts of pedagogy through an investigation of observation data and an analysis of 'blended learning sessions' at a college that is at the forefront of using technology as a tool for learning. Located in South Central England this is a relatively small vocational college with two sites in Hampshire. The observation data collected was analysed using the concepts of Pedagogical Content Knowledge (PCK), Technological Pedagogical Content Knowledge (TPCK), Signature Pedagogies and expansive vocational education to see how these concepts applied to practice. The conclusion shows that whilst there were differences in the pedagogical content approach, the concept of signature pedagogies was strong across all the curriculum areas looked at. It also highlights the possibility of further international research into post compulsory online learning using this college as an example of good practice. Finally, it observes that the college has the capacity in terms of a dedicated team of technologists to really improve the TPCK of the teachers further, together with a comprehensive digital strategy that encompasses a coherent and planned curriculum using 'joined up' schemes of work. In this way the PCK and the TPCK of teachers will be strengthened.</t>
  </si>
  <si>
    <t>[Hobley, Janet] Teaching &amp; Learning Manager Basingstoke Coll Tech, Basingstoke, Hants, England</t>
  </si>
  <si>
    <t>Hobley, J (corresponding author), Teaching &amp; Learning Manager Basingstoke Coll Tech, Basingstoke, Hants, England.</t>
  </si>
  <si>
    <t>janet.hobley@bcot.ac.uk</t>
  </si>
  <si>
    <t>1359-6748</t>
  </si>
  <si>
    <t>1747-5112</t>
  </si>
  <si>
    <t>RES POST-COMPULS EDU</t>
  </si>
  <si>
    <t>Res. Post-Compuls. Educ.</t>
  </si>
  <si>
    <t>10.1080/13596748.2021.1873407</t>
  </si>
  <si>
    <t>QT0OK</t>
  </si>
  <si>
    <t>WOS:000626291900003</t>
  </si>
  <si>
    <t>Hutchinson, J</t>
  </si>
  <si>
    <t>Hutchinson, Jonathon</t>
  </si>
  <si>
    <t>Micro-platformization for digital activism on social media</t>
  </si>
  <si>
    <t>Digital activism; YouTube; micro-platformization; influencers; MCNs</t>
  </si>
  <si>
    <t>Social media emerged with a broad understanding that egalitarian practices would become the standard approach to publishing and distributing content. In recent times we have seen this flat hierarchical approach fade as commercial stakeholders, platform providers and content publishers continue to design and practice exclusionary processes to ensure their work is visible. This current practice limits the capacity for all voices to be heard, prompting the question how can digital activism remain visible in a media-saturated social media environment? This paper draws on a content analysis of the most popular YouTube users in Australia to illustrate the absence of digital activism within its visual culture. It maps the process of fragmented platformization, called here micro-platformization, to highlight the content production and publishing strategies digital activists should adopt. While successful commercial YouTube practitioners adhere closely to the principles of social media logics (Van Dijck, J., &amp; Poell, T. (2014). Understanding Social Media Logic. Media and Communication, 1(1), 2-14), this paper argues that stakeholders engaging in the practice of digital activism need to adopt similar strategies to their commercial counterparts. By including strategies that reflect the successful practices of social media logics, digital activism can not only become visible across social media spaces, but also engage public discourse on civic matters and public affairs.</t>
  </si>
  <si>
    <t>[Hutchinson, Jonathon] Univ Sydney, Dept Media &amp; Commun, Room N233,John Woolley Bldg A20,Manning Rd, Sydney, NSW 2006, Australia</t>
  </si>
  <si>
    <t>University of Sydney</t>
  </si>
  <si>
    <t>Hutchinson, J (corresponding author), Univ Sydney, Dept Media &amp; Commun, Room N233,John Woolley Bldg A20,Manning Rd, Sydney, NSW 2006, Australia.</t>
  </si>
  <si>
    <t>jonathon.hutchinson@sydney.edu.au</t>
  </si>
  <si>
    <t>Hutchinson, Jonathon/P-7182-2017</t>
  </si>
  <si>
    <t>Hutchinson, Jonathon/0000-0001-7349-1662</t>
  </si>
  <si>
    <t>Sydney Social Science and Humanities Advanced Research Centre (SSSHARC) under the Launch Fellowship Scheme</t>
  </si>
  <si>
    <t>This research was made possible by funding from the Sydney Social Science and Humanities Advanced Research Centre (SSSHARC) under the Launch Fellowship Scheme.</t>
  </si>
  <si>
    <t>10.1080/1369118X.2019.1629612</t>
  </si>
  <si>
    <t>ZV7EK</t>
  </si>
  <si>
    <t>WOS:000770688600001</t>
  </si>
  <si>
    <t>Abou Haidar, L</t>
  </si>
  <si>
    <t>Abou Haidar, Laura</t>
  </si>
  <si>
    <t>Speech in a digital era: teaching and learning differently?</t>
  </si>
  <si>
    <t>ALSIC-APPRENTISSAGE DES LANGUES ET SYSTEMS D INFORMATION ET DE COMMUNICATION</t>
  </si>
  <si>
    <t>oral; FFL; phonetics; ICT</t>
  </si>
  <si>
    <t>This contribution focuses on the way in which digital technology induces transformations in the way speech is considered and (re)defined, as well as in the way it is taught and learned. We will recall the dimensions that are most impacted by digital technology, compared to a language teaching/learning device based on face-to-face teaching: temporality, modes of interaction and their rituals, the management of plurisensoriality and multimodality, which have to be adapted to the digital devices that are been used. Nevertheless, digital technology can be a real opportunity for speech. The multiplicity of digital resources can multiply the benefits of the language laboratory since the smartphone or the computer can potentially be transformed into an individual language booth; in particular, digital technology allows for particularly targeted, individualized and intensive work, on listening (identifying, discriminating, comparing, understanding, etc.) or on production (with increasingly widespread software such as Audacity), which makes it possible to increase the learners' perception and production abilities. This is also in line with the reinforcement of the learner's autonomy and the diversification of learning strategies. Digital technology makes it possible to integrate the gestural and kinetic dimension, and to see/hear a multiplicity of resources of great wealth. The rise of oral corpora for didactic purposes, and the creative dynamics observed on the web, show, should that be necessary, that the time when phonetics was called as the poor relation of didactics is well and truly over.</t>
  </si>
  <si>
    <t>[Abou Haidar, Laura] Univ Grenoble Alpes, Lab Linguist &amp; Didact Langues Etrangeres &amp; Matern, Batiment Stendhal,CS 40700, F-38058 Grenoble 9, France</t>
  </si>
  <si>
    <t>Communaute Universite Grenoble Alpes; UDICE-French Research Universities; Universite Grenoble Alpes (UGA)</t>
  </si>
  <si>
    <t>Abou Haidar, L (corresponding author), Univ Grenoble Alpes, Lab Linguist &amp; Didact Langues Etrangeres &amp; Matern, Batiment Stendhal,CS 40700, F-38058 Grenoble 9, France.</t>
  </si>
  <si>
    <t>Laura.Abou-Haidar@univ-grenoble-alpes.fr</t>
  </si>
  <si>
    <t>ADALSIC</t>
  </si>
  <si>
    <t>STRASBOURG</t>
  </si>
  <si>
    <t>22 RUE DESCARTES, STRASBOURG, 67084, FRANCE</t>
  </si>
  <si>
    <t>1286-4986</t>
  </si>
  <si>
    <t>ALSIC-APPRENTISS LAN</t>
  </si>
  <si>
    <t>ALSIC-Apprentiss. Langues Syst. Inf. Commun.</t>
  </si>
  <si>
    <t>10.4000/alsic.5739</t>
  </si>
  <si>
    <t>YK0ZV</t>
  </si>
  <si>
    <t>WOS:000744952700005</t>
  </si>
  <si>
    <t>Lopez, CA; Castillo, LF; Corchado, JM</t>
  </si>
  <si>
    <t>Alberto Lopez, Carlos; Fernando Castillo, Luis; Corchado, Juan M.</t>
  </si>
  <si>
    <t>Discovering the Value Creation System in IoT Ecosystems</t>
  </si>
  <si>
    <t>value creation; IoT ecosystem; value offer; system dynamics; value capture; business model</t>
  </si>
  <si>
    <t>Internet of Things (IoT) should not be seen only as a cost reduction mechanism for manufacturing companies; instead, it should be seen as the basis for transition to a new business model that monetizes the data from an intelligent ecosystem. In this regard, deciphering the operation of the value creation system and finding the balance between the digital strategy and the deployment of technological platforms, are the main motivations behind this research. To achieve the proposed objectives, systems theory has been adopted in the conceptualization stage, later, fuzzy logic has been used to structure a subsystem for the evaluation of input parameters. Subsequently, system dynamics have been used to build a computational representation and later, through dynamic simulation, the model has been adjusted according to iterations and the identified limits of the system. Finally, with the obtained set of results, different value creation and capture behaviors have been identified. The simulation model, based on the conceptualization of the system and the mathematical representation of the value function, allows to establish a frame of reference for the evaluation of the behaviour of IoT ecosystems in the context of the connected home.</t>
  </si>
  <si>
    <t>[Alberto Lopez, Carlos; Fernando Castillo, Luis] Univ Nacl Colombia, Fac Ingn &amp; Arquitectura, Ind Engn Dept, Manizales 170003, Caldas, Colombia; [Fernando Castillo, Luis] Univ Caldas, Fac Ingn, Dept Sistemas &amp; Informat, Grp Invest Inteligencia Artificial, Manizales 170004, Caldas, Colombia; [Fernando Castillo, Luis] Univ Autonoma Manizales, Doctorado Ciencias Cognit, Dept Ciencias Computac, Manizales 170001, Caldas, Colombia; [Fernando Castillo, Luis; Corchado, Juan M.] Air Inst, IoT Digital Innovat Hub, Salamanca 37188, Spain; [Corchado, Juan M.] Univ Salamanca, Bisite Res Grp, Salamanca 37007, Spain; [Corchado, Juan M.] Osaka Inst Technol, Fac Engn, Dept Elect Informat &amp; Commun, Osaka 5358585, Japan; [Corchado, Juan M.] Univ Malaysia Kelantan, Pusat Komputeran Dan Informat, Kota Baharu 16100, Kelantan, Malaysia</t>
  </si>
  <si>
    <t>Universidad Nacional de Colombia; Universidad de Caldas; Universidad Autonoma de Manizales; University of Salamanca; Osaka Institute of Technology; Universiti Malaysia Kelantan</t>
  </si>
  <si>
    <t>Castillo, LF (corresponding author), Univ Nacl Colombia, Fac Ingn &amp; Arquitectura, Ind Engn Dept, Manizales 170003, Caldas, Colombia.;Castillo, LF (corresponding author), Univ Caldas, Fac Ingn, Dept Sistemas &amp; Informat, Grp Invest Inteligencia Artificial, Manizales 170004, Caldas, Colombia.;Castillo, LF (corresponding author), Univ Autonoma Manizales, Doctorado Ciencias Cognit, Dept Ciencias Computac, Manizales 170001, Caldas, Colombia.;Castillo, LF (corresponding author), Air Inst, IoT Digital Innovat Hub, Salamanca 37188, Spain.</t>
  </si>
  <si>
    <t>caralopezcas@unal.edu.co; lfcastilloos@unal.edu.co; corchado@usal.es</t>
  </si>
  <si>
    <t>Corchado Rodríguez, Juan/D-3229-2013</t>
  </si>
  <si>
    <t>Corchado Rodríguez, Juan/0000-0002-2829-1829; LOPEZ CASTANO, CARLOS ALBERTO/0000-0001-8764-7496; Castillo Ossa, Luis Fernando/0000-0002-2878-8229</t>
  </si>
  <si>
    <t>10.3390/s21020328</t>
  </si>
  <si>
    <t>PX9ZV</t>
  </si>
  <si>
    <t>WOS:000611710900001</t>
  </si>
  <si>
    <t>Alterazi, HA</t>
  </si>
  <si>
    <t>Alterazi, Hassan A.</t>
  </si>
  <si>
    <t>Towards Reaping the Promotions of Big Data in Healthcare Services</t>
  </si>
  <si>
    <t>INTERNATIONAL TRANSACTION JOURNAL OF ENGINEERING MANAGEMENT &amp; APPLIED SCIENCES &amp; TECHNOLOGIES</t>
  </si>
  <si>
    <t>mHealth; eHealth; Clinical data analytics; Big data in healthcare; IoT in health service; Digitalization of healthcare; Medical care; Electronic health record; Intelligent medical care system; Healthcare data</t>
  </si>
  <si>
    <t>Nowadays, the world's attention is turned into big data technology deployment in the healthcare industry to handle the enormous collections of heterogeneous health care datasets like sensor health data and electronics health records. The nature of medical data is increasing in verity and its volume due to the commoditization of digital strategies like wireless sensors and mobile phones. The current medical industry requires a renovation of traditional medical care hardware and software patterns, which are not equipped to deal with the diversity and volume of the modern clinical data must be augmented with innovative big data analysis and computing capabilities. For the research investigators, there is an opportunity in clinical data analytics to learn this gigantic amount of information. . Recently big data has become an inimitable and favorite research domain in the field of computer science. Numerous open research obstacles are available in healthcare big data analysis and optimal solutions have also been projected by the researchers for enhancement of many innovative approaches and techniques for dealing with medical care data to obtain better solutions. For research investigators, there is an occasion in medical care data and provide a better solution for enhancing healthcare, thereby minimizing costs, democratizing healthiness access, and preventing the life of the human being. In this study of the article, the comprehensive survey of various big data healthcare diagnostics is described with an assortment of big data techniques and tools that might be deployed through cloud, wireless, and Internet of Things settings. (C) 2021 INT TRANS J ENG MANAG SCI TECH.</t>
  </si>
  <si>
    <t>[Alterazi, Hassan A.] King Abdulaziz Univ, Fac Comp &amp; Informat Technol, Jeddah, Saudi Arabia</t>
  </si>
  <si>
    <t>Alterazi, HA (corresponding author), King Abdulaziz Univ, Fac Comp &amp; Informat Technol, Jeddah, Saudi Arabia.</t>
  </si>
  <si>
    <t>haalterazi@kau.edu.sa</t>
  </si>
  <si>
    <t>Alterazi, Hassan Abdullah/AAT-5978-2021</t>
  </si>
  <si>
    <t>Alterazi, Hassan Abdullah/0000-0003-0137-9422</t>
  </si>
  <si>
    <t>TUENGR GROUP</t>
  </si>
  <si>
    <t>PATHUMTAN</t>
  </si>
  <si>
    <t>88-244 MOO 3 KLONG NO 2 KLONG-LUANG, PATHUMTAN, 12120, THAILAND</t>
  </si>
  <si>
    <t>2228-9860</t>
  </si>
  <si>
    <t>1906-9642</t>
  </si>
  <si>
    <t>INT TRANS J ENG MANA</t>
  </si>
  <si>
    <t>Int. Trans. J. Eng. Manag. Appl. Sci. Technol.</t>
  </si>
  <si>
    <t>12A5G</t>
  </si>
  <si>
    <t>10.14456/ITJEMAST.2021.91</t>
  </si>
  <si>
    <t>SF0YL</t>
  </si>
  <si>
    <t>WOS:000652490100007</t>
  </si>
  <si>
    <t>Arayesh, MB; Rezaeirad, M; Aidi, M; Lamoki, TG</t>
  </si>
  <si>
    <t>Arayesh, Mohammad Bagher; Rezaeirad, Mostafa; Aidi, Mohammad; Lamoki, Tohfeh Ghobadi</t>
  </si>
  <si>
    <t>Thematic analysis on a model of implementation of open and technological banking in commercial banks in Iran</t>
  </si>
  <si>
    <t>Open Banking; Thematic Analysis; Implementation; Commercial Banks of Iran</t>
  </si>
  <si>
    <t>The purpose of this study was the thematic analysis on a model of implementation of open and technological banking in commercial banks in Iran. It is an applied study; in terms of method, qualitative; And in terms of research philosophy, it is a kind of interpretive research. To analyze the data from the semi-structured interviews, a thematic analysis was used. The population of this study included 20 knowledgeable people (experts in banking and university professors in the field of open banking, as well as appropriate texts for the extraction of indicators). In this investigation a snowball approach was used to select samples. As a standard for the end of sampling, the thematic saturation method is used. The topics were obtained using the two sources of theoretical literature and semi-structured interviews. The result of the qualitative data analysis led to the identification of 25 basic issues, 6 organizational issues and finally 4 contextual issues including productivity and digital governance in the shadow of knowledge, alliances with competing partners, customer experience management, digital strategic management of economic and customer management, and reform of banking processes, all presented in the form of a model. Finally, suggestions were made in this area based on the results.</t>
  </si>
  <si>
    <t>[Arayesh, Mohammad Bagher] Islamic Azad Univ, Hamedan Branch, Business Management, Hamadan, Hamadan, Iran; [Rezaeirad, Mostafa] Univ Hamedan, Fac Humanities, Hamadan, Hamadan, Iran; [Aidi, Mohammad] Univ Ilam, Fac Humanities, Ilam, Iran; [Lamoki, Tohfeh Ghobadi] Islamic Azad Univ, Fac Humanities, Hamedan Branch, Hamadan, Hamadan, Iran</t>
  </si>
  <si>
    <t>Arayesh, MB (corresponding author), Islamic Azad Univ, Hamedan Branch, Business Management, Hamadan, Hamadan, Iran.</t>
  </si>
  <si>
    <t>arayesh.b@gmail.com; m.rezaeirad@basu.ac.ir; M.aidi@ilam.ac.ir; t_ghobadi@yahoo.com</t>
  </si>
  <si>
    <t>JAN-APR</t>
  </si>
  <si>
    <t>10.46925//rdluz.32.25</t>
  </si>
  <si>
    <t>QR6YK</t>
  </si>
  <si>
    <t>WOS:000625361900025</t>
  </si>
  <si>
    <t>Atencio, P; Sánchez-Torres, G; Palomino, RI; Bedoya, JWB; Burgos, D</t>
  </si>
  <si>
    <t>Atencio, Pedro; Sanchez-Torres, German; Palomino, Rene Iral; Bedoya, John W. Branch; Burgos, Daniel</t>
  </si>
  <si>
    <t>Conceptual architecture of the epidemiological surveillance technology platform for COVID-19</t>
  </si>
  <si>
    <t>CAMPUS VIRTUALES</t>
  </si>
  <si>
    <t>COVID-19; Artificial intelligence; Data analytics; Digital transformation</t>
  </si>
  <si>
    <t>DIGITAL TRANSFORMATION</t>
  </si>
  <si>
    <t>Since SARS-CoV-2 is likely to become endemic in many countries, it will require not only short-term support but also long-term support, as social distancing policies cannot be extended for long. Therefore, a technological platform for epidemiological surveillance can represent a fundamental tool. The impact of the project is essential for public health actors to design and evaluate policies aimed at the safe reactivation of social activities after social distancing policies are suspended. We also consider this software service as a basic piece in the Digital Transformation strategy, since it allows us to anticipate the behaviors and necessary resources that adapt the needs with the provision in a dynamic way, but adjusted to reality. This anticipation approach becomes a pillar in the digital strategy of any company, Administration and education center. The tool includes a mechanism based on Artificial Intelligence for data analysis in order to have a dynamic understanding of symptoms, evolution, social space-time data and the relationships between them, which will allow the relevant entities to optimize resources such as virus detection tests and positive test controls.</t>
  </si>
  <si>
    <t>[Atencio, Pedro] Inst Tecnol Metropolitano, Medellin, Colombia; [Sanchez-Torres, German] Univ Magdalena, Magdalena, Colombia; [Palomino, Rene Iral; Bedoya, John W. Branch] Univ Nacl Colombia, Sede Medellin, Medellin, Colombia; [Burgos, Daniel] Univ Int La Rioja UNIR, Logrono, Spain</t>
  </si>
  <si>
    <t>Universidad del Magdalena; Universidad Nacional de Colombia; Universidad Internacional de La Rioja (UNIR)</t>
  </si>
  <si>
    <t>Atencio, P (corresponding author), Inst Tecnol Metropolitano, Medellin, Colombia.</t>
  </si>
  <si>
    <t>pedroatencio@itm.edu.co; gsanchez@unimagdalena.edu.co; riral@unal.edu.co; jwbranch@unal.edu.co; daniel.burgos@unir.net</t>
  </si>
  <si>
    <t>RED UNIV CAMPUS VIRTUALES</t>
  </si>
  <si>
    <t>HUELVA</t>
  </si>
  <si>
    <t>AVENIDA DE MARZO, HUELVA, 21071, SPAIN</t>
  </si>
  <si>
    <t>2255-1514</t>
  </si>
  <si>
    <t>Campus Virtuales</t>
  </si>
  <si>
    <t>QB8UZ</t>
  </si>
  <si>
    <t>WOS:000614413700002</t>
  </si>
  <si>
    <t>Lopera-Zuluaga, EC; Marín-Ochoa, BE; García-Franco, LL</t>
  </si>
  <si>
    <t>Camilo Lopera-Zuluaga, Edwar; Elena Marin-Ochoa, Beatriz; Luveny Garcia-Franco, Lady</t>
  </si>
  <si>
    <t>Digital learnings built with children in situation of school socioeconomic segregation</t>
  </si>
  <si>
    <t>REVISTA IBEROAMERICANA DE EDUCACION</t>
  </si>
  <si>
    <t>Disadvantaged schools; elementary school students; learning strategies; action research; teacher researcher; technology education</t>
  </si>
  <si>
    <t>EDUCATION; STUDENTS; CHOICE</t>
  </si>
  <si>
    <t>We, teachers in Latin America, live between the potential of digital school and, at the same time, the actual situation of school socioeconomic segregation of our students. Therefore, we ask: how to build digital learning despite the situation of socioeconomic school segregation? When defining itself, what learning can boys and girls build? Both, a teacher researcher and 71 girls and boys between 9-13 years old, built an action research that consisted of the use of a digital strategy in computational thinking, in addition, the execution of class workshops, focus groups and a family recovery of the lived experience to capitalize built learning. We used a qualitative analysis assisted by the Atlas ti software -version 8-. We grounded on data eight learnings built by girls and boys: spontaneous learning; to censor content; to teach the family; to identify their own learning; to belong to online communities; to know how to play; feelings about learning; and, school usefulness of technology. Finally, we discuss the findings within the research background, its methodological and practical implications.</t>
  </si>
  <si>
    <t>[Camilo Lopera-Zuluaga, Edwar; Elena Marin-Ochoa, Beatriz] Univ Pontificia Bolivariana UPB, Medellin, Colombia; [Luveny Garcia-Franco, Lady] Secretaria Educ Bello, Bello, Colombia</t>
  </si>
  <si>
    <t>Lopera-Zuluaga, EC (corresponding author), Univ Pontificia Bolivariana UPB, Medellin, Colombia.</t>
  </si>
  <si>
    <t>ORGANIZACION ESTADOS IBEROAMERICANOS EDUCACION CIENCIA &amp; CULTURA-OEI</t>
  </si>
  <si>
    <t>BRAVO MURILLO 38, MADRID, 28015, SPAIN</t>
  </si>
  <si>
    <t>1022-6508</t>
  </si>
  <si>
    <t>1681-5653</t>
  </si>
  <si>
    <t>REV IBEROAM EDUC</t>
  </si>
  <si>
    <t>Rev. Iberoam. Educ.</t>
  </si>
  <si>
    <t>10.35362/rie8514100</t>
  </si>
  <si>
    <t>PU9RS</t>
  </si>
  <si>
    <t>WOS:000609636000009</t>
  </si>
  <si>
    <t>Dold, L; Speck, C</t>
  </si>
  <si>
    <t>Dold, L.; Speck, C.</t>
  </si>
  <si>
    <t>Resolving the productivity paradox of digitalised production</t>
  </si>
  <si>
    <t>INTERNATIONAL JOURNAL OF PRODUCTION MANAGEMENT AND ENGINEERING</t>
  </si>
  <si>
    <t>digitalised production; digital transformation; industry 4.0; Industrie 4.0; value creation; value capture; manufacturing strategy</t>
  </si>
  <si>
    <t>BUSINESS MODEL; TECHNOLOGY; OEE; FUTURE; IMPACT</t>
  </si>
  <si>
    <t>Although Industry 4.0 and other initiatives predict widespread adoption of digitalised technology on the factory floor, few companies use new digitalised production technology holistically in their ecosystems; in practical implementation, companies often decide against digitalisation for financial reasons. This is due to a paradox (akin to the so called productivity paradox) caused by the complexity of value creation and value delivery within digitalised production. This article analyses and synthesises cross-disciplinary research using a grounded theory model, thus offering valuable insights for businesses considering investing in digitalised production. A qualitative model and an associated toolbox (complete with tools for practical application by business leaders and decision-makers) are presented to address organisational uncertainty and leadership disconnect that often contribute to the paradoxical gap between digital strategy and operational implementation.</t>
  </si>
  <si>
    <t>[Dold, L.] Middlesex Univ, London NW4 4BT, England; [Speck, C.] Kalaidos Fachhsch, Dept Wirtschaft, Jungholzstr 43, CH-8050 Zurich, Switzerland</t>
  </si>
  <si>
    <t>Middlesex University</t>
  </si>
  <si>
    <t>Dold, L (corresponding author), Middlesex Univ, London NW4 4BT, England.</t>
  </si>
  <si>
    <t>Luciandokl@aol.com</t>
  </si>
  <si>
    <t>Dold, Lucian/0000-0002-6544-859X</t>
  </si>
  <si>
    <t>UNIV POLITECNICA VALENCIA, EDITORIAL UPV</t>
  </si>
  <si>
    <t>CAMINO VERA S-N, VALENCIA, 46022, SPAIN</t>
  </si>
  <si>
    <t>2340-5317</t>
  </si>
  <si>
    <t>2340-4876</t>
  </si>
  <si>
    <t>INT J PROD MANAG ENG</t>
  </si>
  <si>
    <t>Int. J. Prod. Manag. Engineering</t>
  </si>
  <si>
    <t>10.4995/ijpme.2021.15058</t>
  </si>
  <si>
    <t>TR1EO</t>
  </si>
  <si>
    <t>WOS:000678715200001</t>
  </si>
  <si>
    <t>Vila, TD; González, EA; Vila, NA; Brea, JAF</t>
  </si>
  <si>
    <t>Dominguez Vila, Trinidad; Alen Gonzalez, Elisa; Araujo Vila, Noelia; Fraiz Brea, Jose Antonio</t>
  </si>
  <si>
    <t>Indicators of Website Features in the User Experience of E-Tourism Search and Metasearch Engines</t>
  </si>
  <si>
    <t>JOURNAL OF THEORETICAL AND APPLIED ELECTRONIC COMMERCE RESEARCH</t>
  </si>
  <si>
    <t>User experience; E-commerce; Tourism search and metasearch engines; GAM</t>
  </si>
  <si>
    <t>E-SERVICE QUALITY; E-COMMERCE; PURCHASE INTENTIONS; INFORMATION SEARCH; WEB SITES; ONLINE; TECHNOLOGY; ACCEPTANCE; MANAGEMENT; DESIGN</t>
  </si>
  <si>
    <t>The continuous growth of e-commerce, combined with new trends in the tourism sector, creates an imperative to conduct analyses and establish suitable models for improving the experience of users who seek tourism products online, using search and metasearch engines. However, few studies analyze web design variables and their impacts on the user experience. Therefore, the present study aims to investigate the influence of content, usability, functionality, and branding for determining user experiences with search engines and metasearch engines dedicated to tourism. The methodology used in this research followed a mixed approach to fulfill the proposed dual perspective, that is, to collect data from websites and evaluate the user experience. To determine the variables to be modeled, the authors use a General Additive Model. Main results reveal two determinant factors that enhance the user experience: usability and branding. With this foundation, this study proposes basic premises of the digital strategy that tourism platforms should follow. As implications for the tourism sector, suggest that e-commerce search and metasearch engines in the tourism industry should devote substantial efforts to implementing interactivity, memorability, personalization, privacy, and security.</t>
  </si>
  <si>
    <t>[Dominguez Vila, Trinidad; Alen Gonzalez, Elisa; Araujo Vila, Noelia; Fraiz Brea, Jose Antonio] Univ Vigo, Fac Business Sci &amp; Tourism, Orense, Spain</t>
  </si>
  <si>
    <t>Universidade de Vigo</t>
  </si>
  <si>
    <t>Vila, TD (corresponding author), Univ Vigo, Fac Business Sci &amp; Tourism, Orense, Spain.</t>
  </si>
  <si>
    <t>trinidad@uvigo.es; alen@uvigo.es; naraujo@uvigo.es; jafraiz@uvigo.es</t>
  </si>
  <si>
    <t>FRAIZ BREA, JOSE ANTONIO/G-4431-2015; Alen, Elisa/K-6037-2014</t>
  </si>
  <si>
    <t>FRAIZ BREA, JOSE ANTONIO/0000-0002-3190-6492; Alen, Elisa/0000-0002-6304-7805</t>
  </si>
  <si>
    <t>0718-1876</t>
  </si>
  <si>
    <t>J THEOR APPL EL COMM</t>
  </si>
  <si>
    <t>J. Theor. Appl. Electron. Commer. Res.</t>
  </si>
  <si>
    <t>10.4067/S0718-18762021000100103</t>
  </si>
  <si>
    <t>LS5VJ</t>
  </si>
  <si>
    <t>WOS:000536451200003</t>
  </si>
  <si>
    <t>Escoffier, N; McKelvey, B</t>
  </si>
  <si>
    <t>McKelvey, B</t>
  </si>
  <si>
    <t>Escoffier, Nadine; McKelvey, Bill</t>
  </si>
  <si>
    <t>Using Crowd wisdom via crowdsourcing Proof of concept of an efficient digital strategy in the age of digital business complexity</t>
  </si>
  <si>
    <t>MANAGEMENT IN THE AGE OF DIGITAL BUSINESS COMPLEXITY</t>
  </si>
  <si>
    <t>Routledge Studies in Innovation Organization and Technology</t>
  </si>
  <si>
    <t>SOCIAL-INFLUENCE; USERS; PREDICTORS; MARKETS; SUCCESS; VALUES</t>
  </si>
  <si>
    <t>[McKelvey, Bill] Univ Calif Los Angeles UCLA, Anderson Sch Management, Strateg Organizing &amp; Complex Sci, Los Angeles, CA 90095 USA; [McKelvey, Bill] Ctr Rescuing Strategy &amp; Org Sci SOS, Los Angeles, CA 90095 USA</t>
  </si>
  <si>
    <t>University of California System; University of California Los Angeles</t>
  </si>
  <si>
    <t>McKelvey, B (corresponding author), Univ Calif Los Angeles UCLA, Anderson Sch Management, Strateg Organizing &amp; Complex Sci, Los Angeles, CA 90095 USA.;McKelvey, B (corresponding author), Ctr Rescuing Strategy &amp; Org Sci SOS, Los Angeles, CA 90095 USA.</t>
  </si>
  <si>
    <t>978-1-032-01172-1; 978-0-429-27821-1; 978-0-367-23074-6</t>
  </si>
  <si>
    <t>ROUT STUD INNOV ORG</t>
  </si>
  <si>
    <t>BU1GB</t>
  </si>
  <si>
    <t>WOS:000877485500008</t>
  </si>
  <si>
    <t>Miravete, ADF; Espinosa, MPP</t>
  </si>
  <si>
    <t>Fernandez Miravete, Angel David; Prendes Espinosa, Maria Paz</t>
  </si>
  <si>
    <t>Analysis of the digitization process of a Secondary School from the DigCompOrg model</t>
  </si>
  <si>
    <t>REVISTA LATINOAMERICANA DE TECNOLOGIA EDUCATIVA-RELATEC</t>
  </si>
  <si>
    <t>Digital Competence; Digital Culture; Secondary Education; Educational Organization; Technology Of The Information And Communication</t>
  </si>
  <si>
    <t>DIGITAL COMPETENCE; INFORMATION; EDUCATION; LITERACY; REGION</t>
  </si>
  <si>
    <t>The achievement of digital competence among students has become a main objective within Spanish educational policies in recent decades. In this regard, the European Framework for Digitally Competent Educational Organizations (DigCompOrg) guides schools in their digitization process in a systematic way. This research evaluates the degree of development of the use of learning technologies in a secondary school in the Region of Murcia (case study) according to the dimensions contemplated in the European model. The research design is based on the ADDIE model and chooses a mixed methodology in which quantitative (SELFIE questionnaire) and qualitative (discussion group) techniques are applied. The results presented here collect the analysis of the qualitative information on secondary school students, teachers and school leaders. This first stage of detection of needs has allowed the center to establish a self-reflection and selfevaluation process on its digitization process, as well as the proposal of actions and improvement strategies that reinforce its commitment to digital pedagogies. Among them is the development of a digital strategy for the center, establishing progress evaluation mechanisms or working with digital learning technologies that promote self-evaluation and co-evaluation, all of which are related to the leadership dimensions and evaluative practices of the European model.</t>
  </si>
  <si>
    <t>[Fernandez Miravete, Angel David; Prendes Espinosa, Maria Paz] Dept Didact &amp; Org Escolar, Fac Educ, Campus Espinardo, Murcia 30100, Spain</t>
  </si>
  <si>
    <t>Miravete, ADF (corresponding author), Dept Didact &amp; Org Escolar, Fac Educ, Campus Espinardo, Murcia 30100, Spain.</t>
  </si>
  <si>
    <t>angeldavid.fernandez@um.es; pazprend@um.es</t>
  </si>
  <si>
    <t>Prendes-Espinosa, Paz/B-3887-2014</t>
  </si>
  <si>
    <t>Prendes-Espinosa, Paz/0000-0001-8375-5983</t>
  </si>
  <si>
    <t>UNIV EXTREMADURA, FAC EDUCACION</t>
  </si>
  <si>
    <t>BADAJOZ</t>
  </si>
  <si>
    <t>AV ELVAS S-N, BADAJOZ, 06071, SPAIN</t>
  </si>
  <si>
    <t>1695-288X</t>
  </si>
  <si>
    <t>REV LATINOAM TECNOL</t>
  </si>
  <si>
    <t>Rev. Latinoam. Tecnol. Educ.-RELATEC</t>
  </si>
  <si>
    <t>10.17398/1695-288X.20.1.9</t>
  </si>
  <si>
    <t>TB1UK</t>
  </si>
  <si>
    <t>WOS:000667730000001</t>
  </si>
  <si>
    <t>Fernández-Peña, E; Ramajo-Hernández, N</t>
  </si>
  <si>
    <t>Fernandez-Pena, Emilio; Ramajo-Hernandez, Natividad</t>
  </si>
  <si>
    <t>Olympic Channel: Digital strategy and content</t>
  </si>
  <si>
    <t>JOURNAL OF HUMAN SPORT AND EXERCISE</t>
  </si>
  <si>
    <t>International Olympic Committee; Olympics; IOC; Digital content; Television; Social media; Millennials</t>
  </si>
  <si>
    <t>This work deals with the Olympic Channel's digital strategy in the context of the historical relationship between the media and the Olympic Games. Olympic Channel is a channel with a holistic vision, from the point of view of its integral modalities of diffusion and dissemination and from the perspective of alliances for its launch at the global and local level. It constitutes the culmination of various attempts to create a channel with the same characteristics since the second half of the 90s. The current individualistic mass media reward communicative ubiquity, the constant presence in different media: linear television, television platforms of payment, YouTube or social networks. Repetition, insistence, constitute the basis for conditioning the agenda setting, proposing the issues that are on people's minds, or about which the public is talking, and dominating the economy of attention.</t>
  </si>
  <si>
    <t>[Fernandez-Pena, Emilio; Ramajo-Hernandez, Natividad] Autonomous Univ Barcelona, Sport Res Inst, Bellaterra, Spain</t>
  </si>
  <si>
    <t>Fernández-Peña, E (corresponding author), Autonomous Univ Barcelona, Sport Res Inst, Bellaterra, Spain.</t>
  </si>
  <si>
    <t>Emilio.fernandez@uab.cat</t>
  </si>
  <si>
    <t>UNIV ALICANTE</t>
  </si>
  <si>
    <t>ALICANTE</t>
  </si>
  <si>
    <t>APARTADO DE CORREOS 99, ALICANTE, 3080, SPAIN</t>
  </si>
  <si>
    <t>1988-5202</t>
  </si>
  <si>
    <t>J HUM SPORT EXERC</t>
  </si>
  <si>
    <t>J. Hum. Sport Exerc.</t>
  </si>
  <si>
    <t>S</t>
  </si>
  <si>
    <t>S1</t>
  </si>
  <si>
    <t>S13</t>
  </si>
  <si>
    <t>10.14198/jhse.2021.16.Proc1.01</t>
  </si>
  <si>
    <t>Sport Sciences</t>
  </si>
  <si>
    <t>TU8TF</t>
  </si>
  <si>
    <t>WOS:000681302800001</t>
  </si>
  <si>
    <t>Gallardo-Rincón, H; Montoya, A; Saucedo-Martínez, R; Mújica-Rosales, R; Suárez-Idueta, L; Martínez-Juárez, LA; Razo, C; Lozano, R; Tapia-Conyer, R</t>
  </si>
  <si>
    <t>Gallardo-Rincon, Hector; Montoya, Alejandra; Saucedo-Martinez, Rodrigo; Mujica-Rosales, Ricardo; Suarez-Idueta, Lorena; Alberto Martinez-Juarez, Luis; Razo, Christian; Lozano, Rafael; Tapia-Conyer, Roberto</t>
  </si>
  <si>
    <t>Integrated Measurement for Early Detection (MIDO) as a digital strategy for timely assessment of non-communicable disease profiles and factors associated with unawareness and control: a retrospective observational study in primary healthcare facilities in Mexico</t>
  </si>
  <si>
    <t>diabetes &amp; endocrinology; health services administration &amp; management; preventive medicine; public health</t>
  </si>
  <si>
    <t>COST-EFFECTIVENESS; DIABETES-MELLITUS; EARLY-DIAGNOSIS; PREVALENCE; PREVENTION; ADULTS; RISK; HYPERTENSION; OBESITY; COMORBIDITIES</t>
  </si>
  <si>
    <t>Objectives The Carlos Slim Foundation implemented the Integrated Measurement for Early Detection (MIDO), a screening strategy for non-communicable diseases (NCDs) in Mexico as part of CASALUD, a portfolio of digital health services focusing on healthcare delivery and prevention/management of NCDs. We investigated the disease profile of the screened population and evaluated MIDO's contribution to the continuum of care of the main NCDs. Design Using data from MIDO and the chronic diseases information system, we quantified the proportion of the population screened and diagnosed with NCDs, and measured care linkage/retention and level of control achieved. We analysed comorbidity patterns and estimated prevalence of predisease stages. Finally, we estimated characteristics associated with unawareness and control of NCDs, and examined efficacy of the CASALUD model in improving NCD control. Setting Public primary health centres in 27/32 Mexican states. Participants Individuals aged &gt;= 20 years lacking healthcare access. Results From 2014 to 2018, 743 000 individuals were screened using MIDO. A predisease or disease condition was detected in &gt;= 70% of the population who were unaware of their NCD status. The screening identified 38 417 new cases of type 2 diabetes, 53 133 new cases of hypertension and 208 627 individuals with obesity. Dyslipidaemia was found in 77.3% of individuals with available blood samples. Comorbidities were highly prevalent, especially in people with obesity. Only 5.47% (n=17 774) of individuals were linked with their corresponding primary health centre. Factors associated with unawareness of and uncontrolled NCDs were sex, age, and social determinants, for example, rural/urban environment, access to healthcare service, and education level. Patients with type 2 diabetes treated at clinics under the CASALUD model were more likely to achieve disease control (OR: 1.32, 95% CI: 1.09 to 1.61). Conclusion Patient-centred screening strategies such as MIDO are urgently needed to improve screening, access, retention and control for patients with NCDs.</t>
  </si>
  <si>
    <t>[Gallardo-Rincon, Hector] Univ Guadalajara, Hlth Sci Univ Ctr, CUCS UdeG, Guadalajara, Jalisco, Mexico; [Montoya, Alejandra; Saucedo-Martinez, Rodrigo; Mujica-Rosales, Ricardo; Suarez-Idueta, Lorena; Alberto Martinez-Juarez, Luis; Tapia-Conyer, Roberto] Carlos Slim Fdn, Mexico City, DF, Mexico; [Alberto Martinez-Juarez, Luis] London Sch Hyg &amp; Trop Med, London, England; [Razo, Christian; Lozano, Rafael] Univ Washington, Inst Hlth Metr &amp; Evaluat, Seattle, WA 98195 USA; [Tapia-Conyer, Roberto] Univ Nacl Autonoma Mexico, Sch Med, Mexico City, DF, Mexico</t>
  </si>
  <si>
    <t>Universidad de Guadalajara; University of London; London School of Hygiene &amp; Tropical Medicine; Institute for Health Metrics &amp; Evaluation; University of Washington; University of Washington Seattle; Universidad Nacional Autonoma de Mexico</t>
  </si>
  <si>
    <t>Ahmed, Ayisha/HJY-9698-2023; Lozano, Rafael/T-5352-2018</t>
  </si>
  <si>
    <t>Lozano, Rafael/0000-0002-7356-8823; Tapia-Conyer, Roberto/0000-0001-9425-7322; Suarez-Idueta, Lorena/0000-0003-0909-7737; Martinez-Juarez, Luis Alberto/0000-0001-7550-7867; Gallardo-Rincon, Hector Jose/0000-0002-0811-4606</t>
  </si>
  <si>
    <t>The MIDO strategy was developed and funded by the Carlos Slim Foundation; however, the present study did not receive funding from any third party agency, and there is no award or grant number to report.</t>
  </si>
  <si>
    <t>e049836</t>
  </si>
  <si>
    <t>10.1136/bmjopen-2021-049836</t>
  </si>
  <si>
    <t>ZZ9WZ</t>
  </si>
  <si>
    <t>Green Published, gold, Green Accepted</t>
  </si>
  <si>
    <t>WOS:000773615100036</t>
  </si>
  <si>
    <t>García-Martín, I; Ortega-Mohedano, F; Pérez-Peláez, ME</t>
  </si>
  <si>
    <t>Garcia-Martin, Inma; Ortega-Mohedano, Felix; Perez-Pelaez, Maria-Esther</t>
  </si>
  <si>
    <t>Communication and cultural spaces in times of COVID-19</t>
  </si>
  <si>
    <t>VIVAT ACADEMIA</t>
  </si>
  <si>
    <t>COVID-19; Coronavirus; Pandemics; Museums; Social networks; Digital resources; Education</t>
  </si>
  <si>
    <t>COVID-19 has caused the closure of large cultural entities that has impacted on the cultural habits of citizens. Since the start of this Global Pandemic, digital tools have become the great allies of museums to keep in touch with their visitors, strengthening their links and betting on the digitization of content both in direct and delayed format. Analyzing the effectiveness of this digital communication and the habits of use and consumption that characterize museum visitors to readjust and improve museum communication strategies in times of Coronavirus is essential. This is a statistical-descriptive study that presents the results of a questionnaire carried out on 619 visitors from two of the museums with the highest number of visits in Castille and Leon: The Museum of Human Evolution and The Art Nouveau and Art Deco Museum Casa Lis. Among the main results, the increase in the number of visitors who access information through social networks and mobile services stands out, which implies a change in the way they inform themselves, but the need to implement digital strategies to face a crisis like the COVID-19.</t>
  </si>
  <si>
    <t>[Garcia-Martin, Inma] Univ Salamanca, Programa Doctorado Formac Soc Conocimiento, Salamanca, Spain; [Ortega-Mohedano, Felix] Univ Salamanca, Master Comunicac Invest &amp; Innovac, Salamanca, Spain; [Perez-Pelaez, Maria-Esther] Univ Int Valencia, Valencia, Spain</t>
  </si>
  <si>
    <t>University of Salamanca; University of Salamanca; Universidad Internacional de Valencia VIU</t>
  </si>
  <si>
    <t>García-Martín, I (corresponding author), Univ Salamanca, Programa Doctorado Formac Soc Conocimiento, Salamanca, Spain.</t>
  </si>
  <si>
    <t>adagarcia@usal.es; fortega@usal.es; mariaesther.perez@campusviu.es</t>
  </si>
  <si>
    <t>Peláez, María Esther Pérez/AAK-4119-2020; Ortega, Felix/I-6099-2015</t>
  </si>
  <si>
    <t>Peláez, María Esther Pérez/0000-0001-5243-5733; Ortega, Felix/0000-0003-2735-4813</t>
  </si>
  <si>
    <t>1575-2844</t>
  </si>
  <si>
    <t>VIVAT ACAD</t>
  </si>
  <si>
    <t>Vivat Acad.</t>
  </si>
  <si>
    <t>10.15178/va.2021.154.e1261</t>
  </si>
  <si>
    <t>SK5AY</t>
  </si>
  <si>
    <t>WOS:000656229300013</t>
  </si>
  <si>
    <t>Giulierini, P</t>
  </si>
  <si>
    <t>Giulierini, Paolo</t>
  </si>
  <si>
    <t>MANN's DIGITAL STRATEGY</t>
  </si>
  <si>
    <t>SCIRES-IT-SCIENTIFIC RESEARCH AND INFORMATION TECHNOLOGY</t>
  </si>
  <si>
    <t>Digital strategies; digital cultural heritage; museums; gaming</t>
  </si>
  <si>
    <t>INNOVATION; HERITAGE</t>
  </si>
  <si>
    <t>Focus of this paper are the digital strategies of National Archaeological Museum of Naples (MANN- Museo Archeologico Nazionale di Napoli). The contribution also testifies links and joint initiatives with other public institutions, such as schools and universities, but also with private companies in gaming and entertainment. In general it emerges a strategy that may result in a new cultural horizon of true autonomy, helping to regenerate the city from a cultural, economic and social point of view.</t>
  </si>
  <si>
    <t>[Giulierini, Paolo] Natl Archael Museum Naples, Naples, Italy</t>
  </si>
  <si>
    <t>Giulierini, P (corresponding author), Natl Archael Museum Naples, Naples, Italy.</t>
  </si>
  <si>
    <t>CASPUR-CIBER PUBL</t>
  </si>
  <si>
    <t>ROMA</t>
  </si>
  <si>
    <t>CASPUR-CIBER PUBL, ROMA, 00000, ITALY</t>
  </si>
  <si>
    <t>2239-4303</t>
  </si>
  <si>
    <t>SCIRES-IT</t>
  </si>
  <si>
    <t>10.2423/i22394303v11n1p19</t>
  </si>
  <si>
    <t>XT9JL</t>
  </si>
  <si>
    <t>WOS:000733894900003</t>
  </si>
  <si>
    <t>Jung, CM</t>
  </si>
  <si>
    <t>Jung, Chang Mo</t>
  </si>
  <si>
    <t>DRIVERS AND CONSEQUENCES OF BUSINESS-REFERENCE-CONTENT (BRC): THE ROLE OF NARRATIVE TRANSPORTATION IN B2B COMMUNICATION</t>
  </si>
  <si>
    <t>JOURNAL OF BUSINESS ECONOMICS AND MANAGEMENT</t>
  </si>
  <si>
    <t>B2B content marketing; business-reference content; B2B digital-marketing; narrative content; narrative transportation; B2B purchase risk</t>
  </si>
  <si>
    <t>PERCEIVED RISK; CUSTOMER REFERENCES; SOCIAL MEDIA; ADS; METAANALYSIS; STORIES; WORK</t>
  </si>
  <si>
    <t>COVID-19 is bringing changes in B2B sales and marketing strategies. Digital interaction with potential customers has become more critical. Business-reference content (BRC) is the most shared content, mainly using narrative format, available to potential customers through digital touchpoints. Reducing perceived purchasing risk has been recognized as the primary benefit of using BRC, but empirical research on this has been insufficient. Therefore, this research investigated the underlying mechanisms of BRC and related processes that lower risk perception based on narrative transportation theory. For empirical analysis, a serial-parallel mediating model was established in which BRC type (narrative versus non-narrative) influences purchase intention through the mediation of narrative transportation and perceived purchase risks - functional risk and financial risk. In this experimental study, an online survey was conducted in which 233 purchasing managers in Korean companies participated. The analysis confirmed that the BRC type had a significant effect on the level of receivers' narrative transportation. In addition, serial-parallel mediating effects through narrative transportation (primary mediator) and perceived functional risk and perceived financial risk (secondary mediators) were all significant. This research provides meaningful implications in that it broadens the theoretical understanding of BRC by presenting the integrated BRC effect model. Also, it clarifies the importance of narrative BRC in B2B marketing practices.</t>
  </si>
  <si>
    <t>[Jung, Chang Mo] Yonsei Univ, Sch Business Adm, Seoul, South Korea</t>
  </si>
  <si>
    <t>Yonsei University</t>
  </si>
  <si>
    <t>Jung, CM (corresponding author), Yonsei Univ, Sch Business Adm, Seoul, South Korea.</t>
  </si>
  <si>
    <t>2011313041@yonsei.ac.kr</t>
  </si>
  <si>
    <t>Jung, Chang Mo/0000-0003-4684-528X</t>
  </si>
  <si>
    <t>VILNIUS GEDIMINAS TECH UNIV</t>
  </si>
  <si>
    <t>SAULETEKIO AL 11, VILNIUS, LT-10223, LITHUANIA</t>
  </si>
  <si>
    <t>1611-1699</t>
  </si>
  <si>
    <t>2029-4433</t>
  </si>
  <si>
    <t>J BUS ECON MANAG</t>
  </si>
  <si>
    <t>J. Bus. Econ. Manag.</t>
  </si>
  <si>
    <t>10.3846/jbem.2021.15527</t>
  </si>
  <si>
    <t>WH2GJ</t>
  </si>
  <si>
    <t>WOS:000707502900005</t>
  </si>
  <si>
    <t>Krajnovic, A; Raguz, IV; Perkovic, A</t>
  </si>
  <si>
    <t>Krajnovic, Aleksandra; Raguz, Ivona Vrdoljak; Perkovic, Antonija</t>
  </si>
  <si>
    <t>STRATEGIC AND DIGITAL MARKETING IN CULTURAL INSTITUTIONS AND THE IMPACT OF THE COVID-19 PANDEMIC - A COMPARATIVE ANALYSIS OF TWO CASE STUDIES</t>
  </si>
  <si>
    <t>INTERDISCIPLINARY DESCRIPTION OF COMPLEX SYSTEMS</t>
  </si>
  <si>
    <t>COVID-19; coronavirus; digital marketing; non-profit marketing; cultural institutions</t>
  </si>
  <si>
    <t>MUSEUMS</t>
  </si>
  <si>
    <t>This article investigates the impact of the coronavirus pandemic COVID-19 on marketing within cultural institutions, specifically in the field of digital marketing. The aim is to examine how the pandemic has affected digital strategies, marketing communication, and the performance itself - the presentation of cultural programs. The primary research was conducted in Croatia, using the method of semi-structured in-depth interviews with managers in two cultural institutions in Zadar and Dubrovnik at the end of 2020. A qualitative descriptive analysis was performed to answer the question of how cultural institutions have adapted to the crisis, especially when it comes to the marketing and the performance of cultural programs. The results show a certain degree of flexibility in adapting to the new conditions, in a way that marketing communication after the crisis turned more strongly towards digital media and was followed by adjustments to the cultural programs and their performance, as well as the budget for cultural activities. The marketing digital communication played a key role in this, which proves that cultural management in the era of the pandemic adopted the so-called digital-first paradigm, modeled on the for-profit companies. The authors conclude that culture, as a social need and necessity, will continue its activity after the crisis caused by the COVID-19 pandemic, but that it will also function in new and creative ways.</t>
  </si>
  <si>
    <t>[Krajnovic, Aleksandra] Univ Zadar, Dept Econ, Zadar, Croatia; [Raguz, Ivona Vrdoljak] Univ Dubrovn, Dept Econ &amp; Business Econ, Dubrovnik, Croatia; [Perkovic, Antonija] Croatian Natl Theater Zadar, Zadar, Croatia</t>
  </si>
  <si>
    <t>University of Zadar</t>
  </si>
  <si>
    <t>Krajnovic, A (corresponding author), Sveuciliste Zadru, Odjel Ekon, Splitska 1, HR-23000 Zadar, Croatia.</t>
  </si>
  <si>
    <t>akrajnov@unizd.hr</t>
  </si>
  <si>
    <t>CROATIAN INTERDISCIPLINARY SOC</t>
  </si>
  <si>
    <t>SESVETE</t>
  </si>
  <si>
    <t>SIMUNCEVECKA 38B, SESVETE, HR-10360, CROATIA</t>
  </si>
  <si>
    <t>1334-4684</t>
  </si>
  <si>
    <t>1334-4676</t>
  </si>
  <si>
    <t>INTERDISCIP DESCR CO</t>
  </si>
  <si>
    <t>Interdiscip. Descr. Complex Syst.</t>
  </si>
  <si>
    <t>10.7906/indecs.19.2.6</t>
  </si>
  <si>
    <t>TC5DK</t>
  </si>
  <si>
    <t>WOS:000668658800006</t>
  </si>
  <si>
    <t>Limongi, R; Dias, APC; da Silva, ALB; de Oliveira, DS; Freire, OBD</t>
  </si>
  <si>
    <t>Limongi, Ricardo; Candida Dias, Ana Paula; Barbosa da Silva, Andre Luiz; de Oliveira, Denise Santos; de Lamonica Freire, Otavio Bandeira</t>
  </si>
  <si>
    <t>From Off to On in the Wholesale Fashion Market: the Potential of Digital Influencers</t>
  </si>
  <si>
    <t>ADMINISTRACAO-ENSINO E PESQUISA</t>
  </si>
  <si>
    <t>digital influencers; shopping; digital marketing; fashion</t>
  </si>
  <si>
    <t>CELEBRITY ENDORSEMENTS; SOCIAL MEDIA; ATTITUDES; BLOGGERS</t>
  </si>
  <si>
    <t>This teaching case addresses implementing a wholesale fashion mall's online channel that previously had its non-offline marketing strategies. The mall managed the change due to the drop in the store occupancy rate between 2018 and 2019. The mall managers prioritized the marketing team that opted to evolve towards the digital environment, a newsletter for using the digital strategy with digital influencers. Thus, this case's objective is to promote the difficulties in choosing digital influencers and especially concerning the results selected in addition to digital media.</t>
  </si>
  <si>
    <t>[Limongi, Ricardo] Fundacao Getulio Vargas, Mkt, Goiania, Go, Brazil; [Candida Dias, Ana Paula] Pontificia Univ Catolica Goias, Adm, Goiania, Go, Brazil; [Barbosa da Silva, Andre Luiz] Fundacao Getulio Vargas, Adm, Goiania, Go, Brazil; [de Oliveira, Denise Santos] Univ Fed Goias, Adm, Brasilia, DF, Brazil; [de Lamonica Freire, Otavio Bandeira] Univ Sao Paulo, Comuncat, Sao Paulo, SP, Brazil</t>
  </si>
  <si>
    <t>Escola de Pos-Graduacao em Economia (EPGE); Getulio Vargas Foundation; Pontificia Universidade Catolica de Goias; Escola de Pos-Graduacao em Economia (EPGE); Getulio Vargas Foundation; Universidade Federal de Goias; Universidade de Sao Paulo</t>
  </si>
  <si>
    <t>Limongi, R (corresponding author), Fundacao Getulio Vargas, Mkt, Goiania, Go, Brazil.</t>
  </si>
  <si>
    <t>rocardolimongi@ufg.cr; apcdias@gmail.com; andre_luiz_b_silva@hotmail.com; deniseadm@hotmail.com; otfreire@usp.br</t>
  </si>
  <si>
    <t>Freire, Otavio/AAC-6283-2020; Limongi, Ricardo/M-1250-2014</t>
  </si>
  <si>
    <t>Freire, Otavio/0000-0002-9008-4273; Limongi, Ricardo/0000-0003-3231-7515</t>
  </si>
  <si>
    <t>ASSOC NAC CURSOS GRADUACAO &amp; ADMINISTRACAO</t>
  </si>
  <si>
    <t>RIO DE JANEIRO</t>
  </si>
  <si>
    <t>AVE PRESIDENTE VARGAS, 590, GRUPO 1004 CENTRO, RIO DE JANEIRO, 20071-000, BRAZIL</t>
  </si>
  <si>
    <t>2177-6083</t>
  </si>
  <si>
    <t>2358-0917</t>
  </si>
  <si>
    <t>ADMINISTRACAO</t>
  </si>
  <si>
    <t>Administracao</t>
  </si>
  <si>
    <t>10.13058/raep.2021.v22n1.1888</t>
  </si>
  <si>
    <t>SE8YN</t>
  </si>
  <si>
    <t>WOS:000652354900005</t>
  </si>
  <si>
    <t>Barbalho, SCM; Dantas, RD</t>
  </si>
  <si>
    <t>Macedo Barbalho, Sanderson Cesar; Dantas, Rafaela de Faria</t>
  </si>
  <si>
    <t>The effect of islands of improvement on the maturity models for industry 4.0: the implementation of an inventory management system in a beverage factory</t>
  </si>
  <si>
    <t>BRAZILIAN JOURNAL OF OPERATIONS &amp; PRODUCTION MANAGEMENT</t>
  </si>
  <si>
    <t>Article; Proceedings Paper</t>
  </si>
  <si>
    <t>26th International Joint Conference on Industrial Engineering and Operations Management (IJCIECOM)</t>
  </si>
  <si>
    <t>FEB, 2021</t>
  </si>
  <si>
    <t>Pontif Catholic Univ Rio de Janeiro, Rio de Janeiro, BRAZIL</t>
  </si>
  <si>
    <t>Pontif Catholic Univ Rio de Janeiro</t>
  </si>
  <si>
    <t>Industry 4.0; Maturity Model; Logistics; Inventory; Storage Management Systems; RFID</t>
  </si>
  <si>
    <t>READINESS</t>
  </si>
  <si>
    <t>Goal: Industry 4.0 has the main purpose of turning the company into an agile organization and adapting continuously to the market's dynamicity. Thus, to reach this target, the business should be aware of its current readiness level and establish digital strategies to reach higher levels. This research aims to explore how improvements in industry 4.0 can improve companies' business processes. Design / Methodology / Approach: The present study is action research that initially identified the most suitable maturity model in Industry 4.0 in the scientific and practitioner literature. Furthermore, the chosen model was applied to a beverage manufacturer to evaluate its current maturity level. Some Industry 4.0 improvements were implemented on the warehouse as part of the company's digital strategy into which it was integrated the inventory management system with new digital solutions. Finally, interviews were conducted, and data was gathered from company indicators. Results: The action research's conduct revealed its current status and how storage management contributed to its digital transformation process. A phenomenon of islands of improvement is discussed at the end. Limitations of the investigation: Our main limitation is our case study approach. Additionally, more interviews crossing functional areas could bring additional elements about the perception of improvements that each functional group had at the implementation process. Practical implications: The case study suggests that maturity models' applications can generate the phenomena of islands of improvements. Managers must take this situation into account to plan digital transformation in the whole company. Originality / Value: The phenomena of the island of improvement is suggested to be a side effect of implementing industry 4.0 based on maturity models.</t>
  </si>
  <si>
    <t>[Macedo Barbalho, Sanderson Cesar] Univ Brasilia, Technol Coll, Dept Ind Engn, Postgraduat Program Mech Syst, Campus Darcy Ribeiro, Brasilia, DF, Brazil; [Dantas, Rafaela de Faria] Polytechn Univ Milan, Dept Engn Management, Msc Program Ind Management, Campus Masa, Milan, Italy</t>
  </si>
  <si>
    <t>Universidade de Brasilia; Polytechnic University of Milan</t>
  </si>
  <si>
    <t>Barbalho, SCM (corresponding author), Univ Brasilia, Technol Coll, Dept Ind Engn, Postgraduat Program Mech Syst, Campus Darcy Ribeiro, Brasilia, DF, Brazil.</t>
  </si>
  <si>
    <t>sandersoncesar@unb.br</t>
  </si>
  <si>
    <t>Barbalho, Sanderson C. M./H-4113-2015</t>
  </si>
  <si>
    <t>Barbalho, Sanderson C. M./0000-0003-1664-4866</t>
  </si>
  <si>
    <t>ASSOC BRASILEIRA ENGENHARIA PRODUCAO-ABEPRO</t>
  </si>
  <si>
    <t>AV PROF ALMEIDA PRADO 531, 1O ANDAR, SALA 102, SAO PAULO, 05508-900, BRAZIL</t>
  </si>
  <si>
    <t>2237-8960</t>
  </si>
  <si>
    <t>BRAZ J OPER PROD MAN</t>
  </si>
  <si>
    <t>Braz. J. Oper. Prod. Manag.</t>
  </si>
  <si>
    <t>e20211119</t>
  </si>
  <si>
    <t>10.14488/BJOPM.2021.011</t>
  </si>
  <si>
    <t>TM1TF</t>
  </si>
  <si>
    <t>WOS:000675335100005</t>
  </si>
  <si>
    <t>Markaryan, M; Bilyi, D; Yuldashev, S</t>
  </si>
  <si>
    <t>Markaryan, Maryna; Bilyi, Dmytro; Yuldashev, Serghii</t>
  </si>
  <si>
    <t>LEGAL PECULIARITIES OF DIGITALIZATION OF THE ECONOMY IN THE CONTEXT OF THE DEVELOPMENT OF THE INFORMATION SOCIETY IN UKRAINE</t>
  </si>
  <si>
    <t>BALTIC JOURNAL OF ECONOMIC STUDIES</t>
  </si>
  <si>
    <t>digital economy; legal regulation; services; digitalization of business; industry; digital leadership; digital infrastructure; digital skills; digitalization of the country; public policy, etc</t>
  </si>
  <si>
    <t>Digitalization of the economy is a determining factor in the growth of the economy as a whole, including the digital industry itself, as a producer of technology. Digital technologies in many sectors are at the core of production strategies. Their transformative power is changing traditional business models, production chains and processes, and driving new products and services, platforms and innovations. Digital technologies in Ukraine should be available both in terms of organizational and technical access to the relevant digital infrastructures and from the financial and economic point of view, that is, by creating conditions and incentives that will encourage businesses to digitalize. The result of such activities will be the modernization of the economy, its recovery, and increased competitiveness. The digital economy involves the introduction of digital technology in all areas, namely: production, education, medicine, tourism, social sphere. Spheres of life that are modernized with the help of digital technologies become much more efficient and create new value and quality, which very often leads to a complete transformation of the old system (Zhukova). Analysis of recent studies and publications. The problems of develop-ment of the digital economy and the formation of the information society are actively discussed in the domestic scientific literature, in particular in the works of R. Avdeyev, F. Gurov, L. Kit, S. Kolyadenko, D. Makovskyi, I. Malik, N. Meshko, I. Melyukhin, V. Pylypchuk, A. Prokofyev, Ye. Putilova, O. Ryzhenko. The authors substantiate the main conceptual categories and methodological approaches to the definition of the basic components ofthe modern model of socio-economic development and ways of implementing digital economy tools in the economic environment. At the same time, the theoretical understanding and scientific justification of the issues of informatization of society is the subject of scientific discussion by foreign researchers. R. Inclar, R. Cleo, A. Krimes, T. Nibel, J. Wright have made significant contributions to the development and implementation of innovative digital strategies. S. Haller, M. Hague and other scientists. However, many aspects of the impact of the digital economy on the institutional status of the state remain unexplored. That is why it is extremely important for Ukraine in such a difficult period of its development to transform the traditional economy into a modern information and digital economy as soon as possible.</t>
  </si>
  <si>
    <t>[Markaryan, Maryna] State Higher Educ Inst Kyiv Natl Econ Univ, Kiev, Ukraine; [Bilyi, Dmytro] Kyiv Inst Natl Guard Ukraine, Kiev, Ukraine; [Yuldashev, Serghii] Natl Aviat Univ, Kiev, Ukraine</t>
  </si>
  <si>
    <t>Kyiv Institute of the National Guard of Ukraine; Ministry of Education &amp; Science of Ukraine; National Aviation University</t>
  </si>
  <si>
    <t>Markaryan, M (corresponding author), State Higher Educ Inst Kyiv Natl Econ Univ, Kiev, Ukraine.</t>
  </si>
  <si>
    <t>sauliak_marina@ukr.net; OSA71@gmail.com; sergey.yuldashev@gmail.com</t>
  </si>
  <si>
    <t>BALTIC JOURNAL ECONOMIC STUDIES</t>
  </si>
  <si>
    <t>RIGA</t>
  </si>
  <si>
    <t>VALDEKU IELA 62-156, RIGA, LV-1058, LATVIA</t>
  </si>
  <si>
    <t>2256-0742</t>
  </si>
  <si>
    <t>2256-0963</t>
  </si>
  <si>
    <t>BALT J ECON STUD</t>
  </si>
  <si>
    <t>Balt. J. Econ. Stud.</t>
  </si>
  <si>
    <t>10.30525/2256-0742/2021-7-5-123-129</t>
  </si>
  <si>
    <t>ZD4CE</t>
  </si>
  <si>
    <t>WOS:000758146600013</t>
  </si>
  <si>
    <t>Popova, I</t>
  </si>
  <si>
    <t>The Challenges of Implementing the EAEU's Digital Agenda</t>
  </si>
  <si>
    <t>VESTNIK MEZHDUNARODNYKH ORGANIZATSII-INTERNATIONAL ORGANISATIONS RESEARCH JOURNAL</t>
  </si>
  <si>
    <t>EAEU; EAEU digital agenda until 2025; integration processes in the post-Soviet space; Eurasian Economic Commission; digital economy</t>
  </si>
  <si>
    <t>Digitalization is one of the dominant processes in contemporary economic development, both on the national level and globally. The process of articulating and implementing digital economy policies is underway in the member states of the Eurasian Economic Union (EAEU), and in 2017 the EAEU's Strategic Directions for the Development of the Digital Agenda Until 2025 was adopted. Identifying the specificities and challenges of the digital agenda's implementation in the context of integration processes in the region is the aim of this article. The study focuses on the interaction at the supranational level of decision-making within EAEU institutions, as well as the interaction of the national and supranational levels. The author concludes that the projects and initiatives are being implemented as a part of the agenda, albeit slowly. The other envisaged mechanisms require a much higher level of harmonization, for which EAEU leaders are not yet ready. The main features of the digital agenda's implementation in the EAEU are the primacy of sovereignty, diverging levels of digitalization of members in both access to infrastructure and regulatory frameworks, project-based approaches to implementation, absence of a digital agenda in the Treaty on the EAEU and involvement of expert communities. Based on analysis of the legal and regulatory framework, the following recommendations can be made: an institutional and legal framework for the digital agenda should be established, coordination between the national and supranational levels should be improved, digital strategies should be adopted and synchronized in all member states, the selection and implementation of initiatives should be improved, best practices should be adopted, and cooperation with international organizations and the European Union (EU) should be developed. For Russia, the development of a digital agenda within the EAEU and deepened integration (or development of cooperation) are necessary to ensure the realization of national interests in a priority region - the post-Soviet space especially given the increasingly active developing regulatory influence of other actors, primarily the EU. Given the growing importance of digitalization as a driver of economic growth and the increasing competition for influence on the regulation of the digital economy, a priority for the Russian Federation should be to resolve the contradiction between the principle of primacy of sovereignty and the development of integration. A possible way out could be an approach based on multi-speed integration, as tested in the EU. Another option could be a complete revision of the model of interaction with neighbours in the region.</t>
  </si>
  <si>
    <t>[Popova, I] Russian Presidential Acad Natl Econ &amp; Publ Adm, Ctr Int Inst Res, 11 Prechistenskaya Naberezhnaya, Moscow 119034, Russia</t>
  </si>
  <si>
    <t>Russian Presidential Academy of National Economy &amp; Public Administration</t>
  </si>
  <si>
    <t>Popova, I (corresponding author), Russian Presidential Acad Natl Econ &amp; Publ Adm, Ctr Int Inst Res, 11 Prechistenskaya Naberezhnaya, Moscow 119034, Russia.</t>
  </si>
  <si>
    <t>im-popova@ranepa.ru</t>
  </si>
  <si>
    <t>Popova, Irina/Q-9590-2016</t>
  </si>
  <si>
    <t>Popova, Irina/0000-0002-0849-7168</t>
  </si>
  <si>
    <t>NATL RESEARCH UNIV HIGHER SCH ECONOMICS</t>
  </si>
  <si>
    <t>SHABOLOVKA, 26, MOSCOW, 119049, RUSSIA</t>
  </si>
  <si>
    <t>1996-7845</t>
  </si>
  <si>
    <t>VESTN MEZHDUNARODNYK</t>
  </si>
  <si>
    <t>Vestn. Mezhdunarodnykh Organ.</t>
  </si>
  <si>
    <t>10.17323/1996-7845-2021-01-06</t>
  </si>
  <si>
    <t>TF0VP</t>
  </si>
  <si>
    <t>WOS:000670430900006</t>
  </si>
  <si>
    <t>Matías, KMR; Rosales, WAC; Rodríguez, LGG</t>
  </si>
  <si>
    <t>Rengifo Matias, Karla Martina; Caiche Rosales, William Alberto; Gonzalez Rodriguez, Livingston Gilberto</t>
  </si>
  <si>
    <t>Digital strategies and commercial relations of the artisanal sector in the north of Canton Santa Elena, province of Santa Elena, 2020</t>
  </si>
  <si>
    <t>REVISTA CIENCIAS PEDAGOGICAS E INNOVACION</t>
  </si>
  <si>
    <t>Digital strategies; Marketing; Machine Learning; Deep Learning; B2C and B2B</t>
  </si>
  <si>
    <t>Commercial activity was aggravated by the appearance of Covid-19, declared a pandemic by the WHO in March 2020. The purpose of this research is to identify the most appropriate digital strategies to boost commercial relations between artisans in the northern part of Santa Elena canton and customers. The craft activities of these producers are made from raw materials from agriculture, forestry and fishing, the goods obtained are marketed through the direct channel; communication has an incipient use of digital strategies, including: Facebook; WhatsApp, informative web pages and email. The approach to this problem was carried out with a correlational methodological design, with a mixed approach research, the first part with the application of participant observation and in-depth interviews with a panel of experts, which allowed to identify dimensions of the variables and raise the hypothesis; the results presented correspond to this first stage, which allowed from the scientific discussion, to propose for the beneficiaries, a set of digital strategies such as: Machine Learning, Deep Learning, Business to Consumer and Business to Business accompanied by an application model adjusted to the new reality.</t>
  </si>
  <si>
    <t>[Rengifo Matias, Karla Martina; Caiche Rosales, William Alberto; Gonzalez Rodriguez, Livingston Gilberto] Univ Estatal Peninsula Santa Elena, La Libertad, Ecuador</t>
  </si>
  <si>
    <t>Matías, KMR (corresponding author), Univ Estatal Peninsula Santa Elena, La Libertad, Ecuador.</t>
  </si>
  <si>
    <t>karla.rengifomatias@upse.edu.ec</t>
  </si>
  <si>
    <t>UNIV ESTATAL PENINSULA SANTA ELENA</t>
  </si>
  <si>
    <t>LA LIBERTAD</t>
  </si>
  <si>
    <t>UNIV ESTATAL PENINSULA SANTA ELENA, LA LIBERTAD, 00000, ECUADOR</t>
  </si>
  <si>
    <t>1390-7603</t>
  </si>
  <si>
    <t>REV CIENC PEDAGOC IN</t>
  </si>
  <si>
    <t>Rev. Cienc. Pedagoc. Innov.</t>
  </si>
  <si>
    <t>JAN-MAY</t>
  </si>
  <si>
    <t>10.26423/rcpi.v9i2.451</t>
  </si>
  <si>
    <t>XV9IY</t>
  </si>
  <si>
    <t>WOS:000735247500012</t>
  </si>
  <si>
    <t>Rusly, FH; Talib, YYA; Hussin, MRA; Mutalib, HA</t>
  </si>
  <si>
    <t>Rusly, F. H.; Talib, Y. Y. A.; Hussin, M. R. A.; Mutalib, H. A.</t>
  </si>
  <si>
    <t>MODELLING THE INTERNAL FORCES OF SMEs DIGITAL ADAPTATION STRATEGY TOWARDS INDUSTRY REVOLUTION 4.0</t>
  </si>
  <si>
    <t>POLISH JOURNAL OF MANAGEMENT STUDIES</t>
  </si>
  <si>
    <t>change adaptation; change management; digital adaptation; digitalisation; digital strategy; IR4.0; SME</t>
  </si>
  <si>
    <t>IMPLEMENTATION; TECHNOLOGY; BEHAVIOR</t>
  </si>
  <si>
    <t>This paper explores internal forces that formed the digital adaptation strategy for SMEs embarking on the digital transformation of Industrial Revolution 4.0 (IR4.0). A qualitative case study design was adopted involving Small and Medium-sized Enterprises (SMEs) from the manufacturing and service sectors in Malaysia. Data was gathered through semi-structured interviews and supported by the resources from the firms' website. Adopting the Planned Process Change Model and Technology Adaptation Process Model as new theoretical lenses in the digital adaptation study, findings from the multiple case studies using thematic analysis revealed four dimensions of internal forces driving SMEs' digital adaptation: business strategy, value creation, digital leadership and digital talent. Findings contribute to the theoretical development of the digital adaptation strategy from a change management perspective.</t>
  </si>
  <si>
    <t>[Rusly, F. H.; Talib, Y. Y. A.; Hussin, M. R. A.; Mutalib, H. A.] Univ Utara Malaysia, Tunku Puteri Intan Safinaz Sch Accountancy, Kedah, Malaysia</t>
  </si>
  <si>
    <t>Universiti Utara Malaysia</t>
  </si>
  <si>
    <t>Mutalib, HA (corresponding author), Univ Utara Malaysia, Tunku Puteri Intan Safinaz Sch Accountancy, Kedah, Malaysia.</t>
  </si>
  <si>
    <t>hanim@uum.edu.my; yurita@uum.edu.my; mohdrosni@uum.edu.my; amhafizah@uum.edu.my</t>
  </si>
  <si>
    <t>Talib, Yurita Yakimin Abdul/U-5564-2018</t>
  </si>
  <si>
    <t>Talib, Yurita Yakimin Abdul/0000-0002-0141-0250; Abd Mutalib, Hafizah/0000-0002-5077-5117</t>
  </si>
  <si>
    <t>Ministry of Higher Education (MoHE) of Malaysia through Fundamental Research Grant Scheme [FRGS/1/2019/SS01/UUM/02/9]</t>
  </si>
  <si>
    <t>Ministry of Higher Education (MoHE) of Malaysia through Fundamental Research Grant Scheme</t>
  </si>
  <si>
    <t>This research was supported by Ministry of Higher Education (MoHE) of Malaysia through Fundamental Research Grant Scheme (FRGS/1/2019/SS01/UUM/02/9).</t>
  </si>
  <si>
    <t>CZESTOCHOWA UNIV TECHNOLOGY</t>
  </si>
  <si>
    <t>CZESTOCHOWA</t>
  </si>
  <si>
    <t>FAC MANAGEMENT, UL ARMII KRAJOWEJ 19B, CZESTOCHOWA, 42-201, POLAND</t>
  </si>
  <si>
    <t>2081-7452</t>
  </si>
  <si>
    <t>POL J MANAG STUD</t>
  </si>
  <si>
    <t>Pol. J. Manag. Stud.</t>
  </si>
  <si>
    <t>10.17512/pjms.2021.24.1.18</t>
  </si>
  <si>
    <t>YX1DF</t>
  </si>
  <si>
    <t>WOS:000753848000018</t>
  </si>
  <si>
    <t>Seo, H</t>
  </si>
  <si>
    <t>Hargittai, E</t>
  </si>
  <si>
    <t>Seo, Hyunjin</t>
  </si>
  <si>
    <t>COMMUNITY-BASED INTERVENTION RESEARCH STRATEGIES Digital Inclusion for Marginalized Populations</t>
  </si>
  <si>
    <t>RESEARCH EXPOSED: How Empirical Social Science Gets Done in the Digital Age</t>
  </si>
  <si>
    <t>LITERACY; OLDER</t>
  </si>
  <si>
    <t>[Seo, Hyunjin] Univ Kansas, Digital Emerging Media, Lawrence, KS 66045 USA; [Seo, Hyunjin] Univ Kansas, Lawrence, KS 66045 USA; [Seo, Hyunjin] Harvard Univ, Berkman Klein Ctr Internet &amp; Soc, Cambridge, MA 02138 USA; [Seo, Hyunjin] KU Ctr Digital Inclus, Lawrence, KS 66045 USA</t>
  </si>
  <si>
    <t>University of Kansas; University of Kansas; Harvard University</t>
  </si>
  <si>
    <t>Seo, H (corresponding author), Univ Kansas, Digital Emerging Media, Lawrence, KS 66045 USA.;Seo, H (corresponding author), Univ Kansas, Lawrence, KS 66045 USA.;Seo, H (corresponding author), Harvard Univ, Berkman Klein Ctr Internet &amp; Soc, Cambridge, MA 02138 USA.;Seo, H (corresponding author), KU Ctr Digital Inclus, Lawrence, KS 66045 USA.</t>
  </si>
  <si>
    <t>COLUMBIA UNIV PRESS</t>
  </si>
  <si>
    <t>61 WEST 62 ST, NEW YORK, NY 10023 USA</t>
  </si>
  <si>
    <t>978-0-231-18877-7; 978-0-231-54800-7; 978-0-231-18876-0</t>
  </si>
  <si>
    <t>Communication; Information Science &amp; Library Science; Social Sciences, Interdisciplinary</t>
  </si>
  <si>
    <t>Communication; Information Science &amp; Library Science; Social Sciences - Other Topics</t>
  </si>
  <si>
    <t>BU8RS</t>
  </si>
  <si>
    <t>WOS:000950030900013</t>
  </si>
  <si>
    <t>Siokas, G; Tsakanikas, A; Siokas, E</t>
  </si>
  <si>
    <t>Siokas, Georgios; Tsakanikas, Aggelos; Siokas, Evangelos</t>
  </si>
  <si>
    <t>Implementing smart city strategies in Greece: Appetite for success</t>
  </si>
  <si>
    <t>CITIES</t>
  </si>
  <si>
    <t>Smart city; Smart urban policy; Digital tools; City planning; Smart strategy</t>
  </si>
  <si>
    <t>PARTIAL LEAST-SQUARES; PLS-SEM; CITIES; GOVERNANCE; INFORMATION; TECHNOLOGY; INDICATORS; MANAGEMENT; FRAMEWORK; VARIABLES</t>
  </si>
  <si>
    <t>This research paper aims at reviewing the effect of specific internal procedures undertaken in the boundaries of a municipality during the adaptation process of a Smart City strategy. By using a unique, tailor-made questionnaire and advance statistical techniques, we try to identify which factors turn to be crucial in implementing successful smart strategies. The paper maps, evaluates and analyses the strategic actions of the Greek Municipalities from an internal and external perspective of a public authority. Results show most local authorities try to formulate a coherent framework to efficiently utilize available resources and enhance productivity and quality of the services provided. Even though the majority of cities have embedded in their digital strategies various forms of smart projects, a rather partial implementation of relevant initiatives in their day-to-day operations is noticed. The challenges and prerequisites for an effective implementation of smart strategies have been explored. Furthermore, we assess their design, which may mitigate risks and lead to higher returns, at the earliest possible stage. This allows us to map the crucial factors that may open their appetite for a successful strategy towards a smarter future.</t>
  </si>
  <si>
    <t>[Siokas, Georgios; Tsakanikas, Aggelos; Siokas, Evangelos] Natl Tech Univ Athens, Sch Chem Engn, Lab Ind &amp; Energy Econ, Zografou Campus,9 Iroon Polytech Str, Zografos 15780, Greece</t>
  </si>
  <si>
    <t>Siokas, G (corresponding author), Natl Tech Univ Athens, Sch Chem Engn, Lab Ind &amp; Energy Econ, Zografou Campus,9 Iroon Polytech Str, Zografos 15780, Greece.</t>
  </si>
  <si>
    <t>geosiok@mail.ntua.gr</t>
  </si>
  <si>
    <t>Siokas, Georgios/HHN-5102-2022</t>
  </si>
  <si>
    <t>Siokas, Georgios/0000-0002-7017-874X</t>
  </si>
  <si>
    <t>0264-2751</t>
  </si>
  <si>
    <t>1873-6084</t>
  </si>
  <si>
    <t>Cities</t>
  </si>
  <si>
    <t>10.1016/j.cities.2020.102938</t>
  </si>
  <si>
    <t>PD0TE</t>
  </si>
  <si>
    <t>WOS:000597406700008</t>
  </si>
  <si>
    <t>Tan, YH; Reddy, SK</t>
  </si>
  <si>
    <t>Tan, Yee Heng; Reddy, Srinivas K.</t>
  </si>
  <si>
    <t>Crowdfunding digital platforms: Backer networks and their impact on project outcomes</t>
  </si>
  <si>
    <t>SOCIAL NETWORKS</t>
  </si>
  <si>
    <t>Crowdfunding; Social networks; Digital strategy; Social influence</t>
  </si>
  <si>
    <t>SOCIAL NETWORKS; CENTRALITY; ONLINE</t>
  </si>
  <si>
    <t>Crowdfunding platforms serve to connect project creators and backers. Previous research has explored several project and platform determinants that impact crowdfunding outcomes. However, there has been limited research on these determinants at an individual level. Our paper addresses how backers may influence the outcomes of projects in crowdfunding platforms. We explore several methods commonly used in the industry to identify influence and show that centrality measures through a backer affiliation network best exemplifies in-fluence. Using data from Kickstarter, we construct a weighted backer network based on 52,678 common projects backed by 11,134 backers. Controlling for digital media mentions and project quality, we find evidence that backers in central positions within the network have a positive impact on multiple project outcomes such as the project success rates, amount of funds raised, speed of reaching the crowdfunding goal as well as the number of backers contributing to the project. These findings are replicated and reinforced by using data from a different crowdfunding platform using the entire backer network based on 1095 projects backed by 87,896 backers. Several robustness tests are used to validate these results.</t>
  </si>
  <si>
    <t>[Tan, Yee Heng] Tokyo Int Univ, Inst Int Strategy, 1-13-1 Matoba Kita, Kawagoe, Saitama 3501197, Japan; [Reddy, Srinivas K.] Singapore Management Univ, Lee Kong Chian Sch Business, 50 Stamford Rd, Singapore 178899, Singapore</t>
  </si>
  <si>
    <t>Singapore Management University</t>
  </si>
  <si>
    <t>Tan, YH (corresponding author), Tokyo Int Univ, Inst Int Strategy, 1-13-1 Matoba Kita, Kawagoe, Saitama 3501197, Japan.</t>
  </si>
  <si>
    <t>yhtan@tiu.ac.jp; sreddy@smu.edu.sg</t>
  </si>
  <si>
    <t>SMU's Centre for Marketing Excellence</t>
  </si>
  <si>
    <t>The authors are grateful to the editor and two anonymous reviewers for their helpful comments on previous versions of this article. The authors also acknowledge support provided by SMU's Centre for Marketing Excellence for this research.</t>
  </si>
  <si>
    <t>0378-8733</t>
  </si>
  <si>
    <t>1879-2111</t>
  </si>
  <si>
    <t>SOC NETWORKS</t>
  </si>
  <si>
    <t>Soc. Networks</t>
  </si>
  <si>
    <t>10.1016/j.socnet.2020.09.005</t>
  </si>
  <si>
    <t>Anthropology; Sociology</t>
  </si>
  <si>
    <t>OU4MZ</t>
  </si>
  <si>
    <t>WOS:000591504700004</t>
  </si>
  <si>
    <t>Tomasi, S</t>
  </si>
  <si>
    <t>Tomasi, Serena</t>
  </si>
  <si>
    <t>COVID19 EMERGENCY, HEALTH PROTECTION AND DIGITALIZATION: THE ARGUMENTATIVE LIMITS OF THE DIGITAL STRATEGY</t>
  </si>
  <si>
    <t>BIOLAW JOURNAL-RIVISTA DI BIODIRITTO</t>
  </si>
  <si>
    <t>pandemic; argumentation; practical conflict; tracing-contact app; trust</t>
  </si>
  <si>
    <t>In this essay, we propose to deepen the arguments used in public communication to induce citizens to continue to cooperate and use digital tools as effective solutions during the pandemic. We will take as a case study the use of the contact-tracing app and we will analyse, through the scheme offered by the AMT - Argumentum Model of Topics, the communication strategies and the argumentative topics involved. The argumentative study will show the spread of a concept of law in which citizen tend to put aside their trust in others and seek an imperative legal solution.</t>
  </si>
  <si>
    <t>[Tomasi, Serena] Univ Trento, Philosophy Law, Comparat European &amp; Int Legal Studies, Fac Giurisprudenza, Trento, Italy</t>
  </si>
  <si>
    <t>University of Trento</t>
  </si>
  <si>
    <t>Tomasi, S (corresponding author), Univ Trento, Philosophy Law, Comparat European &amp; Int Legal Studies, Fac Giurisprudenza, Trento, Italy.</t>
  </si>
  <si>
    <t>serena.tomasi_1@unitn.it</t>
  </si>
  <si>
    <t>UNIV TRENTO, FAC LAW</t>
  </si>
  <si>
    <t>TRENTO</t>
  </si>
  <si>
    <t>VIA VERDI 53, TRENTO, 38122, ITALY</t>
  </si>
  <si>
    <t>2284-4503</t>
  </si>
  <si>
    <t>BIOLAW J</t>
  </si>
  <si>
    <t>BioLaw J.</t>
  </si>
  <si>
    <t>VM2KK</t>
  </si>
  <si>
    <t>WOS:000983107100026</t>
  </si>
  <si>
    <t>Tremblay-Wragg, É; Déri, CE; Vincent, C; Labonté-Lemoyne, É; Mathieu-Chartier, S; Côté-Parent, R; Villeneuve, S</t>
  </si>
  <si>
    <t>Tremblay-Wragg, Emilie; Deri, Catherine E.; Vincent, Cynthia; Labonte, Elise; Mathieu-Chartier, Sara; Cote-Parent, Raphaelle; Villeneuve, Stephane</t>
  </si>
  <si>
    <t>In the Aftermath of the Pandemic: Higher Education Students Rely on Technology to Write Their Thesis, Break Their Social Isolation and Find the Will to Persevere</t>
  </si>
  <si>
    <t>INTERNATIONAL JOURNAL OF TECHNOLOGIES IN HIGHER EDUCATION</t>
  </si>
  <si>
    <t>Pandemic; digital tools; virtual modalities; higher studies; graduate students; academic writing; teaching and learning</t>
  </si>
  <si>
    <t>Around the world, confinement measures imposed during the COVID-19 pandemic have forced universities to shut down their campuses. Graduate students opted for online modalities to progress their academic writing projects, including theses and dissertations. In Canada, a non-profit organization named Thesez-vous implemented innovative digital strategies to support students in times of crisis. This article presents qualitative results obtained from 33 PhD students who have used said tools to continue their studies. A follow-on discussion focuses on existing digital learning environments and considerations for subsequent research.</t>
  </si>
  <si>
    <t>[Tremblay-Wragg, Emilie; Vincent, Cynthia; Villeneuve, Stephane] Univ Quebec Montreal, Montreal, PQ, Canada; [Deri, Catherine E.] Univ Ottawa, Ottawa, ON, Canada; [Labonte, Elise] HEC Montreal, Montreal, PQ, Canada; [Mathieu-Chartier, Sara; Cote-Parent, Raphaelle] Thesez Vous, Montreal, PQ, Canada</t>
  </si>
  <si>
    <t>University of Quebec; University of Quebec Montreal; University of Ottawa; Universite de Montreal; HEC Montreal</t>
  </si>
  <si>
    <t>Tremblay-Wragg, É (corresponding author), Univ Quebec Montreal, Montreal, PQ, Canada.</t>
  </si>
  <si>
    <t>tremblay-wragg.emilie@uqam.ca; cderi055@uottawa.ca; Vincent.cynthia.2@courrier.uqam.ca; elise.labonte-lemoyne@hec.ca; sara.mathieu@thesez-vous.com; raphaelle.cote.parent@thesez-vous.com; villeneuve.stephane.2@uqam.ca</t>
  </si>
  <si>
    <t>Deri, Catherine E./IRZ-3395-2023</t>
  </si>
  <si>
    <t>Deri, Catherine E./0000-0001-9689-3517</t>
  </si>
  <si>
    <t>INT JOURNAL TECHNOLOGIES HIGHER EDUCATION</t>
  </si>
  <si>
    <t>UNIV MONTREAL, FAC SCI &amp; EDUC, CP 6128, SUCCURSALE CENTRE-VILLE, MONTREAL, H3C 3J7, CANADA</t>
  </si>
  <si>
    <t>1708-7570</t>
  </si>
  <si>
    <t>INT J TECHNOL HIGH E</t>
  </si>
  <si>
    <t>Int. J. Technol. High. Educ.</t>
  </si>
  <si>
    <t>10.18162/ritpu-2021-v18n1-25</t>
  </si>
  <si>
    <t>TX6EQ</t>
  </si>
  <si>
    <t>WOS:000683183100024</t>
  </si>
  <si>
    <t>Trusova, NV; Yeremenko, DV; Karman, SV; Kolokolchykova, IV; Skrypnyk, SV</t>
  </si>
  <si>
    <t>Trusova, Natalia, V; Yeremenko, Denys, V; Karman, Serhii, V; Kolokolchykova, Iryna, V; Skrypnyk, Svitlana, V</t>
  </si>
  <si>
    <t>Digitalization of Investment-Innovative Activities of the Trade Business Entities in Network IT-System</t>
  </si>
  <si>
    <t>ESTUDIOS DE ECONOMIA APLICADA</t>
  </si>
  <si>
    <t>business processes; IT-outsourcing; global market; technologies; zonal level</t>
  </si>
  <si>
    <t>FRAMEWORK</t>
  </si>
  <si>
    <t>The problem of digital business transformation through innovative development in the country, which affects the transformation of business structures, including trade, remains underdeveloped, which requires further scientific, methodological, practical research and justification. The priority of this study is to develop a system-integrated methodology and practical recommendations for building a model of digitization of investment-innovative activities of the trade entities by transforming the architecture of the business system into an IT-system, which demonstrates improving network interaction in a competitive environment. The article considers the digitalization of investment-innovative activities of the trade entities in the network IT system. The system-integrated methodology is implemented and practical recommendations are offered to build a model of digitalization of investment-innovative activities of the trade entities by transforming the architecture of the business system into an IT system, which demonstrates the efficiency of network interaction in a competitive environment. The block diagram of the activation of Digital-strategy of digitalization of investment-innovative development of business in economy is presented. A block system for evaluating the digitalization of investment-innovative activities of the trade entities in the network IT system is proposed. Indicators of digitalization of investment-innovative activities of the trade entities in the network IT system are grouped according to the components of the balanced scorecard (CFS). The architectural structure of the integrated indicator of the zonal level of digitalization of investment-innovative activities of the trade entities in the network IT system is substantiated. The coordinates of the vector-standard of zonal digitization of investment-innovative activities of the trade entities in the network IT system of Ukraine are determined.</t>
  </si>
  <si>
    <t>[Trusova, Natalia, V] Dmytro Motornyi Tavria State Agrotechnol Univ, Dept Finance Banking &amp; Insurance, Melitopol, Ukraine; [Yeremenko, Denys, V; Karman, Serhii, V; Kolokolchykova, Iryna, V] Dmytro Motornyi Tavria State Agrotechnol Univ, Dept Business Consulting &amp; Int Tourism, Melitopol, Ukraine; [Skrypnyk, Svitlana, V] Kherson State Agr &amp; Econ Univ, Dept Accounting &amp; Taxat, Kherson, Ukraine</t>
  </si>
  <si>
    <t>Ministry of Education &amp; Science of Ukraine; Dmytro Motornyi Tavria State Agrotechnological University; Ministry of Education &amp; Science of Ukraine; Dmytro Motornyi Tavria State Agrotechnological University; Ministry of Education &amp; Science of Ukraine; Kherson State Agrarian &amp; Economic University</t>
  </si>
  <si>
    <t>Trusova, NV (corresponding author), Dmytro Motornyi Tavria State Agrotechnol Univ, Dept Finance Banking &amp; Insurance, Melitopol, Ukraine.</t>
  </si>
  <si>
    <t>n.trusova@tanu.pro; d.yeremenko@uohk.com.cn; skarman@uohk.com.cn; kolokolchykova7214@tanu.pro; sskrypnyk@tanu.pro</t>
  </si>
  <si>
    <t>Karman, Serhii/HOH-8840-2023; Skrypnyk, Svitlana/AAX-3620-2021</t>
  </si>
  <si>
    <t>Karman, Serhii/0000-0002-4919-7794</t>
  </si>
  <si>
    <t>ASOC ECONOMIA APLICADAD</t>
  </si>
  <si>
    <t>C JUAN RAMON JIMENEZ, 43, MADRID, 28036, SPAIN</t>
  </si>
  <si>
    <t>1133-3197</t>
  </si>
  <si>
    <t>1697-5731</t>
  </si>
  <si>
    <t>ESTUD ECON APL</t>
  </si>
  <si>
    <t>Estud. Econ. Apl.</t>
  </si>
  <si>
    <t>10.25115/eea.v39i5.4912</t>
  </si>
  <si>
    <t>SL9FQ</t>
  </si>
  <si>
    <t>WOS:000657220600024</t>
  </si>
  <si>
    <t>Verhovnik, J; Duh, ES</t>
  </si>
  <si>
    <t>Verhovnik, Jure; Duh, Emilija Stojmenova</t>
  </si>
  <si>
    <t>The importance of Industry 4.0 and digital transformation for SMEs</t>
  </si>
  <si>
    <t>ELEKTROTEHNISKI VESTNIK</t>
  </si>
  <si>
    <t>Digital transformation; Digital strategy; Industry 4.0; SMEs; IoT</t>
  </si>
  <si>
    <t>The paper provides insight in the state of digital transformation (DT) and Industry 4.0 (I4.0), as well as in the current levels of digital maturity of the Slovenian small and medium enterprises (SMEs). An overview is given of existing digital tools and approaches available for SMEs globally. A special attention is paid to challenges that companies are coping with in DT planning and implementation stage. For this paper, 15 international peer-reviewed papers were analyzed describing studies of DT and Industry 4.0. An online survey was conducted comprising 19 questions about DT and Industry 4.0. To gain a more extensive understanding about the state of the DT an interview was performed with four companies, making an analysis of the current DT situation and expectations of the Slovenian SMEs. The results show a considerable lack of DT knowledge, skills and competences. Based on the analysis of the literature and results of the research, approaches are presented towards effective DT in the implementation in the Slovenian SMEs by using adequate digital tools/technologies.</t>
  </si>
  <si>
    <t>[Verhovnik, Jure; Duh, Emilija Stojmenova] Univ Ljubljana, Fac Elect Engn, Trzaska 25, Ljubljana 1000, Slovenia</t>
  </si>
  <si>
    <t>Verhovnik, J (corresponding author), Univ Ljubljana, Fac Elect Engn, Trzaska 25, Ljubljana 1000, Slovenia.</t>
  </si>
  <si>
    <t>jure.verhovnik@fe.uni-lj.si; Emilija.Stojmenova@fe.uni-lj.si</t>
  </si>
  <si>
    <t>ELECTROMAGNETICS ACAD</t>
  </si>
  <si>
    <t>77 MASSACHUSETTS AVE, RM 26-319, CAMBRIDGE, MA 02139 USA</t>
  </si>
  <si>
    <t>0013-5852</t>
  </si>
  <si>
    <t>2232-3236</t>
  </si>
  <si>
    <t>ELEKTROTEH VESTN</t>
  </si>
  <si>
    <t>Elektroteh. Vestn.</t>
  </si>
  <si>
    <t>Engineering, Electrical &amp; Electronic</t>
  </si>
  <si>
    <t>TE2SW</t>
  </si>
  <si>
    <t>WOS:000669866800010</t>
  </si>
  <si>
    <t>Zhou, X; Milecka-Forrest, M</t>
  </si>
  <si>
    <t>Zhou, Xue; Milecka-Forrest, Melania</t>
  </si>
  <si>
    <t>Two groups separated by a shared goal: how academic managers and lecturers have embraced the introduction of digital technologies in UK Higher Education</t>
  </si>
  <si>
    <t>RESEARCH IN LEARNING TECHNOLOGY</t>
  </si>
  <si>
    <t>communities of practice; academic managers; digital technology strategy; academic staff-management collaboration; motivations</t>
  </si>
  <si>
    <t>MIDDLE MANAGERS; MOBILE; TEACHERS</t>
  </si>
  <si>
    <t>Digital technologies have been widely used in higher education (HE) for years, and the benefits have been recognised by both students and academics. Although many universities have developed their own digital technology strategies, many do not share either their vision or implementation strategies with staff. This research explores differences and similarities in the perception of digital technology by lecturers and academic managers. The purpose of this paper is to compare and contrast motivations, barriers and support systems required for the use and adoption of digital strategies. Interviews were conducted with a group of 20 lecturers and academic managers in the HE sector. The results reveal that both groups shared a common view that the introduction of digital technology can have a clear set of benefits to students; however, their motivations for introducing new approaches differed significantly. Whilst it is important not to generalise too much given the lack of homogeneity in the two groups and also the crossover between managers and lecturers, managers tended to take a performance -goal-based approach to its introduction whilst lecturers were more learning goal orientated. This difference can cause significant difficulties in the implementation of new approaches to learning.</t>
  </si>
  <si>
    <t>[Zhou, Xue] Coventry Univ, Sch Strategy &amp; Leadership, Coventry, W Midlands, England; [Milecka-Forrest, Melania] Aston Univ, Aston Business Sch, Birmingham, W Midlands, England</t>
  </si>
  <si>
    <t>Coventry University; Aston University</t>
  </si>
  <si>
    <t>Zhou, X (corresponding author), Coventry Univ, Sch Strategy &amp; Leadership, Coventry, W Midlands, England.</t>
  </si>
  <si>
    <t>aa8959@coventry.ac.uk</t>
  </si>
  <si>
    <t>Zhou, Xue/0000-0002-7242-0958</t>
  </si>
  <si>
    <t>ASSOC LEARNING TECHNOLOGY-ALT</t>
  </si>
  <si>
    <t>BICESTER</t>
  </si>
  <si>
    <t>PO BOX 460, BICESTER, OX26 9LW, ENGLAND</t>
  </si>
  <si>
    <t>2156-7069</t>
  </si>
  <si>
    <t>2156-7077</t>
  </si>
  <si>
    <t>RES LEARN TECHNOL</t>
  </si>
  <si>
    <t>Res. Learn. Technol.</t>
  </si>
  <si>
    <t>10.25304/rlt.v29.2446</t>
  </si>
  <si>
    <t>PU6VI</t>
  </si>
  <si>
    <t>WOS:000609438900001</t>
  </si>
  <si>
    <t>Shahi, C; Sinha, M</t>
  </si>
  <si>
    <t>Shahi, Chinmay; Sinha, Manish</t>
  </si>
  <si>
    <t>Digital transformation: challenges faced by organizations and their potential solutions</t>
  </si>
  <si>
    <t>Change management; Technology; Digital transformation; Digital strategy</t>
  </si>
  <si>
    <t>Purpose Digital transformation is the way forward for all businesses. The technology is advancing at a rapid pace and the companies need to adapt to the change, not just to take advantage of the enormous opportunities it provides but even to stay relevant in this volatility, uncertainty, complexity, and ambiguity world. This study aims to define the concept of digital transformation and what it means in today's business scenario. It helps to understand the different stages of digital maturity, identify the barriers in adopting different technologies and provide solutions to overcome those challenges. Design/methodology/approach This is a qualitative study in which opinions of the digital transformation experts were collected using a qualitative questionnaire. Natural language processing (NLP) and text mining techniques were applied along with a thorough analysis of the text to generate the results. Findings The study was able to uncover - what it means to be digitally transformed, different challenges an organization faces during the digital transformation journey and their potential solutions. Originality/value The existing literature on the topic is scattered and does not provide a roadmap for a company to adopt digital transformation. This study aims to fill up the gap and cover various aspects of the whole transformation process. The uniqueness of the study lies in the use of NLP techniques to perform text analytics on the data.</t>
  </si>
  <si>
    <t>[Shahi, Chinmay; Sinha, Manish] SIU SCMHRD, Pune, Maharashtra, India</t>
  </si>
  <si>
    <t>Symbiosis International University; Symbiosis Centre for Management &amp; Human Resource Development (SCMHRD)</t>
  </si>
  <si>
    <t>Shahi, C (corresponding author), SIU SCMHRD, Pune, Maharashtra, India.</t>
  </si>
  <si>
    <t>chinmay_shahi@scmhrd.edu</t>
  </si>
  <si>
    <t>SINHA, MANISH/0000-0002-2116-0877</t>
  </si>
  <si>
    <t>JAN 21</t>
  </si>
  <si>
    <t>10.1108/IJIS-09-2020-0157</t>
  </si>
  <si>
    <t>DEC 2020</t>
  </si>
  <si>
    <t>PZ7RI</t>
  </si>
  <si>
    <t>WOS:000603421000001</t>
  </si>
  <si>
    <t>Bonnevie, E; Lloyd, TD; Rosenberg, SD; Williams, K; Goldbarg, J; Smyser, J</t>
  </si>
  <si>
    <t>Bonnevie, Erika; Lloyd, Tiffany D.; Rosenberg, Sarah D.; Williams, Kara; Goldbarg, Jaclyn; Smyser, Joe</t>
  </si>
  <si>
    <t>Layla's Got You: Developing a tailored contraception chatbot for Black and Hispanic young women</t>
  </si>
  <si>
    <t>HEALTH EDUCATION JOURNAL</t>
  </si>
  <si>
    <t>Chatbots; contraception; health communication; health disparities; technology</t>
  </si>
  <si>
    <t>Introduction: In Onondaga County, New York, around half of all births to Black and Hispanic teenage girls are unintended. The Layla's Got You campaign consists of a chatbot and social media campaign designed to increase contraception knowledge among 16- to 25-year-old Black and Hispanic women in Onondaga County. Methods: The campaign was co-created with local women in the target audience and employed digital and grassroots community building strategies. Focus groups were conducted among 31 women, during which participants selected the campaign's logo and chatbot name and created the tagline. Participants reviewed chatbot responses and designed Layla's appearance and features, and Black/Hispanic women are featured in website and promotional photos. A community campaign manager pairs digital strategies with grassroots partnerships among a diverse group of stakeholders, including social media influencers, hair salons and health clinics. Results: Since implementation, the chatbot has received 4,390 messages related to contraception or sexual health. Across social media accounts, the campaign has showed 2,483,683 impressions, average daily reach of 1,710 for Facebook and 943 for Instagram, and 32,816 total engagements across all platforms. Conclusion: Layla's Got You provides young women with a confidential place in which to find locally tailored and trustworthy information about contraception. By merging innovative technology-driven strategies, participatory creation techniques and grassroots community building, the initiative delivers impactful, easily updated health information on a large scale. This strategy has promising implications for increasing knowledge and positive attitudes towards contraception among specific at-risk audiences.</t>
  </si>
  <si>
    <t>[Bonnevie, Erika; Rosenberg, Sarah D.; Goldbarg, Jaclyn; Smyser, Joe] Publ Good Projects, 2308 Mt Vernon Ave,Suite 758, Alexandria, VA 22301 USA; [Lloyd, Tiffany D.; Williams, Kara] Allyn Family Fdn, Syracuse, NY USA</t>
  </si>
  <si>
    <t>Bonnevie, E (corresponding author), Publ Good Projects, 2308 Mt Vernon Ave,Suite 758, Alexandria, VA 22301 USA.</t>
  </si>
  <si>
    <t>erika.bonnevie@publicgoodprojects.org</t>
  </si>
  <si>
    <t>Allyn Family Foundation</t>
  </si>
  <si>
    <t>The author(s) disclosed receipt of the following financial support for the research, authorship, and/or publication of this article. This work was supported by the Allyn Family Foundation, Skaneateles, New York.</t>
  </si>
  <si>
    <t>0017-8969</t>
  </si>
  <si>
    <t>1748-8176</t>
  </si>
  <si>
    <t>HEALTH EDUC J</t>
  </si>
  <si>
    <t>Health Educ. J.</t>
  </si>
  <si>
    <t>10.1177/0017896920981122</t>
  </si>
  <si>
    <t>Education &amp; Educational Research; Public, Environmental &amp; Occupational Health</t>
  </si>
  <si>
    <t>SF5YZ</t>
  </si>
  <si>
    <t>WOS:000627100200001</t>
  </si>
  <si>
    <t>Aldoy, N; Evans, MA</t>
  </si>
  <si>
    <t>Aldoy, Noor; Evans, Mark Andrew</t>
  </si>
  <si>
    <t>An Investigation into a Digital Strategy for Industrial Design Education</t>
  </si>
  <si>
    <t>INTERNATIONAL JOURNAL OF ART &amp; DESIGN EDUCATION</t>
  </si>
  <si>
    <t>Digital design; industrial design; design tools; media; design education; computer‐ aided design</t>
  </si>
  <si>
    <t>PRODUCT DESIGN</t>
  </si>
  <si>
    <t>As the number of digital natives increases and the range of digital design tools / media continues to expand, it is timely to examine the potential for an entirely digital industrial design process that can be employed in practice and education. Following a literature review, a draft Digital Industrial Design (DID) strategy that focuses on the core design activities of sketching, drawing, model making, and prototyping was generated. A paper-based, theoretical model was established and presented to graduating students, academics and practitioners. The results indicated that, while graduating students were interested in employing an approach based entirely on digital methods, the majority had doubts about its capacity to replace conventional and hybrid methods. The removal of paper-based sketching, the conventional hands-on experience when model making, and the cost of digital tools were identified as primary concerns. Although academics believed that the future of industrial design programmes would become increasingly digital, it was identified that current programmes were failing to exploit the opportunities afforded by these technologies fully.</t>
  </si>
  <si>
    <t>[Aldoy, Noor] Univ Bahrain, Coll Engn, Dept Architecture &amp; Interior Design, Isa Town Campus, Isa Town, Bahrain; [Evans, Mark Andrew] Loughborough Univ, Sch Design &amp; Creat Arts, Loughborough LE11 3TU, Leics, England</t>
  </si>
  <si>
    <t>University of Bahrain; Loughborough University</t>
  </si>
  <si>
    <t>Aldoy, N (corresponding author), Univ Bahrain, Coll Engn, Dept Architecture &amp; Interior Design, Isa Town Campus, Isa Town, Bahrain.</t>
  </si>
  <si>
    <t>naldoy@uob.edu.bh; m.a.evans@lboro.ac.uk</t>
  </si>
  <si>
    <t>Evans, Mark/0000-0002-1378-8998</t>
  </si>
  <si>
    <t>1476-8062</t>
  </si>
  <si>
    <t>1476-8070</t>
  </si>
  <si>
    <t>INT J ART DES EDUC</t>
  </si>
  <si>
    <t>Int. J. Art Des. Educ.</t>
  </si>
  <si>
    <t>10.1111/jade.12334</t>
  </si>
  <si>
    <t>Art; Education &amp; Educational Research</t>
  </si>
  <si>
    <t>QY6MT</t>
  </si>
  <si>
    <t>WOS:000596816000001</t>
  </si>
  <si>
    <t>Lin, AW; Baik, SH; Aaby, D; Tello, L; Linville, T; Alshurafa, N; Spring, B</t>
  </si>
  <si>
    <t>Lin, Annie Wen; Baik, Sharon H.; Aaby, David; Tello, Leslie; Linville, Twila; Alshurafa, Nabil; Spring, Bonnie</t>
  </si>
  <si>
    <t>eHealth Practices in Cancer Survivors With BMI in Overweight or Obese Categories: Latent Class Analysis Study</t>
  </si>
  <si>
    <t>JMIR CANCER</t>
  </si>
  <si>
    <t>eHealth; patient communication; cancer survivorship; obesity; behavior</t>
  </si>
  <si>
    <t>PHYSICAL-ACTIVITY; INTERVENTION; EXERCISE; PROGRAM; DIET</t>
  </si>
  <si>
    <t>Background: eHealth technologies have been found to facilitate health-promoting practices among cancer survivors with BMI in overweight or obese categories; however, little is known about their engagement with eHealth to promote weight management and facilitate patient-clinician communication. Objective: The objective of this study was to determine whether eHealth use was associated with sociodemographic characteristics, as well as medical history and experiences (ie, patient-related factors) among cancer survivors with BMI in overweight or obese categories. Methods: Data were analyzed from a nationally representative cross-sectional survey (National Cancer Institute's Health Information National Trends Survey). Latent class analysis was used to derive distinct classes among cancer survivors based on sociodemographic characteristics, medical attributes, and medical experiences. Logistic regression was used to examine whether class membership was associated with different eHealth practices. Results: Three distinct classes of cancer survivors with BMI in overweight or obese categories emerged: younger with no comorbidities, younger with comorbidities, and older with comorbidities. Compared to the other classes, the younger with comorbidities class had the highest probability of identifying as female (73%) and Hispanic (46%) and feeling that clinicians did not address their concerns (75%). The older with comothidities class was 6.5 times more likely than the younger with comothidities class to share eHealth data with a clinician (odds ratio [OR] 6.53, 95% CI 1.08-39.43). In contrast, the younger with no comorbidities class had a higher likelihood of using a computer to look for health information (OR 1.93, 95% CI 1.10-3.38), using an electronic device to track progress toward a health-related goal (OR 2.02, 95% CI 1.08-3.79), and using the internet to watch health-related YouTube videos (OR 2.70, 95% CI 1.52-4.81) than the older with comothidities class. Conclusions: Class membership was associated with different patterns of eHealth engagement, indicating the importance of tailored digital strategies for delivering effective care. Future eHealth weight loss interventions should investigate strategies to engage younger cancer survivors with comorbidities and address racial and ethnic disparities in eHealth use.</t>
  </si>
  <si>
    <t>[Lin, Annie Wen; Tello, Leslie] Benedictine Univ, Dept Nutr, 5700 Coll Rd Kindlon Hall,Room 224, Lisle, IL 60532 USA; [Lin, Annie Wen; Aaby, David; Linville, Twila; Alshurafa, Nabil; Spring, Bonnie] Northwestern Univ, Dept Prevent Med, Chicago, IL USA; [Baik, Sharon H.] City Hope Med Canc Ctr, Dept Support Care Med, Duarte, CA USA; [Baik, Sharon H.] Northwestern Univ, Dept Med Social Sci, Chicago, IL USA</t>
  </si>
  <si>
    <t>Northwestern University; Northwestern University</t>
  </si>
  <si>
    <t>Lin, AW (corresponding author), Benedictine Univ, Dept Nutr, 5700 Coll Rd Kindlon Hall,Room 224, Lisle, IL 60532 USA.</t>
  </si>
  <si>
    <t>alin@ben.edu</t>
  </si>
  <si>
    <t>Aaby, David/0000-0002-2395-3563; Spring, Bonnie/0000-0003-0692-9868; Linville, Twila/0000-0002-8315-5731; Lin, Annie/0000-0002-0045-8826</t>
  </si>
  <si>
    <t>National Institutes of Health/National Cancer Institute [T32 CA193193]; National Institute of Diabetes and Digestive and Kidney Diseases [K25DK113242, R01 DK108678, R01 DK125414]; National Science Foundation [CNS1915847]; National Cancer Institute [P30CA060553]; National Institutes of Health's National Center for Advancing Translational Sciences [UL1TR001422]</t>
  </si>
  <si>
    <t>National Institutes of Health/National Cancer Institute(United States Department of Health &amp; Human ServicesNational Institutes of Health (NIH) - USANIH National Cancer Institute (NCI)); National Institute of Diabetes and Digestive and Kidney Diseases(United States Department of Health &amp; Human ServicesNational Institutes of Health (NIH) - USANIH National Institute of Diabetes &amp; Digestive &amp; Kidney Diseases (NIDDK)); National Science Foundation(National Science Foundation (NSF)); National Cancer Institute(United States Department of Health &amp; Human ServicesNational Institutes of Health (NIH) - USANIH National Cancer Institute (NCI)); National Institutes of Health's National Center for Advancing Translational Sciences</t>
  </si>
  <si>
    <t>AWL and SHB acknowledge salary support from National Institutes of Health/National Cancer Institute training grant T32 CA193193 (principal investigator: BS). NA is supported in part by National Institute of Diabetes and Digestive and Kidney Diseases K25DK113242 and National Science Foundation CNS1915847. BS is supported in part by National Institute of Diabetes and Digestive and Kidney Diseases R01s DK108678 and DK125414 and National Cancer Institute P30CA060553. Research reported in this publication was supported, in part, by the National Institutes of Health's National Center for Advancing Translational Sciences (grant number UL1TR001422). The content is solely the responsibility of the authors and does not necessarily represent the official views of the National Institutes of Health. The authors are grateful for the NCI HINTS investigators for their dedication in data collection and support. The authors would also like to thank the NCI HINTS participants for their contribution to research, as well as the reviewers and copyeditor (Coren Walters-Stewart) for their comments that have improved this manuscript.</t>
  </si>
  <si>
    <t>2369-1999</t>
  </si>
  <si>
    <t>JMIR Cancer</t>
  </si>
  <si>
    <t>DEC 3</t>
  </si>
  <si>
    <t>e24137</t>
  </si>
  <si>
    <t>10.2196/24137</t>
  </si>
  <si>
    <t>PE7YC</t>
  </si>
  <si>
    <t>WOS:000598578000001</t>
  </si>
  <si>
    <t>Aravena, M; Campos-Soto, MN; Rodríguez-Jiménez, C</t>
  </si>
  <si>
    <t>Aravena, Margarita; Natalia Campos-Soto, Maria; Rodriguez-Jimenez, Carmen</t>
  </si>
  <si>
    <t>Learning Strategies at a Higher Taxonomic Level in Primary Education Students in the Digital Age</t>
  </si>
  <si>
    <t>higher thinking; cognitive skills; perspective analysis; abstraction; ICT; digital</t>
  </si>
  <si>
    <t>The education system must respond to the demands and needs of today's society. To meet this demand, teachers must identify the degree of cognitive skills that our students possess through digital learning strategies that encourage the development of these superior skills because of the impact of technological resources on student motivation. To carry out this assessment, two types of strategy tests were applied to evaluate cognitive skills, one determining the student's ability to create an opinion of their own based on ideas and visions of other authors (perspective analysis) and the other strategy test to distinguish the main elements of an information, identifying a general pattern (abstraction), which were reviewed with a task performance instrument (rubrics). A mixed methodology was used through a case study, with a selected and intentional sample of 34 students of the Primary Education Grade. The results show that elaborating questions that go deeper into a topic and labelling contents is not an easy task and that abstraction is one of the most complex skills to develop in students. It should be noted that, in practically all areas, men's averages exceed those of women. Finally, the use of digital strategies must be incorporated as permanent routines and the relationship between technology and pedagogy allows for the management of learning and therefore increases higher level cognitive abilities.</t>
  </si>
  <si>
    <t>[Aravena, Margarita] Univ Andres Bello, Fac Educ &amp; Social Sci, Postgrad Acad, Republ 470 Piso 1, Santiago 8370227, Chile; [Natalia Campos-Soto, Maria; Rodriguez-Jimenez, Carmen] Univ Granada, Dept Didact &amp; Sch Org, Granada 18010, Spain</t>
  </si>
  <si>
    <t>Universidad Andres Bello; University of Granada</t>
  </si>
  <si>
    <t>Campos-Soto, MN (corresponding author), Univ Granada, Dept Didact &amp; Sch Org, Granada 18010, Spain.</t>
  </si>
  <si>
    <t>marg.aravena@uandresbello.edu; ncampos@ugr.es; carmenrj@ugr.es</t>
  </si>
  <si>
    <t>Jiménez, Carmen Rodríguez/AAS-5135-2021; Aravena, Margarita/AAD-8079-2021</t>
  </si>
  <si>
    <t>Rodriguez Jimenez, Carmen/0000-0001-8623-8316; Aravena Gaete, Margarita Ercilia/0000-0003-3198-8384; Campos Soto, Maria Natalia/0000-0002-3361-2930</t>
  </si>
  <si>
    <t>10.3390/su12239877</t>
  </si>
  <si>
    <t>PE2YH</t>
  </si>
  <si>
    <t>WOS:000598233900001</t>
  </si>
  <si>
    <t>Lopera-Zuluaga, EC</t>
  </si>
  <si>
    <t>Camilo Lopera-Zuluaga, Edwar</t>
  </si>
  <si>
    <t>Social Network Replies that Denounce Inequalities of the #AprenderDigital Strategy in Time of Covid-19</t>
  </si>
  <si>
    <t>REVISTA INTERNACIONAL DE EDUCACION PARA LA JUSTICIA SOCIAL</t>
  </si>
  <si>
    <t>Digital gap; Covid-19; Educational strategy; Social network; Citizen replies</t>
  </si>
  <si>
    <t>The Colombian Ministry of Education publishes the #AprenderDigital strategy on social networks to counteract the massive closure of schools due to covid-19. However, the public makes a dissatisfied reply to this homogeneous initiative. This research with a qualitative approach aims, first, to classify in categories of analysis the citizen replies made to the publications of the National Ministry of Colombia on Twitter and Facebook under the hashtag #AprenderDigital. Second, to discuss, within the framework of citizen replies, the expressions of educational inequality exacerbated by the digital strategy, in addition to offering some lessons learned for post-pandemic digital educational policy in Colombia. The method involved retrieving the citizen replicas and the data with the support of the qualitative analysis software Atlas ti. The replicas were classified into three categories: 1. Access replicas. 2. Curricular replicas. 3. Exhortations. To the end, we discuss the strength of the study to ratify educational inequality in times of covid-19, the homogeneity of emergency educational policies that deny differences, we reflect on the necessary subjectivity policies and we provide some reflections on the direction of post pandemic digital policies. Finally, we value the fertility that means recovering replicas in social networks for research in social sciences.</t>
  </si>
  <si>
    <t>[Camilo Lopera-Zuluaga, Edwar] Univ Pontificia Bolivariana, Ciencias Sociales, Medellin, Colombia</t>
  </si>
  <si>
    <t>Universidad Pontificia Bolivariana</t>
  </si>
  <si>
    <t>Lopera-Zuluaga, EC (corresponding author), Univ Pontificia Bolivariana, Ciencias Sociales, Medellin, Colombia.</t>
  </si>
  <si>
    <t>edwar.lopera@upb.edu.co</t>
  </si>
  <si>
    <t>2254-3139</t>
  </si>
  <si>
    <t>REV INT EDUC JUSTICI</t>
  </si>
  <si>
    <t>Rev. Int. Educ. Justicia Soc.</t>
  </si>
  <si>
    <t>10.15366/riejs2020.9.3.018</t>
  </si>
  <si>
    <t>PT4QU</t>
  </si>
  <si>
    <t>WOS:000608600400018</t>
  </si>
  <si>
    <t>Dwivedi, YK; Hughes, DL; Coombs, C; Constantiou, I; Duan, YQ; Edwards, JS; Gupta, B; Lal, B; Misra, S; Prashant, P; Raman, R; Rana, NP; Sharma, SK; Upadhyay, N</t>
  </si>
  <si>
    <t>Dwivedi, Yogesh K.; Hughes, D. Laurie; Coombs, Crispin; Constantiou, Ioanna; Duan, Yanqing; Edwards, John S.; Gupta, Babita; Lal, Banita; Misra, Santosh; Prashant, Prakhar; Raman, Ramakrishnan; Rana, Nripendra P.; Sharma, Sujeet K.; Upadhyay, Nitin</t>
  </si>
  <si>
    <t>Impact of COVID-19 pandemic on information management research and practice: Transforming education, work and life</t>
  </si>
  <si>
    <t>COVID-19; Digital life; Digital transformation; Digital world; Information management; Information systems; Information technology</t>
  </si>
  <si>
    <t>HOMEWORKERS USAGE; SHARING ECONOMY; MOBILE PHONES; BENEFITS</t>
  </si>
  <si>
    <t>The COVID-19 pandemic has forced many organisations to undergo significant transformation, rethinking key elements of their business processes and use of technology to maintain operations whilst adhering to a changing landscape of guidelines and new procedures. This study offers a collective insight to many of the key issues and underlying complexities affecting organisations and society from COVID-19, through an information systems and technological perspective. The views of 12 invited subject experts are collated and analysed where each articulate their individual perspectives relating to: online learning, digital strategy, artificial intelligence, information management, social interaction, cyber security, big data, blockchain, privacy, mobile technology and strategy through the lens of the current crisis and impact on these specific areas. The expert perspectives offer timely insight to the range of topics, identifying key issues and recommendations for theory and practice.</t>
  </si>
  <si>
    <t>[Dwivedi, Yogesh K.; Hughes, D. Laurie] Swansea Univ, Sch Management, Emerging Markets Res Ctr EMaRC, Bay Campus, Swansea, W Glam, Wales; [Coombs, Crispin] Loughborough Univ, Sch Business &amp; Econ, Loughborough, Leics, England; [Constantiou, Ioanna] Copenhagen Business Sch, Dept Digitalisat, Copenhagen, Denmark; [Duan, Yanqing] Univ Bedfordshire, Business &amp; Management Res Inst, Luton, Beds, England; [Edwards, John S.] Aston Business Sch, Operat &amp; Informat Management Dept, Birmingham, W Midlands, England; [Gupta, Babita] Calif State Univ, Monterey, CA USA; [Lal, Banita; Rana, Nripendra P.] Univ Bradford, Sch Management, Bradford, W Yorkshire, England; [Misra, Santosh] Govt Tamil Nadu, Tamil Nadu E Governance Agcy, Chennai, Tamil Nadu, India; [Prashant, Prakhar] Sabaps Corp, Woodland Hills, CA USA; [Raman, Ramakrishnan] Symbiosis Int Deemed Univ, Symbiosis Inst Business Management, Pune, Maharashtra, India; [Sharma, Sujeet K.] Indian Inst Management Tiruchirappalli, Informat Syst &amp; Analyt Area, Sooriyur, Tamil Nadu, India; [Upadhyay, Nitin] Goa Inst Management, Ctr Innovat Informat Technol &amp; Operat Management, Poriem, Goa, India</t>
  </si>
  <si>
    <t>Swansea University; Loughborough University; Copenhagen Business School; University of Bedfordshire; Aston University; University of Bradford; Symbiosis International University; Symbiosis Institute of Business Management (SIBM) Pune; Indian Institute of Management (IIM System); Indian Institute of Management Tiruchirappalli; Goa Institute of Management</t>
  </si>
  <si>
    <t>Rana, NP (corresponding author), Univ Bradford, Sch Management, Bradford, W Yorkshire, England.</t>
  </si>
  <si>
    <t>y.k.dwivedi@swansea.ac.uk; d.l.hughes@swansea.ac.uk; c.r.coombs@lboro.ac.uk; ic.digi@cbs.dk; yanqing.duan@beds.ac.uk; j.s.edwards@aston.ac.uk; bgupta@csumb.edu; B.lall@bradford.ac.uk; santoshmisra@gmail.com; sabapscorp@gmail.com; director@sibmpune.edu.in; n.p.rana@bradford.ac.uk; sujeet@iimtrichy.ac.in; nitin@gim.ac.in</t>
  </si>
  <si>
    <t>Rana, Nripendra P./AAY-1576-2021; Rana, Nripendra P./ABA-4719-2020; Raman, Ramakrishnan/U-2170-2017; Dwivedi, Yogesh Kumar/A-5362-2008; Pune, SIBM/Z-5178-2019; Edwards, John Steven/AAC-9878-2020</t>
  </si>
  <si>
    <t>Rana, Nripendra P./0000-0003-1105-8729; Raman, Ramakrishnan/0000-0003-3642-6989; Dwivedi, Yogesh Kumar/0000-0002-5547-9990; Edwards, John Steven/0000-0003-3979-017X; Upadhyay, Nitin/0000-0001-8301-8924; Constantiou, Ioanna/0000-0002-9761-1208</t>
  </si>
  <si>
    <t>10.1016/j.ijinfomgt.2020.102211</t>
  </si>
  <si>
    <t>OD0FF</t>
  </si>
  <si>
    <t>Green Submitted, Green Accepted, Green Published</t>
  </si>
  <si>
    <t>WOS:000579529600028</t>
  </si>
  <si>
    <t>Marcut, M</t>
  </si>
  <si>
    <t>Marcut, Mirela</t>
  </si>
  <si>
    <t>Evaluating the EU's role as a global actor in the digital space</t>
  </si>
  <si>
    <t>ROMANIAN JOURNAL OF EUROPEAN AFFAIRS</t>
  </si>
  <si>
    <t>European Union; actorness; digital space; digital policy</t>
  </si>
  <si>
    <t>The new Digital Strategy of the European Union (EU) emphasizes the need for a more assertive Union as regards digital leadership, claiming a role of a global actor in terms of digital policies. Moreover, the new policy documents on digital transformation promote the idea European technological sovereignty, thus pointing to a crystallization of a European approach towards digital policies that would be projected on the international stage. The purpose of this article is to investigate the sources of the proclaimed assertiveness of Digital Europe in international affairs. The hypothesis is that it stems from harmonization of legislation claimed by the Digital Single Market. However, the article aims to identify and assess the EU's recognition, authority, autonomy, markers proposed by Jupille and Caporaso (1998), in an approach meant to provide an overview of the EU's actorness in the digital space.</t>
  </si>
  <si>
    <t>[Marcut, Mirela] Univ Oradea, Fac Hist Int Relat Polit Sci &amp; Commun Sci, Oradea, Romania</t>
  </si>
  <si>
    <t>University of Oradea</t>
  </si>
  <si>
    <t>Marcut, M (corresponding author), Univ Oradea, Fac Hist Int Relat Polit Sci &amp; Commun Sci, Oradea, Romania.</t>
  </si>
  <si>
    <t>mirelamarcut@uoradea.ro</t>
  </si>
  <si>
    <t>Marcut, Mirela/AAK-7015-2021</t>
  </si>
  <si>
    <t>Marcut, Mirela/0000-0003-2832-9249</t>
  </si>
  <si>
    <t>EUROPEAN INST ROMANIA</t>
  </si>
  <si>
    <t>BUCHAREST</t>
  </si>
  <si>
    <t>7-9 BD REGINA ELISABETA, SECTOR 3, BUCHAREST, 030016, ROMANIA</t>
  </si>
  <si>
    <t>1582-8271</t>
  </si>
  <si>
    <t>1841-4273</t>
  </si>
  <si>
    <t>ROM J EUR AFF</t>
  </si>
  <si>
    <t>Rom. J. Eur. Aff.</t>
  </si>
  <si>
    <t>PV3YY</t>
  </si>
  <si>
    <t>WOS:000609928200006</t>
  </si>
  <si>
    <t>van Tonder, C; Schachtebeck, C; Nieuwenhuizen, C; Bossink, B</t>
  </si>
  <si>
    <t>van Tonder, Chante; Schachtebeck, Chris; Nieuwenhuizen, Cecile; Bossink, Bart</t>
  </si>
  <si>
    <t>A FRAMEWORK FOR DIGITAL TRANSFORMATION AND BUSINESS MODEL INNOVATION</t>
  </si>
  <si>
    <t>digitalisation; digital transformation; business model innovation</t>
  </si>
  <si>
    <t>DYNAMIC CAPABILITIES; TECHNOLOGY; ANTECEDENTS; STRATEGY; PRODUCT</t>
  </si>
  <si>
    <t>With the advent of the Fourth Industrial Revolution, businesses are adapting to the use of digitalisation which requires the digital transformation of their existing business models. However, there is limited empirical research on this phenomenon. The purpose of this study is twofold: (i) to develop a framework for businesses to digitally transform their business models and (ii) to examine literature in order to identify and analyse the constructs underlying the three concepts of Digitalisation, Digital Transformation and Business Model Innovation. The study is qualitative in nature and is based on a narrative review. Relevant articles were identified by using international bibliographic databases and scrutinised using thematic analysis. The findings reveal that the first two constructs require digital capabilities and a digital strategy. The third construct requires digital transformation in the realm of customercentricity, resources, processes and profit. A set of propositions was formulated and the commonalities were mapped. Based upon this map, a conceptual framework was developed. The findings will assist in the development of future instruments that can guide businesses to digitally transform existing business model elements. This study aims to fill the gap on how business model innovation should be pursued through digital transformation by developing a conceptual framework.</t>
  </si>
  <si>
    <t>[van Tonder, Chante; Schachtebeck, Chris; Nieuwenhuizen, Cecile] Univ Johannesburg, Dept Business Management, Johannesburg, South Africa; [Bossink, Bart] Vrije Univ, Dept Sci Business &amp; Innovat, Amsterdam, Netherlands</t>
  </si>
  <si>
    <t>University of Johannesburg; Vrije Universiteit Amsterdam</t>
  </si>
  <si>
    <t>van Tonder, C (corresponding author), Univ Johannesburg, Dept Business Management, Johannesburg, South Africa.</t>
  </si>
  <si>
    <t>chantevt@uj.ac.za; cschachtebeck@uj.ac.za; cecilen@uj.ac.za; b.a.g.bossink@vu.nl</t>
  </si>
  <si>
    <t>Schachtebeck, Chris/AAE-5048-2021</t>
  </si>
  <si>
    <t>Botha, Chante/0000-0002-1155-416X; Bossink, Bart/0000-0001-9809-5121; Schachtebeck, Chris/0000-0002-9133-2590</t>
  </si>
  <si>
    <t>10.30924/mjcmi.25.2.6</t>
  </si>
  <si>
    <t>PK8JS</t>
  </si>
  <si>
    <t>WOS:000602684700006</t>
  </si>
  <si>
    <t>Zheng, WM; Liao, ZX; Lin, ZB</t>
  </si>
  <si>
    <t>Zheng, Weimin; Liao, Zhixue; Lin, Zhibin</t>
  </si>
  <si>
    <t>Navigating through the complex transport system: A heuristic approach for city tourism recommendation</t>
  </si>
  <si>
    <t>TOURISM MANAGEMENT</t>
  </si>
  <si>
    <t>Tourism recommendation system; Smart tourism; City tourism; Transport mode choice; Multi-objective optimization; Nondominated sorting heuristic approach</t>
  </si>
  <si>
    <t>PARTICLE SWARM OPTIMIZATION; DIFFERENTIAL EVOLUTION; SMART TOURISM; ALGORITHM; DESIGN; ROUTE; INFORMATION; BEHAVIOR; SERVICE; GPS</t>
  </si>
  <si>
    <t>The fast development of machine learning and artificial intelligence has led to a great improvement of the smart tourism recommendation system, however many problems associated with the choice of transport modes in city tourism have yet to be solved. This research attempts to address this issue by proposing a model of customized day itineraries with consideration of transport mode choice. With improved particle swarm optimization and differential evolution algorithm, a nondominated sorting heuristic approach was devised. A case study was carried out in Chengdu, China to examine the performance of our approach. The results show that compared with extant methods, our approach achieves better performance. In addition, our approach can create more sensible, multifarious, and customized itineraries than previous methods. Tourism organizations and mobile map app providers could integrate our proposed model into their existing smart service systems, as part of their e-business or digital strategy for enhancing tourist experience.</t>
  </si>
  <si>
    <t>[Zheng, Weimin] Xiamen Univ, Sch Management, 422 South Siming Rd, Xiamen 361005, Peoples R China; [Liao, Zhixue] Southwestern Univ Finance &amp; Econ, Sch Business Adm, 555 Liutai Ave, Chengdu 611130, Peoples R China; [Lin, Zhibin] Univ Durham, Business Sch, Mill Hill Lane, Durham DH1 3LB, England</t>
  </si>
  <si>
    <t>Xiamen University; Southwestern University of Finance &amp; Economics - China; Durham University</t>
  </si>
  <si>
    <t>Liao, ZX (corresponding author), Southwestern Univ Finance &amp; Econ, Sch Business Adm, 555 Liutai Ave, Chengdu 611130, Peoples R China.</t>
  </si>
  <si>
    <t>liaozhixue@swufe.edu.cn</t>
  </si>
  <si>
    <t>WU, ZHEN/GRN-7688-2022; zheng, wei/IQT-9639-2023; Lin, Zhibin/ACD-8628-2022; Lin, Zhibin/R-7541-2018</t>
  </si>
  <si>
    <t>WU, ZHEN/0000-0001-8719-057X; Lin, Zhibin/0000-0001-5575-2216; Lin, Zhibin/0000-0001-5575-2216</t>
  </si>
  <si>
    <t>National Natural Science Foundation of China [71971179, 71701167, 71601164, 71671152]; Humanities and Social Science Projects of the Ministry of Education of China [17YJC630078]</t>
  </si>
  <si>
    <t>National Natural Science Foundation of China(National Natural Science Foundation of China (NSFC)); Humanities and Social Science Projects of the Ministry of Education of China(Ministry of Education, China)</t>
  </si>
  <si>
    <t>This research received grants from the National Natural Science Foundation of China (No.71971179, No.71701167, No.71601164, No.71671152) and Humanities and Social Science Projects of the Ministry of Education of China (No.17YJC630078).</t>
  </si>
  <si>
    <t>0261-5177</t>
  </si>
  <si>
    <t>1879-3193</t>
  </si>
  <si>
    <t>TOURISM MANAGE</t>
  </si>
  <si>
    <t>Tourism Manage.</t>
  </si>
  <si>
    <t>10.1016/j.tourman.2020.104162</t>
  </si>
  <si>
    <t>Environmental Studies; Hospitality, Leisure, Sport &amp; Tourism; Management</t>
  </si>
  <si>
    <t>Environmental Sciences &amp; Ecology; Social Sciences - Other Topics; Business &amp; Economics</t>
  </si>
  <si>
    <t>MM4UO</t>
  </si>
  <si>
    <t>WOS:000550153800021</t>
  </si>
  <si>
    <t>Markarian, J</t>
  </si>
  <si>
    <t>Markarian, Jennifer</t>
  </si>
  <si>
    <t>Digital Strategies for Biopharma Manufacturing</t>
  </si>
  <si>
    <t>BIOPHARM INTERNATIONAL</t>
  </si>
  <si>
    <t>ADVANSTAR COMMUNICATIONS INC</t>
  </si>
  <si>
    <t>DULUTH</t>
  </si>
  <si>
    <t>131 W 1ST STREET, DULUTH, MN 55802 USA</t>
  </si>
  <si>
    <t>1542-166X</t>
  </si>
  <si>
    <t>1939-1862</t>
  </si>
  <si>
    <t>BIOPHARM INT</t>
  </si>
  <si>
    <t>Biopharm. Int.</t>
  </si>
  <si>
    <t>Biotechnology &amp; Applied Microbiology; Pharmacology &amp; Pharmacy</t>
  </si>
  <si>
    <t>VM2IP</t>
  </si>
  <si>
    <t>WOS:000981661400013</t>
  </si>
  <si>
    <t>Pinto, DJA; Moraes, I</t>
  </si>
  <si>
    <t>Ayres Pinto, Danielle Jacon; Moraes, Isabela</t>
  </si>
  <si>
    <t>Digital Media as a Tool of Manipulation in Democratic Electoral Processes: An Analysis of the Brexit Case</t>
  </si>
  <si>
    <t>REVISTA DE ESTUDIOS SOCIALES</t>
  </si>
  <si>
    <t>Brexit; democracy; far right; digital media; digital political marketing</t>
  </si>
  <si>
    <t>INTERNET</t>
  </si>
  <si>
    <t>The year 2016 is considered a milestone in international politics. The victories by Brexit and Donald Trump marked the rise of the extreme right in the West and the institutionalization of what became known as the post-truth era. In both instances, there was a disregard for democratic values and the adoption of an exclusionary discourse to pursue the objectives of a specific political group. It is against this background that a vast body of literature is beginning to emerge on how we came to mistrust institutions and the veracity of facts. This article is intended to be part of these contributions, as it provides an interpretation of the current context of the weakening of democratic values and processes through a digital strategy of societal manipulation.</t>
  </si>
  <si>
    <t>[Ayres Pinto, Danielle Jacon] Univ Fed Santa Catarina UFSC, Grad &amp; Posgrad Relacoes Int, Florianopolis, SC, Brazil; [Ayres Pinto, Danielle Jacon; Moraes, Isabela] Grp Pesquisa Estudos Estrateg &amp; Polit Int Contemp, Florianopolis, SC, Brazil</t>
  </si>
  <si>
    <t>Pinto, DJA (corresponding author), Univ Fed Santa Catarina UFSC, Grad &amp; Posgrad Relacoes Int, Florianopolis, SC, Brazil.;Pinto, DJA (corresponding author), Grp Pesquisa Estudos Estrateg &amp; Polit Int Contemp, Florianopolis, SC, Brazil.</t>
  </si>
  <si>
    <t>djap2222@yahoo.com; isabermoraes@gmail.com</t>
  </si>
  <si>
    <t>Pinto, Danielle Jacon Ayres/AAW-1650-2020</t>
  </si>
  <si>
    <t>Pinto, Danielle Jacon Ayres/0000-0002-1105-1626</t>
  </si>
  <si>
    <t>UNIV ANDES</t>
  </si>
  <si>
    <t>Bogota</t>
  </si>
  <si>
    <t>Cra. 1 #18a-12, Bogota, COLOMBIA</t>
  </si>
  <si>
    <t>0123-885X</t>
  </si>
  <si>
    <t>1900-5180</t>
  </si>
  <si>
    <t>REV ESTUD SOC</t>
  </si>
  <si>
    <t>Rev. Estud. Soc.</t>
  </si>
  <si>
    <t>10.7440/res74.2020.06</t>
  </si>
  <si>
    <t>Social Issues; Social Sciences, Interdisciplinary</t>
  </si>
  <si>
    <t>Social Issues; Social Sciences - Other Topics</t>
  </si>
  <si>
    <t>NV4FF</t>
  </si>
  <si>
    <t>WOS:000574279000006</t>
  </si>
  <si>
    <t>Suing, A; Ordóñez, K; Herrero-Gutiérrez, FJ</t>
  </si>
  <si>
    <t>Suing, Abel; Ordonez, Kruzkaya; Herrero-Gutierrez, Francisco-Javier</t>
  </si>
  <si>
    <t>Coexistence between radio and social networks in the process of media convergence in Spain</t>
  </si>
  <si>
    <t>radio; social networks; audience; media convergence</t>
  </si>
  <si>
    <t>PROGRAMS; TWITTER</t>
  </si>
  <si>
    <t>Media convergence is part of a process of cultural transformation that involves various forms of information consumption; a scenario in which the media, including radio, submerges to capture and interact with the audience, and there is a phenomenon of repositioning of proximity that provides new impetus to the radio in both its traditional and online broadcasts. This research aims to determine the scope of national radio (thematic and general) of Spain on the basis of the report that summarizes the last three waves of the General Media Study (2018) through a quantitative analysis that consists of comparing the number of listeners (open signal), the number of followers, interactions, commitment and comments on Facebook and Twitter, indicators used to measure the rate of interaction or engagement and the CTR (clicks by tweet I like and the number of followers). The results allow obtaining data on the impact and reach of Spanish radios and serve as a guide for the adoption of digital strategies. The interaction of the generalist radios is greater than the thematic ones, and in the selected sample they are all musical. The main difference should be in qualitative aspects, since the quantitative evidence shows no correlation. Finally, depending on the social network in question, a different behavior is observed among stations.</t>
  </si>
  <si>
    <t>[Suing, Abel; Ordonez, Kruzkaya] Univ Tecn Particular Loja, Loja, Ecuador; [Herrero-Gutierrez, Francisco-Javier] Univ Salamanca, Salamanca, Spain</t>
  </si>
  <si>
    <t>Universidad Tecnica Particular de Loja; University of Salamanca</t>
  </si>
  <si>
    <t>Suing, A (corresponding author), Univ Tecn Particular Loja, Loja, Ecuador.</t>
  </si>
  <si>
    <t>arsuing@utpl.edu.ec; kordonez@utpl.edu.ec; javiherrero82@usal.es</t>
  </si>
  <si>
    <t>Herrero-Gutiérrez, Francisco-Javier/C-2624-2013; Suing, Abel/AAJ-8854-2020</t>
  </si>
  <si>
    <t>Herrero-Gutiérrez, Francisco-Javier/0000-0002-1362-7406; Suing, Abel/0000-0002-4234-5926</t>
  </si>
  <si>
    <t>10.5565/rev/analisi.3206</t>
  </si>
  <si>
    <t>PM1SV</t>
  </si>
  <si>
    <t>WOS:000603589000001</t>
  </si>
  <si>
    <t>Lotriet, RA; Ditshego, KK</t>
  </si>
  <si>
    <t>Lotriet, R. A.; Ditshego, K. Kokotwane</t>
  </si>
  <si>
    <t>An assessment of perceptions concerning digital transformation at a South African commercial bank - a case of Anthropocene denial for the economy?</t>
  </si>
  <si>
    <t>TYDSKRIF VIR GEESTESWETENSKAPPE</t>
  </si>
  <si>
    <t>Afrikaans</t>
  </si>
  <si>
    <t>digital maturity; digital transformation; digital revolution; the Fourth Industrial Revolution; fintechs; big data; blockchain</t>
  </si>
  <si>
    <t>Compared to other industrialised countries the South African banking industry is at present well developed and controlled. However, the industry is under stress due to a number of reasons including customer demands for more seamless banking experience. The Fintechs and other digital disruptors such as Blockchain are also causing turmoil in the industry. The banks are under massive pressure to transform their business models to a more customer-centric approach in order to stay relevant. Digital transformation is seen as the solution to the challenges faced by banks. The core digital transformation practices such as leadership, digital trends, digital transformation skills, digital strategies, implementation of digital technologies, and customer centric approach are seen as influences brought to bear on digital maturity levels. The Bank has felt the disruption and is working towards changing its business model from product-centric to customer-centric. This research was undertaken to assess how the core practices influence digital maturity in the Bank. The participants were asked to rate the Bank's maturity level among the options given; early, developing, and maturing. The majority of the respondents view the Bank as developing in terms of maturity. The statistical techniques were employed to assess the relationship between digital maturity and digital transformation core practices. Furthermore, an ordinal logistic regression analysis was employed to establish what relationship exists between digital maturity level and the combined core factors, i.e. a prediction was made about an ordinal response variable given a set of independent variables. The results revealed that a relationship exists between digital maturity and core practices. In particular, the research has shown that an interconnected set of digital transformation core practices work together to influence digital maturity.</t>
  </si>
  <si>
    <t>[Lotriet, R. A.; Ditshego, K. Kokotwane] Noordwes Univ, Besigheidskool, Fak Ekon Wetenskappe, Potchefstroom, South Africa</t>
  </si>
  <si>
    <t>North West University - South Africa</t>
  </si>
  <si>
    <t>Lotriet, RA (corresponding author), Noordwes Univ, Besigheidskool, Fak Ekon Wetenskappe, Potchefstroom, South Africa.</t>
  </si>
  <si>
    <t>Ronnie.Lotriet@nwu.ac.za</t>
  </si>
  <si>
    <t>SUID-AFRIKAANSE AKAD VIR WETENSKAP EN KUNS, SEKRETARIS</t>
  </si>
  <si>
    <t>PRETORIA</t>
  </si>
  <si>
    <t>P. O. BOX 538, PRETORIA, 00000, SOUTH AFRICA</t>
  </si>
  <si>
    <t>0041-4751</t>
  </si>
  <si>
    <t>TYDSKR GEESTESWET</t>
  </si>
  <si>
    <t>Tydskr. Geesteswet.</t>
  </si>
  <si>
    <t>10.17159/2224-7912/2020/v60n3a8</t>
  </si>
  <si>
    <t>Social Issues</t>
  </si>
  <si>
    <t>PE6WC</t>
  </si>
  <si>
    <t>WOS:000598503500008</t>
  </si>
  <si>
    <t>Pateli, A; Mylonas, N; Spyrou, A</t>
  </si>
  <si>
    <t>Pateli, Adamantia; Mylonas, Naoum; Spyrou, Aggeliki</t>
  </si>
  <si>
    <t>Organizational Adoption of Social Media in the Hospitality Industry: An Integrated Approach Based on DIT and TOE Frameworks</t>
  </si>
  <si>
    <t>social media adoption; diffusion of innovation theory; TOE; hospitality industry</t>
  </si>
  <si>
    <t>PLS-SEM; INFORMATION-TECHNOLOGY; SMES ADOPTION; E-BUSINESS; PERFORMANCE; INNOVATION; DIFFUSION; TOURISM; SYSTEMS; MODELS</t>
  </si>
  <si>
    <t>The importance of the organizational adoption of social media is increasingly raised in hospitality literature because of the recognition of Web 2.0 technologies as a significant tool for improving customer information searching and experience, as well as for enriching firm digital strategy. The present study seeks to empirically explore the determinant factors that affect a hospitality firm's decision to adopt social media by following a theoretical approach that integrates the Diffusion of Innovation Theory (DIT) with the Technology-Organization-Environment (TOE) framework. Using survey data from 106 hospitality firms operating in Greece, and by applying structural equation modelling (SEM), we identify seven factors that influence the adoption of organizational social media adoption. These factors are grouped into three categories: Technological, organizational, and environmental. Out of the three groups of factors, technological features are considered as the most important ones in terms of their predicting power. Theoretical and practical implications of our findings are discussed.</t>
  </si>
  <si>
    <t>[Pateli, Adamantia; Spyrou, Aggeliki] Ionian Univ, Dept Informat, Tsirigoti Sq 7, Corfu 49100, Greece; [Mylonas, Naoum] Ionian Univ, Dept Tourism, P Vraila Armeni 4, Corfu 49132, Greece</t>
  </si>
  <si>
    <t>pateli@ionio.gr; nmylonas@ionio.gr; c15spyr@ionio.gr</t>
  </si>
  <si>
    <t>Pateli, Adamantia/AAM-3196-2021; Mylonas, Naoum/AAD-8214-2019</t>
  </si>
  <si>
    <t>Pateli, Adamantia/0000-0001-8649-1303; Mylonas, Naoum/0000-0002-4286-8022</t>
  </si>
  <si>
    <t>10.3390/su12177132</t>
  </si>
  <si>
    <t>NP7XZ</t>
  </si>
  <si>
    <t>WOS:000570387200001</t>
  </si>
  <si>
    <t>Zhao, X</t>
  </si>
  <si>
    <t>Zhao, Xin</t>
  </si>
  <si>
    <t>Auditing the Me Inc.: Teaching personal branding on LinkedIn through an experiential learning method</t>
  </si>
  <si>
    <t>COMMUNICATION TEACHER</t>
  </si>
  <si>
    <t>COMMUNICATION</t>
  </si>
  <si>
    <t>Courses:Public Relations, Business and Professional Communication, Training and Development, Digital Media Strategies, Digital Communications. Objectives:By the end of the activity, students will be able to synthesize the key attributes of the notion of personal branding and to apply them in their future professional communications on social media.</t>
  </si>
  <si>
    <t>[Zhao, Xin] Bournemouth Univ, Fac Media &amp; Commun, Dept Commun &amp; Journalism, Poole, Dorset, England</t>
  </si>
  <si>
    <t>Bournemouth University</t>
  </si>
  <si>
    <t>Zhao, X (corresponding author), Bournemouth Univ, Fac Media &amp; Commun, Dept Commun &amp; Journalism, Poole, Dorset, England.</t>
  </si>
  <si>
    <t>xzhao@bournemouth.ac.uk</t>
  </si>
  <si>
    <t>Zhao, Xin/AAT-5158-2020</t>
  </si>
  <si>
    <t>Zhao, Xin/0000-0001-6853-7224</t>
  </si>
  <si>
    <t>1740-4622</t>
  </si>
  <si>
    <t>1740-4630</t>
  </si>
  <si>
    <t>COMMUN TEACH</t>
  </si>
  <si>
    <t>Commun. Teach.</t>
  </si>
  <si>
    <t>10.1080/17404622.2020.1807579</t>
  </si>
  <si>
    <t>AUG 2020</t>
  </si>
  <si>
    <t>PG6JU</t>
  </si>
  <si>
    <t>WOS:000565999400001</t>
  </si>
  <si>
    <t>Ogrean, C; Herciu, M</t>
  </si>
  <si>
    <t>Ogrean, Claudia; Herciu, Mihaela</t>
  </si>
  <si>
    <t>DIGITAL TRANSFORMATION OF CENTRU REGION ROMANIA - NEEDS ASSESSMENT</t>
  </si>
  <si>
    <t>Centru Region-Romania; digital transformation; (digital) innovation; (digital) competitiveness; innovation performance</t>
  </si>
  <si>
    <t>Competitiveness represents a never-ending moving target for any institution/entity, no matter the level of analysis (micro companies /public administrations, mezzo industries /national regions, or macro countries / world regions); but its determinants (or key success factors) are changing, as ages go by, asking for continuous watch and strategic flexibility. With digital technology nowadays disrupting (almost) every aspect of human life, while framing a new age of digitalization being both a source of competitiveness (for the industry leaders whatever the 'industry might be), and (just) a prerequisite for survival (or doing business) for almost everyone else, the European Commission's political priority for 2019-2024 A Europe fit for the digital age and the EU's digital strategy aiming for a digital transformation that will benefit everyone are of great interest (accentuated by the new pandemic context) for all the EU regions and their institutions/entities. Within this framework the paper (which is part of a bigger research) aims to perform an overview scan of Centro Region-Romania (mainly by comparison with Romania's other Development Regions and with EU benchmarks) in order to broadly identify its needs for digital transformation, while setting the backgrounds for a more systematic, focused and applied analysis to follow.</t>
  </si>
  <si>
    <t>[Ogrean, Claudia; Herciu, Mihaela] Lucian Blaga Univ Sibiu, Sibiu, Romania</t>
  </si>
  <si>
    <t>Ogrean, C (corresponding author), Lucian Blaga Univ Sibiu, Sibiu, Romania.</t>
  </si>
  <si>
    <t>OGREAN, CLAUDIA A/C-6678-2008; Herciu, Mihaela/C-5875-2008</t>
  </si>
  <si>
    <t>OGREAN, CLAUDIA A/0000-0001-8986-4507; Herciu, Mihaela/0000-0001-9649-2043</t>
  </si>
  <si>
    <t>10.2478/sbe-2020-0040</t>
  </si>
  <si>
    <t>OG5PF</t>
  </si>
  <si>
    <t>WOS:000581935000020</t>
  </si>
  <si>
    <t>Correani, A; De Massis, A; Frattini, F; Petruzzelli, AM; Natalicchio, A</t>
  </si>
  <si>
    <t>Correani, Alessia; De Massis, Alfredo; Frattini, Federico; Petruzzelli, Antonio Messeni; Natalicchio, Angelo</t>
  </si>
  <si>
    <t>Implementing a Digital Strategy: Learning from the Experience of Three Digital Transformation Projects</t>
  </si>
  <si>
    <t>CALIFORNIA MANAGEMENT REVIEW</t>
  </si>
  <si>
    <t>digital transformation; digital strategy; strategy implementation</t>
  </si>
  <si>
    <t>BUSINESS MODEL; FUTURE; ORGANIZATION; PERSPECTIVE; TECHNOLOGY; INNOVATION; RESOURCES; INDUSTRY</t>
  </si>
  <si>
    <t>The rapid growth of digital technologies and the extraordinary amount of data that devices and applications collect each day are increasingly driving companies to radically transform the business architecture through which they create and appropriate value. However, companies may fail to extract value from digital transformation due to the disconnection between strategy formulation and strategy implementation. Through the analysis of three case studies of firms that digitally transformed their business - namely ABB, CNH Industrial, and Vodafone -, this article presents a framework than can help companies implement their digital transformation strategy and thereby renovate their business model.</t>
  </si>
  <si>
    <t>[Correani, Alessia] Microsoft Italy, Milan, Italy; [De Massis, Alfredo] Free Univ Bozen Bolzano, Bolzano, Italy; [De Massis, Alfredo] Univ Lancaster, Lancaster, England; [De Massis, Alfredo] Zhejiang Univ, Hangzhou, Peoples R China; [Frattini, Federico] Politecn Milan, Milan, Italy; [Petruzzelli, Antonio Messeni; Natalicchio, Angelo] Politecn Bari, Bari, Italy</t>
  </si>
  <si>
    <t>Free University of Bozen-Bolzano; Lancaster University; Zhejiang University; Polytechnic University of Milan; Politecnico di Bari</t>
  </si>
  <si>
    <t>Correani, A (corresponding author), Microsoft Italy, Milan, Italy.</t>
  </si>
  <si>
    <t>FRATTINI, FEDERICO/0000-0001-5100-3605</t>
  </si>
  <si>
    <t>0008-1256</t>
  </si>
  <si>
    <t>2162-8564</t>
  </si>
  <si>
    <t>CALIF MANAGE REV</t>
  </si>
  <si>
    <t>Calif. Manage. Rev.</t>
  </si>
  <si>
    <t>10.1177/0008125620934864</t>
  </si>
  <si>
    <t>JUL 2020</t>
  </si>
  <si>
    <t>NC6IO</t>
  </si>
  <si>
    <t>WOS:000547612800001</t>
  </si>
  <si>
    <t>Demeter, K; Losonci, D; Nagy, J</t>
  </si>
  <si>
    <t>Demeter, Krisztina; Losonci, David; Nagy, Judit</t>
  </si>
  <si>
    <t>Road to digital manufacturing - a longitudinal case-based analysis</t>
  </si>
  <si>
    <t>JOURNAL OF MANUFACTURING TECHNOLOGY MANAGEMENT</t>
  </si>
  <si>
    <t>Industry 4; 0; Digitalization; Case study; Automotive industry</t>
  </si>
  <si>
    <t>INDUSTRY 4.0 TECHNOLOGIES; DYNAMIC CAPABILITIES; ABSORPTIVE-CAPACITY; MICROFOUNDATIONS; IMPLEMENTATION; EXPLORATION</t>
  </si>
  <si>
    <t>Purpose The authors' main objective is to examine the resource alteration underlying the digital manufacturing transformation. The authors rely on the adaptation aspect of dynamic capabilities (DC) theory and their analysis shows how and why a factory adapts its resources and capabilities during digital transformation. Design/methodology/approach To grasp the change, the authors apply the longitudinal case study method within a revelatory case setting. The digital transformation is detailed from the perspective of a subsidiary that has played a key role in the division's digital transformation. Findings Analysing the revealed four stages of the transformation through the lenses of the DC components of adaptation (sensing capability, absorptive capacity, integrative capability, relational capability), this study suggests a sequence with unbalanced characteristics. Each stage starts with sensing capability, each component appears during each stage and each stage is dominated by a different component. Relying on the path dependency concept, the authors also present that the interplay between lean as an old resource stock and digital manufacturing as a new resource stock is rather a necessity, especially at the beginning of the transformation (at a corporation that pursues lean for years). Practical implications Digital strategy development is rather an intermediate element of the transformation, since committed personnel (or maybe their network) start bottom-up and coordinate initiatives as they sense the opportunities in the environment. Top managers should rely on their accumulated knowledge and involve them into the transfer coalition in the top-down phase of digitalization. The authors' case also underlines that starting to experiment with novel technologies requires a solid (and usually expensive) technological and human basis. Finally, process improvement focussed developments at a high-performing factory might be just enough to deal with ever-demanding customer expectations. Originality/value This study is among the firsts in operations management that relies on the DC theory to follow up the digital transformation of a factory. A further valuable contribution is that the adaptation process is examined in a longitudinal case study.</t>
  </si>
  <si>
    <t>[Demeter, Krisztina; Losonci, David; Nagy, Judit] Corvinus Univ Budapest, Dept Logist &amp; Supply Chain Management, Budapest, Hungary</t>
  </si>
  <si>
    <t>Demeter, K (corresponding author), Corvinus Univ Budapest, Dept Logist &amp; Supply Chain Management, Budapest, Hungary.</t>
  </si>
  <si>
    <t>krisztina.demeter@uni-corvinus.hu; david.losonci@uni-corvinus.hu; judit.nagy@uni-corvinus.hu</t>
  </si>
  <si>
    <t>Nagy, Judit/AAE-3341-2022; Nagy, Judit/HZL-6228-2023; Losonci, Dávid/A-7808-2013; Demeter, Krisztina/B-1310-2013</t>
  </si>
  <si>
    <t>Nagy, Judit/0000-0001-8275-1550; Nagy, Judit/0000-0001-8275-1550; Losonci, Dávid/0000-0003-0073-7849; Demeter, Krisztina/0000-0002-5967-8540</t>
  </si>
  <si>
    <t>project Aspects on the development of intelligent, sustainable and inclusive society: social, technological, innovation networks in employment and digital economy [EFOP-3.6.2-16-2017-00007]; EU; European Social Fund</t>
  </si>
  <si>
    <t>project Aspects on the development of intelligent, sustainable and inclusive society: social, technological, innovation networks in employment and digital economy; EU(European Union (EU)); European Social Fund(European Social Fund (ESF))</t>
  </si>
  <si>
    <t>This research was supported by the project Aspects on the development of intelligent, sustainable and inclusive society: social, technological, innovation networks in employment and digital economy (EFOP-3.6.2-16-2017-00007). The project has been supported by the EU, co-financed by the European Social Fund and the budget of Hungary.</t>
  </si>
  <si>
    <t>1741-038X</t>
  </si>
  <si>
    <t>1758-7786</t>
  </si>
  <si>
    <t>J MANUF TECHNOL MANA</t>
  </si>
  <si>
    <t>J. Manuf. Technol. Manag.</t>
  </si>
  <si>
    <t>MAR 25</t>
  </si>
  <si>
    <t>10.1108/JMTM-06-2019-0226</t>
  </si>
  <si>
    <t>JUN 2020</t>
  </si>
  <si>
    <t>Engineering, Industrial; Engineering, Manufacturing; Management</t>
  </si>
  <si>
    <t>Engineering; Business &amp; Economics</t>
  </si>
  <si>
    <t>RC5QC</t>
  </si>
  <si>
    <t>WOS:000546076100001</t>
  </si>
  <si>
    <t>Ziemssen, T; Kern, R; Voigt, I; Haase, R</t>
  </si>
  <si>
    <t>Ziemssen, Tjalf; Kern, Raimar; Voigt, Isabel; Haase, Rocco</t>
  </si>
  <si>
    <t>Data Collection in Multiple Sclerosis: The MSDS Approach</t>
  </si>
  <si>
    <t>FRONTIERS IN NEUROLOGY</t>
  </si>
  <si>
    <t>multiple sclerosis; documentation; digital patient management; post-authorization safety study; MSDS3D</t>
  </si>
  <si>
    <t>REAL-WORLD; DOCUMENTATION SYSTEM; TECHNOLOGY; MANAGEMENT; THERAPY; IMPLEMENTATION; FINGOLIMOD; DISABILITY; LIFE</t>
  </si>
  <si>
    <t>Multiple sclerosis (MS) is a frequent chronic inflammatory disease of the central nervous system that affects patients over decades. As the monitoring and treatment of MS become more personalized and complex, the individual assessment and collection of different parameters ranging from clinical assessments via laboratory and imaging data to patient-reported data become increasingly important for innovative patient management in MS. These aspects predestine electronic data processing for use in MS documentation. Such technologies enable the rapid exchange of health information between patients, practitioners, and caregivers, regardless of time and location. In this perspective paper, we present our digital strategy from Dresden, where we are developing the Multiple Sclerosis Documentation System (MSDS) into an eHealth platform that can be used for multiple purposes. Various use cases are presented that implement this software platform and offer an important perspective for the innovative digital patient management in the future. A holistic patient management of the MS, electronically supported by clinical pathways, will have an important impact on other areas of patient care, such as neurorehabilitation.</t>
  </si>
  <si>
    <t>[Ziemssen, Tjalf; Voigt, Isabel; Haase, Rocco] Univ Hosp Carl Gustav Carus, Ctr Clin Neurosci, Dresden, Germany; [Kern, Raimar] MedicalSyn GmbH, Stuttgart, Germany</t>
  </si>
  <si>
    <t>Technische Universitat Dresden; Carl Gustav Carus University Hospital</t>
  </si>
  <si>
    <t>Ziemssen, T (corresponding author), Univ Hosp Carl Gustav Carus, Ctr Clin Neurosci, Dresden, Germany.</t>
  </si>
  <si>
    <t>tjalf.ziemssen@uniklinikum-dresden.de</t>
  </si>
  <si>
    <t>Ziemssen, Focke/B-9564-2009</t>
  </si>
  <si>
    <t>Ziemssen, Focke/0000-0002-3873-0581; Voigt, Isabel/0000-0003-0097-8589; Haase, Rocco/0000-0003-2465-4909</t>
  </si>
  <si>
    <t>Hertie Foundation; Novartis; Teva; Merck; Roche; Sanofi; Biogen</t>
  </si>
  <si>
    <t>Hertie Foundation; Novartis(Novartis); Teva(Teva Pharmaceutical Industries); Merck(Merck &amp; Company); Roche(Roche Holding); Sanofi; Biogen(Biogen)</t>
  </si>
  <si>
    <t>The MSDS3D module development was supported by the Hertie Foundation, Novartis, Teva, Roche, Sanofi, Biogen, and Merck.</t>
  </si>
  <si>
    <t>1664-2295</t>
  </si>
  <si>
    <t>FRONT NEUROL</t>
  </si>
  <si>
    <t>Front. Neurol.</t>
  </si>
  <si>
    <t>JUN 16</t>
  </si>
  <si>
    <t>10.3389/fneur.2020.00445</t>
  </si>
  <si>
    <t>Clinical Neurology; Neurosciences</t>
  </si>
  <si>
    <t>Neurosciences &amp; Neurology</t>
  </si>
  <si>
    <t>MG5QU</t>
  </si>
  <si>
    <t>WOS:000546087300001</t>
  </si>
  <si>
    <t>Thomas, A</t>
  </si>
  <si>
    <t>Thomas, Ashish</t>
  </si>
  <si>
    <t>Convergence and digital fusion lead to competitive differentiation</t>
  </si>
  <si>
    <t>BUSINESS PROCESS MANAGEMENT JOURNAL</t>
  </si>
  <si>
    <t>10th Canadian Quality Congress</t>
  </si>
  <si>
    <t>SEP 24-25, 2018</t>
  </si>
  <si>
    <t>Simon Fraser Univ, Vancouver, CANADA</t>
  </si>
  <si>
    <t>Simon Fraser Univ</t>
  </si>
  <si>
    <t>Convergence; Open innovation; Digital technology; Agile synergistic interaction; Business and technology management; Digital fusion</t>
  </si>
  <si>
    <t>OPEN-INNOVATION; OPERATIONS-MANAGEMENT; EMPIRICAL-RESEARCH; FUTURE; STRATEGY</t>
  </si>
  <si>
    <t>Purpose Organizations are consistently seeking innovative strategies and novel pathways to enhance business processes and create differentiation. The global business ecosystem is changing and there is growing demand for multi-modal digital technologies, big data consolidation and data analytics to harness a cost-competitive agile system. Technological convergence and integration of digital systems is one of the preferred methodologies that facilitates new and effective workflows and revives business processes. The progressive interlinking of digital technologies with business operations leads to the convergence and blending of management disciplines, devices and applications. The growing inconsistencies in managerial understanding regarding the benefits of convergence prompts a comprehensive examination of digital convergence pathways, identifying the impacts on converging entities and business objectives. The State bank of India (SBI) mega-merger case study was selected to investigate the pragmatic framework of digital convergence and to understand the impacts on interlinked entities such as: business operations, strategic management, project team that support value creation and competitive differentiation. The purpose of this paper is to focus on the phenomena of techno-fusion of emerging technologies creating new opportunities, business models and unique strategies for global banking and financial service organizations. Design/methodology/approach This study applies the qualitative, inductive research method using critical reflection of before and after the implementation of convergence and digital integration strategies. The SBI case study employs this research strategy based on the premise that banks must stay agile and highly responsive to the changing environment to enhance its value proposition and competitive differentiation objectives. The study methodology incorporates cooperative inquiry and multiple levels of analysis using data collection techniques of exhaustive review of archives, informal interviews, questionnaires and observations to identify the synergistic process improvement pathway. The study is grounded on the concept that the convergence of diverse business pathways involves innovative and interlinked project, strategic and information technology (IT) workflows that results in open innovative systems. Findings The studies identify that organizational innovation and creative solutions are a result of ecosystem turbulence, environmental force diversity, competitive pressure and the need for differentiation. Organizations that harness the power of digital fusion and convergence of management, systems and data generate a competitive advantage. The technological convergence strategy pulls multiple business and technology processes (project, strategic, IT, Cloud, AI and business process management) at the organizational, divisional or functional level generating new opportunities and threats, new business models and unique growth strategies for global banking and financial services organizations. Organizations that fully integrate techno-fusion of business and digital strategies produce synergistic effects and enhance adaptability, innovation and resiliency in the face of competitive challenges. Research limitations/implications Additional areas that can be explored further as an extension of this study are listed below: identifying factors to improve the speed of convergence; the current results are limited to large size organizations where formal management and technology functions are distinctive. Similar studies on smaller organizations are warranted. Originality/value This study focuses on the evolving field of technology innovation, which is increasingly being intertwined with business operations. Innovative digital technology is enabling the convergence of the disciplines of management, digital devices and applications. This facilitates the creation of a pragmatic framework that supports convergence of business operations, strategic management and digital fusion which leads to value creation and competitive differentiation. The techno-fusion of emerging technologies and digital strategies generates new opportunities and threats, new business models and unique growth strategies for organizations.</t>
  </si>
  <si>
    <t>[Thomas, Ashish] Concordia Univ Edmonton, Dept Management, Edmonton, AB, Canada</t>
  </si>
  <si>
    <t>Thomas, A (corresponding author), Concordia Univ Edmonton, Dept Management, Edmonton, AB, Canada.</t>
  </si>
  <si>
    <t>ashish.thomas@concordia.ab.ca</t>
  </si>
  <si>
    <t>N'Dri, Amoin Bernadine/IWD-7811-2023</t>
  </si>
  <si>
    <t>1463-7154</t>
  </si>
  <si>
    <t>1758-4116</t>
  </si>
  <si>
    <t>BUS PROCESS MANAG J</t>
  </si>
  <si>
    <t>Bus. Process. Manag. J.</t>
  </si>
  <si>
    <t>JUN 15</t>
  </si>
  <si>
    <t>10.1108/BPMJ-01-2019-0001</t>
  </si>
  <si>
    <t>Social Science Citation Index (SSCI); Conference Proceedings Citation Index - Social Science &amp; Humanities (CPCI-SSH)</t>
  </si>
  <si>
    <t>MC0CP</t>
  </si>
  <si>
    <t>WOS:000542965300004</t>
  </si>
  <si>
    <t>Rahrovani, Y</t>
  </si>
  <si>
    <t>Rahrovani, Yasser</t>
  </si>
  <si>
    <t>Platform drifting: When work digitalization hijacks its spirit</t>
  </si>
  <si>
    <t>Digital work; Platform alignment; Social media alignment; Platform logic; Platform drifting; Digital strategy; Organizational transformation; Digital transformation</t>
  </si>
  <si>
    <t>ENTERPRISE SOCIAL MEDIA; INSTITUTIONAL LOGICS; STRATEGIC ALIGNMENT; COMPETING LOGICS; BUSINESS VALUE; ORGANIZATIONS; IDENTITY; CAPABILITIES; PERSPECTIVE; TECHNOLOGY</t>
  </si>
  <si>
    <t>Organizations are increasingly digitalizing the work associated with information exchange by using enterprise social media. However, social media's openness to outsider users poses significant challenges to maintaining alignment between social media logic (or platform logic that guides decisions and actions on the platform) and the dominant organizational logic. Through an in-depth, longitudinal, abductive study of three successive social media implementations in a single organization, I explore the process of maintaining (or losing) social media alignment and its long-term consequences on the nature of the work. The paper shows that digitalization exposes the work to continuous adjustment within and across three elements of digital work: digital infrastructure work (embracing new uses of the platform at the user level), digital strategy work (redesigning governance policies), and aligning work (fitting uses with the platform logic underlying digital work). The findings show that despite initial social media alignment, through continuous coevolution of these three elements, the platform logic underlying digital community work eventually drifted away from supporting the organization's original logic of cohesion to supporting an alternative logic of inclusivity. Accordingly, a process model of platform drifting has been developed. By taking a closer look at actual practices, the paper contributes to digital work research by identifying distinct elements of digital work involved in social media (mis) alignment and illustrates the profound, long-term consequences of social media on the nature of the work.</t>
  </si>
  <si>
    <t>[Rahrovani, Yasser] Western Univ, Ivey Business Sch, London, ON N6G 0N1, Canada</t>
  </si>
  <si>
    <t>Western University (University of Western Ontario)</t>
  </si>
  <si>
    <t>Rahrovani, Y (corresponding author), Western Univ, Ivey Business Sch, London, ON N6G 0N1, Canada.</t>
  </si>
  <si>
    <t>yrahrovani@ivey.ca</t>
  </si>
  <si>
    <t>Rahrovani, Yasser/0000-0002-9196-3835</t>
  </si>
  <si>
    <t>Montreal Toheed Society</t>
  </si>
  <si>
    <t>I am indebted to the participants of this study and to Montreal Toheed Society for supporting this research project. I am grateful for the insightful comments and encouragement received from Editor-in-Chief, Guy Gable, the special issue guest editors, particularly Stefan Klein, and the four anonymous reviewers. I sincerely thank Robert D. Austin, Tima Bansal, Patricia Thornton, Ali Aslan Gumusay, Alain Pinsonneault, Yolande Chan, Isam Faik, Mohammad Hossein Jarrahi, Shamel Addas, Mohammad Rezazade Mehrizi, James Denford, Nicole Haggerty, Saeed Akhlaghpour, and Bogdan Negoita for their constructive comments on various versions of this paper.</t>
  </si>
  <si>
    <t>10.1016/j.jsis.2020.101615</t>
  </si>
  <si>
    <t>NH3AY</t>
  </si>
  <si>
    <t>WOS:000564547600007</t>
  </si>
  <si>
    <t>Raj, A; Dwivedi, G; Sharma, A; Jabbour, ABLD; Rajak, S</t>
  </si>
  <si>
    <t>Raj, Alok; Dwivedi, Gourav; Sharma, Ankit; Lopes de Sousa Jabbour, Ana Beatriz; Rajak, Sonu</t>
  </si>
  <si>
    <t>Barriers to the adoption of industry 4.0 technologies in the manufacturing sector: An inter-country comparative perspective</t>
  </si>
  <si>
    <t>Industry 4.0; Barriers; Grey-DEMATEL; Developed economy; Developing economy</t>
  </si>
  <si>
    <t>RESEARCH AGENDA; CHALLENGES; DEMATEL; FUTURE; INTERNET; THINGS; MODEL; INITIATIVES; INFORMATION; COMPANIES</t>
  </si>
  <si>
    <t>This paper examines barriers to the implementation of Industry 4.0 technologies in the manufacturing sector in the context of both developed and developing economies. A comprehensive literature review, followed by discussions with industry experts, identifies 15 barriers, which are analyzed by means of a Grey Decision-Making Trial and Evaluation Laboratory (DEMATEL) approach. The 'lack of a digital strategy alongside resource scarcity' emerges as the most prominent barrier in both developed and developing economies. The influencing barriers identified suggest that improvements in standards and government regulation could facilitate the adoption of Industry 4.0 technologies in developing country case, whereas technological infrastructure is needed to promote the adoption of these technologies in developed country case. This study is one of the first to examine the implementation of Industry 4.0 in both developing and developed economies. This article highlights the difficulties in the diffusion of technological innovation resulting from a lack of coordinated national policies on Industry 4.0 in developing countries, which may prevent firms from fully experiencing the Industry 4.0 revolution. The results of this study may help decision makers and practitioners to address the barriers highlighted, paving the way for successful implementation of Industry 4.0 across the manufacturing sector.</t>
  </si>
  <si>
    <t>[Raj, Alok] Xavier Sch Management CH Area East, XLRI, Prod Operat &amp; Decis Sci, Jamshedpur 831001, Bihar, India; [Dwivedi, Gourav] Indian Inst Technol Delhi, Dept Management Studies, New Delhi 110016, India; [Sharma, Ankit] Indian Inst Management Lucknow, Operat Management Area, Off Sitapur Rd, Lucknow 226013, Uttar Pradesh, India; [Lopes de Sousa Jabbour, Ana Beatriz] Montpellier Business Sch Montpellier Res Manageme, 2300 Ave Moulins, F-34000 Montpellier, France; [Rajak, Sonu] Birla Inst Technol, Dept Prod Engn, Ranchi 835215, Bihar, India</t>
  </si>
  <si>
    <t>XLRI -Xavier School of Management; Indian Institute of Technology System (IIT System); Indian Institute of Technology (IIT) - Delhi; Indian Institute of Management (IIM System); Indian Institute of Management Lucknow; Universite de Montpellier; Birla Institute of Technology Mesra</t>
  </si>
  <si>
    <t>Raj, A (corresponding author), Xavier Sch Management CH Area East, XLRI, Prod Operat &amp; Decis Sci, Jamshedpur 831001, Bihar, India.</t>
  </si>
  <si>
    <t>alokraj@xlri.ac.in; gourav@dms.iitd.ac.in; fpm17014@iiml.ac.in; a.sousa-jabbour@montpellier-bs.com; sonu.production@gmail.com</t>
  </si>
  <si>
    <t>Rajak, Sonu/AAE-8690-2021; Lopes de Sousa Jabbour, Ana Beatriz/B-8966-2012; Sharma, Ankit/W-2230-2018; Rajak, Sonu/AAC-8544-2022</t>
  </si>
  <si>
    <t>Rajak, Sonu/0000-0002-4334-8010; Lopes de Sousa Jabbour, Ana Beatriz/0000-0001-6423-8868; Sharma, Ankit/0000-0003-1418-8991; Rajak, Sonu/0000-0002-4334-8010</t>
  </si>
  <si>
    <t>10.1016/j.ijpe.2019.107546</t>
  </si>
  <si>
    <t>LC4US</t>
  </si>
  <si>
    <t>WOS:000525321800016</t>
  </si>
  <si>
    <t>Keskin, B; Salman, B</t>
  </si>
  <si>
    <t>Keskin, Basak; Salman, Baris</t>
  </si>
  <si>
    <t>Building Information Modeling Implementation Framework for Smart Airport Life Cycle Management</t>
  </si>
  <si>
    <t>TRANSPORTATION RESEARCH RECORD</t>
  </si>
  <si>
    <t>Connectivity is key in this new era of smart infrastructure. Smart airports utilize new connected technologies to improve end-user experience while ensuring operational feasibility in aeronautical and non-aeronautical segments. The increasing need for digitizing the design-build-operate life cycles of airports can be met by implementing building information modeling (BIM) that enables accessing, managing, utilizing, and connecting physical and operational data in a digital collaborative environment. This study investigates the current state of practice in airport BIM (ABIM) and the use of ABIM processes in digital airport operations and maintenance by connecting existing data sources and integrating smart airport systems. The study proposes a comprehensive and adaptive ABIM management framework that depicts the alignment and connectivity of ABIM processes, resources and stakeholders with airport operational requirements by identifying gaps in the industry and literature, and developing a global understanding in ABIM visions. Research data are collected through literature and industry review, online surveys, and semi-structured interviews with aviation professionals. Mixed methods including non-parametric statistical analysis and qualitative analysis are used to determine the elements of the framework. Model-based systems engineering (MBSE) principles and language are used to generate the framework. For framework validation, a proof of concept (POC) is conducted by development and deployment of a web-based application. The developed ABIM framework is expected to guide major airport stakeholders in their BIM implementation processes to enhance airport operational efficiencies and in strategizing digital initiatives on a connected-BIM platform.</t>
  </si>
  <si>
    <t>[Keskin, Basak; Salman, Baris] Syracuse Univ, Dept Civil &amp; Environm Engn, Syracuse, NY 13244 USA</t>
  </si>
  <si>
    <t>Syracuse University</t>
  </si>
  <si>
    <t>Keskin, B (corresponding author), Syracuse Univ, Dept Civil &amp; Environm Engn, Syracuse, NY 13244 USA.</t>
  </si>
  <si>
    <t>bkeskin@syr.edu</t>
  </si>
  <si>
    <t>Keskin, Basak/ABG-9093-2020</t>
  </si>
  <si>
    <t>Airport Cooperative Research Program (ACRP) [11-04]</t>
  </si>
  <si>
    <t>Airport Cooperative Research Program (ACRP)</t>
  </si>
  <si>
    <t>The author(s) disclosed receipt of the following financial support for the research, authorship, and/or publication of this article: This project was supported by the Airport Cooperative Research Program (ACRP) (ACRP [Graduate Research Award] 11-04).</t>
  </si>
  <si>
    <t>0361-1981</t>
  </si>
  <si>
    <t>2169-4052</t>
  </si>
  <si>
    <t>TRANSPORT RES REC</t>
  </si>
  <si>
    <t>Transp. Res. Record</t>
  </si>
  <si>
    <t>10.1177/0361198120917971</t>
  </si>
  <si>
    <t>MAY 2020</t>
  </si>
  <si>
    <t>Engineering, Civil; Transportation; Transportation Science &amp; Technology</t>
  </si>
  <si>
    <t>Engineering; Transportation</t>
  </si>
  <si>
    <t>MF9XB</t>
  </si>
  <si>
    <t>WOS:000535448500001</t>
  </si>
  <si>
    <t>Hornuf, L; Klus, MF; Lohwasser, TS; Schwienbacher, A</t>
  </si>
  <si>
    <t>Hornuf, Lars; Klus, Milan F.; Lohwasser, Todor S.; Schwienbacher, Armin</t>
  </si>
  <si>
    <t>How do banks interact with fintech startups?</t>
  </si>
  <si>
    <t>SMALL BUSINESS ECONOMICS</t>
  </si>
  <si>
    <t>Fintech; Strategic alliance; Make; buy; or ally; Entrepreneurial finance; Banks</t>
  </si>
  <si>
    <t>STRATEGIC ALLIANCES; FINANCIAL INNOVATION; DIGITAL INNOVATION; SERVICE; SERVITIZATION; DIGITIZATION; PERFORMANCE; BENEFITS; SCIENCE; BUY</t>
  </si>
  <si>
    <t>The increasing pervasiveness of technology-driven firms that offer financial services has led to growing pressure on traditional banks to modernize their core business activities and services. Many banks tackle the challenges of digitalization by cooperating with startup firms that offer technology-driven financial services and novel service packages (fintechs). In this article, we examine which banks typically collaborate with fintechs, how intensely they do so, and which form of alliance they prefer. Using hand-collected data covering the largest banks from Canada, France, Germany, and the United Kingdom, we provide detailed evidence on the different forms of alliances occurring in practice. We show that banks are significantly more likely to form alliances with fintechs when they pursue a well-defined digital strategy and/or employ a chief digital officer. Moreover, in line with incomplete contract theory, we find that banks more frequently invest in small fintechs but often build product-related collaborations with larger fintechs.</t>
  </si>
  <si>
    <t>[Hornuf, Lars] Univ Bremen, Bremen, Germany; [Hornuf, Lars] Max Planck Inst Innovat &amp; Competit, Munich, Germany; [Hornuf, Lars] CESifo, Munich, Germany; [Klus, Milan F.; Lohwasser, Todor S.] Univ Munster, Munster, Germany; [Schwienbacher, Armin] Univ Cote dAzur, SKEMA Business Sch, Euralille, France</t>
  </si>
  <si>
    <t>University of Bremen; Ifo Institut; University of Munster; SKEMA Business School; Universite Cote d'Azur</t>
  </si>
  <si>
    <t>Hornuf, L (corresponding author), Univ Bremen, Bremen, Germany.</t>
  </si>
  <si>
    <t>hornuf@uni-bremen.de</t>
  </si>
  <si>
    <t>Hornuf, Lars/AAF-7986-2020</t>
  </si>
  <si>
    <t>Hornuf, Lars/0000-0002-0576-7759</t>
  </si>
  <si>
    <t>Open Access funding provided by Projekt DEAL.</t>
  </si>
  <si>
    <t>DORDRECHT</t>
  </si>
  <si>
    <t>VAN GODEWIJCKSTRAAT 30, 3311 GZ DORDRECHT, NETHERLANDS</t>
  </si>
  <si>
    <t>0921-898X</t>
  </si>
  <si>
    <t>1573-0913</t>
  </si>
  <si>
    <t>SMALL BUS ECON</t>
  </si>
  <si>
    <t>Small Bus. Econ. Group</t>
  </si>
  <si>
    <t>10.1007/s11187-020-00359-3</t>
  </si>
  <si>
    <t>WB9MM</t>
  </si>
  <si>
    <t>WOS:000532604200001</t>
  </si>
  <si>
    <t>Eller, R; Alford, P; Kallmünzer, A; Peters, M</t>
  </si>
  <si>
    <t>Eller, Robert; Alford, Philip; Kallmunzer, Andreas; Peters, Mike</t>
  </si>
  <si>
    <t>Antecedents, consequences, and challenges of small and medium-sized enterprise digitalization</t>
  </si>
  <si>
    <t>SME digitalization; Financial performance; Employee skill; Digital strategy; Resource-based view; Digital identity</t>
  </si>
  <si>
    <t>FIRM PERFORMANCE; INFORMATION-TECHNOLOGY; COMPETITIVE ADVANTAGE; SOCIAL MEDIA; BUSINESS; CAPABILITIES; INNOVATION; TRANSFORMATION; STRATEGY; IDENTITY</t>
  </si>
  <si>
    <t>Small and medium-sized enterprises (SMEs) lag behind larger firms when it comes to digitalization. This has negative impacts on firm performance. Despite the economic importance of SMEs, little is known about the antecedents, consequences, and challenges of SME digitalization. We have set three objectives to address this knowledge gap. Drawing on the resource-based view, we first investigate the impact of three main SME resources on digitalization: information technology, employee skills, and digital strategy. Second, we assess the impact digitalization has on financial performance. We then investigate whether digitalization mediates the effect of resources on performance. The results of a survey of 193 SMEs demonstrate how digitalization can impact SME performance, with the three resources positively relating to digitalization. And in turn, digitalization significantly relates to performance, mediating the effect of information technology on performance. It however does not mediate the effect of digital strategy or employee skills on performance.</t>
  </si>
  <si>
    <t>[Eller, Robert; Peters, Mike] Univ Innsbruck, Karl Rahner Pl 3, A-6020 Innsbruck, Austria; [Alford, Philip] Univ Southampton, Southampton Business Sch, Univ Rd, Southampton SO17 1BJ, Hants, England; [Kallmunzer, Andreas] La Rochelle Business Sch CERIIM, 102 Rue Coureilles, F-17000 La Rochelle, France</t>
  </si>
  <si>
    <t>University of Innsbruck; University of Southampton; Solent University</t>
  </si>
  <si>
    <t>Eller, R (corresponding author), Univ Innsbruck, Dept Strateg Management Mkt &amp; Tourism, Karl Rahner Pl 3, A-6020 Innsbruck, Austria.</t>
  </si>
  <si>
    <t>robert.eller@uibk.ac.at; p.r.alford@soton.ac.uk; kallmuenzera@excelia-group.com; mike.peters@uibk.ac.at</t>
  </si>
  <si>
    <t>Eller, Robert/ABB-2966-2021; Kallmuenzer, Andreas/J-2880-2019; Peters, Mike/K-3253-2019</t>
  </si>
  <si>
    <t>Eller, Robert/0000-0003-2601-5182; Kallmuenzer, Andreas/0000-0002-8808-1743; Alford, Philip/0000-0003-1415-3748</t>
  </si>
  <si>
    <t>10.1016/j.jbusres.2020.03.004</t>
  </si>
  <si>
    <t>LF4MG</t>
  </si>
  <si>
    <t>WOS:000527393100011</t>
  </si>
  <si>
    <t>McGrath, R; McManus, R</t>
  </si>
  <si>
    <t>McGrath, Rita; McManus, Ryan</t>
  </si>
  <si>
    <t>Digital Transformation LEARNING YOUR WAY TO A NEW BUSINESS MODEL What's your digital strategy?</t>
  </si>
  <si>
    <t>HARVARD BUSINESS REVIEW</t>
  </si>
  <si>
    <t>[McGrath, Rita; McManus, Ryan] Columbia Business Sch, New York, NY 10027 USA</t>
  </si>
  <si>
    <t>Columbia University</t>
  </si>
  <si>
    <t>McGrath, R (corresponding author), Columbia Business Sch, New York, NY 10027 USA.</t>
  </si>
  <si>
    <t>HARVARD BUSINESS SCHOOL PUBLISHING CORPORATION</t>
  </si>
  <si>
    <t>WATERTOWN</t>
  </si>
  <si>
    <t>300 NORTH BEACON STREET, WATERTOWN, MA 02472 USA</t>
  </si>
  <si>
    <t>0017-8012</t>
  </si>
  <si>
    <t>HARVARD BUS REV</t>
  </si>
  <si>
    <t>Harv. Bus. Rev.</t>
  </si>
  <si>
    <t>LQ9KX</t>
  </si>
  <si>
    <t>WOS:000535316400025</t>
  </si>
  <si>
    <t>Kudyba, S; Fjermestad, J; Davenport, T</t>
  </si>
  <si>
    <t>Kudyba, Stephan; Fjermestad, Jerry; Davenport, Thomas</t>
  </si>
  <si>
    <t>A research model for identifying factors that drive effective decision-making and the future of work</t>
  </si>
  <si>
    <t>JOURNAL OF INTELLECTUAL CAPITAL</t>
  </si>
  <si>
    <t>Collective intelligence; Cognitive technologies; Digital strategies; Knowledge systems</t>
  </si>
  <si>
    <t>COLLECTIVE INTELLIGENCE; INFORMATION-TECHNOLOGY; PRODUCTIVITY; MANAGEMENT; FRAMEWORK; BUSINESS; IMPACT; TEAMS</t>
  </si>
  <si>
    <t>Purpose The evolving digital transformations of organizational processes involve vast complexities. Factors such as labor resources at the individual and team levels that integrate and utilize information resources and evolving technologies to achieve collective intelligence are essential to this process. In order to better understand evolving demands of labor resources, existing research regarding worker/technology interactions for firm performance must be implemented and adapted to the changing market. This paper provides a conceptual research model enabling organizations to better understand the integration of worker/team attributes with collaboration modes, information resources and augmented technologies that yield effective collective intelligence for decision-making. Design/methodology/approach This manuscript includes a literature review on worker/team attributes interfacing with various technology platforms and the creation of collective intelligence. It then reviews complementary research including leadership elements for organizational outcomes and introduces more current work involving a digital transformation. The literature review provides the underpinnings for a conceptual model that incorporates essential elements for the creation of collective intelligence for decision-making and adds factors that are relevant for digital transformations. These elements include augmented technologies including cognitive technologies, collaborative platforms and worker attributes (skills, social sensitivity, leadership) all of which illustrate components of intellectual capital. Findings The paper summarizes key findings of existing research in worker/team interactions with technology platforms on organizational performance and provides an applied, conceptual research model incorporating these findings, along with new elements in the digital era for better identifying new worker requirements. Originality/value The value of this work is the introduction of an applied conceptual model based on established literature findings that includes new technologies (e.g. cognitive technologies), collaboration modes and worker/team attributes to address the requirements of the evolving knowledge worker in the digital era. It provides a framework to better understand more optimal resource allocations for the creation of collective intelligence and integrates the model components within an intellectual capital framework.</t>
  </si>
  <si>
    <t>[Kudyba, Stephan; Fjermestad, Jerry] NJIT, Newark, NJ 07102 USA; [Davenport, Thomas] Babson Coll, Wellesley, MA USA</t>
  </si>
  <si>
    <t>New Jersey Institute of Technology; Babson College</t>
  </si>
  <si>
    <t>Kudyba, S (corresponding author), NJIT, Newark, NJ 07102 USA.</t>
  </si>
  <si>
    <t>Stephan.P.Kudyba@njit.edu; fjermestad@yahoo.com; TDavenport@babson.edu</t>
  </si>
  <si>
    <t>1469-1930</t>
  </si>
  <si>
    <t>1758-7468</t>
  </si>
  <si>
    <t>J INTELLECT CAP</t>
  </si>
  <si>
    <t>J. Intellect. Cap.</t>
  </si>
  <si>
    <t>NOV 9</t>
  </si>
  <si>
    <t>10.1108/JIC-05-2019-0130</t>
  </si>
  <si>
    <t>APR 2020</t>
  </si>
  <si>
    <t>NW7SA</t>
  </si>
  <si>
    <t>WOS:000526902200001</t>
  </si>
  <si>
    <t>López-López, D; Giusti, G</t>
  </si>
  <si>
    <t>Lopez-Lopez, David; Giusti, Giovanni</t>
  </si>
  <si>
    <t>Comparing Digital Strategies and Social Media Usage in B2B and B2C Industries in Spain</t>
  </si>
  <si>
    <t>JOURNAL OF BUSINESS-TO-BUSINESS MARKETING</t>
  </si>
  <si>
    <t>Digital strategies; digital tactics; B2B; B2C; cluster analysis</t>
  </si>
  <si>
    <t>Using 285 responses obtained in a survey of high- and middle-level managers of firms located in Spain and by implementing clustering techniques, we identify differences in the conception and adoption of a digital strategy and the use of social media. A driver for these differences is represented by whether companies are adopting a B2C or a B2B business model. Specifically, B2B companies are slower to generate an overall digital strategy compared to B2C firms. Moreover, B2B firms adopting a digital strategy are prioritizing the use of more professionally oriented platforms (e.g., LinkedIn), while B2C firms are favoring the use of more socially oriented services (e.g., Facebook). Additionally, we find that those B2C companies without a clear digital strategy are nonetheless significantly using social media, particularly social networks, while B2B companies are delaying the use of social media until conceiving a clear digital strategy.</t>
  </si>
  <si>
    <t>[Lopez-Lopez, David] ESADE Business Sch, Mkt Dept, Barcelona, Spain; [Giusti, Giovanni] Univ Pompeu Fabra, Tecnocampus Mataro, Barcelona, Spain</t>
  </si>
  <si>
    <t>Universitat Ramon Llull; Escuela Superior de Administracion y Direccion de Empresas (ESADE); Pompeu Fabra University</t>
  </si>
  <si>
    <t>López-López, D (corresponding author), ESADE Business Sch, Barcelona, Spain.</t>
  </si>
  <si>
    <t>david.lopez1@esade.edu</t>
  </si>
  <si>
    <t>Lopez-Lopez, David/GXW-1814-2022; Lopez-Lopez, David/AAE-7283-2021; López-López, David/AAC-4086-2022</t>
  </si>
  <si>
    <t>Lopez-Lopez, David/0000-0003-4459-275X; Giusti, Giovanni/0000-0001-8983-7525</t>
  </si>
  <si>
    <t>1051-712X</t>
  </si>
  <si>
    <t>1547-0628</t>
  </si>
  <si>
    <t>J BUS-BUS MARK</t>
  </si>
  <si>
    <t>J. Bus.-Bus. Mark.</t>
  </si>
  <si>
    <t>APR 2</t>
  </si>
  <si>
    <t>10.1080/1051712X.2020.1748377</t>
  </si>
  <si>
    <t>LM9SH</t>
  </si>
  <si>
    <t>WOS:000532587300005</t>
  </si>
  <si>
    <t>Morales, MAA</t>
  </si>
  <si>
    <t>Arellano Morales, Mario Alejandro</t>
  </si>
  <si>
    <t>The digital gaps in Mexico: A relevant balance</t>
  </si>
  <si>
    <t>TRIMESTRE ECONOMICO</t>
  </si>
  <si>
    <t>Digital agenda; digital gaps; digital economy; digital paradigm; socio-economic development</t>
  </si>
  <si>
    <t>Digital technologies are changing the patterns of production, consumption, communication, and interaction in modern societies. This is because of their transversal nature, which makes them present in almost all areas of economic activity. Its potential for positive impact on the economy, government management, and society is not linear, nor automatic, the determining factors of this are a source of discussion in the literature on the subject. However, based on the study of the evolution and trends of the digital paradigm, we can assume that the lag of developing countries in the use and deployment of such technologies for the advancement of productive and technological capacities could prolong their underdevelopment condition. This article analyzes the current state of the digital gaps in Mexico, in regard to the most advanced countries, and a balance is made in relation to the two main goals of the National Digital Strategy of the past government administration. The results of the research make it possible to measure the magnitude of the challenges and opportunities of the future digital agenda that the country requires in order to become an important promoter of the development and well-being of the population within the framework of the strategic objectives proposed in the Plan Nacional de Desarrollo 2019-2024.</t>
  </si>
  <si>
    <t>[Arellano Morales, Mario Alejandro] Inst Politecn Nacl, Escuela Super Econ, Secc Estudios Posgrad &amp; Invest, Mexico City, DF, Mexico; [Arellano Morales, Mario Alejandro] Ctr Invest &amp; Innovac Tecnol Informat &amp; Comunicac, Ciudad De Mexico, Mexico</t>
  </si>
  <si>
    <t>Instituto Politecnico Nacional - Mexico</t>
  </si>
  <si>
    <t>Morales, MAA (corresponding author), Inst Politecn Nacl, Escuela Super Econ, Secc Estudios Posgrad &amp; Invest, Mexico City, DF, Mexico.;Morales, MAA (corresponding author), Ctr Invest &amp; Innovac Tecnol Informat &amp; Comunicac, Ciudad De Mexico, Mexico.</t>
  </si>
  <si>
    <t>arellanomma@gmail.com</t>
  </si>
  <si>
    <t>FONDO CULTURA ECONOMICA</t>
  </si>
  <si>
    <t>TLALPAN</t>
  </si>
  <si>
    <t>AVE PICACHO AJUSCO, NO 227, TLALPAN CP 14200, MEXICO</t>
  </si>
  <si>
    <t>0041-3011</t>
  </si>
  <si>
    <t>TRIMEST ECON</t>
  </si>
  <si>
    <t>Trimest. Econ.</t>
  </si>
  <si>
    <t>10.20430/ete.v87i346.974</t>
  </si>
  <si>
    <t>KZ9FV</t>
  </si>
  <si>
    <t>WOS:000523565400002</t>
  </si>
  <si>
    <t>Czauderna, A; Budke, A</t>
  </si>
  <si>
    <t>Czauderna, Andre; Budke, Alexandra</t>
  </si>
  <si>
    <t>How Digital Strategy and Management Games Can Facilitate the Practice of Dynamic Decision-Making</t>
  </si>
  <si>
    <t>decision-making; polytelic conflicts; problem-solving; digital games; game-based learning; gameplay loop; game design; geography education research; qualitative research</t>
  </si>
  <si>
    <t>GAMEPLAY LOOP METHODOLOGY</t>
  </si>
  <si>
    <t>This paper examines how digital strategy and management games that have been initially designed for entertainment can facilitate the practice of dynamic decision-making. Based on a comparative qualitative analysis of 17 games-organized into categories derived from a conceptual model of decision-making design-this article illustrates two ways in which these games may be useful in supporting the learning of dynamic decision-making in educational practice: (1) Players must take over the role of a decider and solve situations in which players must pursue different conflicting goals by making a continuous series of decisions on a variety of actions and measures; (2) three of the features of the games are considered to structure players' practice of decision-making and foster processes of learning through the curation of possible decisions, the offering of lucid feedback and the modification of time. This article also highlights the games' shortcomings, from an educational perspective, as players' decisions are restricted by the numbers of choices they can make within the game, and certain choices are rewarded more than others. An educational application of the games must, therefore, entail a critical reflection of players' limited choices inside a necessarily biased system.</t>
  </si>
  <si>
    <t>[Czauderna, Andre] TH Koln, Cologne Game Lab, Schanzenstr 28, D-51063 Cologne, Germany; [Budke, Alexandra] Univ Cologne, Inst Geog Educ, Gronewaldstr 2, D-50931 Cologne, Germany</t>
  </si>
  <si>
    <t>University of Cologne</t>
  </si>
  <si>
    <t>Czauderna, A (corresponding author), TH Koln, Cologne Game Lab, Schanzenstr 28, D-51063 Cologne, Germany.</t>
  </si>
  <si>
    <t>andre.czauderna@th-koeln.de; alexandra.budke@uni-koeln.de</t>
  </si>
  <si>
    <t>Budke, Alexandra/0000-0003-1063-8991; Czauderna, Andre/0000-0002-1091-5656</t>
  </si>
  <si>
    <t>German Federal Ministry of Education and Research (BMBF) [01JD1810A]</t>
  </si>
  <si>
    <t>German Federal Ministry of Education and Research (BMBF)(Federal Ministry of Education &amp; Research (BMBF))</t>
  </si>
  <si>
    <t>This research was funded by the German Federal Ministry of Education and Research (BMBF), grant number 01JD1810A.</t>
  </si>
  <si>
    <t>10.3390/educsci10040099</t>
  </si>
  <si>
    <t>LO8QD</t>
  </si>
  <si>
    <t>WOS:000533889600029</t>
  </si>
  <si>
    <t>Motta, FMD; da Silva, RAR</t>
  </si>
  <si>
    <t>de Vasconcellos Motta, Fernanda Miranda; Rodrigues da Silva, Ronaldo Andre</t>
  </si>
  <si>
    <t>THE ADOPTION OF DIGITAL TECHNOLOGIES IN THE RECONSTRUCTION OF HERITAGE: experience report of the National Museum, Brazil</t>
  </si>
  <si>
    <t>INFORMACAO &amp; SOCIEDADE-ESTUDOS</t>
  </si>
  <si>
    <t>Heritage; Post-disaster Reconstruction; Digital Strategies; National Museum; Brazil</t>
  </si>
  <si>
    <t>In situations in which historic buildings and collections are damaged, digital technologies can be useful in the process of reconstructing this heritage. Is possible stimulate the engagement of audiences on collaborative platforms, conduct digital restoration processes of heritage, as well as to create dynamic experiences of museum. From this perspective, this article represents the continuity of a study presented at the IV ISKO Portugal-Spain, in 2019, advancing in the analysis of digital strategies applied to the National Museum's heritage, post-disaster. It takes into account the significant part of the museum's collection, with around 20 million items, was affected by a fire, which occurred in September 2018. The qualitative approach and the case study method are adopted, involving non-participant observation techniques, bibliographic and documentary research. Digital strategies that mobilize the public in activities of reconstruction of heritage are discussed, with emerging issues related to authority and informational curation. Regarding the reconstitution and restoration strategies of the collection, it's considered an innovative process of creating digital replicas, which incorporates materials from rescued artifacts. Also, are studied virtual visitation strategies as possibilities for develop unique museum experiences. It is inferred, therefore, that the National Museum's reconstruction process involves exchanges with agents and resources from its macroenvironment. It is also considered a temporal dimension of change and variability of heritage that is related to discursive and contextual practices, with the support of digital technologies.</t>
  </si>
  <si>
    <t>[de Vasconcellos Motta, Fernanda Miranda] Univ Fed Minas Gerais, Programa Posgrad Gestao &amp; Org Conhecimento, Belo Horizonte, MG, Brazil; [Rodrigues da Silva, Ronaldo Andre] Pontificia Univ Catolica Minas Gerais, Belo Horizonte, MG, Brazil</t>
  </si>
  <si>
    <t>Universidade Federal de Minas Gerais; Pontificia Universidade Catolica de Minas Gerais</t>
  </si>
  <si>
    <t>Motta, FMD (corresponding author), Univ Fed Minas Gerais, Programa Posgrad Gestao &amp; Org Conhecimento, Belo Horizonte, MG, Brazil.</t>
  </si>
  <si>
    <t>fernandavasc@gmail.com; ronaldoandre@gmail.com</t>
  </si>
  <si>
    <t>Rodrigues da Silva, Ronaldo André/S-6349-2017</t>
  </si>
  <si>
    <t>Rodrigues da Silva, Ronaldo André/0000-0002-0656-8671</t>
  </si>
  <si>
    <t>UNIV FEDERAL CAMPINA GRANDE</t>
  </si>
  <si>
    <t>CAMPINA GRANDE PB</t>
  </si>
  <si>
    <t>RUA APRIGIO VELOSO 882, BODO CONGO, CAMPINA GRANDE PB, 58109 090, BRAZIL</t>
  </si>
  <si>
    <t>0104-0146</t>
  </si>
  <si>
    <t>1809-4783</t>
  </si>
  <si>
    <t>INFORM SOC-ESTUD</t>
  </si>
  <si>
    <t>Inf. Soc.-Estud.</t>
  </si>
  <si>
    <t>MD9ZS</t>
  </si>
  <si>
    <t>WOS:000544324900015</t>
  </si>
  <si>
    <t>Sanchez, MA</t>
  </si>
  <si>
    <t>Sanchez, Marisa A.</t>
  </si>
  <si>
    <t>UNIVERSITY E-READINESS FOR THE DIGITAL TRANSFORMATION: THE CASE OF UNIVERSIDAD NACIONAL DEL SUR</t>
  </si>
  <si>
    <t>REVISTA GESTAO &amp; TECNOLOGIA-JOURNAL OF MANAGEMENT AND TECHNOLOGY</t>
  </si>
  <si>
    <t>Digital transformation; University; Higher education; Digital strategy; Public sector</t>
  </si>
  <si>
    <t>COMPETITIVE ADVANTAGE; FUTURE; EDUCATION; INTERNET; THINGS</t>
  </si>
  <si>
    <t>This study aims to explain the resources, capabilities and management choices necessary to respond to the new environment for the case of public university institutions. There is little research about responsiveness to the digital transformation in public universities. The methodology is based on literature review and a case study. A Public Agency Strategic Analysis is used to identify relevant issues to conduct the case study. Results show that the organizational processes, talent management and education service models have not been transformed as a result of emergent technologies. The work provides a comprehensive analysis of the capabilities, barriers and the role of the bargaining power of multiple forces affecting the digital transformation of a public sector organization. The article provides specific and actionable recommendations on relevant challenges when public university institutions conduct a digital transformation process.</t>
  </si>
  <si>
    <t>[Sanchez, Marisa A.] Univ Nacl Sur, Grad &amp; Postgrad Courses, Dept Management Sci, Bahia Blanca, Buenos Aires, Argentina</t>
  </si>
  <si>
    <t>National University of the South</t>
  </si>
  <si>
    <t>Sanchez, MA (corresponding author), Univ Nacl Sur, Grad &amp; Postgrad Courses, Dept Management Sci, Bahia Blanca, Buenos Aires, Argentina.</t>
  </si>
  <si>
    <t>mas@uns.edu.ar</t>
  </si>
  <si>
    <t>Sanchez, Marisa A/M-6135-2014</t>
  </si>
  <si>
    <t>Sanchez, Marisa A/0000-0002-8291-0491</t>
  </si>
  <si>
    <t>FUNDACAO PEDRO LEOPOLDO</t>
  </si>
  <si>
    <t>PEDRO LEOPOLDO</t>
  </si>
  <si>
    <t>AV LINCOLN DIOGO VIANA 830, PEDRO LEOPOLDO, MG 33600-000, BRAZIL</t>
  </si>
  <si>
    <t>1677-9479</t>
  </si>
  <si>
    <t>2177-6652</t>
  </si>
  <si>
    <t>REV GEST TECNOL</t>
  </si>
  <si>
    <t>Rev. Gest. Tecnol.</t>
  </si>
  <si>
    <t>10.20397/2177-6652/2020.v20i2.1848</t>
  </si>
  <si>
    <t>LP7PY</t>
  </si>
  <si>
    <t>WOS:000534511100005</t>
  </si>
  <si>
    <t>Wang, HC; Feng, JZ; Zhang, H; Li, X</t>
  </si>
  <si>
    <t>Wang, Hecheng; Feng, Junzheng; Zhang, Hui; Li, Xin</t>
  </si>
  <si>
    <t>The effect of digital transformation strategy on performance The moderating role of cognitive conflict</t>
  </si>
  <si>
    <t>INTERNATIONAL JOURNAL OF CONFLICT MANAGEMENT</t>
  </si>
  <si>
    <t>Cognitive conflict; Digital transformation strategy; Long-term financial performance; Short-term financial performance</t>
  </si>
  <si>
    <t>TASK CONFLICT; INFORMATION-TECHNOLOGY; DECISION-MAKING; COMPETITIVE ADVANTAGE; DYNAMIC CAPABILITIES; INTRAGROUP CONFLICT; FIRM PERFORMANCE; MEDIATING ROLE; AS-PRACTICE; SYSTEMS</t>
  </si>
  <si>
    <t>Purpose The purpose of this study is to verify whether digital transformation strategy (DTS) could improve the organizational performance and provide a comprehensive analysis for enterprises on the necessity of implementing digital transformation in the context of China and draw on the perspectives of Skewed conflict, minority dissent theory and too-much-of-a-good-thing. This study investigates the curvilinear moderating role of cognitive conflict between DTS and performance. Design/methodology/approach An empirical investigation was used to collect a large sample data of Chinese enterprises' digital transformation. A multiple linear regression analysis with SPSS was used to test the proposed hypotheses such as the inverted U-shaped moderating effect of the cognitive conflict. Findings In the Chinese context, DTS has a positive relationship on the short- and long-term financial performance. Moreover, this relationship was moderated by cognitive conflict such that the relationship between DTS and short-term financial performance could be further enhanced under the moderate cognitive conflict; however, the relationship between DTS and long-term financial performance was considerably influenced for higher cognitive conflict. Originality/value Based on the co-evolution of the information technology/information system (IT/IS) and business strategy, this study clarified the relationships among DTS, digital strategy and business and information technology strategies. By focusing on corporate strategy, this study further examined the effect of digital transformation on both short- and long-term financial performance. To further reveal the micro-psychological mechanisms underlying the effect of DTS on organizational performance, this study confirmed the inverted U-shaped moderating effect of the top management team's cognitive conflict. Therefore, this research provides a new theoretical perspective for future research in the field of IT/IS, DTS and digital strategy.</t>
  </si>
  <si>
    <t>[Wang, Hecheng; Feng, Junzheng; Zhang, Hui; Li, Xin] Hangzhou Dianzi Univ, Sch Management, Hangzhou, Peoples R China</t>
  </si>
  <si>
    <t>Hangzhou Dianzi University</t>
  </si>
  <si>
    <t>Feng, JZ (corresponding author), Hangzhou Dianzi Univ, Sch Management, Hangzhou, Peoples R China.</t>
  </si>
  <si>
    <t>wanghecheng@hdu.edu.cn; firefly0810@hdu.edu.cn; zhanghui816@126.com; firefly0810@126.com</t>
  </si>
  <si>
    <t>Humanity and Social Science Youth foundation of Ministry of Education of China [18YJC790028]; Chinese National Funding of Social Sciences [19BGJ014, 17BJY072]; National Natural Science Foundation of China [71372170]; Youth key Project of the Major Humanities and Social Sciences Program in Zhejiang Colleges and Universities [2018QN017]</t>
  </si>
  <si>
    <t>Humanity and Social Science Youth foundation of Ministry of Education of China; Chinese National Funding of Social Sciences; National Natural Science Foundation of China(National Natural Science Foundation of China (NSFC)); Youth key Project of the Major Humanities and Social Sciences Program in Zhejiang Colleges and Universities</t>
  </si>
  <si>
    <t>The authors appreciate the anonymous reviewers' constructive comments and suggestions and would like to thank Prof. Steven Si for his deep insights and kind support. This research is supported by Humanity and Social Science Youth foundation of Ministry of Education of China (Project Number: 18YJC790028), Chinese National Funding of Social Sciences (Project Number: 19BGJ014, 17BJY072), National Natural Science Foundation of China (Project Number: 71372170), The Youth key Project of the Major Humanities and Social Sciences Program in Zhejiang Colleges and Universities (Project Number: 2018QN017).</t>
  </si>
  <si>
    <t>1044-4068</t>
  </si>
  <si>
    <t>1758-8545</t>
  </si>
  <si>
    <t>INT J CONFL MANAGE</t>
  </si>
  <si>
    <t>Int. J. Confl. Manage.</t>
  </si>
  <si>
    <t>10.1108/IJCMA-09-2019-0166</t>
  </si>
  <si>
    <t>Communication; Management; Political Science</t>
  </si>
  <si>
    <t>Communication; Business &amp; Economics; Government &amp; Law</t>
  </si>
  <si>
    <t>LU5ED</t>
  </si>
  <si>
    <t>WOS:000522233700001</t>
  </si>
  <si>
    <t>Almeida, AO; Tomim, MA; Almeida, PM; Barbosa, PG</t>
  </si>
  <si>
    <t>Almeida, Andrei O.; Tomim, Marcelo A.; Almeida, Pedro M.; Barbosa, Pedro G.</t>
  </si>
  <si>
    <t>A control strategy for an offshore wind farm with the generating units connected in series with a VSC-HVDC transmission link</t>
  </si>
  <si>
    <t>ELECTRIC POWER SYSTEMS RESEARCH</t>
  </si>
  <si>
    <t>Offshore wind farms; Series DC connection; VSC-HVDC; MMC; NPC</t>
  </si>
  <si>
    <t>MODULAR-MULTILEVEL-CONVERTER; SYSTEM; MODEL; INTERCONNECTION; SIMULATION</t>
  </si>
  <si>
    <t>This paper proposes a control strategy for an offshore wind farm with the generating units connected in series with a DC transmission link. This configuration presents the advantage of not requiring an offshore substation with a power transformer to increase the power plant terminal voltage since the generators are connected in series through the DC terminals of the interface rectifiers. On the other side, the energy transferred by the subsea DC cable is processed by a modular multilevel inverter before it is injected into the mains. The modular multilevel inverter regulates the current through the DC link cable instead of the voltage of the DC system. This choice allows all the generating units to transfer maximum power through the DC link cable without the need of any communication channel to exchange information between the offshore units and the onshore substation. The system controllers are designed to assure the stable operation of the proposed strategy. Digital simulations results, obtained with PSCAD/EMTDC, are used to validate the effectiveness of the designed controllers and to demonstrate the performance of the system for different operational conditions.</t>
  </si>
  <si>
    <t>[Almeida, Andrei O.; Tomim, Marcelo A.; Almeida, Pedro M.; Barbosa, Pedro G.] Univ Fed Juiz de Fora, BR-36036900 Juiz De Fora, MG, Brazil; [Almeida, Andrei O.] Fed Ctr Technol Educ Minas Gerais, BR-37250000 Nepomuceno, MG, Brazil</t>
  </si>
  <si>
    <t>Universidade Federal de Juiz de Fora</t>
  </si>
  <si>
    <t>Almeida, AO (corresponding author), Univ Fed Juiz de Fora, BR-36036900 Juiz De Fora, MG, Brazil.;Almeida, AO (corresponding author), Fed Ctr Technol Educ Minas Gerais, BR-37250000 Nepomuceno, MG, Brazil.</t>
  </si>
  <si>
    <t>andrei.almeida@engenharia.ufjf.br</t>
  </si>
  <si>
    <t>Tomim, Marcelo/AAH-8466-2020; Tomim, Marcelo Aroca/IQV-1706-2023; Almeida, Andrei Oliveira/GLU-7810-2022; de Almeida, Pedro Machado/Q-5244-2019; Gomes Barbosa, Pedro/E-8472-2014</t>
  </si>
  <si>
    <t>Tomim, Marcelo/0000-0003-1854-0198; Almeida, Andrei Oliveira/0000-0003-2072-8683; de Almeida, Pedro Machado/0000-0003-0979-0865; Gomes Barbosa, Pedro/0000-0003-3838-2668</t>
  </si>
  <si>
    <t>National Council for Scientific and Technological Development(CNPq); Foundation for Research of the State of Minas Gerais (FAPEMIG); National Institute for Electric Energy (INERGE); Petrobras [5850.0103831.17.9]; Coordenacao de Aperfeicoamento de Pessoal de Nivel Superior - Brasil (CAPES) [001]</t>
  </si>
  <si>
    <t>National Council for Scientific and Technological Development(CNPq)(Conselho Nacional de Desenvolvimento Cientifico e Tecnologico (CNPQ)); Foundation for Research of the State of Minas Gerais (FAPEMIG)(Fundacao de Amparo a Pesquisa do Estado de Minas Gerais (FAPEMIG)); National Institute for Electric Energy (INERGE); Petrobras(Fundacao de Amparo a Pesquisa do Amapa (FAPEAP)Petrobras); Coordenacao de Aperfeicoamento de Pessoal de Nivel Superior - Brasil (CAPES)(Coordenacao de Aperfeicoamento de Pessoal de Nivel Superior (CAPES))</t>
  </si>
  <si>
    <t>This study was financed in part by the National Council for Scientific and Technological Development(CNPq), the Foundation for Research of the State of Minas Gerais (FAPEMIG), the National Institute for Electric Energy (INERGE), the Petrobras (Cooperation Contract: 5850.0103831.17.9) and the Coordenacao de Aperfeicoamento de Pessoal de Nivel Superior - Brasil (CAPES) Finance Code 001.</t>
  </si>
  <si>
    <t>ELSEVIER SCIENCE SA</t>
  </si>
  <si>
    <t>PO BOX 564, 1001 LAUSANNE, SWITZERLAND</t>
  </si>
  <si>
    <t>0378-7796</t>
  </si>
  <si>
    <t>1873-2046</t>
  </si>
  <si>
    <t>ELECTR POW SYST RES</t>
  </si>
  <si>
    <t>Electr. Power Syst. Res.</t>
  </si>
  <si>
    <t>10.1016/j.epsr.2019.106121</t>
  </si>
  <si>
    <t>KM3IR</t>
  </si>
  <si>
    <t>WOS:000514015200023</t>
  </si>
  <si>
    <t>Hall, N; Schmitz, HP; Dedmon, JM</t>
  </si>
  <si>
    <t>Hall, Nina; Schmitz, Hans Peter; Dedmon, J. Michael</t>
  </si>
  <si>
    <t>Transnational Advocacy and NGOs in the Digital Era: New Forms of Networked Power</t>
  </si>
  <si>
    <t>INTERNATIONAL STUDIES QUARTERLY</t>
  </si>
  <si>
    <t>INTERNET; RIGHTS</t>
  </si>
  <si>
    <t>International relations (IR) scholars have recognized the importance of technology in enabling nongovernmental organizations (NGOs) to build transnational networks and enhance their influence. However, IR scholars have typically focused on elite networks across NGOs, states, and international organizations. This article considers how digital technologies generate new types of networked power between NGOs and their members. Digital tools allow for fast feedback from supporters, rapid surges in mobilization, and more decentralized campaigns. Importantly, in the digital era, NGOs must decide not only which digital platforms to use, but also whether to devolve decision-making to their supporters. Two questions arise: First, do NGO staff or supporters primarily define and produce advocacy content? Second, is the goal of digital activism to broaden or intensify participation? Answers to these questions generate four digital strategies: proselytizing, testing, conversing, and facilitating. These strategies change advocacy practices, but only facilitating strategies open up new forms of networked power based on supporter-to-supporter connections. Digital strategies have profound ramifications for individual organizations, the nature of the advocacy sector, and its power in relation to states, corporations, and other nonstate actors. Digital adoption patterns shape how NGOs choose campaigns, how they legitimate their claims, and what strategies they rely on.</t>
  </si>
  <si>
    <t>[Hall, Nina] Johns Hopkins Univ, Baltimore, MD 21218 USA; [Schmitz, Hans Peter] Univ San Diego, San Diego, CA 92110 USA; [Dedmon, J. Michael] Syracuse Univ, Polit Sci, Syracuse, NY 13244 USA</t>
  </si>
  <si>
    <t>Johns Hopkins University; University of San Diego; Syracuse University</t>
  </si>
  <si>
    <t>Hall, N (corresponding author), Johns Hopkins Univ, Baltimore, MD 21218 USA.</t>
  </si>
  <si>
    <t>Hall, Nina/AAQ-2987-2020; Schmitz, Hans Peter/AAL-6100-2020; Schmitz, Hans Peter/AEF-9711-2022</t>
  </si>
  <si>
    <t>Hall, Nina/0000-0002-6318-9029; Schmitz, Hans Peter/0000-0002-8343-7755; Schmitz, Hans Peter/0000-0002-8343-7755; Dedmon, J. Michael/0000-0002-8467-2765</t>
  </si>
  <si>
    <t>OXFORD UNIV PRESS</t>
  </si>
  <si>
    <t>GREAT CLARENDON ST, OXFORD OX2 6DP, ENGLAND</t>
  </si>
  <si>
    <t>0020-8833</t>
  </si>
  <si>
    <t>1468-2478</t>
  </si>
  <si>
    <t>INT STUD QUART</t>
  </si>
  <si>
    <t>Int. Stud. Q.</t>
  </si>
  <si>
    <t>10.1093/isq/sqz052</t>
  </si>
  <si>
    <t>International Relations; Political Science</t>
  </si>
  <si>
    <t>International Relations; Government &amp; Law</t>
  </si>
  <si>
    <t>LS5PT</t>
  </si>
  <si>
    <t>WOS:000536436600014</t>
  </si>
  <si>
    <t>Mulari, H</t>
  </si>
  <si>
    <t>Mulari, Heta</t>
  </si>
  <si>
    <t>Emotional Encounters and Young Feminine Choreographies in the Helsinki Metro</t>
  </si>
  <si>
    <t>GIRLHOOD STUDIES-AN INTERDISCIPLINARY JOURNAL</t>
  </si>
  <si>
    <t>digitalization; harassment; racism; spatial strategies; urban space; young femininity</t>
  </si>
  <si>
    <t>GIRLS</t>
  </si>
  <si>
    <t>In this article I discuss girls' and non-binary young people's experiences of unwelcome intergenerational encounters in the Helsinki metro underground transport network. I foreground a theoretical conception of the metro as an urban space in which the material is deeply intertwined with the political and as a space with its own racialized, gendered, and age-based hierarchies. Calling on the work of Sara Ahmed, I investigate how girls and non-binary young people make meaning of unwanted emotional encounters in the metro space and how they use and adopt certain material and digital strategies that Helena Saarikoski calls young feminine choreographies, to cope in these situations. This article is based on interviews with girls and non-binary young people who were then between 16 and 17 years of age.</t>
  </si>
  <si>
    <t>[Mulari, Heta] Finnish Youth Res Soc Helsinki, Helsinki, Finland; [Mulari, Heta] Univ Helsinki, Helsinki, Finland; [Mulari, Heta] FlickForsk, Helsinki, Finland</t>
  </si>
  <si>
    <t>University of Helsinki</t>
  </si>
  <si>
    <t>Mulari, H (corresponding author), Finnish Youth Res Soc Helsinki, Helsinki, Finland.</t>
  </si>
  <si>
    <t>Mulari, Heta/0000-0001-7861-5038</t>
  </si>
  <si>
    <t>Kone Foundation, Finland</t>
  </si>
  <si>
    <t>The article is based on ethnographic research conducted in the research project Digital Youth in the Media City (2016-2019), funded by the Kone Foundation, Finland. The data was collected by Heta Mulari, Arseniy Svynarenko, Paivi Honkatukia, and Olli Haanpaa.</t>
  </si>
  <si>
    <t>BERGHAHN JOURNALS</t>
  </si>
  <si>
    <t>BROOKLYN</t>
  </si>
  <si>
    <t>20 JAY ST, SUITE 512, BROOKLYN, NY 11201 USA</t>
  </si>
  <si>
    <t>1938-8209</t>
  </si>
  <si>
    <t>1938-8322</t>
  </si>
  <si>
    <t>GIRLHOOD STUD</t>
  </si>
  <si>
    <t>Girlhood Stud.</t>
  </si>
  <si>
    <t>10.3167/ghs.2020.130105</t>
  </si>
  <si>
    <t>KU2UC</t>
  </si>
  <si>
    <t>WOS:000519562400005</t>
  </si>
  <si>
    <t>Busca, L; Bertrandias, L</t>
  </si>
  <si>
    <t>Busca, Laurent; Bertrandias, Laurent</t>
  </si>
  <si>
    <t>A Framework for Digital Marketing Research: Investigating the Four Cultural Eras of Digital Marketing</t>
  </si>
  <si>
    <t>JOURNAL OF INTERACTIVE MARKETING</t>
  </si>
  <si>
    <t>Digital marketing; Historical method; Digital cultures; Institutional theory; Practice theory; Cultural framework; Prospective</t>
  </si>
  <si>
    <t>INSTITUTIONAL WORK; SOCIAL-STRUCTURE; BUSINESS USE; CO-CREATION; CONSUMER; TECHNOLOGY; CONSUMPTION; MANAGEMENT; WEB; TRANSFORMATION</t>
  </si>
  <si>
    <t>The digital marketing discipline is facing growing fragmentation; the proliferation of different subareas of research impedes the accumulation of knowledge. This fragmentation seems logically tied to the inherent complexity of the Internet, itself resulting from 50 years of evolution. Thus, our aim is to provide an integrative framework for research in digital marketing derived from the historical analysis of the Internet. Using practice theory and institutional theory, we outline a new type of institutional work: imprinting work. We apply this framework to the analysis of historical secondary sources. We find four cultural repertoires on the Internet (collaborative systems, traditional market systems, co-creation systems, and prosumption market systems) and describe the dynamics of imprinting work leading to their creation, showing how new systems are created by appropriating and assimilating existing cultural repertoires. We contribute to the digital marketing literature by providing a cultural framework and a theory explaining the dynamics of the creation of four cultural repertoires. Moreover, we outline three paths of potential evolution of the digital landscape. Our framework may help managers make sense of their digital strategy and navigate the various Internet systems. (C) 2019</t>
  </si>
  <si>
    <t>[Busca, Laurent] Univ Montpellier, MRM, Montpellier, France; [Bertrandias, Laurent] TBS Business Sch, Toulouse, France</t>
  </si>
  <si>
    <t>Universite de Montpellier</t>
  </si>
  <si>
    <t>Busca, L (corresponding author), Univ Montpellier, MRM, Montpellier, France.</t>
  </si>
  <si>
    <t>laurent.busca@umontpellier.fr; l.bertrandias@tbs-education.fr</t>
  </si>
  <si>
    <t>Busca, Laurent/0000-0003-4436-4933</t>
  </si>
  <si>
    <t>1094-9968</t>
  </si>
  <si>
    <t>1520-6653</t>
  </si>
  <si>
    <t>J INTERACT MARK</t>
  </si>
  <si>
    <t>J. Interact. Mark.</t>
  </si>
  <si>
    <t>10.1016/j.intmar.2019.08.002</t>
  </si>
  <si>
    <t>KM6AS</t>
  </si>
  <si>
    <t>WOS:000514221500001</t>
  </si>
  <si>
    <t>Saura, JR; Palos-Sanchez, P; Herráez, BR</t>
  </si>
  <si>
    <t>Ramon Saura, Jose; Palos-Sanchez, Pedro; Rodriguez Herraez, Beatriz</t>
  </si>
  <si>
    <t>Digital Marketing for Sustainable Growth: Business Models and Online Campaigns Using Sustainable Strategies</t>
  </si>
  <si>
    <t>sustainable digital marketing strategies; sustainable business models; sustainable management; social network analysis for sustainability</t>
  </si>
  <si>
    <t>SOCIAL MEDIA</t>
  </si>
  <si>
    <t>In recent years, digital marketing has transformed the way in which companies communicate with their customers around the world. The increase in the use of social networks and how users communicate with companies on the Internet has given rise to new business models based on the bidirectionality of communication between companies and Internet users. Digital marketing, new business models, online advertising campaigns, and other digital strategies have gathered user opinions and comments through this new online channel. In this way, companies have started to see the digital ecosystem as not only their present, but also as their future. From this long-term perspective, companies are concerned about sustainability and the growth of their business models. There are new business models on the Internet that support social causes, new platforms aimed at supporting social and sustainable projects, and digital advertising campaigns promoting sustainability. The overarching aim of this Special Issue was to analyze the development of these new strategies as well as their influence on the sustainability of digital marketing strategies. Therefore, we aimed to analyze how companies adopt these new technologies in a digital environment that is increasingly concerned with the sustainability of business models and actions on the Internet.</t>
  </si>
  <si>
    <t>[Ramon Saura, Jose; Rodriguez Herraez, Beatriz] Rey Juan Carlos Univ, Dept Business Econ, Fac Social Sci &amp; Law, Paseo Artilleros S-N, Madrid 28032, Spain; [Palos-Sanchez, Pedro] Univ Seville, Dept Financial Econ &amp; Operat Management, Seville 41018, Spain</t>
  </si>
  <si>
    <t>Universidad Rey Juan Carlos; University of Sevilla</t>
  </si>
  <si>
    <t>Saura, JR (corresponding author), Rey Juan Carlos Univ, Dept Business Econ, Fac Social Sci &amp; Law, Paseo Artilleros S-N, Madrid 28032, Spain.</t>
  </si>
  <si>
    <t>joseramon.saura@urjc.es; ppalos@us.es; beatriz.rodriguez@urjc.es</t>
  </si>
  <si>
    <t>Palos-Sanchez, Pedro R./A-8952-2017; Saura, José Ramón/L-2861-2018; Rodriguez, Beatriz/CAG-0904-2022</t>
  </si>
  <si>
    <t>Palos-Sanchez, Pedro R./0000-0001-9966-0698; Saura, José Ramón/0000-0002-9457-7745; Rodriguez, Beatriz/0000-0003-4880-4596</t>
  </si>
  <si>
    <t>10.3390/su12031003</t>
  </si>
  <si>
    <t>KT6PA</t>
  </si>
  <si>
    <t>WOS:000519135105002</t>
  </si>
  <si>
    <t>Dutta, G; Kumar, R; Sindhwani, R; Singh, RK</t>
  </si>
  <si>
    <t>Dutta, Gautam; Kumar, Ravinder; Sindhwani, Rahul; Singh, Rajesh Kumar</t>
  </si>
  <si>
    <t>Digital transformation priorities of India's discrete manufacturing SMEs - a conceptual study in perspective of Industry 4.0</t>
  </si>
  <si>
    <t>COMPETITIVENESS REVIEW</t>
  </si>
  <si>
    <t>Integration; SME; Manufacturing; Industry 4; 0; Digitalization; IoT; Digital; Transformation; Performance; Design</t>
  </si>
  <si>
    <t>BIG DATA; MODELS</t>
  </si>
  <si>
    <t>Purpose Manufacturing excellence is critical to our nation's economy. Indian Government's National Manufacturing Policy, drafted in 2011, is being revamped to include the aspects of Industry 4.0. Initiatives, both led and assisted by government and industries, are being launched to catalyze and transform India's manufacturing competencies. This paper aims to study the functional areas which can potentially leverage Industry 4.0 technologies and help India's manufacturing establishments to transform. It does so in context of the aspirations of India's small and medium discrete manufacturing establishments (SMME) towards adopting digital technologies for the identified functional areas. The study draws its context from the relevant literature review intended to examine the academic articles published until the end of September 2018, followed by a maturity assessment survey of Indian SMMEs to establish priority areas Design/methodology/approach The literature survey has been complemented with a maturity survey of more than 250 of Indian SMMEs to establish adoption gaps by comparing proficiency and sophistication of their present status and proposed adoption aspirations by 2020. The assessment of the organizational aspirations and gap areas identified is expected to indicate which of the Industry 4.0 elements can be adopted by them. Findings The maturity survey undertaken throws up several insights - Indian SMME community's self-assessment indicates operational measurements followed by manufacturing and design interventions as the aspired transformation cycle. The survey indicates that manufacturers would like to make changes to their design and manufacturing strategies based on performance metrics; therefore, they need to first capture real-time machine data, analyze and then incorporate the resulting improvements in manufacturing and design decisions in that order. Social implications Digitalization is expected to foster lean and therefore support sustainability initiatives. Digitalization is expected to help create new, alternative sources of employment which are more relevant to emerging times and foster unlearning the past and relearning of new skills. This emerging diversity of engineering applications resulting from digitalization is expected to also support the larger and poorer agricultural community of India and help the sector to become more efficient and productive, which in turn will reduce economic alienation of a large section of Indian society. Originality/value Industry 4.0 has been identified as the transformational initiative for India's manufacturing competitiveness. Indian manufacturing sector needs to urgently implement the digital technologies and improve their performance and remain relevant in this dynamic market. This research will help guide them to frame their respective digital strategies and be successful. This research will help government and industry influencers to plan and execute their interventions.</t>
  </si>
  <si>
    <t>[Dutta, Gautam; Kumar, Ravinder; Sindhwani, Rahul] Amity Univ, Dept Mech Engn, Noida, India; [Singh, Rajesh Kumar] Management Dev Inst, Dept Operat Res, Gurgaon, India</t>
  </si>
  <si>
    <t>Amity University Noida; Management Development Institute (MDI)</t>
  </si>
  <si>
    <t>Dutta, G (corresponding author), Amity Univ, Dept Mech Engn, Noida, India.</t>
  </si>
  <si>
    <t>dutta.gautam4@gmail.com; rkumar19@amity.edu; rsindhwani@amity.edu; rajesh.singh@mdi.ac.in</t>
  </si>
  <si>
    <t>Sindhwani, Dr. Rahul/AAO-8022-2020</t>
  </si>
  <si>
    <t>Sindhwani, Dr. Rahul/0000-0001-9361-309X; Dutta, Gautam/0000-0003-2981-6073; Kumar, Prof. (Dr.) Ravinder/0000-0003-4255-4303</t>
  </si>
  <si>
    <t>1059-5422</t>
  </si>
  <si>
    <t>2051-3143</t>
  </si>
  <si>
    <t>COMPET REV</t>
  </si>
  <si>
    <t>Compet. Rev.</t>
  </si>
  <si>
    <t>10.1108/CR-03-2019-0031</t>
  </si>
  <si>
    <t>JAN 2020</t>
  </si>
  <si>
    <t>LN1PM</t>
  </si>
  <si>
    <t>WOS:000511429500001</t>
  </si>
  <si>
    <t>Peter, MK; Kraft, C; Lindeque, J</t>
  </si>
  <si>
    <t>Peter, Marc K.; Kraft, Corin; Lindeque, Johan</t>
  </si>
  <si>
    <t>Strategic action fields of digital transformation An exploration of the strategic action fields of Swiss SMEs and large enterprises</t>
  </si>
  <si>
    <t>Business strategy; Digital transformation; Digitalization; Digital strategy; Digital business development; Strategic action fields</t>
  </si>
  <si>
    <t>MATURITY; CAPABILITIES; TECHNOLOGY; CHALLENGES; READINESS; MODEL</t>
  </si>
  <si>
    <t>Purpose The purpose of this paper is to capture the collective understanding of digital transformation (DT) across Swiss businesses and establish a reference framework based on the strategic action field (SAF) theory. Design/methodology/approach A number of Swiss associations provided their databases for an online survey. The large sample includes 2,590 participants from 1,854 organisations and delivered over 4,200 descriptions of DT, categorised into seven SAFs. A cross tabulation of SAF combinations by firm size identified 127 possible SAF combinations which constitute the common understanding of DT. Findings The data set allowed the identification of SAFs and the conceptualisation of DT based on a shared understanding. Drivers of digital transformation are: process engineering, new technologies and digital business development, supported by digital leadership and culture, the cloud and data, customer centricity and digital marketing. Originality/value For the first time, the shared understanding of DT in Swiss businesses - based on SAFs - has allowed a conceptualisation of DT in order to provide guidance to businesses managers and employees.</t>
  </si>
  <si>
    <t>[Peter, Marc K.; Kraft, Corin; Lindeque, Johan] Univ Appl Sci &amp; Arts Northwestern Switzerland FHN, Sch Business, Olten, Switzerland</t>
  </si>
  <si>
    <t>FHNW University of Applied Sciences &amp; Arts Northwestern Switzerland</t>
  </si>
  <si>
    <t>Peter, MK (corresponding author), Univ Appl Sci &amp; Arts Northwestern Switzerland FHN, Sch Business, Olten, Switzerland.</t>
  </si>
  <si>
    <t>marc.peter@fhnw.ch; corin.kraft@fhnw.ch; Johan.Lindeque@fhnw.ch</t>
  </si>
  <si>
    <t>Lindeque, Johan P/G-5211-2013</t>
  </si>
  <si>
    <t>Lindeque, Johan P/0000-0002-8303-2715; Peter, Marc/0000-0002-2897-0389</t>
  </si>
  <si>
    <t>FEB 17</t>
  </si>
  <si>
    <t>10.1108/JSMA-05-2019-0070</t>
  </si>
  <si>
    <t>KO3KM</t>
  </si>
  <si>
    <t>WOS:000511392100001</t>
  </si>
  <si>
    <t>Blaszkowski, DAAD; Wunsch, LP; Fofonca, E</t>
  </si>
  <si>
    <t>Amaral de Mattos Blaszkowski, Daiane Adriana; Wunsch, Luana Priscila; Fofonca, Eduardo</t>
  </si>
  <si>
    <t>LEARNING OF READING AND WRITING AND NEW DIGITAL STRATEGIES: LEGAL INDICATORS AND KEY ELEMENTS OF A CONTEXTUALIZATION OF THE BRAZILIAN EDUCATIONAL REALITY</t>
  </si>
  <si>
    <t>HUMANIDADES &amp; INOVACAO</t>
  </si>
  <si>
    <t>Reading; Writing; Elementary School; Portuguese Language; Legal indicators</t>
  </si>
  <si>
    <t>This article develops an analysis of reading and writing learning through digital textual genres and working in the language area, specifically with the 4th and 5th years of elementary school. Thus, we analyzed and sought to elucidate the key elements of reflection on teacher practice with the Portuguese Language curriculum component. With the deepening of the legal indicators, such as the current discussions about the BNCC (2017), it became evident that it is still necessary to advance in relation to the new digital strategies for teaching to develop their practices with new pedagogical trends with contents and scenarios that express the needs and specificities of the teacher and his students today, such as digital textual genres, which provide new strategies for pedagogical practice.</t>
  </si>
  <si>
    <t>[Amaral de Mattos Blaszkowski, Daiane Adriana] Rede Municipal Ensino Curitiba, Curitiba, Parana, Brazil; [Wunsch, Luana Priscila] UNINTER, Programa Posgrad, Sao Jose Do Rio Preto, Brazil; [Fofonca, Eduardo] Univ Fed Parana, Programa Mestrado Educ Teoria &amp; Prat Ensino, Curitiba, Parana, Brazil</t>
  </si>
  <si>
    <t>Universidade Federal do Parana</t>
  </si>
  <si>
    <t>Blaszkowski, DAAD (corresponding author), Rede Municipal Ensino Curitiba, Curitiba, Parana, Brazil.</t>
  </si>
  <si>
    <t>picuche@yahoo.com; Ipriscila@gmail.com; eduardofofonca@gmail.com</t>
  </si>
  <si>
    <t>FUNDACAO UNIV TOCANTINS</t>
  </si>
  <si>
    <t>PALMAS-TOCANTINS</t>
  </si>
  <si>
    <t>PRO-REITORIA PESQUISA &amp; POS-GRADUACAO 108 SUL ALAMEDA 11 LOTE 03 CX POSTAL 173, PALMAS-TOCANTINS, CEP77020-122, BRAZIL</t>
  </si>
  <si>
    <t>2358-8322</t>
  </si>
  <si>
    <t>HUMANID INOV</t>
  </si>
  <si>
    <t>Humanid. Inov.</t>
  </si>
  <si>
    <t>KK4TT</t>
  </si>
  <si>
    <t>WOS:000512737100024</t>
  </si>
  <si>
    <t>Baraitser, P; McCulloch, H; Morelli, A; Free, C</t>
  </si>
  <si>
    <t>Baraitser, Paula; McCulloch, Hannah; Morelli, Alessandra; Free, Caroline</t>
  </si>
  <si>
    <t>How do users of a 'digital-only' contraceptive service provide biometric measurements and what does this teach us about safe and effective online care? A qualitative interview study</t>
  </si>
  <si>
    <t>telemedicine; quality in health care; sexual medicine</t>
  </si>
  <si>
    <t>SELF-TRACKING; INNOVATION; PATIENT</t>
  </si>
  <si>
    <t>Objectives To describe user experience of obtaining and uploading biometric measurements to a 'digital-only' contraceptive service prior to a prescription for the combined oral contraceptive (COC). To analyse this experience to inform the design of safe and acceptable 'digital-only' online contraceptive services. Setting An online contraceptive service available free of charge to women in South East London, UK. Participants Twenty participants who had ordered the combined oral contraceptive (COC) online. Our purposive sampling strategy ensured that we included participants from a wide range of ages and those who were and were not prescribed the COC. Intervention A 'digital-only' contraceptive service that prescribes the COCafter an online medical history and self-reported height, weight and blood pressure (BP) with pills prescribed by a GMC registered doctor, dispensed by an online pharmacy and posted to the user. Design Semistructured interviews with a purposive sample of 20 participants who were already enrolled in a larger study of this service. Analysis Inductive, thematic analysis of the interviews assisted by NVivo qualitative analysis software. Results Users valued the convenience of 'digital-only care' but experienced measuring BP but not height or weight as a significant barrier to service use. They actively engaged in work to understand and measure BP through a combination of recent/past measurements, borrowed machines, health service visits and online research. They negotiated tensions around maintaining a trusting relationship with the service, meeting its demands for accurate information while also obtaining the contraception that they needed. Conclusion Digital strategies to build trusting clinical relationships despite a lack of face-to-face contact are needed in 'digital-only' health services. This includes acknowledgement of work required, evidence of credible human support and a digital interface that communicates the health benefits of collaborating with an engaged clinical team.</t>
  </si>
  <si>
    <t>[Baraitser, Paula] SH 24, London, England; [Baraitser, Paula; McCulloch, Hannah; Morelli, Alessandra] Kings Coll London, Kings Ctr Global Hlth &amp; Hlth Partnerships, London, England; [Free, Caroline] London Sch Hyg &amp; Trop Med, Publ Hlth Intervent Unit, London, England</t>
  </si>
  <si>
    <t>University of London; King's College London; University of London; London School of Hygiene &amp; Tropical Medicine</t>
  </si>
  <si>
    <t>Baraitser, P (corresponding author), SH 24, London, England.;Baraitser, P (corresponding author), Kings Coll London, Kings Ctr Global Hlth &amp; Hlth Partnerships, London, England.</t>
  </si>
  <si>
    <t>paula_baraitser@mac.com</t>
  </si>
  <si>
    <t>Morelli, Alessandra/AAM-2614-2021</t>
  </si>
  <si>
    <t>Morelli, Alessandra/0000-0002-9803-2136; McCulloch, Hannah/0000-0001-5006-967X; Baraitser, Paula/0000-0002-3354-6494</t>
  </si>
  <si>
    <t>National Institute for Health Research (NIHR) [PB-PG-081520009]</t>
  </si>
  <si>
    <t>National Institute for Health Research (NIHR)(National Institutes of Health Research (NIHR))</t>
  </si>
  <si>
    <t>This report is independent research funded by the National Institute for Health Research (NIHR) (Research for Patient Benefit Programme, PB-PG-081520009). The views expressed in this publication are those of the author(s) and not necessarily those of the NIHR or the Department for Health and Social Care.</t>
  </si>
  <si>
    <t>e037851</t>
  </si>
  <si>
    <t>10.1136/bmjopen-2020-037851</t>
  </si>
  <si>
    <t>OB4JT</t>
  </si>
  <si>
    <t>WOS:000578438100031</t>
  </si>
  <si>
    <t>Brianso, I</t>
  </si>
  <si>
    <t>Brianso, Isabelle</t>
  </si>
  <si>
    <t>The assaulted monument: from emotion to exhibition</t>
  </si>
  <si>
    <t>CULTURE ET MUSEES</t>
  </si>
  <si>
    <t>damaged monuments; heritage emotion; traumatic ruin; actors; exhibition</t>
  </si>
  <si>
    <t>When a monument is assaulted by armed forces or local militia within the context of an armed conflict, it immediately changes status. becoming a traumatic ruin (Leblanc. 2010). This execution produces a negative heritage sentiment (indignation, disbelief or shock) which circulates in the social arena thanks to a number of different sources (inhabitants, experts, etc). The damage inflicted upon ancient Middle Eastern heritage sites was the basis for the immersive exhibition Cites Millenaires. Voyage virtue! de Palmyre a Mossoul (Age Old Cities. A Virtual Journey from Palmyra to Mosul) at the Institut du monde arabe in 2018-2019. This article proposes a study of the emotional charge of the assaulted monument as well as of the expographic strategies employed in order to create an emotional reaction on the part of the visitor during their visit. Our methodological approach consists of both a semiotic analysis of the staging effects of the mined monuments in the rooms of the exhibition (through images and films) as an empathic experience for visitors. and a study of the digital strategies deployed (3D reconstitutions) and of the personal stories of those committed to the assaulted monuments.</t>
  </si>
  <si>
    <t>[Brianso, Isabelle] Avignon Univ, Ctr Norbert Elias, Avignon, France</t>
  </si>
  <si>
    <t>Avignon Universite</t>
  </si>
  <si>
    <t>Brianso, I (corresponding author), Avignon Univ, Ctr Norbert Elias, Avignon, France.</t>
  </si>
  <si>
    <t>ACTES SUD</t>
  </si>
  <si>
    <t>ARLES CEDEX</t>
  </si>
  <si>
    <t>BP 38, ARLES CEDEX, 13633, FRANCE</t>
  </si>
  <si>
    <t>1766-2923</t>
  </si>
  <si>
    <t>2111-4528</t>
  </si>
  <si>
    <t>CULT MUS</t>
  </si>
  <si>
    <t>Cult. Mus.</t>
  </si>
  <si>
    <t>10.4000/culturemusees.5391</t>
  </si>
  <si>
    <t>PB1MD</t>
  </si>
  <si>
    <t>WOS:000596092700004</t>
  </si>
  <si>
    <t>Rodríguez, YG; Calvo, SM; Martín, VR</t>
  </si>
  <si>
    <t>Garcia Rodriguez, Yolanda; Morales Calvo, Sonia; Rodriguez Martin, Vicenta</t>
  </si>
  <si>
    <t>Approach to digital educational experiences in the face of the COVID-19 crisis in the university context with students of functional diversity</t>
  </si>
  <si>
    <t>JOURNAL OF LEARNING STYLES</t>
  </si>
  <si>
    <t>inclusion; disability; competences; accessibility</t>
  </si>
  <si>
    <t>DISABILITIES</t>
  </si>
  <si>
    <t>This work aims at displaying the importance of digital skills in the teaching and learning process that emerged in the light of new virtual spaces. Such new spaces, which have taken place at a different time and forced education systems to change, are those produced by the global health crisis of COVID-19. The experience was led by a group of students with intellectual disabilities in the university context, within the program Incluye Inserta para la Insercion Socio-Laboral taking place at the University of Castilla-La Mancha. The topic of the text orbits around the analysis of three fundamental axes, which in turn consolidate the right of accessibility in conditions of equality in virtual environments: active policies in defence of the right to inclusive education; digital competence; approach to experiences rendered. Thus, from a qualitative methodology perspective, a documentary review and a case study are presented to address the use of active methodologies and digital strategies in the educational process. Also, some positive and relevant results for the educational community are shown. Finally, study results are collected so that they might serve as new proposals for the improvement in the field of higher education to promote inclusion and attention to the functional diversity of students.</t>
  </si>
  <si>
    <t>[Garcia Rodriguez, Yolanda] Consejeria Educ Cultura &amp; Deporte, JCCM, Toledo, Spain; [Morales Calvo, Sonia; Rodriguez Martin, Vicenta] UCLM, Ciudad Real, Spain</t>
  </si>
  <si>
    <t>Universidad de Castilla-La Mancha</t>
  </si>
  <si>
    <t>Rodríguez, YG (corresponding author), Consejeria Educ Cultura &amp; Deporte, JCCM, Toledo, Spain.</t>
  </si>
  <si>
    <t>ygarciar@edu.jccm.es; sonia.morales@uclm.es; vicente.rodriguez@uclm.es</t>
  </si>
  <si>
    <t>UTAH VALLEY UNIV</t>
  </si>
  <si>
    <t>OREM</t>
  </si>
  <si>
    <t>800 W UNIVERSITY PKWY, OREM, UT 84058 USA</t>
  </si>
  <si>
    <t>2332-8533</t>
  </si>
  <si>
    <t>J LEARN STYLES</t>
  </si>
  <si>
    <t>J. Learn. Styles</t>
  </si>
  <si>
    <t>VK7PT</t>
  </si>
  <si>
    <t>WOS:000752492600003</t>
  </si>
  <si>
    <t>Gordon-Isasi, J; Cantin, LN; Martins, JJG</t>
  </si>
  <si>
    <t>Gordon-Isasi, Janire; Narvaiza Cantin, Lorea; Gibaja Martins, Juan Jose</t>
  </si>
  <si>
    <t>INTEGRATED MARKETING COMMUNICATION (IMC) IN HIGHER EDUCATION (HE) IN PANDEMIC TIMES</t>
  </si>
  <si>
    <t>REVISTA DE ESTUDIOS EMPRESARIALES-SEGUNDA EPOCA</t>
  </si>
  <si>
    <t>integrated marketing communication (IMC); higher education marketing (HEM); higher education (HE); pandemic; service sector</t>
  </si>
  <si>
    <t>BRAND EQUITY; STUDENTS; UNIVERSITY; MODEL; PERFORMANCE; QUALITY; IMAGE</t>
  </si>
  <si>
    <t>The article presents the evolution of integrated marketing communication (IMC) from its beginnings towards a concept that, after adapting to the current marketing and communication ecosystem, includes digital strategies. It is intended to apply and adapt the IMC to the service sector and more specifically, to the higher education (HE) sector that has been scarcely studied to date. The current context also suggests taking into account the pandemic due to COVID-19 and the possible implications it has generated in the higher education marketing (HEM). The methodology followed has been a systematic literature review on IMC in HE. The conclusions of this research indicate that further research on IMC applied to the HE sector is required, since the benefits generated can be very interesting for the strategies carried out in the HEM. In turn, the originality of this manuscript resides in the fact that it is intended to show the current HEM scenario in the HE, in times of pandemic and under the umbrella of the IMC approach. It focuses on interactivity as a key dimension in IMC strategies and in the HE sector. Likewise, the relevance of interaction is emphasized in order to foster durable relationships with the audience under the impact of global issues such as COVID-19.</t>
  </si>
  <si>
    <t>[Gordon-Isasi, Janire; Narvaiza Cantin, Lorea; Gibaja Martins, Juan Jose] Univ Deusto, Bilbao, Spain</t>
  </si>
  <si>
    <t>University of Deusto</t>
  </si>
  <si>
    <t>Gordon-Isasi, J (corresponding author), Univ Deusto, Bilbao, Spain.</t>
  </si>
  <si>
    <t>janiregordon@deusto.es; lorea.narvaiza@deusto.es; jjgibaja@deusto.es</t>
  </si>
  <si>
    <t>Narvaiza, Lorea/AAF-2102-2020</t>
  </si>
  <si>
    <t>Narvaiza, Lorea/0000-0002-0805-4201</t>
  </si>
  <si>
    <t>UNIV JAEN, SERV PUBLICACIONES</t>
  </si>
  <si>
    <t>JAEN</t>
  </si>
  <si>
    <t>CAMPUS LAGUNILLAS S-N, EDIFICIO BIBLIOTECA, 2A PLANTA, JAEN, 23071, SPAIN</t>
  </si>
  <si>
    <t>0213-8964</t>
  </si>
  <si>
    <t>1988-9046</t>
  </si>
  <si>
    <t>REV ESTUD EMPRESARIA</t>
  </si>
  <si>
    <t>Rev. Estud. Empresariales-Segunda Epoca</t>
  </si>
  <si>
    <t>10.17561/ree.v2020n2.4</t>
  </si>
  <si>
    <t>PJ5EA</t>
  </si>
  <si>
    <t>WOS:000601789600005</t>
  </si>
  <si>
    <t>Krona, M</t>
  </si>
  <si>
    <t>Krona, Michael</t>
  </si>
  <si>
    <t>Collaborative Media Practices and Interconnected Digital Strategies of Islamic State (IS) and Pro-IS Supporter Networks on Telegram</t>
  </si>
  <si>
    <t>social media; propaganda; Islamic State; Telegram; collaborative media; terrorism; participatory media; affordances</t>
  </si>
  <si>
    <t>No previous organization has managed to execute such a widespread and sophisticated model for producing and distributing propaganda as the Islamic State (IS), relying on digital participation from supporters on a global scale. In 2015, IS and its supporters started using the encrypted application Telegram. On pro-IS channels, supporters are currently managing virtual communities in which an ideological bolstering and recontextualization of official propaganda are apparent on a daily basis. Through a digital ethnographic approach and covert observation of IS's official and supporter channels on Telegram for six months in 2017, this article aims to present findings on what characterizes the symbiotic relationship between official IS channels and supporter (pro-IS) channels and content. The conjunctures and collaborative media practices and affordances surrounding official and supporter channels on Telegram are discussed as manifestations of contemporary digital warfare. In addition, this article provides a wider theoretical understanding of IS's use of Telegram as an expression of a participatory media culture in which the contemporary relationship between the IS's central organization and its supporters constitutes a significant shift in modern online terrorism.</t>
  </si>
  <si>
    <t>[Krona, Michael] Malmo Univ, Malmo, Sweden</t>
  </si>
  <si>
    <t>Malmo University</t>
  </si>
  <si>
    <t>Krona, M (corresponding author), Malmo Univ, Malmo, Sweden.</t>
  </si>
  <si>
    <t>michael.krona@mau.se</t>
  </si>
  <si>
    <t>LD1CX</t>
  </si>
  <si>
    <t>WOS:000525770900008</t>
  </si>
  <si>
    <t>Mahrenbach, LC; Mayer, K</t>
  </si>
  <si>
    <t>Mahrenbach, Laura C.; Mayer, Katja</t>
  </si>
  <si>
    <t>Framing Policy Visions of Big Data in Emerging States</t>
  </si>
  <si>
    <t>CANADIAN JOURNAL OF COMMUNICATION</t>
  </si>
  <si>
    <t>Data policy; Big data; Emerging powers; frames; Digital strategy; Global South</t>
  </si>
  <si>
    <t>PUBLIC-POLICY; SOCIAL MEDIA; DISCOURSE; POLITICS</t>
  </si>
  <si>
    <t>Background Emerging states, such as Brazil, India, and China (the BICs), have big plans for big data and digitalization. Research has identified distinct policy visions regarding how technological advances can facilitate economic development and improve governance. Analysis This article examines how BIC governments frame data-driven ambitions across the diverse issue areas in which governments plan to use big data, as well as how they frame the role(s) of the government and citizens in the era of big data. Conclusion and implications We find clear differences in discussions of big data across the BICs and across issue areas. Moreover, we show the societal changes that governments seek to effect using big data vary greatly in scope, with Brazil and India seeking more fundamental changes than China.</t>
  </si>
  <si>
    <t>[Mahrenbach, Laura C.] Tech Univ Munich, Chair Computat Social Sci &amp; Big Data, Hsch Polit Munchen, Munich, Germany; [Mayer, Katja] Univ Vienna, Dept Sci &amp; Technol Studies, Interfaces Sci Technol &amp; Soc, Vienna, Austria</t>
  </si>
  <si>
    <t>Technical University of Munich; University of Vienna</t>
  </si>
  <si>
    <t>Mahrenbach, LC (corresponding author), Tech Univ Munich, Chair Computat Social Sci &amp; Big Data, Hsch Polit Munchen, Munich, Germany.</t>
  </si>
  <si>
    <t>laura.mahrenbach@hfp.tum.de; katja.mayer@univie.ac.at</t>
  </si>
  <si>
    <t>Mayer, Katja/IYS-2014-2023</t>
  </si>
  <si>
    <t>Mayer, Katja/0000-0003-1184-595X; Mahrenbach, Laura/0000-0002-8622-3242</t>
  </si>
  <si>
    <t>CANADIAN JOURNAL COMMUNICATION</t>
  </si>
  <si>
    <t>VANCOUVER</t>
  </si>
  <si>
    <t>C/O SIMON FRASER UNIV, 515 WEST HASTINGS ST, VANCOUVER, BC V6B 5K3, CANADA</t>
  </si>
  <si>
    <t>0705-3657</t>
  </si>
  <si>
    <t>1499-6642</t>
  </si>
  <si>
    <t>CAN J COMMUN</t>
  </si>
  <si>
    <t>Can. J. Commun.</t>
  </si>
  <si>
    <t>10.22230/cjc.2020v45n1a3471</t>
  </si>
  <si>
    <t>ME8TZ</t>
  </si>
  <si>
    <t>WOS:000544927600014</t>
  </si>
  <si>
    <t>Manita, R; Elommal, N; Baudier, P; Hikkerova, L</t>
  </si>
  <si>
    <t>Manita, Riadh; Elommal, Najoua; Baudier, Patricia; Hikkerova, Lubica</t>
  </si>
  <si>
    <t>The digital transformation of external audit and its impact on corporate governance</t>
  </si>
  <si>
    <t>Audit; Digitalization; Big Data; Artificial Intelligence; Audit process</t>
  </si>
  <si>
    <t>BIG DATA; ARTIFICIAL-INTELLIGENCE; INNOVATION; QUALITY</t>
  </si>
  <si>
    <t>The literature demonstrates the growing interest of digitalization in organizations. The purpose of this paper is to study the influence of digitalization on audit's business and to understand how it can improve the role of audit as a governance mechanism. A qualitative approach was conducted by interviewing auditors from the five largest auditing firms in France. This paper demonstrates that digital technology is impacting at five key levels audit firms especially the audit role as a governance mechanism. Digitalization will improve the audit relevance (1) allowing audit firms to extend their offers by proposing new services (2). It will also improve the audit quality mainly by analysing all data's customer (3). Finally, with the digitalization a new auditor profile emerges (4), enabling the culture of innovation within audit firms (5). Thus, the firm governance will be improved but the managers 'discretionary power will be limited. This research highlights the importance of implementing digital strategies to provide regulators with the necessary modifications that need to occur for audit standards, It should enable Business School and universities to adapt their training programs according to the audit firms' expectations.</t>
  </si>
  <si>
    <t>[Manita, Riadh] NEOMA Business Sch, 1 Rue Marechal Juin, F-76130 Mont St Aignan, France; [Elommal, Najoua] Ecole Management Leonard de Vinci, 12 Ave Leonard de Vinci, F-92916 Paris, France; [Baudier, Patricia] EM Normandie, 64 Rue Ranelagh, F-75016 Paris, France; [Hikkerova, Lubica] IPAG Business Sch, 184 Blvd St Germain, F-75006 Paris, France</t>
  </si>
  <si>
    <t>NEOMA Business School; IPAG Business School</t>
  </si>
  <si>
    <t>Hikkerova, L (corresponding author), IPAG Business Sch, 184 Blvd St Germain, F-75006 Paris, France.</t>
  </si>
  <si>
    <t>Riadh.manita@neoma-bs.fr; najoua.elommal_manita@devinci.fr; pbaudier@em-normandie.fr; lubicahikkerova@gmail.com</t>
  </si>
  <si>
    <t>BAUDIER, PATRICIA/0000-0001-9881-4560</t>
  </si>
  <si>
    <t>10.1016/j.techfore.2019.119751</t>
  </si>
  <si>
    <t>JW8VM</t>
  </si>
  <si>
    <t>WOS:000503324600011</t>
  </si>
  <si>
    <t>Montereale, L; Ventura, L</t>
  </si>
  <si>
    <t>Montereale, Lia; Ventura, Leandro</t>
  </si>
  <si>
    <t>MOLISE: A DIGITAL STRATEGY FOR THE DISSEMINATION OF THE CULTURAL HERITAGE OF THE REGION</t>
  </si>
  <si>
    <t>ARCHEOMATICA-TECNOLOGIE PER I BENI CULTURALI</t>
  </si>
  <si>
    <t>This document is divided into four sections. The first section, the introduction, analyses the transformations that the cultural sector has been undergoing in recent years driven by the development of digital tools and accelerated by Covid-19. The second section describes the cultural heritage of Molise in terms of both its tangible and intangible components. The third section shows the digital strategy developed by the Regional Secretariat for Molise in order to spread the knowledge of the cultural heritage of Molise. Included is the description of the new website www.molise.beniculturali.it, of the nine interactive maps, of the digital comic book Once upon a time in Molise, of the video Molise Land of Wonders, and of a series of online books. The fourth section is dedicated to the conclusions which stress the way in which the projects discussed have contributed to the spread of Molise's cultural heritage and opened the way to further future transformations).</t>
  </si>
  <si>
    <t>[Montereale, Lia] Segretariato Reg Mibact Molise, Promoz &amp; Comunicaz, Rome, Italy; [Ventura, Leandro] Reg Musei Molise, Campobasso, Italy</t>
  </si>
  <si>
    <t>Montereale, L (corresponding author), Segretariato Reg Mibact Molise, Promoz &amp; Comunicaz, Rome, Italy.</t>
  </si>
  <si>
    <t>lia.montereale@beniculturali.it; leandro.ventura@beniculturali.it</t>
  </si>
  <si>
    <t>ARCHEOMATICA</t>
  </si>
  <si>
    <t>VIA NOMENTANA 525, ROME, 00141, ITALY</t>
  </si>
  <si>
    <t>2037-2485</t>
  </si>
  <si>
    <t>Archeomatica</t>
  </si>
  <si>
    <t>PG8PF</t>
  </si>
  <si>
    <t>WOS:000599990000003</t>
  </si>
  <si>
    <t>Nixon, B</t>
  </si>
  <si>
    <t>Nixon, Brice</t>
  </si>
  <si>
    <t>The business of news in the attention economy: Audience labor and MediaNews Group's efforts to capitalize on news consumption</t>
  </si>
  <si>
    <t>JOURNALISM</t>
  </si>
  <si>
    <t>Attention economy; audience labor; Digital First Media; digital news; exploitation; MediaNews Group; news consumption; newspaper industry; political economy of news</t>
  </si>
  <si>
    <t>This article analyzes the business of news in the early 21st century through a case study of the US newspaper company MediaNews Group. It examines the company's efforts over the past decade to create sources of revenue while the US newspaper industry faced a growing financial crisis. This article argues it is necessary to rethink the political economy of news to see that power over news consumption is the foundation of the business of news. The concepts of an attention economy and audience labor are used to reframe the process of capitalizing on news as, fundamentally, a process of gaining power over attention in order to treat it as an exploitable form of audience labor and thereby generate revenue from news consumers or advertisers. This article then presents a study of the strategies for generating revenue used by MediaNews Group from 2006 to 2016, focusing on its clusters of newspapers in California. Ownership consolidation was the company's key strategy until its debt and the industry's crisis forced it into bankruptcy. The company then pursued a series of digital strategies: digital advertising, paywalls, mobile distribution, citizen journalism, copyright infringement lawsuits, and Google Consumer Surveys. None proved profitable enough, and in 2016, the company returned to ownership consolidation. MediaNews Group's efforts over the past decade demonstrate the inescapable truth that power over attention is the key to the business of news: Capitalizing on news requires power over news consumption as a form of attention that can be exploited as news audience labor.</t>
  </si>
  <si>
    <t>[Nixon, Brice] Univ Penn, Annenberg Sch Commun, 3620 Walnut St, Philadelphia, PA 19104 USA</t>
  </si>
  <si>
    <t>University of Pennsylvania</t>
  </si>
  <si>
    <t>Nixon, B (corresponding author), Univ Penn, Annenberg Sch Commun, 3620 Walnut St, Philadelphia, PA 19104 USA.</t>
  </si>
  <si>
    <t>bln222@nyu.edu</t>
  </si>
  <si>
    <t>1464-8849</t>
  </si>
  <si>
    <t>1741-3001</t>
  </si>
  <si>
    <t>Journalism</t>
  </si>
  <si>
    <t>10.1177/1464884917719145</t>
  </si>
  <si>
    <t>KB1BI</t>
  </si>
  <si>
    <t>WOS:000506236000005</t>
  </si>
  <si>
    <t>O'Neill, N; Albiston, M; Ferguson, S; Nicklas, L</t>
  </si>
  <si>
    <t>O'Neill, Nathan; Albiston, Mairi; Ferguson, Sandra; Nicklas, Leeanne</t>
  </si>
  <si>
    <t>Improving CBT supervision. Four years of implementing NES Specialist Supervision Training for CBT in Scotland</t>
  </si>
  <si>
    <t>COGNITIVE BEHAVIOUR THERAPIST</t>
  </si>
  <si>
    <t>CBT; competency; Kirkpatrick; supervision</t>
  </si>
  <si>
    <t>COGNITIVE THERAPY; ASSESSING COMPETENCE; SCALE; FRAMEWORK</t>
  </si>
  <si>
    <t>NHS Education for Scotland (NES) plays a lead role in training the NHS Psychological Therapies workforce across Scotland. Fergusonet al. (2016) outlined the challenges, opportunities and proposed evaluation of the NES Specialist Supervision Training in Cognitive Behavioural Therapy (NESSST-CBT). The aims of the training were to provide an evidence-based, flexible and learner-focused training in CBT specific supervision competencies. This paper will provide an update on the evaluation of the training using Kirkpatrick's Impact Evaluation Model (1967,1987). Results indicate that: (1) delegates rated the training experience positively in various ways; (2) delegates described increases in their confidence and competence in using structured measures of CBT and supervision; (3) a majority of delegates completing a 3-month follow-up questionnaire described continued use of a structured CBT measure in supervision and for self-reflection; and (4) 392 psychological therapists in Scotland have now been formally trained in CBT specific supervision skills. NESSST-CBT continues to adapt and improve as a resource for staff as NES moves forward in its Digital Strategy for Scotland's NHS and partnership staff. Further implications of this are discussed, as well as limitations of the study.</t>
  </si>
  <si>
    <t>[O'Neill, Nathan] Leverndale Hosp, Esteem Off, Glasgow G53 7TU, Lanark, Scotland; [Albiston, Mairi; Ferguson, Sandra; Nicklas, Leeanne] NHS Educ Scotland, Psychol Directorate, Glasgow G3 8BW, Lanark, Scotland</t>
  </si>
  <si>
    <t>NHS Education for Scotland</t>
  </si>
  <si>
    <t>Nicklas, L (corresponding author), NHS Educ Scotland, Psychol Directorate, Glasgow G3 8BW, Lanark, Scotland.</t>
  </si>
  <si>
    <t>leeanne.nicklas@nes.scot.nhs.uk</t>
  </si>
  <si>
    <t>albiston, mairi/0000-0002-5221-3767</t>
  </si>
  <si>
    <t>1754-470X</t>
  </si>
  <si>
    <t>COGN BEH THER</t>
  </si>
  <si>
    <t>Cogn. Beh. Therap.</t>
  </si>
  <si>
    <t>e18</t>
  </si>
  <si>
    <t>10.1017/S1754470X20000136</t>
  </si>
  <si>
    <t>Psychology, Clinical</t>
  </si>
  <si>
    <t>LW3JL</t>
  </si>
  <si>
    <t>WOS:000539041000001</t>
  </si>
  <si>
    <t>Peñalba, EH; Samaniego, CRC; Romero, SMA</t>
  </si>
  <si>
    <t>Penalba, Ericson H.; Samaniego, Chaddlyn Rose C.; Romero, Shiella Mae A.</t>
  </si>
  <si>
    <t>Digital storytelling: a tool for promoting historical understanding among college students</t>
  </si>
  <si>
    <t>digital storytelling; history education; historical understanding; Philippine history; thematic network analysis</t>
  </si>
  <si>
    <t>SKILLS</t>
  </si>
  <si>
    <t>As an engaging learning strategy, digital storytelling provides students opportunities for developing competencies as they immerse themselves in a meaningful learning experience. The study presented in this article explored the potential of digital storytelling as an instrument for the promotion of historical-understanding. Thirty first-year teacher education students, who were divided into eight groups, participated in a digital storytelling project that required them to produce their own digital stories. The project was designed as an 8-week activity, which consisted of activities that guided them throughout the pre-production, production, and post-production phases. After the final week of the project, the students participated in focus group discussions. Aside from the focus group responses, data were also obtained from their reflection journal entries and digital stories. The qualitative data were subjected to thematic network analysis, surfacing six organising themes, namely historical significance, historical imagination, perspective taking, continuity, historical emphasis, and values and traits identification. These findings suggest specific courses of action for integrating technology in a history classroom.</t>
  </si>
  <si>
    <t>[Penalba, Ericson H.; Samaniego, Chaddlyn Rose C.; Romero, Shiella Mae A.] Bulacan State Univ, Teacher Educ Dept, Meneses Campus, Bulacan, Philippines</t>
  </si>
  <si>
    <t>Bulacan State University</t>
  </si>
  <si>
    <t>Peñalba, EH (corresponding author), Bulacan State Univ, Teacher Educ Dept, Meneses Campus, Bulacan, Philippines.</t>
  </si>
  <si>
    <t>ericson.penalba@bulsu.edu.ph</t>
  </si>
  <si>
    <t>Peñalba, Ericson/AAL-6731-2020</t>
  </si>
  <si>
    <t>Peñalba, Ericson/0000-0001-5834-4859</t>
  </si>
  <si>
    <t>10.25304/rlt.v28.2348</t>
  </si>
  <si>
    <t>NQ8WK</t>
  </si>
  <si>
    <t>WOS:000571148100001</t>
  </si>
  <si>
    <t>Llanes, RP</t>
  </si>
  <si>
    <t>Perdigon Llanes, Rudibel</t>
  </si>
  <si>
    <t>Digital strategy to strengthen the commercial management of Cuban agro livestock cooperatives</t>
  </si>
  <si>
    <t>agricultural commercialization; digital marketing; electronic business; social networks</t>
  </si>
  <si>
    <t>Agro livestock cooperatives play a significant role in food production and distribution in Cuba. This study identified deficiencies related to the business management processes of these organizations that affect their economic performance. Although there are several studies aimed to improve the efficiency of the marketing and commercialization systems in Cuban cooperatives, there is a lack of studies related to the application of digital technologies in the commercial relations of these organizations. This research aims to strengthen the commercial management of Cuban agro livestock cooperatives by applying a digital strategy. Analytical-synthetic, historical-logical and modeling methods were used as scientific methods. The proposed strategy is based on the use of social trade through the social network Facebook. The implementation of this strategy will make it possible to expand marketing, market relations, technological innovation and competitiveness of Cuban agro livestock cooperatives.</t>
  </si>
  <si>
    <t>[Perdigon Llanes, Rudibel] Minist Agr, Empresa Comercializadora Frutas Selectas, Havana, Cuba</t>
  </si>
  <si>
    <t>Llanes, RP (corresponding author), Minist Agr, Empresa Comercializadora Frutas Selectas, Havana, Cuba.</t>
  </si>
  <si>
    <t>rperdigon90@gmail.com</t>
  </si>
  <si>
    <t>LG6UJ</t>
  </si>
  <si>
    <t>WOS:000528233200004</t>
  </si>
  <si>
    <t>Saura, JR; Reyes-Menendez, A; de Matos, N; Correia, MB; Palos-Sanchez, P</t>
  </si>
  <si>
    <t>Saura, Jose Ramon; Reyes-Menendez, Ana; de Matos, Nelson; Correia, Marisol B.; Palos-Sanchez, Pedro</t>
  </si>
  <si>
    <t>CONSUMER BEHAVIOR IN THE DIGITAL AGE</t>
  </si>
  <si>
    <t>JOURNAL OF SPATIAL AND ORGANIZATIONAL DYNAMICS</t>
  </si>
  <si>
    <t>Consumer Behavior; Digital Age; Digital Strategies; Digital Business</t>
  </si>
  <si>
    <t>In recent decades, the Internet, evolving technologies, and social media have led to the evolution of consumer behavior. The changes in customer behavior driven by digital developments provide many opportunities and challenges that businesses also need to deal with online. The better companies know about the behavior of their customers, the easier they can engage with them using strategies such as content marketing, User Experience (UX), influencers marketing, User-Generated Content (UGC), or Electronic Word of Mouth (eWOM). These strategies are essential to get more sales and to develop businesses online, as such strategies increase the engagement with users and influence their behavior. This Special Edition of JOSD focuses on the analysis of consumer behavior in the digital age and, by doing so, contributes to extant knowledge about digital marketing strategies, online consumer behavior, and new digital business models such as mobile applications or shared economy.</t>
  </si>
  <si>
    <t>[Saura, Jose Ramon; Reyes-Menendez, Ana] Rey Juan Carlos Univ, Madrid, Spain; [de Matos, Nelson] Univ Algarve, Sch Management Hospitality &amp; Tourism ESGHT, Res Ctr Tourism Sustainabil &amp; Well Being CinTurs, Faro, Portugal; [Correia, Marisol B.] Univ Algarve, Sch Management Hospitality &amp; Tourism ESGHT, Faro, Portugal; [Correia, Marisol B.] Univ Lisbon, Ctr Tourism Res Dev &amp; Innovat CiTUR, Lisbon, Portugal; [Correia, Marisol B.] Univ Lisbon, Res Ctr Tourism Sustainabil &amp; Well Being CinTurs, Lisbon, Portugal; [Correia, Marisol B.] Univ Lisbon, CEG IST, Inst Super Tecn, Lisbon, Portugal; [Palos-Sanchez, Pedro] Univ Seville, Seville, Spain</t>
  </si>
  <si>
    <t>Universidad Rey Juan Carlos; Universidade do Algarve; Universidade do Algarve; Universidade de Lisboa; Universidade de Lisboa; Universidade de Lisboa; Instituto Superior Tecnico; University of Sevilla</t>
  </si>
  <si>
    <t>Saura, JR (corresponding author), Rey Juan Carlos Univ, Madrid, Spain.</t>
  </si>
  <si>
    <t>joseramon.saura@urjc.es; ana.reyes@urjc.es; nmmatos@ualg.pt; mcorreia@ualg.pt; ppalos@us.es</t>
  </si>
  <si>
    <t>Palos-Sanchez, Pedro R./A-8952-2017; Saura, José Ramón/L-2861-2018; deMatos, Nelson/HNJ-6572-2023; Reyes-Menendez, Ana/X-5393-2018; deMatos, Nelson Manuel da Silva/AAP-1198-2020</t>
  </si>
  <si>
    <t>Palos-Sanchez, Pedro R./0000-0001-9966-0698; Saura, José Ramón/0000-0002-9457-7745; Reyes-Menendez, Ana/0000-0003-0636-9573; deMatos, Nelson Manuel da Silva/0000-0002-6263-5007</t>
  </si>
  <si>
    <t>FCT- Foundation for Science and Technology [UIDB/04020/2020]</t>
  </si>
  <si>
    <t>FCT- Foundation for Science and Technology(Fundacao para a Ciencia e a Tecnologia (FCT))</t>
  </si>
  <si>
    <t>This paper is financed by National Funds provided by FCT- Foundation for Science and Technology through project UIDB/04020/2020.</t>
  </si>
  <si>
    <t>CIEO, RESEARCH CENTER SPATIAL &amp; ORGANIZATIONAL DYNAMICS</t>
  </si>
  <si>
    <t>FARO</t>
  </si>
  <si>
    <t>UNIV ALGARVE CAMPUS GAMBELAS, BUILDING 9, FARO, 8005-139, PORTUGAL</t>
  </si>
  <si>
    <t>1647-3183</t>
  </si>
  <si>
    <t>J SPAT ORGAN DYN</t>
  </si>
  <si>
    <t>J. Spat. Organ. Dyn.</t>
  </si>
  <si>
    <t>NZ5JD</t>
  </si>
  <si>
    <t>WOS:000577136000001</t>
  </si>
  <si>
    <t>Seidel, S; Bettinger, P; Budke, A</t>
  </si>
  <si>
    <t>Seidel, Sebastian; Bettinger, Patrick; Budke, Alexandra</t>
  </si>
  <si>
    <t>Representations and Concepts of Borders in Digital Strategy Games and Their Potential for Political Education in Geography Teaching</t>
  </si>
  <si>
    <t>geography education research; video games; qualitative research; game-based learning; popular geopolitics</t>
  </si>
  <si>
    <t>POPULAR GEOPOLITICS; EMPIRICAL-EVIDENCE; COMPUTER GAMES</t>
  </si>
  <si>
    <t>In Germany, 93% of young people between the ages of 10 and 18 play video games daily. Political geography, in particular popular geopolitics, have found that video games can help to establish and develop people's understanding of geopolitics. Consequently, this affects geography education, providing both challenges and opportunities for teaching. Geography teaching is an integral part of political education as students need to understand how boundaries and territories create spaces with regards to social power and become the object of political conflict. Reflection plays a central role in understanding and deconstructing such spatial constructions. In this article, we examine representations and concepts of borders in digital strategy games and the perception and reflection of these by the players. The results provide an outlook on the potential and the challenges of digital strategy games for political education in geography lessons in secondary schools as well as for teacher training at universities. For this reason, possible approaches for education and training will be outlined on the basis of the results.</t>
  </si>
  <si>
    <t>[Seidel, Sebastian; Budke, Alexandra] Univ Cologne, Inst Geog Educ, Gronewaldstr 2, D-50931 Cologne, Germany; [Bettinger, Patrick] Univ Cologne, Dept Educ &amp; Social Sci, Herbert Lewin Str 10, D-50931 Cologne, Germany</t>
  </si>
  <si>
    <t>University of Cologne; University of Cologne</t>
  </si>
  <si>
    <t>Seidel, S (corresponding author), Univ Cologne, Inst Geog Educ, Gronewaldstr 2, D-50931 Cologne, Germany.</t>
  </si>
  <si>
    <t>sebastian.seidel@uni-koeln.de; patrick.bettinger@uni-koeln.de; alexandra.budke@uni-koeln.de</t>
  </si>
  <si>
    <t>Budke, Alexandra/0000-0003-1063-8991; Wolff-Seidel, Sebastian/0000-0003-3508-2854</t>
  </si>
  <si>
    <t>10.3390/educsci10010010</t>
  </si>
  <si>
    <t>KL6IE</t>
  </si>
  <si>
    <t>WOS:000513524100001</t>
  </si>
  <si>
    <t>Suárez-Carballo, F; Martín-Sanromán, JR; Galindo-Rubio, F</t>
  </si>
  <si>
    <t>Suarez-Carballo, Fernando; Martin-Sanroman, Juan-Ramon; Galindo-Rubio, Fernando</t>
  </si>
  <si>
    <t>Responsive Graphic Marks in the Digital Strategy of the Corporate Visual Identity</t>
  </si>
  <si>
    <t>FONSECA-JOURNAL OF COMMUNICATION</t>
  </si>
  <si>
    <t>Logos; visual identity; graphic design; responsive design; digital strategy</t>
  </si>
  <si>
    <t>Many publications refer to the responsive design of logos as one of the most important trends in the digital strategy of the current corporate visual identity. According to this paradigm, the identifiers modify their graphic characteristics to adapt to the peculiar resolutions and sizes of the different screens and devices, in order to optimize the legibility and reception of the sign. However, the question is whether this phenomenon is truly relevant: to decipher it, using content analysis as the methodological technique, this research reviews the graphic marks of the 100 brands selected in the last published report by Interbrand (2019) through four variables: the possible changes in the type of logo and their visual attributes on the desktop and smartphone screens of their webpages, the level of simplicity or complexity of these signs and the graphic strategy of the favicon. The study concludes that, in web interfaces, brands prefer a single logo with high simplicity instead of these responsive tools which, however, far from the original meaning (directly linked to the equivalent webdesign trend), are used in the configuration of other elements (such as the favicon itself).</t>
  </si>
  <si>
    <t>[Suarez-Carballo, Fernando; Martin-Sanroman, Juan-Ramon; Galindo-Rubio, Fernando] Univ Pontificia Salamanca, Salamanca, Spain</t>
  </si>
  <si>
    <t>Pontifical University of Salamanca</t>
  </si>
  <si>
    <t>Suárez-Carballo, F (corresponding author), Univ Pontificia Salamanca, Salamanca, Spain.</t>
  </si>
  <si>
    <t>fsuarezca@upsa.es; jrmartinsa@upsa.es; fgalindoru@upsa.es</t>
  </si>
  <si>
    <t>Martin-Sanroman, Juan-Ramon/L-2842-2014; Carballo, Fernando Suárez/AAP-4670-2020</t>
  </si>
  <si>
    <t>Martin-Sanroman, Juan-Ramon/0000-0003-1998-4591;</t>
  </si>
  <si>
    <t>EDICIONES UNIV SALAMANCA</t>
  </si>
  <si>
    <t>SALAMANCA</t>
  </si>
  <si>
    <t>APARTADO DE CORREOS 325, SALAMANCA, 00000, SPAIN</t>
  </si>
  <si>
    <t>2172-9077</t>
  </si>
  <si>
    <t>FONSECA</t>
  </si>
  <si>
    <t>Fonseca</t>
  </si>
  <si>
    <t>10.14201/fjc2020207190</t>
  </si>
  <si>
    <t>LU8AO</t>
  </si>
  <si>
    <t>WOS:000537971600005</t>
  </si>
  <si>
    <t>Jin, J; Ma, L; Ye, XW</t>
  </si>
  <si>
    <t>Jin, Jun; Ma, Lei; Ye, Xinwei</t>
  </si>
  <si>
    <t>Digital transformation strategies for existed firms: from the perspectives of data ownership and key value propositions</t>
  </si>
  <si>
    <t>ASIAN JOURNAL OF TECHNOLOGY INNOVATION</t>
  </si>
  <si>
    <t>Digital transformation; key value propositions; data ownership; existed firms; emerging economies</t>
  </si>
  <si>
    <t>BUSINESS MODELS; INNOVATION; INFORMATION; TECHNOLOGY; RESOURCES; INTERNET</t>
  </si>
  <si>
    <t>The diffusion and embeddedness of cyber technology and big data technology is recognized as an opportunity and infrastructure for firms to innovate and transform. But which digital strategies existed firms in manufacturing and other traditional industries can make is still a question under research. The paper pursues to answer this question from the perspectives of data ownership and key value propositions. From the dimension of data ownership and key value propositions, this research proposes a research framework to guide the analyses of digital transformation strategy. The four firms are used to identify five types of digital strategies, namely new product strategy, new value-added service strategy, customized strategy, product embedded in the platform, and platform service / product strategy based on the framework of digital transformation strategy decision. This research suggests that a firm can select the suitable strategy considering his key value proposition and ownership of data which the firm could use. The research contributes to the research and practices on the digitalization strategy and the digital transformation of firms, especially those in emerging economies.</t>
  </si>
  <si>
    <t>[Jin, Jun] Zhejiang Univ, Sch Management, Hangzhou, Zhejiang, Peoples R China; [Ma, Lei] Nanjing Univ Sci &amp; Technol, Sch Publ Affairs, Xiaolingwei St 200, Nanjing 210094, Jiangsu, Peoples R China; [Ye, Xinwei] Nanjing Univ Sci &amp; Technol, Sch Econ &amp; Management, Nanjing, Jiangsu, Peoples R China</t>
  </si>
  <si>
    <t>Zhejiang University; Nanjing University of Science &amp; Technology; Nanjing University of Science &amp; Technology</t>
  </si>
  <si>
    <t>Ma, L (corresponding author), Nanjing Univ Sci &amp; Technol, Sch Publ Affairs, Xiaolingwei St 200, Nanjing 210094, Jiangsu, Peoples R China.</t>
  </si>
  <si>
    <t>maryma208@sina.com</t>
  </si>
  <si>
    <t>Jin, Jun/AAQ-3236-2021</t>
  </si>
  <si>
    <t>Jin, Jun/0000-0003-2350-7069</t>
  </si>
  <si>
    <t>National Natural Science Foundation of China [71672172, U1509221]</t>
  </si>
  <si>
    <t>This work was supported by National Natural Science Foundation of China [grant number 71672172, U1509221].</t>
  </si>
  <si>
    <t>1976-1597</t>
  </si>
  <si>
    <t>2158-6721</t>
  </si>
  <si>
    <t>ASIAN J TECHNOL INNO</t>
  </si>
  <si>
    <t>Asian J. Technol. Innov.</t>
  </si>
  <si>
    <t>10.1080/19761597.2019.1700384</t>
  </si>
  <si>
    <t>DEC 2019</t>
  </si>
  <si>
    <t>KW3HT</t>
  </si>
  <si>
    <t>WOS:000501095100001</t>
  </si>
  <si>
    <t>Adner, R; Puranam, P; Zhu, F</t>
  </si>
  <si>
    <t>Adner, Ron; Puranam, Phanish; Zhu, Feng</t>
  </si>
  <si>
    <t>What Is Different About Digital Strategy? From Quantitative to Qualitative Change</t>
  </si>
  <si>
    <t>STRATEGY SCIENCE</t>
  </si>
  <si>
    <t>digital transformation; digital technology; representation; connectivity; aggregation; firm strategy; digital strategy</t>
  </si>
  <si>
    <t>ENTRY; DIVERSIFICATION; COMPETITION; RESPONSES; NETWORKS; IMPACT; VIEW</t>
  </si>
  <si>
    <t>The recent attention paid to the challenge of digital transformation signals an inflection point in the impact of digital technology on the competitive landscape. We suggest that this transition can be understood as a shift from the quantitative advances that have historically characterized digital progress (e.g., Moore's law, Metcalf's law) to qualitative changes embodied in three core processes underlying modem digital transformation: representation, connectivity, and aggregation. We consider the implications for firm strategy and raise questions for future strategy research.</t>
  </si>
  <si>
    <t>[Adner, Ron] Dartmouth Coll, Tuck Sch Business, Hanover, NH 03755 USA; [Puranam, Phanish] INSEAD, Strategy &amp; Org Design, Singapore 138676, Singapore; [Zhu, Feng] Harvard Sch Business, Business Adm, Boston, MA 02163 USA</t>
  </si>
  <si>
    <t>Dartmouth College; INSEAD Business School; Harvard University</t>
  </si>
  <si>
    <t>Adner, R (corresponding author), Dartmouth Coll, Tuck Sch Business, Hanover, NH 03755 USA.</t>
  </si>
  <si>
    <t>ron.adner@dartmouth.edu; phanish.puranam@insead.edu; fzhu@hbs.edu</t>
  </si>
  <si>
    <t>Puranam, Phanish/0000-0002-0032-8538; Adner, Ron/0000-0003-1238-2248; Zhu, Feng/0000-0002-3034-6876</t>
  </si>
  <si>
    <t>2333-2050</t>
  </si>
  <si>
    <t>2333-2077</t>
  </si>
  <si>
    <t>STRATEG SCI</t>
  </si>
  <si>
    <t>Strateg. Sci.</t>
  </si>
  <si>
    <t>10.1287/stsc.2019.0099</t>
  </si>
  <si>
    <t>JX0IB</t>
  </si>
  <si>
    <t>WOS:000503426500002</t>
  </si>
  <si>
    <t>Jenkins, K; Sun, KCY</t>
  </si>
  <si>
    <t>Jenkins, Kathleen; Sun, Ken Chih-Yan</t>
  </si>
  <si>
    <t>Digital Strategies for Building Spiritual Intimacy: Families on a Wired Camino</t>
  </si>
  <si>
    <t>QUALITATIVE SOCIOLOGY</t>
  </si>
  <si>
    <t>Technologies; Families; Spirituality; Reflexivity; Intimacy; Pilgrimage</t>
  </si>
  <si>
    <t>RELIGION; PILGRIMAGE; FACEBOOK; FAITH; AGE; CONSTRUCTION; SANTIAGO; PARENTS</t>
  </si>
  <si>
    <t>Researchers have explored the role that information and communication technologies (ICTs) play in mediating both religious practice and intergenerational family relationships. Few, however, have paid close attention to the interplay between ICTs and spiritual dimensions of intimacies. Drawing from an ethnographic case of parents and their young adult children from various countries who walk the Camino de Santiago together in northwest Spain, we examine family members' reflexive use of ICTs in ways that enhance intimacy. Our analysis of in-depth interviews, field observations, and online travel journals illustrates how digital technologies can be disciplined and activated to reinforce intimacy constructed through the sharing of spiritual practice. In particular, we highlight family strategies to limit ICT use on pilgrimage to mark tech-free sacred time, as well as their embracing of digital technologies as ritual tools in the construction of visual narratives of shared spiritual practice. Our analysis adds a micro relational case to the larger literature on intimacies and contemporary media forces, furthering the conceptualization of media and digital technologies as an integral force in the pursuit of transcendent interpersonal experiences.</t>
  </si>
  <si>
    <t>[Jenkins, Kathleen] William &amp; Mary, Dept Sociol, Morton Hall,Room 230, Williamsburg, VA 23185 USA; [Sun, Ken Chih-Yan] Villanova Univ, St Augustine Ctr, Dept Sociol &amp; Criminol, Room 204,800 Lancaster Ave, Villanova, PA 19085 USA</t>
  </si>
  <si>
    <t>Villanova University</t>
  </si>
  <si>
    <t>Jenkins, K (corresponding author), William &amp; Mary, Dept Sociol, Morton Hall,Room 230, Williamsburg, VA 23185 USA.</t>
  </si>
  <si>
    <t>kejenk@wm.edu; kcsun1015@gmail.com</t>
  </si>
  <si>
    <t>Plumeri Award from the College of William and Mary</t>
  </si>
  <si>
    <t>We presented this paper in the 2017 annual meeting of American Sociological Association, and appreciate the helpful feedback of Dr. Erin A. Cech and other participants. This research is generously funded by a Plumeri Award from the College of William and Mary. We gratefully acknowledge the insightful comments of Wendy Cadge, Thomas J. Linneman, Yu-Hao Lee, David Smilde, and three anonymous reviewers at Qualitative Sociology.</t>
  </si>
  <si>
    <t>0162-0436</t>
  </si>
  <si>
    <t>1573-7837</t>
  </si>
  <si>
    <t>QUAL SOCIOL</t>
  </si>
  <si>
    <t>Qual. Sociol.</t>
  </si>
  <si>
    <t>10.1007/s11133-019-09432-0</t>
  </si>
  <si>
    <t>JN0GK</t>
  </si>
  <si>
    <t>WOS:000496582700003</t>
  </si>
  <si>
    <t>Ribeiro, SS</t>
  </si>
  <si>
    <t>Ribeiro, Sergio Silva</t>
  </si>
  <si>
    <t>Issues of Strategic Digital City</t>
  </si>
  <si>
    <t>URBAN SCIENCE</t>
  </si>
  <si>
    <t>strategic digital city; decision-making process; municipal strategies; municipal information; municipal public services; information technology</t>
  </si>
  <si>
    <t>In the contemporary era of information, it is a critical challenge for city managers to meet the demands of their citizens at the same pace as the development of its information technology resources. Guarapuava is an example of a centennial town that has been predominantly agricultural and now seeks to adjust to the population density and the new information age. Much like Guarapuava, many cities in Brazil and around the world are in a similar condition. The new reality of many towns is challenging for municipal managers. Strategic digital city is the application of information technology resources in the management of the city. The objective of this paper is to analyse the decision-making processes, strategies, public services, information technologies, and relationships with strategic digital city issues in the city of Guarapuava, Parana, Brazil. Using a survey methodology based on the research variables, we showed that the municipality has informal characteristics of the concept of a strategic digital city. Based on the results, the evidence domain types in the city are predominant for internet and colleagues inside the organization on a daily base. Google scholar is the most consulted research source of evidence. Respondents well know the term methodology. Their attitudes towards scientific research show that it is essential for managers and that managers are aware of how to use that technology. Related to evidence-based management the respondents, in general, agreed that using by evidence-based practices, managers can improve the quality of their work, and that this should be part of their formal education. Citizens should be utilised more as a source of evidence as well, as they are the users of the institutions. The strategies are more focused on the government and its administration, however, these strategies could include areas like science and technology. The city offers electronic public services to improve citizens lives, and to be more transparent in sharing information through these alternative channels. The analysis revealed the effort of the town to include citizens in the digital era, and its attempt to connect with them. The research serves as a reference for other municipalities with an interest in analysing projects related to the decision-making process, strategies, information, public services, and use of its IT resources. The study is also a contribution to academic knowledge in relation to the study of public policies related to urban management. Finally, the study contributes to the field of research related to the study of strategic digital city, serving as a basis for future studies in this discipline.</t>
  </si>
  <si>
    <t>[Ribeiro, Sergio Silva] Briercrest Coll &amp; Seminary, Dept Business Adminsitrat, Caronport, SK S0H 0S0, Canada</t>
  </si>
  <si>
    <t>Ribeiro, SS (corresponding author), Briercrest Coll &amp; Seminary, Dept Business Adminsitrat, Caronport, SK S0H 0S0, Canada.</t>
  </si>
  <si>
    <t>sribeiro@briercrest.ca</t>
  </si>
  <si>
    <t>2413-8851</t>
  </si>
  <si>
    <t>URBAN SCI</t>
  </si>
  <si>
    <t>Urban Sci.</t>
  </si>
  <si>
    <t>10.3390/urbansci3040102</t>
  </si>
  <si>
    <t>Environmental Sciences; Environmental Studies; Geography; Regional &amp; Urban Planning; Urban Studies</t>
  </si>
  <si>
    <t>Environmental Sciences &amp; Ecology; Geography; Public Administration; Urban Studies</t>
  </si>
  <si>
    <t>VJ7PK</t>
  </si>
  <si>
    <t>WOS:000621639500002</t>
  </si>
  <si>
    <t>Schallmo, D; Williams, CA; Lohse, J</t>
  </si>
  <si>
    <t>Schallmo, Daniel; Williams, Christopher A.; Lohse, Jochen</t>
  </si>
  <si>
    <t>DIGITAL STRATEGY - INTEGRATED APPROACH AND GENERIC OPTIONS</t>
  </si>
  <si>
    <t>Digital strategy; digital transformation; digital transformation strategy; digitisation; business model</t>
  </si>
  <si>
    <t>RESOURCE-BASED VIEW; DYNAMIC CAPABILITIES; COMPETITIVE ADVANTAGE</t>
  </si>
  <si>
    <t>The purpose of this paper is to develop an integrated approach for a digital strategy including generic options. Our research is based on our previous contribution in which we have analysed and compared existing approaches on digital strategy. We expanded this research by conducting 13 semi-structured interviews to gain insights from experts on digital strategy (researchers and consultants). We also analysed 10 case studies collected using semi-structured interviews with company representatives. Our findings show that digital strategy, although still in its infancy, is currently a significant topic across several industries. The paper offers an integrated approach for the development of a digital strategy which consists of six phases: external strategic analysis, strategic forecasting, internal strategic analysis, strategic principle, strategic options and strategy formulation. Within the integrated approach we also deliver four generic digital strategies: product provider, service provider, product platform operator and service platform operator.</t>
  </si>
  <si>
    <t>[Schallmo, Daniel] Neu Ulm Univ Appl Sci, Wileystr 1, D-89231 Neu Ulm, Germany; [Williams, Christopher A.] Johannes Kepler Univ Linz, Altenbergerstr 69, A-4040 Linz, Austria; [Lohse, Jochen] Hoppe Marine GmbH, Kieler Str 318, D-22525 Hamburg, Germany</t>
  </si>
  <si>
    <t>Johannes Kepler University Linz</t>
  </si>
  <si>
    <t>daniel.schallmo@hs-neu-ulm.de; chrs.a.williams@gmail.com; jochen.lohse.mba16a@nordakademie.org</t>
  </si>
  <si>
    <t>10.1142/S136391961940005X</t>
  </si>
  <si>
    <t>KB2KV</t>
  </si>
  <si>
    <t>WOS:000506329200006</t>
  </si>
  <si>
    <t>Von Bülow, M; Dias, T</t>
  </si>
  <si>
    <t>Von Bulow, Marisa; Dias, Tayrine</t>
  </si>
  <si>
    <t>Hashtag Activism for and against Dilma Rousseff's Impeachment</t>
  </si>
  <si>
    <t>REVISTA CRITICA DE CIENCIAS SOCIAIS</t>
  </si>
  <si>
    <t>Brazil; digital activism; political history; political mobilization; social networks</t>
  </si>
  <si>
    <t>The impeachment of Brazilian President Dilma Rousseff was the result of a long and contentious process. Over the course of almost two years, Rousseff's allies and opposition took to the streets and to social media to try to influence the process. Actors' digital activism generated political networks based on hashtags in favor and against the President. This article analyses these networks, based on data from retweets that mentioned hashtags in favor and against the impeachment, on two days: March 13 and 18, 2016. The results show the hierarchical character of this process of message diffusion, which is concentrated in a small number of accounts. These networks, however, are part of a much more complex web of online and offline ties, which connect individuals as well as transnational groups, and which sought to influence the meanings of Rousseff's impeachment through different digital strategies.</t>
  </si>
  <si>
    <t>[Von Bulow, Marisa] Univ Brasilia, Inst Ciencia Polit, Predio IPOL IREL, Campus Darcy Ribeiro, BR-70904970 Brasilia, DF, Brazil; [Dias, Tayrine] Univ Oberta Catalunya, Internet Interdisciplinary Inst IN3, Av Carl Friedrich Gauss 5, Barcelona 08860, Spain</t>
  </si>
  <si>
    <t>Universidade de Brasilia; UOC Universitat Oberta de Catalunya</t>
  </si>
  <si>
    <t>Von Bülow, M (corresponding author), Univ Brasilia, Inst Ciencia Polit, Predio IPOL IREL, Campus Darcy Ribeiro, BR-70904970 Brasilia, DF, Brazil.</t>
  </si>
  <si>
    <t>marisavonbulow@gmail.com; tdias@uoc.edu</t>
  </si>
  <si>
    <t>CENTRO ESTUDOS SOCIAIS, FAC ECONOMIA</t>
  </si>
  <si>
    <t>COIMBRA</t>
  </si>
  <si>
    <t>APTDO 3087, COIMBRA, 3001-401, PORTUGAL</t>
  </si>
  <si>
    <t>0254-1106</t>
  </si>
  <si>
    <t>2182-7435</t>
  </si>
  <si>
    <t>REV CRIT CIENC SOC</t>
  </si>
  <si>
    <t>Rev. Crit. Cienc. Soc.</t>
  </si>
  <si>
    <t>10.4000/rccs.9438</t>
  </si>
  <si>
    <t>KI5GE</t>
  </si>
  <si>
    <t>WOS:000511377300001</t>
  </si>
  <si>
    <t>Xiao, JH</t>
  </si>
  <si>
    <t>Xiao, Junhong</t>
  </si>
  <si>
    <t>Digital transformation in higher education: critiquing the five-year development plans (2016-2020) of 75 Chinese universities</t>
  </si>
  <si>
    <t>DISTANCE EDUCATION</t>
  </si>
  <si>
    <t>China; digital transformation; digital strategy; higher education; institutional development plan; national policy</t>
  </si>
  <si>
    <t>RESEARCH TRENDS; TECHNOLOGY; DECADES; IMPACT</t>
  </si>
  <si>
    <t>This study examined how the role of digitalization is framed in the strategic development plans of 75 top universities in China. Findings show that digitalization as perceived by these universities features instrumentality (e-campus construction and application) and modernization (sustaining and efficiency innovations in teaching and learning), a situation also seen in other countries. On the other hand, there seems to be not enough incentive for them to use digital technologies to serve a wider community and to build technology-enhanced research capacity. There is also scanty evidence of open, flexible, distributed, and disaggregated learning encouraged in these plans. Finally, unique to Chinese higher education institutions are the goals of building a positive online ethos and developing political and ideological education via digital means. Influence of national policies and strategies on institutional digital strategies is also discussed.</t>
  </si>
  <si>
    <t>[Xiao, Junhong] Shantou Radio &amp; Televis Univ, Dept Foreign Languages, 8 Leshan Rd, Shantou 515041, Guangdong, Peoples R China</t>
  </si>
  <si>
    <t>Xiao, JH (corresponding author), Shantou Radio &amp; Televis Univ, Dept Foreign Languages, 8 Leshan Rd, Shantou 515041, Guangdong, Peoples R China.</t>
  </si>
  <si>
    <t>frankxjh@gmail.com</t>
  </si>
  <si>
    <t>Xiao, Junhong/AAF-5715-2020</t>
  </si>
  <si>
    <t>Xiao, Junhong/0000-0002-5316-2957</t>
  </si>
  <si>
    <t>0158-7919</t>
  </si>
  <si>
    <t>1475-0198</t>
  </si>
  <si>
    <t>DISTANCE EDUC</t>
  </si>
  <si>
    <t>Distance Educ.</t>
  </si>
  <si>
    <t>10.1080/01587919.2019.1680272</t>
  </si>
  <si>
    <t>NOV 2019</t>
  </si>
  <si>
    <t>MA9OZ</t>
  </si>
  <si>
    <t>WOS:000496860100001</t>
  </si>
  <si>
    <t>Stewart, K; Kammer-Kerwick, M; Auchter, A; Koh, HE; Dunn, ME; Cunningham, I</t>
  </si>
  <si>
    <t>Stewart, Kristin; Kammer-Kerwick, Matt; Auchter, Allison; Koh, Hyeseung Elizabeth; Dunn, Mary Elizabeth; Cunningham, Isabella</t>
  </si>
  <si>
    <t>Examining digital video advertising (DVA) effectiveness The role of product category, product involvement, and device</t>
  </si>
  <si>
    <t>EUROPEAN JOURNAL OF MARKETING</t>
  </si>
  <si>
    <t>Experimental design; Product involvement; Device type; Digital video advertising; Search intentions</t>
  </si>
  <si>
    <t>CONSUMER INVOLVEMENT; RESPONSES; TELEVISION; UTILITARIAN; CHOICE; MODEL; WORKS; CONSUMPTION; SYNERGIES; EMOTIONS</t>
  </si>
  <si>
    <t>Purpose Marketers are increasing their use of digital strategies and prioritizing digital tactics, although the effectiveness digital video advertising (DVA) has not been examined empirically. The purpose of this research is to suggest that it is useful for advertisers to consider theories of the past to understand the link between product, advertising format and message processing. Design/methodology/approach To examine DVA effectiveness, this study utilized a 2-product type (utilitarian vs hedonic) x 2-product involvement (low vs high) x 2-platform (laptop vs mobile) mixed-design. Participants were recruited from a research company, who invited members of their panel to participate in an online experiment. Findings DVA for hedonic products resulted in stronger attitudes toward the ad and brand, and intentions to purchase. DVA for low involvement products resulted in stronger purchase intentions and likelihood to opt-in for more information. Moreover, there was an interaction between product category and involvement across all five measures of DVA effectiveness. Originality/value As technology continues to develop and marketers continue to pursue growing numbers of consumers through digital means and on mobile devices, understanding how device type influences advertising effectiveness is important for media strategy, message placement and marketing metrics. This research takes one step in that direction.</t>
  </si>
  <si>
    <t>[Stewart, Kristin] Calif State Univ, Dept Mkt, San Marcos, CA 92096 USA; [Kammer-Kerwick, Matt] Univ Texas Austin, IC2 Inst, Bur Business Res, Austin, TX 78712 USA; [Auchter, Allison] Univ Calif San Diego, Sch Med, La Jolla, CA 92093 USA; [Koh, Hyeseung Elizabeth; Dunn, Mary Elizabeth; Cunningham, Isabella] Univ Texas Austin, Stan Richards Sch Advertising &amp; PR, Austin, TX 78712 USA</t>
  </si>
  <si>
    <t>California State University System; California State University San Marcos; University of Texas System; University of Texas Austin; University of California System; University of California San Diego; University of Texas System; University of Texas Austin</t>
  </si>
  <si>
    <t>Stewart, K (corresponding author), Calif State Univ, Dept Mkt, San Marcos, CA 92096 USA.</t>
  </si>
  <si>
    <t>kstewart@csusm.edu; mattkk@ic2.utexas.edu; auchter@utexas.edu; kohhye@utexas.edu; marydunn.utexas@gmail.com; isabella.cunningham@austin.utexas.edu</t>
  </si>
  <si>
    <t>Koh, Hye Seung/IUN-3409-2023; Stewart, Kristin/IQW-2548-2023</t>
  </si>
  <si>
    <t>Koh, Hye Seung/0000-0003-4160-6984; Kammer-Kerwick, Matt/0000-0001-8848-3438</t>
  </si>
  <si>
    <t>IC2 Institute at The University of Texas at Austin</t>
  </si>
  <si>
    <t>The authors wish to acknowledge the IC2 Institute at The University of Texas at Austin for providing the funding for this research. The authors would also like to thank the anonymous reviewers of this manuscript. Their feedback has greatly improved the organization and readability of this paper.</t>
  </si>
  <si>
    <t>0309-0566</t>
  </si>
  <si>
    <t>1758-7123</t>
  </si>
  <si>
    <t>EUR J MARKETING</t>
  </si>
  <si>
    <t>Eur. J. Market.</t>
  </si>
  <si>
    <t>NOV 11</t>
  </si>
  <si>
    <t>10.1108/EJM-11-2016-0619</t>
  </si>
  <si>
    <t>IZ4ED</t>
  </si>
  <si>
    <t>WOS:000487036200009</t>
  </si>
  <si>
    <t>Foster, C; Azmeh, S</t>
  </si>
  <si>
    <t>Foster, Christopher; Azmeh, Shamel</t>
  </si>
  <si>
    <t>Latecomer Economies and National Digital Policy: An Industrial Policy Perspective</t>
  </si>
  <si>
    <t>JOURNAL OF DEVELOPMENT STUDIES</t>
  </si>
  <si>
    <t>COMPARATIVE ADVANTAGE; VALUE CHAINS; TRADE; CHINA; MODEL; RISE</t>
  </si>
  <si>
    <t>The global economy is experiencing digital transformation with impacts felt in developing countries. Digital firms and capabilities, however, remain concentrated in advanced economies. These processes indicate an emerging source of global economic inequality and a widening of the technological gap. Recently, there has been a growth in interventionist digital policy in developing and emerging economies but research has so far made a limited analysis of how this might fulfil economic objectives and support technological catch-up. In this paper, we examine this growth of national digital policies and highlight how industrial policy objectives are important drivers of digital strategies. Examining a number of cases based on an extensive analysis of national digital policies, with a focus on China, we illustrate that these policies often aim at facilitating global integration and linkages. However, our analysis shows that, under certain conditions, more interventionist approaches can be vital in countering structural challenges. Challenges include the power of digital platforms, limitations of domestic digital firms, and limited ability to leverage digitalisation for broad-based national development.</t>
  </si>
  <si>
    <t>[Foster, Christopher; Azmeh, Shamel] Univ Manchester, Global Dev Inst, Manchester, Lancs, England</t>
  </si>
  <si>
    <t>Foster, C (corresponding author), Univ Manchester, Arthur Lewis Bldg,Oxford Rd, Manchester M13 9PL, Lancs, England.</t>
  </si>
  <si>
    <t>christopher.foster-2@manchester.ac.uk</t>
  </si>
  <si>
    <t>Foster, Christopher/0000-0001-7827-2485</t>
  </si>
  <si>
    <t>Sheffield Institute of International Development (SIID); Information School, University of Sheffield</t>
  </si>
  <si>
    <t>The paper was supported by small grants from The Sheffield Institute of International Development (SIID) and the Information School, University of Sheffield. The authors would like to thank research assistant Yaming Fu for her work on compiling, collating and translating Chinese digital policy material used in this paper. Additional thanks to Jaime Echavarri-Valdez for insightful comments and inputs on early drafts of this paper.</t>
  </si>
  <si>
    <t>0022-0388</t>
  </si>
  <si>
    <t>1743-9140</t>
  </si>
  <si>
    <t>J DEV STUD</t>
  </si>
  <si>
    <t>J. Dev. Stud.</t>
  </si>
  <si>
    <t>2019 NOV 2</t>
  </si>
  <si>
    <t>10.1080/00220388.2019.1677886</t>
  </si>
  <si>
    <t>Development Studies; Economics</t>
  </si>
  <si>
    <t>Development Studies; Business &amp; Economics</t>
  </si>
  <si>
    <t>JK5SL</t>
  </si>
  <si>
    <t>WOS:000494903000001</t>
  </si>
  <si>
    <t>Pakkanen, J; Lentini, MC; Sarris, A; Tikkala, E; Manataki, M</t>
  </si>
  <si>
    <t>Pakkanen, Jari; Lentini, Maria Costanza; Sarris, Apostolos; Tikkala, Esko; Manataki, Meropi</t>
  </si>
  <si>
    <t>Recording and Reconstructing the Sacred Landscapes of Sicilian Naxos</t>
  </si>
  <si>
    <t>OPEN ARCHAEOLOGY</t>
  </si>
  <si>
    <t>Greek sanctuaries; Naxos in Sicily; digital reconstruction; 3D documentation; geophysical survey</t>
  </si>
  <si>
    <t>In recent years, an on-going project investigating the urban landscape of Naxos has surveyed and produced several new digital reconstructions of the settlement's simple non-peripteral temples, most with highly decorative roofs. Three Archaic sacred buildings of Sicilian Naxos are used to demonstrate different approaches to recording the remains and reconstructing their architectural features. This work reflects changes in digital strategies over the past ten years. Tempietto H is a small shrine located outside the city's boundaries and the site is currently inaccessible, so its reconstruction is based on excavation documentation and roof terracottas. The visible half of Tempietto C was documented using three-dimensional line-drawing with total stations and photogrammetry; the back-filled south-western part was surveyed with ground penetrating radar. Temple B is the largest sacred structure in Naxos. A geophysical survey gives new data on the eastern extent of the sanctuary. The area has been recorded with handheld and aerial photography to create a three-dimensional model of the sanctuary. A new orthogonal grid of the city was established circa 470 BCE and a rectangular base was placed in the south-east corner of every crossroad. These bases were the starting point for the plan, and their interpretation as altars converts the entire urban plan into a sacred landscape.</t>
  </si>
  <si>
    <t>[Pakkanen, Jari] Royal Holloway Univ London, Sch Humanities, Dept Class, Egham TW20 0EX, Surrey, England; [Lentini, Maria Costanza] Archaeol Pk Naxos, Naxos, Sicily, Italy; [Sarris, Apostolos; Manataki, Meropi] Hellas FORTH, Fdn Res &amp; Technol, GeoSat Res Lab, Rethimnon, Greece; [Tikkala, Esko] Univ Helsinki, Helsinki, Finland</t>
  </si>
  <si>
    <t>University of London; Royal Holloway University London; University of Helsinki</t>
  </si>
  <si>
    <t>Pakkanen, J (corresponding author), Royal Holloway Univ London, Sch Humanities, Dept Class, Egham TW20 0EX, Surrey, England.</t>
  </si>
  <si>
    <t>j.pakkanen@rhul.ac.uk</t>
  </si>
  <si>
    <t>Archaeological Park of Naxos; Jenny and Antti Wihuri Foundation; Foundation of the Finnish Institute at Athens; Finnish Institute in Rome</t>
  </si>
  <si>
    <t>For this paper, Pakkanen has been the lead author, specifically responsible for the sections on the new topographical work, architectural interpretations and reconstructions. Lentini provided data on excavation history and architectural terracottas and Sarris led the geophysical investigation of the discussed areas. Tikkala assisted with the topographical research and Manataki with the geophysics. Many thanks are due to Gabriella Tigano and Vera Greco, current and previous directors of the Archaeological Park of Naxos, for supporting the continuation of our project. Funding for Urban Landscape of Naxos in Sicily and its fieldwork in 2012-17 has been from the Jenny and Antti Wihuri Foundation, the Foundation of the Finnish Institute at Athens, the Archaeological Park of Naxos and the Finnish Institute in Rome. For the project, the support of Caterina Valentino and her staff at Hotel Palladio have been an inspiration all through the years. We also wish to thank Alexander Herda for pointing out the early use horizontal lead channels in the Greek East and providing the manuscript of his text. The anonymous referees and the editors Giorgos Papantoniou and Katarzyna Michalak have given a range of very valuable comments on the manuscript.</t>
  </si>
  <si>
    <t>DE GRUYTER POLAND SP Z O O</t>
  </si>
  <si>
    <t>BOGUMILA ZUGA 32A STR, 01-811 WARSAW, MAZOVIA, POLAND</t>
  </si>
  <si>
    <t>2300-6560</t>
  </si>
  <si>
    <t>OPEN ARCHAEOL</t>
  </si>
  <si>
    <t>Open Archaeol.</t>
  </si>
  <si>
    <t>NOV 1</t>
  </si>
  <si>
    <t>10.1515/opar-2019-0026</t>
  </si>
  <si>
    <t>Archaeology</t>
  </si>
  <si>
    <t>JZ6SZ</t>
  </si>
  <si>
    <t>WOS:000505237400001</t>
  </si>
  <si>
    <t>Ukko, J; Nasiri, M; Saunila, M; Rantala, T</t>
  </si>
  <si>
    <t>Ukko, Juhani; Nasiri, Mina; Saunila, Minna; Rantala, Tero</t>
  </si>
  <si>
    <t>Sustainability strategy as a moderator in the relationship between digital business strategy and financial performance</t>
  </si>
  <si>
    <t>Sustainable development; Sustainability strategy; Digital strategy; Digital transformation; Technology transformation; Managerial capabilities; Financial performance</t>
  </si>
  <si>
    <t>SINGLE-ITEM MEASURES; CORPORATE SUSTAINABILITY; E-COMMERCE; PREDICTIVE-VALIDITY; FIRM PERFORMANCE; CAPABILITIES; INNOVATION; TRANSFORMATION; SERVICE; MANAGEMENT</t>
  </si>
  <si>
    <t>This paper empirically examines the role of a sustainability strategy in the relation between a digital business strategy and financial performance. By classifying two capabilities (managerial capability and operational capability) that are needed to realize a digital business strategy, this study suggests that a sustainability strategy serves as a promoter in the relation between managerial capability and financial performance but inhibits the relation between operational capability and financial performance. Using a structured survey questionnaire, the data was collected from 280 small and medium-sized enterprises (SMEs), which operate in both the service and manufacturing industries in Finland. Four developed hypotheses were tested using the regression analysis to find the relationship between digital business strategy, sustainability strategy and financial performance. The findings suggest that a sustainability strategy serves as a promoter in the relation between managerial capability and financial performance but inhibits the relation between operational capability and financial performance. (C) 2019 The Authors. Published by Elsevier Ltd.</t>
  </si>
  <si>
    <t>[Ukko, Juhani; Nasiri, Mina; Saunila, Minna; Rantala, Tero] LUT Univ, Sch Engn Sci, Dept Ind Engn &amp; Management, Saimaankatu 11, FI-15140 Lahti, Finland</t>
  </si>
  <si>
    <t>Ukko, J (corresponding author), LUT Univ, Sch Engn Sci, Dept Ind Engn &amp; Management, Saimaankatu 11, FI-15140 Lahti, Finland.</t>
  </si>
  <si>
    <t>juhani.ukko@lut.fi; mina.nasiri@lut.fi; minna.saunila@lut.fi; tero.rantala@lut.fi</t>
  </si>
  <si>
    <t>Rantala, Tero/T-4440-2019</t>
  </si>
  <si>
    <t>Rantala, Tero/0000-0001-6451-5546; Nasiri, Mina/0000-0003-2353-7487</t>
  </si>
  <si>
    <t>10.1016/j.jclepro.2019.117626</t>
  </si>
  <si>
    <t>IU2MH</t>
  </si>
  <si>
    <t>WOS:000483414000084</t>
  </si>
  <si>
    <t>Vieira, VA; de Almeida, MIS; Agnihotri, R; da Silva, NSDC; Arunachalam, S</t>
  </si>
  <si>
    <t>Vieira, Valter Afonso; Severo de Almeida, Marcos Inacio; Agnihotri, Raj; De Arruda Correa da Silva, Noga Simoes; Arunachalam, S.</t>
  </si>
  <si>
    <t>In pursuit of an effective B2B digital marketing strategy in an emerging market</t>
  </si>
  <si>
    <t>JOURNAL OF THE ACADEMY OF MARKETING SCIENCE</t>
  </si>
  <si>
    <t>Digital echoverse; Digital B2B; Digital media elasticities; Emerging markets; Vector autoregression; Inbound marketing; Paid media; Owned media; Earned social media; Sales; Customer acquisition</t>
  </si>
  <si>
    <t>WORD-OF-MOUTH; USER-GENERATED CONTENT; SOCIAL MEDIA; UNIT-ROOT; TIME-SERIES; SALES; FUTURE; ONLINE; MODEL; STATIONARITY</t>
  </si>
  <si>
    <t>In business markets, firms operating in developing economies deal with burgeoning use of the internet, new electronic purchase methods, and a wide range of social media and online sales platforms. However, marketers are unclear about the pattern of influence of firm-initiated (i.e., paid media, owned media, and digital inbound marketing) and market-initiated (i.e., earned social media and organic search) digital communications on B2B sales and customer acquisition. We develop and test a model of digital echoverse in an emerging market B2B context, using vector autoregressive modeling to analyze a unique 132-week dataset from a Brazilian hub firm operating in the marketplace. We find empirical evidence supporting our conceptual framework in emerging markets. Underscoring the importance of a market development approach for emerging markets, the findings show that owned media and digital inbound marketing play a bigger role in influencing customer acquisition. Impressions generated through earned social media complement owned media, but not paid media. These insights highlight the notion that while sources of digital echoverse may remain the same across countries, its components exert a particular pattern of influence in an emerging market context. This is expected to encourage managers to rethink their digital strategies for B2B customer acquisition and sales enhancement while operating in emerging markets.</t>
  </si>
  <si>
    <t>[Vieira, Valter Afonso; De Arruda Correa da Silva, Noga Simoes] Maringa State Univ PPA UEM, Coll Business Adm, Av Colombo 5-790, BR-87053070 Maringa, Parana, Brazil; [Severo de Almeida, Marcos Inacio] Univ Fed Goias, Fac Business Adm Accounting Sci &amp; Econ Sci FACE, R Samambaia S-N,Campus Samambaia, BR-74001970 Goiania, Go, Brazil; [Agnihotri, Raj] Iowa State Univ, Ivy Coll Business, Ames, IA USA; [Arunachalam, S.] Indian Sch Business, Hyderabad 500111, Telangana, India</t>
  </si>
  <si>
    <t>Universidade Federal de Goias; Iowa State University; Indian School of Business (ISB)</t>
  </si>
  <si>
    <t>Vieira, VA (corresponding author), Maringa State Univ PPA UEM, Coll Business Adm, Av Colombo 5-790, BR-87053070 Maringa, Parana, Brazil.</t>
  </si>
  <si>
    <t>valterafonsovieira@gmail.com; misevero@yahoo.com.br; raj2@iastate.edu; noga.simoes@gmail.com; S_Arunachalam@isb.edu</t>
  </si>
  <si>
    <t>Vieira, Valter/AAN-1888-2020; de Almeida, Marcos I.S./D-9239-2018; Agnihotri, Raj/AAN-9991-2021; S, Arunachalam/F-9249-2015</t>
  </si>
  <si>
    <t>de Almeida, Marcos I.S./0000-0001-9493-0644; S, Arunachalam/0000-0003-4110-9531; Agnihotri, Raj/0000-0002-2008-5908</t>
  </si>
  <si>
    <t>0092-0703</t>
  </si>
  <si>
    <t>1552-7824</t>
  </si>
  <si>
    <t>J ACAD MARKET SCI</t>
  </si>
  <si>
    <t>J. Acad. Mark. Sci.</t>
  </si>
  <si>
    <t>10.1007/s11747-019-00687-1</t>
  </si>
  <si>
    <t>JL2FB</t>
  </si>
  <si>
    <t>WOS:000495345700007</t>
  </si>
  <si>
    <t>Zhang, Y; Luo, J; Xiong, Z; Liu, H; Wang, L; Gu, YY; Lu, ZF; Li, JH; Huang, JP</t>
  </si>
  <si>
    <t>Zhang, Ying; Luo, Jun; Xiong, Zheng; Liu, Hua; Wang, Li; Gu, Yingying; Lu, Zifeng; Li, Jinhuan; Huang, Jipeng</t>
  </si>
  <si>
    <t>User-defined microstructures array fabricated by DMD based multistep lithography with dose modulation</t>
  </si>
  <si>
    <t>OPTICS EXPRESS</t>
  </si>
  <si>
    <t>MICROLENS ARRAY; TECHNOLOGY</t>
  </si>
  <si>
    <t>A flexible and efficient strategy, digital micromirror devices (DMD) based multistep lithography (DMSL), is proposed to fabricate arrays of user-defined microstructures. Through the combination of dose modulation, flexible pattern generation of DMD, and high-resolution step movement of piezoelectrical stage (PZS), this method enables prototyping a board range of 2D lattices with periodic/nonperiodic spatial distribution and arbitrary shapes and the critical feature size is down to 600 nm. We further explore the use of DMSL to fabricate microlens array by combining with the thermal reflowing process. The square shape and hexagonal shape microlens with customized distribution are realized and characterized. The results indicate that the proposed DMSL can be a significant role in the microfabrication techniques for manufacturing functional microstructures array. (C) 2019 Optical Society of America under the terms of the OSA Open Access Publishing Agreement</t>
  </si>
  <si>
    <t>[Zhang, Ying; Luo, Jun; Liu, Hua; Lu, Zifeng; Li, Jinhuan; Huang, Jipeng] Northeast Normal Univ, Coll Phys, Demonstrat Ctr Expt Phys Educ, Changchun 130024, Jilin, Peoples R China; [Xiong, Zheng] Syracuse Univ, Dept Biomed Engn &amp; Chem Engn, Syracuse, NY 13244 USA; [Wang, Li; Gu, Yingying] Beijing Inst Control Engn, Lab Space Optoelect Measurement &amp; Percept, Beijing, Peoples R China; [Liu, Hua] Chinese Acad Sci, Changchun Inst Opt Fine Mech &amp; Phys, State Key Lab Appl Opt, Changchun 130033, Jilin, Peoples R China</t>
  </si>
  <si>
    <t>Northeast Normal University - China; Syracuse University; Chinese Academy of Sciences; Changchun Institute of Optics, Fine Mechanics &amp; Physics, CAS</t>
  </si>
  <si>
    <t>Liu, H (corresponding author), Northeast Normal Univ, Coll Phys, Demonstrat Ctr Expt Phys Educ, Changchun 130024, Jilin, Peoples R China.;Liu, H (corresponding author), Chinese Acad Sci, Changchun Inst Opt Fine Mech &amp; Phys, State Key Lab Appl Opt, Changchun 130033, Jilin, Peoples R China.</t>
  </si>
  <si>
    <t>liuhua_rain@aliyun.com</t>
  </si>
  <si>
    <t>hua, liu/GXV-5211-2022</t>
  </si>
  <si>
    <t>National Natural Science Foundation of China [61875036]; Jilin Scientific and Technological Development Program [20190302049GX]</t>
  </si>
  <si>
    <t>National Natural Science Foundation of China(National Natural Science Foundation of China (NSFC)); Jilin Scientific and Technological Development Program</t>
  </si>
  <si>
    <t>National Natural Science Foundation of China (No. 61875036); Jilin Scientific and Technological Development Program (20190302049GX).</t>
  </si>
  <si>
    <t>OPTICAL SOC AMER</t>
  </si>
  <si>
    <t>2010 MASSACHUSETTS AVE NW, WASHINGTON, DC 20036 USA</t>
  </si>
  <si>
    <t>1094-4087</t>
  </si>
  <si>
    <t>OPT EXPRESS</t>
  </si>
  <si>
    <t>Opt. Express</t>
  </si>
  <si>
    <t>OCT 28</t>
  </si>
  <si>
    <t>10.1364/OE.27.031956</t>
  </si>
  <si>
    <t>Optics</t>
  </si>
  <si>
    <t>JH8CL</t>
  </si>
  <si>
    <t>WOS:000492996000068</t>
  </si>
  <si>
    <t>Rich, E; Miah, A; Lewis, S</t>
  </si>
  <si>
    <t>Rich, Emma; Miah, Andy; Lewis, Sarah</t>
  </si>
  <si>
    <t>Is digital health care more equitable? The framing of health inequalities within England's digital health policy 2010-2017</t>
  </si>
  <si>
    <t>SOCIOLOGY OF HEALTH &amp; ILLNESS</t>
  </si>
  <si>
    <t>E-health; Health Policy; Healthism; Internet; Social determinants of health; Youth</t>
  </si>
  <si>
    <t>ENGLISH STRATEGY; REFLECTIONS; RESEARCHERS; PEOPLE; SELF; UK</t>
  </si>
  <si>
    <t>Informed by a discourse analysis, this article examines the framing of equity within the UK's digital health policies between 2010 and 2017, focusing on England's development of NHS Digital and its situation within the UK Government's wider digital strategy. Analysis of significant policy documents reveals three interrelated discourses that are engaged within England's digital health policies: equity as a neoliberal imaginary of digital efficiency and empowerment; digital health as a pathway towards democratising health care through data-sharing, co-creation and collaboration; and finally, digital health as a route towards extending citizen autonomy through their access to data systems. It advances knowledge of the relationship between digital health policy and health inequalities. Revealing that while inclusion remains a priority area for policymakers, equity is being constituted in ways that reflect broader discourses of neoliberalism, empowerment and the turn to the market for technological solutionism, which may potentially exacerbate health inequalities.</t>
  </si>
  <si>
    <t>[Rich, Emma; Lewis, Sarah] Univ Bath, Dept Hlth, Bath, Avon, England; [Miah, Andy] Univ Salford, Sch Environm &amp; Life Sci, Salford, Lancs, England</t>
  </si>
  <si>
    <t>University of Bath; University of Salford</t>
  </si>
  <si>
    <t>Rich, E (corresponding author), Univ Bath, Dept Educ, Bath, Avon, England.</t>
  </si>
  <si>
    <t>E.Rich@bath.ac.uk</t>
  </si>
  <si>
    <t>Miah, Andy/C-1467-2015</t>
  </si>
  <si>
    <t>Miah, Andy/0000-0003-0137-674X</t>
  </si>
  <si>
    <t>Wellcome Trust: 'The digital health generation: The impact of 'healthy lifestyle' technologies on young people's learning, identities and health practices' [203254/Z/16/Z]; Wellcome Trust [203254/Z/16/Z] Funding Source: Wellcome Trust</t>
  </si>
  <si>
    <t>Wellcome Trust: 'The digital health generation: The impact of 'healthy lifestyle' technologies on young people's learning, identities and health practices'(Wellcome Trust); Wellcome Trust(Wellcome Trust)</t>
  </si>
  <si>
    <t>This work was supported by a grant from the Wellcome Trust: 'The digital health generation: The impact of 'healthy lifestyle' technologies on young people's learning, identities and health practices' reference number: 203254/Z/16/Z.</t>
  </si>
  <si>
    <t>0141-9889</t>
  </si>
  <si>
    <t>1467-9566</t>
  </si>
  <si>
    <t>SOCIOL HEALTH ILL</t>
  </si>
  <si>
    <t>Sociol. Health Ill.</t>
  </si>
  <si>
    <t>10.1111/1467-9566.12980</t>
  </si>
  <si>
    <t>Public, Environmental &amp; Occupational Health; Social Sciences, Biomedical; Sociology</t>
  </si>
  <si>
    <t>Public, Environmental &amp; Occupational Health; Biomedical Social Sciences; Sociology</t>
  </si>
  <si>
    <t>JD2GJ</t>
  </si>
  <si>
    <t>WOS:000489792800003</t>
  </si>
  <si>
    <t>Nayak, B; Bhattacharyya, SS; Krishnamoorthy, B</t>
  </si>
  <si>
    <t>Nayak, Bishwajit; Bhattacharyya, Som Sekhar; Krishnamoorthy, Bala</t>
  </si>
  <si>
    <t>Application of digital technologies in health insurance for social good of bottom of pyramid customers in India</t>
  </si>
  <si>
    <t>INTERNATIONAL JOURNAL OF SOCIOLOGY AND SOCIAL POLICY</t>
  </si>
  <si>
    <t>Bottom of pyramid; Risk management; Digital technology; Social policy; Social health insurance</t>
  </si>
  <si>
    <t>ARTIFICIAL-INTELLIGENCE; BIG DATA; CARE; CHALLENGES; ADOPTION; SERVICES; IMPACT; ADULTS</t>
  </si>
  <si>
    <t>Purpose Social health insurance framework of any country is the national identifier of the country's policy for taking care of its population which cannot access or afford quality healthcare. The purpose of this paper is to highlight the strategic imperatives of digital technology for the inclusive social health models for the BoP customers. Design/methodology/approach A qualitative exploratory study using in-depth personal interviews with 53 Indian health insurance CXOs was conducted with a semi-structured questionnaire. Using MaxQDA software, the interview transcripts were analyzed by means of thematic content analysis technique and patterns identified based on the expert opinions. Findings A framework for the strategic imperatives of digital technology in social health insurance emerged from the study highlighting three key themes for technology implementation in the social health insurance sector - analytics for risk management, cost optimization for operations and enhancement of customer experience. The study results provide key insights about how insurers can enhance the coverage of BoP population by leveraging technology. Social implications - The framework would help health insurers and policymakers to select strategic choices related to technology that would enable creation of inclusive health insurance models for BoP customers. Originality/value The absence of specific studies highlighting the strategic digital imperatives in social health insurance creates a unique value proposition for this framework which can help health insurers in developing a convergence in their risk management and customer delight objectives and assist the government in the formulation of a sustainable social health insurance framework.</t>
  </si>
  <si>
    <t>[Nayak, Bishwajit; Krishnamoorthy, Bala] Narsee Monjee Inst Management Studies Univ, Sch Business Management, Mumbai, Maharashtra, India; [Bhattacharyya, Som Sekhar] Natl Inst Ind Engn, Dept Strateg Management, Mumbai, Maharashtra, India</t>
  </si>
  <si>
    <t>SVKM's NMIMS (Deemed to be University); National Institute of Industrial Engineering (NITIE)</t>
  </si>
  <si>
    <t>Nayak, B (corresponding author), Narsee Monjee Inst Management Studies Univ, Sch Business Management, Mumbai, Maharashtra, India.</t>
  </si>
  <si>
    <t>bnayak0107@gmail.com</t>
  </si>
  <si>
    <t>Nayak, Bishwajit/G-5193-2018; Bhattacharyya, Som Sekhar/AAJ-5749-2020</t>
  </si>
  <si>
    <t>Bhattacharyya, Som Sekhar/0000-0003-3259-0319</t>
  </si>
  <si>
    <t>0144-333X</t>
  </si>
  <si>
    <t>1758-6720</t>
  </si>
  <si>
    <t>INT J SOCIOL SOC POL</t>
  </si>
  <si>
    <t>Int. J. Sociol. Soc. Policy</t>
  </si>
  <si>
    <t>SEP 9</t>
  </si>
  <si>
    <t>9-10</t>
  </si>
  <si>
    <t>10.1108/IJSSP-05-2019-0095</t>
  </si>
  <si>
    <t>JO2XV</t>
  </si>
  <si>
    <t>WOS:000497446800006</t>
  </si>
  <si>
    <t>Guttieres, D; Stewart, S; Wolfrum, J; Springs, SL</t>
  </si>
  <si>
    <t>Guttieres, Donovan; Stewart, Shannon; Wolfrum, Jacqueline; Springs, Stacy L.</t>
  </si>
  <si>
    <t>Cyberbiosecurity in Advanced Manufacturing Models</t>
  </si>
  <si>
    <t>FRONTIERS IN BIOENGINEERING AND BIOTECHNOLOGY</t>
  </si>
  <si>
    <t>cybersecurity; biomanufacturing; distributed manufacturing; bioprocess risks; cyber-physical systems; risk mitigation</t>
  </si>
  <si>
    <t>CYBER-PHYSICAL SYSTEMS</t>
  </si>
  <si>
    <t>Cybersecurity for the production of safe and effective biopharmaceuticals requires the attention of multiple stakeholders, including industry, governments, and healthcare providers. Cyberbiosecurity breaches could directly impact patients, from compromised data privacy to disruptions in production that jeopardize global pandemic response. Maintaining cybersecurity in the modern economy, where advanced manufacturing technologies and digital strategies are becoming the norm, is a significant challenge. Here, we highlight vulnerabilities in present and future biomanufacturing paradigms given the dependence of this industry sector on proprietary intellectual property, cyber-physical systems, and government-regulated production environments, as well as movement toward advanced manufacturing models. Specifically, we (1) present an analysis of digital information flow in a typical biopharmaceutical manufacturing value chain; (2) consider the potential cyberbiosecurity risks that might emerge from advanced manufacturing models such as continuous and distributed systems; and (3) provide recommendations for risk mitigation. While advanced manufacturing models hold the potential for reducing costs and increasing access to more personalized therapies, the evolving landscape of the biopharmaceutical enterprise has led to growing concerns over potential cyber attacks. Gaining better foresight on potential risks is key for implementing proactive defensive principles, framing new developments, and establishing a permanent security culture that adapts to new challenges while maintaining the transparency required for regulated production of safe and effective medicines.</t>
  </si>
  <si>
    <t>[Guttieres, Donovan; Stewart, Shannon; Wolfrum, Jacqueline; Springs, Stacy L.] MIT, Ctr Biomed Innovat, 77 Massachusetts Ave, Cambridge, MA 02139 USA</t>
  </si>
  <si>
    <t>Massachusetts Institute of Technology (MIT)</t>
  </si>
  <si>
    <t>Springs, SL (corresponding author), MIT, Ctr Biomed Innovat, 77 Massachusetts Ave, Cambridge, MA 02139 USA.</t>
  </si>
  <si>
    <t>ssprings@mit.edu</t>
  </si>
  <si>
    <t>Guttieres, Donovan/0000-0003-1174-5238</t>
  </si>
  <si>
    <t>2296-4185</t>
  </si>
  <si>
    <t>FRONT BIOENG BIOTECH</t>
  </si>
  <si>
    <t>Front. Bioeng. Biotechnol.</t>
  </si>
  <si>
    <t>SEP 4</t>
  </si>
  <si>
    <t>10.3389/fbioe.2019.00210</t>
  </si>
  <si>
    <t>Biotechnology &amp; Applied Microbiology; Multidisciplinary Sciences</t>
  </si>
  <si>
    <t>Biotechnology &amp; Applied Microbiology; Science &amp; Technology - Other Topics</t>
  </si>
  <si>
    <t>IU8DT</t>
  </si>
  <si>
    <t>WOS:000483812900001</t>
  </si>
  <si>
    <t>Rane, SB; Narvel, YAM; Bhandarkar, BM</t>
  </si>
  <si>
    <t>Rane, Santosh B.; Narvel, Yahya Abdul Majid; Bhandarkar, Bhaskar M.</t>
  </si>
  <si>
    <t>Developing strategies to improve agility in the project procurement management (PPM) process Perspective of business intelligence (BI)</t>
  </si>
  <si>
    <t>Delphi; Agility; Business intelligence; Interpretive structural modelling; MICMAC; Project procurement management</t>
  </si>
  <si>
    <t>SUPPLY CHAIN MANAGEMENT; MEDICAL DEVICE DEVELOPMENT; GREEN; PERFORMANCE; IMPACT; FLEXIBILITY; BARRIERS; RANKING; SUPPORT; SYSTEMS</t>
  </si>
  <si>
    <t>Purpose The ability of an organization to observe varying demands and efficiently meet them can be described as agility. Project procurement management (PPM) in the past was stable as things did not change very often and were very predictable. Due to hyper-competition, less predictable market and exponential innovation, the existing PPM becomes very unstable which marks the requirement of an agile model to manage procurement projects effectively. The paper aims to discuss this issue. Design/methodology/approach For achieving the improvements, various barriers to improving agility in PPM were identified from the literature and experts' review, followed by obtaining quantified impacts of identified barriers from the experts using the Delphi technique. Finally, interpretive structural modeling along with Matrice d' Impacts Croises Multiplication Applique an Classement analysis was used to analyze the interactions among barriers to prioritize and strategize their mitigation. Findings As per the analysis, the lack of top management alignment and commitment, lack of digital strategy, lack of new technology competencies and inefficiencies of financial factors were the most critical barriers that would come across while improving agility in PPM for any organization. Industries should have a stable, well-established and supportive top management that has a vision for digital transformation along with upgrading the companies' technology layer for automating most of the manual processes to have intelligent decision-making capability. Originality/value Industries need to be agile in their operations for being more competitive and responsive to the market. PPM being the most critical part of the entire value chain needs to be agile in the first place. The strategies developed as an output of this research can be utilized by industries for improving agility in their business processes.</t>
  </si>
  <si>
    <t>[Rane, Santosh B.; Narvel, Yahya Abdul Majid] Sardar Patel Coll Engn, Dept Mech Engn, Mumbai, Maharashtra, India; [Narvel, Yahya Abdul Majid] Larsen &amp; Toubro Infotech Ltd, Digital Solut, Oracle Practice, Mumbai, Maharashtra, India; [Bhandarkar, Bhaskar M.] Indian Inst Ind Engn, Mumbai, Maharashtra, India</t>
  </si>
  <si>
    <t>Narvel, YAM (corresponding author), Sardar Patel Coll Engn, Dept Mech Engn, Mumbai, Maharashtra, India.;Narvel, YAM (corresponding author), Larsen &amp; Toubro Infotech Ltd, Digital Solut, Oracle Practice, Mumbai, Maharashtra, India.</t>
  </si>
  <si>
    <t>yahyanarvel@gmail.com</t>
  </si>
  <si>
    <t>Rane, Santosh Bhagawat/AAQ-5960-2021</t>
  </si>
  <si>
    <t>Rane, Santosh Bhagawat/0000-0003-0636-2048</t>
  </si>
  <si>
    <t>10.1108/BPMJ-07-2017-0196</t>
  </si>
  <si>
    <t>KC8BT</t>
  </si>
  <si>
    <t>WOS:000507397300001</t>
  </si>
  <si>
    <t>Campoamor, LM</t>
  </si>
  <si>
    <t>Campoamor, Leigh M.</t>
  </si>
  <si>
    <t>There's an App for That: Telecom, Children's Rights, and Conflicting Logics of Corporate Social Responsibility</t>
  </si>
  <si>
    <t>AMERICAN ANTHROPOLOGIST</t>
  </si>
  <si>
    <t>MEDIA; SOLIDARITY; ADVOCACY; POLITICS; LIMITS; LABOR; FACE</t>
  </si>
  <si>
    <t>This article examines how a Spanish telecom giant legitimizes its market expansion through a corporate social responsibility (CSR) narrative that links generic notions of technological innovation and children's rights to projects of development and democracy. At a broad level, I explore how the neoliberal privatization of the telecommunications industry has involved a reconfiguration of corporate-state relations rather than an erasure of the state in corporate discourse. I trace how Telefonica accrues currency as a digital pioneer and provider of a social good by incorporating consumers, state actors, and other corporations into its moral apparatus. My point of entry is a smartphone application that the company's Colombian subsidiary developed and subsequently gamified to empower consumer-citizens to end street-based child labor. Within a digital economy of instant gratification and national context of securitization, the process whereby consumers are interpellated as citizen-activists highlights the thin line between profiling techniques and humanitarian action, and between surveillance and activism, while disguising the limits of the state bureaucracy and the company's own distance from its purported beneficiaries. Ultimately, I show how the company maintained its narrative about its innovative and sustainable commitment to children even when explaining the failures of its CSR strategy. [digital activism, corporate social responsibility, children's rights, corporate-state relations, urban Latin America]</t>
  </si>
  <si>
    <t>leigh.campoarnor@gmail.com</t>
  </si>
  <si>
    <t>0002-7294</t>
  </si>
  <si>
    <t>1548-1433</t>
  </si>
  <si>
    <t>AM ANTHROPOL</t>
  </si>
  <si>
    <t>Am. Anthropol.</t>
  </si>
  <si>
    <t>10.1111/aman.13273</t>
  </si>
  <si>
    <t>Anthropology</t>
  </si>
  <si>
    <t>IR9CH</t>
  </si>
  <si>
    <t>WOS:000481740200010</t>
  </si>
  <si>
    <t>Horváth, D; Szabó, RZ</t>
  </si>
  <si>
    <t>Horvath, Dora; Szabo, Roland Zs.</t>
  </si>
  <si>
    <t>Driving forces and barriers of Industry 4.0: Do multinational and small and medium-sized companies have equal opportunities?</t>
  </si>
  <si>
    <t>Industry 4.0; Digital strategy; Management functions; Lean; Qualitative; Supply chain</t>
  </si>
  <si>
    <t>DIGITAL TRANSFORMATION; ENTERPRISES; TECHNOLOGY; INTERNET; THINGS; FUTURE; FIRMS; PERFORMANCE; INNOVATION; RESOURCES</t>
  </si>
  <si>
    <t>The Fourth Industrial Revolution poses significant challenges to manufacturing companies from the technological, organizational and management points of view. This paper aims to explore how top executives interpret the concept of Industry 4.0, the driving forces for introducing new technologies and the main barriers to Industry 4.0. The authors applied a qualitative case study design involving 26 semi-structured interviews with leading members of firms, including chief digital officers and chief executive officers. Company websites and annual reports were also examined to increase the reliability and validity of the results. The authors found that management desire to increase control and enable real-time performance measurement is a significant driving force behind Industry 4.0, alongside production factors. Organizational resistance at both employee and middle management levels can significantly hinder the introduction of Industry 4.0 technologies, though these technologies can also transform management functions. Multinational enterprises have higher driving forces and lower barriers to industry 4.0 than small and medium-sized companies, but these smaller companies have good opportunities, too.</t>
  </si>
  <si>
    <t>[Horvath, Dora; Szabo, Roland Zs.] Corvinus Univ Budapest, Res Ctr Strateg &amp; Int Management, Fovam Sq 8, H-1093Y Budapest, Hungary</t>
  </si>
  <si>
    <t>Horváth, D (corresponding author), Corvinus Univ Budapest, Res Ctr Strateg &amp; Int Management, Fovam Sq 8, H-1093Y Budapest, Hungary.</t>
  </si>
  <si>
    <t>horvath.dora@uni-corvinus.hu; zsoltroland.szabo@uni-corvinus.hu</t>
  </si>
  <si>
    <t>N'Dri, Amoin Bernadine/IWD-7811-2023; Roland, Szabó/AEP-0961-2022; Szabó, Roland Zs./AAZ-4482-2020</t>
  </si>
  <si>
    <t>Roland, Szabó/0000-0002-7961-1298; Szabó, Roland Zs./0000-0002-7961-1298</t>
  </si>
  <si>
    <t>European Union [EFOP-3.6.2.-16-2017-00007]</t>
  </si>
  <si>
    <t>The publication was prepared within the Szechenyi 2020 program framework (EFOP-3.6.2.-16-2017-00007) under the European Union project titled: Aspects of developing an intelligent, sustainable and inclusive society: social, technological, innovation networks in employment and digital economy. We are grateful to Melissa Leffler, freelance language editor, for proofreading a draft of this paper.</t>
  </si>
  <si>
    <t>10.1016/j.techfore.2019.05.021</t>
  </si>
  <si>
    <t>JR9FS</t>
  </si>
  <si>
    <t>Green Accepted, hybrid</t>
  </si>
  <si>
    <t>WOS:000499922800012</t>
  </si>
  <si>
    <t>Grimaldi, D; Diaz, J; Arboleda, H; Fernandez, V</t>
  </si>
  <si>
    <t>Grimaldi, Didier; Diaz, Javier; Arboleda, Hugo; Fernandez, Vicenc</t>
  </si>
  <si>
    <t>Data maturity analysis and business performance. A Colombian case study</t>
  </si>
  <si>
    <t>Business; Computer science; Information science; Economics; Colombia; Data science; Competitive analytics; Qualitative comparative analysis; Business performance</t>
  </si>
  <si>
    <t>BIG DATA; MANAGEMENT</t>
  </si>
  <si>
    <t>Context: Colombia over the last decade has experienced a historic economic boom and Information Technology (IT) has been emerging as a tool to enable the competitiveness of companies. The last government (2014-2018) took different actions to explain how the use of data science and open data improve the business activity. The question to identify if there is a relationship between IT capacities, the organizational structure and the performance of the companies remains unresolved and is certainly an urgent issue for new government of Ivan Duque. Purpose: Our study analyses the relationship between data structure and business performance measured through the efficiency of customer experience and provider operations processes. Methodology: our methodology is novel compared to previous researches which develop linear regression. It is based on the use of a fuzzy-set qualitative comparative analysis (fsQCA). Originality/value: our method allows to reveal multiple and complementary paths to achieve possible correlations between data and business performance. Findings: Our results show that data consistency, data usage and data protection are the three more frequent conditions to a better customer experience and provider operations efficiency. Surprisingly, data-driven profile is a necessary but not sufficient condition. Practical implications: our conclusions allow practitioners to uncover the strength of the data to orientate their digital strategy. Our recommendations could be used for the new governmental program of digital revival for Small and Medium Enterprises.</t>
  </si>
  <si>
    <t>[Grimaldi, Didier] Ramon Llull Univ, Dept Strategy Entrepreneurship &amp; Innovat, La Salle Campus,St Joan La Salle 42, Barcelona 08022, Spain; [Diaz, Javier; Arboleda, Hugo] Univ Icesi, Calle 18 122-135, Cali, Colombia; [Fernandez, Vicenc] Univ Politecn Catalunya BarcelonaTech, Dept Management, ETSEIAT, Colom 11,TR6,3-17, Terrassa 08222, Spain</t>
  </si>
  <si>
    <t>Universitat Ramon Llull; Universidad ICESI; Universitat Politecnica de Catalunya</t>
  </si>
  <si>
    <t>Grimaldi, D (corresponding author), Ramon Llull Univ, Dept Strategy Entrepreneurship &amp; Innovat, La Salle Campus,St Joan La Salle 42, Barcelona 08022, Spain.</t>
  </si>
  <si>
    <t>didierg@salleurl.edu</t>
  </si>
  <si>
    <t>Grimaldi, Didier/JFK-4629-2023; Grimaldi, Didier/G-3882-2016</t>
  </si>
  <si>
    <t>Grimaldi, Didier/0000-0002-1027-1176; Arboleda, Hugo/0000-0001-8806-2393</t>
  </si>
  <si>
    <t>e02195</t>
  </si>
  <si>
    <t>10.1016/j.heliyon.2019.e02195</t>
  </si>
  <si>
    <t>IV6PV</t>
  </si>
  <si>
    <t>WOS:000484391200044</t>
  </si>
  <si>
    <t>Jerome, RN; Dunkel, L; Kennedy, N; Olson, EJ; Pulley, JM; Bernard, G; Wilkins, CH; Harris, PA</t>
  </si>
  <si>
    <t>Jerome, Rebecca N.; Dunkel, Leah; Kennedy, Nan; Olson, Erik J.; Pulley, Jill M.; Bernard, Gordon; Wilkins, Consuelo H.; Harris, Paul A.</t>
  </si>
  <si>
    <t>To end disease tomorrow, begin with trials today: Digital strategies for increased awareness of a clinical trials finder</t>
  </si>
  <si>
    <t>Clinical trials; patient information needs; social media; public service announcements; recruitment</t>
  </si>
  <si>
    <t>Introduction: Individuals experiencing different medical conditions, as well as healthy volunteers, may often be interested in trial participation, and researchers similarly need to find participants to advance medical knowledge. The ResearchMatch (RM) Trials Today clinical trial searching tool leverages clinicaltrials.gov data to enable potential participants to look for trial opportunities relevant to their situation. To facilitate expanded use of this tool, we undertook a national digital public awareness campaign to increase awareness of Trials Today among members of the general public. Methods: The awareness campaign promoted Trials Today using Facebook and digital banner messages in 2017, encompassing nine cities across the USA. The digital strategy was complemented by print media in several outlets. We employed descriptive statistics to summarize campaign metrics and site usage data during the campaign. Results: The campaign was successful in increasing visits to Trials Today, with 142,303 sessions logged during its run, as compared to pre-campaign data indicating 104,688 total sessions during the entire 2-year period since the site's inception. The city-specific click-through rate for all digital impressions, combining Facebook and banner messaging, ranged from 0.50% to 1.09%, resulting in a cost-per-click range of $0.69-$1.15. In addition, visitors conducted 29,697 searches and viewed individual trial records 173,512 times. Conclusion: The public awareness campaign was successful in increasing use of the RM Trials Today clinical trial searching tool. Our findings support the value of digital media messaging as a cost-effective vehicle for promoting clinical trial awareness, especially for chronic ailments.</t>
  </si>
  <si>
    <t>[Jerome, Rebecca N.; Dunkel, Leah; Kennedy, Nan; Olson, Erik J.; Pulley, Jill M.; Bernard, Gordon; Harris, Paul A.] Vanderbilt Univ, Vanderbilt Inst Clin &amp; Translat Res, Med Ctr, 2525 West End Ave,Suite 600, Nashville, TN 37203 USA; [Wilkins, Consuelo H.] Vanderbilt Univ, Dept Med, Med Ctr, Nashville, TN 37203 USA; [Wilkins, Consuelo H.] Meharry Med Coll, Dept Internal Med, Nashville, TN 37208 USA</t>
  </si>
  <si>
    <t>Vanderbilt University; Vanderbilt University; Meharry Medical College</t>
  </si>
  <si>
    <t>Jerome, RN (corresponding author), Vanderbilt Univ, Vanderbilt Inst Clin &amp; Translat Res, Med Ctr, 2525 West End Ave,Suite 600, Nashville, TN 37203 USA.</t>
  </si>
  <si>
    <t>rebecca.jerome@vumc.org</t>
  </si>
  <si>
    <t>Olson, Erik/0000-0002-6459-7454; Jerome, Rebecca/0000-0002-6023-4269</t>
  </si>
  <si>
    <t>National Center for Advancing Translational Sciences (NCATS) [UL1 TR002243, U24TR001579]; National Library of Medicine; Vanderbilt Institute for Clinical and Translational Research grant from NCATS/NIH [UL1 TR000445]</t>
  </si>
  <si>
    <t>National Center for Advancing Translational Sciences (NCATS)(United States Department of Health &amp; Human ServicesNational Institutes of Health (NIH) - USANIH National Center for Advancing Translational Sciences (NCATS)); National Library of Medicine(United States Department of Health &amp; Human ServicesNational Institutes of Health (NIH) - USANIH National Library of Medicine (NLM)); Vanderbilt Institute for Clinical and Translational Research grant from NCATS/NIH(United States Department of Health &amp; Human ServicesNational Institutes of Health (NIH) - USANIH National Center for Advancing Translational Sciences (NCATS))</t>
  </si>
  <si>
    <t>This project was supported by awards no. UL1 TR002243 from the National Center for Advancing Translational Sciences (NCATS), no. U24TR001579 from the NCATS and the National Library of Medicine, and Vanderbilt Institute for Clinical and Translational Research grant no. UL1 TR000445 from NCATS/NIH.</t>
  </si>
  <si>
    <t>PII S2059866119004047</t>
  </si>
  <si>
    <t>10.1017/cts.2019.404</t>
  </si>
  <si>
    <t>VK3ZQ</t>
  </si>
  <si>
    <t>WOS:000688300900007</t>
  </si>
  <si>
    <t>Estrada, IC; Zavala, AMM</t>
  </si>
  <si>
    <t>Cruz Estrada, Isaac; Miranda Zavala, Ana Maria</t>
  </si>
  <si>
    <t>Importance of the inclusion of strategies with digital social networks in restaurants of the gastronomic zone of Tijuana</t>
  </si>
  <si>
    <t>PERIPLO SUSTENTABLE</t>
  </si>
  <si>
    <t>Social networks; Strategy; Innovation; Restaurants; Gastronomic zone</t>
  </si>
  <si>
    <t>The objective of the research is to analyze the importance of strategies with social networks, in the purchase decision of customers of restaurants in the gastronomic zone of Tijuana. The work begins with a literature review related to the use of social networks in organizations and their importance in Tourism. Three in-depth interviews were conducted with social network administrators, to learn about their experience in providing their services. Likewise, based on 95% confidence and 5% of admitted error, a sample of 378 surveys was obtained, which were applied to consumers of five restaurants in the gastronomic zone of Tijuana. The results indicate that Internet, is the main means of consultation to search for restaurant information, Facebook is the social network that stands out for this activity. A positive mean correlation was obtained among the dependent variables, which refer to the factors that increase the confidence and security for the use of social networks with the decision to purchase from consumers. In addition, the components that favor the use of social networks of organizations are the design of content and efficient interaction with users. It is important to implement the digital strategy in tourist organizations in this area, which allows consumers to know what stands out from the service, in order to become an element that contributes to the decision to purchase of people. In addition, it is necessary that the process has clear objectives and goals that correspond to the needs and resources of the business, which allows the loyalty of consumers and improve the management of customer relationships.</t>
  </si>
  <si>
    <t>[Cruz Estrada, Isaac] Univ Autonoma Baja California, FTM, CONACYT, Mexicali, Baja California, Mexico; [Miranda Zavala, Ana Maria] Univ Autonoma Baja California, FTM, Mexicali, Baja California, Mexico</t>
  </si>
  <si>
    <t>Universidad Autonoma de Baja California; Universidad Autonoma de Baja California</t>
  </si>
  <si>
    <t>Estrada, IC (corresponding author), Univ Autonoma Baja California, FTM, CONACYT, Mexicali, Baja California, Mexico.</t>
  </si>
  <si>
    <t>icruz@uabc.edu.mx</t>
  </si>
  <si>
    <t>UNIV AUTONOMA ESTADO MEXICO, FAC TURISMO GASTRONOMIA</t>
  </si>
  <si>
    <t>TOLUCA</t>
  </si>
  <si>
    <t>INSTITUTO LITERARIO NO 100, TOLUCA, 50000, MEXICO</t>
  </si>
  <si>
    <t>1870-9036</t>
  </si>
  <si>
    <t>Periplo Sustentable</t>
  </si>
  <si>
    <t>JUL-DEC</t>
  </si>
  <si>
    <t>KA6VE</t>
  </si>
  <si>
    <t>WOS:000505934500014</t>
  </si>
  <si>
    <t>de Almeida, GGF; Rezende, DA</t>
  </si>
  <si>
    <t>Feijo de Almeida, Giovana Goretti; Rezende, Denis Alcides</t>
  </si>
  <si>
    <t>Territorial brand as strategic resource in strategic digital city subprojects: case study of the city of Porto Alegre, RS, Brazil</t>
  </si>
  <si>
    <t>CONEXAO-COMUNICACAO E CULTURA</t>
  </si>
  <si>
    <t>Branding; Communication; Territorial Brand; Strategic Digital City; Territoriality</t>
  </si>
  <si>
    <t>The territorial brands have a strategic framework that enables world visions of social actors, generating links between people and the territory. The objective is to analyze the territorial brand presence as a strategic resource in strategic digital city subprojects. The research methodology emphasizes a case study in Porto Alegre-RS, through a research protocol with 15 variables. The results obtained highlight the strategic presence variable research in the territorial brand and in strategic digital city subprojects. The conclusion reiterates that the territorial brand and the strategic digital city are contemporary urban instruments that can be taken as territorial assets that draw on interaction and communication arguments.</t>
  </si>
  <si>
    <t>[Feijo de Almeida, Giovana Goretti] PUCPR, Programa Posgrad Gestao Urbana, Curitiba, Parana, Brazil; [Feijo de Almeida, Giovana Goretti] Grp Pesquisa Cidade Digital Estrateg PPGTU PUCPR, Curitiba, Parana, Brazil; [Rezende, Denis Alcides] CNPq, Pesquisa, Brasilia, DF, Brazil</t>
  </si>
  <si>
    <t>de Almeida, GGF (corresponding author), PUCPR, Programa Posgrad Gestao Urbana, Curitiba, Parana, Brazil.;de Almeida, GGF (corresponding author), Grp Pesquisa Cidade Digital Estrateg PPGTU PUCPR, Curitiba, Parana, Brazil.</t>
  </si>
  <si>
    <t>goretti.giovana@gmail.com; denis.rezende@pucpr.br</t>
  </si>
  <si>
    <t>UNIV CAXIAS SUL, CENTRO CIENCIAS COMUNICACAO</t>
  </si>
  <si>
    <t>CAXIAS DO SUL</t>
  </si>
  <si>
    <t>RUA FRANCISCO GETULIO VARGAS, 1130, CAXIAS DO SUL, 95070-560, BRAZIL</t>
  </si>
  <si>
    <t>1677-0943</t>
  </si>
  <si>
    <t>2178-2687</t>
  </si>
  <si>
    <t>CONEXAO</t>
  </si>
  <si>
    <t>Conexao</t>
  </si>
  <si>
    <t>10.18226/21782687.v19.n36.01</t>
  </si>
  <si>
    <t>PH0LE</t>
  </si>
  <si>
    <t>WOS:000600114800002</t>
  </si>
  <si>
    <t>Pirni, A; Giampellegrini, PP; Raffini, L</t>
  </si>
  <si>
    <t>Pirni, Andrea; Giampellegrini, Pietro Paolo; Raffini, Luca</t>
  </si>
  <si>
    <t>DIGITAL TRANSFORMATION AND EGOVERNMENT. FOR A RESEARCH AGENDA ON THE LIGURIA REGION</t>
  </si>
  <si>
    <t>OBETS-REVISTA DE CIENCIAS SOCIALES</t>
  </si>
  <si>
    <t>Public Administration; Digital Transformation; Digital Agenda; Europe; Liguria; Open Government</t>
  </si>
  <si>
    <t>ELABORATION</t>
  </si>
  <si>
    <t>The contribution analysis the effects of digital transformation, provides a critical assessment of the policies on e-government in Europe and in Italy, and draft a research agenda focused on Liguria Region. The article moves from the need to conduct research aimed at analyzing the change in the relations between subject and institution in contemporary western societies. The article, focusing on official documents, explores the strategies of digital transformation adopted by the EU. Liguria is a case study of interest because, starting from the 2016-2018 Digital Strategic Program, has adopted a strong focus on the principles of Open Government and an explicit decision to invest in specific digital services for citizens and businesses.</t>
  </si>
  <si>
    <t>[Pirni, Andrea] Univ Genoa, Polit Sociol, Dept Polit Sci, Genoa, Italy; [Giampellegrini, Pietro Paolo] Univ Genoa, Field ICT Publ Adm, Genoa, Italy; [Giampellegrini, Pietro Paolo; Raffini, Luca] Univ Genoa, Dept Polit Sci, Genoa, Italy</t>
  </si>
  <si>
    <t>University of Genoa; University of Genoa; University of Genoa</t>
  </si>
  <si>
    <t>Pirni, A (corresponding author), Univ Genoa, Polit Sociol, Dept Polit Sci, Genoa, Italy.</t>
  </si>
  <si>
    <t>andrea.Pirni@unige.it; pietropaolo.giampellegrini@regione.liguria.it; luca.raffini@unige.it</t>
  </si>
  <si>
    <t>Raffini, Luca/ABH-3178-2020</t>
  </si>
  <si>
    <t>PIRNI, ANDREA FABRIZIO/0000-0001-7397-1885</t>
  </si>
  <si>
    <t>UNIV ALICANTE, INST UNIV DESARROLLO SOCIAL &amp; PAZ-IUDESP</t>
  </si>
  <si>
    <t>AULARI I, 3A PLANTA, ALICANTE, 03080, SPAIN</t>
  </si>
  <si>
    <t>1989-1385</t>
  </si>
  <si>
    <t>OBETS-REV CIENC SOC</t>
  </si>
  <si>
    <t>OBETS-Rev. Cienc. Soc.</t>
  </si>
  <si>
    <t>10.14198/OBETS2019.14.2.07</t>
  </si>
  <si>
    <t>JZ2KF</t>
  </si>
  <si>
    <t>WOS:000504932100007</t>
  </si>
  <si>
    <t>Verdú, JL; Lluch, JS; Barchino, AT</t>
  </si>
  <si>
    <t>Llopis Verdu, Jorge; Serra Lluch, Juan; Torres Barchino, Ana</t>
  </si>
  <si>
    <t>Digital diagrams and urban and territorial cartography. Contemporary schematic depictions of immateriality</t>
  </si>
  <si>
    <t>DISEGNARECON</t>
  </si>
  <si>
    <t>Diagram; Digital; Cartography; Immateriality; MIT</t>
  </si>
  <si>
    <t>The use of diagrams is a graphic strategy, which, given the need to establish interpretative mechanisms that help us appreciate how a structure of such great formal complexity operates, has been used for some time to depict cities and whole territories. The advent of the digital graphic universe has led to an increase in the use of diagrams applied to their design and analysis. The new digital tools applied to cartography facilitate the graphical interpretation of activities carried out in the city or territory, to define representations of the uses and functions that occur there, transcending the formal representation to generate visual images that produce fresh, new insights into human activity. Said representations are obtained by managing massive quantities of data about human activity through techniques that have become known as Big Data, generating visual interpretations where the urban and territorial composition stops taking on an exclusively architectural form, but becomes instead a dynamic representation. It is a strategy that transcends the representation of architecture and space that used to constitute the basis of traditional cartography, and represents the uses that residents make of them, and can be applied at some very diverse scales, ranging from urban to territorial. There are a number of cartographic representation projects stemming from this type of digital strategy, and the Senseable City Lab project by MIT was chosen to examine both the potential and limitations of these types of strategies.</t>
  </si>
  <si>
    <t>[Llopis Verdu, Jorge; Serra Lluch, Juan; Torres Barchino, Ana] Univ Politecn Valencia, Architectural Graph Express Dept, Valencia, Spain</t>
  </si>
  <si>
    <t>Universitat Politecnica de Valencia</t>
  </si>
  <si>
    <t>Verdú, JL (corresponding author), Univ Politecn Valencia, Architectural Graph Express Dept, Valencia, Spain.</t>
  </si>
  <si>
    <t>Serra, Juan/I-8761-2012</t>
  </si>
  <si>
    <t>Serra, Juan/0000-0001-6171-1285</t>
  </si>
  <si>
    <t>UNIV L AQUILA</t>
  </si>
  <si>
    <t>L AQUILA</t>
  </si>
  <si>
    <t>PALAZZO CAMPONESCHI, PIAZZA SANTA MARGHERITA 2, L AQUILA, ITALY</t>
  </si>
  <si>
    <t>1828-5961</t>
  </si>
  <si>
    <t>Disegnarecon</t>
  </si>
  <si>
    <t>Architecture</t>
  </si>
  <si>
    <t>VK7OV</t>
  </si>
  <si>
    <t>WOS:000751943600021</t>
  </si>
  <si>
    <t>Mhlungu, NSM; Chen, JYJ; Alkema, P</t>
  </si>
  <si>
    <t>Mhlungu, Ntandoyethu S. M.; Chen, Jeff Y. J.; Alkema, Peter</t>
  </si>
  <si>
    <t>The underlying factors of a successful organisational digital transformation</t>
  </si>
  <si>
    <t>SOUTH AFRICAN JOURNAL OF INFORMATION MANAGEMENT</t>
  </si>
  <si>
    <t>Digital transformation; organisational transformation; innovation; digital strategy; organisational digital transformation assessement</t>
  </si>
  <si>
    <t>EXPLORATORY FACTOR-ANALYSIS; STRATEGY; PERFORMANCE; INNOVATION; GUIDE</t>
  </si>
  <si>
    <t>Background: Organisational digital transformation (ODT) is a field of growing interest in practice and academia. Further, a disparity between how information technology (IT) leaders and non-IT leaders perceive the factors leading to successful ODT initiatives has been cited. A set of empirically tested ODT assessment instruments will enhance leaders' decision-making when implementing ODT initiatives. Objectives: This research attempts to: (1) identify the key internal factors of successful ODT initiatives; and (2) confirm whether there is, as has been suggested, a difference between the way IT managers and non-IT managers perceive these factors. Method: A questionnaire consisting of 36 potential underlying factors was formulated, based on the existing literature and additional insights. A prescreening process ensured each survey participant met the selection criteria. From a total of 95 participants who completed the survey, 45 were IT executives and 50 were non-IT executives. Quantitative analyses were conducted to identify the key underlying factors and ascertain whether IT and non-IT leaders hold differing perceptions of these factors. Results: Factor analysis identified four categories of factors of a successful ODT initiative: (1) customer centricity, (2) governance, (3) innovation and (4) resource attainment. Further, the analysis revealed that IT and non-IT managers hold similar perceptions on the key factors affecting the overall ODT success. Conclusion: This research provides empirical evidence that paves the way towards a reliable ODT assessment instrument and refutes claims that IT and non-IT leaders hold contrasting views on these factors.</t>
  </si>
  <si>
    <t>[Mhlungu, Ntandoyethu S. M.; Chen, Jeff Y. J.] Univ Pretoria, Gordon Inst Business Sci, Johannesburg, South Africa; [Alkema, Peter] First Natl Bank, Business Banking Div, Johannesburg, South Africa</t>
  </si>
  <si>
    <t>University of Pretoria</t>
  </si>
  <si>
    <t>Chen, JYJ (corresponding author), Univ Pretoria, Gordon Inst Business Sci, Johannesburg, South Africa.</t>
  </si>
  <si>
    <t>chenj@gibs.co.za</t>
  </si>
  <si>
    <t>Mhlungu, Ntandoyethu/0000-0002-1491-049X</t>
  </si>
  <si>
    <t>2078-1865</t>
  </si>
  <si>
    <t>1560-683X</t>
  </si>
  <si>
    <t>S AFR J INFORM MANAG</t>
  </si>
  <si>
    <t>S. Afr. J. Inform. Manag.</t>
  </si>
  <si>
    <t>APR 30</t>
  </si>
  <si>
    <t>a995</t>
  </si>
  <si>
    <t>10.4102/sajim.v21i1.995</t>
  </si>
  <si>
    <t>HX6XO</t>
  </si>
  <si>
    <t>WOS:000467547400001</t>
  </si>
  <si>
    <t>Ferlin, EP; Rezende, DA</t>
  </si>
  <si>
    <t>Ferlin, Edson Pedro; Rezende, Denis Alcides</t>
  </si>
  <si>
    <t>Big data applied to strategic digital city: study on the volume of data in the smart city applications</t>
  </si>
  <si>
    <t>Smart City; Big Data; Strategic Digital City; Management of Cities; Information technology in Cities</t>
  </si>
  <si>
    <t>In the context of Strategic Digital City, the Smart Cities are cities that use information technologies to facilitate the performance of public services, reduce costs and enhance contact between citizens and Government. The Big Data can be the answer to which Governments can manipulate large sets of information generated from the digitalization of social life. The goal is to evaluate applications of Smart Cities from the perspective of the Big Data on service management and decision-making. The research methodology used is the study of Smart City applications and quantitative approach was used, involving the analysis of the data of applications. The results earned the importance of Big Data systems for Smart Cities. The conclusion reiterates that cases of Smart Cities are punctual and Big Data analysis is still not part of the design of policies of cities appearing as well as how to improve plans already established in cities.</t>
  </si>
  <si>
    <t>[Ferlin, Edson Pedro] Fac Integradas Camoes Parana, Curitiba, Parana, Brazil; [Rezende, Denis Alcides] Pontificia Univ Catolica Parana, CNPq Brasil, Curitiba, Parana, Brazil</t>
  </si>
  <si>
    <t>Ferlin, EP (corresponding author), Fac Integradas Camoes Parana, Curitiba, Parana, Brazil.</t>
  </si>
  <si>
    <t>eferlin@live.com; dar@denisalcidesrezende.com.br</t>
  </si>
  <si>
    <t>Ferlin, Edson Pedro/AAM-4371-2021</t>
  </si>
  <si>
    <t>Ferlin, Edson Pedro/0000-0001-6626-1797</t>
  </si>
  <si>
    <t>10.20397/2177-6652/2019.v19i2.1533</t>
  </si>
  <si>
    <t>HR1RN</t>
  </si>
  <si>
    <t>WOS:000462912100009</t>
  </si>
  <si>
    <t>Richter, JG; Chehab, G; Kiltz, U; Callhoff, J; Voormann, A; Lorenz, HM; Schneider, M; Specker, C</t>
  </si>
  <si>
    <t>Richter, Jutta G.; Chehab, Gamal; Kiltz, Uta; Callhoff, Johanna; Voormann, Anna; Lorenz, Hanns-Martin; Schneider, Matthias; Specker, Christof</t>
  </si>
  <si>
    <t>Digital Health in the Rheumatology - Status Survey 2018/19</t>
  </si>
  <si>
    <t>DEUTSCHE MEDIZINISCHE WOCHENSCHRIFT</t>
  </si>
  <si>
    <t>digital health; Rheumatologie; Versorgungsforschung; digital health; rheumatology; health services research</t>
  </si>
  <si>
    <t>CARE; ARTHRITIS; LUPUS</t>
  </si>
  <si>
    <t>Was ist neu? Stand der Dinge Innovationen in der Informations- und Kommunikationstechnologie haben in der Rheumatologie eine jahrzehntelange Tradition, die Deutsche Gesellschaft fur Rheumatologie hat im Jahr 2018 die Kommission Digitale Rheumatologie gegrundet. Digitale Anwendungen in der deutschen Rheumatologie Mobile Datenerfassung rheumatologischer Patienten ist valide moglich. Sie eroffnet damit neuartige Moglichkeiten bei der Umsetzung moderner Behandlungsstrategien. Zum Screening auf entzundlich-rheumatische Systemerkrankungen stehen Interessierten z.B. mit dem Rheuma-Check und dem Bechterew-Check jederzeit digitale Anwendungen zur Verfugung. Die digitalen Angebote sowie moderne Netzwerkstrukturen erlauben eine Triage der Patienten. Mit dem Rhekiss- und dem RABBIT-SpA-Register stehen erstmals vollstandig digitalisierte Register zur Verfugung, die kurzfristig Daten zu Fragestellungen liefern, die in klinischen Studien der pharmazeutischen Industrie nicht abgebildet werden. Ausblick Durch die Digitalisierung in der Rheumatologie konnen wichtige Fragen der Versorgungsforschung zukunftig deutlich schneller beantwortet werden. Abstract State of the art Innovations in information and communication technology have been used in rheumatology for many years. In 2018 the German Society for Rheumatology established the Commission Digital Rheumatology. Digital applications in German Rheumatology Mobile data acquisition in rheumatological patients is feasible. It offers innovative possibilities in the implementation of modern treatment strategies. Digital applications such as the Rheuma Check and the Bechterew Check are available to the public at any time to screen for inflammatory rheumatic diseases. Other digital services and modern networks allow a triage of patients. Rhekiss and RABBIT SpA are the first fully digitalised registries to provide short-term data on issues that are not covered by clinical trials of pharmaceutical companies. Outlook Digitalization in Rheumatology will provide much faster answers to important questions in healthcare research in the future.</t>
  </si>
  <si>
    <t>[Richter, Jutta G.; Chehab, Gamal; Schneider, Matthias] Heinrich Heine Univ Dusseldorf, Univ Klinikum Dusseldorf, Med Fak, Poliklin,Funkt Bereich, Moorenstr 5, D-40225 Dusseldorf, Germany; [Richter, Jutta G.; Chehab, Gamal; Schneider, Matthias] Heinrich Heine Univ Dusseldorf, Univ Klinikum Dusseldorf, Med Fak, Hiller Forschungszentrum Rheumatol, Moorenstr 5, D-40225 Dusseldorf, Germany; [Kiltz, Uta] Rheumazentrum Ruhrgebiet, Herne, Germany; [Kiltz, Uta] Ruhr Univ Bochum, Bochum, Germany; [Callhoff, Johanna] Deutsch Rheuma Forschungszentrum, Berlin, Germany; [Voormann, Anna] Deutsch Gesell Rheumatol, Berlin, Germany; [Lorenz, Hanns-Martin] Univ Klinikum Heidelberg, Med Klin 5, Sekt Rheumatol, Heidelberg, Germany; [Specker, Christof] Klin Essen Mitte, Klin Rheumatol &amp; Klin Immunol, Evangel Krankenhaus, Essen, Germany</t>
  </si>
  <si>
    <t>Heinrich Heine University Dusseldorf; Heinrich Heine University Dusseldorf Hospital; Heinrich Heine University Dusseldorf; Heinrich Heine University Dusseldorf Hospital; Rheumazentrum Ruhrgebiet; Ruhr University Bochum; Ruhr University Bochum; Deutsches Rheuma-Forschungszentrum (DRFZ); Ruprecht Karls University Heidelberg; Kliniken Essen-Mitte</t>
  </si>
  <si>
    <t>Richter, JG (corresponding author), Heinrich Heine Univ Dusseldorf, Univ Klinikum Dusseldorf, Med Fak, Poliklin,Funkt Bereich, Moorenstr 5, D-40225 Dusseldorf, Germany.;Richter, JG (corresponding author), Heinrich Heine Univ Dusseldorf, Univ Klinikum Dusseldorf, Med Fak, Hiller Forschungszentrum Rheumatol, Moorenstr 5, D-40225 Dusseldorf, Germany.</t>
  </si>
  <si>
    <t>richter@rheumanet.org</t>
  </si>
  <si>
    <t>Chehab, Gamal/AAP-5698-2021; Specker, Christof/GNP-2957-2022; owoyele, babajide/AAD-7054-2020; Specker, Christof/ABE-6317-2021; Richter, Jutta G/AAA-5054-2021; Richter, Jutta G./AHA-3103-2022</t>
  </si>
  <si>
    <t>Chehab, Gamal/0000-0001-7309-2370; owoyele, babajide/0000-0002-3688-5248; Richter, Jutta G./0000-0001-8194-3243; Callhoff, Johanna/0000-0002-3923-2728; Specker, Christof/0000-0003-2504-3229</t>
  </si>
  <si>
    <t>0012-0472</t>
  </si>
  <si>
    <t>1439-4413</t>
  </si>
  <si>
    <t>DEUT MED WOCHENSCHR</t>
  </si>
  <si>
    <t>Dtsch. Med. Wochenschr.</t>
  </si>
  <si>
    <t>10.1055/a-0740-8773</t>
  </si>
  <si>
    <t>HS1FS</t>
  </si>
  <si>
    <t>WOS:000463608100008</t>
  </si>
  <si>
    <t>Zimand Sheiner, D; Earon, A</t>
  </si>
  <si>
    <t>Zimand Sheiner, Dorit; Earon, Amir</t>
  </si>
  <si>
    <t>Disruptions of account planning in the digital age</t>
  </si>
  <si>
    <t>MARKETING INTELLIGENCE &amp; PLANNING</t>
  </si>
  <si>
    <t>Big Data; Strategy; Advertising agencies; Account planning; Creative process; Digital strategy</t>
  </si>
  <si>
    <t>ADVERTISING AGENCIES; DISCIPLINE; FUTURE</t>
  </si>
  <si>
    <t>Purpose The purpose of this paper is to focus on transformations in the advertising industry from the point of view of the role and position of account planners. It questions the current viability of account planning (AP) as a result of digital disruptions. Design/methodology/approach In total, 18 face-to-face responsive interviews were conducted among professionals who hold planning responsibilities at advertising agencies. A theoretical thematic analysis revealed five main themes which are associated with the disruption of AP roles. Findings The research points out that AP is a profession in transition as part of the advertising industry that is undergoing a major shift. Digital transformations have not yet crystallized in the business domain, and so this period is one of learning and adjustment. Originality/value The current research has several significant implications for theory and practice: confronting the role of the strategist in advertising agencies vs digital strategy and Big Data; contributing to the understanding of the dynamics of AP transitional roles as a starting point for re-examination of the advertising creative process; and calling for more research exploring the relationship between agency adoption of digital tools and its approach to AP.</t>
  </si>
  <si>
    <t>[Zimand Sheiner, Dorit] Ariel Univ, Sch Commun, Strateg Commun Track, Ariel, Israel; [Earon, Amir] Sapir Coll, Dept Commun, Ashqelon, Israel</t>
  </si>
  <si>
    <t>Ariel University</t>
  </si>
  <si>
    <t>Zimand Sheiner, D (corresponding author), Ariel Univ, Sch Commun, Strateg Commun Track, Ariel, Israel.</t>
  </si>
  <si>
    <t>doritzs@ariel.ac.il; amir.earon@gmail.com</t>
  </si>
  <si>
    <t>Sheiner, Dorit Zimand/L-1946-2019</t>
  </si>
  <si>
    <t>Sheiner, Dorit Zimand/0000-0003-3543-2260</t>
  </si>
  <si>
    <t>0263-4503</t>
  </si>
  <si>
    <t>1758-8049</t>
  </si>
  <si>
    <t>MARK INTELL PLAN</t>
  </si>
  <si>
    <t>Mark. Intell. Plan.</t>
  </si>
  <si>
    <t>10.1108/MIP-04-2018-0115</t>
  </si>
  <si>
    <t>HP4KR</t>
  </si>
  <si>
    <t>WOS:000461645400001</t>
  </si>
  <si>
    <t>Pesce, D; Neirotti, P; Paolucci, E</t>
  </si>
  <si>
    <t>Pesce, Danilo; Neirotti, Paolo; Paolucci, Emilio</t>
  </si>
  <si>
    <t>When culture meets digital platforms: value creation and stakeholders' alignment in big data use</t>
  </si>
  <si>
    <t>CURRENT ISSUES IN TOURISM</t>
  </si>
  <si>
    <t>Value creation; big data; digitization; digital transformation; digital platforms; stakeholders' interests; Google Arts &amp; Culture; Europeana</t>
  </si>
  <si>
    <t>ANALYTICS</t>
  </si>
  <si>
    <t>Research on big data has highlighted that a crucial element to create value from data is the capability of aligning different stakeholders' interests. However, it has not yet been investigated empirically how this process of alignment can be realized. We conduct a multiple case study on the two leading platforms involved in the online dissemination of cultural heritage - Europeana and Google Arts &amp; Culture. Our findings reveal that a platform overtakes a rival one when it turns on multiple drivers of value creation in such a way that the drivers contribute to realigning the interests expressed by the stakeholders whose strategic objectives and beliefs were formerly divergent - or simply unrelated - to each other. This capability of realigning different stakeholders' interests is independent of the level of industry-specific knowledge that the platform orchestrator has. The dynamics we document imply that Google has assumed a system integration role in the cultural ecosystem. This generates new trade-offs for museums in the way they generate value for the tourism industry. The paper enriches our understanding of what strategies digital platforms adopt to create value in big data contexts and provides a base to continue the investigation on other ecosystems driven by big data.</t>
  </si>
  <si>
    <t>[Pesce, Danilo; Neirotti, Paolo; Paolucci, Emilio] Politecn Torino, Dept Management &amp; Prod Engn, Turin, Italy</t>
  </si>
  <si>
    <t>Polytechnic University of Turin</t>
  </si>
  <si>
    <t>Pesce, D (corresponding author), Politecn Torino, Dept Management &amp; Prod Engn, Turin, Italy.</t>
  </si>
  <si>
    <t>danilo.pesce@polito.it</t>
  </si>
  <si>
    <t>Paolucci, Emilio/AFD-5843-2022; Pesce, Danilo/B-6390-2018</t>
  </si>
  <si>
    <t>Paolucci, Emilio/0000-0003-1249-8179; Pesce, Danilo/0000-0002-3405-8396</t>
  </si>
  <si>
    <t>'Ministero dell'Istruzione, dell'Universita e della Ricerca' Award [TESUN-83486178370409, CAP.1694TIT.232ART.6]</t>
  </si>
  <si>
    <t>'Ministero dell'Istruzione, dell'Universita e della Ricerca' Award</t>
  </si>
  <si>
    <t>This work has been partially supported by 'Ministero dell'Istruzione, dell'Universita e della Ricerca' Award 'TESUN-83486178370409 finanziamento dipartimenti di eccellenza CAP.1694TIT.232ART.6'.</t>
  </si>
  <si>
    <t>1368-3500</t>
  </si>
  <si>
    <t>1747-7603</t>
  </si>
  <si>
    <t>CURR ISSUES TOUR</t>
  </si>
  <si>
    <t>Curr. Issues Tour.</t>
  </si>
  <si>
    <t>10.1080/13683500.2019.1591354</t>
  </si>
  <si>
    <t>MAR 2019</t>
  </si>
  <si>
    <t>IM6KX</t>
  </si>
  <si>
    <t>WOS:000461926700001</t>
  </si>
  <si>
    <t>Thurman, N; Fletcher, R</t>
  </si>
  <si>
    <t>Thurman, Neil; Fletcher, Richard</t>
  </si>
  <si>
    <t>Has Digital Distribution Rejuvenated Readership? Revisiting the age demographics of newspaper consumption</t>
  </si>
  <si>
    <t>JOURNALISM STUDIES</t>
  </si>
  <si>
    <t>age; attention; audience measurement; cohort effects; demography; newspaper consumption; online editions; time spent</t>
  </si>
  <si>
    <t>NEWS; EUROPE</t>
  </si>
  <si>
    <t>Newspapers' democratic functions have not been fully assumed by the media capturing the revenues newspapers used to enjoy. It is, therefore, important to understand the determinants of newspaper use. Earlier studies found age to be the principal determinant, but did not account for newspapers' online editions. This article investigates to what extent digital distribution has disrupted previously observed cohort effects, bringing younger audiences back to newspaper content. The annual time spent with UK newspapers by their younger, middle-aged, and older British audiences was calculated for 1999/2000-before, or just after, newspapers started to go online-and for 2016, when digital distribution had come of age. The results show (1) the time spent with newspaper brands fell by 40 per cent, even as online platforms made access easier and cheaper; (2) the proportional decrease in time spent was greatest for the youngest age group and smallest for the oldest; and (3) there are important variations between individual newspaper brands, a result, we propose, of differences in their multiplatform strategies. Digital distribution has, therefore, had little impact on previously observed cohort effects but has enabled changes in media use that have shaped the attention given to newspapers and will continue to do so.</t>
  </si>
  <si>
    <t>[Thurman, Neil] Ludwig Maximilians Univ Munchen, Dept Commun Studies &amp; Media Res, Munich, Germany; [Thurman, Neil] City Univ London, London, England; [Fletcher, Richard] Univ Oxford, Reuters Inst Study Journalism, Oxford, England</t>
  </si>
  <si>
    <t>University of Munich; City University London; University of Oxford</t>
  </si>
  <si>
    <t>Thurman, N (corresponding author), Ludwig Maximilians Univ Munchen, Dept Commun Studies &amp; Media Res, Munich, Germany.;Thurman, N (corresponding author), City Univ London, London, England.</t>
  </si>
  <si>
    <t>neil.thurman@ifkw.lmu.de; richard.fletcher@politics.ox.ac.uk</t>
  </si>
  <si>
    <t>Fletcher, Richard/V-4402-2019</t>
  </si>
  <si>
    <t>Fletcher, Richard/0000-0002-5496-2112; Thurman, Neil/0000-0003-3909-9565</t>
  </si>
  <si>
    <t>Volkswagen Foundation [A110823/88171]; Google UK as part of the Digital News Initiative [CTR00220]; Digital News Report [CTR00150]</t>
  </si>
  <si>
    <t>Volkswagen Foundation(Volkswagen); Google UK as part of the Digital News Initiative(Google Incorporated); Digital News Report</t>
  </si>
  <si>
    <t>The research was supported by a research grant from the Volkswagen Foundation (A110823/88171), with additional support from Google UK as part of the Digital News Initiative (CTR00220), and the Digital News Report (CTR00150).</t>
  </si>
  <si>
    <t>1461-670X</t>
  </si>
  <si>
    <t>1469-9699</t>
  </si>
  <si>
    <t>JOURNALISM STUD</t>
  </si>
  <si>
    <t>Journal. Stud.</t>
  </si>
  <si>
    <t>MAR 12</t>
  </si>
  <si>
    <t>10.1080/1461670X.2017.1397532</t>
  </si>
  <si>
    <t>HN8PQ</t>
  </si>
  <si>
    <t>WOS:000460458100005</t>
  </si>
  <si>
    <t>Chanias, S; Myers, MD; Hess, T</t>
  </si>
  <si>
    <t>Chanias, Simon; Myers, Michael D.; Hess, Thomas</t>
  </si>
  <si>
    <t>Digital transformation strategy making in pre-digital organizations: The case of a financial services provider</t>
  </si>
  <si>
    <t>Digital transformation strategy; IS strategizing; Interpretive case study; Financial services</t>
  </si>
  <si>
    <t>INFORMATION-SYSTEMS STRATEGY; AS-PRACTICE; IMPLEMENTATION; TECHNOLOGY; CAPABILITIES; ETHNOGRAPHY; INNOVATION; CONTEXT; FIELD; VIEW</t>
  </si>
  <si>
    <t>The formulation and implementation of a digital transformation strategy (DTS) has become a key concern for many pre-digital organizations across traditional industries, but how such a strategy can be developed remains an open question. We used interpretive in-depth case study research to study how a European financial services provider has formulated and implemented a DTS. By focusing on the underlying processes and strategizing activities, we show that digital strategy making not only represents a break with the conventions of upfront strategic information systems (IS) planning, but reveals a new extreme of emergent strategy making. Specifically, we conclude that a DTS is continuously in the making, with no foreseeable end. By building on theory from IS strategizing and strategy-as-practice literature, we theorize an integrated process/activity model that characterizes DTS formulation and implementation in pre-digital organizations. Our model shows that the crafting of a DTS is a highly dynamic process involving iterating between learning and doing.</t>
  </si>
  <si>
    <t>[Chanias, Simon; Hess, Thomas] Ludwig Maximilians Univ Munchen, Inst Informat Syst &amp; New Media, Ludwigstr 28, D-80539 Munich, Germany; [Myers, Michael D.] Univ Auckland, Business Sch, Dept Informat Syst &amp; Operat Management, Auckland 1010, New Zealand</t>
  </si>
  <si>
    <t>University of Munich; University of Auckland</t>
  </si>
  <si>
    <t>Myers, MD (corresponding author), Univ Auckland, Business Sch, Dept Informat Syst &amp; Operat Management, Auckland 1010, New Zealand.</t>
  </si>
  <si>
    <t>chanias@bwl.lmu.de; m.myers@auckland.ac.nz; thess@bwl.lmu.de</t>
  </si>
  <si>
    <t>Hess, Thomas K/A-1774-2016; Myers, Michael David/F-9405-2010</t>
  </si>
  <si>
    <t>Myers, Michael David/0000-0001-8525-6395; Hess, Thomas/0000-0003-3969-7477</t>
  </si>
  <si>
    <t>10.1016/j.jsis.2018.11.003</t>
  </si>
  <si>
    <t>HR6ZV</t>
  </si>
  <si>
    <t>WOS:000463302600003</t>
  </si>
  <si>
    <t>Dombrowski, T; Dazert, S; Volkenstein, S</t>
  </si>
  <si>
    <t>Dombrowski, Tobias; Dazert, Stefan; Volkenstein, Stefan</t>
  </si>
  <si>
    <t>Strategies of Digitized Learning</t>
  </si>
  <si>
    <t>LARYNGO-RHINO-OTOLOGIE</t>
  </si>
  <si>
    <t>e-learning; digital teaching; digitization; academic teaching; curriculum; medical education</t>
  </si>
  <si>
    <t>MEDICAL-EDUCATION; FLIPPED CLASSROOM; EMERGENCY-MEDICINE; SIMULATION; CURRICULUM; LECTURE; IMPACT; GAMIFICATION; SATISFACTION; EXPERIENCE</t>
  </si>
  <si>
    <t>The development of digital strategies in teaching is based on the technological progress of the last decades, but also on the strong motivation to focus a didactic concept on the learning individuals. The available data of German medical faculties indicate that digital teaching concepts currently play a subordinate role in medicine in general and specifically in otorhinolaryngology. By assessing data of our own institution, we could demonstrate that the majority of medical students refer mainly to material handed out by the lecturers as single source of information for learning Otorhinolaryngology. Therefore, the application of sound digital teaching strategies provides special chances, in particular in otorhinolaryngology to cope with the excessive amount of online information from partly unclear sources. Currently, the possible degree of digital teaching reaches from digital service supply via punctual provision of classic teaching concepts and blended learning up to completely digital curricula. The attractiveness of curricular integration of digital teaching strategies is less based on the utilization of merely technological progress, but rather on the variety of applying innovative curricula and new didactic concepts. Depending on the intended teaching purpose, the flipped classroom and the virtual reality seem to have a particularly high potential, while mobile learning is already established in individual practice. Testing and evaluating digital teaching innovations for concrete scenarios currently belongs to the most important scientific challenges of digital teaching concepts. Today, the nationwide implementation of digital teaching in Germany is less impeded by technical conditions, but by missing financing because sponsoring is currently mainly performed with reference to concrete projects; in the context of permanent implementation, however, regular costs arise. To support these promising teaching concepts, the sponsoring of institutions for digital teaching with provision of hard-and software solutions at universities could contribute significantly. Establishing cooperation to use such digital platforms might lead to a high efficiency regarding the distribution with simultaneously profiting of savings potential.</t>
  </si>
  <si>
    <t>[Dombrowski, Tobias; Dazert, Stefan; Volkenstein, Stefan] Ruhr Univ Bochum, St Elisabeth Hosp, Klin Hals Nasen Ohrenheilkunde Kopf &amp; Halschirurg, Bochum, Germany</t>
  </si>
  <si>
    <t>Ruhr University Bochum</t>
  </si>
  <si>
    <t>Dombrowski, T (corresponding author), St Elizabeth Hosp, Univ HNO Klin, Bleichstr 15, D-44787 Bochum, Germany.</t>
  </si>
  <si>
    <t>tobias.dombrowski@rub.de</t>
  </si>
  <si>
    <t>Volkenstein, Stefan/AAW-3829-2021; Volkenstein, Stefan/AAD-2719-2019</t>
  </si>
  <si>
    <t>0935-8943</t>
  </si>
  <si>
    <t>1438-8685</t>
  </si>
  <si>
    <t>LARYNGO RHINO OTOL</t>
  </si>
  <si>
    <t>Laryngo-Rhino-Otol.</t>
  </si>
  <si>
    <t>S197</t>
  </si>
  <si>
    <t>S208</t>
  </si>
  <si>
    <t>10.1055/a-0803-0218</t>
  </si>
  <si>
    <t>Otorhinolaryngology</t>
  </si>
  <si>
    <t>IA3YE</t>
  </si>
  <si>
    <t>WOS:000469498300008</t>
  </si>
  <si>
    <t>de la Fuente, MH; Domínguez, AG</t>
  </si>
  <si>
    <t>Herrero de la Fuente, Mercedes; Garcia Dominguez, Antonio</t>
  </si>
  <si>
    <t>FACEBOOK LIVE AND SOCIAL TELEVISION: THE USE OF STREAMING IN ANTENA 3 AND LASEXTA</t>
  </si>
  <si>
    <t>Facebook Live; Facebook; streaming; engagement; social audience; transmedia storytelling; crossmedia storytelling; interaction; social networks</t>
  </si>
  <si>
    <t>Digital technology provides narrative and interaction possibilities with the audience that have already begun to be exploited by televisions. One of the most recent is Facebook Live, which allows us, through Facebook, to broadcast live or streaming from a mobile device. The Atresmedia group adopted this tool in late 2016, both in Antena 3 and laSexta, incorporating it to certain profiles of these TV channels in the referred social network. These live broadcasts seek direct contact with the followers of the different television spaces and are part of a broader digital strategy, in which the social and the traditional audiences appear related. This piece of research focuses on analyzing how Atresmedia uses these live connections and if there is a strategy with some defined guidelines and objectives in the analyzed Facebook accounts, both in Antena 3 and laSexta.</t>
  </si>
  <si>
    <t>[Herrero de la Fuente, Mercedes] Nebrija Univ, Madrid, Spain; [Garcia Dominguez, Antonio] Social Media Atresmedia, San Sebastian, Spain</t>
  </si>
  <si>
    <t>Universidad Antonio de Nebrija</t>
  </si>
  <si>
    <t>de la Fuente, MH (corresponding author), Nebrija Univ, Madrid, Spain.</t>
  </si>
  <si>
    <t>mherrero@nebrija.es; antonio.garciad@atresmedia.com</t>
  </si>
  <si>
    <t>Herrero de la Fuente, Mercedes/V-6141-2018</t>
  </si>
  <si>
    <t>Herrero de la Fuente, Mercedes/0000-0002-5361-9056</t>
  </si>
  <si>
    <t>MAR-JUN</t>
  </si>
  <si>
    <t>10.15178/va.2019.146.43-70</t>
  </si>
  <si>
    <t>HO8HV</t>
  </si>
  <si>
    <t>WOS:000461191900003</t>
  </si>
  <si>
    <t>Schönermark, MP</t>
  </si>
  <si>
    <t>Schoenermark, Matthias P.</t>
  </si>
  <si>
    <t>Medical Data Management - Approach, Concepts, Strategic and Operative Implications</t>
  </si>
  <si>
    <t>Electronic Health Record; Digital Strategy; Digital Transformation; Electronic Medical Record; EHR; Hospital</t>
  </si>
  <si>
    <t>ELECTRONIC HEALTH RECORD; PATIENT-CENTERED COMMUNICATION; DECISION-SUPPORT-SYSTEMS; COST-EFFECTIVENESS; INFORMATION-TECHNOLOGY; CARE; PHYSICIANS; TIME; IMPLEMENTATION; EXPERIENCES</t>
  </si>
  <si>
    <t>The collection, analysis and management of clinical data with electronic applications has already widely been used. The digitalization of medical records is expected to bear significant potentials for the increase of clinical efficiency and effectiveness. This has led to numerous legal initiatives by policymakers and healthcare systems in many countries to secure the spatially inclusive and comprehensive establishment of electronic health records in preferably all medical entities. The following article describes the principles of electronic medical data management and exemplifies the different approaches which are followed internationally. Further-more, it discusses how medical data management systems create value in terms of higher clinical quality or lower treatment and administrative costs. And finally, the strategic and operative implications are deducted and concrete opportunities for action are described how the introduction of electronic health records may be optimally structured.</t>
  </si>
  <si>
    <t>[Schoenermark, Matthias P.] SKC Beratungsgesell mbH, Pelikanplatz 21, D-30177 Hannover, Germany</t>
  </si>
  <si>
    <t>Schönermark, MP (corresponding author), SKC Beratungsgesell mbH, Pelikanplatz 21, D-30177 Hannover, Germany.</t>
  </si>
  <si>
    <t>S220</t>
  </si>
  <si>
    <t>S236</t>
  </si>
  <si>
    <t>10.1055/a-0755-2688</t>
  </si>
  <si>
    <t>WOS:000469498300010</t>
  </si>
  <si>
    <t>Tiernan, P; O'Kelly, J</t>
  </si>
  <si>
    <t>Tiernan, Peter; O'Kelly, Jane</t>
  </si>
  <si>
    <t>Learning with digital video in second level schools in Ireland</t>
  </si>
  <si>
    <t>Online video; Digital video; Second level teaching; Digital learning; secondary schools teaching</t>
  </si>
  <si>
    <t>Research indicates that teenagers and young adults of second level school age in Ireland are increasingly immersed in world of technology. Online video accounts for much of their time spent online, and is often used for education purposes. While Irish government initiatives such as the Digital Strategy for Schools (2015-2020) aim to encourage integration of technology in the school system, exposure to technology continues to occur predominately outside the school setting. This study begins by examining this context, paying particular attention to the growth of online video. Following this the educational value of video is discussed, along with strategies and tools for its integration in the classroom. In the methodology section, the process of integrating digital video into eight second level classes is explained, including trainee teachers involvement. Findings presented indicate that second level students predominantly value the use of digital video as a learning tool due to its motivational value, ability to explain concepts and provision of examples and real world scenarios.</t>
  </si>
  <si>
    <t>[Tiernan, Peter] Dublin City Univ, Inst Educ, C320,St Patricks Campus, Dublin 9, Ireland; [O'Kelly, Jane] Dublin City Univ, Inst Educ, Mov26,St Patricks Campus, Dublin 9, Ireland</t>
  </si>
  <si>
    <t>Dublin City University; Dublin City University</t>
  </si>
  <si>
    <t>Tiernan, P (corresponding author), Dublin City Univ, Inst Educ, C320,St Patricks Campus, Dublin 9, Ireland.</t>
  </si>
  <si>
    <t>Peter.d.tiernan@dcu.ie; jane.okelly@dcu.ie</t>
  </si>
  <si>
    <t>Tiernan, Peter/AAN-8917-2021; O'Kelly, Jane/ABD-5001-2020</t>
  </si>
  <si>
    <t>10.1007/s10639-018-9811-6</t>
  </si>
  <si>
    <t>HP3DU</t>
  </si>
  <si>
    <t>WOS:000461557100008</t>
  </si>
  <si>
    <t>Kay, J</t>
  </si>
  <si>
    <t>Kay, James</t>
  </si>
  <si>
    <t>Improving access to e-resources for users at the University of Derby: enhancing discovery systems with Library Plus 2.0</t>
  </si>
  <si>
    <t>INSIGHTS-THE UKSG JOURNAL</t>
  </si>
  <si>
    <t>Discovery systems; EDS; HE libraries; e-resources; accessibility; user experience; UX</t>
  </si>
  <si>
    <t>The Library at the University of Derby recently collaborated with EBSCO Information Services to co-create unique search interfaces and introduce a series of innovations aimed at improving the user experience. These innovations included a range of clearer icons linking through to full-text journal articles and abstract-only resources subscribed to by the Library, apps linking to additional online resource content and a fresh interface design and style. Billed as Library Plus 2.0, the project aimed to significantly improve the accessibility and visibility of the Library's online resources, while providing an enhanced user experience shaped through consultation and engagement. This article looks at the impact of the Library Plus 2.0 changes and identifies improvements for future implementation. The work contributes towards the Library's digital strategies and the continual enhancement of our core systems. The author presented this work at the University of Derby's 13th Annual Learning &amp; Teaching Conference in July 2018.</t>
  </si>
  <si>
    <t>[Kay, James] Univ Derby, Ctr Student Life, Lib, Kedleston Rd, Derby DE22 1GB, England</t>
  </si>
  <si>
    <t>University of Derby</t>
  </si>
  <si>
    <t>Kay, J (corresponding author), Univ Derby, Ctr Student Life, Lib, Kedleston Rd, Derby DE22 1GB, England.</t>
  </si>
  <si>
    <t>J.Kay2@derby.ac.uk</t>
  </si>
  <si>
    <t>UBIQUITY PRESS LTD</t>
  </si>
  <si>
    <t>2N, 6 OSBORNE ST, LONDON, E1 6TD, ENGLAND</t>
  </si>
  <si>
    <t>2048-7754</t>
  </si>
  <si>
    <t>INSIGHTS</t>
  </si>
  <si>
    <t>Insights</t>
  </si>
  <si>
    <t>JAN 23</t>
  </si>
  <si>
    <t>HY4FZ</t>
  </si>
  <si>
    <t>WOS:000468084700001</t>
  </si>
  <si>
    <t>Azarova, AA; Tkachuk, LN; Kaplun, IS</t>
  </si>
  <si>
    <t>Azarova, Angelika A.; Tkachuk, Lyudmila N.; Kaplun, Irina S.</t>
  </si>
  <si>
    <t>y COMPLEX TARGET PROGRAM AS A TOOL TO STIMULATE REGIONAL DEVELOPMENT</t>
  </si>
  <si>
    <t>VOPROSY GOSUDARSTVENNOGO I MUNITSIPALNOGO UPRAVLENIYA-PUBLIC ADMINISTRATION ISSUES</t>
  </si>
  <si>
    <t>complex target program; regional governance; regional development; distribution of financial resources; IT technology</t>
  </si>
  <si>
    <t>The article focuses on the development of a new conceptual approach to public management of regional development through constructing and implementing an appropriate automated complex goal program (CGP). The purpose of the article is to justify a new approach to public management of regional development in the context of deepening European integration processes. The current study exploits the method of goal assessment of alternatives for building a hierarchy of goals for the complex goal program of regional development public management. The investigation is based on the analysis of legislative acts of Ukraine, European strategies Digital Agenda of Europe, Europe 2020: a strategy of reasonable, sustainable and comprehensive growth, development strategies of various regions of Ukraine, presented on their websites; expert data processed in the CGP; socio-statistical base of economic advantages development of various regions of Ukraine. Having carried out the analysis, the authors identified the advantages and disadvantages of various theories of regional development management; justified the concept of regional development by designing an automated complex goal program; defined the set of optimal projects that contribute to the improvement of regional development with the help of proposed CGP. Developed CGP allows allocating limited financial resources rationally to optimum projects. Automation of the CGP was done with modern IT technologies such as the decision support system Solon-2. The research results can be applied in the regions that need to optimize the system of public management of regional development. The results of the study might enhance the distribution of limited financial resources between identified priority projects and their sub-goals which can significantly improve the process of public administration of the region.</t>
  </si>
  <si>
    <t>[Azarova, Angelika A.] Vinnitsa Natl Tech Univ, Dept Management &amp; Informat Secur, Res &amp; Int Cooperat, 95 St Khmelnitskoe Shosse, UA-21021 Vinnitsa, Ukraine; [Tkachuk, Lyudmila N.] Vinnitsa Natl Tech Univ, Acad &amp; Methodol Work, Dept Management &amp; Informat Secur, Vinnitsa, Ukraine; [Kaplun, Irina S.] Vinnitsa Natl Tech Univ, Fac Management &amp; Informat Secur, Vinnitsa, Ukraine</t>
  </si>
  <si>
    <t>Ministry of Education &amp; Science of Ukraine; Vinnytsia National Technical University; Ministry of Education &amp; Science of Ukraine; Vinnytsia National Technical University; Ministry of Education &amp; Science of Ukraine; Vinnytsia National Technical University</t>
  </si>
  <si>
    <t>Azarova, AA (corresponding author), Vinnitsa Natl Tech Univ, Dept Management &amp; Informat Secur, Res &amp; Int Cooperat, 95 St Khmelnitskoe Shosse, UA-21021 Vinnitsa, Ukraine.</t>
  </si>
  <si>
    <t>azarova.angelika@gmail.com; ludatkachuk2017@gmail.com; kaplun.irka@gmail.com</t>
  </si>
  <si>
    <t>NATL RES UNIV HIGHER SCH ECONOMICS</t>
  </si>
  <si>
    <t>MYASNITSKAYA 20, MOSCOW, 101000, RUSSIA</t>
  </si>
  <si>
    <t>1999-5431</t>
  </si>
  <si>
    <t>VOPR GOS MUNITSIPALN</t>
  </si>
  <si>
    <t>Vopr. Gos. Munitsipalnogo Upravl.</t>
  </si>
  <si>
    <t>NE9OR</t>
  </si>
  <si>
    <t>WOS:000562934000004</t>
  </si>
  <si>
    <t>Sydow, J; Berends, H</t>
  </si>
  <si>
    <t>TECHNOLOGICAL EMBEDDEDNESS OF INTER-ORGANIZATIONAL COLLABORATION PROCESSES</t>
  </si>
  <si>
    <t>MANAGING INTER-ORGANIZATIONAL COLLABORATIONS: PROCESS VIEWS</t>
  </si>
  <si>
    <t>Research in the Sociology of Organizations</t>
  </si>
  <si>
    <t>Big data; digitalization; digital transformation; digital strategy; inter-organizational collaboration; embeddedness; transparency; adaptation</t>
  </si>
  <si>
    <t>INFORMATION-TECHNOLOGY; STRATEGIC ALLIANCES; RELATIONAL GOVERNANCE; TRUST; INNOVATION; ROUTINES; EVOLUTION; DYNAMICS; AMBIDEXTERITY; PERFORMANCE</t>
  </si>
  <si>
    <t>Advanced information technologies, and particularly big data, provide new affordances to facilitate inter-organizational collaboration. Rich flows of real-time data provide transparency across organizational boundaries and enable greater automation of inter-organizational routines. Taking stock of the literature and building on observations from the research in an industrial setting, the authors introduce the concept of technological embeddedness as an important characteristic of inter-organizational relationships, denoting the degree of monitoring, control, and optimization of intra- and inter-organizational tasks accomplished through technology at the interface of the inter-organizational relationship. The authors theorize how increasing technological embeddedness created by big data technologies affects the development of inter-organizational trust, mutual adaptation, and temporal structuring of collaboration. The propositions elaborate how greater technological embeddedness enables collaboration, and warn about the potential limiting effects of technological embeddedness on the development of interpersonal trust, strategic learning, and long-term orientation.</t>
  </si>
  <si>
    <t>[Cepa, Katharina] Univ Lancaster, Management Sch, Digital Strategy, Lancaster, England; [Schildt, Henri] Aalto Univ, Sch Business, Strategy, Dept Management Studies, Helsinki, Finland</t>
  </si>
  <si>
    <t>Lancaster University; Aalto University</t>
  </si>
  <si>
    <t>Cepa, K (corresponding author), Univ Lancaster, Management Sch, Digital Strategy, Lancaster, England.</t>
  </si>
  <si>
    <t>HOWARD HOUSE, WAGON LANE, BINGLEY, W YORKSHIRE BD16 1WA, ENGLAND</t>
  </si>
  <si>
    <t>0733-558X</t>
  </si>
  <si>
    <t>978-1-78756-591-3; 978-1-78756-592-0</t>
  </si>
  <si>
    <t>RES SOCIOL ORGAN-RES</t>
  </si>
  <si>
    <t>10.1108/S0733-558X20190000064007</t>
  </si>
  <si>
    <t>Management; Sociology</t>
  </si>
  <si>
    <t>Business &amp; Economics; Sociology</t>
  </si>
  <si>
    <t>BQ5QL</t>
  </si>
  <si>
    <t>WOS:000606978100005</t>
  </si>
  <si>
    <t>Chester, J; Montgomery, KC</t>
  </si>
  <si>
    <t>Chester, Jeff; Montgomery, Kathryn C.</t>
  </si>
  <si>
    <t>The digital commercialisation of US politics - 2020 and beyond</t>
  </si>
  <si>
    <t>INTERNET POLICY REVIEW</t>
  </si>
  <si>
    <t>Advertising; Elections; Micro-targeting; Privacy</t>
  </si>
  <si>
    <t>PRIVACY</t>
  </si>
  <si>
    <t>The same micro-targeted programmatic advertising that has become central to the digital media and marketing ecosystem has now migrated into election campaigns in the US and elsewhere, raising a host of issues around privacy, discrimination, and manipulation. This paper examines the digital strategies and technologies of today's political campaigns, explaining how they will be deployed in the upcoming 2020 election cycle, and assessing regulatory and policy responses - both enacted and proposed - for increasing transparency and accountability in digital politics.</t>
  </si>
  <si>
    <t>[Chester, Jeff] Ctr Digital Democracy, Washington, DC 20006 USA; [Montgomery, Kathryn C.] Amer Univ, Sch Commun, Washington, DC USA</t>
  </si>
  <si>
    <t>American University</t>
  </si>
  <si>
    <t>Chester, J (corresponding author), Ctr Digital Democracy, Washington, DC 20006 USA.</t>
  </si>
  <si>
    <t>jeff@democraticmedia.org; kcm@american.edu</t>
  </si>
  <si>
    <t>ALEXANDER VON HUMBOLDT INST INTERNET &amp; SOC</t>
  </si>
  <si>
    <t>OBERWALLSTRASSE 9, BERLIN, 10117, GERMANY</t>
  </si>
  <si>
    <t>2197-6775</t>
  </si>
  <si>
    <t>INTERNET POLICY REV</t>
  </si>
  <si>
    <t>Internet Policy Rev.</t>
  </si>
  <si>
    <t>10.14763/2019.4.1443</t>
  </si>
  <si>
    <t>Communication; Law</t>
  </si>
  <si>
    <t>Communication; Government &amp; Law</t>
  </si>
  <si>
    <t>KG2IA</t>
  </si>
  <si>
    <t>WOS:000509764900019</t>
  </si>
  <si>
    <t>Chu, SC; Kamal, S; Kim, Y</t>
  </si>
  <si>
    <t>Chu, Shu-Chuan; Kamal, Sara; Kim, Yoojung</t>
  </si>
  <si>
    <t>Re-examining of consumers' responses toward social media advertising and purchase intention toward luxury products from 2013 to 2018: A retrospective commentary</t>
  </si>
  <si>
    <t>Social media advertising; luxury products; beliefs; attitudes; behaviors; purchase intention</t>
  </si>
  <si>
    <t>FASHION BRANDS; SELF; FACEBOOK; CONSUMPTION; ENGAGEMENT; ATTITUDES; BEHAVIOR; MOTIVES; IMPACTS; TWITTER</t>
  </si>
  <si>
    <t>The purpose of this retrospective commentary is to re-examine what we know about consumers' response toward social media advertising and purchase intention toward luxury products, as well as review how researchers have cited this article. This commentary is organized as follows. First, it discusses the unique contributions of our article that causes its high impact in the literature. Second, it examines the topic of social media and luxury brands from today's perspective. Third, we offer our interpretation of the use in the literature of our study and categorize the literature into three areas: luxury brand marketing and consumer engagement in social media; beliefs, attitudes, and behavioral responses toward social media advertising; and the state of knowledge on luxury brands and fashion advertising. Lastly, this commentary offers ideas in luxury brand advertising and marketing research and new trends in luxury brand digital strategies through social media.</t>
  </si>
  <si>
    <t>[Chu, Shu-Chuan] DePaul Univ, Coll Commun, Publ Relat &amp; Advertising, Chicago, IL 60604 USA; [Kim, Yoojung] Konkuk Univ, Coll Liberal Arts, Dept Media &amp; Commun, 120 Neungdong Ro, Seoul 05029, South Korea</t>
  </si>
  <si>
    <t>DePaul University; Konkuk University</t>
  </si>
  <si>
    <t>Kim, Y (corresponding author), Konkuk Univ, Coll Liberal Arts, Dept Media &amp; Commun, 120 Neungdong Ro, Seoul 05029, South Korea.</t>
  </si>
  <si>
    <t>ykim@konkuk.ac.kr</t>
  </si>
  <si>
    <t>10.1080/20932685.2018.1550008</t>
  </si>
  <si>
    <t>IB5BO</t>
  </si>
  <si>
    <t>WOS:000470286400006</t>
  </si>
  <si>
    <t>De Bernardi, P; Bertello, A; Shams, SMR</t>
  </si>
  <si>
    <t>De Bernardi, Paola; Bertello, Alberto; Shams, S. M. Riad</t>
  </si>
  <si>
    <t>LOGICS HINDERING DIGITAL TRANSFORMATION IN CULTURAL HERITAGE STRATEGIC MANAGEMENT: AN EXPLORATORY CASE STUDY</t>
  </si>
  <si>
    <t>TOURISM ANALYSIS</t>
  </si>
  <si>
    <t>Museum digitalization; Organizational transformation; Cultural strategic management; Cultural tourism; Digital strategy</t>
  </si>
  <si>
    <t>MARKET ORIENTATION; MUSEUM VISITORS; TOURISM; INNOVATION; IMPACT</t>
  </si>
  <si>
    <t>Museums play an important role in tourist flows, especially in cities that are famous for their cultural heritage. To valorize their role, these cultural institutions should open themselves to visitors as vectors of social, educational, and entertainment values. In particular, museums need to reinvent how they transmit information about their collections and how they engage visitors, keeping in mind the opportunities triggered by digitalization. Digital technologies could in fact be a powerful tool to assist in adopting a visitor-oriented approach and to stimulate a two-way communication. This article aims to analyze the extent of digitalization that should be integrated in museums' communication strategies, and to recognize the logics hindering digital transformation in cultural heritage strategic management. We developed an exploratory case study, focused on museums in Turin, Italy, gathering online data through institutional reports, museum websites, and social media, as well as onsite data mainly from semistructured interviews with museum managers. The research shows that most of the interviewees understand the strategic role of digitalization for museum development; however, the level of digital readiness remains low. Alongside the well-known systemic financial deficit of cultural institutions, there are other critical factors that hinder the integration of digitalization processes in the cultural heritage management. Common barriers include the presence of institutional pressures, and the lack of organizational and managerial coordination between different departments and functions that should be involved in the development of digital strategies and their integration in the strategic planning systems of museums. This research offers insights to tackle these challenges, allowing museums to compete in the international context of the cultural and heritage tourism.</t>
  </si>
  <si>
    <t>[De Bernardi, Paola; Bertello, Alberto] Univ Turin, Dept Management, Cso Unione Soviet 218 Bis, I-10134 Turin, Italy; [Shams, S. M. Riad] Ural Fed Univ, Dept Int Econ &amp; Management, Ekaterinburg, Russia</t>
  </si>
  <si>
    <t>University of Turin; Ural Federal University</t>
  </si>
  <si>
    <t>De Bernardi, P (corresponding author), Univ Turin, Dept Management, Cso Unione Soviet 218 Bis, I-10134 Turin, Italy.</t>
  </si>
  <si>
    <t>paola.debernardi@unito.it</t>
  </si>
  <si>
    <t>Baldissera, Annalisa/AHD-6334-2022; DE BERNARDI, Paola/AAE-7105-2019; DE BERNARDI, PAOLA/I-4807-2018</t>
  </si>
  <si>
    <t>DE BERNARDI, Paola/0000-0002-6776-6735; DE BERNARDI, PAOLA/0000-0002-6776-6735</t>
  </si>
  <si>
    <t>COGNIZANT COMMUNICATION CORP</t>
  </si>
  <si>
    <t>PUTNAM VALLEY</t>
  </si>
  <si>
    <t>18 PEEKSKILL HOLLOW RD, PO BOX 37, PUTNAM VALLEY, NY 10579 USA</t>
  </si>
  <si>
    <t>1083-5423</t>
  </si>
  <si>
    <t>1943-3999</t>
  </si>
  <si>
    <t>TOUR ANAL</t>
  </si>
  <si>
    <t>Tour. Anal.</t>
  </si>
  <si>
    <t>10.3727/108354219X15511864843876</t>
  </si>
  <si>
    <t>IK8UQ</t>
  </si>
  <si>
    <t>Green Accepted, Green Published</t>
  </si>
  <si>
    <t>WOS:000476871600006</t>
  </si>
  <si>
    <t>Dharod, A; Bellinger, C; Foley, K; Case, LD; Miller, D</t>
  </si>
  <si>
    <t>Dharod, Ajay; Bellinger, Christina; Foley, Kristie; Case, L. Doug; Miller, David</t>
  </si>
  <si>
    <t>The Reach and Feasibility of an Interactive Lung Cancer Screening Decision Aid Delivered by Patient Portal</t>
  </si>
  <si>
    <t>electronic health records; eligibility determination; decision support techniques; patient portals; cancer early detection</t>
  </si>
  <si>
    <t>DOSE COMPUTED-TOMOGRAPHY; PRIMARY-CARE PROVIDERS; TRIAL; MANAGEMENT; KNOWLEDGE; ATTITUDES; RISK; TIME</t>
  </si>
  <si>
    <t>Objective Health systems could adopt population-level approaches to screening by identifying potential screening candidates from the electronic health record and reaching out to them via the patient portal. However, whether patients would read or act on sent information is unknown. We examined the feasibility of this digital health outreach strategy. Methods We conducted a single-arm pragmatic trial in a large academic health system. An electronic health record algorithm identified primary care patients who were potentially eligible for lung cancer screening (LCS). Identified patients were sent a patient portal invitation to visit a LCS interactive Web site which assessed screening eligibility and included a decision aid. The primary outcome was screening completion. Secondary outcomes included the proportion of patients who read the invitation, visited the interactive Web site, and completed the interactive Web site. Results We sent portal invitations to 1,000 patients. Almost all patients (86%, 862/1,000) read the invitation, 404 (40%) patients visited the interactive Web site, and 349 patients (35%) completed it. Of the 99 patients who were confirmed screening eligible by the Web site, 81 made a screening decision (30% wanted screening, 44% unsure, 26% declined screening), and 22 patients had a chest computed tomography completed. Conclusion The digital outreach strategy reached the majority of patient portal users. While the study focused on LCS, this digital outreach approach could be generalized to other health needs. Given the broad reach and potential low cost of this digital strategy, future research should investigate best practices for implementing the system.</t>
  </si>
  <si>
    <t>[Dharod, Ajay; Miller, David] Wake Forest Univ, Wake Forest Sch Med, Sect Gen Internal Med, Dept Internal Med, Winston Salem, NC 27109 USA; [Dharod, Ajay; Foley, Kristie; Miller, David] Wake Forest Univ, Wake Forest Sch Med, Dept Implementat Sci, Winston Salem, NC 27109 USA; [Bellinger, Christina] Wake Forest Univ, Wake Forest Sch Med, Dept Internal Med, Sect Pulm Crit Care Allergy &amp; Immunol, Winston Salem, NC 27109 USA; [Case, L. Doug] Wake Forest Univ, Wake Forest Sch Med, Dept Biostat Sci, Winston Salem, NC 27109 USA</t>
  </si>
  <si>
    <t>Wake Forest University; Wake Forest University; Wake Forest University; Wake Forest University</t>
  </si>
  <si>
    <t>Dharod, A (corresponding author), Wake Forest Sch Med, Sect Gen Internal Med, Dept Internal Med, 1 Med Ctr Blvd, Winston Salem, NC 27157 USA.</t>
  </si>
  <si>
    <t>adharod@wakehealth.edu</t>
  </si>
  <si>
    <t>Wake Forest University Comprehensive Cancer Center [NCI CCSG P30CA012197]; Wake Forest Clinical and Translational Science Institute [NCATS UL1TR001420]</t>
  </si>
  <si>
    <t>Wake Forest University Comprehensive Cancer Center; Wake Forest Clinical and Translational Science Institute</t>
  </si>
  <si>
    <t>This study received funding from the Wake Forest University Comprehensive Cancer Center (NCI CCSG P30CA012197) and the Wake Forest Clinical and Translational Science Institute (NCATS UL1TR001420).</t>
  </si>
  <si>
    <t>10.1055/s-0038-1676807</t>
  </si>
  <si>
    <t>HG8BA</t>
  </si>
  <si>
    <t>WOS:000455220200001</t>
  </si>
  <si>
    <t>Castillo, JGD; Cohenour, EJC; Escalante, MAS; Carrillo, IDV</t>
  </si>
  <si>
    <t>Dominguez Castillo, J. Gabriel; Cisneros Cohenour, Edith Juliana; Suaste Escalante, Miguel Angel; Vazquez Carrillo, Ileana del Socorro</t>
  </si>
  <si>
    <t>Reducing the Digital Divide in Vulnerable Communities in Southeastern Mexico</t>
  </si>
  <si>
    <t>REVISTA PUBLICACIONES</t>
  </si>
  <si>
    <t>digital divide; information society; vulnerable community; social marginalization</t>
  </si>
  <si>
    <t>ACCESS; TECHNOLOGY; INTERNET</t>
  </si>
  <si>
    <t>In the XXI century, it is crucial for people belonging to vulnerable and highly marginalized communities have access to telecommunications and have the minimum skills required to use technology, as they are rapidly becoming a tool for transmitting and obtaining information. In today information society, remains a digital divide between those who have access to technological computing resources and Internet, and those who do not, presenting a constant challenge for the development of our people. This paper analyzes the impact of a mixed training program, called: REBREDIG-PJA for the reduction of the digital divide in young and adult people from a vulnerable community in southeastern Mexico, which presents high levels of social marginalization. The results of this study are discussed under the guidelines of the National Development Plan (2013-2018) and the National Digital Strategy (2013) for Mexico and are compared with the guidelines stated in the State Development Plan (2012-2018) for Yucatan.</t>
  </si>
  <si>
    <t>[Dominguez Castillo, J. Gabriel; Cisneros Cohenour, Edith Juliana; Suaste Escalante, Miguel Angel; Vazquez Carrillo, Ileana del Socorro] Univ Autonoma Yucatan, Merida, Yucatan, Mexico</t>
  </si>
  <si>
    <t>Universidad Autonoma de Yucatan</t>
  </si>
  <si>
    <t>Castillo, JGD (corresponding author), Univ Autonoma Yucatan, Merida, Yucatan, Mexico.</t>
  </si>
  <si>
    <t>jg.dominguez@correo.uady.mx; cchacon@correo.uady.mx; miguel.suaste@correo.uady.mx; ileana.vazquez@correo.uady.mx</t>
  </si>
  <si>
    <t>EDITORIAL UNIV GRANADA</t>
  </si>
  <si>
    <t>GRANADA</t>
  </si>
  <si>
    <t>ANTIGUO COLEGIO MAXIMO, CAMPUS CARTUJA, GRANADA, 18071, SPAIN</t>
  </si>
  <si>
    <t>1577-4147</t>
  </si>
  <si>
    <t>2530-9269</t>
  </si>
  <si>
    <t>REV PUBL</t>
  </si>
  <si>
    <t>Rev. Publ.</t>
  </si>
  <si>
    <t>10.30827/publicaciones.v49i2.9305</t>
  </si>
  <si>
    <t>JW9NP</t>
  </si>
  <si>
    <t>WOS:000503372300008</t>
  </si>
  <si>
    <t>Giannini, T; Bowen, JP</t>
  </si>
  <si>
    <t>Giannini, Tula; Bowen, Jonathan P.</t>
  </si>
  <si>
    <t>Transforming Education for Museum Professionals in the Digital Age</t>
  </si>
  <si>
    <t>MUSEUMS AND DIGITAL CULTURE: NEW PERSPECTIVES AND RESEARCH</t>
  </si>
  <si>
    <t>Springer Series on Cultural Computing</t>
  </si>
  <si>
    <t>As the digital revolution accelerates, one of the most significant impacts that museums are experiencing, is how digital development is changing the very nature of work across the professions and disciplines from art and humanities to computer science and technology. Simply put-work and life are merging and becoming increasingly digital and cross-disciplinary, as they are absorbed into the digital ecosystem. Museums are recognizing that the digital shift is causing them to rethink the skills and knowledge their professional staff needs and are challenged to find effective strategies to respond to changes brought about by digital culture and related social and cultural issues, while graduate education for museum professionals is similarly challenged. As a case study, we consider Pratt Institute's Master of Science in Museums and Digital Culture, introduced in 2015 by Giannini. Representing the first master's degree of its kind, it offers a program set in a digital framework that encompasses the full range of museum activities and functions in contrast to the prevalent museum studies model taking a more traditional collection-centered approach. Over the past few years, the work of museum professionals behind the scenes has become increasingly carried out using digital tools and technologies, from collection management including digitization and access, to museum websites and social media, while using digital in galleries and exhibitions is an emerging area of critical focus aimed at developing digital strategies and methods for visitor engagement and experience and that expand the roles and responsibilities of museum professionals. Among digital advances, augmented and virtual reality, digital storytelling and artificial intelligence, are entering the mainstream of museum life, more fully immersing museums in the digital culture ecosystem. This chapter explores how education for museum professionals is transforming, as it responds to the need for graduates to possess digital skills and a deep knowledge and understanding of the social and cultural contexts in which museums are evolving.</t>
  </si>
  <si>
    <t>[Giannini, Tula] Pratt Inst, Sch Informat, New York, NY 10011 USA; [Bowen, Jonathan P.] London South Bank Univ, Sch Engn, London, England; [Bowen, Jonathan P.] Southwest Univ, Chongqing, Peoples R China</t>
  </si>
  <si>
    <t>London South Bank University; Southwest University - China</t>
  </si>
  <si>
    <t>Giannini, T (corresponding author), Pratt Inst, Sch Informat, New York, NY 10011 USA.</t>
  </si>
  <si>
    <t>giannini@pratt.edu; jonathan.bowen@lsbu.ac.uk</t>
  </si>
  <si>
    <t>Bowen, Jonathan P./A-3383-2008</t>
  </si>
  <si>
    <t>Bowen, Jonathan P./0000-0002-8748-6140</t>
  </si>
  <si>
    <t>SPRINGER INTERNATIONAL PUBLISHING AG</t>
  </si>
  <si>
    <t>CHAM</t>
  </si>
  <si>
    <t>GEWERBESTRASSE 11, CHAM, CH-6330, SWITZERLAND</t>
  </si>
  <si>
    <t>2195-9056</t>
  </si>
  <si>
    <t>978-3-319-97457-6; 978-3-319-97456-9</t>
  </si>
  <si>
    <t>SPR SER CULT COMPUT</t>
  </si>
  <si>
    <t>10.1007/978-3-319-97457-6_23</t>
  </si>
  <si>
    <t>10.1007/978-3-319-97457-6</t>
  </si>
  <si>
    <t>Art; Humanities, Multidisciplinary; Computer Science, Interdisciplinary Applications; Information Science &amp; Library Science</t>
  </si>
  <si>
    <t>Book Citation Index – Social Sciences &amp; Humanities (BKCI-SSH); Book Citation Index – Science (BKCI-S)</t>
  </si>
  <si>
    <t>Art; Arts &amp; Humanities - Other Topics; Computer Science; Information Science &amp; Library Science</t>
  </si>
  <si>
    <t>BN6RD</t>
  </si>
  <si>
    <t>WOS:000486078600024</t>
  </si>
  <si>
    <t>Kerres, M; Waffner, B</t>
  </si>
  <si>
    <t>Reardon, RM; Leonard, J</t>
  </si>
  <si>
    <t>Kerres, Michael; Waffner, Bettina</t>
  </si>
  <si>
    <t>DIGITAL SCHOOL NETWORKS Technology Integration as a Joint Research and Development Effort</t>
  </si>
  <si>
    <t>INTEGRATING DIGITAL TECHNOLOGY IN EDUCATION: SCHOOL-UNIVERSITY-COMMUNITY COLLABORATION</t>
  </si>
  <si>
    <t>Current Perspectives on School-University-Community Research</t>
  </si>
  <si>
    <t>EDUCATION</t>
  </si>
  <si>
    <t>Schools are increasingly challenged to develop a digital strategy. For some time, digital technology in classrooms has been a topic only for few teachers but, increasingly, it is perceived as a strategic issue for schools that impacts the organization more deeply. The topic not only relates to the deployment of technology and infrastructure and the training of teachers; schools must also address the consequences and potential of technology for curriculum reform and new instructional methods, which hints at a larger project of school development.</t>
  </si>
  <si>
    <t>[Kerres, Michael; Waffner, Bettina] Univ Duisburg Essen, Duisburg, Germany</t>
  </si>
  <si>
    <t>University of Duisburg Essen</t>
  </si>
  <si>
    <t>Kerres, M (corresponding author), Univ Duisburg Essen, Duisburg, Germany.</t>
  </si>
  <si>
    <t>INFORMATION AGE PUBLISHING-IAP</t>
  </si>
  <si>
    <t>CHARLOTTE</t>
  </si>
  <si>
    <t>PO BOX 79049, CHARLOTTE, NC 28271-7047 USA</t>
  </si>
  <si>
    <t>978-1-64113-670-9; 978-1-64113-671-6</t>
  </si>
  <si>
    <t>CURR PERSP SCH-UNIV</t>
  </si>
  <si>
    <t>BO2FB</t>
  </si>
  <si>
    <t>WOS:000505268200010</t>
  </si>
  <si>
    <t>Lobillo-Mora, G; Smolak-Lozano, E</t>
  </si>
  <si>
    <t>Lobillo-Mora, Gema; Smolak-Lozano, Emilia</t>
  </si>
  <si>
    <t>The relationship as a strategic value in organizational communication between football clubs and star players in social networks. Case study of Real Madrid CF / Cristiano Ronaldo and FC Barcelona / Leo Messi</t>
  </si>
  <si>
    <t>public relations; organisational communication; sports management; social networks; Real Madrid CF; FC Barcelona</t>
  </si>
  <si>
    <t>The research framework is composed by studies of the management of organizational communication in sport, with the particular focus on social networks as strategic channels to establish relationships with football fans. Olabe (2012) and Ginesta (2011) demonstrated the influence of communication with different audiences of sports entities. However, there we can observe the limited number of studies on the mutual interaction between football clubs and their star players in their respective digital strategies of corporate communication based on interactivity, influence, and publicity. The objective of the study is to demonstrate the strategic relationship established via digital communication of the most important football clubs in the Professional Football League (Real Madrid CF and FC Barcelona), with their most popular athletes (Cristiano Ronaldo and Leo Messi, respectively) on Facebook, Twitter and lnstagram. The choice of these networks is motivated by the wide use and application in case of both clubs and players (except for the FC Barcelona player, Messi who does not have a Twitter profile by the time of the study). A methodological triangulation has been used, centered on Web 2.0 analytics and content analysis of social networks, covering the period of the LFP competition and the time directly afterwards. In this way, we cover sporting period and vacation rest. In this way, we can determine the strategies of the players and their greater or lesser link to their club of relevance depending on the sport and competition activity. In order to accomplish the objective of the present study, we have used the online monitoring and measurement tools of social networks: FanPage Karma, Likelyzer and Twitonomy, so we have been able to collect a large amount of data, otherwise impossible to gather. The results show a high performance of profiles in terms of activity, popularity and advertising value. The data confirm the communication relationship between professional players and their respective clubs, developing a clear vision of their communication strategy. The study reflect the commitment and publicity value of football clubs and reveal the ways in which the players use it for their own businesses or sponsorships. In the case of both clubs, the players provoke the greatest interaction on the part of the followers, but they are not mentioned in messages through the hashtags, but key words. In addition, the clubs perform different strategies for their players. Additionally, the players have shown a marked difference in terms of the purpose of their publications on social networks. Among the conclusions, it is advisable to redesign the strategies of the social networks in order to include the conversation, dialogue and reciprocal relationship between clubs and their star players for the mutual communicative and promotional benefit, beyond the commercial effect. In short, the use of social networks by players and sports entities is based on objectives within their own separate communication strategy and business interests. However, it is advisable to cross the strategies of both players and entities to amplify the messages and optimize the strategies different actors of communication.</t>
  </si>
  <si>
    <t>[Lobillo-Mora, Gema; Smolak-Lozano, Emilia] Univ Malaga, Dept Comunicac Audiosvisual &amp; Publicidad, Malaga, Spain</t>
  </si>
  <si>
    <t>Lobillo-Mora, G (corresponding author), Univ Malaga, Dept Comunicac Audiosvisual &amp; Publicidad, Malaga, Spain.</t>
  </si>
  <si>
    <t>gmlobillo@uma.es; esmolaklozano@uma.es</t>
  </si>
  <si>
    <t>Lobillo-Mora, Gema/L-9797-2017</t>
  </si>
  <si>
    <t>Lobillo-Mora, Gema/0000-0002-5315-3057</t>
  </si>
  <si>
    <t>10.5783/RIRP-17-2019-05-71-96</t>
  </si>
  <si>
    <t>IF0HV</t>
  </si>
  <si>
    <t>WOS:000472758300005</t>
  </si>
  <si>
    <t>Mal'ko, AV; Soldatkina, OL</t>
  </si>
  <si>
    <t>Mal'ko, Aleksandr V.; Soldatkina, Oksana L.</t>
  </si>
  <si>
    <t>LEGAL ASPECTS OF INFORMATION POLICY IN THE MODERN SOCIETY: A COMPARATIVE ANALYSIS</t>
  </si>
  <si>
    <t>SRAVNITELNAYA POLITIKA-COMPARATIVE POLITICS</t>
  </si>
  <si>
    <t>Information-legal policy; information security; Government as Platform; US International Strategy for Cyberspace; Basic Law of the Federal Republic of Germany; Cyber Cybersecurity Law of China; Digital Strategy of Great Britain</t>
  </si>
  <si>
    <t>The article contains a comparative analysis of the main directions of the information policy of different states in three areas: information rights and freedoms, e-government and information security. Such a comparison is an actual character because the problems of information law are often global. and the legal regulation of information relations has an international component. Based on the results of the comparison of national legislations of different countries conducted in the article on certain issues of the information law, the following conclusions are made. Realization of the basic rights and freedoms of citizens in the information sphere occupies a special place among the national interests of most countries, but the rights of the individual can be limited. Legal restrictions in the information field are considered on the example of comparison of methods of content management of the global network, which are characterized by the state's definition of the level of interference in the network life of citizens and methods of ensuring intervention. Electronic governance in various states is characterized by a transition from the concept of e-government to the digital government model associated with the transformation of the entire structure of public administration. In this field, the UK experience is valuable, where the Government as a platform project is being implemented, and Germany. where the construction of e-government basically began with the enhancement of the information culture of citizens and civil servants. Information security today comes out on top in the majority of countries and international organizations. In general, information security trends in all countries are similar, which is reflected in the Russian strategic documents.</t>
  </si>
  <si>
    <t>[Mal'ko, Aleksandr V.] Russian Acad Sci, Inst State &amp; Law, Saratov Branch, Saratov, Russia; [Soldatkina, Oksana L.] Russian Acad Sci, Inst State &amp; Law, Saratov Branch, Saratov State Law Acad, Saratov, Russia</t>
  </si>
  <si>
    <t>Russian Academy of Sciences; Saratov Scientific Center of the Russian Academy of Sciences; Russian Academy of Sciences; Saratov Scientific Center of the Russian Academy of Sciences</t>
  </si>
  <si>
    <t>Mal'ko, AV (corresponding author), Russian Acad Sci, Inst State &amp; Law, Saratov Branch, Saratov, Russia.</t>
  </si>
  <si>
    <t>i_gp@ssla.ru; buzum@mail.ru</t>
  </si>
  <si>
    <t>Солдаткина, Оксана/AAI-8094-2021</t>
  </si>
  <si>
    <t>PUBLISHING HOUSE JURIST</t>
  </si>
  <si>
    <t>26-55, BLDG 7 KOSMODAMIANSKAYA EMB, MOSCOW, 115035, RUSSIA</t>
  </si>
  <si>
    <t>2221-3279</t>
  </si>
  <si>
    <t>2412-4990</t>
  </si>
  <si>
    <t>SRAVN POLIT</t>
  </si>
  <si>
    <t>Sravn. Polit.</t>
  </si>
  <si>
    <t>10.24411/2221-3279-2019-10003</t>
  </si>
  <si>
    <t>HF6JP</t>
  </si>
  <si>
    <t>WOS:000454342500003</t>
  </si>
  <si>
    <t>Martínez, M; Marrujo, J; Perillo, M; González, FM; Burin, D</t>
  </si>
  <si>
    <t>Martinez, Magali; Marrujo, Jonathan; Perillo, Martina; Gonzalez, Federico M.; Burin, Debora</t>
  </si>
  <si>
    <t>Reading comprehension in e-Learning: support strategies and working memory</t>
  </si>
  <si>
    <t>OCNOS-REVISTA DE ESTUDIOS SOBRE LA LECTURA</t>
  </si>
  <si>
    <t>Reading Comprehension; Electronic Learning; Reading Strategies; Short Term Memory; Expository Comprehension</t>
  </si>
  <si>
    <t>HYPERMEDIA</t>
  </si>
  <si>
    <t>Support strategies, such as elaboration, rereading, highlighting, memorization, or note-taking, contribute to expository text comprehension. The goal of the present study was to analyze the contribution of different support strategies to expository text comprehension in an e-Learning environment. For this purpose, 224 university students read two expository texts and completed comprehension and reading strategies questionnaires, through an e-Learning platform. Students reported a variety of strategies, which were categorized in three groups: reading and memorizing, note-taking, and digital strategies. For those who read passively, participants with high working memory had significantly better comprehension than those with low working memory; this difference was not significant among those with active strategies.</t>
  </si>
  <si>
    <t>[Martinez, Magali; Marrujo, Jonathan; Perillo, Martina; Gonzalez, Federico M.] Univ Buenos Aires, Buenos Aires, DF, Argentina; [Burin, Debora] Univ Buenos Aires, CONICET, Buenos Aires, DF, Argentina</t>
  </si>
  <si>
    <t>University of Buenos Aires; Consejo Nacional de Investigaciones Cientificas y Tecnicas (CONICET); University of Buenos Aires</t>
  </si>
  <si>
    <t>Martínez, M (corresponding author), Univ Buenos Aires, Buenos Aires, DF, Argentina.</t>
  </si>
  <si>
    <t>martinezmagali@psi.uba.ar; jmarrujo@psi.uba.ar; mperillo@psi.uba.ar; fmgonzalez@psi.uba.ar; dburin@psi.uba.ar</t>
  </si>
  <si>
    <t>Marrujo, Jonathan/JCO-0983-2023; Burin, D. I./AEJ-5975-2022</t>
  </si>
  <si>
    <t>Marrujo, Jonathan/0000-0003-0233-8390; Burin, D. I./0000-0002-2515-719X</t>
  </si>
  <si>
    <t>UNIV CASTILLA-LA MANCHA, CENTRO ESTUDIOS PROMOCION LITERATURA INFANTIL</t>
  </si>
  <si>
    <t>CUENCA</t>
  </si>
  <si>
    <t>AVE ALFARES, 42, CUENCA, 16071, SPAIN</t>
  </si>
  <si>
    <t>1885-446X</t>
  </si>
  <si>
    <t>2254-9099</t>
  </si>
  <si>
    <t>OCNOS</t>
  </si>
  <si>
    <t>Ocnos</t>
  </si>
  <si>
    <t>10.18239/ocnos_2019.18.2.1988</t>
  </si>
  <si>
    <t>IM2HE</t>
  </si>
  <si>
    <t>Green Published, gold, Green Submitted</t>
  </si>
  <si>
    <t>WOS:000477812800003</t>
  </si>
  <si>
    <t>Matthyssens, P</t>
  </si>
  <si>
    <t>Matthyssens, Paul</t>
  </si>
  <si>
    <t>Reconceptualizing value innovation for Industry 4.0 and the Industrial Internet of Things</t>
  </si>
  <si>
    <t>Value innovation; IoT; Industry 4.0; Strategy innovation</t>
  </si>
  <si>
    <t>DELIBERATE LEARNING-MECHANISMS; BUSINESS MODEL; NETWORK; SERVITIZATION; CAPABILITIES; PERSPECTIVE; COMPANIES; GROWTH</t>
  </si>
  <si>
    <t>Purpose - Starting from the foundations of value innovation, this paper aims to give an idea of the key drivers and barriers - internal and external to the company - and to provide insight into proven capabilities underscoring the ability to create a flow of new value initiatives. These thoughts are then confronted with the present challenges of Industry 4.0 and the Industrial Internet of Things (IIoT). The confrontation leads to the identification of five capabilities for future-proof value innovation. Design/methodology/approach - Literature review based upon the work of the author with more than two decades of experience within value innovation research is included. The review is supplemented with recent literature and an overview of the challenges of Industry 4.0/IIoT, which leads into a confrontation of the present status of value innovation with future requirements. Findings - Value innovation remains important specifically for established companies facing path-breaking digital disruption of their existing business models provoked by Industry 4.0 and IIoT. Five key capabilities are suggested to rejuvenate value innovation and prepare it for the Industry 4.0 challenge: capabilities for designing, adapting and marketing product service systems; capabilities for blending digital strategy and processes with value offerings; capabilities for designing and mobilizing ecosystems and integrating these into a value-based IIoT platform; capabilities for combining and integrating technological and value innovation approaches; and capabilities for linking value creation to value capturing. Research limitations/implications - This paper is more of a viewpoint than an empirically based paper presenting new research findings. It is based on expert judgment and confrontation with extant literature. The outlook indicating five key capabilities needs further empirical corroboration. Practical implications - The overview of barriers and the toolkit for value innovation (Figure 1) and the five capabilities for future value innovation are expected to be managerially relevant. Originality/value - The paper highlights the concept of value innovation, as discussed over the past decades, and links it to recent challenges and opportunities imposed by Industry 4.0 and the IIoT. The concept of value or strategic innovation is still valid but needs a re-conceptualization in view of these developments. The paper provides five capabilities business marketers should develop to perform value innovation in an Industry 4.0 environment.</t>
  </si>
  <si>
    <t>[Matthyssens, Paul] Univ Antwerp, Antwerp Management Sch, Dept Management, Antwerp, Belgium</t>
  </si>
  <si>
    <t>University of Antwerp</t>
  </si>
  <si>
    <t>Matthyssens, P (corresponding author), Univ Antwerp, Antwerp Management Sch, Dept Management, Antwerp, Belgium.</t>
  </si>
  <si>
    <t>paul.matthyssens@ams.ac.be</t>
  </si>
  <si>
    <t>Matthyssens, Paul/0000-0002-9138-7911</t>
  </si>
  <si>
    <t>10.1108/JBIM-11-2018-0348</t>
  </si>
  <si>
    <t>JE1ON</t>
  </si>
  <si>
    <t>WOS:000490465000006</t>
  </si>
  <si>
    <t>Obar, JA</t>
  </si>
  <si>
    <t>Obar, Jonathan A.</t>
  </si>
  <si>
    <t>Searching for Data Privacy Self-Management: Individual Data Control and Canada's Digital Strategy</t>
  </si>
  <si>
    <t>Big data; Consent; Infomediation; PIPEDA; Privacy</t>
  </si>
  <si>
    <t>The problematic presumption that users can control the vast consent and data-management responsibilities associated with big data is referred to as the fallacy of data privacy self-management. Though untenable, this presumption remains fundamental to Canadian privacy law, exemplified in the individual access principle of the Personal Information Protection and Electronic Documents Act governing commercial data management. This article describes the fallacy, critiques the individual access principle, and introduces potential solutions relevant to Canada's digital strategy.</t>
  </si>
  <si>
    <t>[Obar, Jonathan A.] York Univ, Dept Commun Studies, N York, ON, Canada</t>
  </si>
  <si>
    <t>York University - Canada</t>
  </si>
  <si>
    <t>Obar, JA (corresponding author), York Univ, Dept Commun Studies, N York, ON, Canada.</t>
  </si>
  <si>
    <t>jaobar@yorku.ca</t>
  </si>
  <si>
    <t>10.22230/cjc.2019v44n2a3503</t>
  </si>
  <si>
    <t>IF5TD</t>
  </si>
  <si>
    <t>WOS:000473144200013</t>
  </si>
  <si>
    <t>Pompili, I</t>
  </si>
  <si>
    <t>Pompili, Irene</t>
  </si>
  <si>
    <t>ARCHAEOLOGY AND AUDIENCE DEVELOPMENT DIGITAL STRATEGIES: A RESEARCH CONDUCTED WITH THE TEAM OF ARCHEOLOGIA E CALCOLATORI</t>
  </si>
  <si>
    <t>ARCHEOLOGIA E CALCOLATORI</t>
  </si>
  <si>
    <t>An internship at the CNR-ISMA was the starting point for the Master's Graduation thesis Audience Development in Archaeology: Strategies Based on Digital Innovation (Universita Commerciale Luigi Bocconi). The three-month internship was linked to several different educational initiatives carried out by the Institute. A series of activities was designed expressly: namely, analysis of the database of the scholarly journal Archeologia e Calcolatori, with a special focus on the articles related to data dissemination and education in archaeology, as well as Virtual Reality and multimedia projects; field observation of Audience Development initiatives in archaeology through on-site multimedia projects, presented in the cultural itinerary for the Virtual Museum of Archaeological Computing (Virtual Journey at Domus Romane di Palazzo Valentini); and finally focus-group interviews both with high-school students, taking part to the Alternanza Scuola-Lavoro (ASL) program, and with expert scholars.</t>
  </si>
  <si>
    <t>[Pompili, Irene] Univ Commerciale Luigi Bocconi, Milan, Italy</t>
  </si>
  <si>
    <t>Pompili, I (corresponding author), Univ Commerciale Luigi Bocconi, Milan, Italy.</t>
  </si>
  <si>
    <t>irepompili108@gmail.com</t>
  </si>
  <si>
    <t>EDIZIONI ALL INSEGNA GIGLIO SAS-ITALIAN NATL RESEARCH COUNC</t>
  </si>
  <si>
    <t>BORGO SAN LORENZO</t>
  </si>
  <si>
    <t>VIA DELLA FANGOSA 38, BORGO SAN LORENZO, FI 50032, ITALY</t>
  </si>
  <si>
    <t>1120-6861</t>
  </si>
  <si>
    <t>2385-1953</t>
  </si>
  <si>
    <t>ARCHEOL CALC</t>
  </si>
  <si>
    <t>Archeol. Calc.</t>
  </si>
  <si>
    <t>KM1PB</t>
  </si>
  <si>
    <t>WOS:000513890800009</t>
  </si>
  <si>
    <t>Ribeiro, SS; Rezende, DA; Yao, JT</t>
  </si>
  <si>
    <t>Ribeiro, Sergio Silva; Rezende, Denis Alcides; Yao, Jingtao</t>
  </si>
  <si>
    <t>Toward a model of the municipal evidence-based decision process in the strategic digital city context</t>
  </si>
  <si>
    <t>INFORMATION POLITY</t>
  </si>
  <si>
    <t>Decision process; municipal strategies; municipal public services; information technology resources; evidence-based management; strategic digital city</t>
  </si>
  <si>
    <t>MANAGEMENT; CITIES; PARTICIPATION; INFORMATION; SCIENCE; SYSTEMS</t>
  </si>
  <si>
    <t>Technological and connected modern cities demand effective decisions by managers that are aligned with citizens demands. The strategic digital city that comprises strategies, information, services, and information technology resources can provide the necessary context so that decisions based on evidence are made possible at the municipal level of management. The objective of this study is to propose a municipal decision process model in the context of the strategic digital city. The research methodology employed was qualitative and applied to circumstantial theoretical reality, emphasizing exploratory and descriptive methods aided by bibliographic and documentary survey along with the non-participatory observation of the variables that make up the model. Similar models were identified and analyzed. The municipal decision process in the context of the strategic digital city was built from three constructs: decision, evidence, and strategic digital city. These constructs are interconnected by their thirteen variables, which are related to the conceptual base of the model developed. The conclusion reinforces the importance of using evidence to support the decision process, making it one of the strategic elements for digital cities aiming at improving their citizens quality of life.</t>
  </si>
  <si>
    <t>[Ribeiro, Sergio Silva; Yao, Jingtao] Univ Regina, Dept Comp Sci, Regina, SK, Canada; [Rezende, Denis Alcides] Pontificia Univ Catolica Parana, Urban Management Postgrad Program, Curitiba, Parana, Brazil</t>
  </si>
  <si>
    <t>University of Regina; Pontificia Universidade Catolica do Parana</t>
  </si>
  <si>
    <t>Ribeiro, SS (corresponding author), Univ Regina, Dept Comp Sci, Regina, SK, Canada.</t>
  </si>
  <si>
    <t>professor@sergioribeiro.com.br</t>
  </si>
  <si>
    <t>Yao, JingTao/A-8483-2008; Rezende, Denis Alcides/AAR-2488-2021</t>
  </si>
  <si>
    <t>Yao, JingTao/0000-0002-7823-4136; Rezende, Denis Alcides/0000-0002-3327-0424</t>
  </si>
  <si>
    <t>IOS PRESS</t>
  </si>
  <si>
    <t>NIEUWE HEMWEG 6B, 1013 BG AMSTERDAM, NETHERLANDS</t>
  </si>
  <si>
    <t>1570-1255</t>
  </si>
  <si>
    <t>1875-8754</t>
  </si>
  <si>
    <t>INFORM POLITY</t>
  </si>
  <si>
    <t>Inf. Polity</t>
  </si>
  <si>
    <t>10.3233/IP-190129</t>
  </si>
  <si>
    <t>IW2OM</t>
  </si>
  <si>
    <t>WOS:000484819400006</t>
  </si>
  <si>
    <t>Shepherd, T; Henderson, M</t>
  </si>
  <si>
    <t>Shepherd, Tamara; Henderson, Monica</t>
  </si>
  <si>
    <t>Digital Literacy in Digital Strategy</t>
  </si>
  <si>
    <t>Digital literacy; Policy; Technology; Internet; Regulation</t>
  </si>
  <si>
    <t>POLICY</t>
  </si>
  <si>
    <t>This article discusses the role of digital literacy as a digital strategy policy goal in Canada. It reviews previous framings of digital literacy and suggests how they could be broadened to avoid an overly superficial treatment of Canadians' negotiation of digital culture and policymaking.</t>
  </si>
  <si>
    <t>[Shepherd, Tamara; Henderson, Monica] Univ Calgary, Commun Media &amp; Film, Calgary, AB, Canada</t>
  </si>
  <si>
    <t>University of Calgary</t>
  </si>
  <si>
    <t>Shepherd, T (corresponding author), Univ Calgary, Commun Media &amp; Film, Calgary, AB, Canada.</t>
  </si>
  <si>
    <t>tamara.shepherd@ucalgary.ca; monica.henderson2@ucalgary.ca</t>
  </si>
  <si>
    <t>10.22230/cjc.2019v44n2a3491</t>
  </si>
  <si>
    <t>WOS:000473144200015</t>
  </si>
  <si>
    <t>Siefring, J</t>
  </si>
  <si>
    <t>Siefring, Judith</t>
  </si>
  <si>
    <t>Democratizing Discovery: The Impact of Digital Culture on the Research Library</t>
  </si>
  <si>
    <t>This chapter will consider the changing nature of the work of research libraries such as the Bodleian Libraries in response to the digital shift, and the requirement to refresh, extend, and enhance our skills beyond traditional librarianship. It will consider the importance of an integrated approach to physical and digital collections and curation, and the key importance of collaboration for future digital development. The Bodleian Libraries form part of the GLAM (Gardens, Libraries, and Museums) division of the University of Oxford, and we are encouraged to work collaboratively with our museum colleagues to meet the challenge of engaging the public with our world-class collections while at the same time serving our 'traditional' constituency of researchers and scholars of the University. This changing focus has required the Bodleian Libraries to reassess user needs and audience expectations as part of our digital strategy, and feeds into our thinking on search and discovery, metadata management, digitization, preservation, and many other areas.</t>
  </si>
  <si>
    <t>[Siefring, Judith] Univ Oxford, Bodleian Lib, Oxford, England</t>
  </si>
  <si>
    <t>University of Oxford</t>
  </si>
  <si>
    <t>Siefring, J (corresponding author), Univ Oxford, Bodleian Lib, Oxford, England.</t>
  </si>
  <si>
    <t>judith.siefring@bodleian.ox.ac.uk</t>
  </si>
  <si>
    <t>10.1007/978-3-319-97457-6_25</t>
  </si>
  <si>
    <t>WOS:000486078600026</t>
  </si>
  <si>
    <t>Silvaggi, A; Pesce, F</t>
  </si>
  <si>
    <t>Silvaggi, Antonia; Pesce, Federica</t>
  </si>
  <si>
    <t>Job profiles for museums in the digital era: research conducted in Portugal, Italy and Greece within the Mu.SA project</t>
  </si>
  <si>
    <t>ENCATC JOURNAL OF CULTURAL MANAGEMENT AND POLICY</t>
  </si>
  <si>
    <t>Museum; Job profiles; Digital skills; Transferable competences; Digital culture</t>
  </si>
  <si>
    <t>Due to the increasing use of technologies in the museum sector, new job profiles are now emerging within that sector. This paper describes the key findings of the research activities carried out in Greece, Portugal and Italy within the Mu.SA - Museum Sector Alliance - project funded by the European Erasmus Plus Programme - Sector Skills Alliances. Our research addressed the questions of what skills and know-how are needed by museum professionals in the process of digital transformation of their sector and what emerging job profiles would help museums to thrive in the digital environment. The research validated four job profiles such as Digital Strategy Manager, Digital Collections Curator, Digital Interactive Experience Developer and Online Community Manager. It also showed that there are some digital and transferable competences common to the four museum job profiles, but, most importantly, that an awareness of digital culture should be developed throughout the whole of a museum's workforce.</t>
  </si>
  <si>
    <t>[Silvaggi, Antonia; Pesce, Federica] Melting Pro, Rome, Italy</t>
  </si>
  <si>
    <t>Silvaggi, A (corresponding author), Melting Pro, Rome, Italy.</t>
  </si>
  <si>
    <t>a.silvaggi@meltingpro.org; f.pesce@meltingpro.org</t>
  </si>
  <si>
    <t>Marinho, Ana/AGC-0349-2022</t>
  </si>
  <si>
    <t>ENCATC</t>
  </si>
  <si>
    <t>BRUSSELS</t>
  </si>
  <si>
    <t>1 AVE MAURICE, BRUSSELS, 1050, BELGIUM</t>
  </si>
  <si>
    <t>2224-2554</t>
  </si>
  <si>
    <t>ENCATC J CULT MANAG</t>
  </si>
  <si>
    <t>ENCATC J. Cult. Manag. Policy</t>
  </si>
  <si>
    <t>HE8KL</t>
  </si>
  <si>
    <t>WOS:000453695600005</t>
  </si>
  <si>
    <t>Castellano, CM; Folch, CS</t>
  </si>
  <si>
    <t>Martorell Castellano, Cristina; Serra Folch, Carolina</t>
  </si>
  <si>
    <t>The use of netnography as a research method to analyze online brand communities: the case of Estrella Damm</t>
  </si>
  <si>
    <t>COMUNICACIO-REVISTA DE RECERCA I D ANALISI</t>
  </si>
  <si>
    <t>Catalan</t>
  </si>
  <si>
    <t>online community; brand; netnography; methodology; social network; Facebook</t>
  </si>
  <si>
    <t>This paper introduces a research technique, netnography, that can be used to analyze online brand communities. We will describe how It works, its limitations and some ethical considerations, and we will propose a functional model for analyzing online brand communities that we will later apply to the analysis of the Estrella Damm community on Facebook at two specific moments, June 2012 and May 2017, in order to observe Its evolution. The results obtained show that, In the last five years, the brand has revised and Improved its digital strategy, as we have noticed a clear commitment to create original content for Its digital profiles and a proactive attitude with Its fans: i.e. joining their conversations. These were aspects which were not observed in the analysis carried out In 2012.</t>
  </si>
  <si>
    <t>[Martorell Castellano, Cristina] UIC, Fac Ciencies Comunicacio, Barcelona, Spain; [Serra Folch, Carolina] UIC, Fac Ciencies Comunicacio, Publicitat &amp; Relac Publ, Barcelona, Spain</t>
  </si>
  <si>
    <t>Universitat Internacional de Catalunya (UIC); Universitat Internacional de Catalunya (UIC)</t>
  </si>
  <si>
    <t>Castellano, CM (corresponding author), Carrer Immaculada 22, E-08017 Barcelona, Spain.</t>
  </si>
  <si>
    <t>cmartorell@uic.es; cserra@uic.es</t>
  </si>
  <si>
    <t>serra folch, carolina/ABF-8255-2021; Martorell Castellano, Cristina/ABF-6028-2021</t>
  </si>
  <si>
    <t>Martorell Castellano, Cristina/0000-0001-6403-3387</t>
  </si>
  <si>
    <t>SOC CATALANA COMUNICACIO</t>
  </si>
  <si>
    <t>BARCELONA</t>
  </si>
  <si>
    <t>CARRER DEL CARME 47, BARCELONA, 08001, SPAIN</t>
  </si>
  <si>
    <t>2014-0304</t>
  </si>
  <si>
    <t>2014-0444</t>
  </si>
  <si>
    <t>COMUNICACIO</t>
  </si>
  <si>
    <t>Comunicacio</t>
  </si>
  <si>
    <t>10.2436/20.3008.01.173</t>
  </si>
  <si>
    <t>HC5WC</t>
  </si>
  <si>
    <t>WOS:000451872100004</t>
  </si>
  <si>
    <t>Meessen, B</t>
  </si>
  <si>
    <t>Meessen, Bruno</t>
  </si>
  <si>
    <t>The Role of Digital Strategies in Financing Health Care for Universal Health Coverage in Low- and Middle-Income Countries</t>
  </si>
  <si>
    <t>GLOBAL HEALTH-SCIENCE AND PRACTICE</t>
  </si>
  <si>
    <t>INTERVENTIONS; PERFORMANCE; PROTECTION; INSURANCE; FRAMEWORK; ACCESS</t>
  </si>
  <si>
    <t>Countries finance health care using a combination of 3 main functions: raising resources for health, pooling resources, and purchasing health services. In this paper, we examine how digital health technologies can be used to enhance these health financing functions in low- and middle-income countries and can thus contribute to progress toward universal health coverage. We illustrate our points by presenting some recent innovations in digital technologies for financing health care, identifying their contributions and their limits. Some examples include a mobile-health wallet application used in Kenya that encourages households to put money aside for future health expenses; an online software platform developed by a startup in Tanzania in partnership with a private insurance provider to give individuals and families the opportunity to choose among different health coverage options; and digital maps by a number of start-ups that bring together data on health facility locations and capacity, including equipment, staff, and types of services offered. We also sketch an agenda for future research and action for digital strategies for health financing. The development and adoption of effective solutions that align well with the universal health coverage agenda will require strong partnerships between stakeholders and enough proactive stewardship by authorities.</t>
  </si>
  <si>
    <t>[Meessen, Bruno] Inst Trop Med, Antwerp, Belgium</t>
  </si>
  <si>
    <t>Institute of Tropical Medicine (ITM)</t>
  </si>
  <si>
    <t>Meessen, B (corresponding author), Inst Trop Med, Antwerp, Belgium.</t>
  </si>
  <si>
    <t>bmeessen@itg.be</t>
  </si>
  <si>
    <t>owoyele, babajide/AAD-7054-2020</t>
  </si>
  <si>
    <t>owoyele, babajide/0000-0002-3688-5248; Meessen, Bruno/0000-0002-0359-8621</t>
  </si>
  <si>
    <t>Aetna Foundation; World Health Organization; Johns Hopkins University Global mHealth Initiative</t>
  </si>
  <si>
    <t>Aetna Foundation; World Health Organization(World Health Organization); Johns Hopkins University Global mHealth Initiative</t>
  </si>
  <si>
    <t>This work was made possible by a grant from the Aetna Foundation, with support from the World Health Organization and The Johns Hopkins University Global mHealth Initiative.</t>
  </si>
  <si>
    <t>US AGENCY INT DEVELOPMENT-USAID</t>
  </si>
  <si>
    <t>BALTIMORE</t>
  </si>
  <si>
    <t>US AGENCY INT DEVELOPMENT-USAID, BALTIMORE, MD 00000 USA</t>
  </si>
  <si>
    <t>2169-575X</t>
  </si>
  <si>
    <t>GLOB HEALTH-SCI PRAC</t>
  </si>
  <si>
    <t>Glob. Health</t>
  </si>
  <si>
    <t>S29</t>
  </si>
  <si>
    <t>S40</t>
  </si>
  <si>
    <t>10.9745/GHSP-D-18-00271</t>
  </si>
  <si>
    <t>HU0TY</t>
  </si>
  <si>
    <t>WOS:000464985500004</t>
  </si>
  <si>
    <t>Orton, M; Agarwal, S; Muhoza, P; Vasudevan, L; Vu, A</t>
  </si>
  <si>
    <t>Orton, Maeghan; Agarwal, Smisha; Muhoza, Pierre; Vasudevan, Lavanya; Vu, Alexander</t>
  </si>
  <si>
    <t>Strengthening Delivery of Health Services Using Digital Devices</t>
  </si>
  <si>
    <t>RANDOMIZED CONTROLLED-TRIAL; MOBILE PHONE; IMPROVE ATTENDANCE; MHEALTH STRATEGIES; MESSAGING SERVICE; REMOTE AREAS; PRIMARY-CARE; TEXT; TOOL; SUPPORT</t>
  </si>
  <si>
    <t>Background: Delivery of high-quality efficient health services is a cornerstone of the global agenda to achieve universal health coverage. According to the World Health Organization, health service delivery is considered good when equitable access to a comprehensive range of high-quality health services is ensured within an integrated and person-centered continuum of care. However, good health service delivery can be challenging in low-resource settings. In this review, we summarize and discuss key advances in health service delivery, particularly in the context of using digital health strategies for mitigating human resource constraints. Methods: The review updates the foundational systematic review conducted by Agarwal et al. in 2015. We used PubMed, EMBASE, and CINAHL to find relevant English-language peer-reviewed articles published 2018. Our search strategy for MEDLINE was based on MeSH (medical subject headings) terms and text words of key articles that we identified a priori. Our search identified 92 articles. After screening, we selected 24 articles for abstract review, of which only 6 met the eligibility criteria and were ultimately included in this review. Results: Despite encouraging advances in the evidence base on digital strategies for health service delivery, the current body of evidence is still quite limited in 3 main areas: the effectiveness of interventions on health outcomes, improvement in health system efficiencies for service delivery, and the human capacity required to implement and support digital health strategies at scale. Two particular areas, digital health-enhanced referral coordination and mobile clinical decision support systems, demonstrate considerable potential to improve the quality and comprehensiveness of care received by patients, but they require a greater level of standardization and an expanded scope of health worker engagement across the health system in order to scale them up effectively. Conclusions: Additional research is urgently needed to inform the effectiveness of interventions on health outcomes, improvement in health system efficiencies, and cost-effectiveness of service delivery. In particular, more documentation and research on ways to standardize and engage health workers in digital referral and clinical decision support systems can provide the foundation needed to scale these promising approaches in low- and middle-income settings.</t>
  </si>
  <si>
    <t>[Orton, Maeghan] WHO, Dept Reprod Hlth &amp; Res, Geneva, Switzerland; [Agarwal, Smisha] Johns Hopkins Global Digital Hlth Initiat, Baltimore, MD USA; [Muhoza, Pierre; Vu, Alexander] Johns Hopkins Bloomberg Sch Publ Hlth, Baltimore, MD USA; [Vasudevan, Lavanya] Duke Univ, Sch Med, Dept Community &amp; Family Med, Durham, NC 27710 USA; [Vasudevan, Lavanya] Duke Global Hlth Inst, Ctr Hlth Policy &amp; Inequal Res, Durham, NC 27710 USA; [Vu, Alexander] Johns Hopkins Sch Med, Baltimore, MD USA; [Vu, Alexander] Amer Univ Beirut, Sch Med, Beirut, Lebanon</t>
  </si>
  <si>
    <t>World Health Organization; Johns Hopkins University; Johns Hopkins Bloomberg School of Public Health; Duke University; Duke University; Johns Hopkins University; Johns Hopkins Medicine; American University of Beirut</t>
  </si>
  <si>
    <t>Vasudevan, L (corresponding author), Duke Univ, Sch Med, Dept Community &amp; Family Med, Durham, NC 27710 USA.;Vasudevan, L (corresponding author), Duke Global Hlth Inst, Ctr Hlth Policy &amp; Inequal Res, Durham, NC 27710 USA.</t>
  </si>
  <si>
    <t>Lavanya.vasude@gmail.com</t>
  </si>
  <si>
    <t>Vasudevan, Lavanya/AAI-9590-2021</t>
  </si>
  <si>
    <t>Vasudevan, Lavanya/0000-0003-2900-6070; Agarwal, Smisha/0000-0002-7407-0066</t>
  </si>
  <si>
    <t>Aetna Foundation; World Health Organization; Johns Hopkins University Global mHealth Initiative; National Center for Advancing Translational Sciences of the National Institutes of Health [1KL2TR002554]</t>
  </si>
  <si>
    <t>Aetna Foundation; World Health Organization(World Health Organization); Johns Hopkins University Global mHealth Initiative; National Center for Advancing Translational Sciences of the National Institutes of Health(United States Department of Health &amp; Human ServicesNational Institutes of Health (NIH) - USANIH National Center for Advancing Translational Sciences (NCATS))</t>
  </si>
  <si>
    <t>This work was made possible by a grant from the Aetna Foundation, with support from the World Health Organization and The Johns Hopkins University Global mHealth Initiative. In addition, Vasudevan's effort on this publication was supported in part by the National Center for Advancing Translational Sciences of the National Institutes of Health under Award Number 1KL2TR002554.</t>
  </si>
  <si>
    <t>JOHNS HOPKINS CENTER COMMUNICATION PROGRAMS-CCP</t>
  </si>
  <si>
    <t>KNOWLEDGE SUCCESS PROJECT, 111 MARKET PLACE, STE 310, BALTIMORE, MD, UNITED STATES</t>
  </si>
  <si>
    <t>S61</t>
  </si>
  <si>
    <t>S71</t>
  </si>
  <si>
    <t>10.9745/GHSP-D-18-00229</t>
  </si>
  <si>
    <t>WOS:000464985500007</t>
  </si>
  <si>
    <t>Arostegi, M; Torre-Bastida, A; Bilbao, MN; Del Ser, J</t>
  </si>
  <si>
    <t>Arostegi, Maria; Torre-Bastida, Ana; Nekane Bilbao, Miren; Del Ser, Javier</t>
  </si>
  <si>
    <t>A heuristic approach to the multicriteria design of IaaS cloud infrastructures for Big Data applications</t>
  </si>
  <si>
    <t>EXPERT SYSTEMS</t>
  </si>
  <si>
    <t>Big Data; Cloud Computing; IaaS; multiobjective heuristics; NSGA-II</t>
  </si>
  <si>
    <t>NSGA-II; PERFORMANCE; ALGORITHM; SELECTION; FUTURE; SYSTEM</t>
  </si>
  <si>
    <t>The rapid growth of new computing paradigms such as Cloud Computing and Big Data has unleashed great opportunities for companies to shift their business model towards a fully digital strategy. A major obstacle in this matter is the requirement of highly specialized ICT infrastructures that are expensive and difficult to manage. It is at this point that the IaaS (infrastructure as a service) model offers an efficient and cost-affordable solution to supply companies with their required computing resources. In the Big Data context, it is often a hard task to design an optimal IaaS solution that meets user requirements. In this context, we propose a methodology to optimize the definition of IaaS cloud models for hosting Big Data platforms, following a threefold criterion: cost, reliability, and computing capacity. Specifically, the proposed methodology hinges on evolutionary heuristics in order to find IaaS configurations in the cloud that optimally balance such objectives. We also define measures to quantify the aforementioned metrics over a Big Data platform hosted within an IaaS cloud model. The proposed method is validated by using real information from three IaaS providers and three Big Data platforms. The obtained results provide an insightful input for system managers when initially designing cloud infrastructures for Big Data applications.</t>
  </si>
  <si>
    <t>[Arostegi, Maria; Torre-Bastida, Ana; Del Ser, Javier] TECNALIA, OPTIMA Dept, Derio, Spain; [Nekane Bilbao, Miren; Del Ser, Javier] Univ Basque Country, UPV EHU, Dept Commun Engn, Bilbao, Spain; [Del Ser, Javier] BCAM, Data Sci Grp, Bilbao, Spain</t>
  </si>
  <si>
    <t>University of Basque Country</t>
  </si>
  <si>
    <t>Del Ser, J (corresponding author), TECNALIA, Derio 48160, Bizkaia, Spain.</t>
  </si>
  <si>
    <t>javier.delser@tecnalia.com</t>
  </si>
  <si>
    <t>Del Ser, Javier/AAA-2965-2021</t>
  </si>
  <si>
    <t>Del Ser, Javier/0000-0002-1260-9775; BILBAO MARON, MIREN NEKANE/0000-0002-0519-8728; Arostegi, Maria/0000-0001-6691-4276; Torre-Bastida, Phd. Ana I./0000-0003-3005-1100</t>
  </si>
  <si>
    <t>Basque Government under the ELKARTEK program (BID3ABI project)</t>
  </si>
  <si>
    <t>This work has been funded in part by the Basque Government under the ELKARTEK program (BID3ABI project).</t>
  </si>
  <si>
    <t>0266-4720</t>
  </si>
  <si>
    <t>1468-0394</t>
  </si>
  <si>
    <t>EXPERT SYST</t>
  </si>
  <si>
    <t>Expert Syst.</t>
  </si>
  <si>
    <t>e12259</t>
  </si>
  <si>
    <t>10.1111/exsy.12259</t>
  </si>
  <si>
    <t>Computer Science, Artificial Intelligence; Computer Science, Theory &amp; Methods</t>
  </si>
  <si>
    <t>GW0MF</t>
  </si>
  <si>
    <t>WOS:000446560700001</t>
  </si>
  <si>
    <t>Bucci, S; Barrowclough, C; Ainsworth, J; Machin, M; Morris, R; Berry, K; Emsley, R; Lewis, S; Edge, D; Buchan, I; Haddock, G</t>
  </si>
  <si>
    <t>Bucci, Sandra; Barrowclough, Christine; Ainsworth, John; Machin, Matthew; Morris, Rohan; Berry, Katherine; Emsley, Richard; Lewis, Shon; Edge, Dawn; Buchan, Iain; Haddock, Gillian</t>
  </si>
  <si>
    <t>Actissist: Proof-of-Concept Trial of a Theory-Driven Digital Intervention for Psychosis</t>
  </si>
  <si>
    <t>SCHIZOPHRENIA BULLETIN</t>
  </si>
  <si>
    <t>psychosis; relapse; mHealth; digital intervention; randomized controlled trial; early psychosis</t>
  </si>
  <si>
    <t>MENTAL-HEALTH INTERVENTIONS; MEDICATION ADHERENCE; EXPRESSED EMOTION; RATING-SCALE; METAANALYSIS; PEOPLE; RELIABILITY; SYMPTOMS; VALIDITY; THERAPY</t>
  </si>
  <si>
    <t>Background: Timely access to intervention for psychosis is crucial yet problematic. As such, health care providers are forming digital strategies for addressing mental health challenges. A theory-driven digital intervention that monitors distressing experiences and provides real-time active management strategies could improve the speed and quality of recovery in psychosis, over and above conventional treatments. This study assesses the feasibility and acceptability of Actissist, a digital health intervention grounded in the cognitive model of psychosis that targets key early psychosis domains. Methods: A proof-of-concept, single, blind, randomized controlled trial of Actissist, compared to a symptom-monitoring control. Thirty-six early psychosis patients were randomized on a 2: 1 ratio to each arm of the trial. Actissist was delivered via a smartphone app over 12-weeks; clinical and functional assessment time-points were baseline, post-treatment and 22-weeks. Assessors' blind to treatment condition conducted the assessments. Acceptability was examined using qualitative methods. Results: Actissist was feasible (75% participants used Actissist at least once/day; uptake was high, 97% participants remained in the trial; high follow-up rates), acceptable (90% participants recommend Actissist), and safe (0 serious adverse events), with high levels of user satisfaction. Treatment effects were large on negative symptoms, general psychotic symptoms and mood. The addition of Actissist conferred benefit at post-treatment assessment over routine symptom-monitoring and treatment as usual. Conclusions: This is the first controlled proof-of-concept trial of a theory-driven digital health intervention for early psychosis. Actissist is feasible and acceptable to early psychosis patients, with a strong signal for treatment efficacy. Trial Registration: ISRCTN: 34966555.</t>
  </si>
  <si>
    <t>[Bucci, Sandra; Barrowclough, Christine; Morris, Rohan; Berry, Katherine; Lewis, Shon; Edge, Dawn; Haddock, Gillian] Univ Manchester, Manchester Acad Hlth Sci Ctr, Sch Hlth Sci, Div Psychol &amp; Mental Hlth, Manchester, Lancs, England; [Ainsworth, John; Machin, Matthew] Univ Manchester, Div Informat Imaging &amp; Data Sci, Manchester, Lancs, England; [Ainsworth, John; Machin, Matthew] Univ Manchester, Farr Inst Hlth Informat Res, Hlth eRes Ctr, Manchester, Lancs, England; [Emsley, Richard] Univ Manchester, Div Populat Hlth, Hlth Serv Res &amp; Primary Care, Manchester, Lancs, England; [Buchan, Iain] Microsoft Res, Cambridge, England</t>
  </si>
  <si>
    <t>University of Manchester; University of Manchester; University of Manchester; University of Manchester; Microsoft</t>
  </si>
  <si>
    <t>Bucci, S (corresponding author), Univ Manchester, Div Psychol &amp; Mental Hlth, 2nd Floor,Zochonis Bldg,Brunswick St, Manchester M13 9PL, Lancs, England.</t>
  </si>
  <si>
    <t>sandra.bucci@manchester.ac.uk</t>
  </si>
  <si>
    <t>Morris, Rohan/AAA-7914-2019; Buchan, Iain E/H-5767-2013; Emsley, Richard/N-1342-2016</t>
  </si>
  <si>
    <t>Buchan, Iain E/0000-0003-3392-1650; Emsley, Richard/0000-0002-1218-675X; Lewis, Shon/0000-0003-1861-4652; Ainsworth, John/0000-0002-2187-9195; Haddock, Professor Gillian/0000-0001-6234-5774; berry, katherine/0000-0002-7399-5462; Machin, Matthew/0000-0001-6600-9508</t>
  </si>
  <si>
    <t>Medical Research Council Developmental Pathway Funding Scheme [MR/L005301/1]; University of Manchester; Greater Manchester Mental Health NHS Foundation Trust; Medical Research Council [MR/L005301/1] Funding Source: researchfish; MRC [MR/L005301/1, MR/P026664/1] Funding Source: UKRI</t>
  </si>
  <si>
    <t>Medical Research Council Developmental Pathway Funding Scheme(UK Research &amp; Innovation (UKRI)Medical Research Council UK (MRC)); University of Manchester; Greater Manchester Mental Health NHS Foundation Trust; Medical Research Council(UK Research &amp; Innovation (UKRI)Medical Research Council UK (MRC)); MRC(UK Research &amp; Innovation (UKRI)Medical Research Council UK (MRC))</t>
  </si>
  <si>
    <t>The work was supported by the Medical Research Council Developmental Pathway Funding Scheme (grant number MR/L005301/1) and was supported by the University of Manchester and Greater Manchester Mental Health NHS Foundation Trust.</t>
  </si>
  <si>
    <t>0586-7614</t>
  </si>
  <si>
    <t>1745-1701</t>
  </si>
  <si>
    <t>SCHIZOPHRENIA BULL</t>
  </si>
  <si>
    <t>Schizophr. Bull.</t>
  </si>
  <si>
    <t>10.1093/schbul/sby032</t>
  </si>
  <si>
    <t>GR8TN</t>
  </si>
  <si>
    <t>WOS:000443003600020</t>
  </si>
  <si>
    <t>Gutiérrez-Leefmans, C; Nava-Rogel, RM; Trujillo-León, MA</t>
  </si>
  <si>
    <t>Gutierrez-Leefmans, Catalina; Maria Nava-Rogel, Rosa; Andrea Trujillo-Leon, Maria</t>
  </si>
  <si>
    <t>HOW ARE DYNAMIC CAPABILITIES AND DIGITAL MARKETING RELATED? A REFLECTION FROM LITERATURE</t>
  </si>
  <si>
    <t>REVISTA ELETRONICA DE ESTRATEGIA E NEGOCIOS-REEN</t>
  </si>
  <si>
    <t>Dynamic Capabilitie; Digital Marketing; Marketing Capabilities; Dynamic Marketing Capabilities; Digital Strategy</t>
  </si>
  <si>
    <t>RESOURCE-BASED VIEW; BUSINESS STRATEGY; ADOPTION; IMPACT; TECHNOLOGY; SMES</t>
  </si>
  <si>
    <t>This study aims to explore the relationship between dynamic capabilities and digital marketing. From the literature review on dynamic marketing capabilities, marketing capabilities and digital marketing capabilities it is inferred that without considering the denomination, they all include the dynamic component factors. The review also results on the consideration that these capabilities already involve the use of ICTs and digital tools for their development. It is concluded that digital marketing directly supports the marketing capabilities required by the context and therefore the business strategy directed to a better performance of firms.</t>
  </si>
  <si>
    <t>[Gutierrez-Leefmans, Catalina; Maria Nava-Rogel, Rosa] Univ Autonoma Estado Mexico, Escola Contabilidade &amp; Adm, Cerro Coatepec S-N, Toluca, Mexico; [Andrea Trujillo-Leon, Maria] Tec Monterrey Campus Santa Fe ITESM, ITESM Campus Santa Fe,Av Carlos Lazo 100, Ciudad De Mexico 01389, Cdmx, Mexico</t>
  </si>
  <si>
    <t>Gutiérrez-Leefmans, C (corresponding author), Univ Autonoma Estado Mexico, Escola Contabilidade &amp; Adm, Cerro Coatepec S-N, Toluca, Mexico.</t>
  </si>
  <si>
    <t>cgluniv@gmail.com; rmnavar@uaemex.mx; andrea.trujillo@itesm.mx</t>
  </si>
  <si>
    <t>Gutierrez-Leefmans, Catalina/N-6287-2018; Rosa María, Nava-Rogel/O-4885-2015</t>
  </si>
  <si>
    <t>Gutierrez-Leefmans, Catalina/0000-0001-9588-6753; Rosa María, Nava-Rogel/0000-0003-2611-3903</t>
  </si>
  <si>
    <t>UNIV SUL SANTA CATARINA-UNISUL</t>
  </si>
  <si>
    <t>FLORIANOPOLIS</t>
  </si>
  <si>
    <t>RUA TRAJANO 219, FLORIANOPOLIS, SC 00000, BRAZIL</t>
  </si>
  <si>
    <t>1984-3372</t>
  </si>
  <si>
    <t>REV ELETRONICA ESTRA</t>
  </si>
  <si>
    <t>Rev. Eletronica Estrateg. Neg.-REEN</t>
  </si>
  <si>
    <t>10.19177/reen.v11e32018265-283</t>
  </si>
  <si>
    <t>HZ0RQ</t>
  </si>
  <si>
    <t>WOS:000468549900010</t>
  </si>
  <si>
    <t>Rodríguez-Andrés, R</t>
  </si>
  <si>
    <t>Rodriguez-Andres, Roberto</t>
  </si>
  <si>
    <t>Trump 2016: ?President Elected Thanks to Social Media?</t>
  </si>
  <si>
    <t>PALABRA CLAVE</t>
  </si>
  <si>
    <t>Social media; Internet; Twitter; Facebook; Trump; political communication</t>
  </si>
  <si>
    <t>TWITTER; CLINTON; AGE</t>
  </si>
  <si>
    <t>The Internet and social media, particularly Twitter and Facebook, have been identified as one of the factors that contributed to Donald Trump's triumph in the United States presidential elections of 2016. In this paper, we describe how the Republican candidate used social media and what his digital strategies were, after directly monitoring the campaign and reviewing journalistic information, as well as the analysis of the academic research carried out so far. Based on this review, it is possible to conclude that social media played a significant role in these elections, expanding its power of influence as compared to the previous elections of 2008 and 2012, when Obama used them extensively, and which Trump used better than Hillary Clinton to move his priority audience, to discourage his rival's audience, and to send his messages, thus making it an important part of his victory. It is also concluded, however, that it is wrong to say that social themselves were the main reason for the Republican candidate's success, as there are other substantial reasons to his triumph which are linked to the socio-political context in which these elections took place.</t>
  </si>
  <si>
    <t>[Rodriguez-Andres, Roberto] Univ Pontificia Comilla, Madrid, Spain</t>
  </si>
  <si>
    <t>Comillas Pontifical University</t>
  </si>
  <si>
    <t>Rodríguez-Andrés, R (corresponding author), Univ Pontificia Comilla, Madrid, Spain.</t>
  </si>
  <si>
    <t>rrodrigueza@comillas.edu</t>
  </si>
  <si>
    <t>Rodríguez-Andrés, Roberto/AAA-9002-2019; ANDRÉS, Roberto RODRÍGUEZ/A-1346-2014</t>
  </si>
  <si>
    <t>Rodríguez-Andrés, Roberto/0000-0003-4262-8237; ANDRÉS, Roberto RODRÍGUEZ/0000-0003-4262-8237</t>
  </si>
  <si>
    <t>UNIV SABANA, FAC COMUNICACION</t>
  </si>
  <si>
    <t>CUNDINAMARCA</t>
  </si>
  <si>
    <t>CAMPUS PUENTE COMUN, KM 7, AUTOPISTA NORTE BOGOTA CHIA, CUNDINAMARCA, 00000, COLOMBIA</t>
  </si>
  <si>
    <t>0122-8285</t>
  </si>
  <si>
    <t>2027-534X</t>
  </si>
  <si>
    <t>Palabra Clave</t>
  </si>
  <si>
    <t>10.5294/pacla.2018.21.3.8</t>
  </si>
  <si>
    <t>GK6HE</t>
  </si>
  <si>
    <t>Green Submitted, gold, Green Published</t>
  </si>
  <si>
    <t>WOS:000436284200007</t>
  </si>
  <si>
    <t>Flores, Carla C.; Rezende, Denis A.</t>
  </si>
  <si>
    <t>Twitter information for contributing to the strategic digital city: Towards citizens as co-managers</t>
  </si>
  <si>
    <t>TELEMATICS AND INFORMATICS</t>
  </si>
  <si>
    <t>Twitter; Strategic digital city; Citizen participation; Information technology; Information quality attributes</t>
  </si>
  <si>
    <t>SOCIAL MEDIA; GOVERNMENT</t>
  </si>
  <si>
    <t>Actions towards an effective city management require a focus on citizens, and it is a role of local governments to search for ways to provide their participation in the decision-making process. Among other information technology resources, local governments use social platforms thus facing the challenge of extracting and classifying information for strategic use. The objective of this study is to analyze Twitter information to contribute to the strategic digital city. The research methodology used was a case study of a Brazilian city. Twitter was analyzed, and the information assessed according to its characteristics, source, nature, quality, intelligence and organizational level. Results reveal Twitter allows communication, rudiments of public services and exchange and sharing information on municipal themes inherent to strategic digital cities. Information has quality and intelligence to serve the strategic level of government. The conclusion confirms that Twitter enhances transparency and strengthens bonds between local government and citizens.</t>
  </si>
  <si>
    <t>[Flores, Carla C.; Rezende, Denis A.] Pontificia Univ Catolica Parana PUCPR, Postgrad Program Urban Management &amp; Publ Adm, Curitiba, Parana, Brazil</t>
  </si>
  <si>
    <t>Flores, CC (corresponding author), Pontificia Univ Catolica Parana PUCPR, Postgrad Program Urban Management &amp; Publ Adm, Curitiba, Parana, Brazil.</t>
  </si>
  <si>
    <t>Rezende, Denis Alcides/AAR-2488-2021</t>
  </si>
  <si>
    <t>CNPq-Brazil; FA-Parana</t>
  </si>
  <si>
    <t>CNPq-Brazil(Conselho Nacional de Desenvolvimento Cientifico e Tecnologico (CNPQ)); FA-Parana</t>
  </si>
  <si>
    <t>This work was supported by CNPq-Brazil (research fellow) and FA-Parana.</t>
  </si>
  <si>
    <t>ELSEVIER SCIENCE BV</t>
  </si>
  <si>
    <t>PO BOX 211, 1000 AE AMSTERDAM, NETHERLANDS</t>
  </si>
  <si>
    <t>0736-5853</t>
  </si>
  <si>
    <t>TELEMAT INFORM</t>
  </si>
  <si>
    <t>Telemat. Inform.</t>
  </si>
  <si>
    <t>10.1016/j.tele.2018.01.005</t>
  </si>
  <si>
    <t>GM8LQ</t>
  </si>
  <si>
    <t>WOS:000438480500002</t>
  </si>
  <si>
    <t>Carmona, KMO; Armenta, JA; Mendez, MEP; Gastelu, CAT</t>
  </si>
  <si>
    <t>Olivares Carmona, Karen Michelle; Angulo Armenta, Joel; Prieto Mendez, Manuel Emilio; Torres Gastelu, Carlos Arturo</t>
  </si>
  <si>
    <t>EDUCATIC: IMPLEMENTATION OF A TECNO-EDUCATIONAL STRATEGY FOR UNIVERSITY DIGITAL COMPETENCE DEVELOPMENT</t>
  </si>
  <si>
    <t>Social media; media education; sex education; image; gender stereotypes; digital identity; social roles; youth</t>
  </si>
  <si>
    <t>A cross-sectional study was conducted with an application and quasi-experimental design reach. The objective was to implement a tecno-educational strategy through an instructional design called EducaTic. The final goal being the strengthening of the digital competence of students from a Mexican university. The sample was formed by 59 students from the first semester of the bachelor's in psychology program. The instruments designed for this purpose were: Likert scale of the level of competence to evaluate perception, knowledge evaluation and score scale to valuate abilities. The results showed no significant differences and it was concluded that it is imperative for proposals such as EducaTic to be implemented for the complete duration of the academic program by digitally competent professors. Keywords: instructional design, tecno-educational strategy, digital competence, ICT, higher education. the gender differences detected between boys and girls selfies, also treating the rituality of the take a selfie process and sociocultural references detected which point to an specific idea of sexuality.</t>
  </si>
  <si>
    <t>[Olivares Carmona, Karen Michelle; Angulo Armenta, Joel] Inst Tecnol Sonora, 5 Febrero 818 Sur, Obregon 85000, Sonora, Mexico; [Prieto Mendez, Manuel Emilio] Univ Castilla La Mancha, Camino Moledores S-N, Ciudad Real 13051, Spain; [Torres Gastelu, Carlos Arturo] Univ Veracruzana, Puesta del Sol S-N, Xalapa 91780, Veracruz, Mexico</t>
  </si>
  <si>
    <t>Universidad de Castilla-La Mancha; Universidad Veracruzana</t>
  </si>
  <si>
    <t>Carmona, KMO (corresponding author), Inst Tecnol Sonora, 5 Febrero 818 Sur, Obregon 85000, Sonora, Mexico.</t>
  </si>
  <si>
    <t>karen.olivares@itson.edu.mx; joel.angulo@itson.edu.mx; mprieto@uclm.com; ctorres@uv.mx</t>
  </si>
  <si>
    <t>Gastelú, Carlos Arturo Torres/N-2459-2015; Gastelú, Carlos Arturo Torres/ABE-6449-2020; Prieto-Mendez, Manuel E./A-8047-2011</t>
  </si>
  <si>
    <t>Gastelú, Carlos Arturo Torres/0000-0003-2527-9602; Prieto-Mendez, Manuel E./0000-0003-0343-1482</t>
  </si>
  <si>
    <t>10.12795/pixelbit.2018.i53.02</t>
  </si>
  <si>
    <t>GU3DM</t>
  </si>
  <si>
    <t>WOS:000445155400002</t>
  </si>
  <si>
    <t>Bossetta, M</t>
  </si>
  <si>
    <t>Bossetta, Michael</t>
  </si>
  <si>
    <t>The Digital Architectures of Social Media: Comparing Political Campaigning on Facebook, Twitter, Instagram, and Snapchat in the 2016 US Election</t>
  </si>
  <si>
    <t>JOURNALISM &amp; MASS COMMUNICATION QUARTERLY</t>
  </si>
  <si>
    <t>political communication; affordances; primaries; digital marketing</t>
  </si>
  <si>
    <t>AFFORDANCES; ONLINE; COMMUNICATION; DELIBERATION; POWER</t>
  </si>
  <si>
    <t>The present study argues that political communication on social media is mediated by a platform's digital architecturethe technical protocols that enable, constrain, and shape user behavior in a virtual space. A framework for understanding digital architectures is introduced, and four platforms (Facebook, Twitter, Instagram, and Snapchat) are compared along the typology. Using the 2016 U.S. election as a case, interviews with three Republican digital strategists are combined with social media data to qualify the study's theoretical claim that a platform's network structure, functionality, algorithmic filtering, and datafication model affect political campaign strategy on social media.</t>
  </si>
  <si>
    <t>[Bossetta, Michael] Univ Copenhagen, Ctr European Polit, Dept Polit Sci, Copenhagen, Denmark</t>
  </si>
  <si>
    <t>University of Copenhagen</t>
  </si>
  <si>
    <t>Bossetta, M (corresponding author), Univ Copenhagen, Dept Polit Sci, Oster Farimagsgade 5, DK-1353 Copenhagen K, Denmark.</t>
  </si>
  <si>
    <t>mjb@ifs.ku.dk</t>
  </si>
  <si>
    <t>Bossetta, Michael/AAC-6991-2021; 黄, 荣 昌/HGA-6762-2022</t>
  </si>
  <si>
    <t>Bossetta, Michael/0000-0002-8611-5487;</t>
  </si>
  <si>
    <t>1077-6990</t>
  </si>
  <si>
    <t>2161-430X</t>
  </si>
  <si>
    <t>J MASS COMMUN Q</t>
  </si>
  <si>
    <t>Journal. Mass Commun. Q.</t>
  </si>
  <si>
    <t>10.1177/1077699018763307</t>
  </si>
  <si>
    <t>GH9YN</t>
  </si>
  <si>
    <t>hybrid, Green Submitted, Green Published</t>
  </si>
  <si>
    <t>WOS:000434026200008</t>
  </si>
  <si>
    <t>Mathieson, J</t>
  </si>
  <si>
    <t>Mathieson, Jolene</t>
  </si>
  <si>
    <t>The Body and the Possible Soul in Digital Ekphrastic Poetry</t>
  </si>
  <si>
    <t>POETICS TODAY</t>
  </si>
  <si>
    <t>digital poetry; intermediation; metaphysics; dynamic heterarchy; digital ekphrasis</t>
  </si>
  <si>
    <t>New media technologies have inaugurated the most recent and important shift in our understanding of word-image relations. While seminal studies of new media poetry (Funkhouser 2012; Hayles 2006, 2008) and its potentially ekphrastic properties (Lindhe 2013) have been published in recent years, the close relationship between digital poetry and ekphrasis has yet to be convincingly theorized. This article focuses on new media poetry and the digital strategies it utilizes in the ekphrastic remediation of art images. Digital media may be unique in its ability to create highly immersive environments that more readily activate a holistically embodied and dialogical experience for the reader in represencing images, but digital ekphrastic praxis also exploits its multimodal, polysemiotic possibilities to critically reflect on the nature of the digital image and its relations to material ontology. This critique, and its emphasis on both representational and experiential reasoning, primarily takes the form of lyrical meditations on the material and immaterial realities of code, of computer-mediated poetry, of images, and of human-computer interaction. The result of these poetic meditations is a type of ekphrasis that is willfully metaphysical in tone and content, as will be evidenced via a close reading of two digital ekphrastic poems: Deena Larsen's Carving in Possibilities (2001) and Harry Giles's Photo of Maud Wagner (2013).</t>
  </si>
  <si>
    <t>[Mathieson, Jolene] Univ Hamburg, Hamburg, Germany</t>
  </si>
  <si>
    <t>University of Hamburg</t>
  </si>
  <si>
    <t>Mathieson, J (corresponding author), Univ Hamburg, Hamburg, Germany.</t>
  </si>
  <si>
    <t>DUKE UNIV PRESS</t>
  </si>
  <si>
    <t>DURHAM</t>
  </si>
  <si>
    <t>905 W MAIN ST, STE 18-B, DURHAM, NC 27701 USA</t>
  </si>
  <si>
    <t>0333-5372</t>
  </si>
  <si>
    <t>Poetics Today</t>
  </si>
  <si>
    <t>10.1215/03335372-4324505</t>
  </si>
  <si>
    <t>Literature</t>
  </si>
  <si>
    <t>GR2EL</t>
  </si>
  <si>
    <t>WOS:000442375300008</t>
  </si>
  <si>
    <t>Scheepers, R; Lacity, MC; Willcocks, LP</t>
  </si>
  <si>
    <t>Scheepers, Rens; Lacity, Mary C.; Willcocks, Leslie P.</t>
  </si>
  <si>
    <t>Cognitive Automation as Part of Deakin University's Digital Strategy</t>
  </si>
  <si>
    <t>MIS QUARTERLY EXECUTIVE</t>
  </si>
  <si>
    <t>Interest is growing in using cognitive automation (CA) tools to handle customer enquiries, but there is a dearth of cases that illustrate best practice. We describe the CA journey of Deakin University, an early adopter of CA technology. Deakin, an Australian university, is using IBM Watson (an example of a question-and-answer CA application) to automate the answering of questions from students (the university's customers). We identify the value gained from Deakin's CA investment and provide key lessons and practices that other enterprises can use when deploying CA tools.</t>
  </si>
  <si>
    <t>[Scheepers, Rens] Deakin Univ, Chair Informat Syst, Geelong, Vic, Australia; [Lacity, Mary C.] Univ Missouri St Louis, St Louis, MO USA; [Willcocks, Leslie P.] London Sch Econ &amp; Polit Sci, Outsourcing Unit, Technol Work &amp; Globalizat, London, England</t>
  </si>
  <si>
    <t>Deakin University; University of Missouri System; University of Missouri Saint Louis; University of London; London School Economics &amp; Political Science</t>
  </si>
  <si>
    <t>Scheepers, R (corresponding author), Deakin Univ, Chair Informat Syst, Geelong, Vic, Australia.</t>
  </si>
  <si>
    <t>rens.scheepers@deakin.edu.au; Mary.Lacity@umsl.edu; willcockslp@aol.com</t>
  </si>
  <si>
    <t>Scheepers, Rens/0000-0003-2791-6513</t>
  </si>
  <si>
    <t>INDIANA UNIV, OPER &amp; DECISION TECHNOL DEPT</t>
  </si>
  <si>
    <t>BLOOMINGTON</t>
  </si>
  <si>
    <t>KELLEY SCH BUS, E 10 ST, BLOOMINGTON, IN 47405-1701 USA</t>
  </si>
  <si>
    <t>1540-1960</t>
  </si>
  <si>
    <t>1540-1979</t>
  </si>
  <si>
    <t>MIS Q EXEC</t>
  </si>
  <si>
    <t>MIS Q. Exec.</t>
  </si>
  <si>
    <t>GJ6PG</t>
  </si>
  <si>
    <t>WOS:000435505500001</t>
  </si>
  <si>
    <t>Sánchez, MA; Zuntini, JI</t>
  </si>
  <si>
    <t>Analia Sanchez, Marisa; Zuntini, Juana I.</t>
  </si>
  <si>
    <t>Organizational readiness for the digital transformation: a case study research</t>
  </si>
  <si>
    <t>Digital transformation; digital strategy; The Five Competitive Forces Model; Value Chain Analysis; Dynamic capabilities; Ecosystem theory</t>
  </si>
  <si>
    <t>The world is changing profoundly and it has gone from the industrial age to the era of intelligent and connected products with consequences both in organizations and society. The aim of this research work is to formulate a framework that explains resources, capabilities and management choices necessary to respond to the new environment. The scope is on small and medium sized established companies. The research methodology is based on literature review and an in-depth case study based on three enterprises. The framework describes (a) external forces in the context of emergent technologies; (b) adequate strategies arising from a value chain analysis; (c) resources and capabilities of critical importance. The framework contributes to the comprehension of how small and medium size companies respond to the digital transformation process.</t>
  </si>
  <si>
    <t>[Analia Sanchez, Marisa] Univ Nacl Sur, Dept Management Sci, Grad &amp; Postgrad Courses, Bahia Blanca, Buenos Aires, Argentina; [Zuntini, Juana I.] Univ Nacl Sur, Dept Management Sci, Bahia Blanca, Buenos Aires, Argentina</t>
  </si>
  <si>
    <t>National University of the South; National University of the South</t>
  </si>
  <si>
    <t>Sánchez, MA (corresponding author), Univ Nacl Sur, Dept Management Sci, Grad &amp; Postgrad Courses, Bahia Blanca, Buenos Aires, Argentina.</t>
  </si>
  <si>
    <t>mas@uns.edu.ar; jzuntini@uns.edu.ar</t>
  </si>
  <si>
    <t>10.20397/2177-6652/2018.v18i2.1316</t>
  </si>
  <si>
    <t>GL9EM</t>
  </si>
  <si>
    <t>WOS:000437533900005</t>
  </si>
  <si>
    <t>Pires, DS; Boasquevisque, DD; Speciali, DS; Silva, GS; Conforto, AB</t>
  </si>
  <si>
    <t>Pires, Danielle Silveira; Boasquevisque, Danielle De Sa; Speciali, Danielli Souza; Silva, Gisele Sampaio; Conforto, Adriana Bastos</t>
  </si>
  <si>
    <t>Success of promotion strategies for a stroke rehabilitation protocol</t>
  </si>
  <si>
    <t>REVISTA DA ASSOCIACAO MEDICA BRASILEIRA</t>
  </si>
  <si>
    <t>Internet; Social media; Social networking; Neurology; Stroke; Physical therapy modalities</t>
  </si>
  <si>
    <t>PARTICIPANT RECRUITMENT; CLINICAL-TRIALS; RISK-FACTORS; BRAZIL; PROGNOSIS; LESSONS; ISSUES; WOMEN</t>
  </si>
  <si>
    <t>OBJECTIVE: To prospectively evaluate the success of promotion strategies for a protocol of motor rehabilitation strategies for patients with stroke at Albert Einstein Hospital. METHODS: In a clinical trial of neuromodulation and rehabilitation for patients with stroke, conventional methods of dissemination and publications about the research protocol in social networks or on the hospital's website were performed. Frequencies of types of advertisements that reached potentially eligible subjects were calculated. RESULTS: Data from 80 potentially eligible patients were analyzed. The types of ads that motivated contacts more frequently were social media (38.8%) and information provided to physicians from other hospitals (23.8%) (p=0,288). The frequencies of contacts motivated by publications on the internet (53%) and conventional strategies (47%) were similar. Facebook was the digital strategy associated with the higher number of contacts, followed by the hospital's website. CONCLUSION: Social networks and websites can be as effective as traditional methods of advertisement, in order to reach patients for stroke rehabilitation protocols. These results may have an impact on the planning of clinical trials, including studies that evaluate effects of rehabilitation interventions in patients with stroke.</t>
  </si>
  <si>
    <t>[Pires, Danielle Silveira] Univ Ctr United Metropolitan Fac FMU, Sao Paulo, SP, Brazil; [Boasquevisque, Danielle De Sa; Speciali, Danielli Souza; Silva, Gisele Sampaio; Conforto, Adriana Bastos] Albert Einstein Israelite Hosp, Sao Paulo, SP, Brazil</t>
  </si>
  <si>
    <t>Hospital Israelita Albert Einstein</t>
  </si>
  <si>
    <t>Pires, DS (corresponding author), Av Albert Einstein 627-701, BR-05652900 Sao Paulo, SP, Brazil.</t>
  </si>
  <si>
    <t>danielle.pires_93@hotmail.com; danidesa@hotmail.com; danielli.speciali@einstein.br; giselesampaio@hotmail.com; adriana.conforto@gmail.com</t>
  </si>
  <si>
    <t>Marie, Suely Kazue Nagahashi/D-1870-2012; Silva, Gisele/H-3082-2013; Speciali, Danielli S/I-5693-2016</t>
  </si>
  <si>
    <t>Marie, Suely Kazue Nagahashi/0000-0003-4419-7928; Silva, Gisele/0000-0002-3247-3123; Conforto, Adriana/0000-0001-7869-3490; Pires, Danielle Silveira/0000-0002-5424-3708</t>
  </si>
  <si>
    <t>Uniemp Institute</t>
  </si>
  <si>
    <t>Author 1 was granted a Scientific Initiation funding, by the Uniemp Institute, in the amount of R$579.30 for the period from October 1st, 2015 to December 31st, 2016.</t>
  </si>
  <si>
    <t>ASSOC MEDICA BRASILEIRA</t>
  </si>
  <si>
    <t>RUA SAO CARLOS DO PINHAL 324, CAIXA POSTAL 8904, SAO PAULO, SP, BRAZIL</t>
  </si>
  <si>
    <t>0104-4230</t>
  </si>
  <si>
    <t>REV ASSOC MED BRAS</t>
  </si>
  <si>
    <t>Rev. Assoc. Med. Bras.</t>
  </si>
  <si>
    <t>10.1590/1806-9282.64.05.443</t>
  </si>
  <si>
    <t>GW0WY</t>
  </si>
  <si>
    <t>WOS:000446591800010</t>
  </si>
  <si>
    <t>Andrade, EL; Evans, WD; Barrett, ND; Cleary, SD; Edberg, MC; Alvayero, RD; Kierstead, EC; Beltran, A</t>
  </si>
  <si>
    <t>Andrade, E. L.; Evans, W. D.; Barrett, N. D.; Cleary, S. D.; Edberg, M. C.; Alvayero, R. D.; Kierstead, E. C.; Beltran, A.</t>
  </si>
  <si>
    <t>Development of the place-based Adelante social marketing campaign for prevention of substance use, sexual risk and violence among Latino immigrant youth</t>
  </si>
  <si>
    <t>HEALTH EDUCATION RESEARCH</t>
  </si>
  <si>
    <t>HIV-PREVENTION; DISEASE PREVENTION; PHYSICAL-ACTIVITY; REFUGEE CHILDREN; AFRICAN-AMERICAN; UNITED-STATES; BEHAVIORS; PROGRAM; INTERVENTION; ADOLESCENTS</t>
  </si>
  <si>
    <t>Immigrant Latino youth represent a high-risk subgroup that should be targeted with health promotion efforts. However, there are considerable barriers to engagement in health-related programming. Little is known about the engagement possibilities of social marketing campaigns and digital strategies for traditionally 'hard-to-reach' immigrants, underscoring the importance of testing these techniques with immigrant Latino adolescents. We developed and piloted a place-based social marketing campaign in coordination with the branded, Positive Youth Development-based (PYD) Adelante intervention targeting risk factors for co-occurring youth substance abuse, sexual risk and violence. Building on prior research, we conducted a four-phase formative research process, and planned the Adelante social marketing campaign based on findings from one group interview and ongoing consultation with Adelante staff (n = 8) and four focus groups with youth (n = 35). Participants identified four overarching campaign themes, and suggested portrayal of resilient, proud youth who achieved goals despite adversity. Youth guided selection of campaign features and engagement strategies, including message/visual content, stylistic elements, and a mixed language approach. We developed a 12-month campaign to be delivered via print ads, multi-platform social media promotion, contests, youth-generated videos, blog posts, and text-messaging. We describe the process and outcome of campaign development and make recommendations for future campaigns.</t>
  </si>
  <si>
    <t>[Andrade, E. L.; Evans, W. D.; Barrett, N. D.; Edberg, M. C.; Kierstead, E. C.; Beltran, A.] George Washington Univ, Dept Prevent &amp; Community Hlth, Washington, DC 20052 USA; [Cleary, S. D.] George Washington Univ, Dept Epidemiol &amp; Biostat, Washington, DC 20052 USA; [Alvayero, R. D.] Maryland Multicultural Youth Ctr, 8700 Georgia Ave,Suite 500, Silver Spring, MD 20910 USA</t>
  </si>
  <si>
    <t>George Washington University; George Washington University</t>
  </si>
  <si>
    <t>Andrade, EL (corresponding author), George Washington Univ, Dept Prevent &amp; Community Hlth, Washington, DC 20052 USA.</t>
  </si>
  <si>
    <t>elandrade@gwu.edu</t>
  </si>
  <si>
    <t>Cleary, Sean D/B-5596-2012</t>
  </si>
  <si>
    <t>Kierstead, Elexis/0000-0002-8502-0451; Andrade, Elizabeth/0000-0001-7652-1337</t>
  </si>
  <si>
    <t>National Institute of Minority Health and Health Disparities [1P20MD006898-01]</t>
  </si>
  <si>
    <t>National Institute of Minority Health and Health Disparities(United States Department of Health &amp; Human ServicesNational Institutes of Health (NIH) - USANIH National Institute on Minority Health &amp; Health Disparities (NIMHD))</t>
  </si>
  <si>
    <t>National Institute of Minority Health and Health Disparities [Grant number 1P20MD006898-01].</t>
  </si>
  <si>
    <t>0268-1153</t>
  </si>
  <si>
    <t>1465-3648</t>
  </si>
  <si>
    <t>HEALTH EDUC RES</t>
  </si>
  <si>
    <t>Health Educ. Res.</t>
  </si>
  <si>
    <t>10.1093/her/cyx076</t>
  </si>
  <si>
    <t>GA9KI</t>
  </si>
  <si>
    <t>WOS:000428659700004</t>
  </si>
  <si>
    <t>Frishammar, J; Cenamor, J; Cavalli-Björkman, H; Hernell, E; Carlsson, J</t>
  </si>
  <si>
    <t>Frishammar, Johan; Cenamor, Javier; Cavalli-Bjorkman, Harald; Hernell, Emma; Carlsson, Johan</t>
  </si>
  <si>
    <t>Digital strategies for two-sided markets: A case study of shopping malls</t>
  </si>
  <si>
    <t>DECISION SUPPORT SYSTEMS</t>
  </si>
  <si>
    <t>Digitalization; Two-sided market; Omnichannel strategies; Shopping mall; Retailing; Interpretative case study</t>
  </si>
  <si>
    <t>MULTICHANNEL CUSTOMER MANAGEMENT; INFORMATION-SYSTEMS; SERVICE INNOVATION; BUSINESS STRATEGY; E-COMMERCE; FRAMEWORK; COMPETITION; TECHNOLOGY; PLATFORMS; ECONOMICS</t>
  </si>
  <si>
    <t>Digitalization is fundamentally changing the retailing ecosystem for shopping malls as digital and analogue elements get increasingly intertwined. We conceptualize shopping malls as two-sided markets whose primary function is connecting shoppers and retailers. By means of an interpretative case study, the article then presents an omnichannel strategy typology for how shopping malls can meet the evolving digitalization challenge. We identify three generic strategies labeled digital awaiter, digital data gatherer, and digital embracer. The paper provides implications for research in omnichannel strategies, digitalization, and two-sided markets by explicating different strategies that involve physical and digital resources, and different ecosystem agents, i.e., retailers and shoppers. It also provides insights for other organizations beyond retailing and which operate under a two-sided market regime. (C) 2018 Elsevier B.V. All rights reserved.</t>
  </si>
  <si>
    <t>[Frishammar, Johan] Lulea Univ Technol, Entrepreneurship &amp; Innovat, SE-97187 Lulea, Sweden; [Cenamor, Javier] Lund Univ, Sch Econ &amp; Management, Dept Business Adm, S-22007 Lund, Sweden; [Cavalli-Bjorkman, Harald] Re Newcell AB, Cardellgatan 1, SE-11436 Stockholm, Sweden; [Hernell, Emma] HUI Res, SE-10329 Stockholm, Sweden; [Carlsson, Johan] EVRY Sweden AB, Olof Asklunds Gata 10, S-42130 Vastra Frolunda, Sweden</t>
  </si>
  <si>
    <t>Lulea University of Technology; Lund University</t>
  </si>
  <si>
    <t>Frishammar, J (corresponding author), Lulea Univ Technol, Entrepreneurship &amp; Innovat, SE-97187 Lulea, Sweden.</t>
  </si>
  <si>
    <t>Johan.Frishammar@ltu.se; javier.cenamor@fek.lu.se; harald.cavalli-bjorkman@renewcell.com; emma.hernell@hui.se; johan.carlsson@evry.com</t>
  </si>
  <si>
    <t>CENAMOR, JAVIER/0000-0002-7432-3713</t>
  </si>
  <si>
    <t>Swedish Governmental Agency for Innovation Systems (VINNOVA)</t>
  </si>
  <si>
    <t>Swedish Governmental Agency for Innovation Systems (VINNOVA)(Vinnova)</t>
  </si>
  <si>
    <t>The authors are grateful for comments provided by James Marsden, Christy Cheung, Yang Chen, Chee-Wee Tan and two anonymous reviewers. The research was funded by the Swedish Governmental Agency for Innovation Systems (VINNOVA).</t>
  </si>
  <si>
    <t>0167-9236</t>
  </si>
  <si>
    <t>1873-5797</t>
  </si>
  <si>
    <t>DECIS SUPPORT SYST</t>
  </si>
  <si>
    <t>Decis. Support Syst.</t>
  </si>
  <si>
    <t>10.1016/j.dss.2018.02.003</t>
  </si>
  <si>
    <t>Computer Science, Artificial Intelligence; Computer Science, Information Systems; Operations Research &amp; Management Science</t>
  </si>
  <si>
    <t>Computer Science; Operations Research &amp; Management Science</t>
  </si>
  <si>
    <t>GG9IS</t>
  </si>
  <si>
    <t>WOS:000433014800004</t>
  </si>
  <si>
    <t>Staggers, N; Elias, BL; Makar, E; Alexander, GL</t>
  </si>
  <si>
    <t>Staggers, Nancy; Elias, Beth L.; Makar, Ellen; Alexander, Gregory L.</t>
  </si>
  <si>
    <t>The Imperative of Solving Nurses' Usability Problems With Health Information Technology</t>
  </si>
  <si>
    <t>JOURNAL OF NURSING ADMINISTRATION</t>
  </si>
  <si>
    <t>PATIENT SAFETY; RECOMMENDATIONS; SYSTEMS; SUPPORT; CARE; AMIA</t>
  </si>
  <si>
    <t>BACKGROUND Health information technology (IT) usability issues are a key concern for nurse executives and nurses. OBJECTIVES The aims of this study are to understand usability pain points faced by nurses regarding the use of health IT, identify their impact and importance, discuss responsibilities, and develop possible solutions to improve the health IT-user experience for nurses. METHODS Twenty-seven experts were interviewed including nursing leaders, informaticists, executives, engineers, researchers, and human factors experts across acute care, long-term care, and vendor settings. Semistructured questions guided the interviews, and content analysis was used to identify themes. RESULTS Four themes emerged: 1) user experience pain points, 2) importance of the issues, 3) the responsibility gap, and 4) acting on usability issues. CONCLUSION Nurses continue to endure significant health IT-usability issues that negatively impact patients, nurses, and healthcare organizations. Solutions include enhancing the voice of nursing at the national and local levels, creating a digital strategy for nursing, providing incentives to improve usability in health IT, and accelerating the understanding of nurses' work intended to inform and translate nurses' work into health IT design.</t>
  </si>
  <si>
    <t>[Staggers, Nancy] Univ Utah, Summit Hlth Informat, Salt Lake City, UT USA; [Staggers, Nancy] Univ Utah, Dept Biomed Informat, Salt Lake City, UT USA; Univ Utah, Coll Nursing, Salt Lake City, UT 84112 USA; [Elias, Beth L.] Virginia Commonwealth Univ, Sch Nursing, 1100 E Leigh St, Richmond, VA 23298 USA; [Makar, Ellen] INOVA Fairfax Hosp, Profess Practice, Falls Church, VA USA; [Alexander, Gregory L.] Univ Missouri Sinclair, Sch Nursing, Columbia, MO USA</t>
  </si>
  <si>
    <t>Utah System of Higher Education; University of Utah; Utah System of Higher Education; University of Utah; Utah System of Higher Education; University of Utah; Virginia Commonwealth University; Inova Fairfax Hospital; University of Missouri System; University of Missouri Columbia</t>
  </si>
  <si>
    <t>Elias, BL (corresponding author), Virginia Commonwealth Univ, Sch Nursing, 1100 E Leigh St, Richmond, VA 23298 USA.</t>
  </si>
  <si>
    <t>belias@vcu.edu</t>
  </si>
  <si>
    <t>0002-0443</t>
  </si>
  <si>
    <t>1539-0721</t>
  </si>
  <si>
    <t>J NURS ADMIN</t>
  </si>
  <si>
    <t>J. Nurs. Adm.</t>
  </si>
  <si>
    <t>10.1097/NNA.0000000000000598</t>
  </si>
  <si>
    <t>Nursing</t>
  </si>
  <si>
    <t>GE4IF</t>
  </si>
  <si>
    <t>WOS:000431178300006</t>
  </si>
  <si>
    <t>Munro, M</t>
  </si>
  <si>
    <t>Munro, Morag</t>
  </si>
  <si>
    <t>The complicity of digital technologies in the marketisation of UK higher education: exploring the implications of a critical discourse analysis of thirteen national digital teaching and learning strategies</t>
  </si>
  <si>
    <t>INTERNATIONAL JOURNAL OF EDUCATIONAL TECHNOLOGY IN HIGHER EDUCATION</t>
  </si>
  <si>
    <t>Digital technologies; Higher education policy and strategy; Marketisation of HE; Neoliberalism; Critical discourse analysis</t>
  </si>
  <si>
    <t>ONLINE; PARTICIPATION</t>
  </si>
  <si>
    <t>National strategies play a crucial role in framing how digital technologies are enacted in Higher Education (HE). This paper draws on some of the findings of a Critical Discourse Analysis (CDA) of thirteen digital teaching and learning strategies issued by government departments and non-departmental public bodies in the UK between 2003 and 2013. It demonstrates that, across the strategies, digital technologies are depicted as tools for advancing the marketisation of UK HE. Rather ironically, the strategies are also fraught with contradictions and paradoxes with respect to the claimed relationships between digital technologies, learning, and markets. I argue that this problematic portrayal of digital technologies makes them complicit in the neoliberal erosion of UK HE.</t>
  </si>
  <si>
    <t>[Munro, Morag] Maynooth Univ, Ctr Teaching &amp; Learning, Maynooth, Kildare, Ireland</t>
  </si>
  <si>
    <t>Munro, M (corresponding author), Maynooth Univ, Ctr Teaching &amp; Learning, Maynooth, Kildare, Ireland.</t>
  </si>
  <si>
    <t>morag.munro@mu.ie</t>
  </si>
  <si>
    <t>2365-9440</t>
  </si>
  <si>
    <t>INT J EDUC TECHNOL H</t>
  </si>
  <si>
    <t>Int. J. Educ. Technol. High. Educ.</t>
  </si>
  <si>
    <t>10.1186/s41239-018-0093-2</t>
  </si>
  <si>
    <t>GB3NK</t>
  </si>
  <si>
    <t>WOS:000428964500001</t>
  </si>
  <si>
    <t>Torrijos, JLR</t>
  </si>
  <si>
    <t>Rojas Torrijos, Joso Luis</t>
  </si>
  <si>
    <t>The digital strategy of internationalisation of Marca in Latin America. Study case of MARCA Claro in Mexico</t>
  </si>
  <si>
    <t>REVISTA DE COMUNICACION-PERU</t>
  </si>
  <si>
    <t>sports journalism; digital journalism; innovation; internationalization; MARCA Claro; digital strategy</t>
  </si>
  <si>
    <t>This article is a thorough analysis of the content plan and digital strategy developed on the web, mobile app and social media for the launching in Mexico in 2017 of MarcaClaro.com a new multimedia platform created by the sports daily newspaper Marca in order to internationalise and consolidate as a leading sports outlet in Latin America. For that purpose, first there is a content analysis of pieces of information (priorisation of topics and events, new formats and storytelling) published on the web during its first five months of life and selected through a random simple and, secondly, there are in-depth interviews to MARCA Claro chief editors both in Spain and in Mexico so as to know editorial keys of this transnational media partnership.</t>
  </si>
  <si>
    <t>[Rojas Torrijos, Joso Luis] Univ Seville, Dept Periodismo 2, Seville, Spain</t>
  </si>
  <si>
    <t>University of Sevilla</t>
  </si>
  <si>
    <t>Torrijos, JLR (corresponding author), Univ Seville, Dept Periodismo 2, Seville, Spain.</t>
  </si>
  <si>
    <t>jlrojas@us.es</t>
  </si>
  <si>
    <t>Torrijos, José Luis Rojas/L-9682-2018</t>
  </si>
  <si>
    <t>Torrijos, José Luis Rojas/0000-0002-7390-9843</t>
  </si>
  <si>
    <t>UNIV PIURA</t>
  </si>
  <si>
    <t>PIURA</t>
  </si>
  <si>
    <t>FAC COMUNICACION, AV RAMON MUGICA 131 URB SAN EDUARDO APARTADO POSTAL 353, PIURA, 00000, PERU</t>
  </si>
  <si>
    <t>1684-0933</t>
  </si>
  <si>
    <t>2227-1465</t>
  </si>
  <si>
    <t>REV COMUN-PERU</t>
  </si>
  <si>
    <t>Rev. Comun.-Peru</t>
  </si>
  <si>
    <t>MAR-AUG</t>
  </si>
  <si>
    <t>10.26441/RC17.1-2018-A7</t>
  </si>
  <si>
    <t>HG3VI</t>
  </si>
  <si>
    <t>WOS:000454902600008</t>
  </si>
  <si>
    <t>Yeow, A; Soh, C; Hansen, R</t>
  </si>
  <si>
    <t>Yeow, Adrian; Soh, Christina; Hansen, Rina</t>
  </si>
  <si>
    <t>Aligning with new digital strategy: A dynamic capabilities approach</t>
  </si>
  <si>
    <t>Aligning; Dynamic capabilities; Digital strategy; Tension; B2C ecommerce; IT Alignment</t>
  </si>
  <si>
    <t>BUSINESS STRATEGY; INFORMATION-TECHNOLOGY; EQUILIBRIUM-MODEL; ALIGNMENT; PERFORMANCE; SYSTEMS; PERSPECTIVE; MANAGEMENT; INSIGHTS; PARADOX</t>
  </si>
  <si>
    <t>Prior IS research has not fully addressed the aligning process in the highly dynamic context of digital strategy. To address this gap, we conduct a longitudinal analysis of a B2B company's journey to enact its B2C digital strategy, using the dynamic capabilities approach. We found that as an organization shifts towards a digital strategy, misalignments between the emergent strategy and resources give rise to tension. Our study resulted in the development of an aligning process model that is comprised of three phases (exploratory, building, and extending) and generalizable organizational aligning actions that form the organization's sensing, seizing, and transforming capacities. These aligning actions iteratively reconfigured organizational resources and refined strategy in order to respond to both changes in the environment and internal tensions. We also recognized that there are challenges to alignment, and conceptualized them as paradoxical tensions. This provided insights as to how such tensions are triggered and how they can be addressed. Finally, by applying the dynamic capabilities approach to aligning, we also show that alignment is not separate from such capabilities, but that aligning is enacted through the sensing, seizing and transforming capacities and their attendant aligning actions.</t>
  </si>
  <si>
    <t>[Yeow, Adrian] Singapore Univ Social Sci, Sch Business, 461 Clementi Rd, Singapore 599491, Singapore; [Soh, Christina] Nanyang Technol Univ, Nanyang Business Sch, Div Informat Technol &amp; Operat Management, 50 Nanyang Ave, Singapore 639798, Singapore; [Hansen, Rina] Copenhagen Business Sch, Dept Digitalizat, Howitzvej 60,3, DK-2000 Frederiksberg, Denmark</t>
  </si>
  <si>
    <t>Singapore University of Social Sciences (SUSS); Nanyang Technological University &amp; National Institute of Education (NIE) Singapore; Nanyang Technological University; Copenhagen Business School</t>
  </si>
  <si>
    <t>Yeow, A (corresponding author), Singapore Univ Social Sci, Sch Business, 461 Clementi Rd, Singapore 599491, Singapore.</t>
  </si>
  <si>
    <t>adrianyeowyk@suss.edu.sg; acsoh@ntu.edu.sg; rinahansen@hotmail.com</t>
  </si>
  <si>
    <t>Yeow, Adrian/J-7274-2019</t>
  </si>
  <si>
    <t>Yeow, Adrian/0000-0003-1355-8540</t>
  </si>
  <si>
    <t>10.1016/j.jsis.2017.09.001</t>
  </si>
  <si>
    <t>GD5AV</t>
  </si>
  <si>
    <t>WOS:000430518300004</t>
  </si>
  <si>
    <t>Brinch, M; Stentoft, J; Jensen, JK; Rajkumar, C</t>
  </si>
  <si>
    <t>Brinch, Morten; Stentoft, Jan; Jensen, Jesper Kronborg; Rajkumar, Christopher</t>
  </si>
  <si>
    <t>Practitioners understanding of big data and its applications in supply chain management</t>
  </si>
  <si>
    <t>INTERNATIONAL JOURNAL OF LOGISTICS MANAGEMENT</t>
  </si>
  <si>
    <t>Supply chain management; Big data; Decision making; Information technology; Mixed method; Business processes; Digital strategy; Applications</t>
  </si>
  <si>
    <t>DECISION-SUPPORT-SYSTEMS; DATA ANALYTICS; PREDICTIVE ANALYTICS; BUSINESS ANALYTICS; DELPHI METHOD; DATA SCIENCE; OPERATIONS; INFORMATION; PERFORMANCE; FRAMEWORK</t>
  </si>
  <si>
    <t>Purpose Big data poses as a valuable opportunity to further improve decision making in supply chain management (SCM). However, the understanding and application of big data seem rather elusive and only partially explored. The purpose of this paper is to create further guidance in understanding big data and to explore applications from a business process perspective. Design/methodology/approach This paper is based on a sequential mixed-method. First, a Delphi study was designed to gain insights regarding the terminology of big data and to identify and rank applications of big data in SCM using an adjusted supply chain operations reference (SCOR) process framework. This was followed by a questionnaire-survey among supply chain executives to elucidate the Delphi study findings and to assess the practical use of big data. Findings First, big data terminology seems to be more about data collection than of data management and data utilization. Second, the application of big data is most applicable for logistics, service and planning processes than of sourcing, manufacturing and return. Third, supply chain executives seem to have a slow adoption of big data. Research limitations/implications The Delphi study is explorative by nature and the questionnaire-survey rather small in scale; therefore, findings have limited generalizability. Practical implications The findings can help supply chain managers gain a clearer understanding of the domain of big data and guide them in where to deploy big data initiatives. Originality/value This study is the first to assess big data in the SCOR process framework and to rank applications of big data as a mean to guide the SCM community to where big data is most beneficial.</t>
  </si>
  <si>
    <t>[Brinch, Morten; Stentoft, Jan; Rajkumar, Christopher] Univ Southern Denmark, Dept Entrepreneurship &amp; Relationship Management, Kolding, Denmark; [Jensen, Jesper Kronborg] Energinet Dk, Dept Market Anal &amp; Design, Fredericia, Denmark</t>
  </si>
  <si>
    <t>University of Southern Denmark</t>
  </si>
  <si>
    <t>Brinch, M (corresponding author), Univ Southern Denmark, Dept Entrepreneurship &amp; Relationship Management, Kolding, Denmark.</t>
  </si>
  <si>
    <t>mobr@sam.sdu.dk</t>
  </si>
  <si>
    <t>Brinch, Morten/H-2333-2017</t>
  </si>
  <si>
    <t>Brinch, Morten/0000-0001-9497-9966</t>
  </si>
  <si>
    <t>0957-4093</t>
  </si>
  <si>
    <t>1758-6550</t>
  </si>
  <si>
    <t>INT J LOGIST MANAG</t>
  </si>
  <si>
    <t>Int. J. Logist. Manag.</t>
  </si>
  <si>
    <t>10.1108/IJLM-05-2017-0115</t>
  </si>
  <si>
    <t>GH8EC</t>
  </si>
  <si>
    <t>WOS:000433898900005</t>
  </si>
  <si>
    <t>Cardo, V</t>
  </si>
  <si>
    <t>Cardo, Valentina</t>
  </si>
  <si>
    <t>Technology, popular culture and everyday life: The electoral defeat of New Zealand Internet MANA</t>
  </si>
  <si>
    <t>Political communication; digital politics; democracy and technology; politics and popular culture; New Zealand politics</t>
  </si>
  <si>
    <t>MEDIA; DEMOCRACY; ELECTION; POLITICS; PARTIES; IMPACT</t>
  </si>
  <si>
    <t>The development of the Internet and social platforms was expected to have a profound impact on citizens' ability to influence politics, transforming traditional methods of political communication. This article examines the digital campaign strategy of the Internet MANA alliance during the 2014 New Zealand General Election. Internet MANA adopted digital strategies that had proven successful overseas and had the potential to radically transform New Zealand politics. The campaign, however, culminated in a disastrous electoral defeat. The article argues that online media strategies alone cannot explain election outcomes. Instead, we need to explore the ways in which digital campaign strategies interact with the electoral system, mainstream media and political 'brands'. Going beyond the specifics of New Zealand politics, this article raises questions about the role of technology on political communication practices.</t>
  </si>
  <si>
    <t>[Cardo, Valentina] Univ Southampton, Winchester Sch Art, Pk Ave, Winchester SO23 8DL, Hants, England</t>
  </si>
  <si>
    <t>University of Southampton</t>
  </si>
  <si>
    <t>Cardo, V (corresponding author), Univ Southampton, Winchester Sch Art, Pk Ave, Winchester SO23 8DL, Hants, England.</t>
  </si>
  <si>
    <t>v.m.cardo@soton.ac.uk</t>
  </si>
  <si>
    <t>Cardo, Valentina/AAQ-9656-2021</t>
  </si>
  <si>
    <t>Cardo, Valentina/0000-0002-1993-6058</t>
  </si>
  <si>
    <t>10.3233/IP-170038</t>
  </si>
  <si>
    <t>HJ5KR</t>
  </si>
  <si>
    <t>WOS:000457220600005</t>
  </si>
  <si>
    <t>Childers, CC; Haley, E; McMillan, S</t>
  </si>
  <si>
    <t>Childers, Courtney Carpenter; Haley, Eric; McMillan, Sally</t>
  </si>
  <si>
    <t>Achieving Strategic Digital Integration: Views From Experienced New York City Advertising Agency Professionals</t>
  </si>
  <si>
    <t>JOURNAL OF CURRENT ISSUES AND RESEARCH IN ADVERTISING</t>
  </si>
  <si>
    <t>MARKETING COMMUNICATIONS IMC</t>
  </si>
  <si>
    <t>The advertising agency environment is changing and requires agencies to deal with many communications opportunities in emerging platforms. Many concepts from IMC (e.g., the importance of data-driven targeting and integrated communication across disciplinary boundaries) have carried forward to the digital era. While academic literature has begun to examine the impact of digital technology on communication practice, the function of traditional full-service advertising agencies within the digital, social, and experiential communication environment remains under-examined. This study employs a qualitative paradigmatic perspective to address the following research question: What are experiences with and perceptions of strategic digital integration among veteran advertising professionals who work in New York City full-service agencies? Eighteen advertising agency professionals who held supervisory positions were interviewed to gain a longer-term perspective on experiences with strategic digital integration. All participants were employees of major, full-service NYC advertising agencies as they would likely work with sophisticated national and multi-national marketers. Three key insights emerged from data collection: (1) planning departments are changing, (2) there are many opportunities and threats to strategic digital integration, and (3) the continued importance of the big idea as the heart of the advertising business. Overall, participants from the NYC agencies do not suggest that advertising is dying, rather they portray it as an evolving industry leveraging the new promises of digital platforms through better strategic integration.</t>
  </si>
  <si>
    <t>[Childers, Courtney Carpenter; Haley, Eric; McMillan, Sally] Univ Tennessee, Sch Advertising &amp; Publ Relat, Knoxville, TN 37996 USA</t>
  </si>
  <si>
    <t>University of Tennessee System; University of Tennessee Knoxville</t>
  </si>
  <si>
    <t>Childers, CC (corresponding author), Univ Tennessee, Sch Advertising &amp; Publ Relat, Knoxville, TN 37996 USA.</t>
  </si>
  <si>
    <t>childers@utk.edu</t>
  </si>
  <si>
    <t>1064-1734</t>
  </si>
  <si>
    <t>2164-7313</t>
  </si>
  <si>
    <t>J CURR ISS RES AD</t>
  </si>
  <si>
    <t>J. Curr. Issues Res. Advert.</t>
  </si>
  <si>
    <t>10.1080/10641734.2018.1491435</t>
  </si>
  <si>
    <t>VJ2JH</t>
  </si>
  <si>
    <t>WOS:000558680500004</t>
  </si>
  <si>
    <t>Castillo, JGD; Cohernour, EJC; Barberà, E</t>
  </si>
  <si>
    <t>Dominguez Castillo, J. Gabriel; Cisneros Cohernour, Edith J.; Barbera, Elena</t>
  </si>
  <si>
    <t>Factors influencing technology use by Mayan women in the digital age</t>
  </si>
  <si>
    <t>GENDER TECHNOLOGY &amp; DEVELOPMENT</t>
  </si>
  <si>
    <t>Digital divide; gender; technology; socioeconomic development; ICTs; training program</t>
  </si>
  <si>
    <t>DIVIDE; GENDER; INFORMATION</t>
  </si>
  <si>
    <t>We explore gender differences in technology use among Mayan-speakers in a rural community in southern Yucatan (Mexico), finding that women had poorer skills and less access to technology than men. Following a diagnosis, information and communication technology (ICT) skills training aimed at closing the digital divide was provided to 68 men and women, with post-test results indicating that while women improved their ICT skills, they continued to score lower than men. Focus group interviews with 24 women identified the main factors perceived to influence their access to and use of technology. Observations and further interviews with 10 of the focus group participants further explored issues related to women's access to and use of technology. Quantitative data were analyzed using inferential statistics and qualitative data were analyzed using a thematic approach. Recommendations for improving the ICT skills of both men and women are discussed in the context of the Mexican National Development Plan 2013-2018 and the Mexican National Digital Strategy 2013 and are compared with the guidelines of the Yucatan State Development Plan 2012-2018.</t>
  </si>
  <si>
    <t>[Dominguez Castillo, J. Gabriel] Autonomous Univ Yucatan, Ctr Pedag Innovat, Fac Accounting &amp; Adm, Yucatan, Mexico; [Cisneros Cohernour, Edith J.] Autonomous Univ Yucatan, Grad &amp; Res Unit, Coll Educ, Yucatan, Mexico; [Barbera, Elena] Univ Oberta Catalunya, Psychol &amp; Educ Studies, Barcelona, Spain</t>
  </si>
  <si>
    <t>Universidad Autonoma de Yucatan; Universidad Autonoma de Yucatan; UOC Universitat Oberta de Catalunya</t>
  </si>
  <si>
    <t>Cohernour, EJC (corresponding author), Autonomous Univ Yucatan, Coll Educ, Grad &amp; Res Unit, Km 1 Carretera Merida Tizimin, Cholul 97305, Yucatan, Mexico.</t>
  </si>
  <si>
    <t>cchacon@correo.uady.mx</t>
  </si>
  <si>
    <t>Cisneros-Cohernour, Edith J./D-9197-2016</t>
  </si>
  <si>
    <t>Cisneros-Cohernour, Edith J./0000-0003-2319-1519</t>
  </si>
  <si>
    <t>0971-8524</t>
  </si>
  <si>
    <t>0973-0656</t>
  </si>
  <si>
    <t>GEND TECHNOL DEV</t>
  </si>
  <si>
    <t>Gend. Technol. Dev.</t>
  </si>
  <si>
    <t>10.1080/09718524.2018.1558862</t>
  </si>
  <si>
    <t>HN7QS</t>
  </si>
  <si>
    <t>WOS:000460387200001</t>
  </si>
  <si>
    <t>Fink, RL; Reinhart, TA; Steele, A</t>
  </si>
  <si>
    <t>Cadou, CB</t>
  </si>
  <si>
    <t>Fink, Robert L.; Reinhart, Thomas A.; Steele, Alyson</t>
  </si>
  <si>
    <t>Mount Vernon's Historic Building Information Management System Digital Strategies for Preservation in the Twenty-First Century</t>
  </si>
  <si>
    <t>STEWARDS OF MEMORY: THE PAST, PRESENT, AND FUTURE OF HISTORIC PRESERVATION AT GEORGE WASHINGTON'S MOUNT VERNON</t>
  </si>
  <si>
    <t>[Fink, Robert L.] Quinn Evans Architects, Washington, DC 20037 USA; [Reinhart, Thomas A.] Maryland Hist Trust, Architectural Res, Crownsville, MD USA; [Steele, Alyson] Quinn Evans Architects, Washington, DC USA</t>
  </si>
  <si>
    <t>Fink, RL (corresponding author), Quinn Evans Architects, Washington, DC 20037 USA.</t>
  </si>
  <si>
    <t>UNIV PRESS VIRGINIA</t>
  </si>
  <si>
    <t>CHARLOTTESVILLE</t>
  </si>
  <si>
    <t>P O BOX 400318,, CHARLOTTESVILLE, VA 22904-4318 USA</t>
  </si>
  <si>
    <t>978-0-8139-4153-0; 978-0-8139-4151-6</t>
  </si>
  <si>
    <t>Architecture; Art; History</t>
  </si>
  <si>
    <t>BO3QS</t>
  </si>
  <si>
    <t>WOS:000511300100006</t>
  </si>
  <si>
    <t>Gainous, J; Segal, A; Wagner, K</t>
  </si>
  <si>
    <t>Gainous, Jason; Segal, Andrew; Wagner, Kevin</t>
  </si>
  <si>
    <t>Is the equalization/normalization lens dead? Social media campaigning in US congressional elections</t>
  </si>
  <si>
    <t>ONLINE INFORMATION REVIEW</t>
  </si>
  <si>
    <t>Elections; Social media; Equalization/normalization; Political campaigns</t>
  </si>
  <si>
    <t>INTERNET USE; POLITICAL-PARTICIPATION; DIGITAL MEDIA; ENGAGEMENT; METAANALYSIS; INFORMATION; PATTERNS; KLOUT; TIME</t>
  </si>
  <si>
    <t>Purpose - Early information technology scholarship centered on the internet's potential to be a democratizing force was often framed using an equalization/normalization lens arguing that either the internet was going to be an equalizing force bringing power to the masses, or it was going to be normalized into the existing power structure. The purpose of this paper is to argue that considered over time the equalization/normalization lens still sheds light on our understanding of how social media (SM) strategy can shape electoral success asking if SM are an equalizing force balancing the resource gap between candidates or are being normalized into the modern campaign. Design/methodology/approach - SM metrics and electoral data were collected for US congressional candidates in 2012 and 2016. A series of additive and interactive models are employed to test whether the effects of SM reach on electoral success are conditional on levels of campaign spending. Findings - The results suggest that those candidates who spend more actually get more utility for their SM campaign than those who spend less in 2012. However, by 2016, spending inversely correlates with SM campaign utility. Research limitations/implications - The findings indicate that SM appeared to be normalizing into the modern congressional campaign in 2012. However, with higher rates of penetration and greater levels of usage in 2016, the SM campaign utility was not a result of higher spending. SM may be a greater equalizing force now. Practical implications - Campaigns that initially integrate digital and traditional strategies increase the effectiveness of the SM campaign because the non-digital strategy both complements and draws attention to the SM campaign. However, by 2016 the SM campaign was not driven by its relation to traditional campaign spending. Originality/value - This is the first large N study to examine the interactive effects of SM reach and campaign spending on electoral success.</t>
  </si>
  <si>
    <t>[Gainous, Jason] Univ Louisville, Dept Polit Sci, Louisville, KY 40292 USA; [Segal, Andrew] Univ Texas Austin, Dept Polit Sci, Austin, TX 78712 USA; [Wagner, Kevin] Florida Atlantic Univ, Dept Polit Sci, Boca Raton, FL 33431 USA</t>
  </si>
  <si>
    <t>University of Louisville; University of Texas System; University of Texas Austin; State University System of Florida; Florida Atlantic University</t>
  </si>
  <si>
    <t>Gainous, J (corresponding author), Univ Louisville, Dept Polit Sci, Louisville, KY 40292 USA.</t>
  </si>
  <si>
    <t>jason.gainous@louisville.edu</t>
  </si>
  <si>
    <t>Wagner, Kevin/AAW-7074-2021; Gainous, Jason/AAS-1321-2020</t>
  </si>
  <si>
    <t>Gainous, Jason/0000-0002-3104-2313; Wagner, Kevin/0000-0003-4750-9739</t>
  </si>
  <si>
    <t>1468-4527</t>
  </si>
  <si>
    <t>1468-4535</t>
  </si>
  <si>
    <t>ONLINE INFORM REV</t>
  </si>
  <si>
    <t>Online Inf. Rev.</t>
  </si>
  <si>
    <t>10.1108/OIR-08-2017-0247</t>
  </si>
  <si>
    <t>Computer Science, Information Systems; Information Science &amp; Library Science</t>
  </si>
  <si>
    <t>Computer Science; Information Science &amp; Library Science</t>
  </si>
  <si>
    <t>GR0TI</t>
  </si>
  <si>
    <t>WOS:000442235500010</t>
  </si>
  <si>
    <t>Pérez, EG</t>
  </si>
  <si>
    <t>Guerrero Perez, Enrique</t>
  </si>
  <si>
    <t>Millennials' abandonment of linear television</t>
  </si>
  <si>
    <t>REVISTA LATINA DE COMUNICACION SOCIAL</t>
  </si>
  <si>
    <t>Television; Internet; audiences; audiovisual media consumption; millennials</t>
  </si>
  <si>
    <t>YOUTUBE; TV</t>
  </si>
  <si>
    <t>Introduction. Television is undergoing a historical transformation due to its convergence with the Internet and the disruptiveness of technological innovation. Methods. This article analyses the evolution of linear television consumption by the so-called millennial generation, in comparison to the general audience, and how it is affected by online viewing. This research also addresses millennials' audience profile and affinity in relation to the main commercial television channels in Spain. To this end, quantitative and qualitative instruments are used: Kantar Media viewership data and an original online survey about audiovisual consumption habits applied to a representative sample of Spanish Internet users and, on the other hand, semi-structured interviews with the digital strategists of the major private television companies and a multichannel network. Results and conclusions. The results confirm the leak of young audiences -and the associated revenues- and their move towards more personalised and interactive audiovisual entertainment services. In response to this, television operators are implementing new multi-platform strategies that affect their core business and even their own identity.</t>
  </si>
  <si>
    <t>[Guerrero Perez, Enrique] Univ Navarra, Pamplona, Spain</t>
  </si>
  <si>
    <t>Pérez, EG (corresponding author), Univ Navarra, Pamplona, Spain.</t>
  </si>
  <si>
    <t>eguerrero@unav.es</t>
  </si>
  <si>
    <t>Guerrero, Enrique/I-7038-2016</t>
  </si>
  <si>
    <t>Guerrero, Enrique/0000-0001-7693-8669</t>
  </si>
  <si>
    <t>LABORATORIO TECNOLOGIAS INFORMACION &amp; NUEVOS ANALISIS COMUNICACION SOCIAL</t>
  </si>
  <si>
    <t>TENERIFE</t>
  </si>
  <si>
    <t>PIRAMIDE CAMPUS GUAJARA, LA LAGUNA, TENERIFE, 38200, SPAIN</t>
  </si>
  <si>
    <t>1138-5820</t>
  </si>
  <si>
    <t>REV LAT COMUN SOC</t>
  </si>
  <si>
    <t>Rev. Lat. Comun. Soc.</t>
  </si>
  <si>
    <t>10.4185/RLCS-2018-1304</t>
  </si>
  <si>
    <t>HL4ML</t>
  </si>
  <si>
    <t>WOS:000458695800009</t>
  </si>
  <si>
    <t>Kiran, F; Zubair, A; Shahzadi, I; Abbas, A</t>
  </si>
  <si>
    <t>Kiran, Faiqa; Zubair, Ahsan; Shahzadi, Irum; Abbas, Aamir</t>
  </si>
  <si>
    <t>Internet-based digitalmarketing strategies fordata-rich environments: A social network perspective to study gossips</t>
  </si>
  <si>
    <t>BOTTOM LINE</t>
  </si>
  <si>
    <t>Big data; Digital technology; Gossip; Friendship ties; Structural embeddedness; Workflow ties</t>
  </si>
  <si>
    <t>Purpose The purpose of this paper is to first bring to light the essential digital strategies to study organizations. Second, how businesses can improve their strategic capabilities by using the information gathered from internet sources or networks. Third, this study investigates how employees in an organization tend to engage in positive and/or negative gossip and how gossips affect coworker-rated informal influence in organization and supervisor-rated performance. Social network analysis is used to find the underlying relationships between gossips, coworker-rated influence and supervisor-rated performance. Design/methodology/approach This research paper is divided into two parts. The first study based on profound synthesis of literature. Major digital sources to study organizations are identified. The strategies requirement for each channel is identified. Suggestions are given to managers to improve strategic decision-making based on big data. The second study is a cross-sectional study where questionnaires (survey) are used to elicit data. Social network analysis is used to analyze the data using ucinet 6 software. Findings The findings of the study pinpoint the skills required to analyze large data, available in organizations. The second study finds out that close friends are more engaged in gossips than coworkers who have only working relationships. The friends having high structural embeddedness are more likely to be involved in negative gossips. Coworker perceives those employees who are engaged in negative gossips as having high informal influence. However, there is negative relationship between negative gossips and supervisor-rated influence. Research limitations/implications The research study is cross-sectional in design; however, longitudinal design can be used to gain more insights about negative gossips and their effects. Second, a very small sample is used in this study. Practical implications This study can be used to understand informal communication network in the organization. Managers can use this channel to pass information quickly, as informal channels are faster than formal communication channels. This research can be used to understand the underling relationships between the coworkers in organizations Originality/value This paper provides guidelines to organizational life and information on how the informal networks within organization can be studied.</t>
  </si>
  <si>
    <t>[Kiran, Faiqa] Natl Coll Business Adm &amp; Econ, Lahore, Pakistan; [Zubair, Ahsan] Govt Coll Univ, Faisalabad, Pakistan; [Shahzadi, Irum] Govt Coll Univ, Dept Business Adm, Faisalabad, Pakistan; [Abbas, Aamir] Univ Sargodha, Layallpur Campus, Faisalabad, Pakistan</t>
  </si>
  <si>
    <t>Government College University Faisalabad; Government College University Faisalabad</t>
  </si>
  <si>
    <t>Abbas, A (corresponding author), Univ Sargodha, Layallpur Campus, Faisalabad, Pakistan.</t>
  </si>
  <si>
    <t>faiqakiran@gmail.com; ahsan_zubair@hotmail.com; irum.shahzadi@gcuf.edu.pk; aamir.abbastuf@gmail.com</t>
  </si>
  <si>
    <t>Zubair, Ahsan/ABS-9752-2022; Shahzadi, Irum/HCI-9514-2022; Kiran, Faiqa/AAK-6953-2021; Kiran, Faiqa/F-1788-2014</t>
  </si>
  <si>
    <t>Zubair, Ahsan/0000-0003-3909-8490; Shahzadi, Irum/0000-0001-5353-4813; Kiran, Faiqa/0000-0003-3604-9132</t>
  </si>
  <si>
    <t>0888-045X</t>
  </si>
  <si>
    <t>2054-1724</t>
  </si>
  <si>
    <t>Bottom Line</t>
  </si>
  <si>
    <t>10.1108/BL-03-2018-0012</t>
  </si>
  <si>
    <t>GJ7HV</t>
  </si>
  <si>
    <t>WOS:000435558000001</t>
  </si>
  <si>
    <t>Kontic, L; Vidicki, D</t>
  </si>
  <si>
    <t>Kontic, Ljiljana; Vidicki, Dorde</t>
  </si>
  <si>
    <t>Strategy for Digital Organization: Testing a Measurement Tool for Digital Transformation</t>
  </si>
  <si>
    <t>STRATEGIC MANAGEMENT</t>
  </si>
  <si>
    <t>Digital organization; strategy; digital dexterity; transformation; organizational culture</t>
  </si>
  <si>
    <t>Proactive leadership and investment are the key factors that determine a company's potential to become a digital organization. Based on the analysis of relevant literature, we will introduce a four-stage model. The companies are progressing through stalling, initiating, engaging and self-reinforcement stage. The main research question is: How to assess an organization's readiness for digital transformation? The main aim of this study is to propose the digital strategy based on four critical dimensions such as digital-first mindset, digital practices, empowered talent and data access and collaboration tools. The questionnaire comprised 32 questions to assess organization's position across aforementioned dimensions. Regarding different characteristics of national culture, the construct validity of research methodology developed in one society will be investigated for a Serbian sample. The sample consisted of 30 managers in one company. The research findings revealed possible practical implementation of an adapted questionnaire used by MIT Centre for Digital Business and Capgemini Consulting. The findings add to the existing literature on digital strategies in cross-cultural organizational contexts. The research findings revealed that an analyzed company redesigned organization as well as investment significantly in technology. The practical implementation and study limitation are suggested too.</t>
  </si>
  <si>
    <t>[Kontic, Ljiljana] Union Univ Novi Sad, Fac Legal &amp; Business Studies Dr Lazar Vrkatic, Novi Sad, Serbia; [Vidicki, Dorde] Govt Vojvodina Novi Sad, Novi Sad, Serbia</t>
  </si>
  <si>
    <t>Kontic, L (corresponding author), Fac Legal &amp; Business Studies Dr Lazar Vrkatic, Bulevar Oslobodenja 76, Novi Sad 21000, Serbia.</t>
  </si>
  <si>
    <t>ljiljana.kontic@yahoo.com</t>
  </si>
  <si>
    <t>Kontic, Ljiljana/GPX-1477-2022</t>
  </si>
  <si>
    <t>UNIV NOVI SAD, FAC ECONOMICS SUBOTICA</t>
  </si>
  <si>
    <t>SUBOTICA</t>
  </si>
  <si>
    <t>SEGEDINSKI PUT 9-11, SUBOTICA, 24000, SERBIA</t>
  </si>
  <si>
    <t>1821-3448</t>
  </si>
  <si>
    <t>2334-6191</t>
  </si>
  <si>
    <t>STRATEG MANAG</t>
  </si>
  <si>
    <t>Strateg. Manag.</t>
  </si>
  <si>
    <t>10.5937/StraMan1801029K</t>
  </si>
  <si>
    <t>GC9GI</t>
  </si>
  <si>
    <t>WOS:000430105100004</t>
  </si>
  <si>
    <t>Kreiss, D; McGregor, SC</t>
  </si>
  <si>
    <t>Kreiss, Daniel; McGregor, Shannon C.</t>
  </si>
  <si>
    <t>Technology Firms Shape Political Communication: The Work of Microsoft, Facebook, Twitter, and Google With Campaigns During the 2016 US Presidential Cycle</t>
  </si>
  <si>
    <t>POLITICAL COMMUNICATION</t>
  </si>
  <si>
    <t>Facebook; 2016 US Presidential Election; digital politics; political campaigning; social media</t>
  </si>
  <si>
    <t>This article offers the first analysis of the role that technology companies, specifically Facebook, Twitter, Microsoft, and Google, play in shaping the political communication of electoral campaigns in the United States. We offer an empirical analysis of the work technology firms do around electoral politics through interviews with staffers at these firms and digital and social media directors of 2016U.S. presidential primary and general election campaigns, in addition to field observations at the 2016 Democratic National Convention. We find that technology firms are motivated to work in the political space for marketing, advertising revenue, and relationship-building in the service of lobbying efforts. To facilitate this, these firms have developed organizational structures and staffing patterns that accord with the partisan nature of American politics. Furthermore, Facebook, Twitter, and Google go beyond promoting their services and facilitating digital advertising buys, actively shaping campaign communication through their close collaboration with political staffers. We show how representatives at these firms serve as quasi-digital consultants to campaigns, shaping digital strategy, content, and execution. Given this, we argue that political communication scholars need to consider social media firms as more active agents in political processes than previously appreciated in the literature.</t>
  </si>
  <si>
    <t>[Kreiss, Daniel] Univ N Carolina, Sch Media &amp; Journalism, Carroll Hall,CB 3365, Chapel Hill, NC 27599 USA; [McGregor, Shannon C.] Univ Utah, Dept Commun, 255 Cent Campus Dr 2400, Salt Lake City, UT 84112 USA</t>
  </si>
  <si>
    <t>University of North Carolina; University of North Carolina Chapel Hill; Utah System of Higher Education; University of Utah</t>
  </si>
  <si>
    <t>Kreiss, D (corresponding author), Univ N Carolina, Sch Media &amp; Journalism, Carroll Hall,CB 3365, Chapel Hill, NC 27599 USA.</t>
  </si>
  <si>
    <t>dkreiss@email.unc.edu; shannon.c.mgregor@gmail.com</t>
  </si>
  <si>
    <t>黄, 荣 昌/HGA-6762-2022; McGregor, Shannon C/AAO-1718-2020</t>
  </si>
  <si>
    <t>McGregor, Shannon/0000-0002-3275-0397</t>
  </si>
  <si>
    <t>Social Media Collective at Microsoft Research</t>
  </si>
  <si>
    <t>Social Media Collective at Microsoft Research(Microsoft)</t>
  </si>
  <si>
    <t>The authors would like to thank Sarah Flowers, Laura Meadows, Cara Schumann, and Shannon Zenner for their invaluable field research at the 2016 Democratic National Convention. Shannon C. McGregor also wishes to thank the Social Media Collective at Microsoft Research for their support in the early stages of this project.</t>
  </si>
  <si>
    <t>1058-4609</t>
  </si>
  <si>
    <t>1091-7675</t>
  </si>
  <si>
    <t>POLIT COMMUN</t>
  </si>
  <si>
    <t>Polit. Commun.</t>
  </si>
  <si>
    <t>10.1080/10584609.2017.1364814</t>
  </si>
  <si>
    <t>Communication; Political Science</t>
  </si>
  <si>
    <t>FZ9AO</t>
  </si>
  <si>
    <t>WOS:000427902200001</t>
  </si>
  <si>
    <t>Meinich-Bache, O; Engan, K; Birkenes, TS; Myklebust, H</t>
  </si>
  <si>
    <t>Meinich-Bache, Oyvind; Engan, Kjersti; Birkenes, Tonje Soraas; Myklebust, Helge</t>
  </si>
  <si>
    <t>Real-Time Chest Compression Quality Measurements by Smartphone Camera</t>
  </si>
  <si>
    <t>JOURNAL OF HEALTHCARE ENGINEERING</t>
  </si>
  <si>
    <t>RESUSCITATION COUNCIL GUIDELINES; HOSPITAL CARDIAC-ARREST; BASIC LIFE-SUPPORT; CARDIOPULMONARY-RESUSCITATION; FEEDBACK DEVICE; CPR; ASSOCIATION; PERFORMANCE; STATEMENT; OUTCOMES</t>
  </si>
  <si>
    <t>Out-of-hospital cardiac arrest (OHCA) is recognized as a global mortality challenge, and digital strategies could contribute to increase the chance of survival. In this paper, we investigate if cardiopulmonary resuscitation (CPR) quality measurement using smartphone video analysis in real-time is feasible for a range of conditions. With the use of a web-connected smartphone application which utilizes the smartphone camera, we detect inactivity and chest compressions and measure chest compression rate with real-time feedback to both the caller who performs chest compressions and over the web to the dispatcher who coaches the caller on chest compressions. The application estimates compression rate with 0.5 s update interval, time to first stable compression rate (TFSCR), active compression time (TC), hands-off time (TWC), average compression rate (ACR), and total number of compressions (NC). Four experiments were performed to test the accuracy of the calculated chest compression rate under different conditions, and a fifth experiment was done to test the accuracy of the CPR summary parameters TFSCR, TC, TWC, ACR, and NC. Average compression rate detection error was 2.7 compressions per minute (+/- 5.0 cpm), the calculated chest compression rate was within +/- 10 cpm in 98% (+/- 5.5) of the time, and the average error of the summary CPR parameters was 4.5% (+/- 3.6). The results show that real-time chest compression quality measurement by smartphone camera in simulated cardiac arrest is feasible under the conditions tested.</t>
  </si>
  <si>
    <t>[Meinich-Bache, Oyvind; Engan, Kjersti] Univ Stavanger, Kjell Arholmsgate 41, N-4036 Stavanger, Norway; [Birkenes, Tonje Soraas; Myklebust, Helge] Laerdal Med, Tanke Svilands Gate 30, N-4002 Stavanger, Norway</t>
  </si>
  <si>
    <t>Universitetet i Stavanger</t>
  </si>
  <si>
    <t>Meinich-Bache, O (corresponding author), Univ Stavanger, Kjell Arholmsgate 41, N-4036 Stavanger, Norway.</t>
  </si>
  <si>
    <t>oyvind.meinich-bache@uis.no</t>
  </si>
  <si>
    <t>Engan, Kjersti/AFU-6843-2022</t>
  </si>
  <si>
    <t>Engan, Kjersti/0000-0002-8970-0067; Birkenes, Tonje Soraas/0000-0001-8736-5122; Meinich-Bache, Oyvind/0000-0002-9264-027X</t>
  </si>
  <si>
    <t>University of Stavanger; Laerdal Medical</t>
  </si>
  <si>
    <t>We want to thank Solveig Haukas Haaland, (Laerdal Medical) for help with planning and execution of experiments and (omas Hinna (BI Builders) and Daniel Vartdal (Webstep Stavanger) for help with real-time implementation of the algorithm in an android app. The study and application development was funded by University of Stavanger and Laerdal Medical.</t>
  </si>
  <si>
    <t>2040-2295</t>
  </si>
  <si>
    <t>2040-2309</t>
  </si>
  <si>
    <t>J HEALTHC ENG</t>
  </si>
  <si>
    <t>J. Healthc. Eng.</t>
  </si>
  <si>
    <t>10.1155/2018/6241856</t>
  </si>
  <si>
    <t>GZ9MM</t>
  </si>
  <si>
    <t>Green Published, Green Submitted, gold</t>
  </si>
  <si>
    <t>WOS:000449823600001</t>
  </si>
  <si>
    <t>Perboli, G; Musso, S; Rosano, M</t>
  </si>
  <si>
    <t>Perboli, Guido; Musso, Stefano; Rosano, Mariangela</t>
  </si>
  <si>
    <t>Blockchain in Logistics and Supply Chain: A Lean Approach for Designing Real-World Use Cases</t>
  </si>
  <si>
    <t>Blockchain; hyperledger; supply chain</t>
  </si>
  <si>
    <t>The Blockchain technology can be defined as a distributed ledger database for recording transactions between parties verifiably and permanently. Blockchain emerged as a leading technology layer for financial applications. Nevertheless, in the past years, the attention of researchers and practitioners moved to the application of the Blockchain technologies to other domains. Recently, it represents the backbone of a new digital supply chain. Thanks to its capability of ensuring data immutability and public accessibility of data streams, Blockchain can increase the efficiency, reliability, and transparency of the overall supply chain, and optimize the inbound processes. The literature concerning Blockchain in non-financial applications mainly focused on the technological part and the Business Process Modeling, lacking in terms of standard methodology for designing a strategy to develop and validate the overall Blockchain solution and integrate it in the Business Strategy. Thus, this paper aims to overcome this lack. First, we integrate the current literature filling the lack concerning the digital strategy, creating a standard methodology to design Blockchain technology use cases, which are not related to finance applications. Second, we present the results of a use case in the fresh food delivery, showing the critical aspects of implementing a Blockchain solution. Moreover, the paper discusses how the Blockchain will help in reducing the logistics costs and in optimizing the operations and the research challenges.</t>
  </si>
  <si>
    <t>[Perboli, Guido; Musso, Stefano; Rosano, Mariangela] Politecn Torino, DAUIN, I-10129 Turin, Italy; [Perboli, Guido; Musso, Stefano; Rosano, Mariangela] Politecn Torino, ICT City Logist &amp; Enterprises Ctr, I-10129 Turin, Italy; [Perboli, Guido] Ctr Interuniv Rech Reseaux Entreprise Logist &amp; Tr, Montreal, PQ H3T 1J4, Canada</t>
  </si>
  <si>
    <t>Polytechnic University of Turin; Polytechnic University of Turin; Universite de Montreal</t>
  </si>
  <si>
    <t>Rosano, M (corresponding author), Politecn Torino, DAUIN, I-10129 Turin, Italy.;Rosano, M (corresponding author), Politecn Torino, ICT City Logist &amp; Enterprises Ctr, I-10129 Turin, Italy.</t>
  </si>
  <si>
    <t>mariangela.rosano@polito.it</t>
  </si>
  <si>
    <t>Musso, Stefano/AAW-5765-2021; Perboli, Guido/G-1049-2014; ROSANO, MARIANGELA/AAV-7150-2021</t>
  </si>
  <si>
    <t>Perboli, Guido/0000-0001-6900-9917; ROSANO, MARIANGELA/0000-0002-6879-827X</t>
  </si>
  <si>
    <t>10.1109/ACCESS.2018.2875782</t>
  </si>
  <si>
    <t>HA6DM</t>
  </si>
  <si>
    <t>WOS:000450369800001</t>
  </si>
  <si>
    <t>Rezende, DA; Procopiuck, M</t>
  </si>
  <si>
    <t>Rezende, Denis Alcides; Procopiuck, Mario</t>
  </si>
  <si>
    <t>Strategic Digital City Project as Public Policy: the case of Chicago, USA</t>
  </si>
  <si>
    <t>Public Policy; Strategic Digital City; Strategic Technological Project; Public Administration; Citizen Participation</t>
  </si>
  <si>
    <t>CITIES; TECHNOLOGY; FUTURE</t>
  </si>
  <si>
    <t>Digital city projects can be considered as public policy with different approaches to public administration when they formalize strategies in cities as a premise to strengthen public management processes, citizenship and the development potential of society in general, through planning, structuring, saving and making available information and public services. The objective is to analyze the Chicago - USA strategic digital city project as a public policy and to contextualize it in the face of initiatives that take place in the Brazilian federal, state and municipal spheres. The research methodology emphasizes a case study constructed on the basis of qualitative information and analysis. The results indicate that Chicago has developed a strategic technological project as a public policy and that, conceptually, there is an approximation of the intentionalities expressed in Brazilian public policies. The conclusion reiterates the importance of adopting strategies in cities as a basis for designing comprehensive technological projects to increase the effectiveness of public management, increase social participation and citizens' quality life and contribute to municipal public policy.</t>
  </si>
  <si>
    <t>[Rezende, Denis Alcides; Procopiuck, Mario] Pontificia Univ Catolica Parana, Curitiba, Parana, Brazil</t>
  </si>
  <si>
    <t>Rezende, DA (corresponding author), Pontificia Univ Catolica Parana, Curitiba, Parana, Brazil.</t>
  </si>
  <si>
    <t>denis.rezende@pucpr.br; mario.p@pucpr.br</t>
  </si>
  <si>
    <t>Prokopiuk, Mario/E-1127-2014</t>
  </si>
  <si>
    <t>Prokopiuk, Mario/0000-0002-7346-1938</t>
  </si>
  <si>
    <t>GM0XO</t>
  </si>
  <si>
    <t>WOS:000437784000016</t>
  </si>
  <si>
    <t>Ruttkay, Z; Bényei, J</t>
  </si>
  <si>
    <t>Bast, G; Carayannis, EG; Campbell, DFJ</t>
  </si>
  <si>
    <t>Ruttkay, Zsofia; Benyei, Judit</t>
  </si>
  <si>
    <t>Renewal of the Museum in the Digital Epoch</t>
  </si>
  <si>
    <t>FUTURE OF MUSEUMS</t>
  </si>
  <si>
    <t>Arts Research Innovation and Society</t>
  </si>
  <si>
    <t>Design; Digital museum; Digital technologies; Evaluation; Learning; New media culture; BDT (basic digital technologies)</t>
  </si>
  <si>
    <t>At the beginning of the twenty-first century, digital technologies are radically changing the way young people communicate, learn and spend their free time. Museums, in order not to lose the next generations as visitors, must conform to the new expectations and needs. On a large scale, the museum must address young people, provide a forum for self-expression and participation and advertise itself by new means. On a smaller scale, the style and means of individual exhibitions must change, providing space for activity, emotions and multiple modalities besides text, personalized visits, interactive explorations and self-expression, evoking emotions but meanwhile also fulfilling educational objectives. Digital technologies-by the yet smaller, cheaper and more and more pervasive devices and services-provide ample means to reach these goals. In our article first we provide a conceptual framework, focussing on the Internet generation as new audience and traditional and new functions of museums. We show how digital technologies may be used to reach six major and general goals. For each issue, we discuss concrete recent examples, from international and own projects. Finally, we address the roles in the complex process of design, development and daily operation of digital applications, in the context of a digital strategy for the museum.</t>
  </si>
  <si>
    <t>[Ruttkay, Zsofia] Moholy Nagy Univ Art &amp; Design, Creat Technol Lab, Budapest, Hungary; [Benyei, Judit] Moholy Nagy Univ Art &amp; Design, Dept Pedag &amp; Psychol, Budapest, Hungary</t>
  </si>
  <si>
    <t>Moholy-Nagy University of Art &amp; Design Budapest; Moholy-Nagy University of Art &amp; Design Budapest</t>
  </si>
  <si>
    <t>Ruttkay, Z (corresponding author), Moholy Nagy Univ Art &amp; Design, Creat Technol Lab, Budapest, Hungary.</t>
  </si>
  <si>
    <t>ruttkay@mome.hu; benyeij@mome.hu</t>
  </si>
  <si>
    <t>2626-7683</t>
  </si>
  <si>
    <t>2626-7691</t>
  </si>
  <si>
    <t>978-3-319-93955-1; 978-3-319-93954-4</t>
  </si>
  <si>
    <t>ARTS RES INNOV SOCIE</t>
  </si>
  <si>
    <t>10.1007/978-3-319-93955-1_10</t>
  </si>
  <si>
    <t>10.1007/978-3-319-93955-1</t>
  </si>
  <si>
    <t>Art; Cultural Studies</t>
  </si>
  <si>
    <t>BP9LE</t>
  </si>
  <si>
    <t>WOS:000569532000011</t>
  </si>
  <si>
    <t>Schubert, O; Beuer, F; Güth, JF; Nold, E; Edelhoff, D; Metz, I</t>
  </si>
  <si>
    <t>Schubert, O.; Beuer, F.; Gueth, J-F; Nold, E.; Edelhoff, D.; Metz, I</t>
  </si>
  <si>
    <t>Two digital strategies in modern implantology - root-analogue implants and the digital one-abutment/one-time concept</t>
  </si>
  <si>
    <t>INTERNATIONAL JOURNAL OF COMPUTERIZED DENTISTRY</t>
  </si>
  <si>
    <t>computer-aided design/computer-aided manufacturing (CAD/CAM); custom-made implant; cone beam computed tomography (CBCT); guided surgery; immediate implantation; intraoral scanning (IOS); root-analogue implant (RAI); one-abutment/one-time; three-dimensional (3D) diagnosis</t>
  </si>
  <si>
    <t>SINGLE-TOOTH REPLACEMENT; DENTAL IMPLANTS; EXTRACTION SOCKETS; LITHIUM DISILICATE; ZIRCONIA IMPLANT; CUSTOM-MADE; FOLLOW-UP; IN-VITRO; IMMEDIATE; TITANIUM</t>
  </si>
  <si>
    <t>The irreversible trend toward digitization in dentistry and dental technology has resulted in technical progress and continuous changes to conventional workflows. In particular, implantology and prosthetics have benefited from a multitude of interesting new possibilities. Three-dimensional (3D) computed radiography and digital surface scanning can be invaluable in terms of backward planning and making implant surgery and denture fabrication more predictable. In this context, two digital implant-prosthetic treatment strategies are presented that allow for an efficient digital workflow while ensuring a minimally invasive surgical procedure. By means of digital intraoperative scanning of the implant position, the digital one-abutment/one-time concept allows for the insertion of computer-aided design/computer-aided manufacturing (CAD/CAM)-manufactured single crowns instantly after uncovering the implant. The second approach uses 3D radiographic data to preoperatively manufacture a one-piece root-analogue implant (RAI) and insert it immediately after tooth extraction. Both ideas promise some advantages in terms of quality and preservation of periimplant tissues as well as a noticeable reduction in overall treatment time.</t>
  </si>
  <si>
    <t>[Schubert, O.; Gueth, J-F; Nold, E.; Edelhoff, D.; Metz, I] LMU Munchen, Klinikum Univ Munchen, Poliklin Zahnarztliche Prothet, Goethestr 70, D-80336 Munich, Germany; [Beuer, F.] Charite Univ Med Berlin, Ctr Zahn Mund &amp; Kieferheilkunde, Abt Zahnarztliche Prothet Funkt Lehre &amp; Alterszah, Berlin, Germany</t>
  </si>
  <si>
    <t>University of Munich; Free University of Berlin; Humboldt University of Berlin; Charite Universitatsmedizin Berlin</t>
  </si>
  <si>
    <t>Schubert, O (corresponding author), LMU Munchen, Klinikum Univ Munchen, Poliklin Zahnarztliche Prothet, Goethestr 70, D-80336 Munich, Germany.</t>
  </si>
  <si>
    <t>oliver.schubert@med.uni-muenchen.de</t>
  </si>
  <si>
    <t>Beuer, Florian/0000-0003-0246-790X</t>
  </si>
  <si>
    <t>QUINTESSENCE PUBLISHING CO INC</t>
  </si>
  <si>
    <t>HANOVER PARK</t>
  </si>
  <si>
    <t>4350 CHANDLER DRIVE, HANOVER PARK, IL 60133 USA</t>
  </si>
  <si>
    <t>1463-4201</t>
  </si>
  <si>
    <t>INT J COMPUT DENT</t>
  </si>
  <si>
    <t>Int. J. Comput. Dent.</t>
  </si>
  <si>
    <t>GY0PQ</t>
  </si>
  <si>
    <t>WOS:000448224100005</t>
  </si>
  <si>
    <t>Stone, M; Aravopoulou, E</t>
  </si>
  <si>
    <t>Stone, Merlin; Aravopoulou, Eleni</t>
  </si>
  <si>
    <t>Improving journeys by opening data: the case of Transport for London (TfL)</t>
  </si>
  <si>
    <t>Public transport; Customer information; Open data; Customer benefits; App development; Cloud hosting</t>
  </si>
  <si>
    <t>PUBLIC TRANSPORT; TRAVEL; TIMES</t>
  </si>
  <si>
    <t>Purpose This case study describes how one of the world's largest public transport operations, Transport for London (TfL), transformed the real-time availability of information for its customers and staff through the open data approach, and what the results of this transformation were. The purpose of this paper is therefore to show what is required for an open data approach to work. Design/methodology/approach This case study is based mainly on interviews at TfL and data supplied by TfL directly to the researchers. It analyses as far as possible the reported facts of the case to identify the processes required for open data and the benefits thereof. Findings The main finding is that achieving an open data approach in public transport is helped by having a clear commitment to the idea that the data belong to the public and that third parties should be allowed to use and repurpose the information, by having a strong digital strategy, and by creating strong partnerships with data management organisations that can support the delivery of high volumes of information. Research limitations/implications This research is based upon a single case study, albeit over an extensive period, so the findings cannot be applied simply to other situations, other than as evidence of what is possible. However, similar processes could be applied in other situations as a heuristic approach to open data strategy implementation. Practical implications The case study shows how open data can be used to create commercial and non-commercial customer-facing products and services, which passengers and other road users use to gain a better travel experience, and that this approach can be valued in terms of financial/economic contribution to customers and organisations. Social implications This case study shows the value that society can obtain from the opening of data in public transport, and the importance of public service innovation in delivering benefits to citizens. Originality/value This is the first case study to show in some detail some of the processes and activities required to open data to public service customers and others.</t>
  </si>
  <si>
    <t>[Stone, Merlin; Aravopoulou, Eleni] St Marys Univ, Dept Management &amp; Social Sci, London, England</t>
  </si>
  <si>
    <t>St Mary's University Twickenham London</t>
  </si>
  <si>
    <t>Stone, M (corresponding author), St Marys Univ, Dept Management &amp; Social Sci, London, England.</t>
  </si>
  <si>
    <t>merlin.stone@stmarys.ac.uk; Eleni.aravopoulou@stmarys.ac.uk</t>
  </si>
  <si>
    <t>Stone, Merlin/AAC-9082-2019</t>
  </si>
  <si>
    <t>Stone, Merlin/0000-0003-4687-0629</t>
  </si>
  <si>
    <t>10.1108/BL-12-2017-0035</t>
  </si>
  <si>
    <t>FY4ID</t>
  </si>
  <si>
    <t>WOS:000426785000001</t>
  </si>
  <si>
    <t>Tommasi, BL</t>
  </si>
  <si>
    <t>Tommasi, Brizio Leonardo</t>
  </si>
  <si>
    <t>Project management and digital transformation. Performance measuring model of digital projects and archives</t>
  </si>
  <si>
    <t>JLIS.IT</t>
  </si>
  <si>
    <t>Digital project; Digital project management; Digital economy; Archival economy; Digital archives; Games Theory; Digital records management</t>
  </si>
  <si>
    <t>Every organization and every innovation, including digital transformation, are based on projects; one third of the world's economy is based on projects. Digital-based innovations consist of multidisciplinary prospects based on juridical, organizational, archival and technological dimensions. Moreover the project has to use management methodologies: project management has become an important discipline in this context. The project and its management methodologies use a systemic approach for the management areas. Similarly digital archive innovations require a multidisciplinary approach: it identifies a transformation from the pure analytical approach towards a complex, multidisciplinary and interdependent systems. The project and digital archive initiatives have to strategically use the approach and project oriented organization, based on a multidisciplinary and systemic approach: the digital project. This approach requires to measure results of the used digital strategies and to evaluate the effects of relative projects. The strategic perspectives management consists of balanced indicators for the related disciplines, through using Digital Scorecard (DSC), digital archive performance named Overall digital Archive Effectiveness (OAE) and the Digital Manager based on an equilibrium of competences emerging from the application of games theory.</t>
  </si>
  <si>
    <t>[Tommasi, Brizio Leonardo] Univ Roma Tor Vergata, CONSOB Commiss Nazl Soc &amp; Borsa, Rome, Italy</t>
  </si>
  <si>
    <t>University of Rome Tor Vergata</t>
  </si>
  <si>
    <t>Tommasi, BL (corresponding author), Univ Roma Tor Vergata, CONSOB Commiss Nazl Soc &amp; Borsa, Rome, Italy.</t>
  </si>
  <si>
    <t>b.tommasi@consob.it</t>
  </si>
  <si>
    <t>Tommasi, Brizio Leonardo/0000-0003-3827-9361</t>
  </si>
  <si>
    <t>UNIV STUDI FIRENZE, DIPT STUDI MEDIOEVO &amp; RINASCIMENTO</t>
  </si>
  <si>
    <t>PIAZZA BRUNELLESCHI 3-4, FLORENCE, 50121, ITALY</t>
  </si>
  <si>
    <t>2038-5366</t>
  </si>
  <si>
    <t>2038-1026</t>
  </si>
  <si>
    <t>JLIS.it</t>
  </si>
  <si>
    <t>10.4403/jlis.it-12420</t>
  </si>
  <si>
    <t>GT5KZ</t>
  </si>
  <si>
    <t>WOS:000444547800006</t>
  </si>
  <si>
    <t>von Kutzschenbach, M; Schmid, A; Schoenenberger, L</t>
  </si>
  <si>
    <t>Dornberger, R</t>
  </si>
  <si>
    <t>von Kutzschenbach, Michael; Schmid, Alexander; Schoenenberger, Lukas</t>
  </si>
  <si>
    <t>Using Feedback Systems Thinking to Explore Theories of Digital Business for Medtech Companies</t>
  </si>
  <si>
    <t>BUSINESS INFORMATION SYSTEMS AND TECHNOLOGY 4.0: NEW TRENDS IN THE AGE OF DIGITAL CHANGE</t>
  </si>
  <si>
    <t>Studies in Systems Decision and Control</t>
  </si>
  <si>
    <t>Digital transformation; Systems thinking; Systems archetypes Business model; Theory of business; Digital service strategy; Platform business; Healthcare; Medtech</t>
  </si>
  <si>
    <t>DYNAMICS</t>
  </si>
  <si>
    <t>The rapid innovation of digital technologies poses a significant challenge to the healthcare sector. Digital technologies are transforming stakeholder relationships among established industry actors, including those of manufacturers, hospitals, and patients. To be ahead of competitors and to maintain profitability, medical device technology manufacturers (medtech companies) are urged to shift their business focus from product to customer excellence and thus invest in service offerings, focusing on the costs of alternative value delivery and patient outcomes. Such investments require a systemic and holistic understanding of how these changes in strategy affect the external and internal competitive environment. In this chapter, we propose the use of feedback systems thinking to explore the intended and unintended consequences of shifts in strategy, from sequential value chains to platform-oriented thinking. Taking the perspective of a medtech company in the value chain, we highlight challenges arising from hidden limits to growth that prevent the realization of intended achievements. Based on this, we develop hypotheses for the intended and unintended consequences of investing in digital service offerings. We conclude with a discussion of how systems thinking and modeling can support digital strategy development.</t>
  </si>
  <si>
    <t>[von Kutzschenbach, Michael] Univ Appl Sci &amp; Arts Northwestern Switzerland, Inst Informat Syst, Peter Merian Str 86, CH-4052 Basel, Switzerland; [Schmid, Alexander] Univ Liechtenstein, Inst Informat Syst, Furst Franz Josef Str, FL-9490 Vaduz, Liechtenstein; [Schoenenberger, Lukas] Bern Univ Appl Sci, Inst Corp Dev, Dept Business Hlth &amp; Social Work, Bruckenstr 73, CH-3005 Bern, Switzerland</t>
  </si>
  <si>
    <t>FHNW University of Applied Sciences &amp; Arts Northwestern Switzerland; University of Liechtenstein</t>
  </si>
  <si>
    <t>von Kutzschenbach, M (corresponding author), Univ Appl Sci &amp; Arts Northwestern Switzerland, Inst Informat Syst, Peter Merian Str 86, CH-4052 Basel, Switzerland.</t>
  </si>
  <si>
    <t>michael.vonkutzschenbach@fhnw.ch; alexander.schmid@uni.li; lukas.schoenenberger@bfh.ch</t>
  </si>
  <si>
    <t>Schmid, Alexander/R-1749-2019; von Kutzschenbach, Michael/AAH-3060-2020</t>
  </si>
  <si>
    <t>Schmid, Alexander/0000-0001-6872-7140; von Kutzschenbach, Michael/0000-0002-1174-8378</t>
  </si>
  <si>
    <t>2198-4182</t>
  </si>
  <si>
    <t>2198-4190</t>
  </si>
  <si>
    <t>978-3-319-74322-6; 978-3-319-74321-9</t>
  </si>
  <si>
    <t>STUD SYST DECIS CONT</t>
  </si>
  <si>
    <t>10.1007/978-3-319-74322-6_11</t>
  </si>
  <si>
    <t>10.1007/978-3-319-74322-6</t>
  </si>
  <si>
    <t>Business; Computer Science, Information Systems; Computer Science, Interdisciplinary Applications</t>
  </si>
  <si>
    <t>Business &amp; Economics; Computer Science</t>
  </si>
  <si>
    <t>BL0GH</t>
  </si>
  <si>
    <t>WOS:000445782200012</t>
  </si>
  <si>
    <t>Whyley, D</t>
  </si>
  <si>
    <t>Voogt, J; Knezek, G; Christensen, R; Lai, KW</t>
  </si>
  <si>
    <t>Whyley, David</t>
  </si>
  <si>
    <t>Barriers to Mobile Learning Advancements in the United Kingdom</t>
  </si>
  <si>
    <t>SECOND HANDBOOK OF INFORMATION TECHNOLOGY IN PRIMARY AND SECONDARY EDUCATION</t>
  </si>
  <si>
    <t>Springer International Handbooks of Education</t>
  </si>
  <si>
    <t>Mobile technology; Digital strategy; BYOD1:1; Cloud storage; E-books personalized learning</t>
  </si>
  <si>
    <t>Since its ambitious, visionary beginning in 2003 in Wolverhampton, mobile learning continues to expand and evolve in the UK. Mobile technologies, as well, continue to expand and evolve with tablets, Chromebooks, and even laptops viewed as mobile devices. Drawing on a range of resources (e.g., interviews with 16 influential practitioners), then, this chapter addresses the question: what is the status of mobile learning in the UK some 15 years later? In developing an answer, we explore mobile devices, models of mobile device ownership, and the pedagogical uses of mobile devices for mobile learning.</t>
  </si>
  <si>
    <t>[Whyley, David] Whytek Consulting, Stourbridge, England</t>
  </si>
  <si>
    <t>Whyley, D (corresponding author), Whytek Consulting, Stourbridge, England.</t>
  </si>
  <si>
    <t>david.whyley@whytekconsulting.co.uk</t>
  </si>
  <si>
    <t>2197-1951</t>
  </si>
  <si>
    <t>2197-196X</t>
  </si>
  <si>
    <t>978-3-319-71054-9; 978-3-319-71053-2</t>
  </si>
  <si>
    <t>SPRINGER INT HBK ED</t>
  </si>
  <si>
    <t>10.1007/978-3-319-71054-9_53</t>
  </si>
  <si>
    <t>10.1007/978-3-319-71054-9</t>
  </si>
  <si>
    <t>BO0BR</t>
  </si>
  <si>
    <t>WOS:000490251500055</t>
  </si>
  <si>
    <t>Wong, P; Lee, D; Ng, PML</t>
  </si>
  <si>
    <t>Wong, Phoebe; Lee, Daisy; Ng, Peggy M. L.</t>
  </si>
  <si>
    <t>Online search for information about universities: a Hong Kong study</t>
  </si>
  <si>
    <t>INTERNATIONAL JOURNAL OF EDUCATIONAL MANAGEMENT</t>
  </si>
  <si>
    <t>Higher education institutions; Enrolment; Online university information search; University marketing; University recruitment</t>
  </si>
  <si>
    <t>HIGHER-EDUCATION; GENDER-DIFFERENCES; SOCIAL MEDIA; RECRUITMENT; STRATEGIES; BRAND; INSTITUTIONS; FACEBOOK; BEHAVIOR; CHOICE</t>
  </si>
  <si>
    <t>Purpose A fuller understanding of the information search behaviour of prospective students in the digital era is one of the keys to success in university recruitment. The purpose of this paper is to investigate students' university choice factors in relation to the online environment. Design/methodology/approach In total, 637 samples from 11 private higher education institutions were collected and tested against assumptions before performing statistical analysis including exploratory factor analysis and mean comparison. Findings The findings revealed that there are some significant differences in gender and academic discipline in the use of the internet to search for university information. In addition, four constructs of university information were identified that are perceived as important by students in their search behaviour: university reputation, eligibility and affordability, teaching and learning and university tangibility. The outcomes of this research provide some noteworthy insights which have numerous strategic digital marketing implications. Originality/value While most existing studies have explored types of social media apps or online channels that prospective students use, little research has touched on students' university choice factors in relation to the online environment. Responding to Constantinides and Zinck Stagno (2011) and Hemsley-Brown et al.'s (2016) call, this paper aims to address this research gap by investigating students' university information search in relation to the online environment.</t>
  </si>
  <si>
    <t>[Wong, Phoebe; Lee, Daisy; Ng, Peggy M. L.] Hong Kong Polytech Univ, Sch Profess Educ &amp; Execut Dev, Hong Kong, Hong Kong, Peoples R China</t>
  </si>
  <si>
    <t>Hong Kong Polytechnic University</t>
  </si>
  <si>
    <t>Wong, P (corresponding author), Hong Kong Polytech Univ, Sch Profess Educ &amp; Execut Dev, Hong Kong, Hong Kong, Peoples R China.</t>
  </si>
  <si>
    <t>phoebewws@yahoo.com; smdlee@speed-polyu.edu.hk; sppeggy@speed-polyu.edu.hk</t>
  </si>
  <si>
    <t>Lee, Daisy/E-7877-2019; Lee, Daisy/CAG-1010-2022</t>
  </si>
  <si>
    <t>Lee, Daisy/0000-0002-9630-1689; WONG, Wai Sum Phoebe/0000-0002-6404-928X; Ng, Peggy/0000-0001-8659-5700</t>
  </si>
  <si>
    <t>College of Professional and Continuing Education, The Hong Kong Polytechnic University</t>
  </si>
  <si>
    <t>This paper was partially supported by the College of Professional and Continuing Education, The Hong Kong Polytechnic University.</t>
  </si>
  <si>
    <t>0951-354X</t>
  </si>
  <si>
    <t>1758-6518</t>
  </si>
  <si>
    <t>INT J EDUC MANAG</t>
  </si>
  <si>
    <t>Int. J. Educ. Manag.</t>
  </si>
  <si>
    <t>10.1108/IJEM-12-2016-0268</t>
  </si>
  <si>
    <t>GD0LL</t>
  </si>
  <si>
    <t>WOS:000430192200012</t>
  </si>
  <si>
    <t>The role of digital marketing in political campaigns</t>
  </si>
  <si>
    <t>Elections; Advertising; Privacy; Analytics; Profiling</t>
  </si>
  <si>
    <t>LAW</t>
  </si>
  <si>
    <t>Computational politics-the application of digital targeted-marketing technologies to election campaigns in the US and elsewhere-are now raising the same concerns for democratic discourse and governance that they have long raised for consumer privacy and welfare in the commercial marketplace. This paper examines the digital strategies and technologies of today's political operations, explaining how they were employed during the most recent US election cycle, and exploring the implications of their continued use in the civic context. The paper concludes with a discussion of recent policy proposals designed to increase transparency and accountability in digital politics.</t>
  </si>
  <si>
    <t>[Chester, Jeff] Ctr Digital Democracy, Washington, DC 20006 USA; [Montgomery, Kathryn C.] Amer Univ, Sch Commun, Washington, DC 20016 USA</t>
  </si>
  <si>
    <t>10.14763/2017.4.773</t>
  </si>
  <si>
    <t>FV4WY</t>
  </si>
  <si>
    <t>WOS:000424578800007</t>
  </si>
  <si>
    <t>Elblaus, L; Unander-Scharin, Å; Unander-Scharin, C</t>
  </si>
  <si>
    <t>Elblaus, Ludvig; Unander-Scharin, Asa; Unander-Scharin, Carl</t>
  </si>
  <si>
    <t>Uncanny Materialities: Digital Strategies for Staging Supernatural Themes Drawn from Medieval Ballads</t>
  </si>
  <si>
    <t>LEONARDO MUSIC JOURNAL</t>
  </si>
  <si>
    <t>In the medieval tradition of ballads, a recurring theme is that of transformation. In a staged concert for chamber orchestra, singers and dancers called Varelser och Ballader (Beings and Ballads), we explored this theme using ballads coupled with contemporary poetry and new music. The performance made use of custom-made digital musical instruments, using video analysis and large-scale physical interfaces for transformative purposes. In this article, we describe the piece itself as well as how uncanny qualities of the digital were used to emphasize eerie themes of transformation and deception by the supernatural beings found in the medieval ballads.</t>
  </si>
  <si>
    <t>[Elblaus, Ludvig] KTH Royal Inst Technol, S-10044 Stockholm, Sweden; [Unander-Scharin, Asa] Lulea Univ Technol, S-97187 Lulea, Sweden; [Unander-Scharin, Carl] Karlstad Univ, S-65188 Karlstad, Sweden</t>
  </si>
  <si>
    <t>Royal Institute of Technology; Lulea University of Technology; Karlstad University</t>
  </si>
  <si>
    <t>Elblaus, L (corresponding author), KTH Royal Inst Technol, S-10044 Stockholm, Sweden.</t>
  </si>
  <si>
    <t>elblaus@kth.se; asa.scharin@ltu.se; carl.unander-scharin@telia.com</t>
  </si>
  <si>
    <t>MIT PRESS</t>
  </si>
  <si>
    <t>ONE ROGERS ST, CAMBRIDGE, MA 02142-1209 USA</t>
  </si>
  <si>
    <t>0961-1215</t>
  </si>
  <si>
    <t>1531-4812</t>
  </si>
  <si>
    <t>LEONARDO MUSIC J</t>
  </si>
  <si>
    <t>Leonardo Music J.</t>
  </si>
  <si>
    <t>10.1162/LMJ_a_01020</t>
  </si>
  <si>
    <t>Music</t>
  </si>
  <si>
    <t>FO4PE</t>
  </si>
  <si>
    <t>WOS:000416826400023</t>
  </si>
  <si>
    <t>Ross, JW; Sebastian, IM; Beath, CM</t>
  </si>
  <si>
    <t>Ross, Jeanne W.; Sebastian, Ina M.; Beath, Cynthia M.</t>
  </si>
  <si>
    <t>How to Develop a Great Digital Strategy</t>
  </si>
  <si>
    <t>MIT SLOAN MANAGEMENT REVIEW</t>
  </si>
  <si>
    <t>[Ross, Jeanne W.; Sebastian, Ina M.] MIT, Ctr Informat Syst Res, Cambridge, MA 02139 USA; [Beath, Cynthia M.] Univ Texas Austin, McCombs Sch Business, Austin, TX 78712 USA</t>
  </si>
  <si>
    <t>Massachusetts Institute of Technology (MIT); University of Texas System; University of Texas Austin</t>
  </si>
  <si>
    <t>Ross, JW (corresponding author), MIT, Ctr Informat Syst Res, Cambridge, MA 02139 USA.</t>
  </si>
  <si>
    <t>smrfeedback@mit.edu</t>
  </si>
  <si>
    <t>Reinert, Leon/ADP-6076-2022</t>
  </si>
  <si>
    <t>SLOAN MANAGEMENT REVIEW ASSOC, MIT SLOAN SCHOOL MANAGEMENT</t>
  </si>
  <si>
    <t>77 MASSACHUSETTS AVE, E60-100, CAMBRIDGE, MA 02139-4307 USA</t>
  </si>
  <si>
    <t>1532-9194</t>
  </si>
  <si>
    <t>MIT SLOAN MANAGE REV</t>
  </si>
  <si>
    <t>MIT Sloan Manage. Rev.</t>
  </si>
  <si>
    <t>EE8IT</t>
  </si>
  <si>
    <t>WOS:000389869600001</t>
  </si>
  <si>
    <t>Vázquez-Herrero, J; López-García, X</t>
  </si>
  <si>
    <t>Vazquez-Herrero, Jorge; Lopez-Garcia, Xose</t>
  </si>
  <si>
    <t>Interactive documentaries as a format in audiovisual media: A case study of RTVE and Al Jazeera</t>
  </si>
  <si>
    <t>interactive documentary; transmedia; docugame; newsgames; online media</t>
  </si>
  <si>
    <t>The main objective of this article is to examine new interactive non-fiction narratives in audiovisual media. In the current context marked by convergence, a hybridization of forms and languages is taking place within the news environment. Online media show a singular characterization, and the limits between press, radio and television are increasingly blurred. In the digital strategy of televisions as online media, innovation and the search for added value have led to the confluence of journalism and transmedia narratives, as well as to the development of new formats, among them interactive documentaries. The study was conducted in two stages. The first consists of an exploratory-descriptive stage, where interactive documentaries produced by online media in 2016 are related and classified, thus obtaining a panoramic vision of this genre in the last year. Secondly, a comparative case study is presented between Parkinson, que tiemble el camino (RTVE, 2016) and Hacked (Al Jazeera, 2016), both of which are audiovisual media projects. The analysis of these two projects focuses on the docugame, which provides novelties for the user, the content and media through ludification, simulation and greater user engagement.</t>
  </si>
  <si>
    <t>[Vazquez-Herrero, Jorge; Lopez-Garcia, Xose] Univ Santiago de Compostela, Santiago De Compostela, La Coruna, Spain</t>
  </si>
  <si>
    <t>Universidade de Santiago de Compostela</t>
  </si>
  <si>
    <t>Vázquez-Herrero, J (corresponding author), Univ Santiago de Compostela, Santiago De Compostela, La Coruna, Spain.</t>
  </si>
  <si>
    <t>jorge.vazquez@usc.es; xose.lopez.garcia@usc.es</t>
  </si>
  <si>
    <t>García, Xosé López/I-4418-2019; Vázquez-Herrero, Jorge/J-8399-2017</t>
  </si>
  <si>
    <t>García, Xosé López/0000-0002-1873-8260; Vázquez-Herrero, Jorge/0000-0002-9081-3018</t>
  </si>
  <si>
    <t>10.5565/rev/analisi.3100</t>
  </si>
  <si>
    <t>FP9XC</t>
  </si>
  <si>
    <t>WOS:000418001500004</t>
  </si>
  <si>
    <t>Zhou, N; Zhang, SX; Chen, JE; Han, XT</t>
  </si>
  <si>
    <t>Zhou, Ning; Zhang, Sixuan; Chen, Jing (Elaine); Han, Xiaoting</t>
  </si>
  <si>
    <t>The role of information technologies (ITs) in firms' resource orchestration process: A case analysis of China's Huangshan 168</t>
  </si>
  <si>
    <t>Resource orchestration process; Information technologies; Low-tech industries</t>
  </si>
  <si>
    <t>This case analysis considers how digital disruption is reaching beyond technology to engulf traditionally considered low-tech industries and influence conventionally viewed non-digital businesses. For incumbent firms in these low-tech industries, the disruption brings not only plenty of opportunities but also numerous threats. Firms that quickly embrace the digital era by profoundly changing their incumbent strategies, systems, operational habits, and business models have great chances to outperform their competitors and succeed within this dynamic environment. One digital strategy that might be adopted by incumbent firms in the low-tech industries to seize the opportunities brought by digital disruption is to integrate their resource orchestration actions with advanced information technologies (ITs). Given the strong connection between firms' resource orchestration actions and their competitive advantages, as well as the increasingly vital role of ITs in contemporary business operations, it is an imperative to investigate the impacts of ITs on the resource orchestration processes of modern enterprises. Additionally, for incumbent firms operating in the low-tech industries, integrating their resource management with modern ITs might help them effectively identify and accumulate unique resources, develop their capabilities, and create value through continuous reconfiguration of resources. Therefore, low-tech firms that strive to adopt modern information technologies in their resource orchestration process are more likely to achieve improved organizational performance and competitive advantages than their competitors.</t>
  </si>
  <si>
    <t>[Zhou, Ning; Zhang, Sixuan; Chen, Jing (Elaine); Han, Xiaoting] Beihang Univ, Sch Econ &amp; Management, 37 Xueyuan Rd, Beijing 100191, Peoples R China</t>
  </si>
  <si>
    <t>Beihang University</t>
  </si>
  <si>
    <t>Zhang, SX (corresponding author), Beihang Univ, Sch Econ &amp; Management, 37 Xueyuan Rd, Beijing 100191, Peoples R China.</t>
  </si>
  <si>
    <t>zning80@buaa.edu.cn; sixuan.zhang@gmail.com; jechen@buaa.edu.cn; hanxiaoting@buaa.edu.cn</t>
  </si>
  <si>
    <t>Chen, Jing (Elaine)/0000-0002-3140-1881; Han, Xiaoting/0000-0002-7328-4716</t>
  </si>
  <si>
    <t>10.1016/j.ijinfomgt.2017.05.002</t>
  </si>
  <si>
    <t>FK6XS</t>
  </si>
  <si>
    <t>WOS:000413649100021</t>
  </si>
  <si>
    <t>König, PD</t>
  </si>
  <si>
    <t>Koenig, Pascal D.</t>
  </si>
  <si>
    <t>The place of conditionality and individual responsibility in a data-driven economy</t>
  </si>
  <si>
    <t>BIG DATA &amp; SOCIETY</t>
  </si>
  <si>
    <t>Digital economy; information and communication technologies; conditionality; individual responsibility; data protection; value creation</t>
  </si>
  <si>
    <t>BIG DATA; SELF-TRACKING; DATA PROTECTION; WELFARE-REFORM; POLICY; PRIVACY; DISCOURSE; POLITICS; STORIES; NUDGE</t>
  </si>
  <si>
    <t>Advances in information and communication technologies enable more decentralized and individualized mechanisms for coordination and for managing societal complexity. This has important consequences for the role of conditionality and the idea of individual responsibility in two seemingly unrelated policy areas. First, the changing information infrastructure enables an extension of conditionality in the area of welfare through greater activation, enhanced self-management, and a personalization of risks. Second, conditionality and personal responsibility also form an important ideational template and a legitimatory basis for facilitating value creation that is based on data as a raw material. This argument is illustrated looking at the trajectories of the digital strategies in the United Kingdom and Germany. In both cases, data protection is depicted as a question of individual responsibility and tied to certain forms of individual conduct.</t>
  </si>
  <si>
    <t>[Koenig, Pascal D.] Goethe Univ Frankfurt, Frankfurt, Germany</t>
  </si>
  <si>
    <t>Goethe University Frankfurt</t>
  </si>
  <si>
    <t>König, PD (corresponding author), Goethe Univ Frankfurt, Dept Polit Sci, Theodor W Adorno Pl 6, D-60629 Frankfurt, Germany.</t>
  </si>
  <si>
    <t>p.koenig@soz.uni-frankfurt.de</t>
  </si>
  <si>
    <t>Konig, Pascal/0000-0001-9466-4024</t>
  </si>
  <si>
    <t>2053-9517</t>
  </si>
  <si>
    <t>BIG DATA SOC</t>
  </si>
  <si>
    <t>Big Data Soc.</t>
  </si>
  <si>
    <t>NOV 14</t>
  </si>
  <si>
    <t>10.1177/2053951717742419</t>
  </si>
  <si>
    <t>FM8PN</t>
  </si>
  <si>
    <t>WOS:000415351600001</t>
  </si>
  <si>
    <t>Mummery, J; Rodan, D</t>
  </si>
  <si>
    <t>Mummery, Jane; Rodan, Debbie</t>
  </si>
  <si>
    <t>Mediation for affect: coming to care about factory-farmed animals</t>
  </si>
  <si>
    <t>MEDIA INTERNATIONAL AUSTRALIA</t>
  </si>
  <si>
    <t>affect; animal activism; mediation; mobilisation; Web 2.0</t>
  </si>
  <si>
    <t>MORAL SHOCKS; RIGHTS; ACTIVISM</t>
  </si>
  <si>
    <t>In this article, we examine the digitalised emotional campaigning of one of Australia's peak animal welfare body, Animals Australia, focusing on their most effective digital strategies associated with their campaigns against factory farming. Our broader interest lies with sounding out the affective affordances of the technologies informing such activist work; technologies of affect in a very significant sense. This discussion comprises three parts. First, we unpack the context for the problematic faced by animal and environmental activisms: neoliberalism, showing how neoliberal assumptions constrain such activisms to emotional appeals and denounce them for such strategising. Second, we sound out some of the affordances of digital media technologies for affectively oriented activisms; and finally, we delve into some of Animals Australia's digital campaigning with regard to issues of factory farming in order to show the efficacy of such affectively oriented mediated strategising for the forming of new relations with factory farm.</t>
  </si>
  <si>
    <t>[Mummery, Jane] Federat Univ Australia, Ballarat, Vic, Australia; [Rodan, Debbie] Edith Cowan Univ, Churchlands, WA, Australia</t>
  </si>
  <si>
    <t>Federation University Australia; Edith Cowan University</t>
  </si>
  <si>
    <t>Mummery, J (corresponding author), Federat Univ Australia, Fac Educ &amp; Arts, Univ Dr, Ballarat, Vic 3353, Australia.</t>
  </si>
  <si>
    <t>j.mummery@federation.edu.au</t>
  </si>
  <si>
    <t>Rodan, Debbie/0000-0002-0770-1833</t>
  </si>
  <si>
    <t>1329-878X</t>
  </si>
  <si>
    <t>2200-467X</t>
  </si>
  <si>
    <t>MEDIA INT AUST</t>
  </si>
  <si>
    <t>Media Int. Aust.</t>
  </si>
  <si>
    <t>10.1177/1329878X17726454</t>
  </si>
  <si>
    <t>FM5CU</t>
  </si>
  <si>
    <t>WOS:000415048600005</t>
  </si>
  <si>
    <t>Games, FJG</t>
  </si>
  <si>
    <t>Guzman Games, Francisco Javier</t>
  </si>
  <si>
    <t>Freire in the digital era: Oppression and liberation of indigenous groups using ITC</t>
  </si>
  <si>
    <t>INNOVACION EDUCATIVA-MEXICO</t>
  </si>
  <si>
    <t>Digital culture; digitalization; indigenous population; information and communication technology; Paulo Freire</t>
  </si>
  <si>
    <t>The introduction of Information and Communication Technologies (ITC) affects the social structure and cultural practices of indigenous populations living in the intercultural regions of the Huasteca and the high mountains of Veracruz, Mexico (Guzman, 2014, 2015, 2017). This research, based on Pedagogy of the Oppressed and Pedagogy of Hope by Freire (2002, 2005), points out the incongruence and equivocality of the Mexican Government's National Digital Strategy. This article represents two positions: a critical stance, intending to demonstrate the theoretical assumption that ITC are camouflaged instruments of cultural dominance in rural contexts and that the indigenous populations have incorporated digital objects with a sense of ideological and economic alienation that emanates from the capitalist system; and a proactive stance, showing the existence of liberating practices through the digital solidarity among groups that are marginalized from the society of knowledge.</t>
  </si>
  <si>
    <t>[Guzman Games, Francisco Javier] Benemerita Univ Autonoma Puebla, Puebla, Mexico</t>
  </si>
  <si>
    <t>Benemerita Universidad Autonoma de Puebla</t>
  </si>
  <si>
    <t>Games, FJG (corresponding author), Benemerita Univ Autonoma Puebla, Puebla, Mexico.</t>
  </si>
  <si>
    <t>INST POLITECNICO NACIONAL-IPN</t>
  </si>
  <si>
    <t>MEXICO</t>
  </si>
  <si>
    <t>AV LUIS ENRIQUE ERRO S-N, UNIDAD PROF ADOLFO LOPEZ MATEOS, ZACATENCO, DELEGACION GUSTAVO A, MEXICO, DISTRITO FEDERAL CP 07738, MEXICO</t>
  </si>
  <si>
    <t>1665-2673</t>
  </si>
  <si>
    <t>INNOV EDUC-MEXICO</t>
  </si>
  <si>
    <t>Innov. Educ. Mex.</t>
  </si>
  <si>
    <t>GH4WI</t>
  </si>
  <si>
    <t>WOS:000433407900001</t>
  </si>
  <si>
    <t>Sebastian, IM; Ross, JW; Beath, C; Mocker, M; Moloney, KG; Fonstad, NO</t>
  </si>
  <si>
    <t>Sebastian, Ina M.; Ross, Jeanne W.; Beath, Cynthia; Mocker, Martin; Moloney, Kate G.; Fonstad, Nils O.</t>
  </si>
  <si>
    <t>How Big Old Companies Navigate Digital Transformation</t>
  </si>
  <si>
    <t>INFORMATION-SYSTEMS; CONNECTED PRODUCTS; STRATEGY; SMART</t>
  </si>
  <si>
    <t>New digital technologies present both game-changing opportunities for-and existential threats to-companies whose success was built in the pre-digital economy. This article describes our findings from a study of 25 companies that were embarking on digital transformation journeys. We identified two digital strategies-customer engagement and digitized solutions-that provide direction for a digital transformation. Two technology-enabled assets are essential for executing those strategies: an operational backbone and a digital services platform. We describe how a big old company can combine these elements to navigate its digital transformation.(1, 2)</t>
  </si>
  <si>
    <t>[Sebastian, Ina M.; Ross, Jeanne W.; Mocker, Martin; Moloney, Kate G.; Fonstad, Nils O.] MIT, Sloan Ctr Informat Syst Res, Cambridge, MA 02139 USA; [Beath, Cynthia] Univ Texas Austin, McCombs Sch Business, Austin, TX 78712 USA; [Mocker, Martin] Reutlingen Univ, Informat Syst, ESB Business Sch, Reutlingen, Germany</t>
  </si>
  <si>
    <t>Sebastian, IM (corresponding author), MIT, Sloan Ctr Informat Syst Res, Cambridge, MA 02139 USA.</t>
  </si>
  <si>
    <t>isebasti@mit.edu; jross@mit.edu; cbeath@mail.utexas.edu; martin.mocker@reutlingen-university.de; nilsfonstad@mit.edu</t>
  </si>
  <si>
    <t>FF6FR</t>
  </si>
  <si>
    <t>WOS:000409101300005</t>
  </si>
  <si>
    <t>Taloni, A; Font-Clos, F; Guidetti, L; Milan, S; Ascagni, M; Vasco, C; Pasini, ME; Gioria, MR; Ciusani, E; Zapperi, S; La Porta, CAM</t>
  </si>
  <si>
    <t>Taloni, Alessandro; Font-Clos, Francesc; Guidetti, Luca; Milan, Simone; Ascagni, Miriam; Vasco, Chiara; Pasini, Maria Enrica; Gioria, Maria Rosa; Ciusani, Emilio; Zapperi, Stefano; La Porta, Caterina A. M.</t>
  </si>
  <si>
    <t>Probing spermiogenesis: a digital strategy for mouse acrosome classification</t>
  </si>
  <si>
    <t>SPERM MORPHOMETRY; DIFFERENTIATION</t>
  </si>
  <si>
    <t>Classification of morphological features in biological samples is usually performed by a trained eye but the increasing amount of available digital images calls for semi-automatic classification techniques. Here we explore this possibility in the context of acrosome morphological analysis during spermiogenesis. Our method combines feature extraction from three dimensional reconstruction of confocal images with principal component analysis and machine learning. The method could be particularly useful in cases where the amount of data does not allow for a direct inspection by trained eye.</t>
  </si>
  <si>
    <t>[Taloni, Alessandro; Guidetti, Luca; Milan, Simone; Zapperi, Stefano; La Porta, Caterina A. M.] Univ Milan, Ctr Complex &amp; Biosyst, Via Celoria 16, I-20133 Milan, Italy; [Taloni, Alessandro; Zapperi, Stefano] Univ Milan, Dept Phys, Via Celoria 16, I-20133 Milan, Italy; [Taloni, Alessandro] CNR, ISC, Via Taurini 19, I-00185 Rome, Italy; [Font-Clos, Francesc; Milan, Simone; Zapperi, Stefano] ISI Fdn, Via Chisola 5, I-10126 Turin, Italy; [Guidetti, Luca; Milan, Simone; La Porta, Caterina A. M.] Univ Milan, Dept Environm Sci &amp; Policy, Via Celoria 26, I-20133 Milan, Italy; [Ascagni, Miriam; Pasini, Maria Enrica; Gioria, Maria Rosa] Univ Milan, Dept Biosci, Via Celoria 26, I-20133 Milan, Italy; [Vasco, Chiara; Ciusani, Emilio] Ist Neurol Carlo Besta, Via Celoria 11, I-20133 Milan, Italy; [Zapperi, Stefano] Aalto Univ, Dept Appl Phys, POB 11100, FIN-00076 Espoo, Finland; [Zapperi, Stefano] CNR, ICMATE, Via Roberto Cozzi 53, I-20125 Milan, Italy</t>
  </si>
  <si>
    <t>University of Milan; University of Milan; Consiglio Nazionale delle Ricerche (CNR); Istituto dei Sistemi Complessi (ISC-CNR); University of Milan; University of Milan; IRCCS Istituto Neurologico Besta; Aalto University; Consiglio Nazionale delle Ricerche (CNR); Istituto di Chimica della Materia Condensata e di Tecnologie per l Energia (ICMATE-CNR)</t>
  </si>
  <si>
    <t>La Porta, CAM (corresponding author), Univ Milan, Ctr Complex &amp; Biosyst, Via Celoria 16, I-20133 Milan, Italy.;La Porta, CAM (corresponding author), Univ Milan, Dept Environm Sci &amp; Policy, Via Celoria 26, I-20133 Milan, Italy.</t>
  </si>
  <si>
    <t>caterina.laporta@unimi.it</t>
  </si>
  <si>
    <t>Zapperi, Stefano/C-9473-2009; Ciusani, Emilio/J-9822-2016; Taloni, Alessandro/N-3121-2016; Vasco, Chiara/C-5637-2017; pasini, Maria Enrica/D-8785-2012; La Porta, Caterina/K-7345-2013; Taloni, Alessandro/AAF-1641-2020</t>
  </si>
  <si>
    <t>Zapperi, Stefano/0000-0001-5692-5465; Ciusani, Emilio/0000-0002-7285-123X; Taloni, Alessandro/0000-0002-8863-7166; Vasco, Chiara/0000-0002-3788-778X; pasini, Maria Enrica/0000-0002-7476-6928; La Porta, Caterina/0000-0002-3010-8966; Taloni, Alessandro/0000-0002-8863-7166</t>
  </si>
  <si>
    <t>ERC Advanced grant SIZEFFECTS</t>
  </si>
  <si>
    <t>ERC Advanced grant SIZEFFECTS(European Research Council (ERC))</t>
  </si>
  <si>
    <t>A.T., F.F.C. and S.Z. are supported by ERC Advanced grant SIZEFFECTS.</t>
  </si>
  <si>
    <t>NATURE PUBLISHING GROUP</t>
  </si>
  <si>
    <t>MACMILLAN BUILDING, 4 CRINAN ST, LONDON N1 9XW, ENGLAND</t>
  </si>
  <si>
    <t>10.1038/s41598-017-03867-7</t>
  </si>
  <si>
    <t>EX7FN</t>
  </si>
  <si>
    <t>WOS:000403413700110</t>
  </si>
  <si>
    <t>Roszkowska, D</t>
  </si>
  <si>
    <t>Roszkowska, Dorota</t>
  </si>
  <si>
    <t>External Knowledge Sourcing and Innovation Processes in Modern Economic Environment</t>
  </si>
  <si>
    <t>INTERNATIONAL JOURNAL OF MANAGEMENT AND ECONOMICS</t>
  </si>
  <si>
    <t>external knowledge; innovation management; innovation process; co-innovation; open innovation</t>
  </si>
  <si>
    <t>RESEARCH-AND-DEVELOPMENT; ABSORPTIVE-CAPACITY; PROCESS MANAGEMENT; CO-INNOVATION; NETWORKS; CREATION; ACQUISITION</t>
  </si>
  <si>
    <t>In an open and digital economy where ICTs, global networks and innovation systems play a key economic role, knowledge used by companies is increasingly gathered using different external sources. Rapidly changing technology enables companies to use new ways to innovate. New innovation processes permit companies to reduce risk and the costs of innovation. New paradigms, called open innovation and co-innovation, allow organizations to remain innovative in a rapidly changing environment. The objectives of this paper are: to provide a better understanding of open innovation and co-innovation paradigms and to suggest instruments for organizations to benefit from co-innovation ecosystem. Internet empowered ICT tools can be the first step for an organization to initiate implementation of a digital strategy. To gain incremental, tacit, organizational knowledge or marketing skills, a new innovation strategy should involve networking through social networks and virtual communities. Digitalization of innovation activities constitutes a new important role for innovation networks and ecosystems, including global innovation networks, as knowledge and technology are no longer owned by a single firm or country. This paper attempts to prepare the theoretical background, for empirical studies on the impact of new innovation processes on company innovation and their competitive advantages. The study is descriptive and analytical, building on the theory and empirical results of previous studies on new, digital innovation models.</t>
  </si>
  <si>
    <t>[Roszkowska, Dorota] Univ Bialystok, Dept Econ &amp; Management, Bialystok, Poland</t>
  </si>
  <si>
    <t>University of Bialystok</t>
  </si>
  <si>
    <t>Roszkowska, D (corresponding author), Univ Bialystok, Dept Econ &amp; Management, Bialystok, Poland.</t>
  </si>
  <si>
    <t>dorotta.gradzka@gmail.com</t>
  </si>
  <si>
    <t>CORREA, RENATA/AAA-2417-2022</t>
  </si>
  <si>
    <t>2299-9701</t>
  </si>
  <si>
    <t>2543-5361</t>
  </si>
  <si>
    <t>INT J MANAG ECON</t>
  </si>
  <si>
    <t>Int. J. Manag. Econ.</t>
  </si>
  <si>
    <t>10.1515/ijme-2017-0011</t>
  </si>
  <si>
    <t>FV4YU</t>
  </si>
  <si>
    <t>WOS:000424584200004</t>
  </si>
  <si>
    <t>Hestres, LE</t>
  </si>
  <si>
    <t>Hestres, Luis E.</t>
  </si>
  <si>
    <t>Tools Beyond Control: Social Media and the Work of Advocacy Organizations</t>
  </si>
  <si>
    <t>SOCIAL MEDIA + SOCIETY</t>
  </si>
  <si>
    <t>Internet governance; private information intermediaries; advocacy organizations; social media; Facebook; Twitter; activism</t>
  </si>
  <si>
    <t>INTERNET GOVERNANCE; MOBILIZATION; PRIVACY</t>
  </si>
  <si>
    <t>Advocacy organizations rely on social media services, such as Facebook and Twitter, to engage their supporters. These services increasingly influence how citizens and advocacy organizations engage politically online through the technical features and policies they choose to implement-a phenomenon that can sometimes disrupt the work of advocates. Interviews with digital strategists at several US advocacy organizations revealed low levels of awareness of this phenomenon, despite its potential impact on their work; substantial dependence on these services for advocacy work; and a shared sense of necessity to embrace these tools, despite their potential downsides. Implications for the scholarship and practice of Internet governance and digitally mediated advocacy are discussed.</t>
  </si>
  <si>
    <t>[Hestres, Luis E.] Univ Texas San Antonio, One UTSA Circle, San Antonio, TX 78249 USA</t>
  </si>
  <si>
    <t>University of Texas System; University of Texas at San Antonio (UTSA)</t>
  </si>
  <si>
    <t>Hestres, LE (corresponding author), Univ Texas San Antonio, One UTSA Circle, San Antonio, TX 78249 USA.</t>
  </si>
  <si>
    <t>luis.hestres@utsa.edu</t>
  </si>
  <si>
    <t>Hestres, Luis/M-7249-2019</t>
  </si>
  <si>
    <t>2056-3051</t>
  </si>
  <si>
    <t>SOC MEDIA SOC</t>
  </si>
  <si>
    <t>Soc. Med. Soc.</t>
  </si>
  <si>
    <t>10.1177/2056305117714237</t>
  </si>
  <si>
    <t>GS3DW</t>
  </si>
  <si>
    <t>WOS:000443460300022</t>
  </si>
  <si>
    <t>Reddy, AVJ; Rao, BM</t>
  </si>
  <si>
    <t>Reddy, Arenur Venkataswamy Jayapala; Rao, Bandlamudi Madhusdhan</t>
  </si>
  <si>
    <t>Opportunities and challenges for Indian Pharmaceutical companies in overseas markets and need of digital tools for sustainable success</t>
  </si>
  <si>
    <t>INDIAN JOURNAL OF PHARMACEUTICAL EDUCATION AND RESEARCH</t>
  </si>
  <si>
    <t>Indian pharma industry; Digital tools; Global markets; Globalization; Digital strategy; Automation in pharma; Pharma domain</t>
  </si>
  <si>
    <t>Background: The era of globalization has helped many Indian Pharma companies to expand operations beyond home turf. Changes in regulatory, patent and market trends will drive opportunities for generic drugs and hence very big opportunities for Indian pharmaceutical companies in global markets. India is the largest manufacturer and exporter of generic drugs in the world and considered as the pharmacy of the world. However many Indian pharma companies find it difficult to survive in global markets due to the competition, lack of market knowledge, complex regulatory pathway and not embracing the latest digital technologies adopted by global companies. Objective: The objective of this research is to study the need of various digital tools available for different domains of pharma industry to become successful in global markets. Methods: Researcher has adopted an empirical study to conduct this research using primary and secondary data. Primary research was done by identifying target participants from pharma industry and adopted purposive sampling technique to collect the data online through a structured and validated questionnaire. Data was extracted, analyzed and interpreted using graphical analysis. Results: The results of this study found that in all the questions in questionnaire, majority of the participants were in favor of adopting digital tools in pharma industry irrespective size and type organization. Conclusion: Based on the outcome of this empirical study, it was established that there is a clear need of domain based digital tools for Indian pharma companies to compete and sustain in global markets.</t>
  </si>
  <si>
    <t>[Reddy, Arenur Venkataswamy Jayapala] Vignans Univ, Sch Management Studies, Int Business, Vadlamudi, Andhra Prades, India; [Reddy, Arenur Venkataswamy Jayapala] Hetero Labs Ltd, Biol Business Dev, Hyderabad 500018, Telangana, India; [Rao, Bandlamudi Madhusdhan] Vignans Univ, Sch Management Studies, Vadlamudi, Andhra Prades, India</t>
  </si>
  <si>
    <t>Vignan's Foundation for Science, Technology &amp; Research (VFSTR); Vignan's Foundation for Science, Technology &amp; Research (VFSTR)</t>
  </si>
  <si>
    <t>Reddy, AVJ (corresponding author), Vignans Univ, Sch Management Studies, Int Business, Vadlamudi, Andhra Prades, India.;Reddy, AVJ (corresponding author), Hetero Labs Ltd, Biol Business Dev, Hyderabad 500018, Telangana, India.</t>
  </si>
  <si>
    <t>jayapala@gmail.com</t>
  </si>
  <si>
    <t>Rao/ABF-8682-2020</t>
  </si>
  <si>
    <t>Rao/0000-0002-1905-707X</t>
  </si>
  <si>
    <t>ASSOC PHARMACEUTICAL TEACHERS INDIA</t>
  </si>
  <si>
    <t>BANGALORE</t>
  </si>
  <si>
    <t>AL-AMEEN COLL PHARMACY, OPP LALBACH MAIN GATE, HOSUR MAIN RD, BANGALORE, 560 027, INDIA</t>
  </si>
  <si>
    <t>0019-5464</t>
  </si>
  <si>
    <t>INDIAN J PHARM EDUC</t>
  </si>
  <si>
    <t>Indian J. Pharm. Educ. Res.</t>
  </si>
  <si>
    <t>10.5530/ijper.51.2.28</t>
  </si>
  <si>
    <t>Education, Scientific Disciplines; Pharmacology &amp; Pharmacy</t>
  </si>
  <si>
    <t>Education &amp; Educational Research; Pharmacology &amp; Pharmacy</t>
  </si>
  <si>
    <t>EY7FL</t>
  </si>
  <si>
    <t>WOS:000404154600007</t>
  </si>
  <si>
    <t>Torres, NS</t>
  </si>
  <si>
    <t>Salazar Torres, Neyder</t>
  </si>
  <si>
    <t>Digital communication in the mobilization and resistance of indigenous of Colombia</t>
  </si>
  <si>
    <t>indigenous communication; digital communication; indigenous mobilization; digital appropriation</t>
  </si>
  <si>
    <t>This text addresses the use of digital communication of the Colombian indigenous movement, from the cases of the Communication Fabric of the ACIN and the Collective Winds of the CRIHU, for this it focuses on the analysis of the actions of mobilization of the Minga Indigena and Popular of 2008 and the recovery of Cerro El Berlin, held in Cauca and the Mingas of Liberation of Mother Earth in 2012 and 2013, held in Huila. Fundamental mobilizations in the historical struggle and the indige nous resistance, in these they articulated communicative and digital strategies, the appropriation of diverse supports and technological repertoires to counter the stigmatization of the hegemonic means and the reproduction of the state voice, thus to potentiate the political communication since Action and resistance.</t>
  </si>
  <si>
    <t>[Salazar Torres, Neyder] Corporac Univ, Comunicac, Uniminuto Sede Neiva, Bogota, Colombia</t>
  </si>
  <si>
    <t>Torres, NS (corresponding author), Corporac Univ, Comunicac, Uniminuto Sede Neiva, Bogota, Colombia.</t>
  </si>
  <si>
    <t>neyderpip98@hotmail.com</t>
  </si>
  <si>
    <t>Torres, Neyder Jhoan Salazar/AAX-2829-2020</t>
  </si>
  <si>
    <t>Torres, Neyder Jhoan Salazar/0000-0003-4528-0483</t>
  </si>
  <si>
    <t>APR-SEP</t>
  </si>
  <si>
    <t>10.26441/RC16.2-2017-A12</t>
  </si>
  <si>
    <t>VI1NG</t>
  </si>
  <si>
    <t>WOS:000461199400013</t>
  </si>
  <si>
    <t>Lavonen, J</t>
  </si>
  <si>
    <t>Lavonen, Jan</t>
  </si>
  <si>
    <t>Governance decentralisation in education: Finnish innovation in education</t>
  </si>
  <si>
    <t>RED-REVISTA DE EDUCACION A DISTANCIA</t>
  </si>
  <si>
    <t>Education policy; digital strategy; curriculum; quality assuramce; assessment</t>
  </si>
  <si>
    <t>TEACHER-EDUCATION; THINKING; FINLAND</t>
  </si>
  <si>
    <t>This paper introduces a Finnish education innovation known as decentralisation in education. The innovation is described based on education policy documents, research papers and two short interviews with national and municipality experts in curriculum design. In a decentralised education system local providers of education ( municipalities) and teachers play important roles in the preparation of local curriculum and learning environments, including the use of digital learning tools and environments. Education providers localise the national aims and content and describe how education is organised. Classroom-based assessment is another characteristic of decentralisation. Three preconditions are required for a decentralised education system to be effective: 1) common, national level, long-term strategic aims and must be established and local level plans, such as curriculum and an equity plan, must be developed and the implemented, 2) quality work, student assessment, continuous improvement of learning environments and practices implemented at the local level and 3) professional teachers must collaborate and engage in broad planning and assess their teaching abilities and their students' learning outcomes.</t>
  </si>
  <si>
    <t>[Lavonen, Jan] Univ Helsinki, Dept Educ Sci, Helsinki, Finland; [Lavonen, Jan] Univ Johannesburg, Dept Childhood Educ, Soweto, South Africa</t>
  </si>
  <si>
    <t>University of Helsinki; University of Johannesburg</t>
  </si>
  <si>
    <t>Lavonen, J (corresponding author), Univ Helsinki, Dept Educ Sci, Helsinki, Finland.;Lavonen, J (corresponding author), Univ Johannesburg, Dept Childhood Educ, Soweto, South Africa.</t>
  </si>
  <si>
    <t>jari.lavonen@helsinki.ti</t>
  </si>
  <si>
    <t>Finnish Academy [298323, 294228]; Academy of Finland (AKA) [294228, 294228] Funding Source: Academy of Finland (AKA)</t>
  </si>
  <si>
    <t>Finnish Academy(Research Council of Finland); Academy of Finland (AKA)(Research Council of Finland)</t>
  </si>
  <si>
    <t>This material is based upon work supported by the Finnish Academy (no. 298323 and 294228)</t>
  </si>
  <si>
    <t>EDIT UM-EDICIONES UNIV MURCIA</t>
  </si>
  <si>
    <t>MURCIA</t>
  </si>
  <si>
    <t>EDIFICIO SAAVEDRA FAJARDO, C/O ACTOR ISIDORO MAIQUEZ 9, MURCIA, 30007, SPAIN</t>
  </si>
  <si>
    <t>1578-7680</t>
  </si>
  <si>
    <t>RED-REV EDUC DISTANC</t>
  </si>
  <si>
    <t>RED-Rev. Educ. Distancia</t>
  </si>
  <si>
    <t>MAR 31</t>
  </si>
  <si>
    <t>10.6018/red/53/1</t>
  </si>
  <si>
    <t>FP0QT</t>
  </si>
  <si>
    <t>WOS:000417308900008</t>
  </si>
  <si>
    <t>Alizadeh, T</t>
  </si>
  <si>
    <t>Alizadeh, Tooran</t>
  </si>
  <si>
    <t>Urban Digital Strategies: Planning in the Face of Information Technology?</t>
  </si>
  <si>
    <t>JOURNAL OF URBAN TECHNOLOGY</t>
  </si>
  <si>
    <t>Digital strategy; urban; digital economy; Brisbane; Vancouver</t>
  </si>
  <si>
    <t>CROSS-NATIONAL RESEARCH; SMART CITIES; ECONOMIC-DEVELOPMENT; E-GOVERNMENT; CITY; MANAGEMENT; UNIVERSITY; KNOWLEDGE; BUSINESS; INDUSTRY</t>
  </si>
  <si>
    <t>A growing number of cities around the world have now developed urban digital strategies to speed up the pace of change, and more importantly to move their digital planning and policymaking from ad-hoc to an integrated and strategic approach. The paper provides a cross-national comparative study, based on recently developed urban digital strategies in Brisbane, Australia and Vancouver, Canada. The aim is to understand if and how urban digital strategies align with broader strategic planning in the two cities. To do so, the paper combines policy analysis with interviews of a selection of stakeholders in both cities. The lessons learned can be transferred to all cities interested in integrated digital planning for successful strategic urban outcomes.</t>
  </si>
  <si>
    <t>[Alizadeh, Tooran] Griffith Univ, Urban Res Program, 170 Kessels Rd, Nathan, Qld 4111, Australia</t>
  </si>
  <si>
    <t>Griffith University</t>
  </si>
  <si>
    <t>Alizadeh, T (corresponding author), Griffith Univ, Urban Res Program, 170 Kessels Rd, Nathan, Qld 4111, Australia.</t>
  </si>
  <si>
    <t>t.alizadeh@griffith.edu.au</t>
  </si>
  <si>
    <t>Alizadeh, Tooran/AAX-2371-2020</t>
  </si>
  <si>
    <t>Alizadeh, Tooran/0000-0001-5424-3348</t>
  </si>
  <si>
    <t>1063-0732</t>
  </si>
  <si>
    <t>1466-1853</t>
  </si>
  <si>
    <t>J URBAN TECHNOL</t>
  </si>
  <si>
    <t>J. Urban Technol.</t>
  </si>
  <si>
    <t>10.1080/10630732.2017.1285125</t>
  </si>
  <si>
    <t>EZ6RI</t>
  </si>
  <si>
    <t>WOS:000404844900003</t>
  </si>
  <si>
    <t>Sánchez, MA</t>
  </si>
  <si>
    <t>Analia Sanchez, Marisa</t>
  </si>
  <si>
    <t>A FRAMEWORK TO ASSESS ORGANIZATIONAL READINESS FOR THE DIGITAL TRANSFORMATION</t>
  </si>
  <si>
    <t>DIMENSION EMPRESARIAL</t>
  </si>
  <si>
    <t>Digital transformation; digital strategy; The Five Competitive Forces Model; Value Chain Analysis; System Dynamics</t>
  </si>
  <si>
    <t>DYNAMIC CAPABILITIES; SYSTEM DYNAMICS; MANAGEMENT; STAKEHOLDERS; PERSPECTIVE; CHALLENGES; SCIENCE</t>
  </si>
  <si>
    <t>The digital transformation puts to the test the sustainability of traditional business models. The aim of this research work is to formulate a framework that explains resources, capabilities and management choices necessary to respond to the new environment. The proposal based on literature review of both theoretical and empirical research. The framework abstracts complexity to isolate a few key variables. Its specification based on system dynamics since it naturally models forces of change in a complex system so that their influences can be better understood.</t>
  </si>
  <si>
    <t>[Analia Sanchez, Marisa] Univ Nacl Sur Argentina, Bahia Blanca, Argentina</t>
  </si>
  <si>
    <t>Sánchez, MA (corresponding author), Univ Nacl Sur Argentina, Bahia Blanca, Argentina.</t>
  </si>
  <si>
    <t>mas@uns.edu</t>
  </si>
  <si>
    <t>UNIV AUTONOMA CARIBE-UAC</t>
  </si>
  <si>
    <t>ATLANTICO</t>
  </si>
  <si>
    <t>CL 90, BARRANQUILLA, ATLANTICO, 00000, COLOMBIA</t>
  </si>
  <si>
    <t>1692-8563</t>
  </si>
  <si>
    <t>2322-956X</t>
  </si>
  <si>
    <t>DIMENS EMPRESARIAL</t>
  </si>
  <si>
    <t>Dimens. Empresarial</t>
  </si>
  <si>
    <t>10.15665/rde.v15i2.976</t>
  </si>
  <si>
    <t>FP1NE</t>
  </si>
  <si>
    <t>WOS:000417379200003</t>
  </si>
  <si>
    <t>Barns, S; Cosgrave, E; Acuto, M; Mcneill, D</t>
  </si>
  <si>
    <t>Barns, Sarah; Cosgrave, Ellie; Acuto, Michele; Mcneill, Donald</t>
  </si>
  <si>
    <t>Digital Infrastructures and Urban Governance</t>
  </si>
  <si>
    <t>URBAN POLICY AND RESEARCH</t>
  </si>
  <si>
    <t>Smart cities; digital infrastructure; public sector information; regional development; broadband; urban governance; smart cities; digital strategy; open data; policy mobility</t>
  </si>
  <si>
    <t>STRATEGIC CHOICE; SMART CITY; AUSTRALIA; POLITICS</t>
  </si>
  <si>
    <t>The urban built environment is underpinned by an increasingly complex digital infrastructure, which is posing a variety of unpredictable and unprecedented challenges for urban governance. The paper discusses how the new hard digital infrastructures such as broadband are accompanied by the need to understand the governance of public sector information; and in turn how this relates to the emergence of smart city strategies. The paper is illustrated using empirical examples drawn from Australian digital infrastructure development, with reference to the international landscape of smart city developments. It argues that there is a significant mismatch between the often small scale, bounded capabilities of municipal government, and the operational expertise and scope of technology firms.</t>
  </si>
  <si>
    <t>[Barns, Sarah; Mcneill, Donald] Univ Western Sydney, Inst Culture &amp; Soc, Penrith, NSW, Australia; [Cosgrave, Ellie; Acuto, Michele] UCL, Dept Sci Technol Engn &amp; Publ Policy, London, England</t>
  </si>
  <si>
    <t>Western Sydney University; University of London; University College London</t>
  </si>
  <si>
    <t>Barns, S (corresponding author), Univ Western Sydney, Inst Culture &amp; Soc, Penrith, NSW, Australia.</t>
  </si>
  <si>
    <t>s.barns@uws.edu.au</t>
  </si>
  <si>
    <t>Acuto, Michele/0000-0003-4320-0531; Barns, Sarah/0000-0002-0087-7166; MCNEILL, DONALD/0000-0002-7672-6110</t>
  </si>
  <si>
    <t>Urban Studies Foundation Post-doctoral Fellowship Scheme; Australian Research Council</t>
  </si>
  <si>
    <t>Urban Studies Foundation Post-doctoral Fellowship Scheme; Australian Research Council(Australian Research Council)</t>
  </si>
  <si>
    <t>The support of the Urban Studies Foundation Post-doctoral Fellowship Scheme (Barns) and Australian Research Council Future Fellowship scheme (McNeill) is gratefully acknowledged.</t>
  </si>
  <si>
    <t>0811-1146</t>
  </si>
  <si>
    <t>1476-7244</t>
  </si>
  <si>
    <t>URBAN POLICY RES</t>
  </si>
  <si>
    <t>Urban Policy Res.</t>
  </si>
  <si>
    <t>10.1080/08111146.2016.1235032</t>
  </si>
  <si>
    <t>Environmental Studies; Geography; Regional &amp; Urban Planning; Urban Studies</t>
  </si>
  <si>
    <t>EQ4GM</t>
  </si>
  <si>
    <t>WOS:000398033600003</t>
  </si>
  <si>
    <t>Batt, C</t>
  </si>
  <si>
    <t>Batt, Chris</t>
  </si>
  <si>
    <t>Long-term digital strategy: do it once, do it right</t>
  </si>
  <si>
    <t>INFORMATION AND LEARNING SCIENCE</t>
  </si>
  <si>
    <t>Strategic planning; Libraries; Internet; Museums; Archives; Digital innovation; Socio-technical change</t>
  </si>
  <si>
    <t>Purpose - Collecting Institutions in the Network Society is a multidisciplinary PhD study examining present practices and policies of collecting institutions (museums, galleries, libraries and archives) in their use and development of digital technologies, within the context of wider socio-technical change. It investigates whether existing service paradigms are best suited to future digital delivery of services in the emergent network society. Design/methodology/approach - It uses an interpretive methodological approach creating a body of phenomenological evidence enabling comparison between the organisational context, internal practices, histories and policies of collecting institutions, and the wider socio-technical impact of the internet. Literature reviews provide evidence from the outer world of internet developments and impact to establish four generic drivers of internet change. For the inner world of collecting institutions, organisational context and research and development on innovation are examined to analyse various perspectives on common approaches to service policy and practice. Additionally, textual analysis of institutional mission statements and policy documents is used to establish the degree of common purpose across collecting institutions and the preparedness of practitioners and policymakers to deal with rapid socio-technical change. Findings - The evidence is synthesised to define an institutional paradigm describing the present operational processes and practices of collecting institutions. This is compared with the four generic drivers to define opportunities and challenges that collecting institutions face in exploiting the internet. This synthesis demonstrates that the siloised and fragmented nature of the institutional paradigm creates significant barriers to effective exploitation. Evidence from the textual analysis is used to develop a shared mission statement for all collecting institutions as the foundation of a strategic digital future. Originality/value - The study proposes a radically new service paradigm (the digital knowledge ecology) enabling collecting institutions to achieve maximum user value in their delivery of digital services, and concludes with proposals for actions to build a collective strategy.</t>
  </si>
  <si>
    <t>cbatt@mac.com</t>
  </si>
  <si>
    <t>2398-5348</t>
  </si>
  <si>
    <t>INFORM LEARN SCI</t>
  </si>
  <si>
    <t>Inf. Learn. Sci.</t>
  </si>
  <si>
    <t>5-6</t>
  </si>
  <si>
    <t>10.1108/ILS-06-2017-0058</t>
  </si>
  <si>
    <t>FY9HI</t>
  </si>
  <si>
    <t>WOS:000427176100008</t>
  </si>
  <si>
    <t>Baker, D; Evans, W</t>
  </si>
  <si>
    <t>NEW APPROACHES TO DIGITAL STRATEGY IN THE 21ST CENTURY</t>
  </si>
  <si>
    <t>INNOVATION IN LIBRARIES AND INFORMATION SERVICES</t>
  </si>
  <si>
    <t>Advances in Library Administration and Organization</t>
  </si>
  <si>
    <t>Collecting institutions; internet; strategic planning; socio-technical determinism; innovation</t>
  </si>
  <si>
    <t>Purpose - To investigate how the United Kingdom's public museums, libraries and archives (collecting institutions) might, in the future, take strategic advantage of the dramatic changes in individual and social behaviours and expectations driven by the socio-technical determinism of the Internet since 2000. Methodology/approach - The chapter summarises the evidence and outcomes of PhD research completed in 2015 that used the tools of hermeneutic phenomenology and systems theory to examine the current state of digital strategy within the United Kingdom's collecting institutions and to compare this with the Internet's fundamental drivers of change and innovation. The research sought not to predict the future, but to define the key opportunities and challenges facing collecting institutions in face of sustained socio-technical change to maintain strategic fit, delivering maximum value in the digital space. Findings - The outcomes of the research demonstrated that libraries, like museums and archives, are ill-prepared to face continued socio-technical determinism. The key drivers of the Internet are single channel convergence, rapid innovation, instant two-way communication driving social interaction and dramatic change in the relationship between the supplier and the user. Collecting institutions, on the other hand, operate within vertically integrated silos restricting horizontal collaboration that has led to fragmentation of developments and constraints on strategy across and within the various institutional sectors. The major challenges that libraries must consider are summarised. Originality/value - The research takes an approach that has never before been attempted, either in scope or depth of analysis. The conclusions may not make comfortable reading for practitioners, but they offer an agenda for new ways of thinking about how public institutions must change to sustain their strategic fit in a digital future.</t>
  </si>
  <si>
    <t>[Batt, Chris] Museums Lib &amp; Arch Council MLA, Birmingham, W Midlands, England</t>
  </si>
  <si>
    <t>Batt, C (corresponding author), Museums Lib &amp; Arch Council MLA, Birmingham, W Midlands, England.</t>
  </si>
  <si>
    <t>0732-0671</t>
  </si>
  <si>
    <t>978-1-78560-730-1; 978-1-78560-731-8</t>
  </si>
  <si>
    <t>ADV LIBR ADM ORGAN</t>
  </si>
  <si>
    <t>10.1108/S0732-067120160000035020</t>
  </si>
  <si>
    <t>BI4IR</t>
  </si>
  <si>
    <t>WOS:000411797600013</t>
  </si>
  <si>
    <t>Carvalho, L; van Tuijl, E</t>
  </si>
  <si>
    <t>Carvalho, L; VanDenBerg, L; Galal, H; Teunisse, P</t>
  </si>
  <si>
    <t>Carvalho, Luis; van Tuijl, Erwin</t>
  </si>
  <si>
    <t>Digital Strategy (Manchester)</t>
  </si>
  <si>
    <t>DELIVERING SUSTAINABLE COMPETITIVENESS: REVISITING THE ORGANISING CAPACITY OF CITIES</t>
  </si>
  <si>
    <t>EURICUR Series</t>
  </si>
  <si>
    <t>REGENERATION</t>
  </si>
  <si>
    <t>[Carvalho, Luis] Univ Porto, European Inst Comparat Urban Res EURICUR, Oporto, Portugal; [Carvalho, Luis] Univ Porto, Ctr Studies Geog &amp; Spatial Planning CEGOT, Oporto, Portugal; [van Tuijl, Erwin] Erasmus Univ, Reg Port &amp; Transport Econ RHV, Rotterdam, Netherlands; [van Tuijl, Erwin] Erasmus Univ, European Inst Comparat Urban Res Euricur, Rotterdam, Netherlands</t>
  </si>
  <si>
    <t>Universidade do Porto; Universidade do Porto; Erasmus University Rotterdam; Erasmus University Rotterdam - Excl Erasmus MC; Erasmus University Rotterdam - Excl Erasmus MC; Erasmus University Rotterdam</t>
  </si>
  <si>
    <t>Carvalho, L (corresponding author), Univ Porto, European Inst Comparat Urban Res EURICUR, Oporto, Portugal.;Carvalho, L (corresponding author), Univ Porto, Ctr Studies Geog &amp; Spatial Planning CEGOT, Oporto, Portugal.</t>
  </si>
  <si>
    <t>Carvalho, Luis/W-3271-2019</t>
  </si>
  <si>
    <t>Carvalho, Luis/0000-0002-7700-4558; van Tuijl, Erwin/0000-0002-8239-8352</t>
  </si>
  <si>
    <t>978-1-315-57636-7; 978-1-4724-8267-9</t>
  </si>
  <si>
    <t>EURICUR SER</t>
  </si>
  <si>
    <t>Economics; Urban Studies</t>
  </si>
  <si>
    <t>Business &amp; Economics; Urban Studies</t>
  </si>
  <si>
    <t>BH9RZ</t>
  </si>
  <si>
    <t>WOS:000404288800003</t>
  </si>
  <si>
    <t>Davis, JL</t>
  </si>
  <si>
    <t>Davis, Jenny L.</t>
  </si>
  <si>
    <t>Curation: a theoretical treatment</t>
  </si>
  <si>
    <t>Identity; curation; production; consumption; digital media; social media</t>
  </si>
  <si>
    <t>CONTEXT COLLAPSE; PRIVACY; INTERNET; FACEBOOK</t>
  </si>
  <si>
    <t>Curation is a key mechanism of sociality in a digital era. With an abundance of information, sifting, sorting, selecting, hiding, and standing out become laborious tasks. While researchers have diligently documented people's curatorial strategies, digital curation remains undertheorized in its own right. I therefore theorize digital curation by disentangling productive curation from consumptive curation, addressing how people curate content that they share, and that which they consume. I embed these agentic curatorial practices within structural bounds, both social and technological. In doing so, I offer a basic theoretical model that captures a dynamic relationship between individual curators, their social networks, and technological design.</t>
  </si>
  <si>
    <t>[Davis, Jenny L.] James Madison Univ, Dept Sociol, Harrisonburg, VA 22807 USA</t>
  </si>
  <si>
    <t>James Madison University</t>
  </si>
  <si>
    <t>Davis, JL (corresponding author), James Madison Univ, Dept Sociol, Harrisonburg, VA 22807 USA.</t>
  </si>
  <si>
    <t>davis5jl@jmu.edu</t>
  </si>
  <si>
    <t>Davis, Jenny L/P-1898-2017</t>
  </si>
  <si>
    <t>Davis, Jenny L/0000-0003-0952-5842</t>
  </si>
  <si>
    <t>10.1080/1369118X.2016.1203972</t>
  </si>
  <si>
    <t>EO6UJ</t>
  </si>
  <si>
    <t>WOS:000396827700009</t>
  </si>
  <si>
    <t>Fehér, K</t>
  </si>
  <si>
    <t>Feher, Katalin</t>
  </si>
  <si>
    <t>NETFRAMEWORK AND THE DIGITALIZED-MEDIATIZED SELF</t>
  </si>
  <si>
    <t>CORVINUS JOURNAL OF SOCIOLOGY AND SOCIAL POLICY</t>
  </si>
  <si>
    <t>digitalized-mediatized self; digital footprint; personal/professional online strategy; NetFrameWork</t>
  </si>
  <si>
    <t>NETWORKING; IDENTITY</t>
  </si>
  <si>
    <t>Users leave digital footprints behind via online systems. Mediatized self-representations by human (inter) actions and digitalized automatization imply decisions and dilemmas on account of online participation. Chains of decisions and network impact produce online mediatized selves embedded in the NetFrameWork where net is the internet, the frame is the context by it and work implies the flow process of always on (inter) actions. Users learn to adapt and to handle the blended online-offline existence. Consequences are unpredictable: both former and updated records are available in an infinite digital present. The first part of this paper introduces the conceptual approach of the digitalized and mediatized self in NetFrameWork. The second part provides an insight into our research-in-progress of personal/professional digital strategies. The qualitative research has focused on strategies with their decision points and interpretation via storylines and metaphors by two segments of different generations. Where is the boundary between personal publicity and privacy in online hyper-connectivity? What are the typical conflicting issues in human/automatized (inter) actions on the Internet and what dilemmas do users have to face in their online self-representation? What is the difference among the observed age groups in online strategy? How can metaphors and storytelling reflect to various digital challenges? The goal of this summary is to present the first results of our research project about digital identity in order to prepare the next research milestone.</t>
  </si>
  <si>
    <t>[Feher, Katalin] Univ Appl Sci, Budapest Business Sch, Budapest, Hungary</t>
  </si>
  <si>
    <t>Fehér, K (corresponding author), Univ Appl Sci, Budapest Business Sch, Budapest, Hungary.</t>
  </si>
  <si>
    <t>feher.katalin@uni-bge.hu</t>
  </si>
  <si>
    <t>Feher, Katalin/AAF-3175-2020</t>
  </si>
  <si>
    <t>Feher, Katalin/0000-0003-3293-0862</t>
  </si>
  <si>
    <t>CORVINUS UNIV BUDAPEST, DOCTORAL SCH SOCIOLOGY</t>
  </si>
  <si>
    <t>BUDAPEST</t>
  </si>
  <si>
    <t>KOZRAKTAR U 4-6, BUDAPEST, 1093, HUNGARY</t>
  </si>
  <si>
    <t>2061-5558</t>
  </si>
  <si>
    <t>2062-087X</t>
  </si>
  <si>
    <t>CORVINUS J SOCIOL PO</t>
  </si>
  <si>
    <t>Corvinus J. Sociol. Policy</t>
  </si>
  <si>
    <t>10.14267/CJSSP.2017.01.06</t>
  </si>
  <si>
    <t>FC5UN</t>
  </si>
  <si>
    <t>gold, Green Accepted</t>
  </si>
  <si>
    <t>WOS:000406907300006</t>
  </si>
  <si>
    <t>Luque, SG; Simón, IV; Becerra, TD</t>
  </si>
  <si>
    <t>Giraldo Luque, Santiago; Villegas Simon, Isabel; Duran Becerra, Tomas</t>
  </si>
  <si>
    <t>Use of the websites of parliaments to promote citizen deliberation in the process of public decision-making. Comparative study of ten countries (America and Europe)</t>
  </si>
  <si>
    <t>COMMUNICATION &amp; SOCIETY-SPAIN</t>
  </si>
  <si>
    <t>Parliaments; Internet; Citizen participation; Public sphere; Deliberation; Deliberative democracy</t>
  </si>
  <si>
    <t>NETWORKS</t>
  </si>
  <si>
    <t>This study develops a longitudinal research (2010-2015) on 10 countries - 5 European countries (France, United Kingdom, Sweden, Italy and Spain) and 5 American countries (Argentina, Ecuador, Chile, Colombia and the USA). The aim is to compare how the parliaments use its official websites in order to promote the political participation process in the citizenship. The study focuses on the deliberation axe (Macintosh, 2004, Hagen, 2000, Vedel, 2003, 2007) and in the way that representative institutions define a digital strategy to create an online public sphere. Starting with the recognition of Web 2.0 as a debate sphere and as a place of reconfiguration of the traditional -and utopian- Greek Agora, the study adopts the 'deliberate' political action axe to evaluate, qualitatively and quantitatively -using a content analysis methodology- the use of the Web 2.0 tools made by the legislative bodies of the analysed countries. The article shows how, which and what parliaments use Web 2.0 tools - integrated in their web page - as a scenario that allows deliberation at the different legislative processes that integrate the examined political systems. Finally, the comparative results show the main differences and similarities between the countries, as well as a tendency to reduce deliberation tools offering by representative institutions in the countries sampled.</t>
  </si>
  <si>
    <t>[Giraldo Luque, Santiago; Villegas Simon, Isabel; Duran Becerra, Tomas] Univ Autonoma Barcelona, Barcelona, Spain</t>
  </si>
  <si>
    <t>Luque, SG (corresponding author), Univ Autonoma Barcelona, Barcelona, Spain.</t>
  </si>
  <si>
    <t>santiago.giraldo@uab.cat; isabelmaria.villegas@uab.cat; tomas.duran@uab.cat</t>
  </si>
  <si>
    <t>Becerra, Tomás Durán/P-3386-2018; Simón, Isabel Villegas/AAC-3345-2021; Giraldo-Luque, Santiago/L-6662-2015</t>
  </si>
  <si>
    <t>Becerra, Tomás Durán/0000-0002-5332-8785; Simón, Isabel Villegas/0000-0003-3064-6876; Giraldo Luque, Santiago/0000-0003-0024-7081</t>
  </si>
  <si>
    <t>UNIV NAVARRA, SERVICIO PUBLICACIONES</t>
  </si>
  <si>
    <t>PAMPLONA</t>
  </si>
  <si>
    <t>CAMPUS UNIV, CARRETERA DEL SADAR S-N, APARTADO 177, 31080 PAMPLONA, SPAIN</t>
  </si>
  <si>
    <t>2386-7876</t>
  </si>
  <si>
    <t>COMMUN SOC-SPAIN</t>
  </si>
  <si>
    <t>Commun. Soc.-Spain</t>
  </si>
  <si>
    <t>10.15581/003.30.3.77-97</t>
  </si>
  <si>
    <t>FQ1UK</t>
  </si>
  <si>
    <t>WOS:000418142900006</t>
  </si>
  <si>
    <t>Guo, S; Ding, W; Lanshina, T</t>
  </si>
  <si>
    <t>Guo, S.; Ding, W.; Lanshina, T.</t>
  </si>
  <si>
    <t>Global Governance and the Role of the G20 in the Emerging Digital Economy</t>
  </si>
  <si>
    <t>digital economy; Global governance; G20; BRICS</t>
  </si>
  <si>
    <t>Recent decades have seen a rapid digital transformation resulting in important and sometimes crucial changes in business, society and the global economy. After the global crisis of 2008-2009, digital industries have been the most dynamic and promising in the global economy. Still, the world has not yet found abalance between the benefits and risks of a digital economy and thus global governance in this sphere is required. This article analyses the role and unique characteristics of the Group of 20 (G20) in the sphere of global governance in the digital economy. The authors review the definitions of digital economy and identify the key characteristics of this sector. They highlight the challenges the digital economy poses for international cooperation, analyse digital strategies of G20 countries and study the G20's participation in global digital economy governance. Following on this, the authors analyse the potential for Chinese and Russian leadership and make recommendations concerning the participation of the G20 in the global governance of the digital economy. The authors offer several conclusions based on their analysis. First, international society has to govern the digital economy properly to eliminate distortions between developed and developing countries, ensure cyber security and achieve a higher quality of life for all. Second, the G20 has very limited experience in the sphere of digital economy governance, but as a leader withsoft power and as an organization with members who have developed their digital sectors and those that that lag behind, it may play a lead role in the global governance of the digital economy. Third, while the U.S. has historically dominated the information technology (IT) sector and the digital economy, China has improved its position enough to warrant a greater role in global governance. Russia may also play a greater (though not a leading) role, taking into account its experience and potential. The authors also conclude that the G20 should pay more attention to cooperation with African countries and promote tools to encourage voluntary cooperation, first and foremost with developing countries. The G20 should also work to improve international cyber security and involve the nongovernmental sector in the process of the global digital governance more often. Finally, the G20 should position itself properly and actively in the sphere of digital governance to optimize its functions as the hub of global governance.</t>
  </si>
  <si>
    <t>[Guo, S.; Ding, W.] SISU, SIRPA, 550 Dalian Rd W, Shanghai 200083, Peoples R China; [Lanshina, T.] Russian Presidential Acad Natl Econ &amp; Publ Adm RA, Ctr Econ Modeling Energy &amp; Environm, Bldg 1,82 Prospect Vernadskogo, Moscow 119571, Russia; [Lanshina, T.] Russian Acad Sci ISKRAN, Ctr Ind Studies, Inst US &amp; Canadian Studies, Bldg 1,82 Prospect Vernadskogo, Moscow 119571, Russia</t>
  </si>
  <si>
    <t>Shanghai International Studies University; Russian Presidential Academy of National Economy &amp; Public Administration; Russian Academy of Sciences; Institute for the US &amp; Canadian Studies, Russian Academy of Sciences</t>
  </si>
  <si>
    <t>Guo, S (corresponding author), SISU, SIRPA, 550 Dalian Rd W, Shanghai 200083, Peoples R China.</t>
  </si>
  <si>
    <t>syguo@shisu.edu.cn; dwh1010@foxmail.com; lanshina@ranepa.ru</t>
  </si>
  <si>
    <t>Lanshina, Tatiana/AAJ-1594-2021</t>
  </si>
  <si>
    <t>FS3XL</t>
  </si>
  <si>
    <t>WOS:000419717800008</t>
  </si>
  <si>
    <t>Hartmann, H</t>
  </si>
  <si>
    <t>Hartmann, Heiko</t>
  </si>
  <si>
    <t>Academic Publishing in the Humanities Current trends in Germany</t>
  </si>
  <si>
    <t>LOGOS-JOURNAL OF THE WORLD PUBLISHING COMMUNITY</t>
  </si>
  <si>
    <t>academic publishing; humanities; open access; German book market; German publishing companies; academic self-publishing; Copyright Act; digitization</t>
  </si>
  <si>
    <t>The traditional business model of academic publishers is in peril. Besides the consequences of digitization, publishers have to cope with new habits of media reception, a multitude of new substitutes, legal uncertainties, and the threat from open access. German publishers are reacting in very different ways to the challenges of the market for scholarly literature. While some smaller independent publishers are still concentrating on print titles and barely offer any electronic products, others rely on a modern digital strategy, intensive internationalization, and a large portfolio of e-products including open access formats. Focusing on the humanities, this essay analyses the current situation of German academic publishers and asks how they can succeed in the future when proven business models are no longer accepted by new market players.</t>
  </si>
  <si>
    <t>[Hartmann, Heiko] HTWK, Book Trade &amp; Publishing Ind, Leipzig, Germany</t>
  </si>
  <si>
    <t>Hartmann, H (corresponding author), HTWK, Book Trade &amp; Publishing Ind, Leipzig, Germany.</t>
  </si>
  <si>
    <t>heiko.hartmann@htwk-leipzig.de</t>
  </si>
  <si>
    <t>BRILL ACADEMIC PUBLISHERS</t>
  </si>
  <si>
    <t>0957-9656</t>
  </si>
  <si>
    <t>1878-4712</t>
  </si>
  <si>
    <t>LOGOS J WORLD PUBL C</t>
  </si>
  <si>
    <t>Logos-J. World Publ. Community</t>
  </si>
  <si>
    <t>10.1163/1878-4712-11112127</t>
  </si>
  <si>
    <t>FH8OC</t>
  </si>
  <si>
    <t>WOS:000411455400003</t>
  </si>
  <si>
    <t>Iaia, L; Scorrano, P; Fait, M; Cavallo, F</t>
  </si>
  <si>
    <t>Iaia, Lea; Scorrano, Paola; Fait, Monica; Cavallo, Federica</t>
  </si>
  <si>
    <t>Wine, family businesses and web: marketing strategies to compete effectively</t>
  </si>
  <si>
    <t>BRITISH FOOD JOURNAL</t>
  </si>
  <si>
    <t>Family firms; Wine industry; Website; Online strategies; Web communication</t>
  </si>
  <si>
    <t>E-SATISFACTION; ONLINE; OWNERSHIP; CONSUMER; FIRMS</t>
  </si>
  <si>
    <t>Purpose - The purpose of this paper is to deepen the web marketing strategies used by wine family businesses (FBs) with the aim to identify the role assigned to websites, the online models and the competitive strategies implemented through them. Design/methodology/approach - In order to examine the content and structure of the information found on the website of selected FBs, an ad hoc analysis model was designed and validated with the support of marketing and industry experts through an inspecting focus group (Mich, 2007). Findings - The subsequent observation of the websites of the businesses studied showed that family-run Italian wineries use their websites mainly to present information about the business and as a relational tool through edutainment activities; FBs yet neglect the potential of e-commerce. Research limitations/implications - The study highlights the importance and the attention that FBs, among others, should dedicate to the role of web communications within their communications strategy. Although this path has allowed the traits essential to launch effective online communications for FBs, the small number of businesses surveyed (ten) does not permit a theoretical generalisation of the results. Thus, we expect to integrate the information obtained from this preliminary study with in-depth interviews with the digital strategists for the companies examined or by increasing the number of FBs studied. Originality/value - The paper provides an evaluation model to effectively organise the websites' contents; wine businesses should consider and customise these essential elements with the brand's specific details.</t>
  </si>
  <si>
    <t>[Iaia, Lea; Scorrano, Paola; Fait, Monica; Cavallo, Federica] Univ Salento, Dept Management Econ Math &amp; Stat, Lecce, Italy</t>
  </si>
  <si>
    <t>University of Salento</t>
  </si>
  <si>
    <t>Scorrano, P (corresponding author), Univ Salento, Dept Management Econ Math &amp; Stat, Lecce, Italy.</t>
  </si>
  <si>
    <t>paola.scorrano@unisalento.it</t>
  </si>
  <si>
    <t>Fait, Monica/AAA-4283-2020; Iaia, Lea/R-4911-2019; scorrano, paola/N-6534-2015</t>
  </si>
  <si>
    <t>Fait, Monica/0000-0003-2448-3839; Iaia, Lea/0000-0003-4650-1233; scorrano, paola/0000-0002-7964-9931</t>
  </si>
  <si>
    <t>0007-070X</t>
  </si>
  <si>
    <t>1758-4108</t>
  </si>
  <si>
    <t>BRIT FOOD J</t>
  </si>
  <si>
    <t>Br. Food J.</t>
  </si>
  <si>
    <t>10.1108/BFJ-02-2017-0110</t>
  </si>
  <si>
    <t>Agricultural Economics &amp; Policy; Food Science &amp; Technology</t>
  </si>
  <si>
    <t>Agriculture; Food Science &amp; Technology</t>
  </si>
  <si>
    <t>FN6KC</t>
  </si>
  <si>
    <t>WOS:000416122000002</t>
  </si>
  <si>
    <t>Oyarce-Cruz, J</t>
  </si>
  <si>
    <t>Oyarce-Cruz, Jacqueline</t>
  </si>
  <si>
    <t>Creating a Media Lab at the Universidad Nacional Mayor de San Marcos-Peru</t>
  </si>
  <si>
    <t>LETRAS</t>
  </si>
  <si>
    <t>Media Lab; digital media; internet; spread science</t>
  </si>
  <si>
    <t>The main objective of creating a Media Lab as specialized space was to study internet and other digital media in mass communication. A specific objective was to study and apply digital strategies to broadcast scientific contributions of the Universidad Nacional Mayor de San Marcos. It is an applied, cross-sectional study. It uses podcast, streaming and hypertext. As a result, the Media Lab UNMSM was created. Today is a Research Nucleus of the Universidad Nacional Mayor de San Marcos. A Media Lab enables students and professors to innovate with digital media. It also helps to spread scientific content among the community. It is the first Media Lab of the Peruvian university.</t>
  </si>
  <si>
    <t>[Oyarce-Cruz, Jacqueline] Univ Nacl Mayor San Marcos, Lima, Peru</t>
  </si>
  <si>
    <t>Universidad Nacional Mayor de San Marcos</t>
  </si>
  <si>
    <t>Oyarce-Cruz, J (corresponding author), Univ Nacl Mayor San Marcos, Lima, Peru.</t>
  </si>
  <si>
    <t>moyarcec@unmsm.edu.pe</t>
  </si>
  <si>
    <t>Oyarce-Cruz, Maria Jacqueline/GRY-7131-2022</t>
  </si>
  <si>
    <t>Oyarce-Cruz, Jacqueline/0000-0003-4445-1092</t>
  </si>
  <si>
    <t>UNIV NACIONAL MAYOR SAN MARCOS</t>
  </si>
  <si>
    <t>CIUDAD UNIVERSITARIA, AV VENEZUELA CDRA. 34 S/N, CASILLA POSTAL 11-0058, LIMA, 11, PERU</t>
  </si>
  <si>
    <t>0378-4878</t>
  </si>
  <si>
    <t>2071-5072</t>
  </si>
  <si>
    <t>LETRAS-LIMA</t>
  </si>
  <si>
    <t>Letras</t>
  </si>
  <si>
    <t>FI0LW</t>
  </si>
  <si>
    <t>WOS:000411618500009</t>
  </si>
  <si>
    <t>Paladines, F; Tandazo, CG; Fernández, VAM</t>
  </si>
  <si>
    <t>Freire, FC; Araujo, XR; Fernandez, VAM; Garcia, XL</t>
  </si>
  <si>
    <t>Paladines, Fanny; Granda Tandazo, Carlos; Martinez Fernandez, Valentin Alejandro</t>
  </si>
  <si>
    <t>The Situation of Digital Strategic Communication in Ecuador and Other Countries in Latin America: The Management of the Community Manager</t>
  </si>
  <si>
    <t>MEDIA AND METAMEDIA MANAGEMENT</t>
  </si>
  <si>
    <t>Advances in Intelligent Systems and Computing</t>
  </si>
  <si>
    <t>Community manager; Strategic communication; Digital</t>
  </si>
  <si>
    <t>At present, companies face the challenge of addressing the new forms of communication by positioning their brands. This in turn results in the emergence of new professional profiles, such as the Community Manager. The present research analyses quantitative information from experts in the digital area of Ecuadorian, Mexican, Argentinian, Colombian, Venezuelan, and Uruguayan organizations. The study is focused on the study of the role of Community Managers in strategic communication. Inputs of particular interest for this research include: (a) the importance attached to the training and tools handling to address strategic issues; (b) the role of the manager of virtual communities related to companies, in order to know and control communication flows and consolidate a brand or business; (c) the participation, interaction, creation of engaging content, positioning and online reputation. This paper is aimed at contributing to research on the subject. In the region, figures providing evidence in this field are scarce and of little relevance.</t>
  </si>
  <si>
    <t>[Paladines, Fanny; Granda Tandazo, Carlos] Tech Particular Univ Loja UTPL, Loja, Ecuador; [Martinez Fernandez, Valentin Alejandro] Univ A Coruna, La Coruna, Spain</t>
  </si>
  <si>
    <t>Universidade da Coruna</t>
  </si>
  <si>
    <t>Paladines, F (corresponding author), Tech Particular Univ Loja UTPL, Loja, Ecuador.</t>
  </si>
  <si>
    <t>fypaladines@utpl.edu.ec; cwgranda@utpl.edu.ec</t>
  </si>
  <si>
    <t>Martínez-Fernández, Valentín-Alejandro/P-3675-2019</t>
  </si>
  <si>
    <t>VALENTIN-ALEJANDRO, MARTINEZ-FERNANDEZ/0000-0003-0069-675X</t>
  </si>
  <si>
    <t>2194-5357</t>
  </si>
  <si>
    <t>978-3-319-46068-0; 978-3-319-46066-6</t>
  </si>
  <si>
    <t>ADV INTELL SYST</t>
  </si>
  <si>
    <t>10.1007/978-3-319-46068-0_27</t>
  </si>
  <si>
    <t>10.1007/978-3-319-46068-0</t>
  </si>
  <si>
    <t>BH3UQ</t>
  </si>
  <si>
    <t>WOS:000400026600028</t>
  </si>
  <si>
    <t>Pettersson, K; Sakki, I</t>
  </si>
  <si>
    <t>Pettersson, Katarina; Sakki, Inari</t>
  </si>
  <si>
    <t>Pray for the fatherland! Discursive and digital strategies at play in nationalist political blogging</t>
  </si>
  <si>
    <t>QUALITATIVE RESEARCH IN PSYCHOLOGY</t>
  </si>
  <si>
    <t>Nationalism; persuasion; political blogs; political communication; qualitative research</t>
  </si>
  <si>
    <t>EXTREME-RIGHT; CONSTRUCTION; ONLINE; RACISM; OPPORTUNITIES; PREJUDICE; RACE</t>
  </si>
  <si>
    <t>Political blogs have come to constitute important channels for expressing nationalist and anti-immigration political views. The new forms that this rhetoric may take, comprising an intricate intermingling of verbal, digital, (audio-)visual, and communicative elements, present challenges for qualitative research. In this article we propose a way for analysing this new nationalist political discourse from a qualitative social psychological perspective. The suggested approach combines analytical procedures form critical discursive and rhetorical psychology with social semiotic and rhetorical studies of images, completed with analytical tools and concepts from narrative psychology and research into online political communication. Using two empirical examples of nationalist and anti-immigration political blog-entries written during the 2015 refugee crisis, we show this approach enables the researcher to adequately study how such political messages are conveyed through the multitude of elements provided by the blogs. In so doing, our ultimate goal is to contribute to the analytical capacity of qualitative social psychological research into contemporary political communication and persuasion.</t>
  </si>
  <si>
    <t>[Pettersson, Katarina; Sakki, Inari] Univ Helsinki, Dept Social Res, Social Psychol, Helsinki, Finland</t>
  </si>
  <si>
    <t>Pettersson, K (corresponding author), Univ Helsinki, Dept Social Res, POB 54, FIN-00014 Helsinki, Finland.</t>
  </si>
  <si>
    <t>katarina.pettersson@helsinki.fi</t>
  </si>
  <si>
    <t>Pettersson, Katarina/0000-0001-8336-9505</t>
  </si>
  <si>
    <t>Kulttuurin ja Yhteiskunnan Tutkimuksen Toimikunta, Suomen Akatemia [252141]; Academy of Finland (AKA) [252141] Funding Source: Academy of Finland (AKA)</t>
  </si>
  <si>
    <t>Kulttuurin ja Yhteiskunnan Tutkimuksen Toimikunta, Suomen Akatemia; Academy of Finland (AKA)(Research Council of Finland)</t>
  </si>
  <si>
    <t>The authors received funding from Kulttuurin ja Yhteiskunnan Tutkimuksen Toimikunta, Suomen Akatemia, grant number 252141.</t>
  </si>
  <si>
    <t>1478-0887</t>
  </si>
  <si>
    <t>1478-0895</t>
  </si>
  <si>
    <t>QUAL RES PSYCHOL</t>
  </si>
  <si>
    <t>Qual. Res. Psychol.</t>
  </si>
  <si>
    <t>10.1080/14780887.2017.1290177</t>
  </si>
  <si>
    <t>EY4BB</t>
  </si>
  <si>
    <t>WOS:000403920100004</t>
  </si>
  <si>
    <t>Fernández, LR; Llamas, MS</t>
  </si>
  <si>
    <t>Rodriguez Fernandez, Leticia; Saavedra Llamas, Marta</t>
  </si>
  <si>
    <t>13-J Election Debate: Social Audience in Digital Strategy of Political Parties</t>
  </si>
  <si>
    <t>TRIPODOS</t>
  </si>
  <si>
    <t>electoral debate; television; social media audience; politics; Twitter</t>
  </si>
  <si>
    <t>TWITTER</t>
  </si>
  <si>
    <t>Social networks have transformed political communication, and now political parties face new challenges in approaching citizens, combining Twitter with the use of traditional media in their communication strategy. In this digital context, the social media audience has established itself as a faithful and participatory community that continues to gain importance in television channels' transmedia strategy, while creating new challenges for these organizations. This article examines the digital strategy for social media audiences used by the main political parties during the electoral debate on June 13, 2016. Broadcast on 17 television channels, it was the fifth most watched debate in Spanish history, and it generated 1.8 million tweets. Analysis has been carried out on the production of content shared on Twitter by each political group and the relationship established with the community to determine if political parties incorporated the social media audience in their strategies.</t>
  </si>
  <si>
    <t>[Rodriguez Fernandez, Leticia] Univ Antonio Nebrija, Comunicac Org, Madrid, Spain; [Saavedra Llamas, Marta] Univ Antonio Nebrija, Madrid, Spain</t>
  </si>
  <si>
    <t>Universidad Antonio de Nebrija; Universidad Antonio de Nebrija</t>
  </si>
  <si>
    <t>Fernández, LR (corresponding author), Univ Antonio Nebrija, Comunicac Org, Madrid, Spain.</t>
  </si>
  <si>
    <t>leticiarofer@gmail.com; msaavedr@nebrjia.es</t>
  </si>
  <si>
    <t>Rodríguez, Leticia/AAB-4766-2019</t>
  </si>
  <si>
    <t>Rodríguez, Leticia/0000-0002-7472-5472</t>
  </si>
  <si>
    <t>UNIV RAMON LLULL, FAC CIENCIES COMUNICACIO BLANQUERNA</t>
  </si>
  <si>
    <t>C VALLDONZELLA, 23, BARCELONA, 08001, SPAIN</t>
  </si>
  <si>
    <t>1138-3305</t>
  </si>
  <si>
    <t>2340-5007</t>
  </si>
  <si>
    <t>Tripodos</t>
  </si>
  <si>
    <t>GM0HU</t>
  </si>
  <si>
    <t>WOS:000437730000011</t>
  </si>
  <si>
    <t>Sandoval-Almazán, R; Luna-Reyes, LF; Luna-Reyes, DE; Gil-Garcia, JR; Puron-Cid, G; Picazo-Vela, S</t>
  </si>
  <si>
    <t>SandovalAlmazan, R; LunaReyes, LF; LunaReyes, DE; GilGarcia, JR; PuronCid, G; PicazoVela, S</t>
  </si>
  <si>
    <t>Sandoval-Almazan, Rodrigo; Luna-Reyes, Luis F.; Luna-Reyes, Dolores E.; Ramon Gil-Garcia, J.; Puron-Cid, Gabriel; Picazo-Vela, Sergio</t>
  </si>
  <si>
    <t>Developing a Digital Government Strategy for Public Value Creation</t>
  </si>
  <si>
    <t>BUILDING DIGITAL GOVERNMENT STRATEGIES: PRINCIPLES AND PRACTICES</t>
  </si>
  <si>
    <t>Public Administration and Information Technology</t>
  </si>
  <si>
    <t>This chapter introduces the concept of digital government and its potential to transform government operations at two different levels. The first broader level refers to the conceptualization of a national digital strategy as a way to promote social and economic development of a society as a whole. Such national digital strategy is the result of negotiations among a multitude of actors within and outside the government and involves managing challenges resulting from power imbalances among key stakeholders and the creation of appropriate institutions to ensure a long-term vision. The second level, which we call enterprise strategy, focuses on developing plans and implementing programs to facilitate the creation of technology infrastructure and systems that support the substantive work of government. Digital government enterprise strategy encompasses those who are responsible for managing information technology and systems in different government agencies and working closely with the programmatic areas to plan and implement technology initiatives that deliver public value.</t>
  </si>
  <si>
    <t>[Sandoval-Almazan, Rodrigo] Autonomous Univ State Mexico, Polit &amp; Social Sci Sch, Toluca, Mexico; [Luna-Reyes, Luis F.; Ramon Gil-Garcia, J.] SUNY Albany, Dept Publ Adm &amp; Policy, Albany, NY 12222 USA; [Luna-Reyes, Dolores E.] Univ Americas Puebla, Dept Ind &amp; Mech Engn, Cholula, Puebla, Mexico; [Ramon Gil-Garcia, J.] SUNY Albany, Ctr Technol Govt, Albany, NY 12222 USA; [Puron-Cid, Gabriel] Ctr Invest &amp; Docencia Econ AC CIDE, Dept Publ Adm, Aguascalientes, Aguascalientes, Mexico; [Picazo-Vela, Sergio] Univ Americas Puebla, Dept Business Adm, Cholula, Mexico</t>
  </si>
  <si>
    <t>Universidad Autonoma del Estado de Mexico; State University of New York (SUNY) System; State University of New York (SUNY) Albany; Universidad Americas Puebla (UDLAP); State University of New York (SUNY) System; State University of New York (SUNY) Albany; Universidad Americas Puebla (UDLAP)</t>
  </si>
  <si>
    <t>Sandoval-Almazán, R (corresponding author), Autonomous Univ State Mexico, Polit &amp; Social Sci Sch, Toluca, Mexico.</t>
  </si>
  <si>
    <t>Luna, Dolores E/T-4076-2017; Luna-Reyes, Luis/G-5548-2012; Gil-Garcia, J. Ramon/A-9636-2009; Puron-Cid, Gabriel/AAY-5661-2021</t>
  </si>
  <si>
    <t>Luna, Dolores E/0000-0002-0601-5006; Luna-Reyes, Luis/0000-0002-0852-404X; Gil-Garcia, J. Ramon/0000-0002-1033-4974; Puron-Cid, Gabriel/0000-0002-6272-7374</t>
  </si>
  <si>
    <t>233 SPRING STREET, NEW YORK, NY 10013, UNITED STATES</t>
  </si>
  <si>
    <t>978-3-319-60348-3; 978-3-319-60347-6</t>
  </si>
  <si>
    <t>PUB ADMIN INF TECH</t>
  </si>
  <si>
    <t>10.1007/978-3-319-60348-3_2</t>
  </si>
  <si>
    <t>10.1007/978-3-319-60348-3</t>
  </si>
  <si>
    <t>Management; Public Administration</t>
  </si>
  <si>
    <t>BK6DZ</t>
  </si>
  <si>
    <t>WOS:000440134800003</t>
  </si>
  <si>
    <t>Schutte, J</t>
  </si>
  <si>
    <t>Schutte, Johann</t>
  </si>
  <si>
    <t>The future of student life: participating</t>
  </si>
  <si>
    <t>ON THE HORIZON</t>
  </si>
  <si>
    <t>Higher education; Governance; Activism; Student needs; Civic engagement; Participating</t>
  </si>
  <si>
    <t>Purpose - A research project exploring emerging student needs explored six aspects of student life: living, learning, working, playing, connecting and participating. Participating is explored here. This aspect focuses on the ways that students may become active citizens by participating in civic life. Insights are gained as to how students may engage with universities and governments and how they will contribute to the public sphere. Themes such as voting, (h) activism, transparency and digital strategies to improve governance are explored. This paper aims to summarize two scenarios about the Participating domain from the Student Needs 2025+ project and highlight implications for the future of higher education. Design/methodology/approach - A modified version of the University of Houston's Framework Foresight method was used to explore the future of six aspects of future student life. Findings - The ability of students and citizens to innovate and affect change should not be underestimated. The maker movement and the life hacking meme are symbols of the hidden societal energy available to governments to improve the world and solve our pressing issues. For this to be effective, the role of the hacker, and hacktivism in general as a form of civic participation, should be reframed as a positive contributor of change. The relationship between governing bodies and activism is at a crossroads. The current age of interconnectivity offers tremendous potential for governing bodies to include civil contributions and innovation in a powerful, net-positive way. However, the status quo is so often the opposite and those who are being governed are perceived as a threat. There is a need for key players and leaders to creatively act according to innovative paradigms and principles that strategically reconcile the hacked and the hacking for the greater good of society. Research limitations/implications - In terms of research limitations, the paper is focused on the needs of students and does not purport to be an exhaustive analysis of all of the issues influencing higher education. It views the future of higher education through the lens of students and their emerging needs. Originality/value - This paper explores student life in its totality as a way to more accurately identify student needs in the future.</t>
  </si>
  <si>
    <t>[Schutte, Johann] Houston Foresight Program, Houston, TX 77204 USA</t>
  </si>
  <si>
    <t>Schutte, J (corresponding author), Houston Foresight Program, Houston, TX 77204 USA.</t>
  </si>
  <si>
    <t>johann@joevillage.org.za</t>
  </si>
  <si>
    <t>1074-8121</t>
  </si>
  <si>
    <t>2054-1708</t>
  </si>
  <si>
    <t>HORIZON</t>
  </si>
  <si>
    <t>Horizon</t>
  </si>
  <si>
    <t>10.1108/OTH-05-2017-0025</t>
  </si>
  <si>
    <t>FD5UF</t>
  </si>
  <si>
    <t>WOS:000407594600008</t>
  </si>
  <si>
    <t>Solovey, VD</t>
  </si>
  <si>
    <t>Solovey, V. D.</t>
  </si>
  <si>
    <t>DIGITAL MYTHOLOGY AND DONALD TRUMP ELECTORAL CAMPAIGN</t>
  </si>
  <si>
    <t>POLIS-POLITICHESKIYE ISSLEDOVANIYA</t>
  </si>
  <si>
    <t>Internet; social media; Google; Facebook; Twitter; Big Data; politics; electoral campaign; Donald Trump; Hillary Clinton; digital strategy; microtargeting</t>
  </si>
  <si>
    <t>COLLECTIVE IDENTITY; SOCIAL MEDIA; MOVEMENTS; PROTEST</t>
  </si>
  <si>
    <t>The article examines the relevance of the so-called 'digital myths' on the example of Donald Trump presidential electoral campaign. The statement about a change of the very quality of politics and its nature in the course of transition to a digital context is the main among digital myths. The article claims that the key condition of Trump's victory was not an extensive use of digital tools, but a proper political strategy. The latter's essence was an evident idea achieving an advantage in the battleground states. The Big Data suggested how to do it, and the widest possible use of digital tools has paved the way to a victory. Electoral mobilization consisted of two elements. First, Trump's campaigners mobilized layers of the population that did not attend elections previously and that was not polled were. Second, a susceptible part of the traditional Democratic voters among youth, women and Hispanic Americans voted for Trump. To accomplish these tasks his campaigners made use of a full range of digital tools, primarily the biggest advertising platforms such as Google and Facebook. Digital media provided Trump with a low-cost, better targeted, and highly resourceful electoral campaign that was far more proficient than Hillary Clinton campaign. The observers disregarded a covered nature of Trump campaign, and this important factor made his victory quite unexpected. The author concludes that the U.S. presidential campaign 2016 was a battleground of two major types of political communication - traditional and new ones. The transition to a new type of communication is inevitable since we are entering a new political and social environment of generations that have grown up in a new technological and sociocultural context. However, even in the context of a new communication paradigm, the nature of politics remains the same. At the same time, new communications seriously transformed the mechanism of political influence on society.</t>
  </si>
  <si>
    <t>[Solovey, V. D.] MGIMO Univ, MFA Russia, Moscow State Inst Int Relat, Dept Publ Relat, Moscow, Russia</t>
  </si>
  <si>
    <t>MGIMO University</t>
  </si>
  <si>
    <t>Solovey, VD (corresponding author), MGIMO Univ, MFA Russia, Moscow State Inst Int Relat, Dept Publ Relat, Moscow, Russia.</t>
  </si>
  <si>
    <t>valery.solovei@gmail.com</t>
  </si>
  <si>
    <t>RUSSIAN ACAD SCIENCES</t>
  </si>
  <si>
    <t>LENINSKII AVENUE, 14, MOSCOW, 119991, RUSSIA</t>
  </si>
  <si>
    <t>1026-9487</t>
  </si>
  <si>
    <t>1684-0070</t>
  </si>
  <si>
    <t>POLIS</t>
  </si>
  <si>
    <t>Polis</t>
  </si>
  <si>
    <t>10.17976/jpps/2017.05.09</t>
  </si>
  <si>
    <t>FO8YU</t>
  </si>
  <si>
    <t>WOS:000417175400009</t>
  </si>
  <si>
    <t>Barrett, M; Oborn, E; Orlikowski, W</t>
  </si>
  <si>
    <t>Barrett, Michael; Oborn, Eivor; Orlikowski, Wanda</t>
  </si>
  <si>
    <t>Creating Value in Online Communities: The Sociomaterial Configuring of Strategy, Platform, and Stakeholder Engagement</t>
  </si>
  <si>
    <t>digital; online communities; health IT; value; computer-mediated communication and collaboration</t>
  </si>
  <si>
    <t>SOCIAL MEDIA; KNOWLEDGE CONTRIBUTION; SERVICE INNOVATION; DOMINANT LOGIC; SOFTWARE; ORGANIZATIONS; CAPABILITIES; ARCHITECTURE; GOVERNANCE; COCREATION</t>
  </si>
  <si>
    <t>How is value created in an online community (OC) over time? We explored this question through a longitudinal field study of an OC in the healthcare arena. We found that multiple kinds of value were produced and changed over time as different participants engaged with the OC and its evolving technology in various ways. To explain our findings, we theorize OC value as performed through the ongoing sociomaterial configuring of strategies, digital platforms, and stakeholder engagement. We develop a process perspective to explain these dynamics and identify multiple different kinds of value being created by an OC over time: financial, epistemic, ethical, service, reputational, and platform. Our research points to the importance of expanding the notion of OC users to encompass a broader understanding of stakeholders. It further suggests that creating OC value increasingly requires going beyond a dyadic relationship between the OC and the firm to encompassing a more complex relationship involving a wider ecosystem of stakeholders.</t>
  </si>
  <si>
    <t>[Barrett, Michael] Univ Cambridge, Judge Business Sch, Cambridge CB2 1AG, England; [Oborn, Eivor] Univ Warwick, Warwick Business Sch, Coventry CV4 7AL, W Midlands, England; [Orlikowski, Wanda] MIT, Sloan Sch Management, Cambridge, MA 02142 USA</t>
  </si>
  <si>
    <t>University of Cambridge; University of Warwick; Massachusetts Institute of Technology (MIT)</t>
  </si>
  <si>
    <t>Barrett, M (corresponding author), Univ Cambridge, Judge Business Sch, Cambridge CB2 1AG, England.</t>
  </si>
  <si>
    <t>m.barrett@jbs.cam.ac.uk; eivor.oborn@wbs.ac.uk; wanda@mit.edu</t>
  </si>
  <si>
    <t>Munshi, Aviva/JDC-3827-2023</t>
  </si>
  <si>
    <t>National Institute for Health Research (NIHR) Collaborations for Leadership in Applied Health Research and Care (CLAHRC) West Midlands; NIHR Cambridge; Peterborough CLAHRC</t>
  </si>
  <si>
    <t>National Institute for Health Research (NIHR) Collaborations for Leadership in Applied Health Research and Care (CLAHRC) West Midlands(National Institutes of Health Research (NIHR)); NIHR Cambridge; Peterborough CLAHRC</t>
  </si>
  <si>
    <t>The authors thank the members of SocialHealth, who kindly gave access and participated in this study. The authors are also grateful for the valuable guidance provided by the special issue editors, associate editor, and reviewers during the revision process. E. Oborn is supported by the National Institute for Health Research (NIHR) Collaborations for Leadership in Applied Health Research and Care (CLAHRC) West Midlands. This work was also supported in part by the NIHR Cambridge and Peterborough CLAHRC. This paper presents independent research, and the views expressed are those of the authors and not necessarily those of the National Health Service, the NIHR, or the Department of Health.</t>
  </si>
  <si>
    <t>10.1287/isre.2016.0648</t>
  </si>
  <si>
    <t>EG4LI</t>
  </si>
  <si>
    <t>Green Submitted, Green Published</t>
  </si>
  <si>
    <t>WOS:000391015200003</t>
  </si>
  <si>
    <t>Gon, M; Pechlaner, H; Marangon, F</t>
  </si>
  <si>
    <t>Gon, Marika; Pechlaner, Harald; Marangon, Francesco</t>
  </si>
  <si>
    <t>Destination management organizations (DMOs) and Digital Natives: the neglected informal expertise'' in web 2.0 implementation and social media presence. Insights from the Italian Friuli Venezia Giulia DMO</t>
  </si>
  <si>
    <t>INFORMATION TECHNOLOGY &amp; TOURISM</t>
  </si>
  <si>
    <t>Social media; Web 2.0 implementation; Destination management organizations; Digital natives; DMOs digital strategies</t>
  </si>
  <si>
    <t>MARKETING TOOL; CO-CREATION; TOURISM; HOSPITALITY; EXPERIENCES; FACEBOOK</t>
  </si>
  <si>
    <t>The present paper wishes to investigate the perspective of Digital Natives (DNs), described in literature as informal experts'', in respect of digital strategies' implementation of destination management organizations (DMOs). In particular, focus groups of students and workers in the tourism field were asked to browse and discuss the website and social media presence of an Italian regional DMO (i.e. PromoTurismoFVG). Comments were collected and analyzed with the GABEK/Winrelan method for qualitative analysis. Results confirmed the DMO's adoption of a digital format but with limited social and consumer-generated-contents (CGC). DNs recognized the implementation of a Web 2.0 destination site in a rather traditional marketing mix strategy. Furthermore DMO websites and social media (SM) (i.e., Facebook, Instagram, Twitter and YouTube) content analysis showed that the DMO lacks products and offers for the young market segment. The combination of limited social content and the weak attention to youth market makes the current digital DMO not attractive enough to the digital natives. The work highlights the importance on focusing on DN informal expertise'' in the planning and development of digital strategies, DMO websites and SM presence. Their proved social media knowledge and digital competences have to be considered as a key opportunity for DMOs and for the improvement of the destination marketing strategies. This research contributes to the academic discussion on SM/Web 2.0 implementation in destination management, by presenting an exploratory study on DNs' informal expert perspective supported by the use of GABEK/ Winrelan as an innovative method.</t>
  </si>
  <si>
    <t>[Gon, Marika; Marangon, Francesco] Univ Udine, Udine, Italy; [Gon, Marika; Pechlaner, Harald] Katholische Univ Eichstatt Ingolstadt, Eichstatt Ingolstadt, Germany</t>
  </si>
  <si>
    <t>University of Udine</t>
  </si>
  <si>
    <t>Gon, M (corresponding author), Univ Udine, Udine, Italy.;Gon, M (corresponding author), Katholische Univ Eichstatt Ingolstadt, Eichstatt Ingolstadt, Germany.</t>
  </si>
  <si>
    <t>marikagon@hotmail.com; Harald.pechlaner@ku.de; Francesco.marangon@uniud.it</t>
  </si>
  <si>
    <t>Marangon, Francesco/P-5554-2015; Rodrigues de Assis, Iracema/HJZ-4230-2023; Matzler, Kurt/M-5994-2013</t>
  </si>
  <si>
    <t>Marangon, Francesco/0000-0001-7519-2922;</t>
  </si>
  <si>
    <t>1098-3058</t>
  </si>
  <si>
    <t>1943-4294</t>
  </si>
  <si>
    <t>INF TECHNOL TOUR</t>
  </si>
  <si>
    <t>Inf. Technol. Tour.</t>
  </si>
  <si>
    <t>10.1007/s40558-016-0068-x</t>
  </si>
  <si>
    <t>FK9GY</t>
  </si>
  <si>
    <t>WOS:000413820800007</t>
  </si>
  <si>
    <t>Castillo, JGD; Baquedano, JSM</t>
  </si>
  <si>
    <t>Dominguez Castillo, J. Gabriel; Morcillo Baquedano, J. Samantha</t>
  </si>
  <si>
    <t>Evaluation of an online course for skills training in the use of ICT in science teachers in public secondary Southeast Mexico</t>
  </si>
  <si>
    <t>Evaluation; ICT; Empowerment; Learning; Online course</t>
  </si>
  <si>
    <t>This study is a response to the lack of information on the evaluation of the effectiveness of online courses in which teachers of basic education in southeastern Mexico as part of their training in the use of technology involved since today day, practicing teachers need to be competent to offer students opportunities in ICT supported learning; to use them and know how they can contribute to their learning. The research is applied type of mixed cut and involved 30 science and math teachers from 19 secondary schools in Merida. In this paper the effectiveness of the online course was evaluated and in the most important categories that emerged were found: Experience, Expectations, Work tools and relevant skills. The results are discussed in the National Digital Strategy (2013-2018) of Mexico.</t>
  </si>
  <si>
    <t>[Dominguez Castillo, J. Gabriel; Morcillo Baquedano, J. Samantha] Univ Autonoma Yucatan, Merida, Venezuela</t>
  </si>
  <si>
    <t>Castillo, JGD (corresponding author), Univ Autonoma Yucatan, Merida, Venezuela.</t>
  </si>
  <si>
    <t>jg.dominguez@correo.uady.mx; sam.morcillo@gmail.com</t>
  </si>
  <si>
    <t>NOV 15</t>
  </si>
  <si>
    <t>10.6018/red/51/2</t>
  </si>
  <si>
    <t>EO1MB</t>
  </si>
  <si>
    <t>WOS:000396461500002</t>
  </si>
  <si>
    <t>Wessel, M; Levie, A; Siegel, R</t>
  </si>
  <si>
    <t>Wessel, Maxwell; Levie, Aaron; Siegel, Robert</t>
  </si>
  <si>
    <t>The Problem with Legacy Ecosystems</t>
  </si>
  <si>
    <t>In the digital age, software has enabled innovators like Uber and Testa to gather crucial data about customers and create revolutionary offerings to serve them. Meanwhile, many well-resourced incumbents struggle to develop extended digital relationships with customers. That's partly because it's hard for companies to change their established business models. But the authors point out another inhibitor there are repercussions up and down the value chain. The authors explain that successful upstarts do not just capture and use new data effectively; they also break from traditional reliance on outside partners for sourcing inputs and distributing and servicing products. They keep more functions in-house a necessary part of launching an innovation. But if incumbents do likewise in their own efforts to take advantage of digital technology, they risk upsetting longtime relationships with suppliers, distributors, and other collaborators. To navigate this new world, the authors advise managers in traditional companies to think about the macro trends that will shape their industry in the future, agree on a digital strategy to address customers' needs in the long term, and develop better metrics to monitor progress. Incumbents must also create new business opportunities for partners so that everyone benefits from the new ecosystem.</t>
  </si>
  <si>
    <t>[Wessel, Maxwell] SAP Io, San Francisco, CA 94080 USA; [Siegel, Robert] Stanfords Grad Sch Business, Management, Stanford, CA USA</t>
  </si>
  <si>
    <t>Wessel, M (corresponding author), SAP Io, San Francisco, CA 94080 USA.</t>
  </si>
  <si>
    <t>+</t>
  </si>
  <si>
    <t>DY9SA</t>
  </si>
  <si>
    <t>WOS:000385474200012</t>
  </si>
  <si>
    <t>Alizadeh, T; Sipe, N</t>
  </si>
  <si>
    <t>Alizadeh, Tooran; Sipe, Neil</t>
  </si>
  <si>
    <t>Vancouver's Digital Strategy: Disruption, New Direction, or Business as Usual?</t>
  </si>
  <si>
    <t>INTERNATIONAL JOURNAL OF E-PLANNING RESEARCH</t>
  </si>
  <si>
    <t>Digital Strategy; Green City; Planning; Smart City; Telecommunication; Vancouver</t>
  </si>
  <si>
    <t>LOCAL E-GOVERNMENT; PARTICIPATION; GOVERNANCE; CITIES</t>
  </si>
  <si>
    <t>A growing number of cities have started to realize the need to be 'smart', to use digital technology to drive prosperity and capitalize on the rapidly growing digital economy. Some local governments have developed 'urban digital strategies' to speed up the pace of change, and to move their digital planning from ad-hoc to an integrated and strategic approach. This paper examines Vancouver's Digital Strategy (VDS) and questions the role defined for this new piece of strategy. The findings represent competing views - offered by local government versus digital business community - for the role of digital in two areas of governance, and strategic planning. The paper concludes by suggesting that urban digital strategies need be incorporated into strategic urban and regional planning with a focus on the biggest issues, specific to each city.</t>
  </si>
  <si>
    <t>[Alizadeh, Tooran] Griffith Univ, Brisbane, Qld, Australia; [Sipe, Neil] Univ Queensland, Brisbane, Qld, Australia</t>
  </si>
  <si>
    <t>Griffith University; University of Queensland</t>
  </si>
  <si>
    <t>Alizadeh, T (corresponding author), Griffith Univ, Brisbane, Qld, Australia.</t>
  </si>
  <si>
    <t>Sipe, Neil G./A-4052-2009; Alizadeh, Tooran/AAX-2371-2020</t>
  </si>
  <si>
    <t>Sipe, Neil G./0000-0002-3228-3768;</t>
  </si>
  <si>
    <t>2160-9918</t>
  </si>
  <si>
    <t>2160-9926</t>
  </si>
  <si>
    <t>INT J E-PLAN RES</t>
  </si>
  <si>
    <t>Int. J. E-Plan. Res.</t>
  </si>
  <si>
    <t>10.4018/IJEPR.2016100101</t>
  </si>
  <si>
    <t>Regional &amp; Urban Planning</t>
  </si>
  <si>
    <t>FK0FE</t>
  </si>
  <si>
    <t>WOS:000413154900002</t>
  </si>
  <si>
    <t>Powers, M</t>
  </si>
  <si>
    <t>Powers, Matthew</t>
  </si>
  <si>
    <t>NGO Publicity and Reinforcing Path Dependencies: Explaining the Persistence of Media-Centered Publicity Strategies</t>
  </si>
  <si>
    <t>INTERNATIONAL JOURNAL OF PRESS-POLITICS</t>
  </si>
  <si>
    <t>advocacy; civil society; global news; new institutionalism</t>
  </si>
  <si>
    <t>HUMAN-RIGHTS NGOS; HUMANITARIAN; ORGANIZATIONS; JOURNALISM; SPACES; GATES; NEWS</t>
  </si>
  <si>
    <t>Previous research finds that nongovernmental organization (NGO) publicity strategiesdespite digital technologiescontinue to focus heavily on garnering coverage in the mainstream news media. Drawing on theories of path dependence and interviews with NGO professionals, this paper identifies three factors that explain why this should be so. First, donors continue to value media coverage as a platform to learn about advocacy groups, as well as a mechanism for measuring their impact on political discourse. Second, political officials still value media coverage as a way to learn about advocacy demands. Third, NGOs occupy a position that is socially proximate to journalism, which leads the former to see the latter as an ally in the pursuit of publicity. Together, these factors confirm and extend the new institutional concept of path dependence by demonstrating how path dependence in one field (philanthropy, politics) can reinforce path dependence in another (NGO). These reinforcing path dependencies in turn interact with established mechanisms of institutional production (start-up costs, feedback effects, knowledge accumulation) to explain why NGOs continue to persist in media-centered publicity strategies despite new technological possibilities.</t>
  </si>
  <si>
    <t>[Powers, Matthew] Univ Washington, Dept Commun, Box 353740, Seattle, WA 98195 USA</t>
  </si>
  <si>
    <t>University of Washington; University of Washington Seattle</t>
  </si>
  <si>
    <t>Powers, M (corresponding author), Univ Washington, Dept Commun, Box 353740, Seattle, WA 98195 USA.</t>
  </si>
  <si>
    <t>powers.mj@gmail.com</t>
  </si>
  <si>
    <t>1940-1612</t>
  </si>
  <si>
    <t>1940-1620</t>
  </si>
  <si>
    <t>INT J PRESS/POLIT</t>
  </si>
  <si>
    <t>Int. J. Press-Polit.</t>
  </si>
  <si>
    <t>10.1177/1940161216658373</t>
  </si>
  <si>
    <t>DW1GE</t>
  </si>
  <si>
    <t>WOS:000383390200004</t>
  </si>
  <si>
    <t>Kandiuk, M</t>
  </si>
  <si>
    <t>Kandiuk, Mary</t>
  </si>
  <si>
    <t>The Rhetoric of Digitization and the Politicization of Canadian Heritage</t>
  </si>
  <si>
    <t>LIBRARY TRENDS</t>
  </si>
  <si>
    <t>IFLA World Library and Information Congress on Libraries, Citizens, Societies - Confluence for Knowledge</t>
  </si>
  <si>
    <t>AUG, 2014</t>
  </si>
  <si>
    <t>Lyon, FRANCE</t>
  </si>
  <si>
    <t>Int Federat Lib Assoc &amp; Inst</t>
  </si>
  <si>
    <t>Canadian heritage institutions are perceived as being used as political instruments of nation-branding to advance a government ideological agenda. Faced with budget reductions and increased federal government oversight, the national library and archives of Canada, titled Library and Archives Canada (LAC), has, in the eyes of stakeholders, abdicated its stewardship role and responsibility for all of the nation's collections and records to focus on government priorities. Behind what has been described as a smokescreen of digitization, a modernization approach at LAC has resulted in the loss of expertise, a moratorium on acquisitions, and the elimination of national archival development and interlibrary loan programs. This paper examines the new strategic priorities of LAC with respect to digitization and resource allocation against a failed digital strategy, which has impacted its ability to fulfill its legislated responsibility for acquisition, preservation, and access; explores the ramifications and barriers created by the digital priorities and strategy of LAC for underserved populations, with a focus on Canada's Indigenous peoples; and concludes with a discussion of the findings and recommendations of the 2014 Royal Society of Canada's expert panel's report, The Future Now: Canada's Libraries, Archives, and Public Memory.</t>
  </si>
  <si>
    <t>[Kandiuk, Mary] York Univ Lib, Toronto, ON, Canada</t>
  </si>
  <si>
    <t>Kandiuk, M (corresponding author), York Univ Lib, Toronto, ON, Canada.</t>
  </si>
  <si>
    <t>JOHNS HOPKINS UNIV PRESS</t>
  </si>
  <si>
    <t>JOURNALS PUBLISHING DIVISION, 2715 NORTH CHARLES ST, BALTIMORE, MD 21218-4363 USA</t>
  </si>
  <si>
    <t>0024-2594</t>
  </si>
  <si>
    <t>1559-0682</t>
  </si>
  <si>
    <t>LIBR TRENDS</t>
  </si>
  <si>
    <t>Libr. Trends</t>
  </si>
  <si>
    <t>FAL</t>
  </si>
  <si>
    <t>10.1353/lib.2016.0029</t>
  </si>
  <si>
    <t>EC9CI</t>
  </si>
  <si>
    <t>WOS:000388440900006</t>
  </si>
  <si>
    <t>Rumsfeld, JS; Brooks, SC; Aufderheide, TP; Leary, M; Bradley, SM; Nkonde-Price, C; Schwamm, LH; Jessup, M; Ferrer, JME; Merchant, RM</t>
  </si>
  <si>
    <t>Rumsfeld, John S.; Brooks, Steven C.; Aufderheide, Tom P.; Leary, Marion; Bradley, Steven M.; Nkonde-Price, Chileshe; Schwamm, Lee H.; Jessup, Mariell; Ferrer, Jose Maria E.; Merchant, Raina M.</t>
  </si>
  <si>
    <t>Amer Heart Assoc Emergency Cardiov; Council Cardiopulm Critical Care P; Council Quality Care Outcomes Res; Council Cardiovasc Stroke Nursing; Council Epidemiology Prevention</t>
  </si>
  <si>
    <t>Use of Mobile Devices, Social Media, and Crowdsourcing as Digital Strategies to Improve Emergency Cardiovascular Care A Scientific Statement From the American Heart Association</t>
  </si>
  <si>
    <t>CIRCULATION</t>
  </si>
  <si>
    <t>AHA Scientific Statements; cardiac arrest; crowdsourcing; emergency cardiovascular care; heart attack; mhealth; mobile health; myocardial infarction; social media; stroke</t>
  </si>
  <si>
    <t>ACUTE MYOCARDIAL-INFARCTION; AUTOMATED EXTERNAL DEFIBRILLATORS; ASSISTED CARDIOPULMONARY-RESUSCITATION; TISSUE-PLASMINOGEN ACTIVATOR; CARDIAC-ARREST; COMMUNITY CONSULTATION; LAY RESCUERS; ACUTE STROKE; PUBLIC DISCLOSURE; DATA-COLLECTION</t>
  </si>
  <si>
    <t>Brooks, Steven/ABC-8078-2021; Bradley, Steven/AID-7839-2022; Brooks, Steven/N-4317-2015</t>
  </si>
  <si>
    <t>Brooks, Steven/0000-0002-4592-4974; Jessup, Mariell/0000-0002-3010-0112; Leary, Marion/0000-0002-4815-4223</t>
  </si>
  <si>
    <t>0009-7322</t>
  </si>
  <si>
    <t>1524-4539</t>
  </si>
  <si>
    <t>Circulation</t>
  </si>
  <si>
    <t>AUG 23</t>
  </si>
  <si>
    <t>E87</t>
  </si>
  <si>
    <t>E108</t>
  </si>
  <si>
    <t>10.1161/CIR.0000000000000428</t>
  </si>
  <si>
    <t>Cardiac &amp; Cardiovascular Systems; Peripheral Vascular Disease</t>
  </si>
  <si>
    <t>Cardiovascular System &amp; Cardiology</t>
  </si>
  <si>
    <t>DU5XK</t>
  </si>
  <si>
    <t>WOS:000382286800001</t>
  </si>
  <si>
    <t>Dechaux, J; Filiol, E</t>
  </si>
  <si>
    <t>Dechaux, Jonathan; Filiol, Eric</t>
  </si>
  <si>
    <t>Proactive defense against malicious documents: formalization, implementation and case studies</t>
  </si>
  <si>
    <t>JOURNAL OF COMPUTER VIROLOGY AND HACKING TECHNIQUES</t>
  </si>
  <si>
    <t>The current detection model used by modern antivirus software is based on the same basic principle. Any antivirus has to analyze the threat in order to protect the user afterwards. This implies to have first a few systems to be infected, then to perform a manual or partially automated analysis of the malware to finally update the malware databases. Quite no prevention model is considered to mitigate this inherent limitation of AV software. This issue becomes critical when considering office documents (Microsoft Office, Libre Office, PDF files ...) which become more and more vectors of targeted attacks and hence represent a major threat. The huge variability of documents makes the current detection model quite useless. To protect against the specific risks presented by these documents, we propose a new model of antiviral protection acting proactively and offering a strong prevention model. The document is transformed into an inactive file format to protect the user from any known or unknown threat. This module of proactive threat management has been implemented into the DAVFI project (French and International AntiVirus Demonstrator), funded by the French Strategic Digital Fund. Real and concrete cases of malicious office documents have been submitted to the analysis of this module as well as its transformation principles, demonstrating its effectiveness and accuracy.</t>
  </si>
  <si>
    <t>[Dechaux, Jonathan; Filiol, Eric] ESIEA, Operat Cryptol &amp; Virol Lab, Laval, France</t>
  </si>
  <si>
    <t>Filiol, E (corresponding author), ESIEA, Operat Cryptol &amp; Virol Lab, Laval, France.</t>
  </si>
  <si>
    <t>jonathan.dechaux@esiea.fr; efiliol@netc.fr</t>
  </si>
  <si>
    <t>SPRINGER FRANCE</t>
  </si>
  <si>
    <t>PARIS</t>
  </si>
  <si>
    <t>22 RUE DE PALESTRO, PARIS, 75002, FRANCE</t>
  </si>
  <si>
    <t>2263-8733</t>
  </si>
  <si>
    <t>J COMPUT VIROL HACKI</t>
  </si>
  <si>
    <t>J. Comput. Virol. Hacking Tech.</t>
  </si>
  <si>
    <t>10.1007/s11416-015-0259-6</t>
  </si>
  <si>
    <t>EB1AW</t>
  </si>
  <si>
    <t>WOS:000387079500011</t>
  </si>
  <si>
    <t>Grau, BE</t>
  </si>
  <si>
    <t>Enguix Grau, Begonya</t>
  </si>
  <si>
    <t>Activism and Digital Practices in the Construction of an LGTB Sphere in Spain</t>
  </si>
  <si>
    <t>DADOS-REVISTA DE CIENCIAS SOCIAIS</t>
  </si>
  <si>
    <t>digital practices; social networks; LGTB activism; mobilization; communities</t>
  </si>
  <si>
    <t>WOMEN</t>
  </si>
  <si>
    <t>Based on the anthropological interrogation into communities and the construction of a public sphere, this article approaches the digital strategies used to shape what may be referred to as the Spanish LGTB sphere. I consider LGTB activism as the main producer of legitimized social discourse, and have therefore analyzed the websites of seven LGTB collectives and other digital resources in order to examine the articulation of digital and non-digital practices, based on a shared knowledge evoking collective identities and feeding activism. In combining anthropological fieldwork on activism and digital ethnographies for virtual environments, I suggest that despite their intensive use of digital resources, the LGTB sphere still largely depends on traditional social networks. As a consequence, the article questions the usefulness of conceiving of digital and non-digital relations as separate and distinct and discusses this embeddedness as a main feature of contemporary activism.</t>
  </si>
  <si>
    <t>[Enguix Grau, Begonya] Univ Oberta Catalunya, Barcelona, Spain</t>
  </si>
  <si>
    <t>UOC Universitat Oberta de Catalunya</t>
  </si>
  <si>
    <t>Grau, BE (corresponding author), Univ Oberta Catalunya, Barcelona, Spain.</t>
  </si>
  <si>
    <t>benguix@uoc.edu</t>
  </si>
  <si>
    <t>Enguix, Begonya/0000-0002-5020-9019</t>
  </si>
  <si>
    <t>INST UNIV PESQUISAS RIO DE JANEIRO-IUPERJ</t>
  </si>
  <si>
    <t>RUA DA MATRIZ 82, BOTAFOGO, RIO DE JANEIRO, 22260.100, BRAZIL</t>
  </si>
  <si>
    <t>0011-5258</t>
  </si>
  <si>
    <t>1678-4588</t>
  </si>
  <si>
    <t>DADOS-REV CIENC SOC</t>
  </si>
  <si>
    <t>Dados-Rev. Cienc. Sociais</t>
  </si>
  <si>
    <t>JUL-SEP</t>
  </si>
  <si>
    <t>10.1590/00115258201691</t>
  </si>
  <si>
    <t>EH0EY</t>
  </si>
  <si>
    <t>WOS:000391437000004</t>
  </si>
  <si>
    <t>Sala, JFA</t>
  </si>
  <si>
    <t>Aguirre Sala, Jorge Francisco</t>
  </si>
  <si>
    <t>Information Communication Technologies in crime prevention</t>
  </si>
  <si>
    <t>URVIO-REVISTA LATINOAMERICANA DE ESTUDIOS DE SEGURIDAD</t>
  </si>
  <si>
    <t>internet; crime prevention; governance; transversality</t>
  </si>
  <si>
    <t>Objective: To show the possible support of the Internet on crime prevention in the constructivist context of governance. Theoretical framework: the theory of communitarian crime prevention is seen as a synthesis of social, situational and environmental prevention. The effects of crime statistics, coming from community prevention, suggests that action programs. Consequently the communitarian prevention is necessarily associated to governance and the interaction required by governance, between authorities and citizens, is transversal. Framework of reference: the Mexican National Digital Strategy that visualizes prevention help cyber social networks and electronic platforms. Method and case: qualitative analysis of ICT uses in crime prevention in the cases the urban area of Monterrey, Mexico.</t>
  </si>
  <si>
    <t>[Aguirre Sala, Jorge Francisco] Univ Ciencias Seguridad Estado Nuevo Leon, Escuela Invest Seguridad Publ, Nuevo Leon, Mexico; [Aguirre Sala, Jorge Francisco] Univ Autonoma Nuevo Leon, Inst Invest Sociales, Monterrey, Mexico</t>
  </si>
  <si>
    <t>Universidad Autonoma de Nuevo Leon</t>
  </si>
  <si>
    <t>Sala, JFA (corresponding author), Univ Ciencias Seguridad Estado Nuevo Leon, Escuela Invest Seguridad Publ, Nuevo Leon, Mexico.;Sala, JFA (corresponding author), Univ Autonoma Nuevo Leon, Inst Invest Sociales, Monterrey, Mexico.</t>
  </si>
  <si>
    <t>jorgeaguirresala@hotmail.com</t>
  </si>
  <si>
    <t>FLACSO-ECUADOR</t>
  </si>
  <si>
    <t>QUITO</t>
  </si>
  <si>
    <t>CALLE PRADERA E7-174 &amp; DIEGO ALMAGRO, QUITO, 00000, ECUADOR</t>
  </si>
  <si>
    <t>1390-3691</t>
  </si>
  <si>
    <t>1390-4299</t>
  </si>
  <si>
    <t>URVIO-REV LATINOAM E</t>
  </si>
  <si>
    <t>URVIO-REV. LATINOAM. ESTUD. SEGUR.</t>
  </si>
  <si>
    <t>10.17141/urvio.18.2016.1962</t>
  </si>
  <si>
    <t>DX8EY</t>
  </si>
  <si>
    <t>WOS:000384622100007</t>
  </si>
  <si>
    <t>Ding, HF; Zhou, J; Xu, Y; Ding, TH; Xiao, HX; Li, L; Hu, JH</t>
  </si>
  <si>
    <t>Ding, Hongfa; Zhou, Jun; Xu, Yun; Ding, Tonghai; Xiao, Houxiu; Li, Liang; Hu, Jihui</t>
  </si>
  <si>
    <t>Design of a Current-Controlled Power Supply for High-Stability Flat-Top Pulsed Magnetic Field</t>
  </si>
  <si>
    <t>IEEE TRANSACTIONS ON APPLIED SUPERCONDUCTIVITY</t>
  </si>
  <si>
    <t>Auxiliary power supply; current-controlled power supply; current injection; flat-top pulsed field</t>
  </si>
  <si>
    <t>FACILITY; SYSTEM</t>
  </si>
  <si>
    <t>A flat-top pulsed magnetic field is of great interest for scientific experiments that need both high strength and high stability in the magnetic field. A battery bank with advantages of large energy storage and relative voltage stability is an ideal power supply for a flat-top pulsed field. However, due to the change of magnet resistance during discharge progress, the battery system is unable to maintain a flat-top magnetic field alone. This paper presents a current-controlled power supply based on batteries for a high-stability flat-top pulsed magnetic field at the Wuhan National High Magnetic Field Center. An active parallel circuit is proposed as an auxiliary power supply integrating the present battery system to be a current-controlled power supply, which can sustain a 35-T/270-ms flat-top pulsed field with the ripple less than 100 ppm. The prototype of the scheme has been developed, and experiments will be carried out in early 2016 on schedule. After introduction of the circuit topology and control strategy, digital simulation results are discussed in this paper.</t>
  </si>
  <si>
    <t>[Ding, Hongfa; Zhou, Jun; Xu, Yun; Ding, Tonghai; Xiao, Houxiu; Li, Liang] Huazhong Univ Sci &amp; Technol, Wuhan Natl High Magnet Field Ctr, Wuhan 430074, Peoples R China; [Hu, Jihui] Huazhong Univ Sci &amp; Technol, Sch Math &amp; Stat, Wuhan 430074, Peoples R China</t>
  </si>
  <si>
    <t>Huazhong University of Science &amp; Technology; Huazhong University of Science &amp; Technology</t>
  </si>
  <si>
    <t>Ding, HF (corresponding author), Huazhong Univ Sci &amp; Technol, Wuhan Natl High Magnet Field Ctr, Wuhan 430074, Peoples R China.;Hu, JH (corresponding author), Huazhong Univ Sci &amp; Technol, Sch Math &amp; Stat, Wuhan 430074, Peoples R China.</t>
  </si>
  <si>
    <t>15827204180@163.com; hujihui_hust@sina.com</t>
  </si>
  <si>
    <t>li, li/HII-4157-2022; Li, Li/AEM-3636-2022; LI, LI/GVS-5344-2022; LI, LI QING/GRR-8855-2022; li, li/GPX-3938-2022; li, long/HOF-6990-2023; li, li/AAT-2097-2020</t>
  </si>
  <si>
    <t>Program for New Century Excellent Talents in University; Chinese National Natural Science Foundation [51177062, 51207067]</t>
  </si>
  <si>
    <t>Program for New Century Excellent Talents in University(Program for New Century Excellent Talents in University (NCET)); Chinese National Natural Science Foundation(National Natural Science Foundation of China (NSFC))</t>
  </si>
  <si>
    <t>This work was supported in part by the Program for New Century Excellent Talents in University and by the Chinese National Natural Science Foundation under Grant 51177062 and Grant 51207067.</t>
  </si>
  <si>
    <t>1051-8223</t>
  </si>
  <si>
    <t>1558-2515</t>
  </si>
  <si>
    <t>IEEE T APPL SUPERCON</t>
  </si>
  <si>
    <t>IEEE Trans. Appl. Supercond.</t>
  </si>
  <si>
    <t>10.1109/TASC.2015.2513211</t>
  </si>
  <si>
    <t>Engineering, Electrical &amp; Electronic; Physics, Applied</t>
  </si>
  <si>
    <t>Engineering; Physics</t>
  </si>
  <si>
    <t>DC2WC</t>
  </si>
  <si>
    <t>WOS:000369078300001</t>
  </si>
  <si>
    <t>Evens, T</t>
  </si>
  <si>
    <t>Evens, Tom</t>
  </si>
  <si>
    <t>Creative Commons licences in cultural heritage institutions in Flanders</t>
  </si>
  <si>
    <t>JOURNAL OF LIBRARIANSHIP AND INFORMATION SCIENCE</t>
  </si>
  <si>
    <t>Creative Commons; cultural heritage; digital strategy; Flanders; information management; survey</t>
  </si>
  <si>
    <t>Cultural heritage institutions increasingly consider Creative Commons licences as a useful model for overcoming the barriers created by traditional copyright frameworks and for opening up archives, databases and collections for public use. However, there is little empirical evidence to support this claim. This article therefore focuses on the use of Creative Commons among cultural heritage institutions in Flanders (the northern part of Belgium) and presents the results of two sector surveys held in 2008 and 2012. Using two data points, the study provides an overview of the evolution of the use of Creative Commons and reveals the copyright policies of cultural heritage institutions.</t>
  </si>
  <si>
    <t>[Evens, Tom] Univ Ghent, Res Grp Media &amp; ICT IMinds MICT, B-9000 Ghent, Belgium</t>
  </si>
  <si>
    <t>Ghent University; IMEC</t>
  </si>
  <si>
    <t>Evens, T (corresponding author), Univ Ghent, IMinds MICT, Korte Meer 7-9-11, B-9000 Ghent, Belgium.</t>
  </si>
  <si>
    <t>Tom.Evens@UGent.be</t>
  </si>
  <si>
    <t>Ajmi, Ghalia Al/AAB-6467-2019</t>
  </si>
  <si>
    <t>Evens, Tom/0000-0002-7274-7432</t>
  </si>
  <si>
    <t>iMinds; EWI-IWT</t>
  </si>
  <si>
    <t>This article is based on the research projects, PokuMOn and Archipel, both granted by iMinds and EWI-IWT.</t>
  </si>
  <si>
    <t>0961-0006</t>
  </si>
  <si>
    <t>1741-6477</t>
  </si>
  <si>
    <t>J LIBR INF SCI</t>
  </si>
  <si>
    <t>J. Libr. Inf. Sci.</t>
  </si>
  <si>
    <t>10.1177/0961000615591649</t>
  </si>
  <si>
    <t>DO9YC</t>
  </si>
  <si>
    <t>WOS:000378142900007</t>
  </si>
  <si>
    <t>Ditchburn, JL; Marshall, A</t>
  </si>
  <si>
    <t>Ditchburn, J-L; Marshall, A.</t>
  </si>
  <si>
    <t>The Cumbria Rural Health Forum: initiating change and moving forward with technology</t>
  </si>
  <si>
    <t>RURAL AND REMOTE HEALTH</t>
  </si>
  <si>
    <t>digital technology; e-health; England; health services; needs and demand; social care; strategy; telecare; telehealth; telemedicine</t>
  </si>
  <si>
    <t>DELPHI TECHNIQUE; SOCIOECONOMIC-STATUS; TELEMEDICINE; COMMUNITY; MANAGEMENT; CARE; DEPRESSION; POLICY</t>
  </si>
  <si>
    <t>Introduction: The Cumbria Rural Health Forum was formed by a number of public, private and voluntary sector organisations to collaboratively work on rural health and social care in the county of Cumbria, England. The aim of the forum is to improve health and social care delivery for rural communities, and share practical ideas and evidence - based best practice that can be implemented in Cumbria. The forum currently consists of approximately 50 organisations interested in and responsible for delivery of health and social care in Cumbria. An exploration of digital technologies for health and care was recognised as an initial priority. This article describes a hands - on approach undertaken within the forum, including its current progress and development. Methods: The forum used a modified Delphi technique to facilitate its work on discussing ideas and reaching consensus to formulate the Cumbria Strategy for Digital Technologies in Health and Social Care. The group communication process took place over meetings and workshops held at various locations in the county. Results: A roadmap for the implementation of digital technologies into health and social care was developed. The roadmap recommends the following: (i) to improve the health outcomes for targeted groups, within a unit, department or care pathway; (ii) to explain, clarify, share good (and bad) practice, assess impact and value through information sharing through conferences and events, influencing and advocacy for Cumbria; and (iii) to develop a digital - health - ready workforce where health and social care professionals can be supported to use digital technologies, and enhance recruitment and retention of staff. Conclusions: The forum experienced issues consistent with those in other Delphi studies, such as the repetition of ideas. Attendance was variable due to the unavailability of key people at times. Although the forum facilitated collective effort to address rural health issues, its power is limited to influencing and supporting implementation of change. Within the implementation phase, the forum has engaged in advising and facilitating policy change at all levels. Thus, the forum has become a voice to influence change towards the advancement of health and social care through digital technologies. The forum continues to serve as a think tank and influencer for change in rural health and social care issues in Cumbria. The forum has increased awareness of digital health and social care solutions, mapped best practice and developed a digital strategy for health and social care in Cumbria.</t>
  </si>
  <si>
    <t>[Ditchburn, J-L] Univ Cumbria Energus, Workington, Cumbria, England; [Marshall, A.] Univ Cumbria, Fac Hlth &amp; Sci, Cumbrian Ctr Hlth Technol CaCHeT, Cumbria, England</t>
  </si>
  <si>
    <t>University of Cumbria</t>
  </si>
  <si>
    <t>Ditchburn, JL (corresponding author), Univ Cumbria Energus, Workington, Cumbria, England.</t>
  </si>
  <si>
    <t>Academic Health Science Network for North East and North Cumbria; North West Coast Academic Health Science Network</t>
  </si>
  <si>
    <t>The Cumbria Rural Health Forum was funded in this phase of its work by the Academic Health Science Network for North East and North Cumbria. Further funding for the implementation phase was secured from that network and from the North West Coast Academic Health Science Network. In-kind support has been provided by members, in particular by Cumbria Partnership Foundation National Health Service Trust, Cumbria Clinical Commissioning Group, Cumbria County Council, Action for Communities in Cumbria and University of Cumbria. The authors would like to thank Tom Bell for his involvement in the mapping work, engagement of health professionals and comments on the manuscript; Keith Jackson for his input in the literature search; and Peter Knock for his feedback on the manuscript. The authors are grateful for the support received by everyone who has participated in the forum events or contributed in one way or another.</t>
  </si>
  <si>
    <t>COLL MEDICINE &amp; DENTISTRY JAMES COOK UNIV TOWNSVILLE</t>
  </si>
  <si>
    <t>DOUGLAS</t>
  </si>
  <si>
    <t>1 JAMES COOK DR, DOUGLAS, QUEENSLAND, AUSTRALIA</t>
  </si>
  <si>
    <t>1445-6354</t>
  </si>
  <si>
    <t>RURAL REMOTE HEALTH</t>
  </si>
  <si>
    <t>Rural Remote Health</t>
  </si>
  <si>
    <t>EJ9YL</t>
  </si>
  <si>
    <t>WOS:000393583300013</t>
  </si>
  <si>
    <t>Ribeiro, SPM</t>
  </si>
  <si>
    <t>Ribeiro, Sandra P. M.</t>
  </si>
  <si>
    <t>Developing intercultural awareness using digital storytelling</t>
  </si>
  <si>
    <t>LANGUAGE AND INTERCULTURAL COMMUNICATION</t>
  </si>
  <si>
    <t>Digital storytelling; HE; intercultural awareness; student engagement; technology-enhanced learning</t>
  </si>
  <si>
    <t>STORY; SKILLS</t>
  </si>
  <si>
    <t>Higher Education mirrors the shifting nature of society and work. Mobility may provide unparalleled learning opportunities for all stakeholders; however, in order to live and work in plural societies as socially responsible and intercultural knowledgeable citizens, intercultural awareness and intercultural communication skills need to be mastered. In parallel, the relevance of a digital agenda and the studies that attest to the positive student engagement brought about by the inclusion of information and communication technologies (ICT) across all grade levels push educators to seek and incorporate technology-based learning and teaching strategies. Digital Storytelling was implemented in an undergraduate degree in Business Communication, where students discuss and reflect on key issues in Intercultural Communication. Our case study draws on the qualitative analysis of a questionnaire, which intended to understand student perceptions regarding an assignment where they are asked to create Digital Stories and consider on the their own reflection process regarding intercultural differences and communicating across cultures. Our analysis of the 140 questionnaires revealed that Digital Storytelling was able to engage students in a serious and productive debate revolving around technology-enhanced learning and cultural differences, empowering them to construct new personal and group meanings and improve their intercultural awareness. O Ensino Superior reflete a natureza inconstante da sociedade e do trabalho. A mobilidade pode proporcionar oportunidades de aprendizagem inigualaveis para todos, no entanto, a fim de viver e trabalhar em sociedades plurais como cidadAos conhecedores e socialmente responsaveis, e necessario adquirirem uma maior consciencia intercultural. Ao mesmo tempo, a relevancia da Agenda Digital, e os estudos que destacam os resultados positivos que derivam da inclusAo das TIC no ensino servem de impeto para os professores incorporarem estrategias de ensino base tecnologica. Digital Storytelling foi implementado na Licenciatura em ComunicacAo Empresarial, onde os alunos tem a oportunidade de se debrucarem sobre questoes relacionadas com a ComunicacAo Intercultural. O nosso estudo de caso baseia-se na analise qualitativa de um questionario, que destina-se a compreender as percepcoes dos alunos em relacAo a uma trabalho em que tem de criar narrativas digitais e analisar o sobre o seu proprio processo de reflexAo sobre as diferencas interculturais e a comunicacAo entre culturas. Uma analise a 140 inqueritos por questionario revelou que o trabalho que incluia Digital Storytelling foi capaz de motivar e envolver os alunos em torno de um debate, consciente e inconsciente, sobre a integracAo das TIC no ensino superior e as diferencas culturais de forma a capacita-los para a construcAo de novos significados individuais e de grupo e melhorar a sua consciencia intercultural.</t>
  </si>
  <si>
    <t>[Ribeiro, Sandra P. M.] Polytech Porto, CEI CICE, Sch Accounting &amp; Adm Oporto, Sao Mamede de Infesta, Portugal</t>
  </si>
  <si>
    <t>Ribeiro, SPM (corresponding author), Polytech Porto, CEI CICE, Sch Accounting &amp; Adm Oporto, Sao Mamede de Infesta, Portugal.</t>
  </si>
  <si>
    <t>sribeiro@iscap.ipp.pt</t>
  </si>
  <si>
    <t>Ribeiro, Sandra Patrícia Marques/AAC-1057-2022; Ribeiro, Sandra/IVH-4691-2023</t>
  </si>
  <si>
    <t>Ribeiro, Sandra Patrícia Marques/0000-0002-6767-0151; Ribeiro, Sandra/0000-0002-6767-0151</t>
  </si>
  <si>
    <t>4 PARK SQUARE, MILTON PARK, ABINGDON OX14 4RN, OXFORDSHIRE, ENGLAND</t>
  </si>
  <si>
    <t>1470-8477</t>
  </si>
  <si>
    <t>1747-759X</t>
  </si>
  <si>
    <t>LANG INTERCULT COMM</t>
  </si>
  <si>
    <t>Lang. Intercult. Commun.</t>
  </si>
  <si>
    <t>10.1080/14708477.2015.1113752</t>
  </si>
  <si>
    <t>Linguistics; Language &amp; Linguistics</t>
  </si>
  <si>
    <t>Linguistics</t>
  </si>
  <si>
    <t>DD4EE</t>
  </si>
  <si>
    <t>WOS:000369874500005</t>
  </si>
  <si>
    <t>Akkizidis, I; Stagars, M</t>
  </si>
  <si>
    <t>Akkizidis, Ioannis; Stagars, Manuel</t>
  </si>
  <si>
    <t>Digital Strategy</t>
  </si>
  <si>
    <t>MARKETPLACE LENDING, FINANCIAL ANALYSIS, AND THE FUTURE OF CREDIT: INTEGRATION, PROFITABILITY AND RISK MANAGEMENT</t>
  </si>
  <si>
    <t>[Akkizidis, Ioannis] Wolters Kluwer Financial &amp; Compliance Serv, Financial Risk Management Syst, Zurich, Switzerland; [Akkizidis, Ioannis] Univ Zurich, Masters Degree Program Quantitat Finance, CH-8006 Zurich, Switzerland; [Stagars, Manuel] Singapore ETH Ctr, Singapore, Singapore</t>
  </si>
  <si>
    <t>University of Zurich</t>
  </si>
  <si>
    <t>Akkizidis, I (corresponding author), Wolters Kluwer Financial &amp; Compliance Serv, Financial Risk Management Syst, Zurich, Switzerland.;Akkizidis, I (corresponding author), Univ Zurich, Masters Degree Program Quantitat Finance, CH-8006 Zurich, Switzerland.</t>
  </si>
  <si>
    <t>THE ATRIUM, SOUTHERN GATE, CHICHESTER PO19 8SQ, WEST SUSSEX, ENGLAND</t>
  </si>
  <si>
    <t>978-1-119-09918-5; 978-1-119-09916-1</t>
  </si>
  <si>
    <t>10.1002/9781119099437</t>
  </si>
  <si>
    <t>BF7FE</t>
  </si>
  <si>
    <t>WOS:000384000800020</t>
  </si>
  <si>
    <t>Barns, S</t>
  </si>
  <si>
    <t>Barns, Sarah</t>
  </si>
  <si>
    <t>Mine your data: open data, digital strategies and entrepreneurial governance by code</t>
  </si>
  <si>
    <t>URBAN GEOGRAPHY</t>
  </si>
  <si>
    <t>Smart cities; open data; urban entrepreneurialism; policy mobility</t>
  </si>
  <si>
    <t>CITIES; GEOGRAPHIES; POLICY</t>
  </si>
  <si>
    <t>Investment in the release of open data has become increasingly central to the implementation of smart city programs by governments around the world. Though originally arising out of a push towards open government and the pursuit of more transparent decision-making by public authorities at multiple scales, open data programs have more recently been adopted by municipal governments to support entrepreneurial goals of enhanced competitive positioning and attracting investment. As urban scholars now subject the smart city project to critical scrutiny for its role in advancing urban entrepreneurialism, this article considers the relevance of the open data agenda as it shapes wider understandings of the smart city. In particular, I address the collection of policy practices, aspirations, stakeholders and entrepreneurs active in framing the opportunities and values of open data for urban governments. Both the momentum of support for open data, along with a recent shift in the rhetorical aspirations of the open data movement away from the values of openness and transparency and towards a more confined focus on value generation, raise important critical questions for urban geographers concerned with the nature of urban governance in an age of big data.</t>
  </si>
  <si>
    <t>[Barns, Sarah] Univ Western Sydney, Inst Culture &amp; Soc, Bldg EM,Parramatta Campus,Locked Bag 1797, Penrith, NSW 2751, Australia</t>
  </si>
  <si>
    <t>Barns, S (corresponding author), Univ Western Sydney, Inst Culture &amp; Soc, Bldg EM,Parramatta Campus,Locked Bag 1797, Penrith, NSW 2751, Australia.</t>
  </si>
  <si>
    <t>s.barns@westernsydney.edu.au</t>
  </si>
  <si>
    <t>Barns, Sarah/0000-0002-0087-7166</t>
  </si>
  <si>
    <t>Urban Studies Foundation Postdoctoral Research Fellowship Programme</t>
  </si>
  <si>
    <t>This research was supported by the Urban Studies Foundation Postdoctoral Research Fellowship Programme.</t>
  </si>
  <si>
    <t>0272-3638</t>
  </si>
  <si>
    <t>1938-2847</t>
  </si>
  <si>
    <t>URBAN GEOGR</t>
  </si>
  <si>
    <t>Urban Geogr.</t>
  </si>
  <si>
    <t>10.1080/02723638.2016.1139876</t>
  </si>
  <si>
    <t>Geography; Urban Studies</t>
  </si>
  <si>
    <t>DR2VP</t>
  </si>
  <si>
    <t>WOS:000379762300006</t>
  </si>
  <si>
    <t>Beltran, CYB</t>
  </si>
  <si>
    <t>Builes Beltran, Claudia Y.</t>
  </si>
  <si>
    <t>Kioscos Vive Digital: A digital strategy to promote the connectivity and social inclusion in rural communities in Colombia</t>
  </si>
  <si>
    <t>INTERNATIONAL JOURNAL OF PSYCHOLOGICAL RESEARCH</t>
  </si>
  <si>
    <t>kioscos vive digital; social inclusion; CIT; social psychology; digital communications</t>
  </si>
  <si>
    <t>This article explores the scope of CIT in the recovery of the social background and the development of rural and isolate communities, with little access to computing resources and internet in Colombia. This model has been implemented successfully in South America, contributing to the development of processes of social inclusion for access to digital communities, virtual education and social networks, as mechanisms of connectivity which favor concerning a social identity and provide social development with equity. For this, the kiosk lives Digital, constitute a strategy for access to connectivity based on the recovery of communities through interaction in a virtual scenario tested purposefully by social psychology and neuroscience which benefit the consolidation of social networks and the entrance to the information as a central axis for balance and social inclusion.</t>
  </si>
  <si>
    <t>[Builes Beltran, Claudia Y.] Univ San Buenaventura, Grp Invest Salud Comportamenal &amp; Org, Medellin, Colombia</t>
  </si>
  <si>
    <t>Beltran, CYB (corresponding author), Gemprecol, Medellin, Colombia.</t>
  </si>
  <si>
    <t>coordinaciondecampo@genmprecol.com.co</t>
  </si>
  <si>
    <t>UNIV SAN BUENAVENTURA, MEDELLIN</t>
  </si>
  <si>
    <t>MEDELLIN</t>
  </si>
  <si>
    <t>DEPT FORMACION HUMANA &amp; BIOETICA, SAN BENITO CENTRO, CARRERA 56C NO 51-90, MEDELLIN, 00000, COLOMBIA</t>
  </si>
  <si>
    <t>2011-7922</t>
  </si>
  <si>
    <t>2011-2084</t>
  </si>
  <si>
    <t>INT J PSYCHOL RES</t>
  </si>
  <si>
    <t>Int. J. Psychol. Res.</t>
  </si>
  <si>
    <t>ED1AW</t>
  </si>
  <si>
    <t>WOS:000388576900012</t>
  </si>
  <si>
    <t>Tandazo, CVG; Galarza, FYP; Benavides, AVV</t>
  </si>
  <si>
    <t>Granda Tandazo, Carlos V.; Paladines Galarza, Fanny Y.; Velasquez Benavides, Andrea V.</t>
  </si>
  <si>
    <t>Digital strategic communication in Ecuador's public organisations. Current state and future projection</t>
  </si>
  <si>
    <t>Ecuador; digital media; public organisations; strategic communication; public communication</t>
  </si>
  <si>
    <t>Introduction: This article analyses how the digital revolution has forced Ecuador's public organisations to redesign their strategies in order to promote their services and interact with citizens. Method: The study follows a non-experimental, exploratory and descriptive approach based on a questionnaire survey applied to the chief communications officers of 52 public institutions. Results: The main findings are related to the structure of the communication departments of public institutions; the stage of development of public organisations in the design of social media strategies; the social networks and resources most commonly used by public institutions; and the tools used to measure their effectiveness. Discussion: The results indicate that public organisations need to professionalise their social media management team and to elevate their relationship with citizens to a strategic level. Conclusions: It is necessary to generate a professional strategy and structure to improve the management of social media.</t>
  </si>
  <si>
    <t>[Granda Tandazo, Carlos V.; Paladines Galarza, Fanny Y.; Velasquez Benavides, Andrea V.] Univ Tecn Particular Loja, Loja, Ecuador</t>
  </si>
  <si>
    <t>Universidad Tecnica Particular de Loja</t>
  </si>
  <si>
    <t>Tandazo, CVG; Galarza, FYP; Benavides, AVV (corresponding author), Univ Tecn Particular Loja, Loja, Ecuador.</t>
  </si>
  <si>
    <t>cwgranda@utpl.edu.ec; fypaladines@utpl.edu.ec; avvelasquez@utpl.edu.ec</t>
  </si>
  <si>
    <t>Velásquez-Benavides, Andrea Victoria/AAR-4544-2021</t>
  </si>
  <si>
    <t>Velasquez-Benavides, Andrea Victoria/0000-0003-0534-290X</t>
  </si>
  <si>
    <t>10.4185/RLCS-2016-1092</t>
  </si>
  <si>
    <t>DL9KC</t>
  </si>
  <si>
    <t>WOS:000375960500006</t>
  </si>
  <si>
    <t>Komninos, N</t>
  </si>
  <si>
    <t>Komninos, Nicos</t>
  </si>
  <si>
    <t>Smart environments and smart growth: connecting innovation strategies and digital growth strategies</t>
  </si>
  <si>
    <t>INTERNATIONAL JOURNAL OF KNOWLEDGE-BASED DEVELOPMENT</t>
  </si>
  <si>
    <t>innovation strategy; smart specialisation; digital strategy; digital innovation; innovation system; cyber-physical system; co-design</t>
  </si>
  <si>
    <t>KNOWLEDGE; SPECIALIZATION; CREATION; VALLEY; EUROPE</t>
  </si>
  <si>
    <t>This paper discusses the interface between innovation systems and digital systems. It is based on a literature review that examines how innovation and smart environments converge from the bottom up, and how innovation strategies and digital strategies are connected and shape a common set of objectives and actions for growth. Following an introduction which looks at the current outlook for growth, we focus on digital drivers of growth as outlined in various strands of the literature. We discuss the digital disruption of business practices, the use of digital tools and smart environments for innovation and new product development, the rise of cyber-physical infrastructures, and systems of innovation. We also examine how various types of innovation and digital strategies contribute to smart growth. In conclusion, we portray connectors and bridges between innovation and digital strategies, such as sector-specific smart environments, innovation over platforms, and digital solutions for collaborative product development.</t>
  </si>
  <si>
    <t>[Komninos, Nicos] Aristotle Univ Thessaloniki, URENIO Res, Thessaloniki 54124, Greece</t>
  </si>
  <si>
    <t>Aristotle University of Thessaloniki</t>
  </si>
  <si>
    <t>Komninos, N (corresponding author), Aristotle Univ Thessaloniki, URENIO Res, Thessaloniki 54124, Greece.</t>
  </si>
  <si>
    <t>komninos@urenio.org</t>
  </si>
  <si>
    <t>Komninos, Nicos/ABW-3374-2022</t>
  </si>
  <si>
    <t>Komninos, Nicos/0000-0002-4656-1263</t>
  </si>
  <si>
    <t>INDERSCIENCE ENTERPRISES LTD</t>
  </si>
  <si>
    <t>GENEVA</t>
  </si>
  <si>
    <t>WORLD TRADE CENTER BLDG, 29 ROUTE DE PRE-BOIS, CASE POSTALE 856, CH-1215 GENEVA, SWITZERLAND</t>
  </si>
  <si>
    <t>2040-4468</t>
  </si>
  <si>
    <t>2040-4476</t>
  </si>
  <si>
    <t>INT J KNOWL-BASED DE</t>
  </si>
  <si>
    <t>Int. J. Knowl.-Based Dev.</t>
  </si>
  <si>
    <t>10.1504/IJKBD.2016.078536</t>
  </si>
  <si>
    <t>VD6RV</t>
  </si>
  <si>
    <t>WOS:000437441200004</t>
  </si>
  <si>
    <t>Kroksmark, T</t>
  </si>
  <si>
    <t>Kroksmark, Tomas</t>
  </si>
  <si>
    <t>The stretchiness of learning the digital mystery of learning in one-to-one environments in schools</t>
  </si>
  <si>
    <t>One-to-one; Digital strategies for learning; Lifeworld; Phenomenographic narration</t>
  </si>
  <si>
    <t>SOCIALIZATION</t>
  </si>
  <si>
    <t>The aim of the study is to generate knowledge of how teachers change their teaching and how pupils change their learning as a consequence of working in One-to-One environments in schools. The result shows that teachers and students are changing their relation to teaching and learning when school is digitized. The most important dimension of this change is that content related knowledge of the digitized learning in a one-to-one school, is a prerequisite for improved quality and better results in schools where digital artefacts are used. The results also show in what ways teachers must understand that knowledge is stretched between analogue and digital teaching and learning in the classroom.</t>
  </si>
  <si>
    <t>[Kroksmark, Tomas] Jonkoping Univ, Jonkoping, Sweden</t>
  </si>
  <si>
    <t>Jonkoping University</t>
  </si>
  <si>
    <t>Kroksmark, T (corresponding author), Jonkoping Univ, Jonkoping, Sweden.</t>
  </si>
  <si>
    <t>tomas.kroksmark@hlk.hj.se</t>
  </si>
  <si>
    <t>10.1007/s10639-014-9308-x</t>
  </si>
  <si>
    <t>FG5OR</t>
  </si>
  <si>
    <t>WOS:000410376500004</t>
  </si>
  <si>
    <t>Miettinen, E</t>
  </si>
  <si>
    <t>Kozak, M; Kozak, N</t>
  </si>
  <si>
    <t>Miettinen, Ekaterina</t>
  </si>
  <si>
    <t>MARKETING OF TOURISM PRODUCTS THROUGH THE RUSSIAN SOCIAL MEDIA CHANNEL VKONTAKTE</t>
  </si>
  <si>
    <t>TOURISM AND HOSPITALITY MANAGEMENT</t>
  </si>
  <si>
    <t>Advances in Culture Tourism and Hospitality Research</t>
  </si>
  <si>
    <t>Social media; Russian market; social media; Russian tourists</t>
  </si>
  <si>
    <t>Nowadays, social media influences tourists in their decision making process and plays an important role in the digital marketing strategy of tourism service providers. The purpose of this study is to examine the presence of tourism businesses in the most popular social media channel in Russia - VKontakte (VK). The data consist of Finnish and Russian groups devoted to tourism in VK: 10,000 Finnish groups and 5,000 Russian groups were found and the 12 most popular out of each group were chosen for the analysis. The findings show that VK is widely used by Finnish and Russian tourism firms, but there is still potential for more effective implementation of the channel. The group discussions on the most popular topics can provide firms with useful knowledge for planning their digital strategies for the Russian market.</t>
  </si>
  <si>
    <t>[Miettinen, Ekaterina] Karelia Univ Appl Sci, Joensuu, Finland</t>
  </si>
  <si>
    <t>Karelia University of Applied Sciences</t>
  </si>
  <si>
    <t>Miettinen, E (corresponding author), Karelia Univ Appl Sci, Joensuu, Finland.</t>
  </si>
  <si>
    <t>1871-3173</t>
  </si>
  <si>
    <t>978-1-78635-713-7; 978-1-78635-714-4</t>
  </si>
  <si>
    <t>ADV CULT TOUR HOSP R</t>
  </si>
  <si>
    <t>10.1108/S1871-317320160000012006</t>
  </si>
  <si>
    <t>BH8EP</t>
  </si>
  <si>
    <t>WOS:000403250800006</t>
  </si>
  <si>
    <t>Straker, K; Wrigley, C</t>
  </si>
  <si>
    <t>Straker, Karla; Wrigley, Cara</t>
  </si>
  <si>
    <t>Emotionally engaging customers in the digital age: the case study of Burberry love</t>
  </si>
  <si>
    <t>Digital channels; Customer relationships; Design and emotion; Digital behaviour</t>
  </si>
  <si>
    <t>LUXURY BRAND; EXPERIENCE; DESIGN; FUTURE</t>
  </si>
  <si>
    <t>Purpose - The purpose of this paper is to investigate how companies can design digital channels to evoke desired emotions. Design/methodology/approach - The successful business case of retailer Burberry has been examined to understand the strategy and customer engagement of digital channels implemented by decoding the emotional intensions. Findings - Results illustrate that the ability to create engaging interactions via digital channels with customers has a significant impact on growth, revenue and brand advocacy. Findings from this study provide a new empirical support for the proposition that emotions can be utilised to guide company digital strategy for building digital channel relationships with customers. Originality/value - This is the first study to examine the relationship between digital channels, emotion and customer responses to digital engagements. The inclusion of an emerging theory model is outlined to explain the successful process of reformulating business strategy through a dynamic and creative process of intersecting emotion, strategy and digital channels.</t>
  </si>
  <si>
    <t>[Straker, Karla; Wrigley, Cara] Queensland Univ Technol, Sch Design, Brisbane, Qld, Australia</t>
  </si>
  <si>
    <t>Queensland University of Technology (QUT)</t>
  </si>
  <si>
    <t>Straker, K (corresponding author), Queensland Univ Technol, Sch Design, Brisbane, Qld, Australia.</t>
  </si>
  <si>
    <t>k.straker@qut.edu.au</t>
  </si>
  <si>
    <t>Straker, Karla/AAM-3797-2021</t>
  </si>
  <si>
    <t>Wrigley, Cara/0000-0001-7349-8469; Straker, Karla/0000-0002-6520-4173</t>
  </si>
  <si>
    <t>10.1108/JFMM-10-2015-0077</t>
  </si>
  <si>
    <t>DT4GW</t>
  </si>
  <si>
    <t>WOS:000381439200003</t>
  </si>
  <si>
    <t>Suárez-Obando, F; Gómez-Restrepo, C; Camacho, J; de la Hoz, AM; Morales, AJR; Maldonado, P; López, P</t>
  </si>
  <si>
    <t>Suarez-Obando, Fernando; Gomez-Restrepo, Carlos; Camacho, Jhon; Maria de la Hoz, Ana; Ruiz Morales, Alvaro J.; Maldonado, Patricia; Lopez, Pilar</t>
  </si>
  <si>
    <t>Portal of Clinical Practice Guidelines: Digital Strategy for the Dissemination of Clinical Practice Guidelines Developed in Colombia</t>
  </si>
  <si>
    <t>UNIVERSITAS MEDICA</t>
  </si>
  <si>
    <t>practice guidelines; information dissemination; internet; communication; information services</t>
  </si>
  <si>
    <t>IMPLEMENTATION; ADHERENCE</t>
  </si>
  <si>
    <t>Introduction: In response to the necessity of concise, accurate and practical information to support clinical decision making, the Colombian government, in partnership with universities and scientific societies, has heavily invested in the development of clinical practice guidelines (CPG). Objectives: To develop a Web portal for the dissemination and communication of CPG and its clinical recommendations. Methodology: Development of the Colombian GPC web portal based on the principles of adult learning, learning development in medicine based on the Web and improvement of web development for medical education, using various informatic tools. Results: A Web portal that fulfills the purpose of disseminating the recommendations of the GPC, using various alternatives for the presentation of content, as well as to create channels of communication between developers and users of the CPG Portal.</t>
  </si>
  <si>
    <t>[Suarez-Obando, Fernando] Pontificia Univ Javeriana, Fac Med, Inst Genet Humana, Dept Epidemiol &amp; Bioestadist, Bogota, Colombia; [Gomez-Restrepo, Carlos; Camacho, Jhon; Maria de la Hoz, Ana; Ruiz Morales, Alvaro J.; Maldonado, Patricia; Lopez, Pilar] Pontificia Univ Javeriana, Fac Med, Dept Epidemiol &amp; Bioestadist, Bogota, Colombia</t>
  </si>
  <si>
    <t>Pontificia Universidad Javeriana; Pontificia Universidad Javeriana</t>
  </si>
  <si>
    <t>Suárez-Obando, F (corresponding author), Pontificia Univ Javeriana, Fac Med, Inst Genet Humana, Dept Epidemiol &amp; Bioestadist, Bogota, Colombia.</t>
  </si>
  <si>
    <t>fernando.suarez@javeriana.edu.co</t>
  </si>
  <si>
    <t>Gomez-Restrepo, Carlos/ISA-2919-2023; Suarez-Obando, Fernando/AAY-3327-2021</t>
  </si>
  <si>
    <t>Gomez-Restrepo, Carlos/0000-0002-9013-5384;</t>
  </si>
  <si>
    <t>PONTIFICIA UNIV JAVERIANA, FAC MEDICINA</t>
  </si>
  <si>
    <t>HOSPITAL SAN IGNACIO, CARRERA 7A, 40-62 PISO 5, BOGOTA, CUND 00000, COLOMBIA</t>
  </si>
  <si>
    <t>0041-9095</t>
  </si>
  <si>
    <t>2011-0839</t>
  </si>
  <si>
    <t>UNIV MED</t>
  </si>
  <si>
    <t>Univ. Med.</t>
  </si>
  <si>
    <t>JAN-MAR</t>
  </si>
  <si>
    <t>10.11144/Javeriana.umed57-1.pgpc</t>
  </si>
  <si>
    <t>EQ8SA</t>
  </si>
  <si>
    <t>WOS:000398354600004</t>
  </si>
  <si>
    <t>Yarbro, J; McKnight, K; Elliott, S; Kurz, A; Wardlow, L</t>
  </si>
  <si>
    <t>Yarbro, Jessica; McKnight, Katherine; Elliott, Stephen; Kurz, Alexander; Wardlow, Liane</t>
  </si>
  <si>
    <t>Digital Instructional Strategies and Their Role in Classroom Learning</t>
  </si>
  <si>
    <t>JOURNAL OF RESEARCH ON TECHNOLOGY IN EDUCATION</t>
  </si>
  <si>
    <t>digital instructional strategy; digital instructional tactic; opportunity to learn</t>
  </si>
  <si>
    <t>OPPORTUNITY; CURRICULUM; STUDENTS</t>
  </si>
  <si>
    <t>Research that examines technology use in the context of daily classroom practices is needed to support the effective digital conversion of classrooms. In this study, 65 seventh-through 10th-grade Mathematics and English Language Arts teachers from six districts across six states logged information about digital strategies they incorporated into their lessons to teach specific academic content standards. We describe six major digital instructional strategies and 16 related instructional tactics that teachers used over the course of a year, and analyze how these strategies relate to opportunity to learn. We found teachers tended to use technology for a variety of strategies with varying degrees of frequency. Technology use was usually viewed as central or essential to instruction. Relationships between technology use and opportunity to learn differed between specific strategies and by subject. A discussion of the study limitations and future research needs is provided.</t>
  </si>
  <si>
    <t>[Yarbro, Jessica] George Mason Univ, Dept Psychol, MS 3F5, Fairfax, VA 22030 USA; [McKnight, Katherine] Pearsons Res &amp; Innovat Network, Res, Fairfax, VA USA; [Elliott, Stephen; Kurz, Alexander] Arizona State Univ, T Denny Sanford Sch Social &amp; Family Dynam, Tempe, AZ 85287 USA; [Elliott, Stephen] Australian Catholic Univ, Sydney, NSW, Australia; [Wardlow, Liane] Pearsons Res &amp; Innovat Network, Fairfax, VA USA</t>
  </si>
  <si>
    <t>George Mason University; Arizona State University; Arizona State University-Tempe; Australian Catholic University</t>
  </si>
  <si>
    <t>Yarbro, J (corresponding author), George Mason Univ, Dept Psychol, MS 3F5, Fairfax, VA 22030 USA.</t>
  </si>
  <si>
    <t>jyarbro@masonlive.gmu.edu</t>
  </si>
  <si>
    <t>McKnight, Katherine/0000-0002-8760-7408; Kurz, Alexander/0000-0001-6490-025X; , Liane/0000-0002-4111-5280</t>
  </si>
  <si>
    <t>1539-1523</t>
  </si>
  <si>
    <t>1945-0818</t>
  </si>
  <si>
    <t>J RES TECHNOL EDUC</t>
  </si>
  <si>
    <t>J. Res. Technol. Educ.</t>
  </si>
  <si>
    <t>10.1080/15391523.2016.1212632</t>
  </si>
  <si>
    <t>FD7EF</t>
  </si>
  <si>
    <t>WOS:000407688700003</t>
  </si>
  <si>
    <t>Cunningham, D</t>
  </si>
  <si>
    <t>Cunningham, David</t>
  </si>
  <si>
    <t>NHS Education for Scotland's digital strategy: what does it mean for general practitioners?</t>
  </si>
  <si>
    <t>SCOTTISH MEDICAL JOURNAL</t>
  </si>
  <si>
    <t>[Cunningham, David] NHS Educ Scotland, CPD &amp; Performance, Glasgow G3 8BW, Lanark, Scotland</t>
  </si>
  <si>
    <t>Cunningham, D (corresponding author), NHS Educ Scotland, CPD &amp; Performance, 89 Hydepk St, Glasgow G3 8BW, Lanark, Scotland.</t>
  </si>
  <si>
    <t>david.cunningham@nes.scot.nhs.uk</t>
  </si>
  <si>
    <t>0036-9330</t>
  </si>
  <si>
    <t>2045-6441</t>
  </si>
  <si>
    <t>SCOT MED J</t>
  </si>
  <si>
    <t>Scott. Med. J.</t>
  </si>
  <si>
    <t>10.1177/0036933015606574</t>
  </si>
  <si>
    <t>DA5ML</t>
  </si>
  <si>
    <t>WOS:000367847100005</t>
  </si>
  <si>
    <t>Andreacola, F; SanJuan, E; Poli, MS</t>
  </si>
  <si>
    <t>Andreacola, Florence; SanJuan, Eric; Poli, Marie-Sylvie</t>
  </si>
  <si>
    <t>Methodology of Analysis of Museum User Computer Involvement</t>
  </si>
  <si>
    <t>CANADIAN JOURNAL OF INFORMATION AND LIBRARY SCIENCE-REVUE CANADIENNE DES SCIENCES DE L INFORMATION ET DE BIBLIOTHECONOMIE</t>
  </si>
  <si>
    <t>museum; participatory web; mixed method; mind map; PLS Approach</t>
  </si>
  <si>
    <t>What is the relevance for a museum to develop a digital strategy, one of whose components is particularly based on the intention to distribute content designed by the museum for participatory online platforms? Given the existence of the constraints raised by the development of an IT strategy for participation, museums may not necessarily find it advantageous to act directly on these levers and can opt for outsourcing this type of distribution. It might also perhaps be for them a question of resisting against participation in the Web 2.0 trend that could be temporary. However, the results of the case studies presented here do not allow us to rule out the possibility that we will see a turning point as museums, if they want to continue to best fulfill their missions, including participatory, should negotiate the best they can.</t>
  </si>
  <si>
    <t>[Andreacola, Florence; SanJuan, Eric; Poli, Marie-Sylvie] Univ Avignon &amp; Pays Vaucluse, Dept Sci Informat &amp; Commun, Avignon, France</t>
  </si>
  <si>
    <t>Andreacola, F (corresponding author), Univ Avignon &amp; Pays Vaucluse, Dept Sci Informat &amp; Commun, Avignon, France.</t>
  </si>
  <si>
    <t>florence.andreacola@alumni.univ-avignon.fr; eric.sanjuan@univ-avignon.fr; marie-sylvie.poli@univ-avignon.fr</t>
  </si>
  <si>
    <t>CANADIAN ASSOC INFORMATION SCIENCE</t>
  </si>
  <si>
    <t>PO BOX 6174, STATION J, OTTAWA, ONTARIO K2A 1T2, CANADA</t>
  </si>
  <si>
    <t>1195-096X</t>
  </si>
  <si>
    <t>CAN J INFORM LIB SCI</t>
  </si>
  <si>
    <t>Can. J. Inf. Libr. Sci.-Rev. Can. Sci. Inf. Bibl.</t>
  </si>
  <si>
    <t>3-4</t>
  </si>
  <si>
    <t>CY1CR</t>
  </si>
  <si>
    <t>WOS:000366144800006</t>
  </si>
  <si>
    <t>Rezende, DA; Procopiuck, M; Figueiredo, FD</t>
  </si>
  <si>
    <t>Rezende, Denis Alcides; Procopiuck, Mario; Figueiredo, Frederico de Carvalho</t>
  </si>
  <si>
    <t>Public Policy and a Strategic Digital City Project: A Case Study of the Brazilian Municipality of Vinhedo</t>
  </si>
  <si>
    <t>digital cities; public policy; strategic municipal planning; strategic digital city; urban management</t>
  </si>
  <si>
    <t>Municipalities interested in communication, education and social development seek to contribute to citizenship by planning, structuring, storing, and providing access to information. Starting with an overview of the global background to discussions on digital cities and the relation between digital cities and public policies, this article seeks to analyze and describe municipal information planning based on a project carried out, between 2009 and 2014, in the municipality of Vinhedo, SAo Paulo, Brazil. The study stresses the importance of adopting a project design methodology and implementing projects collectively at a municipal level to increase the efficiency of municipal management and implementing the strategic digital city concept, thereby increasing public space and governability and, consequently, citizens' quality of life. The results show that municipal information planning projects constitute public policy.</t>
  </si>
  <si>
    <t>[Rezende, Denis Alcides; Procopiuck, Mario; Figueiredo, Frederico de Carvalho] Pontifical Catholic Univ, Postgrad Program Urban Management, Curitiba, Parana, Brazil; [Rezende, Denis Alcides] DePaul Univ, Sch Publ Serv, Chicago, IL USA</t>
  </si>
  <si>
    <t>Pontificia Universidade Catolica do Parana; DePaul University</t>
  </si>
  <si>
    <t>Procopiuck, M (corresponding author), Pontifical Catholic Univ, Rua Imaculada Conceicao,1155 Prado Velho, Curitiba, Parana, Brazil.</t>
  </si>
  <si>
    <t>mario.p@pucpr.br</t>
  </si>
  <si>
    <t>Rezende, Denis Alcides/AAR-2488-2021; Prokopiuk, Mario/E-1127-2014</t>
  </si>
  <si>
    <t>Rezende, Denis Alcides/0000-0002-3327-0424; Prokopiuk, Mario/0000-0002-7346-1938</t>
  </si>
  <si>
    <t>10.1080/10630732.2014.971536</t>
  </si>
  <si>
    <t>CP2HQ</t>
  </si>
  <si>
    <t>WOS:000359698500002</t>
  </si>
  <si>
    <t>Brisbane's digital strategy: an economic strategy for the digital age?</t>
  </si>
  <si>
    <t>AUSTRALIAN PLANNER</t>
  </si>
  <si>
    <t>smart city; business strategy; economic strategy; third wave; digital strategy; triple helix</t>
  </si>
  <si>
    <t>SMART CITIES; INFORMATION; UNIVERSITY; INDUSTRY; CITY</t>
  </si>
  <si>
    <t>A growing number of cities around the world have now realised the need to use digital technology to capitalise on the rapidly growing digitally driven economy. In mid-2013 Brisbane, Australia released its 'Digital Strategy' document to strengthen its economy through improved productivity for local businesses. The article is based on a combination of policy analysis and empirical data gathered through interviewing a sample of stakeholders involved in the strategy development process. It aims to understand how Brisbane intends on using the potentials of the digital economy. The results raise questions around the role defined for the digital economy in the future and shed light on the 'smart city' concept as a plausible digital-enabled direction for cities and regions with reference to the third wave of economic development, and the Triple (Quadruple) Helix of knowledge development. The lessons learned here may be applicable to any city interested in playing a proactive and productive role in the new economy.</t>
  </si>
  <si>
    <t>[Alizadeh, Tooran] Griffith Univ, Urban Res Program, Nathan, Qld 4111, Australia; [Sipe, Neil] Univ Queensland, Sch Geog Planning &amp; Environm Management, St Lucia, Qld, Australia</t>
  </si>
  <si>
    <t>Alizadeh, T (corresponding author), Griffith Univ, Urban Res Program, Nathan, Qld 4111, Australia.</t>
  </si>
  <si>
    <t>Alizadeh, Tooran/AAX-2371-2020; Sipe, Neil G./A-4052-2009</t>
  </si>
  <si>
    <t>Sipe, Neil G./0000-0002-3228-3768; Alizadeh, Tooran/0000-0001-5424-3348</t>
  </si>
  <si>
    <t>0729-3682</t>
  </si>
  <si>
    <t>2150-6841</t>
  </si>
  <si>
    <t>AUST PLAN</t>
  </si>
  <si>
    <t>Aust. Plan.</t>
  </si>
  <si>
    <t>10.1080/07293682.2015.1019753</t>
  </si>
  <si>
    <t>CH8HS</t>
  </si>
  <si>
    <t>WOS:000354277800005</t>
  </si>
  <si>
    <t>Colbjornsen, T</t>
  </si>
  <si>
    <t>Colbjornsen, Terje</t>
  </si>
  <si>
    <t>Digital divergence: analysing strategy, interpretation and controversy in the case of the introduction of an ebook reader technology</t>
  </si>
  <si>
    <t>digital publishing; mobile technology; innovation; technology strategy; e-commerce</t>
  </si>
  <si>
    <t>ACTOR-NETWORKS; COMMUNICATION</t>
  </si>
  <si>
    <t>What happens when a media innovation encounters the marketplace in the form of critical bloggers and commentators? This paper adapts conceptual frameworks from science and technology studies - particularly actor-network theory (ANT) and social construction of technology (SCOT) - in order to analyse the process of introducing new media devices and the role of users and mediators in this process, by way of an empirically based study on digital strategy and marketing by a traditional book industry actor. The case studied is the Kibano Digireader, introduced to the Norwegian book market in 2011 and immediately heavily criticized. Looking into the role of tech bloggers and social media pundits, the paper argues that the success of consumer technologies relies upon an alignment with particular social groups, and their perceptions of relevance and demand. I further argue that the specific insights gained on book industry digitalization are applicable across other media industries and aim at a theoretical contribution by discussing and applying ANT/SCOT concepts on new media development. Based on analyses of press coverage and social media commentaries from November 2011, the paper addresses the following questions: What were the perceived demands and problems intended to be solved by the Digireader? How did the controversy over the Digireader play out and what arguments were raised against and in favour of the device? How can the social media commentators be categorized in terms of their engagement with and interpretation of the Digireader?</t>
  </si>
  <si>
    <t>Univ Oslo, Dept Media &amp; Commun, N-0317 Oslo, Norway</t>
  </si>
  <si>
    <t>Colbjornsen, T (corresponding author), Univ Oslo, Dept Media &amp; Commun, POB 1093, N-0317 Oslo, Norway.</t>
  </si>
  <si>
    <t>terjeco@media.uio.no</t>
  </si>
  <si>
    <t>Colbjornsen, Terje/0000-0001-5849-2851</t>
  </si>
  <si>
    <t>10.1080/1369118X.2014.924982</t>
  </si>
  <si>
    <t>AR0CP</t>
  </si>
  <si>
    <t>WOS:000343233500003</t>
  </si>
  <si>
    <t>A policy analysis of digital strategies: Brisbane vs. Vancouver</t>
  </si>
  <si>
    <t>digital strategy; Australia; Canada; economic development; policy analysis</t>
  </si>
  <si>
    <t>REGIONAL-DEVELOPMENT; ECONOMIC-GEOGRAPHY; INNOVATION POLICY; KNOWLEDGE; CAPABILITIES; MANAGEMENT; DYNAMICS; GROWTH; LEVEL</t>
  </si>
  <si>
    <t>A growing number of cities around the world have now realised the need to strategically capitalise on the rapidly growing digital economy. In mid-2013, cities of Brisbane, Australia and Vancouver, Canada both released their 'Digital Strategy' documents to strengthen their economy by enhancing digital connections amongst citizens, business, and the whole city as a digital organisation. The paper critically investigates the digital strategies developed for the two cities to understand how they utilise the potentials of the digital economy in their respected cities and regions. The results identify fundamental differences in the two documents' core focus that firstly define different roles for the digital strategies in Brisbane vs. Vancouver, and secondly could highly affect the implications of the strategies for the two cities' overall economic development. Nevertheless, both Vancouver and Brisbane are still in the early days of implementing their digital strategies, and the paper has to be understood as a prelude to further empirical investigation.</t>
  </si>
  <si>
    <t>[Alizadeh, Tooran] Griffith Univ, Griffith Sch Environm, Nathan Campus,170 Kessels Rd, Brisbane, Qld 4111, Australia</t>
  </si>
  <si>
    <t>Alizadeh, T (corresponding author), Griffith Univ, Griffith Sch Environm, Nathan Campus,170 Kessels Rd, Brisbane, Qld 4111, Australia.</t>
  </si>
  <si>
    <t>10.1504/IJKBD.2015.071469</t>
  </si>
  <si>
    <t>VD6RJ</t>
  </si>
  <si>
    <t>WOS:000437435200002</t>
  </si>
  <si>
    <t>Bertini, MJ</t>
  </si>
  <si>
    <t>Bertini, Marie-Joseph</t>
  </si>
  <si>
    <t>Figures of anonymity. What Banksy is-it the no ? A political economy of the visible</t>
  </si>
  <si>
    <t>CAHIERS DE NARRATOLOGIE</t>
  </si>
  <si>
    <t>Refuse to be named, while pointing art as a new esthetic experience of politics, is a challenge nevertheless regularly damaged by the digital strategies of unveiling of the most famous unknown's name on the street-art area. With his anonymity, Banksy joins masters of the Renaissance whose artistic virtuosity was strengthened by the impossible identification of the author of the work. The analysis of its performances, the most recent to oldest, will try to understand the meaning of the agir banksyen, hollow artist and relief work.</t>
  </si>
  <si>
    <t>[Bertini, Marie-Joseph] Univ Sci Informat &amp; Commun, New Brunswick, NJ 08901 USA; [Bertini, Marie-Joseph] LIRCES, Paris, France</t>
  </si>
  <si>
    <t>Bertini, MJ (corresponding author), Univ Sci Informat &amp; Commun, New Brunswick, NJ 08901 USA.</t>
  </si>
  <si>
    <t>LABORATOIRE INTERDISCIPLINAIRE RECITS, CULTURES, &amp; SOCIETES-LIRCES</t>
  </si>
  <si>
    <t>NICE</t>
  </si>
  <si>
    <t>UNIV NICE-SOPHIA ANTIPOLIS-UFR LASH, CAMPUS CARLONE, BP 3209, NICE, CEDEX 306204, FRANCE</t>
  </si>
  <si>
    <t>0993-8516</t>
  </si>
  <si>
    <t>1765-307X</t>
  </si>
  <si>
    <t>CAH NARRAT</t>
  </si>
  <si>
    <t>Cah. Narrat.</t>
  </si>
  <si>
    <t>10.4000/narratologie.7398</t>
  </si>
  <si>
    <t>DK4ET</t>
  </si>
  <si>
    <t>WOS:000374870700004</t>
  </si>
  <si>
    <t>Cantone, F</t>
  </si>
  <si>
    <t>Cantone, Francesca</t>
  </si>
  <si>
    <t>THE FLOWER WOMAN FIGURINES FROM THE FOCE SELE HERA SANCTUARY. ANCIENT COROPLASTIC DIGITAL DATA MANAGEMENT, ANALYSIS, AND SHARING</t>
  </si>
  <si>
    <t>The paper focuses on the digital strategies developed in the study of the corpus of flower woman terracotta figurines found in the excavations carried out by Paola Zancani Montuoro and Umberto Zanotti Bianco at the Foce Sele Hera Sanctuary and stored in the National Archaeological Museum of Paestum. The flower woman definition identifies the best known structure of the statuettes composed of a female bust supporting a flower orthogonal to the base. Actually, the scientific literature about these peculiar artifacts reveals a diffused vagueness and ambiguity in the definition, formalization, and functional exegesis, encouraging a new comprehensive study. The main results come from: digital management of the information; seriation analysis supported by a quantitative approach; visualization of occurrences in the Mediterranean Basin based on Fusion Tables; testing of multidisciplinary approaches to cooperative content building in archaeology. The study developed a whole technology- enhanced workflow, including multimedia data digital management and sharing; statistical techniques for the analysis of terracotta shrinkage in moulded coroplastic figurines seriation; webGIS visualization of occurrences in the ancient Mediterranean Basin and their relations.</t>
  </si>
  <si>
    <t>[Cantone, Francesca] CNR Napoli, Ist Ric Innovaz &amp; Serv Sviluppo, Naples, Italy</t>
  </si>
  <si>
    <t>Consiglio Nazionale delle Ricerche (CNR); Istituto di Ricerca su Innovazione e Servizi per lo Sviluppo (IRISS-CNR)</t>
  </si>
  <si>
    <t>Cantone, F (corresponding author), CNR Napoli, Ist Ric Innovaz &amp; Serv Sviluppo, Naples, Italy.</t>
  </si>
  <si>
    <t>francesca.cantone@unina.it</t>
  </si>
  <si>
    <t>VI3DN</t>
  </si>
  <si>
    <t>WOS:000469777800020</t>
  </si>
  <si>
    <t>Coyne, B; Devitt, N; Lyons, S; Mccoy, S</t>
  </si>
  <si>
    <t>Coyne, Bryan; Devitt, Niamh; Lyons, Sean; McCoy, Selina</t>
  </si>
  <si>
    <t>Perceived benefits and barriers to the use of high-speed broadband in Ireland's second-level schools</t>
  </si>
  <si>
    <t>high-speed broadband; ICT barriers; second-level education; student learning; ICT integration</t>
  </si>
  <si>
    <t>ICT; TECHNOLOGY; EDUCATION; INTEGRATION; IMPACT</t>
  </si>
  <si>
    <t>As part of Ireland's National Digital Strategy, high-speed broadband is being rolled out to all second-level schools to support greater use of information and communication technology (ICT) in education. This programme signals a move from slow and unreliable broadband connections for many schools to a guaranteed high-speed connection with technical support. Theoretically, this should allow for behaviours and pedagogies to adapt, incorporating ICT into education. Research shows that integrating ICT into teaching and learning is a gradual process for most teachers and is influenced by a complex mix of socio-technical factors. Our data set consists of survey data from teachers and principals from a sample of second-level schools. The survey collected factual and attitudinal variables including attitudes towards ICT integration, current availability of infrastructure and barriers to ICT use, before schools received high-speed broadband connectivity. We examine the factors influencing teachers' attitudes to ICT and their perceived barriers in adopting new technologies in their day-to-day teaching. Analysis of this baseline period is essential in an iterative digital strategy, informing future strategies, targeting policy most effectively and achieving policy objectives. While attitudes towards the potential of high-speed broadband and use of ICT are consistently positive across sub groups of schools and teachers, perceived barriers to ICT usage differ.</t>
  </si>
  <si>
    <t>[Coyne, Bryan; Devitt, Niamh] Econ &amp; Social Res Inst, Econ Anal Div, Dublin, Ireland; [Lyons, Sean; McCoy, Selina] Econ &amp; Social Res Inst, Dublin, Ireland; [Lyons, Sean; McCoy, Selina] Trinity Coll Dublin, Dublin, Ireland</t>
  </si>
  <si>
    <t>Economic &amp; Social Research Institute (ESRI); Economic &amp; Social Research Institute (ESRI); Trinity College Dublin</t>
  </si>
  <si>
    <t>Mccoy, S (corresponding author), Econ &amp; Social Res Inst, Dublin, Ireland.;Mccoy, S (corresponding author), Trinity Coll Dublin, Dublin, Ireland.</t>
  </si>
  <si>
    <t>selina.mccoy@esri.ie</t>
  </si>
  <si>
    <t>McCoy, Selina/ABC-9817-2020; Lyons, Sean/AAH-7579-2019</t>
  </si>
  <si>
    <t>McCoy, Selina/0000-0001-8774-4018; Lyons, Sean/0000-0002-3526-6947</t>
  </si>
  <si>
    <t>ESRI Programme of Research in Communications; Ireland's Department for Communications, Energy and Natural Resources; Commission for Communications Regulation</t>
  </si>
  <si>
    <t>This research was funded by the ESRI Programme of Research in Communications, with contributions from Ireland's Department for Communications, Energy and Natural Resources and the Commission for Communications Regulation. The usual disclaimer applies.</t>
  </si>
  <si>
    <t>10.1080/03323315.2015.1128348</t>
  </si>
  <si>
    <t>DR3BD</t>
  </si>
  <si>
    <t>WOS:000379776700005</t>
  </si>
  <si>
    <t>Merchant, RM; Finne, K; Lardy, B; Veselovskiy, G; Korba, C; Margolis, GS; Lurie, N</t>
  </si>
  <si>
    <t>Merchant, Raina M.; Finne, Kristen; Lardy, Barbara; Veselovskiy, German; Korba, Casey; Margolis, Gregg S.; Lurie, Nicole</t>
  </si>
  <si>
    <t>State of Emergency Preparedness for US Health Insurance Plans</t>
  </si>
  <si>
    <t>AMERICAN JOURNAL OF MANAGED CARE</t>
  </si>
  <si>
    <t>PUBLIC-HEALTH; SURGE CAPACITY; LESSONS; VACCINATION; CHALLENGES; KATRINA; IMPACT; SANDY</t>
  </si>
  <si>
    <t>Objectives Health insurance plans serve a critical role in public health emergencies, yet little has been published about their collective emergency preparedness practices and policies. We evaluated, on a national scale, the state of health insurance plans' emergency preparedness and policies. Study Design A survey of health insurance plans. Methods We queried members of America's Health Insurance Plans, the national trade association representing the health insurance industry, about issues related to emergency preparedness issues: infrastructure, adaptability, connectedness, and best practices. Results Of 137 health insurance plans queried, 63% responded, representing 190.6 million members and 81% of US plan enrollment. All respondents had emergency plans for business continuity, and most (85%) had infrastructure for emergency teams. Some health plans also have established benchmarks for preparedness (eg, response time). Regarding adaptability, 85% had protocols to extend claim filing time and 71% could temporarily suspend prior medical authorization rules. Regarding connectedness, many plans shared their contingency plans with health officials, but often cited challenges in identifying regulatory agency contacts. Some health insurance plans had specific policies for assisting individuals dependent on durable medical equipment or home healthcare. Many plans (60%) expressed interest in sharing best practices. Conclusions Health insurance plans are prioritizing emergency preparedness. We identified 6 policy modifications that health insurance plans could undertake to potentially improve healthcare system preparedness: establishing metrics and benchmarks for emergency preparedness; identifying disaster-specific policy modifications, enhancing stakeholder connectedness, considering digital strategies to enhance communication, improving support and access for special-needs individuals, and developing regular forums for knowledge exchange about emergency preparedness.</t>
  </si>
  <si>
    <t>[Merchant, Raina M.; Finne, Kristen; Margolis, Gregg S.; Lurie, Nicole] US Dept HHS, Off Assistant Secretary Preparedness &amp; Response, Washington, DC 20201 USA; [Lardy, Barbara; Veselovskiy, German; Korba, Casey] Amer Hlth Insurance Plans, Washington, DC USA; [Merchant, Raina M.] Univ Penn, Perelman Sch Med, Philadelphia, PA 19104 USA</t>
  </si>
  <si>
    <t>University of Pennsylvania; Pennsylvania Medicine</t>
  </si>
  <si>
    <t>Merchant, RM (corresponding author), US Dept HHS, Off Assistant Secretary Preparedness &amp; Response, 200 Independence Ave SW, Washington, DC 20201 USA.</t>
  </si>
  <si>
    <t>raina.merchant@uphs.upenn.edu</t>
  </si>
  <si>
    <t>Margolis, Gregg/AAK-9603-2021</t>
  </si>
  <si>
    <t>Margolis, Gregg/0000-0003-1742-8604</t>
  </si>
  <si>
    <t>MANAGED CARE &amp; HEALTHCARE COMMUNICATIONS LLC</t>
  </si>
  <si>
    <t>PLAINSBORO</t>
  </si>
  <si>
    <t>666 PLAINSBORO RD, STE 300, PLAINSBORO, NJ 08536 USA</t>
  </si>
  <si>
    <t>1088-0224</t>
  </si>
  <si>
    <t>AM J MANAG CARE</t>
  </si>
  <si>
    <t>Am. J. Manag. Care</t>
  </si>
  <si>
    <t>Health Care Sciences &amp; Services; Health Policy &amp; Services; Medicine, General &amp; Internal</t>
  </si>
  <si>
    <t>CD3GC</t>
  </si>
  <si>
    <t>WOS:000350965300014</t>
  </si>
  <si>
    <t>Prado, E</t>
  </si>
  <si>
    <t>Prado, Emili</t>
  </si>
  <si>
    <t>The press in Catalonia: between the digital challenge and nation building</t>
  </si>
  <si>
    <t>MEDIA CULTURE &amp; SOCIETY</t>
  </si>
  <si>
    <t>Catalonia; cultural identity; media; nation building; online strategies; press</t>
  </si>
  <si>
    <t>This article discusses the challenges facing the Catalan press in a context marked by the digitization and by a political process that demands independence. The media landscape in Catalonia is populated by media produced at Spanish level and at Catalan level, and this applies to the press, radio and television. Mainstream paid-for newspapers, available to the citizens of Catalonia produced at a national, regional, local or state level, whether written in Catalan or Spanish merit discussion. This kind of press is the most influential in the shaping of Catalonian public opinion and therefore plays a central role in the political debate on independence. In this context, newspapers in Catalonia are facing the crisis of the print-only business model and falling revenues from a declining readership base and the subsequent fall of advertising revenue. To face this problem, newspaper publishers are throwing themselves into digital strategies (web, tablet, mobile phones).</t>
  </si>
  <si>
    <t>[Prado, Emili] Univ Autonoma Barcelona, E-08193 Barcelona, Spain</t>
  </si>
  <si>
    <t>Prado, E (corresponding author), Univ Autonoma Barcelona, Dept Comunicacio Audiovisual &amp; Publicitat, E-08193 Barcelona, Spain.</t>
  </si>
  <si>
    <t>Emili.Prado@uab.cat</t>
  </si>
  <si>
    <t>Prado, Emili/0000-0003-4871-2472</t>
  </si>
  <si>
    <t>0163-4437</t>
  </si>
  <si>
    <t>1460-3675</t>
  </si>
  <si>
    <t>MEDIA CULT SOC</t>
  </si>
  <si>
    <t>Media Cult. Soc.</t>
  </si>
  <si>
    <t>10.1177/0163443714553563</t>
  </si>
  <si>
    <t>AZ1IY</t>
  </si>
  <si>
    <t>WOS:000347994200011</t>
  </si>
  <si>
    <t>Rodgers, S</t>
  </si>
  <si>
    <t>Rodgers, Scott</t>
  </si>
  <si>
    <t>Foreign objects? Web content management systems, journalistic cultures and the ontology of software</t>
  </si>
  <si>
    <t>Actor-network theory; computation; digital media; newspapers; organizational theory; phenomenology; practice theory; site ontology; software; web content management systems</t>
  </si>
  <si>
    <t>ONLINE NEWSROOMS; INNOVATION; INTERACTIVITY; ETHNOGRAPHY</t>
  </si>
  <si>
    <t>Research on digital' journalism has focused largely on online news, with comparatively less interest in the longer-term implications of software and computational technologies. Drawing upon a 6-year study of the Toronto Star, this article provides an account of TOPS, an in-house web content management system which served as the backbone of thestar.com for 6 years. For some, TOPS was a successful software innovation, while for others, a strategic digital property'. But for most journalists, it was slow, deficient in functionality, aesthetically unappealing and cumbersome. Although several organizational factors can explain TOPS' obstinacy, I argue for particular attention to the complex ontology of software. Based on an outline of this ontology, I suggest software be taken seriously as an object of journalism, which implies acknowledging its partial autonomy from human use or authorization, accounting for its ability to mutate indefinitely and analysing its capacity to encourage forms of computational thinking'.</t>
  </si>
  <si>
    <t>[Rodgers, Scott] Univ London, London WC1H 0PD, England</t>
  </si>
  <si>
    <t>University of London</t>
  </si>
  <si>
    <t>Rodgers, S (corresponding author), Univ London, Dept Film Media &amp; Cultural Studies, 43 Gordon Sq, London WC1H 0PD, England.</t>
  </si>
  <si>
    <t>s.rodgers@bbk.ac.uk</t>
  </si>
  <si>
    <t>Rodgers, Scott/0000-0002-1544-8743</t>
  </si>
  <si>
    <t>10.1177/1464884914545729</t>
  </si>
  <si>
    <t>AX3EK</t>
  </si>
  <si>
    <t>WOS:000346823000002</t>
  </si>
  <si>
    <t>de la Selva, ARA</t>
  </si>
  <si>
    <t>Rosa Alva de la Selva, Alma</t>
  </si>
  <si>
    <t>The New Faces of Inequality in the 21st Century: The Digital Gap</t>
  </si>
  <si>
    <t>REVISTA MEXICANA DE CIENCIAS POLITICAS Y SOCIALES</t>
  </si>
  <si>
    <t>social inequality; Information and Knowledge Society, digital gap; digital agenda; National Digital Strategy; Mexico</t>
  </si>
  <si>
    <t>In the context of Information and Knowledge Society (iks) and global capitalism's world crisis, this work addresses the problems of the digital gap as an expression of inequalities in the 21st century. The precedents of the boom that this process began to gain in the last years of the 20th century are presented, as well as the proposals and projects developed by Latin American countries in order to build this new social order. The structural nature of the digital gap problem is emphasized, understanding it as a new inequality. The fundamental transformations of this concept are pointed out and, based on statistic data, some broad analysis points on the digital gap in Latin America and Mexico are presented.</t>
  </si>
  <si>
    <t>[Rosa Alva de la Selva, Alma] UNAM, Fac Ciencias Polit &amp; Sociales, Ctr Estudios Ciencias Comunicac, Mexicali, Baja California, Mexico; [Rosa Alva de la Selva, Alma] Asociac Mexicana Invest Comunicac, Mexicali, Baja California, Mexico</t>
  </si>
  <si>
    <t>Universidad Nacional Autonoma de Mexico</t>
  </si>
  <si>
    <t>de la Selva, ARA (corresponding author), UNAM, Fac Ciencias Polit &amp; Sociales, Ctr Estudios Ciencias Comunicac, Mexicali, Baja California, Mexico.</t>
  </si>
  <si>
    <t>alvadelaselva@hotmail.com</t>
  </si>
  <si>
    <t>UNAM, FAC CIENCIAS POLITICAS &amp; SOCIALES</t>
  </si>
  <si>
    <t>MEXICO CITY DF</t>
  </si>
  <si>
    <t>CIUDAD UNIV, DIV ESTUDIOS POSGRADO, CIRCUITO MARIO DE LA CUEVA, MEXICO CITY DF, CP 04510, MEXICO</t>
  </si>
  <si>
    <t>0185-1918</t>
  </si>
  <si>
    <t>REV MEX CIENC POLIT</t>
  </si>
  <si>
    <t>Rev. Mex. Cienc. Polit. Soc.</t>
  </si>
  <si>
    <t>CU4US</t>
  </si>
  <si>
    <t>WOS:000363526500010</t>
  </si>
  <si>
    <t>Llamas, MS; Fernández, LR; Dulce, GB</t>
  </si>
  <si>
    <t>Saavedra Llamas, Marta; Rodriguez Fernandez, Leticia; Baron Dulce, Gemma</t>
  </si>
  <si>
    <t>Social Audience in Spain: Succesful strategies in national TV</t>
  </si>
  <si>
    <t>REVISTA ICONO 14-REVISTA CIENTIFICA DE COMUNICACION Y TECNOLOGIAS</t>
  </si>
  <si>
    <t>Social audience; Digital strategies; Twitter; Transmedia; Gran Hermano; La Sexta Noche; Quien quiere casarse con mi hijo</t>
  </si>
  <si>
    <t>This research presents the concept of social audience, as a new narrative space born in the convergence of the TV audience and the user's conversations in Twitter, and examine strategies of TV programs in Spain with higher social audience. Understand what exactly the social audience is, how does it works or what kind of metrics are made for it, becomes more necessary than ever to deepen into the uses and opportunities facing both the television media and advertisers who choose to invest in a TV space. Through the study of successful cases already implemented is to establish formulas for success that achieve a more active participation of users, transfer from social to traditional audience and the profitable inclusion of brands in this full of possibilities new communication scenario.</t>
  </si>
  <si>
    <t>[Saavedra Llamas, Marta] Univ Nebrija, Fac Ciencias Comunicac, Calidad, Madrid, Spain; [Rodriguez Fernandez, Leticia] Univ Nebrija, Fac Ciencias Comunicac, Madrid, Spain; [Baron Dulce, Gemma] Univ Nebrija, Direcc Publicidad Integrada TBWA, Madrid, Spain</t>
  </si>
  <si>
    <t>Universidad Antonio de Nebrija; Universidad Antonio de Nebrija; Universidad Antonio de Nebrija</t>
  </si>
  <si>
    <t>Llamas, MS (corresponding author), Univ Nebrija, Fac Ciencias Comunicac, Calidad, Madrid, Spain.</t>
  </si>
  <si>
    <t>ICONO 14</t>
  </si>
  <si>
    <t>C/ SALUD, 15 5OD, MADRID, 28013, SPAIN</t>
  </si>
  <si>
    <t>1697-8293</t>
  </si>
  <si>
    <t>REV ICONO 14</t>
  </si>
  <si>
    <t>Rev. Icono 14</t>
  </si>
  <si>
    <t>10.7195/ri14.v13i2.822</t>
  </si>
  <si>
    <t>CU8MG</t>
  </si>
  <si>
    <t>WOS:000363796300011</t>
  </si>
  <si>
    <t>Slaatta, T</t>
  </si>
  <si>
    <t>Slaatta, Tore</t>
  </si>
  <si>
    <t>Print versus digital in Norwegian newspapers</t>
  </si>
  <si>
    <t>digital news distribution; media change; media systems; newspapers; Norway; online news; print versus digital media</t>
  </si>
  <si>
    <t>The conversion of newspapers from print to digital is not taking place in a simple and direct way. In Norway at least, digital news distribution is still developing on the basis of the print media order. But at the same time, it is increasingly becoming a diversified and strategically nuanced logic of online news distribution. What is remarkable in the Norwegian situation is the stability in the high number of outlets and annual sales. It is argued that the Norwegian subsidy system is the most important cause for the high and stable number of newspapers. Indirectly, it also seems to support the development of a competitive market for the development of digital strategies. There is a high rate of innovation in the Norwegian media system, and this article looks into the different digital strategies in different types of newspapers and shows the emergence of a complex pattern of digital news distribution in the Norwegian media order.</t>
  </si>
  <si>
    <t>[Slaatta, Tore] Univ Oslo, N-0317 Oslo, Norway</t>
  </si>
  <si>
    <t>Slaatta, T (corresponding author), Univ Oslo, Dept Media &amp; Commun, POB 1093, N-0317 Oslo, Norway.</t>
  </si>
  <si>
    <t>tore.slaatta@media.uio.no</t>
  </si>
  <si>
    <t>10.1177/0163443714553566</t>
  </si>
  <si>
    <t>WOS:000347994200010</t>
  </si>
  <si>
    <t>Solima, L</t>
  </si>
  <si>
    <t>Informat Resources Management Assoc</t>
  </si>
  <si>
    <t>Solima, Ludovico</t>
  </si>
  <si>
    <t>Digital Resources and Approaches Adopted by User-Centred Museums: The Growing Impact of the Internet and Social Media</t>
  </si>
  <si>
    <t>HOSPITALITY, TRAVEL, AND TOURISM: CONCEPTS, METHODOLOGIES, TOOLS, AND APPLICATIONS</t>
  </si>
  <si>
    <t>Society is experiencing unprecedented changes, largely attributable to the evolution of communication technologies, which are steadily reframing our way of life, and the methods we use to establish and maintain social relations. Museums are therefore facing numerous challenges, in general as a result of these developments: apps, open content, and the Internet-of-things. A complex relationship can be created between visitors and the museum, and this also opens new unexplored opportunities for user involvement in the museum's activities, even during the course of the visit itself. It is worth taking care to identify all the variables involved in the museum-visitor-relationship, which also encompasses the social dimension. Both the museum and the individual are active participants in a gradually expanding relationship, namely the growth of the so-called Web 2.0 and social media. Therefore, we can assume the need for museums to develop a conscious strategy for their social media presence, a real social media strategy, which forms part of the museum's wider digital strategy. The increasingly pervasive spread of e-mobile technology is a foretaste of the moment when museumgoers will radically change both the way of establishing relations with these organisations and the actual ways of using museum services. This chapter focuses on digital resources and approaches adopted by user-centred museums, where there is an increasing impact from the internet and social media.</t>
  </si>
  <si>
    <t>[Solima, Ludovico] Univ Naples 2, Naples, Italy</t>
  </si>
  <si>
    <t>Universita della Campania Vanvitelli</t>
  </si>
  <si>
    <t>Solima, L (corresponding author), Univ Naples 2, Naples, Italy.</t>
  </si>
  <si>
    <t>SOLIMA, Ludovico/O-8682-2019</t>
  </si>
  <si>
    <t>SOLIMA, Ludovico/0000-0002-1841-8603</t>
  </si>
  <si>
    <t>HERSEY</t>
  </si>
  <si>
    <t>701 E CHOCOLATE AVE, STE 200, HERSEY, PA 17033-1240 USA</t>
  </si>
  <si>
    <t>978-1-4666-6544-6; 978-1-4666-6543-9</t>
  </si>
  <si>
    <t>10.4018/978-1-4666-6543-9.ch079</t>
  </si>
  <si>
    <t>10.4018/978-1-4666-6543-9</t>
  </si>
  <si>
    <t>BN9XD</t>
  </si>
  <si>
    <t>WOS:000489991200080</t>
  </si>
  <si>
    <t>Straker, K; Wrigley, C; Rosemann, M</t>
  </si>
  <si>
    <t>Straker, Karla; Wrigley, Cara; Rosemann, Michael</t>
  </si>
  <si>
    <t>Typologies and touchpoints: designing multi-channel digital strategies</t>
  </si>
  <si>
    <t>JOURNAL OF RESEARCH IN INTERACTIVE MARKETING</t>
  </si>
  <si>
    <t>Hierarchical relations; Channel management; Channels; Digital channels; Establishing typology; Industry relationship model</t>
  </si>
  <si>
    <t>INFORMATION-TECHNOLOGY; FUTURE; AGE</t>
  </si>
  <si>
    <t>Purpose - This study aims to gain a clearer understanding of digital channel design. The emergence of new technologies has revolutionised the way companies interact and engage with customers. The driver for this research was the suggestion that practitioners feel they do not possess the skills to understand and exploit new digital channel opportunities. To gain a clearer understanding of digital channel design, this paper addresses the research question: What digital channels do companies from a wide range of industries and sectors use? Design/methodology/approach - A content analysis of 100 international companies was conducted with multiple data sources to form a typology of digital touchpoints. The appropriateness of a digital channel typology for this study was for developing rigorous and useful concepts for clarifying and refining the meaning of digital channels. Findings - This study identifies what digital channels companies globally currently employ and explores the related needs across industries. A total of 34 digital touchpoints and 4 typologies of digital channels were identified across 16 industries. This research helps to identify the relationship between digital channels and enabling the connections with industry. Research limitations/implications - The findings contribute to the growing research area of digital channels. The typology of digital channels is a useful starting point for developing a systematic, theory-based study for enabling the development of broader, comprehensive theories of digital channels. Practical implications - Typologies and touchpoints are outlined in relation to industry, company objectives and customer needs to allow businesses to seize opportunities and optimise performance through individual touchpoints. A digital channel model as a key outcome of this research guides practitioners on what touchpoint to implement through an interrelated understanding of industry, company and customer needs. Originality/value - This is the first paper to explore a range of industries in relation to their use of digital channels using a unique content analysis. Contributions include clarifying and refining digital channel meaning; identifying and refining the hierarchical relations among digital channels (typologies); and establishing typology and industry relationship model.</t>
  </si>
  <si>
    <t>[Straker, Karla] Queensland Univ Technol, Sch Design, Brisbane, Qld 4001, Australia; [Wrigley, Cara] Queensland Univ Technol, Sch Design, Sch Informat Syst, Brisbane, Qld 4001, Australia; [Rosemann, Michael] Queensland Univ Technol, Sch Informat Syst, Brisbane, Qld 4001, Australia</t>
  </si>
  <si>
    <t>Queensland University of Technology (QUT); Queensland University of Technology (QUT); Queensland University of Technology (QUT)</t>
  </si>
  <si>
    <t>Straker, K (corresponding author), Queensland Univ Technol, Sch Design, Brisbane, Qld 4001, Australia.</t>
  </si>
  <si>
    <t>Rosemann, Michael/I-9823-2012; Straker, Karla/AAM-3797-2021</t>
  </si>
  <si>
    <t>Wrigley, Cara/0000-0001-7349-8469; Straker, Karla/0000-0002-6520-4173; Rosemann, Michael/0000-0003-3303-2896</t>
  </si>
  <si>
    <t>2040-7122</t>
  </si>
  <si>
    <t>2040-7130</t>
  </si>
  <si>
    <t>J RES INTERACT MARK</t>
  </si>
  <si>
    <t>J. Res. Interact. Mark.</t>
  </si>
  <si>
    <t>10.1108/JRIM-06-2014-0039</t>
  </si>
  <si>
    <t>CM9TF</t>
  </si>
  <si>
    <t>WOS:000358051200003</t>
  </si>
  <si>
    <t>Gerardi, G; Abbene, L</t>
  </si>
  <si>
    <t>Gerardi, G.; Abbene, L.</t>
  </si>
  <si>
    <t>A digital approach for real time high-rate high-resolution radiation measurements</t>
  </si>
  <si>
    <t>NUCLEAR INSTRUMENTS &amp; METHODS IN PHYSICS RESEARCH SECTION A-ACCELERATORS SPECTROMETERS DETECTORS AND ASSOCIATED EQUIPMENT</t>
  </si>
  <si>
    <t>Digital pulse processing; Pulse height analysis; Pulse shape analysis; Real time processing; Dead time correction; Energy resolved photon counting</t>
  </si>
  <si>
    <t>RAY SPECTROSCOPY; DETECTORS; CDTE; PERFORMANCE; GAMMA; CONSTRAINTS; PROGRESS; SYSTEM; FILTER</t>
  </si>
  <si>
    <t>Modern spectrometers are currently developed by using digital pulse processing (DPP) systems, showing several advantages over traditional analog electronics. The aim of this work is to present digital strategies, in a time domain, for the development of real time high-rate high-resolution spectrometers. We propose a digital method, based on the single delay line (SDL) shaping technique, able to perform multi-parameter analysis with high performance even at high photon counting rates. A robust pulse shape and height analysis (PSHA), applied on single isolated time windows of the detector output waveforms, is presented. The potentialities of the proposed strategy are highlighted through both theoretical and experimental approaches. To strengthen our approach, the implementation of the method on a real-time system together with some experimental results are presented. X-ray spectra measurements with a semiconductor detector are performed both at low and high photon counting rates (up to 1.1 Mcps). (C) 2014 Elsevier B.V. All rights reserved.</t>
  </si>
  <si>
    <t>[Gerardi, G.; Abbene, L.] Univ Palermo, Dipartimento Fis &amp; Chim, I-90128 Palermo, Italy</t>
  </si>
  <si>
    <t>University of Palermo</t>
  </si>
  <si>
    <t>Abbene, L (corresponding author), Univ Palermo, Dipartimento Fis &amp; Chim, Edificio 18, I-90128 Palermo, Italy.</t>
  </si>
  <si>
    <t>leonardo.abbene@unipa.it</t>
  </si>
  <si>
    <t>ABBENE, Leonardo/0000-0001-9633-6606</t>
  </si>
  <si>
    <t>Italian Ministry for Education, University and Research (MIUR) [2012WM9MEP]</t>
  </si>
  <si>
    <t>Italian Ministry for Education, University and Research (MIUR)(Ministry of Education, Universities and Research (MIUR))</t>
  </si>
  <si>
    <t>This work was supported by the Italian Ministry for Education, University and Research (MIUR) under PRIN Project No. 2012WM9MEP.</t>
  </si>
  <si>
    <t>0168-9002</t>
  </si>
  <si>
    <t>1872-9576</t>
  </si>
  <si>
    <t>NUCL INSTRUM METH A</t>
  </si>
  <si>
    <t>Nucl. Instrum. Methods Phys. Res. Sect. A-Accel. Spectrom. Dect. Assoc. Equip.</t>
  </si>
  <si>
    <t>10.1016/j.nima.2014.09.047</t>
  </si>
  <si>
    <t>Instruments &amp; Instrumentation; Nuclear Science &amp; Technology; Physics, Nuclear; Physics, Particles &amp; Fields</t>
  </si>
  <si>
    <t>Instruments &amp; Instrumentation; Nuclear Science &amp; Technology; Physics</t>
  </si>
  <si>
    <t>AT5PU</t>
  </si>
  <si>
    <t>WOS:000344995400008</t>
  </si>
  <si>
    <t>Latifi, N; Miri, AK; Mongeau, L</t>
  </si>
  <si>
    <t>Latifi, Neda; Miri, Amir K.; Mongeau, Luc</t>
  </si>
  <si>
    <t>Determination of the elastic properties of rabbit vocal fold tissue using uniaxial tensile testing and a tailored finite element model</t>
  </si>
  <si>
    <t>JOURNAL OF THE MECHANICAL BEHAVIOR OF BIOMEDICAL MATERIALS</t>
  </si>
  <si>
    <t>Biomechanics; Vocal fold; Tensile test; Geometrical models; Inverse problem; Finite element model</t>
  </si>
  <si>
    <t>INJECTION; VISCOELASTICITY</t>
  </si>
  <si>
    <t>The aim of the present study was to quantify the effects of the specimen shape on the accuracy of mechanical properties determined from a shape-specific model generation strategy. Digital images of five rabbit vocal folds (VFs) in their initial undeformed conditions were used to build corresponding specific solid models. The displacement field of the VFs under uniaxial tensile test was then measured over the visible portion of the surface using digital image correlation. A three-dimensional finite element model was built, using ABAQUS, for each solid model, while imposing measured boundary conditions. An inverse-problem method was used, assuming a homogeneous isotropic linear elastic constitutive model. Unknown elastic properties were identified iteratively through an error minimization technique between simulated and measured force-time data. The longitudinal elastic moduli of the five rabbit VFs were calculated and compared to values from a simple analytical method and those obtained by approximating the cross-section as elliptical. The use of shape-specific models significantly reduced the standard deviation of the Young's moduli of the tested specimens. However, a non-parametric statistical analysis test, i.e., the Friedman test, yielded no statistically significant differences between the shape-specific method and the elliptic cylindrical finite element model. Considering the required procedures to reconstruct the shape-specific finite element model for each tissue specimen, it might be expedient to use the simpler method when large numbers of tissue specimens are to be compared regarding their Young's moduli. (C) 2014 Elsevier Ltd. All rights reserved.</t>
  </si>
  <si>
    <t>[Latifi, Neda; Miri, Amir K.; Mongeau, Luc] McGill Univ, Dept Mech Engn, Montreal, PQ H3A 0C3, Canada</t>
  </si>
  <si>
    <t>McGill University</t>
  </si>
  <si>
    <t>Latifi, N (corresponding author), McGill Univ, Dept Mech Engn, 817 Sherbrooke St West, Montreal, PQ H3A 0C3, Canada.</t>
  </si>
  <si>
    <t>nada.latifialavijeh@mail.mcgill.ca; amir.miriramsheh@mail.mcgill.ca; luc.mongeau@mcgill.ca</t>
  </si>
  <si>
    <t>Latifi, Neda/0000-0002-8099-8354; Mongeau, Luc/0000-0003-0344-227X; Miri, Amir K./0000-0003-0685-0770</t>
  </si>
  <si>
    <t>National Institutes of Health [NIDCD R01-DC005788]</t>
  </si>
  <si>
    <t>National Institutes of Health(United States Department of Health &amp; Human ServicesNational Institutes of Health (NIH) - USA)</t>
  </si>
  <si>
    <t>This work was supported by Grant NIDCD R01-DC005788 from the National Institutes of Health, (Principal investigator: Luc Mongeau). The authors would like to express their gratitude to Professors Nicole Li and Susan Thibeault (University of Wisconsin, Department of Surgery) for providing the tissue specimens and Professor Rosaire Mongrain (Montreal Heart Institute, Research Center, Montreal) for sharing his mechanical tester. We are thankful to Juan F. Henao (McGill University, Department of Mechanical Engineering) for his help in preparing the iModeller setup. Finally, the authors would like to express their heartfelt gratitude to the reviewers for their constructive comments.</t>
  </si>
  <si>
    <t>1751-6161</t>
  </si>
  <si>
    <t>1878-0180</t>
  </si>
  <si>
    <t>J MECH BEHAV BIOMED</t>
  </si>
  <si>
    <t>J. Mech. Behav. Biomed. Mater.</t>
  </si>
  <si>
    <t>10.1016/j.jmbbm.2014.07.031</t>
  </si>
  <si>
    <t>Engineering, Biomedical; Materials Science, Biomaterials</t>
  </si>
  <si>
    <t>Engineering; Materials Science</t>
  </si>
  <si>
    <t>AR1IL</t>
  </si>
  <si>
    <t>WOS:000343338800033</t>
  </si>
  <si>
    <t>Costales, JR</t>
  </si>
  <si>
    <t>Rivera Costales, Jose</t>
  </si>
  <si>
    <t>Rafael Correa and the 2006 elections Marketing and digital political communication in Ecuador</t>
  </si>
  <si>
    <t>CHASQUI-REVISTA LATINOAMERICANA DE COMUNICACION</t>
  </si>
  <si>
    <t>Rafael Correa; Elections; Marketing; Digital Political Communications; Digital Government</t>
  </si>
  <si>
    <t>This work aims to deal with the changes that have occurred in the Ecuadorian Political Marketing since the adoption of new technology tools as a strategy concerning the 2006 electoral campaign. In this context, the article analyzes the specific case of one candidate, Rafael Correa Delgado, as well as the digital strategies used in his political campaign. With the analysis of the channels that have been employed, one can know the level of importance that they gave to these alternative ways of promotion. lt is interesting to note that the incursion of the candidate into digital space radically transformed the way politics works in Ecuador, and set the tone for the now President's performing as well as his strong interest in developing an environment of Digital Government at the service of the citizen.</t>
  </si>
  <si>
    <t>[Rivera Costales, Jose] Univ San Francisco Quito, Pontificia Univ Catolica, Quito, Ecuador; [Rivera Costales, Jose] Univ Politecn Salesiana, Cuenca, Ecuador; [Rivera Costales, Jose] Univ Cent Ecuador, Quito, Ecuador; [Rivera Costales, Jose] Univ Las Amer UDLA, Quito, Ecuador</t>
  </si>
  <si>
    <t>Universidad San Francisco de Quito; Pontificia Universidad Catolica del Ecuador; Universidad Politecnica Salesiana; Universidad Central del Ecuador; Universidad de Las Americas - Ecuador</t>
  </si>
  <si>
    <t>Costales, JR (corresponding author), Univ San Francisco Quito, Pontificia Univ Catolica, Quito, Ecuador.</t>
  </si>
  <si>
    <t>tikinauta@gmail.com</t>
  </si>
  <si>
    <t>CENTRO INT ESTUDIOS SUPERIORES COMUNICACION AMER LATINA-CIESPAL</t>
  </si>
  <si>
    <t>AVE DIEGO ALMAGRO N32-133 &amp; ANDRADE MARIN, QUITO, 00000, ECUADOR</t>
  </si>
  <si>
    <t>1390-1079</t>
  </si>
  <si>
    <t>1390-924X</t>
  </si>
  <si>
    <t>CHASQUI-REV LAT COM</t>
  </si>
  <si>
    <t>CHASQUI</t>
  </si>
  <si>
    <t>VH7LO</t>
  </si>
  <si>
    <t>WOS:000454015100012</t>
  </si>
  <si>
    <t>Chen, LZ; Xu, MH; Zou, YW; Xu, LS</t>
  </si>
  <si>
    <t>Chen, Lizhao; Xu, Minhui; Zou, Yongwen; Xu, Lunshan</t>
  </si>
  <si>
    <t>Clinical Study of the Role of 64-Slice CT Cerebra Angiography in Aneurysmal Subarachnoid Hemorrhage</t>
  </si>
  <si>
    <t>CELL BIOCHEMISTRY AND BIOPHYSICS</t>
  </si>
  <si>
    <t>Acute subarachnoid hemorrhage; Aneurysm; CTA</t>
  </si>
  <si>
    <t>RUPTURED INTRACRANIAL ANEURYSMS; DIGITAL-SUBTRACTION</t>
  </si>
  <si>
    <t>The objective of this study is to assess the clinical role of computed tomography angiography (CTA) in determining the etiology of aneurysmal subarachnoid hemorrhage (ASAH) and selecting the treatment options. A total of 452 patients with ASAH underwent a 64-slice CTA examination to determine the etiology and select the treatment strategies. Digital subtraction angiography (DSA) or clipping operation confirmed the detection from the CTA. The CTA results of 452 patients with ASAH were confirmed through the DSA or clipping operation and the CTA results of 451 cases were consistent with what were seen during the DSA or clipping operation. The treatment choices for 451 patients (99.8 %) were based on the CTA results. A total of 90 cases (19.9 %) underwent endovascular embolization and 362 cases (80.1 %) underwent clipping operation. The other one patient underwent endovascular embolization after the DSA examination due to insufficient information from the CTA. Also, there was one patient who was misdiagnosed in the CTA. In conclusion, a 64-slice CTA can accurately detect intracranial aneurysms and is helpful in choosing the best treatment option.</t>
  </si>
  <si>
    <t>[Chen, Lizhao; Xu, Minhui; Zou, Yongwen; Xu, Lunshan] Third Mil Med Univ, Inst Surg Res, Daping Hosp, Dept Neurosurg, Chongqing 400042, Peoples R China</t>
  </si>
  <si>
    <t>Army Medical University</t>
  </si>
  <si>
    <t>Xu, LS (corresponding author), Third Mil Med Univ, Inst Surg Res, Daping Hosp, Dept Neurosurg, 10 Changjiang Branch, Chongqing 400042, Peoples R China.</t>
  </si>
  <si>
    <t>chenLiZhao1971@163.com; Xulunshan1972@163.com</t>
  </si>
  <si>
    <t>HUMANA PRESS INC</t>
  </si>
  <si>
    <t>TOTOWA</t>
  </si>
  <si>
    <t>999 RIVERVIEW DRIVE SUITE 208, TOTOWA, NJ 07512 USA</t>
  </si>
  <si>
    <t>1085-9195</t>
  </si>
  <si>
    <t>1559-0283</t>
  </si>
  <si>
    <t>CELL BIOCHEM BIOPHYS</t>
  </si>
  <si>
    <t>Cell Biochem. Biophys.</t>
  </si>
  <si>
    <t>10.1007/s12013-014-9834-6</t>
  </si>
  <si>
    <t>Biochemistry &amp; Molecular Biology; Biophysics; Cell Biology</t>
  </si>
  <si>
    <t>AJ6GC</t>
  </si>
  <si>
    <t>WOS:000337787700026</t>
  </si>
  <si>
    <t>Reggi, L; Scicchitano, S</t>
  </si>
  <si>
    <t>Reggi, Luigi; Scicchitano, Sergio</t>
  </si>
  <si>
    <t>Are EU regional digital strategies evidence-based? An analysis of the allocation of 2007-13 Structural Funds</t>
  </si>
  <si>
    <t>Information Society; Digital Agenda; Regional Policy; Cohesion Policy; Structural Funds; e-Services; e-Government; Cluster analysis</t>
  </si>
  <si>
    <t>INFORMATION-SOCIETY</t>
  </si>
  <si>
    <t>The ambitious goals of the European Digital Agenda need active involvement by regional innovation systems. Effective regional digital strategies should be both consistent with the European framework and based on available evidence on the needs and opportunities of local contexts. Such evidence should be used to balance the different components of the Information Society development (e.g. eServices vs. infrastructures; ICT supply and demand), so as to ensure that they can all unleash their full potential. Therefore, EU regions should spend more money to overcome regional weaknesses than to improve existing assets. In this paper we explore the different strategies of the EU's lagging regions through the analysis of the allocation of 2007-13 Structural Funds. Then, we verify whether such strategies respond to territorial conditions by comparing strategic choices made with the actual characteristics of local contexts. Results show that EU regions tend to invest more resources in those aspects in which they already demonstrate good relative performances. Possible causes of this unbalanced strategic approach are discussed, including the lack of sound analysis of the regional context and the path dependence of policy choices. (C) 2013 Elsevier Ltd. All rights reserved.</t>
  </si>
  <si>
    <t>[Reggi, Luigi; Scicchitano, Sergio] Minist Econ Dev, Dept Dev &amp; Econ Cohes, Rome, Italy; [Reggi, Luigi; Scicchitano, Sergio] Univ Urbino, DESP, EIBURS TAIPS Team, I-61029 Urbino, Italy</t>
  </si>
  <si>
    <t>University of Urbino</t>
  </si>
  <si>
    <t>Reggi, L (corresponding author), Minist Econ Dev, Dept Dev &amp; Econ Cohes, Rome, Italy.</t>
  </si>
  <si>
    <t>luigi.reggi@gmail.com; luigi.reggi@tesoro.it</t>
  </si>
  <si>
    <t>Scicchitano, Sergio/X-8492-2018</t>
  </si>
  <si>
    <t>Scicchitano, Sergio/0000-0003-1015-7629</t>
  </si>
  <si>
    <t>Eiburs - EIB University Research Sponsorship Programme; EU Cohesion Policy</t>
  </si>
  <si>
    <t>This paper is part of the research project Technology Adoption and Innovation in Public Services (TAIPS). The project is carried out by the Department of Economics, Society and Politics (DESP), University of Urbino, Italy, and funded by Eiburs - EIB University Research Sponsorship Programme.; The authors would like to thank Pasquale D'Alessandro and the European Commission - DG Regional Policy for providing the dataset on the financial resources programmed by the EU Cohesion Policy. The authors are also grateful to participants at Regional Innovation and Competitiveness Policy Workshop, 15th November 2012, University of Cambridge and to Davide Arduini, Annaflavia Bianchi, Marco Biagetti, Marco Marini, Maurizio Franzini, Harald Gruber, Dimitri Tartan, Antonello Zanfei, who provided valuable suggestions and comments to a previous version of this paper.</t>
  </si>
  <si>
    <t>JUN-JUL</t>
  </si>
  <si>
    <t>10.1016/j.telpol.2013.12.007</t>
  </si>
  <si>
    <t>AL0NF</t>
  </si>
  <si>
    <t>WOS:000338822900011</t>
  </si>
  <si>
    <t>Thompson, P</t>
  </si>
  <si>
    <t>Thompson, Peter</t>
  </si>
  <si>
    <t>WIRED-UP OR WIND-UP? THE POLITICAL ECONOMY OF BROADBAND POLICY IN NEW ZEALAND/AOTEAROA</t>
  </si>
  <si>
    <t>Government policy has played a crucial role in driving the development of broadband technology in New Zealand, but this has evidently been shaped by the interplay of different ministerial imperatives and rationales under different administrations. The Labour-led government's 2005 Digital Strategy primarily aimed at increasing consumer uptake of basic broadband to overcome the 'digital divide'. This evolved into the more ambitious 2008 Digital Strategy 2.0 which, consistent with Labour's 'third way' philosophy, focused both on grassroots community engagement and economic goals (involving both the Ministry for Culture and Heritage and the Ministry of Economic Development). However, the election of the National-led government later in 2008 brought a shift in the principles and outcomes driving broadband policy. National's Ultra-Fast Broadband initiative has seen NZ$1.35 billion allocated to telecommunications companies that won contracts to develop a nationwide fibre-optic infrastructure. The political rationale more strongly reflects macro-economic imperatives informed primarily by the revamped Ministry for Business, Innovation and Employment. This more commercial policy orientation has nevertheless led the government into some complex and contradictory positions, particularly with respect to its reluctance to insulate the UFB initiative from demands to re-regulate the media sector in response to convergence and competition issues. Taking a critical institutionalist approach and drawing on evidence from key policy documents and interview data with policy actors, this analysis outlines several policy tensions underpinning the shifts in New Zealand's telecommunications and broadband policy between 2005 and 2013.</t>
  </si>
  <si>
    <t>Victoria Univ Wellington, Media Studies Program, Wellington, New Zealand</t>
  </si>
  <si>
    <t>Victoria University Wellington</t>
  </si>
  <si>
    <t>Thompson, P (corresponding author), Victoria Univ Wellington, Media Studies Program, Wellington, New Zealand.</t>
  </si>
  <si>
    <t>UNIV QUEENSLAND PRESS</t>
  </si>
  <si>
    <t>ST LUCIA</t>
  </si>
  <si>
    <t>PO BOX 42, ST LUCIA, QUEENSLAND 4067, AUSTRALIA</t>
  </si>
  <si>
    <t>AK8PP</t>
  </si>
  <si>
    <t>WOS:000338690700018</t>
  </si>
  <si>
    <t>Bermès, E</t>
  </si>
  <si>
    <t>Bermes, Emmanuelle</t>
  </si>
  <si>
    <t>Following the user's flow in the Digital Pompidou</t>
  </si>
  <si>
    <t>ZEITSCHRIFT FUR BIBLIOTHEKSWESEN UND BIBLIOGRAPHIE</t>
  </si>
  <si>
    <t>Seit 2007 verfolgt das Centre Pompidou, eines der bedeutendsten Museen fur zeitgenossische Kunst in Paris, eine neue digitale Strategie, um online verfugbaren Content weltweit abrufbar zu machen: das Digitale Centre Pompidou. Diese Plattform erlaubt den Zugriff auf die gesamte digitale Produktion des Museums sowie der ihm angegliederten Einrichtungen uber einen einzelnen Sucheinstieg. Der innovative auf Hypertexten basierende Ansatz beschert dem Besucher der Plattform oft unerwartete Entdeckungen und war das Resultat einer intensiven Auseinandersetzung mit dem Nutzerverhalten, moglich wurde er durch den Einsatz von Semantic-Web-Technologie. In Zukunft sollen die Nutzer der Seite noch starker eingebunden werden,damit sie den Content auch inhaltlich mitgestalten konnen. Since 2007, the Centre Pompidou, the major modern art museum in Paris, has been developing a new digital strategy aimed at providing a global platform for online digital content: the Digital Centre Pompidou. This platform provides access via a single entry point to the whole digital production of the organization and associated institutions. The combination of Semantic Web technologies and intensive research on end-user interface issues has resulted in an innovative approach to digital content based on hypertextual navigation which favours serendipity and unpredicted discoveries. Future evolutions of the platform also include involving users in constructing the meaning or semantics of the content.</t>
  </si>
  <si>
    <t>Ctr Pompidou, F-75004 Paris, France</t>
  </si>
  <si>
    <t>Bermès, E (corresponding author), Ctr Pompidou, Pl Georges Pompidou, F-75004 Paris, France.</t>
  </si>
  <si>
    <t>Emmanuelle.BERMES@centrepompidou.fr</t>
  </si>
  <si>
    <t>VITTORIO KLOSTERMANN GMBH</t>
  </si>
  <si>
    <t>FRANKFURT-AM-MAIN</t>
  </si>
  <si>
    <t>POSTFACH 90 06 01, D-60446 FRANKFURT-AM-MAIN, GERMANY</t>
  </si>
  <si>
    <t>0044-2380</t>
  </si>
  <si>
    <t>1864-2950</t>
  </si>
  <si>
    <t>Z BIBL BIBL</t>
  </si>
  <si>
    <t>Z. Bibl. Bibliogr.</t>
  </si>
  <si>
    <t>MAR-APR</t>
  </si>
  <si>
    <t>10.3196/186429501461221</t>
  </si>
  <si>
    <t>AI5DT</t>
  </si>
  <si>
    <t>WOS:000336886300002</t>
  </si>
  <si>
    <t>Rezende, DA; Madeira, GD; Mendes, LD; Breda, GD; Zarpelao, BB; Figueiredo, FD</t>
  </si>
  <si>
    <t>Rezende, Denis Alcides; Madeira, Gilberto dos Santos; Mendes, Leonardo de Souza; Breda, Gean Davis; Zarpelao, Bruno Bogaz; Figueiredo, Frederico de Carvalho</t>
  </si>
  <si>
    <t>Information and Telecommunications Project for a Digital City: A Brazilian case study</t>
  </si>
  <si>
    <t>Municipal Information Planning; Telecommunications; Open Access Metropolitan Area Network; Strategic Digital City; Municipal management</t>
  </si>
  <si>
    <t>BROAD-BAND; TECHNOLOGY; ACCESS; GOVERNMENT; FUTURE; CITIES; MODEL</t>
  </si>
  <si>
    <t>Making information and telecommunications available is a permanent challenge for cities concerned to their social, urban and local planning and development, focused on life quality of their citizens and on the effectiveness of public management. Such a challenge requires the involvement of everyone in the city. The objective is to describe the information and telecommunications project from the planning of a digital city carried out in Vinhedo-SP, Brazil. It was built as a telecommunications infrastructure of the kind of open access metropolitan area networks which enables the integration of citizens in a single telecommunications environment. The research methodology was emphasized by a case study which turned to be a research-action, comprising the municipal administration and its local units. The results achieved describe, by means of a methodology, the phases, sub-phases, activities, approval points and resulting products, and formalize their respective challenges and difficulties. The contributions have to do with the practical feasibility of the project and execution of its methodology. The conclusion reiterates the importance of the project, collectively implemented and accepted, as a tool to help the management of cities, in the implementation of Strategic Digital City Projects, in the decisions of public administration managers, and in the quality of life of their citizens. (C) 2013 Elsevier Ltd. All rights reserved.</t>
  </si>
  <si>
    <t>[Rezende, Denis Alcides; Figueiredo, Frederico de Carvalho] Pontificia Univ Catolica Parana PUCPR, Postgrad Program Urban Management, Curitiba, Parana, Brazil; [Madeira, Gilberto dos Santos; Mendes, Leonardo de Souza; Breda, Gean Davis; Zarpelao, Bruno Bogaz] Univ Campinas UNICAMP, Sch Elect &amp; Comp Engn, Campinas, SP, Brazil</t>
  </si>
  <si>
    <t>Pontificia Universidade Catolica do Parana; Universidade Estadual de Campinas</t>
  </si>
  <si>
    <t>Rezende, DA (corresponding author), Pontificia Univ Catolica Parana PUCPR, Postgrad Program Urban Management, Curitiba, Parana, Brazil.</t>
  </si>
  <si>
    <t>denis.rezende@pucpr.br; gilmadeira@uol.com.br; lmendes@decom.fee.unicamp.br; gean@decom.fee.unicamp.br; bzarpe@decom.fee.unicamp.br; frederico.figueiredo@pucpr.br</t>
  </si>
  <si>
    <t>Zarpelão, Bruno B./D-6845-2013; Rezende, Denis Alcides/AAR-2488-2021</t>
  </si>
  <si>
    <t>Rezende, Denis Alcides/0000-0002-3327-0424; MENDES, LEONARDO/0000-0001-6712-2203; Bogaz Zarpelao, Bruno/0000-0001-9172-3578</t>
  </si>
  <si>
    <t>10.1016/j.tele.2013.05.001</t>
  </si>
  <si>
    <t>252JQ</t>
  </si>
  <si>
    <t>WOS:000327001400010</t>
  </si>
  <si>
    <t>Dameri, RP</t>
  </si>
  <si>
    <t>Dameri, RP; RosenthalSabroux, C</t>
  </si>
  <si>
    <t>Dameri, Renata Paola</t>
  </si>
  <si>
    <t>Comparing Smart and Digital City: Initiatives and Strategies in Amsterdam and Genoa. Are They Digital and/or Smart?</t>
  </si>
  <si>
    <t>SMART CITY: HOW TO CREATE PUBLIC AND ECONOMIC VALUE WITH HIGH TECHNOLOGY IN URBAN SPACE</t>
  </si>
  <si>
    <t>Progress in IS</t>
  </si>
  <si>
    <t>Smart city; Digital city; Digital agenda; Case study</t>
  </si>
  <si>
    <t>SYSTEMS</t>
  </si>
  <si>
    <t>The objective of this research is to investigate the relations between Smart city and Digital city concepts and strategies. The author examines the international literature about these topics, comparing smart city and digital city definitions, components and goals. This survey shows that a clear definition of both smart city and digital city still lacks and that these two topics are often overlapped or confused. The same thing happens in empirical implementation of smart and/or digital strategies in cities. The research methodology includes the study and comparison of two important empirical implementations of Smart/Digital strategies in Europe: Amsterdam and Genoa. The results show that smart city and digital city are not the same, even if they are strictly linked each other and sometimes merged in common initiatives. Moreover, this empirical research highlights the key role of players, programs and governance in realizing smart/digital cities really effective for a best quality of life in the urban space.</t>
  </si>
  <si>
    <t>Univ Genoa, Dept Econ, Genoa, Italy</t>
  </si>
  <si>
    <t>University of Genoa</t>
  </si>
  <si>
    <t>Dameri, RP (corresponding author), Univ Genoa, Dept Econ, Genoa, Italy.</t>
  </si>
  <si>
    <t>dameri@economia.unige.it</t>
  </si>
  <si>
    <t>DAMERI, RENATA/AAD-6635-2021</t>
  </si>
  <si>
    <t>SPRINGER-VERLAG BERLIN</t>
  </si>
  <si>
    <t>HEIDELBERGER PLATZ 3, D-14197 BERLIN, GERMANY</t>
  </si>
  <si>
    <t>2196-8705</t>
  </si>
  <si>
    <t>2196-8713</t>
  </si>
  <si>
    <t>978-3-319-06160-3; 978-3-319-06159-7</t>
  </si>
  <si>
    <t>PROGR IS</t>
  </si>
  <si>
    <t>10.1007/978-3-319-06160-3_3</t>
  </si>
  <si>
    <t>10.1007/978-3-319-06160-3</t>
  </si>
  <si>
    <t>Regional &amp; Urban Planning; Public Administration</t>
  </si>
  <si>
    <t>BB4ZX</t>
  </si>
  <si>
    <t>WOS:000343584800004</t>
  </si>
  <si>
    <t>Punín, MI; Martínez, A; Rencoret, N</t>
  </si>
  <si>
    <t>Isabel Punin, M.; Martinez, Alison; Rencoret, Nathaly</t>
  </si>
  <si>
    <t>Digital Media in Ecuador - Future Perspectives</t>
  </si>
  <si>
    <t>COMUNICAR</t>
  </si>
  <si>
    <t>Communication; digital media; digital trend; development; access; Internet; journalism</t>
  </si>
  <si>
    <t>The advances in technology, especially in the field of communication, cause mass media to constantly evolve- and thus not to perish. Indeed, this occurs in situations that are marked by a series of media transformations and changes that have affected journalism as a profession and mass media as a process. The studies that have resulted from these changes have been positive and negative. This paper analyses the digital media panorama in Ecuador, the characteristics of journalism culture and the specific usage of web content. It describes the trends of the main digital media in the country, which have been selected for a case study. The article takes as a core reference 'ten digital trends in media communication' proposed by Cerezo-Gilarranz - a specialist in digital strategies. We then focus on the deficiencies of Ecuadorian mass media, which is mainly due to a lack of control over technological environments and the scarcity of links between business and journalism projects that have technological and innovative support, such as the usage of social networks and others. The final result is a detailed guide to the weaknesses and strengths of each digital medium that has been studied. Furthermore, this work highlights reliable trends so that the selected media can orientate towards digital environments. This is achieved by making use of technological tools for creating business and service opportunities.</t>
  </si>
  <si>
    <t>[Isabel Punin, M.] Univ Tecn Particular Loja, TC Dept Ciencias Comunicac, Loja, Ecuador; [Martinez, Alison; Rencoret, Nathaly] Univ Tecn Particular Loja, Dept Ciencias Comunicac, Loja, Ecuador</t>
  </si>
  <si>
    <t>Universidad Tecnica Particular de Loja; Universidad Tecnica Particular de Loja</t>
  </si>
  <si>
    <t>Punín, MI (corresponding author), Univ Tecn Particular Loja, TC Dept Ciencias Comunicac, Loja, Ecuador.</t>
  </si>
  <si>
    <t>mipunin@utpl.edu.ec; acmartinez1@utpl.edu.ec; natieangelik@utpl.edu.ec</t>
  </si>
  <si>
    <t>Punín, M.I/F-1970-2019</t>
  </si>
  <si>
    <t>Punín, M.I/0000-0001-5052-824X</t>
  </si>
  <si>
    <t>GRUPO COMUNICAR</t>
  </si>
  <si>
    <t>APDO CORREOS 527, HUELVA, 21080, SPAIN</t>
  </si>
  <si>
    <t>1134-3478</t>
  </si>
  <si>
    <t>1988-3293</t>
  </si>
  <si>
    <t>Comunicar</t>
  </si>
  <si>
    <t>10.3916/C42-2014-20</t>
  </si>
  <si>
    <t>Communication; Education &amp; Educational Research</t>
  </si>
  <si>
    <t>281XU</t>
  </si>
  <si>
    <t>Green Accepted, Green Submitted, gold</t>
  </si>
  <si>
    <t>WOS:000329135100022</t>
  </si>
  <si>
    <t>Kontu, H; Vecchi, A</t>
  </si>
  <si>
    <t>Kontu, Hanna; Vecchi, Alessandra</t>
  </si>
  <si>
    <t>Why all that noise - assessing the strategic value of social media for fashion brands</t>
  </si>
  <si>
    <t>fashion; strategic marketing; digital strategy; social media; Facebook</t>
  </si>
  <si>
    <t>The importance of social media is evident, as millions of people use it to connect with others, share content and discuss different topics. Although it is clear that social media is powerful and ubiquitous, many fashion brands have been reluctant or unable to develop strategies and allocate resources to effectively engage with the new media. Adopting an exploratory approach, our study provides a critical assessment of the use of social media by three international fashion brands, in order to identify its potential as a strategic marketing tool.</t>
  </si>
  <si>
    <t>[Kontu, Hanna; Vecchi, Alessandra] Univ Arts, London Coll Fash, London, England</t>
  </si>
  <si>
    <t>University of Arts London</t>
  </si>
  <si>
    <t>Kontu, H (corresponding author), Univ Arts, London Coll Fash, London, England.</t>
  </si>
  <si>
    <t>h.kontu@fashion.arts.ac.uk</t>
  </si>
  <si>
    <t>vecchi, alessandra/0000-0003-3449-7927</t>
  </si>
  <si>
    <t>10.1080/20932685.2014.912443</t>
  </si>
  <si>
    <t>VA1YA</t>
  </si>
  <si>
    <t>WOS:000409703200005</t>
  </si>
  <si>
    <t>Massis, BE</t>
  </si>
  <si>
    <t>Massis, Bruce E.</t>
  </si>
  <si>
    <t>Library marketing: moving between traditional and digital strategies</t>
  </si>
  <si>
    <t>NEW LIBRARY WORLD</t>
  </si>
  <si>
    <t>Marketing; Libraries; Patrons</t>
  </si>
  <si>
    <t>Purpose - The purpose of this column is to provide several discussion themes on which to muse regarding the strategy of library marketing in today's technology-rich environment. Design/methodology/approach - It involves literature review and commentary on this topic that has been addressed by professionals, researchers and practitioners. Findings - Moving between the traditional model of library marketing to the cutting-edge model is occurring through the numerous digital communication tools used everyday. Not only must the library rely on these modes of marketing they must also recognize that their patrons share that space with them and the many contacts each one of those patrons has as well, thus potentially expanding the library audience and therefore positively expanding its user base. Originality/value - The value in addressing this issue is to examine approaches to marketing library services in an effort to present the reader with several discussion points on the topic.</t>
  </si>
  <si>
    <t>[Massis, Bruce E.] Columbus State Community Coll, Lib, Columbus, OH 43215 USA</t>
  </si>
  <si>
    <t>Columbus State Community College</t>
  </si>
  <si>
    <t>Massis, BE (corresponding author), Columbus State Community Coll, Lib, Columbus, OH 43215 USA.</t>
  </si>
  <si>
    <t>bmassis@hotmail.com</t>
  </si>
  <si>
    <t>0307-4803</t>
  </si>
  <si>
    <t>1758-6909</t>
  </si>
  <si>
    <t>NEW LIB WORLD</t>
  </si>
  <si>
    <t>New Lib. World</t>
  </si>
  <si>
    <t>10.1108/NLW-01-2014-0007</t>
  </si>
  <si>
    <t>V99BM</t>
  </si>
  <si>
    <t>WOS:000213442500007</t>
  </si>
  <si>
    <t>Mouzykant, VL</t>
  </si>
  <si>
    <t>Mouzykant, V. L.</t>
  </si>
  <si>
    <t>THE STUDY OF SMM AS A VIRUS STRATEGY IN THE MEDIA SPACE</t>
  </si>
  <si>
    <t>RUDN JOURNAL OF SOCIOLOGY-VESTNIK ROSSIISKOGO UNIVERSITETA DRUZHBY NARODOV SERIYA SOTSIOLOGIYA</t>
  </si>
  <si>
    <t>social marketing; SMM; virus marketing; video hosting; structure of the target audience; intensive virus; digital-strategies; demotivators</t>
  </si>
  <si>
    <t>The article describes the phenomenon of social marketing in the Internet that has changed the idea of the relationships between the addresser and the addressee in the social networks. The author analyzes the typology, genesis and consequences of the virus marketing in social networks from the perspective of the sociological analysis of media. The article considers the influence of the Internet on the behavior of the Russians, the methods of measuring the impact of the emerging new media. The author identifies different strategies in the SMM-market, such as creative content, digital-projects, media planning, simple content, government, close-to-government and educational projects. ROMIR within the GemuisAudience project conducted a research among 20 thousand Russian respondents to monitor their behavior in the sphere with the help of special sensors that identify Internet preferences of the Russians. The first results of the project revealed a trend - the more interesting the content the more likely the user is to share the app with his friends.</t>
  </si>
  <si>
    <t>[Mouzykant, V. L.] Peoples Friendship Univ Russia, Miklukho Maklaya Str 6, Moscow 117198, Russia</t>
  </si>
  <si>
    <t>Peoples Friendship University of Russia</t>
  </si>
  <si>
    <t>Mouzykant, VL (corresponding author), Peoples Friendship Univ Russia, Miklukho Maklaya Str 6, Moscow 117198, Russia.</t>
  </si>
  <si>
    <t>vmouzyka@mail.ru</t>
  </si>
  <si>
    <t>Muzykant, valerii/AAE-1181-2020</t>
  </si>
  <si>
    <t>Muzykant, valerii/0000-0001-9422-351X</t>
  </si>
  <si>
    <t>PEOPLES FRIENDSHIP UNIV RUSSIA</t>
  </si>
  <si>
    <t>UL MIKLUKHO-MAKLAYA, DOM 6, MOSCOW, 117198, RUSSIA</t>
  </si>
  <si>
    <t>2313-2272</t>
  </si>
  <si>
    <t>2408-8897</t>
  </si>
  <si>
    <t>RUDN J SOCIOL</t>
  </si>
  <si>
    <t>RUDN J. Sociol.</t>
  </si>
  <si>
    <t>VH0TQ</t>
  </si>
  <si>
    <t>WOS:000450054100006</t>
  </si>
  <si>
    <t>Nelson, R</t>
  </si>
  <si>
    <t>Carson, C; Kirwan, P</t>
  </si>
  <si>
    <t>Nelson, Ryan</t>
  </si>
  <si>
    <t>Developing a digital strategy Engaging audiences at Shakespeare's Globe</t>
  </si>
  <si>
    <t>SHAKESPEARE AND THE DIGITAL WORLD: REDEFINING SCHOLARSHIP AND PRACTICE</t>
  </si>
  <si>
    <t>[Nelson, Ryan] Barbican Ctr, London, England; [Nelson, Ryan] Google, Mountain View, CA USA; [Nelson, Ryan] The Guardian, London, England</t>
  </si>
  <si>
    <t>Google Incorporated</t>
  </si>
  <si>
    <t>Nelson, R (corresponding author), Barbican Ctr, London, England.</t>
  </si>
  <si>
    <t>THE PITT BUILDING, TRUMPINGTON ST, CAMBRIDGE CB2 1RP, CAMBS, ENGLAND</t>
  </si>
  <si>
    <t>978-1-107-66078-6; 978-1-107-06436-2</t>
  </si>
  <si>
    <t>10.1017/CBO9781107587526</t>
  </si>
  <si>
    <t>Education &amp; Educational Research; Literary Theory &amp; Criticism</t>
  </si>
  <si>
    <t>Education &amp; Educational Research; Literature</t>
  </si>
  <si>
    <t>BB0CS</t>
  </si>
  <si>
    <t>WOS:000340103000020</t>
  </si>
  <si>
    <t>Tomas, K</t>
  </si>
  <si>
    <t>Tomas, Kelly</t>
  </si>
  <si>
    <t>Virtual Reality: Why Magazines Should Adopt a Mobile-First Publishing Strategy</t>
  </si>
  <si>
    <t>PUBLISHING RESEARCH QUARTERLY</t>
  </si>
  <si>
    <t>Digital publishing; Digital strategy; Mobile-first; Mobile publishing; Publishing industry; Publishing strategy</t>
  </si>
  <si>
    <t>This paper examines the state of the magazine industry in the US and offers research to show why publishers should shift their thinking from a print- or digital-first publishing strategy to a mobile-first publishing strategy. The publishing industry faces increasing challenges to generate a profit and grow their audience. These challenges are compounded by a difficult economy, the proliferation of new technological devices, and consumers' changing reading habits. Mobile publishing offers new and expanding ways for the magazine industry to diversity income, expand readership, and position their titles for future growth.</t>
  </si>
  <si>
    <t>Tomas, K (corresponding author), 208 Kingston Circle, Birmingham, AL 35211 USA.</t>
  </si>
  <si>
    <t>kellybtomas@gmail.com</t>
  </si>
  <si>
    <t>233 SPRING ST, NEW YORK, NY 10013 USA</t>
  </si>
  <si>
    <t>1053-8801</t>
  </si>
  <si>
    <t>1936-4792</t>
  </si>
  <si>
    <t>PUBLISH RES Q</t>
  </si>
  <si>
    <t>Publ. Res. Q.</t>
  </si>
  <si>
    <t>10.1007/s12109-013-9330-7</t>
  </si>
  <si>
    <t>VG7PH</t>
  </si>
  <si>
    <t>WOS:000448354600002</t>
  </si>
  <si>
    <t>Fandiño, YJ</t>
  </si>
  <si>
    <t>Jose Fandino, Yamith</t>
  </si>
  <si>
    <t>21st Century Skills and the English Foreign Language Classroom: A Call for More Awareness in Colombia</t>
  </si>
  <si>
    <t>GIST-EDUCATION AND LEARNING RESEARCH JOURNAL</t>
  </si>
  <si>
    <t>21st century skills; new literacies; technology; English language teaching; English as a foreign language</t>
  </si>
  <si>
    <t>MULTILITERACIES</t>
  </si>
  <si>
    <t>The 21st century demands the explicit integration of learning strategies, digital competences and career abilities. Schools in general and EFL classrooms in particular should provide students with practices and processes focused on acquiring and developing, among other things, creativity, critical thinking, collaboration, self-direction, and cross-cultural skills. In this regard, the Partnership for 21st Century Skills (2007) argues for the explicit integration of learning and innovation skills, information, media and digital literacy skills, and life and career skills. Despite its relevance, a basic review of Colombian scholarly publications suggests that little has been done in order to infuse the EFL class with some of these ideas. Consequently, this paper seeks to inform and motivate Colombian EFL teachers to incorporate meaningful and intellectually stimulating alternatives that allow students not just to learn English, but more importantly to understand complex perspectives, use multiple media and technologies, and work creatively with others.</t>
  </si>
  <si>
    <t>[Jose Fandino, Yamith] La Salle Univ, Sch Educ Sci, Bogota, Colombia</t>
  </si>
  <si>
    <t>Universidad de La Salle</t>
  </si>
  <si>
    <t>Fandiño, YJ (corresponding author), La Salle Univ, Sch Educ Sci, Bogota, Colombia.</t>
  </si>
  <si>
    <t>yfandino@unisalle.edu.co</t>
  </si>
  <si>
    <t>FandiÃ±o Parra, Yamith Jose/N-6508-2014; Fandiño Parra, Yamith José/AAA-9047-2021</t>
  </si>
  <si>
    <t>FandiÃ±o Parra, Yamith Jose/0000-0002-5567-5465; Fandiño Parra, Yamith José/0000-0002-5567-5465</t>
  </si>
  <si>
    <t>INST UNIV COLOMBO AMERICANA-UNICA</t>
  </si>
  <si>
    <t>CALLE 19 NO 2A-49 SEGUNDO PISO, BOGOTA, 00000, COLOMBIA</t>
  </si>
  <si>
    <t>1692-5777</t>
  </si>
  <si>
    <t>GIST-EDUC LEARN RES</t>
  </si>
  <si>
    <t>GIST-Educ. Learn. Res. J.</t>
  </si>
  <si>
    <t>V53MD</t>
  </si>
  <si>
    <t>WOS:000210360600012</t>
  </si>
  <si>
    <t>Vasicek, Z; Bidlo, M; Sekanina, L</t>
  </si>
  <si>
    <t>Vasicek, Zdenek; Bidlo, Michal; Sekanina, Lukas</t>
  </si>
  <si>
    <t>Evolution of efficient real-time non-linear image filters for FPGAs</t>
  </si>
  <si>
    <t>SOFT COMPUTING</t>
  </si>
  <si>
    <t>Non-linear image filter; Noise removal; Cartesian genetic programming; Evolutionary design; Digital circuit</t>
  </si>
  <si>
    <t>EVOLVABLE HARDWARE; DESIGN; IMPLEMENTATION</t>
  </si>
  <si>
    <t>Image processing represents a research field in which high-quality solutions have been obtained using various soft computing techniques. Evolutionary algorithms constitute a class of stochastic search methods that are applicable in both optimization and design tasks. In the area of circuit design Cartesian Genetic Programming has often been utilized in combination with an algorithm of Evolutionary Strategy. Digital image filters represent a specific class of circuits whose design can be performed by means of this approach. Switching filters are advanced non-linear filtering techniques in which the main idea is to detect and filter the noise pixels while keeping the uncorrupted pixels unchanged in order to increase the quality of the resulting image. The aim of this article is to present a robust design technique based on Cartesian Genetic Programming for the automatic synthesis of switching image filters intended for real-time processing applications. The robustness of the proposed evolutionary approach is evaluated using four design problems including the removal of salt and pepper noise, random shot noise, impulse burst noise and impulse burst noise combined with random shot noise. An extensive evaluation is performed in order to compare the properties of the evolved switching filters with the best conventional solutions. The evaluation has shown that the evolved switching filters exhibit a very good trade off between the quality of filtering and the implementation cost in field programmable gate arrays.</t>
  </si>
  <si>
    <t>[Vasicek, Zdenek; Bidlo, Michal; Sekanina, Lukas] Brno Univ Technol, Fac Informat Technol, Ctr Excellence IT4Innovat, Brno 61266, Czech Republic</t>
  </si>
  <si>
    <t>Brno University of Technology</t>
  </si>
  <si>
    <t>Sekanina, L (corresponding author), Brno Univ Technol, Fac Informat Technol, Ctr Excellence IT4Innovat, Bozetechova 2, Brno 61266, Czech Republic.</t>
  </si>
  <si>
    <t>vasicek@fit.vutbr.cz; bidlom@fit.vutbr.cz; sekanina@fit.vutbr.cz</t>
  </si>
  <si>
    <t>Sekanina, Lukas/E-8394-2014; Vasicek, Zdenek/A-3655-2016; Bidlo, Michal/GRS-4501-2022</t>
  </si>
  <si>
    <t>Sekanina, Lukas/0000-0002-2693-9011; Vasicek, Zdenek/0000-0002-2279-5217;</t>
  </si>
  <si>
    <t>Czech Science Foundation [GP103/10/1517]; IT4Innovations Centre of Excellence [CZ.1.05/1.1.00/02.0070]</t>
  </si>
  <si>
    <t>Czech Science Foundation(Grant Agency of the Czech Republic); IT4Innovations Centre of Excellence</t>
  </si>
  <si>
    <t>This work was partially supported by the Czech Science Foundation project GP103/10/1517 Natural Computing on Unconventional Platforms and the IT4Innovations Centre of Excellence CZ.1.05/1.1.00/02.0070.</t>
  </si>
  <si>
    <t>1432-7643</t>
  </si>
  <si>
    <t>1433-7479</t>
  </si>
  <si>
    <t>SOFT COMPUT</t>
  </si>
  <si>
    <t>Soft Comput.</t>
  </si>
  <si>
    <t>10.1007/s00500-013-1040-8</t>
  </si>
  <si>
    <t>Computer Science, Artificial Intelligence; Computer Science, Interdisciplinary Applications</t>
  </si>
  <si>
    <t>236TS</t>
  </si>
  <si>
    <t>WOS:000325822900017</t>
  </si>
  <si>
    <t>Mintz, O; Currim, IS; Jeliazkov, I</t>
  </si>
  <si>
    <t>Mintz, Ofer; Currim, Imran S.; Jeliazkov, Ivan</t>
  </si>
  <si>
    <t>Information Processing Pattern and Propensity to Buy: An Investigation of Online Point-of-Purchase Behavior</t>
  </si>
  <si>
    <t>MARKETING SCIENCE</t>
  </si>
  <si>
    <t>information processing; discrete choice; Markov chain Monte Carlo (MCMC); digital strategy</t>
  </si>
  <si>
    <t>CONSUMER CHOICE; PROTOCOL ANALYSIS; CLICKSTREAM DATA; DECISION-MAKING; PRIOR KNOWLEDGE; MODEL; ACQUISITION; LIKELIHOOD; INFERENCE; SEEKING</t>
  </si>
  <si>
    <t>The information processing literature provides a wealth of laboratory evidence on the effects that the choice task and individual characteristics have on the extent to which consumers engage in alternative-based versus attribute-based information processing. Less attention has been paid to studying how the processing pattern at the point of purchase is associated with a consumer's propensity to buy in shopping settings. To understand this relationship, we formulate a discrete choice model and perform formal model comparisons to distinguish among several possible dependence structures. We consider models involving an existing measure of information processing, PATTERN; a latent variable version of this measure; and several new refinements and generalizations. Analysis of a unique data set of 895 shoppers on a popular electronics website supports the latent variable specification and provides validation for several hypotheses and modeling components. We find a positive relationship between alternative-based processing and purchase, as well as a tendency of shoppers in the lower price category to engage in alternative-based processing. The results also support the case for joint modeling and estimation. These findings can be useful for future work in information processing and suggest that likely buyers can be identified while engaged in information processing prior to purchase commitment, an important first step in targeting decisions.</t>
  </si>
  <si>
    <t>[Mintz, Ofer] Louisiana State Univ, EJ Ourso Coll Business, Baton Rouge, LA 70803 USA; [Currim, Imran S.] Univ Calif Irvine, Paul Merage Sch Business, Irvine, CA 92697 USA; [Jeliazkov, Ivan] Univ Calif Irvine, Dept Econ, Irvine, CA 92697 USA</t>
  </si>
  <si>
    <t>Louisiana State University System; Louisiana State University; University of California System; University of California Irvine; University of California System; University of California Irvine</t>
  </si>
  <si>
    <t>Mintz, O (corresponding author), Louisiana State Univ, EJ Ourso Coll Business, Baton Rouge, LA 70803 USA.</t>
  </si>
  <si>
    <t>omintz@lsu.edu; iscurrim@uci.edu; ivan@uci.edu</t>
  </si>
  <si>
    <t>Mintz, Ofer/H-7972-2013; Jeliazkov, Ivan/C-3108-2009</t>
  </si>
  <si>
    <t>Mintz, Ofer/0000-0003-0512-4283; Jeliazkov, Ivan/0000-0002-4924-9910</t>
  </si>
  <si>
    <t>0732-2399</t>
  </si>
  <si>
    <t>MARKET SCI</t>
  </si>
  <si>
    <t>Mark. Sci.</t>
  </si>
  <si>
    <t>10.1287/mksc.2013.0790</t>
  </si>
  <si>
    <t>229ZH</t>
  </si>
  <si>
    <t>WOS:000325305900003</t>
  </si>
  <si>
    <t>Beijer, TR; van Dijk, EJ; de Vries, J; Vermeer, SE; Prokop, M; Meijer, FJA</t>
  </si>
  <si>
    <t>Beijer, Tim R.; van Dijk, Ewoud J.; de Vries, Joost; Vermeer, Sarah E.; Prokop, Mathias; Meijer, Frederick J. A.</t>
  </si>
  <si>
    <t>4D-CT angiography differentiating arteriovenous fistula subtypes</t>
  </si>
  <si>
    <t>CLINICAL NEUROLOGY AND NEUROSURGERY</t>
  </si>
  <si>
    <t>Dural arteriovenous fistula; 4D CTA; Brain; Neurovascular; Neuroimaging</t>
  </si>
  <si>
    <t>CLINICAL PRESENTATION; VENOUS DRAINAGE; CLASSIFICATION; MALFORMATIONS</t>
  </si>
  <si>
    <t>Objective and methods: In the diagnostic work-up of patients suspected of a dural arteriovenous fistula (dAVF), imaging has a key role in order to diagnose the dAVF, assess its bleeding risk and choose optimal treatment strategy. Digital subtraction angiography (DSA) is the gold standard for the most detailed image of a dAVF. Nowadays four-dimensional CT angiography (4D-CTA) could possibly be an additional first-line tool in the work-up of a patient suspected of a dAVF. We describe three cases clinically suspected of a dAVF which had a diagnostic work-up with 4D-CTA as well as DSA. We evaluated the angioarchitecture of the dAVF both on 4D-CTA and DSA, with emphasis on the patterns of venous drainage as this is important in assessing the bleeding risk of a dAVF. Results and conclusion: 4D-CTA identified the dAVF, revealed its angioarchitecture and correctly differentiated different patterns of venous drainage (Borden type I, II and III) as confirmed on DSA. Although DSA has the advantage of higher spatial and temporal resolution, 4D-CTA seems to be a new useful non-invasive tool in the diagnostic work-up of a patient suspected of a dAVF. (C) 2012 Elsevier B.V. All rights reserved.</t>
  </si>
  <si>
    <t>[Beijer, Tim R.; van Dijk, Ewoud J.] Radboud Univ Nijmegen, Med Ctr, Dept Neurol, NL-6500 HB Nijmegen, Netherlands; [de Vries, Joost] Radboud Univ Nijmegen, Med Ctr, Dept Neurosurg, NL-6500 HB Nijmegen, Netherlands; [Vermeer, Sarah E.] Rijnstate Med Ctr, Dept Neurol, Arnhem, Netherlands; [Prokop, Mathias; Meijer, Frederick J. A.] Radboud Univ Nijmegen, Med Ctr, Dept Radiol, NL-6500 HB Nijmegen, Netherlands</t>
  </si>
  <si>
    <t>Radboud University Nijmegen; Radboud University Nijmegen; Rijnstate Hospital; Radboud University Nijmegen</t>
  </si>
  <si>
    <t>Meijer, FJA (corresponding author), Radboud Univ Nijmegen, Med Ctr, Dept Radiol, Postbus 9101, NL-6500 HB Nijmegen, Netherlands.</t>
  </si>
  <si>
    <t>f.meijer@rad.umcn.nl</t>
  </si>
  <si>
    <t>van Dijk, Ewoud J/J-7951-2012; Vries, J./L-4731-2015; Meijer, Frederick J.A./L-4516-2015; Prokop, W. Mathias/H-8081-2014</t>
  </si>
  <si>
    <t>Meijer, Frederick J.A./0000-0001-5921-639X; Prokop, W. Mathias/0000-0001-8157-8055</t>
  </si>
  <si>
    <t>0303-8467</t>
  </si>
  <si>
    <t>CLIN NEUROL NEUROSUR</t>
  </si>
  <si>
    <t>Clin. Neurol. Neurosurg.</t>
  </si>
  <si>
    <t>10.1016/j.clineuro.2012.12.015</t>
  </si>
  <si>
    <t>Clinical Neurology; Surgery</t>
  </si>
  <si>
    <t>Neurosciences &amp; Neurology; Surgery</t>
  </si>
  <si>
    <t>198NJ</t>
  </si>
  <si>
    <t>WOS:000322929300021</t>
  </si>
  <si>
    <t>Reynolds, CJ</t>
  </si>
  <si>
    <t>Reynolds, Carl J.</t>
  </si>
  <si>
    <t>Better value digital health: the medium, the market and the role of openness</t>
  </si>
  <si>
    <t>CLINICAL MEDICINE</t>
  </si>
  <si>
    <t>Digital health services; digital health; digital strategy; open source; open governance</t>
  </si>
  <si>
    <t>The recent NHS 'hack days' have showcased the enthusiasm and talent of the junior doctor body as well as the potential of open source, open governance and small-medium enterprise. There still remains much scope for developing better value digital health services within the NHS. This article sets out the current state of NHS information technology (IT), how it fails to meet the needs of patients and professionals alike and suggests how better value digital health can be achieved.</t>
  </si>
  <si>
    <t>[Reynolds, Carl J.] Open Healthcare UK, London, England</t>
  </si>
  <si>
    <t>Reynolds, CJ (corresponding author), Flat 29 Blackmore House,Copenhagen St, London NI 0SE, England.</t>
  </si>
  <si>
    <t>carl.reynolds@openhealthcare.org.uk</t>
  </si>
  <si>
    <t>Reynolds, Carl/0000-0002-7415-258X</t>
  </si>
  <si>
    <t>National Institute for Health Research [ACF-2013-21-023] Funding Source: researchfish</t>
  </si>
  <si>
    <t>National Institute for Health Research(National Institutes of Health Research (NIHR))</t>
  </si>
  <si>
    <t>ROY COLL PHYS LONDON EDITORIAL OFFICE</t>
  </si>
  <si>
    <t>11 ST ANDREWS PLACE REGENTS PARK, LONDON NW1 4LE, ENGLAND</t>
  </si>
  <si>
    <t>1470-2118</t>
  </si>
  <si>
    <t>1473-4893</t>
  </si>
  <si>
    <t>CLIN MED</t>
  </si>
  <si>
    <t>Clin. Med.</t>
  </si>
  <si>
    <t>10.7861/clinmedicine.13-4-336</t>
  </si>
  <si>
    <t>242OE</t>
  </si>
  <si>
    <t>WOS:000326251100004</t>
  </si>
  <si>
    <t>Goldstein, K; Briggs, M; Oleynik, V; Cullen, M; Jones, J; Newman, E; Narva, A</t>
  </si>
  <si>
    <t>Goldstein, Karen; Briggs, Michael; Oleynik, Veronica; Cullen, Mac; Jones, Jewel; Newman, Eileen; Narva, Andrew</t>
  </si>
  <si>
    <t>Using Digital Media to Promote Kidney Disease Education</t>
  </si>
  <si>
    <t>ADVANCES IN CHRONIC KIDNEY DISEASE</t>
  </si>
  <si>
    <t>Kidney disease; Health education; Internet; Social media; Health-care providers</t>
  </si>
  <si>
    <t>CONVERTING ENZYME-INHIBITORS; NONDIABETIC RENAL-DISEASE; PROGRESSION; METAANALYSIS</t>
  </si>
  <si>
    <t>Health-care providers and patients increasingly turn to the Internet-websites as well as social media platforms-for health-related information and support. Informed by research on audience behaviors and preferences related to digital health information, the National Kidney Disease Education Program (NKDEP) developed a comprehensive and user-friendly digital ecosystem featuring content and platforms relevant for each audience. NKDEP's analysis of website metrics and social media conversation mapping related to CKD revealed gaps and opportunities, informing the development of a digital strategy to position NKDEP as a trustworthy digital source for evidence-based kidney disease information. NKDEP launched a redesigned website (www.nkdep.nih.gov) with enhanced content for multiple audiences as well as a complementary social media presence on Twitter and Facebook serving to drive traffic to the website as well as actively engage target audiences in conversations about kidney disease. The results included improved website metrics and increasing social media engagement among consumers and health-care providers. NKDEP will continue to monitor trends, explore new directions, and work to improve communication across digital platforms. Published by Elsevier Inc. on behalf of the National Kidney Foundation, Inc.</t>
  </si>
  <si>
    <t>[Goldstein, Karen; Briggs, Michael; Oleynik, Veronica; Cullen, Mac; Jones, Jewel; Newman, Eileen; Narva, Andrew] Natl Kidney Dis Educ Program, Bethesda, MD 20892 USA</t>
  </si>
  <si>
    <t>Narva, A (corresponding author), Natl Kidney Dis Educ Program, 2 Democracy Plaza,Room 644,MSC 5458, Bethesda, MD 20892 USA.</t>
  </si>
  <si>
    <t>narvaa@niddk.nih.gov</t>
  </si>
  <si>
    <t>Intramural NIH HHS [Z99 DK999999] Funding Source: Medline</t>
  </si>
  <si>
    <t>Intramural NIH HHS(United States Department of Health &amp; Human ServicesNational Institutes of Health (NIH) - USA)</t>
  </si>
  <si>
    <t>W B SAUNDERS CO-ELSEVIER INC</t>
  </si>
  <si>
    <t>1600 JOHN F KENNEDY BOULEVARD, STE 1800, PHILADELPHIA, PA 19103-2899 USA</t>
  </si>
  <si>
    <t>1548-5595</t>
  </si>
  <si>
    <t>ADV CHRONIC KIDNEY D</t>
  </si>
  <si>
    <t>Adv. Chronic Kidney Dis.</t>
  </si>
  <si>
    <t>10.1053/j.ackd.2013.04.001</t>
  </si>
  <si>
    <t>Urology &amp; Nephrology</t>
  </si>
  <si>
    <t>178RE</t>
  </si>
  <si>
    <t>WOS:000321464300010</t>
  </si>
  <si>
    <t>Thomas, E</t>
  </si>
  <si>
    <t>Thomas, Eleanor</t>
  </si>
  <si>
    <t>The Digital Strategy: a new era in e-book provision at UniSA</t>
  </si>
  <si>
    <t>The University of South Australia Library (UniSA) has long recognized the advantages of e-books. In late 2011, the Library implemented a Digital Strategy that resulted in dramatic changes to the proportion of print and electronic monograph resources being acquired for the Library collection. The building of a new Learning Centre prompted the Digital Strategy and has provided both opportunities and challenges for the Library. This article examines the issues behind the creation of the Strategy and the impacts on academics, librarians, vendors and students.</t>
  </si>
  <si>
    <t>[Thomas, Eleanor] Univ South Australia Lib, Informat Resources &amp; Technol, Mawson Lakes Blvd, Mawson Lakes, SA 5095, Australia</t>
  </si>
  <si>
    <t>University of South Australia</t>
  </si>
  <si>
    <t>Thomas, E (corresponding author), Univ South Australia Lib, Informat Resources &amp; Technol, Mawson Lakes Blvd, Mawson Lakes, SA 5095, Australia.</t>
  </si>
  <si>
    <t>Eleanor.Thomas@unisa.edu.au</t>
  </si>
  <si>
    <t>Thomas, Eleanor/L-6841-2014</t>
  </si>
  <si>
    <t>Thomas, Eleanor/0000-0001-6731-0087</t>
  </si>
  <si>
    <t>6 WINDMILL ST, LONDON, W1T 2JB, ENGLAND</t>
  </si>
  <si>
    <t>10.1629/2048-7754.58</t>
  </si>
  <si>
    <t>VD1XL</t>
  </si>
  <si>
    <t>WOS:000436259300014</t>
  </si>
  <si>
    <t>Bharadwaj, A; El Sawy, OA; Pavlou, PA; Venkatraman, N</t>
  </si>
  <si>
    <t>Bharadwaj, Anandhi; El Sawy, Omar A.; Pavlou, Paul A.; Venkatraman, N.</t>
  </si>
  <si>
    <t>DIGITAL BUSINESS STRATEGY: TOWARD A NEXT GENERATION OF INSIGHTS</t>
  </si>
  <si>
    <t>Digital business strategy; scope of digital business strategy; scale of digital business strategy; speed of digital business strategy; digital business strategy value creation and capture</t>
  </si>
  <si>
    <t>RESOURCE-BASED VIEW; INFORMATION-TECHNOLOGY; COMPETITIVE ADVANTAGE; RELATIONAL VALUE; ALIGNMENT; FIRM; CAPABILITIES; KNOWLEDGE; INTERFIRM; SYSTEMS</t>
  </si>
  <si>
    <t>Over the last three decades, the prevailing view of information technology strategy has been that it is a functional-level strategy that must be aligned with the firm's chosen business strategy. Even within this so-called alignment view, business strategy directed IT strategy. During the last decade, the business infrastructure has become digital with increased interconnections among products, processes, and services. Across many firms spanning different industries and sectors, digital technologies (viewed as combinations of information, computing, communication, and connectivity technologies) are fundamentally transforming business strategies, business processes, firm capabilities, products and services, and key interfirm relationships in extended business networks. Accordingly, we argue that the time is right to rethink the role of IT strategy, from that of a functional-level strategy-aligned but essentially always subordinate to business strategy-to one that reflects a fusion between IT strategy and business strategy. This fusion is herein termed digital business strategy. We identify four key themes to guide our thinking on digital business strategy and help provide a framework to define the next generation of insights. The four themes are (1) the scope of digital business strategy, (2) the scale of digital business strategy, (3) the speed of digital business strategy, and (4) the sources of business value creation and capture in digital business strategy. After elaborating on each of these four themes, we discuss the success metrics and potential performance implications from pursuing a digital business strategy. We also show how the papers in the special issue shed light on digital strategies and offer directions to advance insights and shape future research.</t>
  </si>
  <si>
    <t>[Bharadwaj, Anandhi] Emory Univ, Goizueta Business Sch, Atlanta, GA 30332 USA; [El Sawy, Omar A.] Univ So Calif, Marshall Sch Business, Los Angeles, CA 90089 USA; [Pavlou, Paul A.] Temple Univ, Fox Sch Business, Philadelphia, PA 19122 USA; [Venkatraman, N.] Boston Univ, Sch Management, Boston, MA 02215 USA</t>
  </si>
  <si>
    <t>Emory University; University of Southern California; Pennsylvania Commonwealth System of Higher Education (PCSHE); Temple University; Boston University</t>
  </si>
  <si>
    <t>Bharadwaj, A (corresponding author), Emory Univ, Goizueta Business Sch, Atlanta, GA 30332 USA.</t>
  </si>
  <si>
    <t>abharad@emory.edu; elsawy@marshall.usc.edu; pavlou@temple.edu; venkat@bu.edu</t>
  </si>
  <si>
    <t>Pavlou, Paul A/D-3561-2014; Venkatraman, N. Venkat/AAB-2555-2019; El Sawy, Omar/ABG-7773-2021</t>
  </si>
  <si>
    <t>Bharadwaj, Anandhi/0000-0002-5909-4983</t>
  </si>
  <si>
    <t>10.25300/MISQ/2013/37:2.3</t>
  </si>
  <si>
    <t>290KI</t>
  </si>
  <si>
    <t>WOS:000329754600009</t>
  </si>
  <si>
    <t>Loudini, M; Rezig, S; Hidouci, WK; Salhi, Y</t>
  </si>
  <si>
    <t>Loudini, Malik; Rezig, Sawsen; Hidouci, Walid-Khaled; Salhi, Yahia</t>
  </si>
  <si>
    <t>Design and Application of Intelligent Control Schemes for the Performance Enhancement of a Web Server</t>
  </si>
  <si>
    <t>CONTROL ENGINEERING AND APPLIED INFORMATICS</t>
  </si>
  <si>
    <t>Quality of service; Web server; differentiated service; service delay guarantee; absolute delay (AD); relative delay (RD); difference equation (DE); fuzzy logic controller; tabu search</t>
  </si>
  <si>
    <t>PROPORTIONAL DELAY DIFFERENTIATION; FUZZY-LOGIC; SERVICE DIFFERENTIATION; ADMISSION CONTROL; FEEDBACK-CONTROL; QUALITY; OPTIMIZATION; MANAGEMENT; ALGORITHM; MODEL</t>
  </si>
  <si>
    <t>This paper considers the design problem of efficient feedback control schemes to enhance the quality of service (QoS) of a web server (WS) whose input/output dynamic behavior is modeled by discrete mathematical representations. Discrete models allowing the digital simulation of the WS responses to different scenarios of client requests are adopted. The capabilities to guarantee performing service delays, under dynamic workload variations, are the main investigations of this work. To try to provide prospective solutions, advanced feedback control strategies are proposed. First, a fuzzy logic controller (FLC) is implemented as a regulating solution in a closed-loop control architecture. Then, the tabu search (TS) algorithm (TSA) is used to optimize the PLC parameters with innovative tuning procedures. The TS optimized PLC (TSOFLC) is also implemented and applied to attempt to improve the WS QoS. To demonstrate the effectiveness of the adopted closed-loop intelligent control strategies, digital simulation experiments are carried out and examined.</t>
  </si>
  <si>
    <t>[Loudini, Malik; Rezig, Sawsen; Hidouci, Walid-Khaled; Salhi, Yahia] Ecole Natl Super Informat ESI, LCSI, Algiers 16270, Algeria</t>
  </si>
  <si>
    <t>Ecole Nationale Superieure d'Informatique</t>
  </si>
  <si>
    <t>Loudini, M (corresponding author), Ecole Natl Super Informat ESI, LCSI, BP 68M, Algiers 16270, Algeria.</t>
  </si>
  <si>
    <t>m_loudini@esi.dz; s_rezig@esi.dz; w_hidouci@esi.dz; yah_alg@yahoo.fr</t>
  </si>
  <si>
    <t>ROMANIAN SOC CONTROL TECH INFORMATICS</t>
  </si>
  <si>
    <t>313 SPLAIUL INDEPENDENTEI, BUCHAREST, 060042, ROMANIA</t>
  </si>
  <si>
    <t>1454-8658</t>
  </si>
  <si>
    <t>CONTROL ENG APPL INF</t>
  </si>
  <si>
    <t>Control Eng. Appl. Inform.</t>
  </si>
  <si>
    <t>Automation &amp; Control Systems</t>
  </si>
  <si>
    <t>174KZ</t>
  </si>
  <si>
    <t>WOS:000321155600007</t>
  </si>
  <si>
    <t>Mithas, S; Tafti, A; Mitchell, W</t>
  </si>
  <si>
    <t>Mithas, Sunil; Tafti, Ali; Mitchell, Will</t>
  </si>
  <si>
    <t>HOW A FIRM'S COMPETITIVE ENVIRONMENT AND DIGITAL STRATEGIC POSTURE INFLUENCE DIGITAL BUSINESS STRATEGY</t>
  </si>
  <si>
    <t>Digital business strategy; strategic posture; industry environment; industry turbulence; industry competition; industry growth; IT investments; IT strategy</t>
  </si>
  <si>
    <t>INFORMATION-TECHNOLOGY; MARKET VALUE; INDUSTRY CONCENTRATION; PERFORMANCE; PRODUCTIVITY; CAPABILITIES; MUNIFICENCE; INVESTMENT; ORGANIZATIONS; UNCERTAINTY</t>
  </si>
  <si>
    <t>In this paper, we examine how the competitive industry environment shapes the way that digital strategic posture (defined as a focal firm's degree of engagement in a particular class of digital business practices relative to the industry norm) influences firms' realized digital business strategy. We focus on two forms of digital strategy: general IT investment and IT outsourcing investment. Drawing from prior literature on determinants of IT activity and competitive dynamics, we argue that three elements of the industry environment determine whether digital strategic posture has an increasingly convergent or divergent influence on digital business strategy. By divergent influence, we mean an influence that leads to spending substantially more or less on a particular strategic activity than industry norms. We predict that a digital strategic posture (difference from the industry mean) has an increasingly divergent effect on digital business strategy under higher industry turbulence, while having an increasingly convergent effect on digital business strategy under higher industry concentration and higher industry growth. The study uses archival data for 400 U.S.-based firms from 1999 to 2006. Our findings imply that digital business strategy is not solely a matter of optimizing firm operations internally or of responding to one or two focal competitors, but also arises strikingly from awareness and responsiveness to the digital business competitive environment. Collectively, the findings provide insights on how strategic posture and industry environment influence firms' digital business strategy.</t>
  </si>
  <si>
    <t>[Mithas, Sunil] Univ Maryland, Robert H Smith Sch Business, College Pk, MD 20742 USA; [Tafti, Ali] Univ Illinois, Coll Business, Champaign, IL 61820 USA; [Mitchell, Will] Univ Toronto, Rotman Sch Management, Toronto, ON, Canada; [Mitchell, Will] Duke Univ, Durham, NC 27708 USA</t>
  </si>
  <si>
    <t>University System of Maryland; University of Maryland College Park; University of Illinois System; University of Illinois Urbana-Champaign; University of Toronto; Duke University</t>
  </si>
  <si>
    <t>Mithas, S (corresponding author), Univ Maryland, Robert H Smith Sch Business, Van Munching Hall, College Pk, MD 20742 USA.</t>
  </si>
  <si>
    <t>smithas@rhsmith.umd.edu; atafti@illinois.edu; william.mitchell@rotman.utoronto.ca</t>
  </si>
  <si>
    <t>Mithas, Sunil/0000-0002-2182-6202</t>
  </si>
  <si>
    <t>10.25300/MISQ/2013/37.2.09</t>
  </si>
  <si>
    <t>WOS:000329754600011</t>
  </si>
  <si>
    <t>Blikstad-Balas, M; Hvistendahl, R</t>
  </si>
  <si>
    <t>Blikstad-Balas, Marte; Hvistendahl, Rita</t>
  </si>
  <si>
    <t>Students' Digital Strategies and Shortcuts-Searching for Answers on Wikipedia as a Core Literacy Practice in Upper Secondary School</t>
  </si>
  <si>
    <t>NORDIC JOURNAL OF DIGITAL LITERACY</t>
  </si>
  <si>
    <t>Assessment; Digital literacy; School tasks; Wikipedia</t>
  </si>
  <si>
    <t>INFORMATION; BELIEFS; WEB</t>
  </si>
  <si>
    <t>When the classroom is connected to the Internet, the number of possible sources of information is almost infinite. Nevertheless, students tend to systematically favor the online encyclopedia Wikipedia as a source for knowledge. The present study combines quantitative and qualitative data to investigate the role Wikipedia plays in the literacy practices of students working on school tasks. It also discusses how different tasks lead to different strategies.</t>
  </si>
  <si>
    <t>[Blikstad-Balas, Marte; Hvistendahl, Rita] Univ Oslo, Dept Educ &amp; Sch Res, Fac Educ Sci, Oslo, Norway</t>
  </si>
  <si>
    <t>Blikstad-Balas, M (corresponding author), Univ Oslo, Dept Educ &amp; Sch Res, Fac Educ Sci, Oslo, Norway.</t>
  </si>
  <si>
    <t>marte.blikstad-balas@ils.uio.no; r.e.hvistendahl@ils.uio.no</t>
  </si>
  <si>
    <t>UNIVERSITETSFORLAGET AS</t>
  </si>
  <si>
    <t>OSLO</t>
  </si>
  <si>
    <t>SEHESTEDS GATE 3, PO BOX 508, OSLO, 0105, NORWAY</t>
  </si>
  <si>
    <t>0809-6724</t>
  </si>
  <si>
    <t>1891-943X</t>
  </si>
  <si>
    <t>NORD J DIGIT LIT</t>
  </si>
  <si>
    <t>Nord. J. Digit. Lit.</t>
  </si>
  <si>
    <t>VD1IA</t>
  </si>
  <si>
    <t>WOS:000436010000003</t>
  </si>
  <si>
    <t>Dalton, B; Jocius, R</t>
  </si>
  <si>
    <t>Ortlieb, E; Cheek, EH</t>
  </si>
  <si>
    <t>Dalton, Bridget; Jocius, Robin</t>
  </si>
  <si>
    <t>FROM STRUGGLING READER TO DIGITAL READER AND MULTIMODAL COMPOSER</t>
  </si>
  <si>
    <t>SCHOOL-BASED INTERVENTIONS FOR STRUGGLING READERS, K-8</t>
  </si>
  <si>
    <t>Literacy Research Practice and Evaluation</t>
  </si>
  <si>
    <t>Digital literacies; struggling readers; comprehension; multimodal composition; universal design for learning</t>
  </si>
  <si>
    <t>TECHNOLOGY; VOCABULARY; LITERACY; STUDENTS; ENVIRONMENT; STRATEGIES; ENGLISH</t>
  </si>
  <si>
    <t>Purpose - To introduce classroom teachers to an integrated digital literacies perspective and provide a range of strategies and tools to support struggling readers in becoming successful digital readers and multimodal composers. Design/methodology/approach - The chapter begins with the rationale for integrating technology to support struggling readers' achievement, explains universal design for learning principles, and then offers specific strategies, digital tools, and media for reading and composing. Findings - Provides research support for the use of technology to provide students' access to grade-level text, enhance comprehension, improve writing, and develop multimodal composition skills. Research limitations/implications - The authors do not address all areas of technology and literacy integration. Instead, they focus on key priority areas for using technology to develop struggling readers' literacy. Practical implications - The chapter provides theoretical and research-based strategies and digital resources for using technology to improve struggling readers' comprehension and composition that should be helpful to classroom teachers. Originality/value of chapter - Teachers need support in integrating technology and literacy in ways that will make a meaningful difference for their struggling readers' achievement and engagement.</t>
  </si>
  <si>
    <t>[Dalton, Bridget] Univ Colorado Boulder, Sch Educ, Literacy Studies, Boulder, CO 80309 USA; [Jocius, Robin] Vanderbilt Univ, Peabody Coll Educ, Dept Teaching &amp; Learning, Nashville, TN 37235 USA</t>
  </si>
  <si>
    <t>University of Colorado System; University of Colorado Boulder; Vanderbilt University; Vanderbilt University Peabody College</t>
  </si>
  <si>
    <t>Dalton, B (corresponding author), Univ Colorado Boulder, Sch Educ, Literacy Studies, Boulder, CO 80309 USA.</t>
  </si>
  <si>
    <t>2048-0458</t>
  </si>
  <si>
    <t>978-1-78190-697-2; 978-1-78190-696-5</t>
  </si>
  <si>
    <t>LIT RES PRACT EVAL</t>
  </si>
  <si>
    <t>10.1108/S2048-0458(2013)0000003008</t>
  </si>
  <si>
    <t>10.1108/S2048-0458(2013)3</t>
  </si>
  <si>
    <t>Education &amp; Educational Research; Education, Special</t>
  </si>
  <si>
    <t>BE5JW</t>
  </si>
  <si>
    <t>WOS:000372917200006</t>
  </si>
  <si>
    <t>McCombs, GM</t>
  </si>
  <si>
    <t>McCombs, Gillian M.</t>
  </si>
  <si>
    <t>Using digital strategies to manage print collections more efficiently: a case study</t>
  </si>
  <si>
    <t>LIBRARY MANAGEMENT</t>
  </si>
  <si>
    <t>Digitization; Access; Special collections; Institutional repository; Efficiency; Innovation; Government documents; Entrepreneurial; Metadata; Partnerships</t>
  </si>
  <si>
    <t>Purpose - The purpose of this paper is to document the use of digital strategies in managing print collections more efficiently in a small research institution. Design/methodology/approach - This is a case study which documents a four prong strategy that was used to manage collections as diverse as nineteenth century photographs, early twentieth century regional art, faculty conference papers, church history and student engaged learning initiatives. Findings - It takes several years to build critical mass. Patience, partnerships and creativity are essential. Timing is often crucial. Changing the culture is necessary. A university mandate is required. Originality/value - Sharing best practices is crucial in our profession. Although each institution is unique, we all have things we can learn from each other and tweak or adapt to our own environment. The important lessons here are in breaking down the digital projects into samplers and engaging users, donors and collectors to promote and support the work.</t>
  </si>
  <si>
    <t>[McCombs, Gillian M.] Southern Methodist Univ, Cent Univ Libraries, Dallas, TX 75205 USA</t>
  </si>
  <si>
    <t>Southern Methodist University</t>
  </si>
  <si>
    <t>McCombs, GM (corresponding author), Southern Methodist Univ, Cent Univ Libraries, Dallas, TX 75205 USA.</t>
  </si>
  <si>
    <t>gmccombs@smu.edu</t>
  </si>
  <si>
    <t>0143-5124</t>
  </si>
  <si>
    <t>1758-7921</t>
  </si>
  <si>
    <t>LIBR MANAGE</t>
  </si>
  <si>
    <t>Libr. Manage.</t>
  </si>
  <si>
    <t>4-5</t>
  </si>
  <si>
    <t>10.1108/01435121311328636</t>
  </si>
  <si>
    <t>V94OL</t>
  </si>
  <si>
    <t>WOS:000213138200003</t>
  </si>
  <si>
    <t>Premat, C</t>
  </si>
  <si>
    <t>GilGarcia, JR</t>
  </si>
  <si>
    <t>Premat, Christophe</t>
  </si>
  <si>
    <t>How do French Municipalities Communicate on Citizen Involvement? The Success of Participatory Democracy in France</t>
  </si>
  <si>
    <t>E-GOVERNMENT SUCCESS AROUND THE WORLD: CASES, EMPIRICAL STUDIES, AND PRACTICAL RECOMMENDATIONS</t>
  </si>
  <si>
    <t>E-GOVERNMENT; INTERNET</t>
  </si>
  <si>
    <t>The chapter updates a former study on digital communication at local level in France in 2006. The goal is to analyse the explanatory factors which influence the digital communication of municipalities on participatory democracy. Why are there municipalities which communicate more on these resources than others? It is important to compare the situation of these municipalities in 2006 and in 2012 because there was a power shift after the last municipal election in 2008. The focus will be on municipalities of more than 30.000 inhabitants as they have the possible resources to support a digital strategy. A quantitative method was used to select the variables which affect the communication on participatory tools. In other words, the article deals with the way politicians promote citizen engagement at local level through updated websites.</t>
  </si>
  <si>
    <t>[Premat, Christophe] Sci Po Bordeaux, Ctr Emile Durkheim, Bordeaux, France; [Premat, Christophe] Inst Francais Sweden, Stockholm, Sweden</t>
  </si>
  <si>
    <t>Centre National de la Recherche Scientifique (CNRS)</t>
  </si>
  <si>
    <t>Premat, C (corresponding author), Sci Po Bordeaux, Ctr Emile Durkheim, Bordeaux, France.</t>
  </si>
  <si>
    <t>Premat, Christophe/I-2355-2018</t>
  </si>
  <si>
    <t>Premat, Christophe/0000-0001-6107-735X</t>
  </si>
  <si>
    <t>978-1-4666-4174-7; 978-1-4666-4173-0</t>
  </si>
  <si>
    <t>10.4018/978-1-4666-4173-0.ch016</t>
  </si>
  <si>
    <t>10.4018/978-1-4666-4173-0</t>
  </si>
  <si>
    <t>Computer Science, Interdisciplinary Applications; Public Administration</t>
  </si>
  <si>
    <t>Computer Science; Public Administration</t>
  </si>
  <si>
    <t>BH2BS</t>
  </si>
  <si>
    <t>WOS:000398771300018</t>
  </si>
  <si>
    <t>Tsai, ZR</t>
  </si>
  <si>
    <t>Tsai, Zhi-Ren</t>
  </si>
  <si>
    <t>Neural-Fuzzy Digital Strategy of Continuous-Time Nonlinear Systems Using Adaptive Prediction and Random-Local-Optimization Design</t>
  </si>
  <si>
    <t>OUTPUT-FEEDBACK CONTROL; H-INFINITY CONTROL; DYNAMIC-SYSTEMS; STABILITY; DELAYS; STABILIZATION</t>
  </si>
  <si>
    <t>A tracking problem, time-delay, uncertainty and stability analysis of a predictive control system are considered. The predictive control design is based on the input and output of neural plant model (NPM), and a recursive fuzzy predictive tracker has scaling factors which limit the value zone of measured data and cause the tuned parameters to converge to obtain a robust control performance. To improve the further control performance, the proposed random-local-optimization design (RLO) for a model/controller uses offline initialization to obtain a near global optimal model/ controller. Other issues are the considerations of modeling error, input-delay, sampling distortion, cost, greater flexibility, and highly reliable digital products of the model-based controller for the continuous-time (CT) nonlinear system. They are solved by a recommended two-stage control design with the first-stage (offline) RLO and second-stage (online) adaptive steps. A theorizing method is then put forward to replace the sensitivity calculation, which reduces the calculation of Jacobin matrices of the back-propagation (BP) method. Finally, the feedforward input of reference signals helps the digital fuzzy controller improve the control performance, and the technique works to control the CT systems precisely.</t>
  </si>
  <si>
    <t>Asia Univ, Dept Comp Sci &amp; Informat Engn, Taichung 41354, Taiwan</t>
  </si>
  <si>
    <t>Asia University Taiwan</t>
  </si>
  <si>
    <t>Tsai, ZR (corresponding author), Asia Univ, Dept Comp Sci &amp; Informat Engn, Taichung 41354, Taiwan.</t>
  </si>
  <si>
    <t>ren@asia.edu.tw</t>
  </si>
  <si>
    <t>National Science Council; Asia University [NSC-97-2218-E-468-009, NSC-98-2221-E-468-022, NSC-99-2628-E-468-023, NSC-100-2628-E-468-001, NSC-101-2221-E-468-024, 98-ASIA-02, 100-asia-35, 101-asia-29]</t>
  </si>
  <si>
    <t>National Science Council(Ministry of Science and Technology, Taiwan); Asia University</t>
  </si>
  <si>
    <t>The author would like to thank the National Science Council and Asia University for the support under Contracts nos. NSC-97-2218-E-468-009, NSC-98-2221-E-468-022, NSC-99-2628-E-468-023, NSC-100-2628-E-468-001, NSC-101-2221-E-468-024, 98-ASIA-02, 100-asia-35, and 101-asia-29.</t>
  </si>
  <si>
    <t>10.1155/2013/836414</t>
  </si>
  <si>
    <t>141XW</t>
  </si>
  <si>
    <t>WOS:000318760900001</t>
  </si>
  <si>
    <t>Attwooll, D</t>
  </si>
  <si>
    <t>Attwooll, David</t>
  </si>
  <si>
    <t>Moth or Spider? Weaving a digital strategy</t>
  </si>
  <si>
    <t>david@attwoollassociates.com</t>
  </si>
  <si>
    <t>10.1163/095796512X640367</t>
  </si>
  <si>
    <t>V2S7Q</t>
  </si>
  <si>
    <t>WOS:000217877300003</t>
  </si>
  <si>
    <t>de Kervenoael, R; Palmer, M; Cakici, NM</t>
  </si>
  <si>
    <t>de Kervenoael, Ronan; Palmer, Mark; Cakici, N. Meltem</t>
  </si>
  <si>
    <t>Exploring Civil Servant Resistance to M-Government: A Story of Transition and Opportunities in Turkey</t>
  </si>
  <si>
    <t>DIGITAL DEMOCRACY: CONCEPTS, METHODOLOGIES, TOOLS, AND APPLICATIONS, VOL 1</t>
  </si>
  <si>
    <t>ANTI-CONSUMPTION; IRON CAGE; PHONE; INNOVATION; KNOWLEDGE; STRATEGY; ADOPTION; FORMS</t>
  </si>
  <si>
    <t>The concept of mobility, related to technology in particular, has evolved dramatically over the last two decades including: (i) hardware ranging from walkmans to Ipods, laptops to netbooks, PDAs to 3G mobile phone; (ii) software supporting multiple audio and video formats driven by ubiquitous mobile wireless access, WiMax, automations such as radio frequency ID tracking and location aware services. Against the background of increasing budget deficit, along with the imperative for efficiency gains, leveraging ICT and mobility promises for work related tasks, in a public administration context, in emerging markets, point to multiple possible paths. M-government transition involve both technological changes and adoption to deliver government services differently (e.g. 24/7, error free, anywhere to the same standards) but also the design of digital strategies including possibly competing m-government models, the re-shaping of cultural practices, the creation of m-policies and legislations, the structuring of m-services architecture, and progress regarding m-governance. While many emerging countries are already offering e-government services and are gearing-up for further m-government activities, little is actually known about the resistance that is encountered, as a reflection of civil servants' current standing, before any further macro-strategies are deployed. Drawing on the resistance and mobility literature, this chapter investigates how civil servants' behaviors, in an emerging country technological environment, through their everyday practice, react and resist the influence of m-government transition. The findings points to four main type of resistance namely: i) functional resistance; ii) ideological resistance; iii) market driven resistance and iv) geographical resistance. Policy implication are discussed in the specific context of emerging markets.</t>
  </si>
  <si>
    <t>[de Kervenoael, Ronan] Sabanci Univ, Istanbul, Turkey; [de Kervenoael, Ronan; Palmer, Mark] Aston Univ, Birmingham, W Midlands, England; [Cakici, N. Meltem] Gediz Univ, Izmir, Turkey</t>
  </si>
  <si>
    <t>Sabanci University; Aston University; Gediz University</t>
  </si>
  <si>
    <t>de Kervenoael, R (corresponding author), Sabanci Univ, Istanbul, Turkey.</t>
  </si>
  <si>
    <t>Cakici, Meltem/N-8094-2016; De Kervenoael, Ronan/H-7009-2019</t>
  </si>
  <si>
    <t>Cakici, Meltem/0000-0003-2009-0309;</t>
  </si>
  <si>
    <t>978-1-4666-1741-4; 978-1-4666-1740-7</t>
  </si>
  <si>
    <t>10.4018/978-1-4666-1740-7.ch077</t>
  </si>
  <si>
    <t>10.4018/978-1-4666-1740-7</t>
  </si>
  <si>
    <t>Computer Science, Information Systems; Computer Science, Interdisciplinary Applications; Information Science &amp; Library Science</t>
  </si>
  <si>
    <t>BJ8FW</t>
  </si>
  <si>
    <t>WOS:000428175800079</t>
  </si>
  <si>
    <t>Hall, F</t>
  </si>
  <si>
    <t>Hall, Frania</t>
  </si>
  <si>
    <t>Teaching Change How publishing students can develop expertise to cope with digital challenges</t>
  </si>
  <si>
    <t>publishing; book industry; change; digital; simulation; teaching; strategy; skills</t>
  </si>
  <si>
    <t>This paper explores the ways to equip students of publishing with the skills necessary to enter an industry facing unprecedented change. Digital strategies and business models are evolving rapidly within the book industry. Publishers need to recruit for the digital environment and can find it difficult to identify employees with the sort of skills they need. A short study was undertaken to explore the importance of teaching publishers in training about the skills required to design effective digital strategies in an environment that is always changing. Developing a simulation approach in this case allowed students to experience decision making, problem solving, and creative thinking, enabling them to be ready to adapt as the industry moves forward, and preparing them to be the publishers of the future.</t>
  </si>
  <si>
    <t>[Hall, Frania] Univ Arts London, London Coll Commun, London, England</t>
  </si>
  <si>
    <t>Hall, F (corresponding author), Univ Arts London, London Coll Commun, London, England.</t>
  </si>
  <si>
    <t>f.hall@lcc.arts.ac.uk</t>
  </si>
  <si>
    <t>10.1163/1878-4712-11111123</t>
  </si>
  <si>
    <t>V2S8J</t>
  </si>
  <si>
    <t>WOS:000217879200006</t>
  </si>
  <si>
    <t>Kohli, R; Johnson, S</t>
  </si>
  <si>
    <t>Kohli, Rajiv; Johnson, Shawn</t>
  </si>
  <si>
    <t>DIGITAL TRANSFORMATION IN LATECOMER INDUSTRIES: CIO AND CEO LEADERSHIP LESSONS FROM ENCANA OIL &amp; GAS (USA) INC.</t>
  </si>
  <si>
    <t>Unlike digitally savvy banking and retail industries, oil and natural gas businesses are latecomers to digitization. With large capital investments in complex industrial operations, firms in latecomer industries are seeking ways to cut costs and become responsive to market demands. Executives in oil and natural gas companies are facing unprecedented pressure to cut costs due to market turbulence and need advice on how to undertake digitization; organizational changes needed; who should lead the digitization effort; and the role of the chief information officer (CIO) in executing a digital strategy. We address these issues by drawing on the experience of Encana Oil &amp; Gas (USA) Inc. High fixed costs and declining gas prices required Encana to synchronize production with volatile demand for natural gas. To gain supply chain visibility, Encana's CIO and business leaders jointly targeted operational processes to embed digital technologies to capture, integrate and deliver information, established new Information Systems (IS) governance policies and redesigned the IS organizational structure. Together, these actions strengthened Encana's agility to respond to price and demand volatility. In doing so, Encana has become a frontrunner in a latecomer industry.</t>
  </si>
  <si>
    <t>[Kohli, Rajiv] Coll William &amp; Mary, Williamsburg, VA 23187 USA</t>
  </si>
  <si>
    <t>William &amp; Mary</t>
  </si>
  <si>
    <t>Kohli, R (corresponding author), Coll William &amp; Mary, Williamsburg, VA 23187 USA.</t>
  </si>
  <si>
    <t>rajiv.kohli@mason.wm.edu; shawn.johnson@encana.com</t>
  </si>
  <si>
    <t>863LN</t>
  </si>
  <si>
    <t>WOS:000298165600001</t>
  </si>
  <si>
    <t>Pitieiro-Oterol, T</t>
  </si>
  <si>
    <t>Pitieiro-Oterol, Teresa</t>
  </si>
  <si>
    <t>NEW LEARNING STRATEGISTS. DIGITAL SKILLS POWERED BY OWN-LEARNING</t>
  </si>
  <si>
    <t>Digital competitions; European space for higher education Autonomous; learning; Web 2.0; Viral Strategy</t>
  </si>
  <si>
    <t>IT penetration in society has developed new communication and information distribution forms. It has generated important changes in several day by day aspects like social interactions or learning. Particularly important has been the incorporation of web 2.0 tools in High Education methodologies. An incorporation that has allowed answering new demands to Network Society. The educational use of Web 2.0 favours digital competences development. These competences presents a particular dimension in High Education context, involved in European convergence process. Present work focus on the development of a viral communication initiative carried out in Audiovisual Advertising subject. An initiative based in web 2.0 possibilities and digital natives skills for developing and autonomous learning.</t>
  </si>
  <si>
    <t>[Pitieiro-Oterol, Teresa] Univ A Coruna, La Coruna, Spain</t>
  </si>
  <si>
    <t>Pitieiro-Oterol, T (corresponding author), Univ A Coruna, La Coruna, Spain.</t>
  </si>
  <si>
    <t>teresa.pineiro@udc.es</t>
  </si>
  <si>
    <t>10.15178/va.2011.117E.327-336</t>
  </si>
  <si>
    <t>V30EJ</t>
  </si>
  <si>
    <t>WOS:000215545600021</t>
  </si>
  <si>
    <t>Piskorski, MJ</t>
  </si>
  <si>
    <t>Piskorski, Mikolaj Jan</t>
  </si>
  <si>
    <t>Social Strategies That Work</t>
  </si>
  <si>
    <t>Although most companies have collected lots of friends and followers on social platforms such as Facebook, few have succeeded in generating profits there. That's because they merely port their digital strategies into social environments by broadcasting their commercial messages or seeking customer feedback. To succeed on social platforms, says Harvard Business School's Piskorski, businesses need to devise social strategies that are consistent with users' expectations and behavior in these venues namely, people want to connect with other people, not with companies. The author defines successful social strategies as those that reduce costs or increase customers' willingness to pay by helping people establish or strengthen relationships through doing free work on a company's behalf. Citing successes at Zynga, eBay, American Express, and Yelp, Piskorski shows that social strategies can generate profits by helping people connect in exchange for tasks that benefit the company such as customer acquisition, marketing, and content creation. He lays out a systematic way to build a social strategy and shows how a major credit card company he advised used the method to roll out its own strategy.</t>
  </si>
  <si>
    <t>Harvard Univ, Sch Business, Strategy Unit, Cambridge, MA 02138 USA</t>
  </si>
  <si>
    <t>Harvard University</t>
  </si>
  <si>
    <t>Piskorski, MJ (corresponding author), Harvard Univ, Sch Business, Strategy Unit, Cambridge, MA 02138 USA.</t>
  </si>
  <si>
    <t>Bernard, Jean-Luc/0009-0001-4768-7108</t>
  </si>
  <si>
    <t>838OT</t>
  </si>
  <si>
    <t>WOS:000296302800031</t>
  </si>
  <si>
    <t>Okada, SI</t>
  </si>
  <si>
    <t>Okada, Sionara Ioco</t>
  </si>
  <si>
    <t>WEB ANALYTICS: MODELS OF ENGAGEMENT METRICS IN NEW MEDIA</t>
  </si>
  <si>
    <t>REVISTA BRASILEIRA DE MARKETING</t>
  </si>
  <si>
    <t>Web analytics; Metrics; Digital strategies</t>
  </si>
  <si>
    <t>The measurement and continuous monitoring of market actions lead to knowledge of consumer behavior, not only on variables such as frequency, recency and value for money, but also engagement in questions and interaction with the product and / or trademark. The development of metrics for different media increases the amount of useful information on the consumption profile enabling the optimization of digital strategies to targeted audiences. This article is an update that aims to review the latest publications on models of metrics - web analytics- WA Consistent digital strategy and emerging media platforms. Regarding the methodology used, it is a secondary research, especially literature aiming to update and comparative analysis of three models web analytics- wa for organizations that operate in electronic retailing, using different digital channels. The study focuses on: i) Model of Five Stages of competition analysis, proposed by Davenport ii) Model maturity in web analytics, proposed by Hammel iii) Model Web analyticsScorecard proposed by Giuntini &amp; Morier. The expansion of M-commerce and the advent of Social Commerce assumed as irreversible trends, requiring organizations that operate in electronic retailing, metrics and performance indicators for continuous monitoring of consumer behavior in order to strengthen the interaction and metrics engagement as the main protagonists of contemporary digital strategies.</t>
  </si>
  <si>
    <t>[Okada, Sionara Ioco] Univ Fed Goias, Agronegocio, Goiania, Go, Brazil; [Okada, Sionara Ioco] Univ Fed Goias, Goiania, Go, Brazil</t>
  </si>
  <si>
    <t>Universidade Federal de Goias; Universidade Federal de Goias</t>
  </si>
  <si>
    <t>Okada, SI (corresponding author), Univ Fed Goias, Agronegocio, Goiania, Go, Brazil.</t>
  </si>
  <si>
    <t>sionara14@hotmail.com</t>
  </si>
  <si>
    <t>UNIV NOVE JULHO</t>
  </si>
  <si>
    <t>AV FRANCISCO MATARAZZO 612, AGUA BRANCA, SAO PAULO, C05001-100, BRAZIL</t>
  </si>
  <si>
    <t>2177-5184</t>
  </si>
  <si>
    <t>REV BRASIL MARK</t>
  </si>
  <si>
    <t>Rev. Brasil. Mark.</t>
  </si>
  <si>
    <t>V5P9A</t>
  </si>
  <si>
    <t>WOS:000219830900007</t>
  </si>
  <si>
    <t>Stiakakis, E; Georgiadis, CK</t>
  </si>
  <si>
    <t>Stiakakis, Emmanouil; Georgiadis, Christos K.</t>
  </si>
  <si>
    <t>Drivers of a tourism e-business strategy: the impact of information and communication technologies</t>
  </si>
  <si>
    <t>OPERATIONAL RESEARCH</t>
  </si>
  <si>
    <t>E-tourism; E-business technology; Digital strategy; ICT; Dynamic packaging</t>
  </si>
  <si>
    <t>The possible interactions among tourism organizations, their customers and other organizations are considered in this article. Based on these interactions, three drivers of an integrated e-business strategy in the tourism sector are suggested: (1) customizing tourist products, personalizing services and supporting mobile services, (2) sharing tourism information and operational data, and (3) offering tailor made products and supporting user-generated content. In order to emphasize our suggestions, the most representative figures derived from recent surveys conducted by the Sectoral e-Business W@tch are selected and analyzed. These figures are: (a) the use of customer relationship management applications in tourism and the importance of mobile services for different sectors of the economy including tourism, for the first driver, (b) the use of supply chain management systems, online purchasing and finally the use of broadband Internet as a complementary indicator, for the second driver, and (c) the use of ICT-enabled product and process innovations and dynamic packaging, for the third driver. The clear positive tendencies of these figures indicate the rising importance of our suggested directions as basic drivers of a tourism e-business strategy.</t>
  </si>
  <si>
    <t>[Stiakakis, Emmanouil; Georgiadis, Christos K.] Univ Macedonia, Dept Appl Informat, Thessaloniki 54006, Greece</t>
  </si>
  <si>
    <t>University of Macedonia</t>
  </si>
  <si>
    <t>Georgiadis, CK (corresponding author), Univ Macedonia, Dept Appl Informat, 156 Egnatia Str, Thessaloniki 54006, Greece.</t>
  </si>
  <si>
    <t>geor@uom.gr; stiakakis@uom.gr</t>
  </si>
  <si>
    <t>GEORGIADIS, CHRISTOS Κ./AAM-7076-2021</t>
  </si>
  <si>
    <t>GEORGIADIS, CHRISTOS Κ./0000-0003-0897-9009</t>
  </si>
  <si>
    <t>1109-2858</t>
  </si>
  <si>
    <t>1866-1505</t>
  </si>
  <si>
    <t>OPER RES-GER</t>
  </si>
  <si>
    <t>Oper. Res.</t>
  </si>
  <si>
    <t>10.1007/s12351-009-0046-6</t>
  </si>
  <si>
    <t>V31HG</t>
  </si>
  <si>
    <t>WOS:000208874100003</t>
  </si>
  <si>
    <t>Morales-Caporal, R; Pacas, M</t>
  </si>
  <si>
    <t>Morales-Caporal, Roberto; Pacas, Mario</t>
  </si>
  <si>
    <t>Suppression of Saturation Effects in a Sensorless Predictive Controlled Synchronous Reluctance Machine Based on Voltage Space Phasor Injections</t>
  </si>
  <si>
    <t>IEEE TRANSACTIONS ON INDUSTRIAL ELECTRONICS</t>
  </si>
  <si>
    <t>Cross saturation; predictive control; sensorless control; synchronous reluctance machine (SynRM); torque control</t>
  </si>
  <si>
    <t>INDUCTION-MOTORS; TORQUE CONTROL; VERY-LOW; ZERO; FREQUENCY</t>
  </si>
  <si>
    <t>This paper presents a digital strategy to suppress magnetic-and cross-saturation effects in a sensorless predictive direct-torque-controlled synchronous reluctance machine (SynRM). In SynRMs, the angular position of the rotor can be estimated by using inductance variations due to geometrical effects of the rotor. However, magnetic-and cross-saturation effects lead to large errors on the estimated angular position, particularly when the magnetization level and torque load change. This error deteriorates the performance of the electrical drive when the estimated position of the rotor is used instead of the measured one in a sensorless control scheme. In this paper, it is shown how saturation effects can be readily alleviated by using a digitally implemented quadrature phase-locked loop observer, together with linear regression, so that easy digital implementation, stable operation, and null parametric dependence can be achieved. The experimental results at very low and zero speeds verify the effectiveness of the proposed sensorless control scheme.</t>
  </si>
  <si>
    <t>[Morales-Caporal, Roberto] Technol Inst Apizaco, Postgrad Studies &amp; Res Div, Apizaco 90300, Mexico; [Pacas, Mario] Univ Siegen, Inst Power Elect &amp; Elect Drives, D-57068 Siegen, Germany</t>
  </si>
  <si>
    <t>Universitat Siegen</t>
  </si>
  <si>
    <t>Morales-Caporal, R (corresponding author), Technol Inst Apizaco, Postgrad Studies &amp; Res Div, Apizaco 90300, Mexico.</t>
  </si>
  <si>
    <t>rmcaporal@ieee.org; jmpacas@ieee.org</t>
  </si>
  <si>
    <t>Morales Caporal, Roberto/AGJ-8245-2022</t>
  </si>
  <si>
    <t>Morales-Caporal, Roberto/0000-0002-6115-0454</t>
  </si>
  <si>
    <t>PROMEP [ITAPI-PTC-002]</t>
  </si>
  <si>
    <t>PROMEP</t>
  </si>
  <si>
    <t>Manuscript received February 11, 2010; revised June 3, 2010; accepted August 4, 2010. Date of publication September 27, 2010; date of current version June 15, 2011. This work was supported by the PROMEP under Grant ITAPI-PTC-002.</t>
  </si>
  <si>
    <t>0278-0046</t>
  </si>
  <si>
    <t>1557-9948</t>
  </si>
  <si>
    <t>IEEE T IND ELECTRON</t>
  </si>
  <si>
    <t>IEEE Trans. Ind. Electron.</t>
  </si>
  <si>
    <t>10.1109/TIE.2010.2080652</t>
  </si>
  <si>
    <t>Automation &amp; Control Systems; Engineering, Electrical &amp; Electronic; Instruments &amp; Instrumentation</t>
  </si>
  <si>
    <t>Automation &amp; Control Systems; Engineering; Instruments &amp; Instrumentation</t>
  </si>
  <si>
    <t>806SU</t>
  </si>
  <si>
    <t>WOS:000293832600026</t>
  </si>
  <si>
    <t>Flew, T</t>
  </si>
  <si>
    <t>Flew, Terry</t>
  </si>
  <si>
    <t>Rethinking Public Service Media and Citizenship: Digital Strategies for News and Current Affairs at Australia's Special Broadcasting Service</t>
  </si>
  <si>
    <t>This article considers the concept of media citizenship in relation to the digital strategies of the Special Broadcasting Service (SBS). At SBS, Australia's multicultural public broadcaster, there is a critical appraisal of its strategies to harness user-created content (UCC) and social media to promote greater audience participation through its news and current affairs Web sites. The article looks at the opportunities and challenges that user-created content presents for public service media organizations as they consolidate multiplatform service delivery. Also analyzed are the implications of radio and television broadcasters' moves to develop online services. It is proposed that case study methodologies enable an understanding of media citizenship to be developed that maintains a focus on the interaction between delivery technologies, organizational structures and cultures, and program content that is essential for understanding the changing focus of 21st-century public service media.</t>
  </si>
  <si>
    <t>Queensland Univ Technol, Brisbane, Qld 4001, Australia</t>
  </si>
  <si>
    <t>Flew, T (corresponding author), Queensland Univ Technol, Brisbane, Qld 4001, Australia.</t>
  </si>
  <si>
    <t>t.flew@qut.edu.au</t>
  </si>
  <si>
    <t>Flew, Terry/I-9738-2012</t>
  </si>
  <si>
    <t>Flew, Terry/0000-0003-4485-9338</t>
  </si>
  <si>
    <t>877ZN</t>
  </si>
  <si>
    <t>WOS:000299221300019</t>
  </si>
  <si>
    <t>Yoo, YJ; Henfridsson, O; Lyytinen, K</t>
  </si>
  <si>
    <t>Yoo, Youngjin; Henfridsson, Ola; Lyytinen, Kalle</t>
  </si>
  <si>
    <t>The New Organizing Logic of Digital Innovation: An Agenda for Information Systems Research</t>
  </si>
  <si>
    <t>digitization; digital innovation; product architecture; layered modular architecture; organizing logic; doubly distributed networks</t>
  </si>
  <si>
    <t>TECHNOLOGY; ARCHITECTURE; EVOLUTION; INTERNET; CALL; FIRM</t>
  </si>
  <si>
    <t>In this essay, we argue that pervasive digitization gives birth to a new type of product architecture: the layered modular architecture. The layered modular architecture extends the modular architecture of physical products by incorporating four loosely coupled layers of devices, networks, services, and contents created by digital technology. We posit that this new architecture instigates profound changes in the ways that firms organize for innovation in the future. We develop (1) a conceptual framework to describe the emerging organizing logic of digital innovation and (2) an information systems research agenda for digital strategy and the creation and management of corporate information technology infrastructures.</t>
  </si>
  <si>
    <t>[Yoo, Youngjin] Temple Univ, Ctr Design &amp; Innovat, Philadelphia, PA 19122 USA; [Henfridsson, Ola] Viktoria Inst Horselgangen 4, S-41756 Gothenburg, Sweden; [Henfridsson, Ola] Univ Oslo, Dept Informat, N-0316 Oslo, Norway; [Lyytinen, Kalle] Case Western Reserve Univ, Dept Informat Syst, Cleveland, OH 44106 USA</t>
  </si>
  <si>
    <t>Pennsylvania Commonwealth System of Higher Education (PCSHE); Temple University; University of Oslo; Case Western Reserve University</t>
  </si>
  <si>
    <t>Yoo, YJ (corresponding author), Temple Univ, Ctr Design &amp; Innovat, Philadelphia, PA 19122 USA.</t>
  </si>
  <si>
    <t>yxy23yoo@gmail.com; ola.henfridsson@viktoria.se; kjl13@case.edu</t>
  </si>
  <si>
    <t>Yoo, Youngjin/ABI-7778-2020; Lyytinen, Kalle/O-8202-2017</t>
  </si>
  <si>
    <t>Yoo, Youngjin/0000-0001-8548-3475; Lyytinen, Kalle/0000-0002-3352-5343; Henfridsson, Ola/0000-0003-1605-5180</t>
  </si>
  <si>
    <t>Direct For Computer &amp; Info Scie &amp; Enginr; Office of Advanced Cyberinfrastructure (OAC) [0943157, 0943010] Funding Source: National Science Foundation</t>
  </si>
  <si>
    <t>Direct For Computer &amp; Info Scie &amp; Enginr; Office of Advanced Cyberinfrastructure (OAC)(National Science Foundation (NSF)NSF - Directorate for Computer &amp; Information Science &amp; Engineering (CISE))</t>
  </si>
  <si>
    <t>HANOVER</t>
  </si>
  <si>
    <t>7240 PARKWAY DR, STE 310, HANOVER, MD 21076-1344 USA</t>
  </si>
  <si>
    <t>10.1287/isre.1100.0322</t>
  </si>
  <si>
    <t>695OZ</t>
  </si>
  <si>
    <t>WOS:000285383200006</t>
  </si>
  <si>
    <t>Greco, AN; Wharton, RM</t>
  </si>
  <si>
    <t>Greco, Albert N.; Wharton, Robert M.</t>
  </si>
  <si>
    <t>The Market Demand for University Press Books 2008-15</t>
  </si>
  <si>
    <t>JOURNAL OF SCHOLARLY PUBLISHING</t>
  </si>
  <si>
    <t>innovative business models for scholarly publishing; university presses; e-book electronic publishing; scholarly communication; marketing strategies</t>
  </si>
  <si>
    <t>This article analyzes important US university press net publishers' revenue and net publishers' unit datasets and.e-book revenues for 2008-9. Data for net publishers' revenues, net publishers' units, and digital e-book revenues for higher education textbooks, professional and scholarly books, and consumer e-books were also evaluated covering the years 2008-9. Drawing on important economic data projections and the publicly available competitive print and digital strategies crafted by competitors in the consumer, higher education, and professional and scholarly sectors, the authors develop net publishers' revenue and unit projections for all of these book categories for 2010-15. The university press data sets reveal unsettling declines in revenues and units for 2008-2015. Addressing these declines, the authors conclude with a brief series of recommendations, including the rapid adoption of a digital 'e-book' business model in order to reposition the presses in what is becoming a digital book marketplace.</t>
  </si>
  <si>
    <t>[Greco, Albert N.; Wharton, Robert M.] Fordham Univ, Sch Business, Management Syst Area, Bronx, NY 10458 USA</t>
  </si>
  <si>
    <t>Fordham University</t>
  </si>
  <si>
    <t>Greco, AN (corresponding author), Fordham Univ, Sch Business, Management Syst Area, Bronx, NY 10458 USA.</t>
  </si>
  <si>
    <t>1198-9742</t>
  </si>
  <si>
    <t>1710-1166</t>
  </si>
  <si>
    <t>J SCHOLARLY PUBL</t>
  </si>
  <si>
    <t>J. Sch. Publ.</t>
  </si>
  <si>
    <t>10.3138/jsp.42.1.1</t>
  </si>
  <si>
    <t>Humanities, Multidisciplinary; Information Science &amp; Library Science</t>
  </si>
  <si>
    <t>Arts &amp; Humanities - Other Topics; Information Science &amp; Library Science</t>
  </si>
  <si>
    <t>673DX</t>
  </si>
  <si>
    <t>WOS:000283640400001</t>
  </si>
  <si>
    <t>Mussinelli, C</t>
  </si>
  <si>
    <t>Mussinelli, Cristina</t>
  </si>
  <si>
    <t>Digital Publishing in Europe: a Focus on France, Germany, Italy and Spain</t>
  </si>
  <si>
    <t>Bookrepublic; Digital content; Digital printing; Digital publishing; eBook; Edigita; Editech; ePublishing; eReaders; Gallimard; Japan; iPad; iPhones; Libranda; Libreka; Planeta; Random House; Santillana; Smartphone; Trade book publisher; Spain; Europe; Italy; France; Germany</t>
  </si>
  <si>
    <t>In this article we will provide a general overview of the situation of the digital publishing in Europe starting from the insights provided by the Editech conference, the international day of advanced study organized by the Italian Publishers Association and focused on the trends, perspectives and applications of technological innovation in publishing at an international level. It is the main Italian event dedicated to book publishing with the aim of helping publishers define their short- and medium-term digital strategies, while being aware of the opportunities and risks involved in the conversion to digital of their business model. The Editech 2010 main focus had been: the market and the national and international situation of digital publishing, the new buying and reading behaviors of consumers, e-books and content for e-readers and mobile devices, new production processes (XML, ePub, digital printing) and the distribution scenario and the diffusion of digital content.</t>
  </si>
  <si>
    <t>Mussinelli, C (corresponding author), Piazza Pietro Gobetti 10, I-20131 Milan, Italy.</t>
  </si>
  <si>
    <t>c.mussinelli@360publishing.it</t>
  </si>
  <si>
    <t>10.1007/s12109-010-9172-5</t>
  </si>
  <si>
    <t>VG7OD</t>
  </si>
  <si>
    <t>WOS:000448336500002</t>
  </si>
  <si>
    <t>Phelps, LW; Ackerman, JM</t>
  </si>
  <si>
    <t>Phelps, Louise Wetherbee; Ackerman, John M.</t>
  </si>
  <si>
    <t>Making the Case for Disciplinarity in Rhetoric, Composition, and Writing Studies: The Visibility Project</t>
  </si>
  <si>
    <t>COLLEGE COMPOSITION AND COMMUNICATION</t>
  </si>
  <si>
    <t>In the Visibility Project, professional organizations have worked to gain recognition for the disciplinarity of writing and rhetoric studies through representation of the field in the information codes and databases of higher education. We report success in two important cases: recognition as an emerging field in the National Research Council's taxonomy of research disciplines; and the assignment of a code series to rhetoric and composition/writing studies in the federal Classification of Instructional Programs (CIP). We analyze the rhetorical strategies and implications of each case and call for continuing efforts to develop and implement a digital strategy for handling data about the field and its representation in information networks.</t>
  </si>
  <si>
    <t>[Phelps, Louise Wetherbee] Syracuse Univ, Syracuse, NY 13244 USA; [Ackerman, John M.] Univ Colorado, Boulder, CO 80309 USA</t>
  </si>
  <si>
    <t>Syracuse University; University of Colorado System; University of Colorado Boulder</t>
  </si>
  <si>
    <t>Phelps, LW (corresponding author), Old Dominion Univ, Norfolk, VA 23529 USA.</t>
  </si>
  <si>
    <t>NATL COUNCIL TEACHERS ENGLISH</t>
  </si>
  <si>
    <t>URBANA</t>
  </si>
  <si>
    <t>1111 KENYON RD, URBANA, IL 61801 USA</t>
  </si>
  <si>
    <t>0010-096X</t>
  </si>
  <si>
    <t>COLL COMPOS COMMUN</t>
  </si>
  <si>
    <t>Coll. Compost. Commun.</t>
  </si>
  <si>
    <t>651QI</t>
  </si>
  <si>
    <t>WOS:000281941800013</t>
  </si>
  <si>
    <t>Metaxiotis, K; Larios, Y; Assimakopoulos, V</t>
  </si>
  <si>
    <t>Metaxiotis, Kostas; Larios, Yiannis; Assimakopoulos, Vassilis</t>
  </si>
  <si>
    <t>Strengthening Governments to Formulate Integrated Digital Strategies</t>
  </si>
  <si>
    <t>IEEE TECHNOLOGY AND SOCIETY MAGAZINE</t>
  </si>
  <si>
    <t>[Metaxiotis, Kostas] Univ Piraeus, Piraeus 18534, Greece; [Larios, Yiannis; Assimakopoulos, Vassilis] Minist Econ &amp; Finance, Athens, Greece</t>
  </si>
  <si>
    <t>University of Piraeus</t>
  </si>
  <si>
    <t>Metaxiotis, K (corresponding author), Univ Piraeus, 80 Karaoli &amp; Dimitriou St, Piraeus 18534, Greece.</t>
  </si>
  <si>
    <t>0278-0097</t>
  </si>
  <si>
    <t>IEEE TECHNOL SOC MAG</t>
  </si>
  <si>
    <t>IEEE Technol. Soc. Mag.</t>
  </si>
  <si>
    <t>10.1109/MTS.2010.937028</t>
  </si>
  <si>
    <t>607VR</t>
  </si>
  <si>
    <t>WOS:000278535900010</t>
  </si>
  <si>
    <t>Fielden, K; Malcolm, P</t>
  </si>
  <si>
    <t>Reddick, CG</t>
  </si>
  <si>
    <t>Fielden, Kay; Malcolm, Pam</t>
  </si>
  <si>
    <t>E-government in New Zealand: Local Governments, Digital Divides and the National Digital Strategy</t>
  </si>
  <si>
    <t>COMPARATIVE E-GOVERNMENT</t>
  </si>
  <si>
    <t>Integrated Series in Information Systems</t>
  </si>
  <si>
    <t>INFORMATION; TECHNOLOGY</t>
  </si>
  <si>
    <t>Research carried out in 2009 on New Zealand's local government e-readiness with respect to the national digital strategy has discovered that there is a wide maturity range. In the first part of this chapter, an e-readiness maturity model is presented that indicates to what extent local governments, both urban and rural have met the national strategy guidelines. These results are contextualised within the international literature on local e-government maturity. In the second part of this chapter, challenges for four diverse and marginalised user groups are considered. Factors that affect end-users in New Zealand include: inequitable infrastructure provision, a shift in emphasis and ownership of technical knowledge and skills required to gain access to government services, and the differences in benefits and challenges for both majority and minority end-user groups. This analysis has been embedded in a theoretical framework informed by social informatics (Sawyer, 2005), digital inclusion/exclusion models (Cushman &amp; McLean, 2008), boundary conditioning modelling (Cordoba &amp; Midgley, 2008) and an e-government to e-governance model proposed by Dawes (2008).</t>
  </si>
  <si>
    <t>[Fielden, Kay; Malcolm, Pam] Unitec Inst Technol, Auckland, New Zealand</t>
  </si>
  <si>
    <t>Unitec NZ</t>
  </si>
  <si>
    <t>Fielden, K (corresponding author), Unitec Inst Technol, Auckland, New Zealand.</t>
  </si>
  <si>
    <t>kfielden@unitec.ac.nz; pmalcolm@unitec.ac.nz</t>
  </si>
  <si>
    <t>1571-0270</t>
  </si>
  <si>
    <t>978-1-4419-6535-6</t>
  </si>
  <si>
    <t>INTEGR SER INFORM SY</t>
  </si>
  <si>
    <t>10.1007/978-1-4419-6536-3_26</t>
  </si>
  <si>
    <t>10.1007/978-1-4419-6536-3</t>
  </si>
  <si>
    <t>Computer Science, Information Systems; Operations Research &amp; Management Science</t>
  </si>
  <si>
    <t>Book Citation Index – Science (BKCI-S)</t>
  </si>
  <si>
    <t>BQV43</t>
  </si>
  <si>
    <t>WOS:000281964400026</t>
  </si>
  <si>
    <t>McShane, I; Thomas, J</t>
  </si>
  <si>
    <t>McShane, Ian; Thomas, Julian</t>
  </si>
  <si>
    <t>Unlocking the potential? - Australia's digital strategy and major public libraries</t>
  </si>
  <si>
    <t>PROMETHEUS</t>
  </si>
  <si>
    <t>This paper examines some implications for public libraries of the Australian government's 2009 strategy for the digital economy. Many countries have produced national digital strategies in recent years, but these key pieces of policy architecture have received little critical attention. The rhetorical framing of the Australian document indicates the shift of communication and information to the centre of economic policy. This has particular significance for public libraries, as the major public information portals and cultural storehouses of liberal democracies. The strategy's emphasis on productivity and economic competitiveness, boosted by a proposed high-speed national broadband network, presents major opportunities for Australian libraries. However, libraries and other collecting institutions have voiced concern over assumptions that they can simply 'unlock' their collections and supply content for new broadband applications. In contrast to some other countries, the Australian strategy pays no attention to the profound implications for information integrity and cultural memory presented by the expansion of cultural and economic activity in the digital sphere. The challenge for public libraries, the paper argues, is to explore ways that orthodox library responsibilities and new roles can be articulated in this evolving policy framework.</t>
  </si>
  <si>
    <t>[McShane, Ian; Thomas, Julian] Swinburne Univ Technol, Melbourne, Vic, Australia</t>
  </si>
  <si>
    <t>Swinburne University of Technology</t>
  </si>
  <si>
    <t>McShane, I (corresponding author), Swinburne Univ Technol, Melbourne, Vic, Australia.</t>
  </si>
  <si>
    <t>imcshane@swin.edu.au</t>
  </si>
  <si>
    <t>McShane, Ian/A-4464-2010</t>
  </si>
  <si>
    <t>McShane, Ian/0000-0001-8280-4560; Thomas, Julian/0000-0002-2907-4586</t>
  </si>
  <si>
    <t>0810-9028</t>
  </si>
  <si>
    <t>1470-1030</t>
  </si>
  <si>
    <t>Prometheus</t>
  </si>
  <si>
    <t>10.1080/08109028.2010.496235</t>
  </si>
  <si>
    <t>V60NG</t>
  </si>
  <si>
    <t>WOS:000210836700005</t>
  </si>
  <si>
    <t>Shao, GS</t>
  </si>
  <si>
    <t>Shao, Guosong</t>
  </si>
  <si>
    <t>VENTURING THROUGH ACQUISITIONS OR ALLIANCES? EXAMINING U.S. MEDIA COMPANIES' DIGITAL STRATEGY</t>
  </si>
  <si>
    <t>JOURNAL OF MEDIA BUSINESS STUDIES</t>
  </si>
  <si>
    <t>corporate strategy; corporate venturing; media firms; digital strategy; acquisitions; equity alliances; non-equity alliances</t>
  </si>
  <si>
    <t>JOINT-VENTURES; JAPANESE INVESTORS; CHOICE; PERFORMANCE; INFORMATION</t>
  </si>
  <si>
    <t>This paper examined how media firms chose among acquisitions, equity alliances, and non-equity alliances when they decided to venture their digital business. The dataset covered 292 deals made by 20 U.S. media companies of the Fortune 1000 in the 2000s. The results showed that the choice was a function of strategic objectives (e.g., product extension and market extension), market factors (e.g., market uncertainty and competition), and media firms' attributes (e.g., technological intensity, relative size, and diversification level).</t>
  </si>
  <si>
    <t>[Shao, Guosong] Pittsburg State Univ, Pittsburg, KS 66762 USA</t>
  </si>
  <si>
    <t>Pittsburg State University</t>
  </si>
  <si>
    <t>Shao, GS (corresponding author), Pittsburg State Univ, Pittsburg, KS 66762 USA.</t>
  </si>
  <si>
    <t>1652-2354</t>
  </si>
  <si>
    <t>2376-2977</t>
  </si>
  <si>
    <t>J MEDIA BUS STUD</t>
  </si>
  <si>
    <t>J. Media Bus. Stud.</t>
  </si>
  <si>
    <t>10.1080/16522354.2010.11073501</t>
  </si>
  <si>
    <t>VA2MP</t>
  </si>
  <si>
    <t>WOS:000409741900002</t>
  </si>
  <si>
    <t>McAnulty, JD</t>
  </si>
  <si>
    <t>McAnulty, John D.</t>
  </si>
  <si>
    <t>Bringing Patient Recruitment Into Our Digital World</t>
  </si>
  <si>
    <t>DRUG INFORMATION JOURNAL</t>
  </si>
  <si>
    <t>Clinical trials; Digital strategies; Patient recruitment; Media convergence</t>
  </si>
  <si>
    <t>Every day people search the Internet, seeking information, support, and treatment for many different diseases. Digital strategies, such as search engine marketing databases and web design, are effective ways to reach potential patients; pharmaceutical and biotechnology companies who do not include digital strategies are missing important patient targeting opportunities. This article explores the convergence of old and new media, and how new media affect and will continue to affect patient recruitment. Executing a digital strategy requires specialized skills, knowledge, and tools to effectively communicate with potential online study participants.</t>
  </si>
  <si>
    <t>[McAnulty, John D.] Fleishman Hillard Clin Trials Div, Kansas City, MO USA</t>
  </si>
  <si>
    <t>McAnulty, JD (corresponding author), 2405 Grand Blvd,Suite 700, Kansas City, MO 64108 USA.</t>
  </si>
  <si>
    <t>John.mcanulty@fleishman.com</t>
  </si>
  <si>
    <t>DRUG INFORMATION ASSOC</t>
  </si>
  <si>
    <t>HORSHAM</t>
  </si>
  <si>
    <t>800 ENTERPRISE ROAD, SUITE 200, HORSHAM, PA 19044-3595 USA</t>
  </si>
  <si>
    <t>0092-8615</t>
  </si>
  <si>
    <t>DRUG INF J</t>
  </si>
  <si>
    <t>Drug Inf. J.</t>
  </si>
  <si>
    <t>10.1177/009286150904300416</t>
  </si>
  <si>
    <t>Health Care Sciences &amp; Services; Pharmacology &amp; Pharmacy</t>
  </si>
  <si>
    <t>469EC</t>
  </si>
  <si>
    <t>WOS:000267877500016</t>
  </si>
  <si>
    <t>Carnaby, P</t>
  </si>
  <si>
    <t>Carnaby, Penny</t>
  </si>
  <si>
    <t>Libraries as a common denominator A view from New Zealand of the citizen, country and global perspective</t>
  </si>
  <si>
    <t>PROGRAM-ELECTRONIC LIBRARY AND INFORMATION SYSTEMS</t>
  </si>
  <si>
    <t>Bridging Worlds Conference</t>
  </si>
  <si>
    <t>OCT 16-17, 2008</t>
  </si>
  <si>
    <t>Singapore, SINGAPORE</t>
  </si>
  <si>
    <t>Natl Lib Singapore</t>
  </si>
  <si>
    <t>Digital libraries; Management strategy; National libraries; New Zealand</t>
  </si>
  <si>
    <t>Purpose - The purpose of this paper is to show how libraries in New Zealand have developed their digital strategies in order to serve its citizens, the country and the world. Design/methodology/approach - A description of various New Zealand initiatives is given, many of which involve the National Library of New Zealand. Findings - The four components of the New Zealand Digital strategy: connection; content; confidence; and collaboration have been driven by the library and information sector. Originality/value - The paper provides a personal insight, by the National Librarian, into key digital developments in New Zealand</t>
  </si>
  <si>
    <t>Natl Lib New Zealand, Wellington, New Zealand</t>
  </si>
  <si>
    <t>Carnaby, P (corresponding author), Natl Lib New Zealand, Wellington, New Zealand.</t>
  </si>
  <si>
    <t>penny.carnaby@natlib.govt.nz</t>
  </si>
  <si>
    <t>EMERALD GROUP PUBLISHING LIMITED</t>
  </si>
  <si>
    <t>0033-0337</t>
  </si>
  <si>
    <t>PROGRAM-ELECTRON LIB</t>
  </si>
  <si>
    <t>Program-Electron. Libr. Inf. Syst.</t>
  </si>
  <si>
    <t>10.1108/00330330910978554</t>
  </si>
  <si>
    <t>Science Citation Index Expanded (SCI-EXPANDED); Social Science Citation Index (SSCI); Conference Proceedings Citation Index - Social Science &amp; Humanities (CPCI-SSH)</t>
  </si>
  <si>
    <t>490DU</t>
  </si>
  <si>
    <t>WOS:000269478900002</t>
  </si>
  <si>
    <t>Helbig, N; Gil-García, JR; Ferro, E</t>
  </si>
  <si>
    <t>Helbig, Natalie; Gil-Garcia, J. Ramon; Ferro, Enrico</t>
  </si>
  <si>
    <t>Understanding the complexity of electronic government: Implications from the digital divide literature</t>
  </si>
  <si>
    <t>Electronic government; Digital government; Digital divide; Public management; Inclusion policies; IT strategies; Theory development</t>
  </si>
  <si>
    <t>TECHNOLOGY; INFORMATION; DEMOCRACY; EVOLUTION; BENEFITS; SERVICES; SYSTEMS; GENDER</t>
  </si>
  <si>
    <t>Theoretically and practically E-Government and the digital divide are intertwined social phenomena. Using sophisticated information technologies (IT) in government has little social value if citizens are not able to use services or interact in political processes in meaningful ways. Similarly, understanding the development and use of IT in government without incorporating a demand perspective would potentially lead to partial explanations of a complex social reality. This article argues that studies about E-Government and the digital divide, which have been relatively disconnected research areas, have important parallels and potential intersections. These parallels may be useful in understanding E-Government projects and policies in a more comprehensive way and, consequently, for developing effective digital strategies. The paper reviews trajectories in E-Government and digital divide research and suggests potential implications drawn from the digital divide literature for E-Government research and practice, including model and theory development, understanding users, and some determinants of demand. (C) 2008 Published by Elsevier Inc.</t>
  </si>
  <si>
    <t>[Helbig, Natalie] SUNY Albany, Rockefeller Coll Publ Affairs &amp; Policy, Albany, NY 12222 USA; [Gil-Garcia, J. Ramon] Ctr Invest &amp; Docencia Econ, Dept Publ Adm, Mexico City, DF, Mexico; [Gil-Garcia, J. Ramon] CIDE, Data Ctr Appl Res Social Sci, Mexico City, DF, Mexico</t>
  </si>
  <si>
    <t>State University of New York (SUNY) System; State University of New York (SUNY) Albany; Centro de Investigacion y Docencia Economicas A.C. (CIDE); Centro de Investigacion y Docencia Economicas A.C. (CIDE)</t>
  </si>
  <si>
    <t>Helbig, N (corresponding author), SUNY Albany, Rockefeller Coll Publ Affairs &amp; Policy, Albany, NY 12222 USA.</t>
  </si>
  <si>
    <t>nh6739@albany.edu; joseramon.gil@cide.edu; ferro@ismb.it</t>
  </si>
  <si>
    <t>Gil-Garcia, J. Ramon/A-9636-2009</t>
  </si>
  <si>
    <t>Gil-Garcia, J. Ramon/0000-0002-1033-4974; Ferro, Enrico/0000-0002-4853-0444</t>
  </si>
  <si>
    <t>10.1016/j.giq.2008.05.004</t>
  </si>
  <si>
    <t>388OZ</t>
  </si>
  <si>
    <t>WOS:000262030400012</t>
  </si>
  <si>
    <t>Lim, DH; Ripley, D; O'Steen, B</t>
  </si>
  <si>
    <t>Lim, Doo Hun; Ripley, David; O'Steen, Billy</t>
  </si>
  <si>
    <t>E-learning methodologies in practice: similarities and differences between North American countries and New Zealand</t>
  </si>
  <si>
    <t>HUMAN RESOURCE DEVELOPMENT INTERNATIONAL</t>
  </si>
  <si>
    <t>e-learning methodology; cross national study; qualitative study; tertiary instructor</t>
  </si>
  <si>
    <t>In this cross-national qualitative study, tertiary instructors from North America (Canada and the USA) and New Zealand were asked to share their perceptions regarding effective e-learning methodologies. The purpose of the research was to identify what similarities and differences in perceptions existed, and what implications, if any, such similarities and differences would have for the development of national and tertiary digital strategies for New Zealand. A comparison of the responses to four primary research questions indicated that while both similarities and differences in perception do exist, the similarities far outweigh the differences.</t>
  </si>
  <si>
    <t>[Lim, Doo Hun] Univ Oklahoma, Adult &amp; Higher Educ, 820 Vleet Oval, Norman, OK 73019 USA; [Ripley, David] Boise State Univ, Coll Engn, Dept Instruct &amp; Performance Technol, Boise, ID 83725 USA; [O'Steen, Billy] Univ Canterbury, Ctr Teaching &amp; Learning, Christchurch, New Zealand</t>
  </si>
  <si>
    <t>University of Oklahoma System; University of Oklahoma - Norman; Idaho; Boise State University; University of Canterbury</t>
  </si>
  <si>
    <t>Lim, DH (corresponding author), Univ Oklahoma, Adult &amp; Higher Educ, 820 Vleet Oval, Norman, OK 73019 USA.</t>
  </si>
  <si>
    <t>dhlim@ou.edu</t>
  </si>
  <si>
    <t>1367-8868</t>
  </si>
  <si>
    <t>1469-8374</t>
  </si>
  <si>
    <t>HUM RESOUR DEV INT</t>
  </si>
  <si>
    <t>Hum. Resour. Dev. Int.</t>
  </si>
  <si>
    <t>10.1080/13678860902764134</t>
  </si>
  <si>
    <t>V88CP</t>
  </si>
  <si>
    <t>WOS:000212701800007</t>
  </si>
  <si>
    <t>Mittrowann, A</t>
  </si>
  <si>
    <t>Mittrowann, Andreas</t>
  </si>
  <si>
    <t>Strategic, Digital, Human: The Library of the Future. A View on International Developments by a German Library Supplier</t>
  </si>
  <si>
    <t>future; strategy; digital; virtual; competencies; physical; place</t>
  </si>
  <si>
    <t>The library of the future will survive if it is able to adapt and respond quickly to technological and demographic changes and shifting user needs. But what do the users want from the library of the future? To answer this question, this article reports the results of a study related to user expectations regarding library services, the need for a strategic services plan drawn from it and the role of digital services as well as human librarians in the future. This article is based on an ever-changing presentation the author has delivered to library leaders and workers in Germany and internationally.</t>
  </si>
  <si>
    <t>[Mittrowann, Andreas] Ekz Bibliotheksserv GmbH, Bismarckstr 3, D-72764 Reutlingen, Germany</t>
  </si>
  <si>
    <t>Mittrowann, A (corresponding author), Ekz Bibliotheksserv GmbH, Bismarckstr 3, D-72764 Reutlingen, Germany.</t>
  </si>
  <si>
    <t>andreas.mittrowann@ekz.de</t>
  </si>
  <si>
    <t>10.1080/01616840903106949</t>
  </si>
  <si>
    <t>VB3PV</t>
  </si>
  <si>
    <t>WOS:000415426800001</t>
  </si>
  <si>
    <t>Cha, H; Choi, S; Han, BM</t>
  </si>
  <si>
    <t>Cha, Hanju; Choi, Soonho; Han, Byung-Moon</t>
  </si>
  <si>
    <t>Comparison of PWM Strategies for Three-Phase Current-fed DC/DC Converters</t>
  </si>
  <si>
    <t>JOURNAL OF POWER ELECTRONICS</t>
  </si>
  <si>
    <t>Three-phase dc/dc converter; Three-phase PWM strategy; Losses; Active clamp; Efficiency</t>
  </si>
  <si>
    <t>In this paper, three kinds of PWM strategies for a three-phase current-fed dc/dc converter are proposed and compared in terms of losses and voltage transfer ratio. Each PWM strategy is described graphically and their switching losses are analyzed. With the proposed PWM C strategy, one turn-off switching of each bridge switch is eliminated to reduce switching losses under the same switching frequency. In addition, RMS current through the bridge switches is lowered by using parallel connection between two bridge switches and thus, conduction losses of the switches are reduced. Further, copper losses of the transformer are decreased due to the reduced RMS current of each transformer's winding. Therefore, total losses are minimized and the efficiency of the converter is improved by using the proposed PWM C strategy. Digital signal processor (DSP: TI320LF2407) and a field-programmable gate array (FPGA: EPM7128) board are used to generate PWM patterns for three-phase bridge and clamp MOSFETs. A 500W prototype converter is built and its experimental results verify the validity of the proposed PWM strategies.</t>
  </si>
  <si>
    <t>[Cha, Hanju; Choi, Soonho] Chungnam Natl Univ, Dept Elect Engn, Taejon, South Korea; [Han, Byung-Moon] Myongji Univ, Dept Elect Engn, Yongin, South Korea</t>
  </si>
  <si>
    <t>Chungnam National University; Myongji University</t>
  </si>
  <si>
    <t>Cha, H (corresponding author), Chungnam Natl Univ, Dept Elect Engn, Taejon, South Korea.</t>
  </si>
  <si>
    <t>hjcha@cnu.ac.kr</t>
  </si>
  <si>
    <t>Cha, Hanju/0000-0002-9185-6124</t>
  </si>
  <si>
    <t>Ministry of Knowledge and Economy (MKE)</t>
  </si>
  <si>
    <t>Ministry of Knowledge and Economy (MKE)(Ministry of Trade, Industry &amp; Energy (MOTIE), Republic of Korea)</t>
  </si>
  <si>
    <t>This work is the outcome of a Manpower Development Program for Energy &amp; Resources supported by the Ministry of Knowledge and Economy (MKE)</t>
  </si>
  <si>
    <t>1598-2092</t>
  </si>
  <si>
    <t>2093-4718</t>
  </si>
  <si>
    <t>J POWER ELECTRON</t>
  </si>
  <si>
    <t>J. Power Electron.</t>
  </si>
  <si>
    <t>OCT 20</t>
  </si>
  <si>
    <t>365XM</t>
  </si>
  <si>
    <t>WOS:000260442900009</t>
  </si>
  <si>
    <t>Díaz, EF; Gorospe, JMC</t>
  </si>
  <si>
    <t>Fernandez Diaz, Elia; Correa Gorospe, Jose Miguel</t>
  </si>
  <si>
    <t>Integration of ICT in collaborative projects through sponsorships digital</t>
  </si>
  <si>
    <t>Teachers Longlife Learning; Information And Comunication Techology; Action-research; Pre-school And Primary Education; Learning In Collaboration</t>
  </si>
  <si>
    <t>In the educational practice, the stage of the timely implementation of ICT must give way to a stadium in the transformation processes that lead to improvement and normalization of its use in the classroom, according to a model capable of combining resources and different in nature and format, reviewing and transforming the teaching work. In this line of reflection, on the action dovetailed work of our network of Preschool, generated around a training action that complements the use of a platform moodle with different tools of technology for social milestones of the process we highlight the following: Development projects collaborative learning centres where students spoke of Preschool and Primary. Review of methodological approaches and facilitation strategies to remove obstacles arising from the shortage of ICT resources in schools: guidelines for more flexible spaces and timetables, systematisation of sponsorships as digital strategies and Child tutoring for the use of technology and diversification of the clusters. Integration of tools of social technology and optimiztion of scaffoliding among participants to rethink and improve integration of ICT as well as contribute to the dissemination of experiences.</t>
  </si>
  <si>
    <t>[Fernandez Diaz, Elia] Univ Basque Country, Escuela Univ Magisterio, Dpto Didact, Onati Plaza 3, San Sebastian 20018, Spain; Univ Basque Country, Org Escolar, San Sebastian 20018, Spain</t>
  </si>
  <si>
    <t>University of Basque Country; University of Basque Country</t>
  </si>
  <si>
    <t>Díaz, EF (corresponding author), Univ Basque Country, Escuela Univ Magisterio, Dpto Didact, Onati Plaza 3, San Sebastian 20018, Spain.</t>
  </si>
  <si>
    <t>fernandez.elia@gmail.com; sgpcogoj@sc.ehu.es</t>
  </si>
  <si>
    <t>Fernández-Díaz, Elia EFD/H-2790-2015; CORREA-GOROSPE, JOSE M./L-5627-2013</t>
  </si>
  <si>
    <t>Fernández-Díaz, Elia EFD/0000-0003-0647-260X; CORREA-GOROSPE, JOSE M./0000-0002-6570-9905</t>
  </si>
  <si>
    <t>V54WX</t>
  </si>
  <si>
    <t>WOS:000210456200003</t>
  </si>
  <si>
    <t>Siakas, K; Kotsialos, T</t>
  </si>
  <si>
    <t>Siakas, Kerstin; Kotsialos, Themis</t>
  </si>
  <si>
    <t>The Greek information society</t>
  </si>
  <si>
    <t>INFORMACIOS TARSADALOM</t>
  </si>
  <si>
    <t>Hungarian</t>
  </si>
  <si>
    <t>Greece; information society; broadband access; telecommunications; ICT</t>
  </si>
  <si>
    <t>E-GOVERNMENT</t>
  </si>
  <si>
    <t>The authors of this country report argue that the information society in Greece Is developing slowly, and Greece is close to the bottom of the EU ranking regarding most indicators. Broadband adoption is not sufficient, and even narrowband is not widespread. Due to shortcomings of the infrastructure, across all internet services usage is far below average. Accordingly, basic and specialist ICT skills in Greece are low. However, important encouraging steps are being taken to improve the situation. ICT development initiatives for regulation, education, and infrastructure development have been announced and several programs are being implemented. A fundamental precondition for success is rapid completion of liberalisation of the telecommunications services market. The Digital Strategy 2006-2013 alms at bridging the digital gap that still exists between Greece and other member states of the EU.</t>
  </si>
  <si>
    <t>siaka@it.teithe.gr</t>
  </si>
  <si>
    <t>INFONIA</t>
  </si>
  <si>
    <t>MUEGYETEM RKP 9 II EMELET 210, BUDAPEST, 1111, HUNGARY</t>
  </si>
  <si>
    <t>1587-8694</t>
  </si>
  <si>
    <t>INF TARSAD</t>
  </si>
  <si>
    <t>Inf. Tarsad.</t>
  </si>
  <si>
    <t>363NX</t>
  </si>
  <si>
    <t>WOS:000260275100007</t>
  </si>
  <si>
    <t>Van Audenhove, L; Delaere, S; Ballon, P</t>
  </si>
  <si>
    <t>Van Audenhove, Leo; Delaere, Simon; Ballon, Pieter</t>
  </si>
  <si>
    <t>Newspapers on Electronic Paper Devices: A Scenario Analysis of Possible Business Models</t>
  </si>
  <si>
    <t>newspaper; electronic newspaper; electronic paper; business model; digital strategy</t>
  </si>
  <si>
    <t>The article analyses the changes in business models employed by the stakeholders in the newspaper value network, in view of the introduction of mobile devices using electronic paper. These devices hold the promise of a mobile digital reading experience close to that of 'real' paper. The potential impact of massive digitally distributed reading content on the traditional publishing value chain could be significant. This article develops four scenarios outlining possible business models.</t>
  </si>
  <si>
    <t>[Van Audenhove, Leo; Delaere, Simon; Ballon, Pieter] SMIT Vrije Univ Brussel, IBBT, Brussels, Belgium</t>
  </si>
  <si>
    <t>Van Audenhove, L (corresponding author), SMIT Vrije Univ Brussel, IBBT, Brussels, Belgium.</t>
  </si>
  <si>
    <t>Ballon, Pieter/0000-0001-6066-3242; Van Audenhove, Leo/0000-0002-1093-9041; Delaere, Simon/0000-0003-3775-6592</t>
  </si>
  <si>
    <t>J MEDIA RES STUD</t>
  </si>
  <si>
    <t>J. Media Res. Stud.</t>
  </si>
  <si>
    <t>10.1080/16522354.2008.11073466</t>
  </si>
  <si>
    <t>VA2DB</t>
  </si>
  <si>
    <t>WOS:000409716500003</t>
  </si>
  <si>
    <t>Ashton, H; Thorns, DC</t>
  </si>
  <si>
    <t>Ashton, Hazel; Thorns, David C.</t>
  </si>
  <si>
    <t>The role of information communications technology in retrieving local community</t>
  </si>
  <si>
    <t>CITY &amp; COMMUNITY</t>
  </si>
  <si>
    <t>The article explores the decline in social connectivity and the questions of whether and how local populations can use information-communications technologies (ICTs) to help reconnect. At. the center of this debate are problems in conceptulizing community in today's globalizing network society. As well as challenges to older ideas about community, these problems include the impacts of numerous contemporary societal and global pressures on communities themselves. The first step of community renewal is what Scott Lash ( 1994) refers to as the retrieval of community which is to be a genuinely participatory process, rather than presuming community already exists or engineering a consensus about what it is or what it wants. Some governments are now Suggesting that a way to reconnect local populations ill order to recover lost sociability and rebuild social infrastructure is through using ICTs as a major tool. Using the New Zealand Government policy contained in the Connecting Communities programme (2002) and the Digital Strategy (2004), the article explores and provides it critique of the strategies being advocated, particularly with respect to the use of the concepts of community and connectivity. A case study of the development and use of ICT tools for community retrieval within a particular local area is Used to identify some pitfalls and argue for approaches to connectivity that effectively utilize ICTs as community networking tools.</t>
  </si>
  <si>
    <t>[Thorns, David C.] Univ Canterbury, Coll Arts, Sch Sociol &amp; Anthropol, Christchurch 1, New Zealand</t>
  </si>
  <si>
    <t>University of Canterbury</t>
  </si>
  <si>
    <t>Thorns, DC (corresponding author), Univ Canterbury, Coll Arts, Sch Sociol &amp; Anthropol, Private Bag 4800, Christchurch 1, New Zealand.</t>
  </si>
  <si>
    <t>david.thorns@canterbury.ac.nz</t>
  </si>
  <si>
    <t>1535-6841</t>
  </si>
  <si>
    <t>1540-6040</t>
  </si>
  <si>
    <t>CITY COMMUNITY</t>
  </si>
  <si>
    <t>City Community</t>
  </si>
  <si>
    <t>10.1111/j.1540-6040.2007.00214.x</t>
  </si>
  <si>
    <t>Sociology; Urban Studies</t>
  </si>
  <si>
    <t>346DK</t>
  </si>
  <si>
    <t>WOS:000259048400004</t>
  </si>
  <si>
    <t>Venuto, D; Reyneri, L</t>
  </si>
  <si>
    <t>De Venuto, Daniela; Reyneri, Leonardo</t>
  </si>
  <si>
    <t>Fully digital strategy for fast calibration and test of ΣΔ ADCs</t>
  </si>
  <si>
    <t>MICROELECTRONICS JOURNAL</t>
  </si>
  <si>
    <t>6th International Symposium on Quality Electronic Design</t>
  </si>
  <si>
    <t>MAR 21-23, 2005</t>
  </si>
  <si>
    <t>San Jose, CA</t>
  </si>
  <si>
    <t>IEEE Electron Devices Soc,IEEE Components, Packaging &amp; Mfg Technol Soc,ACM SIGDA</t>
  </si>
  <si>
    <t>test technique; high resolution sigma delta ADC</t>
  </si>
  <si>
    <t>SELF-TEST; BIST; DAC</t>
  </si>
  <si>
    <t>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2007 Published by Elsevier Ltd.</t>
  </si>
  <si>
    <t>Politecn Bari, Dipartimento Elettrotecn &amp; Elettron, I-70125 Bari, Italy; Politecn Torino, Turin, Italy</t>
  </si>
  <si>
    <t>Politecnico di Bari; Polytechnic University of Turin</t>
  </si>
  <si>
    <t>Venuto, D (corresponding author), Politecn Bari, Dipartimento Elettrotecn &amp; Elettron, Via Orabona 4, I-70125 Bari, Italy.</t>
  </si>
  <si>
    <t>devenuto@deemail.poliba.it; leonardo.reyneri@polito.it</t>
  </si>
  <si>
    <t>DE VENUTO, Daniela/0000-0003-4563-7614</t>
  </si>
  <si>
    <t>0026-2692</t>
  </si>
  <si>
    <t>MICROELECTRON J</t>
  </si>
  <si>
    <t>Microelectron. J.</t>
  </si>
  <si>
    <t>APR-MAY</t>
  </si>
  <si>
    <t>10.1016/j.mejo.2006.08.005</t>
  </si>
  <si>
    <t>Engineering, Electrical &amp; Electronic; Nanoscience &amp; Nanotechnology</t>
  </si>
  <si>
    <t>Science Citation Index Expanded (SCI-EXPANDED); Conference Proceedings Citation Index - Science (CPCI-S)</t>
  </si>
  <si>
    <t>Engineering; Science &amp; Technology - Other Topics</t>
  </si>
  <si>
    <t>183KA</t>
  </si>
  <si>
    <t>WOS:000247570500004</t>
  </si>
  <si>
    <t>Smith, P; Steemers, J</t>
  </si>
  <si>
    <t>Smith, Paul; Steemers, Jeanette</t>
  </si>
  <si>
    <t>BBC to the rescue! Digital switchover and the reinvention of public service broadcasting in Britain</t>
  </si>
  <si>
    <t>JAVNOST-THE PUBLIC</t>
  </si>
  <si>
    <t>Britain is almost unique in giving its incumbent public service broadcaster, the BBC, a leading role in driving digital, thereby hoping to hasten digital take-up, and thus allowing analogue switch-off by 2012. This paper is divided into two parts. The first part investigates the recent historical past with respect to the making of policy, drawing on the analytical framework of policy cycles. Why has the British government given the BBC a lead role in the move towards digital and how does this decision link and interconnect with other interweaving policy debates surrounding the BBC licence fee and Charter renewal? In a media environment, increasingly driven by commercial considerations, what are the key policy motivations for entrusting a publicly funded institution with a lead role in the digital era, and what have been the main challenges and policy dilemmas in doing this? Part two considers how the BBC has responded to government policy initiatives. What are the key building blocks of its digital strategy and just how comfortably do these sit with its public service remit? For digital means much more than just broadcasting, demanding responses to changes in the way that audiences are likely to interact with content in future. Yet, in positioning itself as a content provider, whose content will be available on demand on myriad future platforms, the Corporation is increasingly impinging on what commercial operators believe is their future route to profitability. In the light of this analysis, the paper concludes by assessing the compatibility of government policy and BBC strategy given their at times diverging aims and objectives, and what this means for the continuance of a public service ethos into the digital age.</t>
  </si>
  <si>
    <t>De Montfort Univ, Fac Humanities, Leicester LE1 9BH, Leics, England; Univ Westminster, Sch Media Arts &amp; Design, London W1R 8AL, England</t>
  </si>
  <si>
    <t>De Montfort University; University of Westminster</t>
  </si>
  <si>
    <t>Smith, P (corresponding author), De Montfort Univ, Fac Humanities, Leicester LE1 9BH, Leics, England.</t>
  </si>
  <si>
    <t>pasmith@dmu.ac.uk; J.Steemers@wmin.ac.uk</t>
  </si>
  <si>
    <t>Steemers, Jeanette/0000-0003-3436-741X</t>
  </si>
  <si>
    <t>1318-3222</t>
  </si>
  <si>
    <t>1854-8377</t>
  </si>
  <si>
    <t>JAVNOST-PUBLIC</t>
  </si>
  <si>
    <t>Javnost-Public</t>
  </si>
  <si>
    <t>10.1080/13183222.2007.11008935</t>
  </si>
  <si>
    <t>187JO</t>
  </si>
  <si>
    <t>WOS:000247843900003</t>
  </si>
  <si>
    <t>De Venuto, D; Reyneri, L</t>
  </si>
  <si>
    <t>Fully digital strategy for fast calibration and test of ΣΔ ADC's</t>
  </si>
  <si>
    <t>test tecnique; high resolution sigma delta ADC</t>
  </si>
  <si>
    <t>SELF-TEST</t>
  </si>
  <si>
    <t>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2006 Elsevier Ltd. All rights reserved.</t>
  </si>
  <si>
    <t>Politecn Bari, Dipartimento Elettrotecn &amp; Elettron, I-70125 Bari, Italy; Politecn Torino, Dipartimento Elettron, I-10129 Turin, Italy</t>
  </si>
  <si>
    <t>d.devenuto@poliba.it; leonardo.reyneri@polito.it</t>
  </si>
  <si>
    <t>10.1016/j.mejo.2006.08.002</t>
  </si>
  <si>
    <t>130XM</t>
  </si>
  <si>
    <t>WOS:000243832300026</t>
  </si>
  <si>
    <t>Rabold, M; Doll, A; Goldschmidtboeing, F; Woias, P</t>
  </si>
  <si>
    <t>Rabold, Martin; Doll, Alexander; Goldschmidtboeing, Frank; Woias, Peter</t>
  </si>
  <si>
    <t>The modified blister test method</t>
  </si>
  <si>
    <t>JOURNAL OF THE ELECTROCHEMICAL SOCIETY</t>
  </si>
  <si>
    <t>This article presents a test method for a nondestructive strength characterization of full-wafer bonds. The test is based on a modification of the common destructive blister test. Thereby, special geometries enable a controlled crack generation at the bond interface. Based on the theory of energy conservation, a theoretical model was built up and a crack propagation parameter was introduced. Three test strategies were established, an analog strategy, that can be used for a statistical evaluation, a digital strategy, that enables a redundant test analysis, and a binary strategy, that can be used as one-shot measurement (similar to the common blister test) or as bond gauge to guarantee a certain bond strength. For the geometric design, analytical models in combination with numerical simulations were used. Bonded wafers including these test structures were fabricated and the bond strength was measured. The result was compared to the common double cantilever beam (DCB) test as a standard. An excellent agreement of both test methods was shown. (C) 2007 The Electrochemical Society.</t>
  </si>
  <si>
    <t>Univ Freiburg, Dept Microsyst Engn, Lab Design Microsyst, D-79110 Freiburg, Germany</t>
  </si>
  <si>
    <t>University of Freiburg</t>
  </si>
  <si>
    <t>Rabold, M (corresponding author), Univ Freiburg, Dept Microsyst Engn, Lab Design Microsyst, D-79110 Freiburg, Germany.</t>
  </si>
  <si>
    <t>rabold@imtek.de</t>
  </si>
  <si>
    <t>ELECTROCHEMICAL SOC INC</t>
  </si>
  <si>
    <t>PENNINGTON</t>
  </si>
  <si>
    <t>65 SOUTH MAIN STREET, PENNINGTON, NJ 08534 USA</t>
  </si>
  <si>
    <t>0013-4651</t>
  </si>
  <si>
    <t>1945-7111</t>
  </si>
  <si>
    <t>J ELECTROCHEM SOC</t>
  </si>
  <si>
    <t>J. Electrochem. Soc.</t>
  </si>
  <si>
    <t>H647</t>
  </si>
  <si>
    <t>H652</t>
  </si>
  <si>
    <t>10.1149/1.2737658</t>
  </si>
  <si>
    <t>Electrochemistry; Materials Science, Coatings &amp; Films</t>
  </si>
  <si>
    <t>Electrochemistry; Materials Science</t>
  </si>
  <si>
    <t>173SE</t>
  </si>
  <si>
    <t>WOS:000246892000068</t>
  </si>
  <si>
    <t>Dennis, EE</t>
  </si>
  <si>
    <t>Dennis, Everette E.</t>
  </si>
  <si>
    <t>Television's convergence conundrum - Finding the right digital strategy</t>
  </si>
  <si>
    <t>TELEVISION QUARTERLY</t>
  </si>
  <si>
    <t>Fordhams Grad Sch Business New York City, New York, NY USA</t>
  </si>
  <si>
    <t>Dennis, EE (corresponding author), Fordhams Grad Sch Business New York City, New York, NY USA.</t>
  </si>
  <si>
    <t>NATL ACAD TELEVISION ARTS SCIENCES</t>
  </si>
  <si>
    <t>111 W 57TH ST, #1020, NEW YORK, NY 10019 USA</t>
  </si>
  <si>
    <t>0040-2796</t>
  </si>
  <si>
    <t>TELEV QUART</t>
  </si>
  <si>
    <t>Telev. Q.</t>
  </si>
  <si>
    <t>102UL</t>
  </si>
  <si>
    <t>WOS:000241838700005</t>
  </si>
  <si>
    <t>Davarpanah, MR; Khaleghi, N</t>
  </si>
  <si>
    <t>Davarpanah, M. R.; Khaleghi, Narges</t>
  </si>
  <si>
    <t>Evaluating websites A systematic investigation of internet site quality from a single country domain name</t>
  </si>
  <si>
    <t>LIBRARY REVIEW</t>
  </si>
  <si>
    <t>Worldwide web; Iran; Internet</t>
  </si>
  <si>
    <t>Purpose - The objective of this research paper is to evaluate websites freely available on the internet from one country - Iran and to provide information about the quality of their content. Design/methodology/approach - General quality criteria were used for the evaluation. These included ownership and authorship, type of websites, purpose and scope of the sites, language, links, domain types, currency/updating of information, accessibility, services and facilities. Thus, in May and June 2004, 328 websites were selected using Yahoo, Google, Lycos, Iran Digest, and A Guide to Iranian Websites, to conduct searches. A check list was drawn up to review the information from the tools. Findings - The research revealed that among Iranian websites providing information on the internet, private sites were much more likely to be of poorer quality compared to sites of governmental organizations. Research limitations/implications - Because there are no authoritative search engines which are specifically Iranian, the data were collected by using a selection of five search tools over a limited period of time. Using only these search tools, 3735 websites were found. While this paper has surveyed the content of the websites, more research is needed to highlight the nature of the internet infrastructure and its use in this country. Originality/value - The websites of each country are regarded as a prime national gateway of information. The paper uses other work on evaluating national web presence and gives clear insight into Iran's websites and gives a model for evaluating the national web presence in any one country. Based on the results, national digital strategies can be devised to help make progress towards an effective and high quality national portfolio of websites.</t>
  </si>
  <si>
    <t>[Davarpanah, M. R.] Ferdowsi Univ Mashhad, Dept Lib &amp; Informat Sci, Mashhad, Iran; [Khaleghi, Narges] Qume Univ, Dept Lib &amp; Informat Sci, Qume, Iran</t>
  </si>
  <si>
    <t>Ferdowsi University Mashhad</t>
  </si>
  <si>
    <t>Davarpanah, MR (corresponding author), Ferdowsi Univ Mashhad, Dept Lib &amp; Informat Sci, Mashhad, Iran.</t>
  </si>
  <si>
    <t>mrdavarpanah@yahoo.com</t>
  </si>
  <si>
    <t>khaleghi, narges/0000-0003-3770-2789</t>
  </si>
  <si>
    <t>0024-2535</t>
  </si>
  <si>
    <t>1758-793X</t>
  </si>
  <si>
    <t>LIBR REV</t>
  </si>
  <si>
    <t>Libr. Rev.</t>
  </si>
  <si>
    <t>10.1108/00242530610706806</t>
  </si>
  <si>
    <t>V93GA</t>
  </si>
  <si>
    <t>WOS:000213048700007</t>
  </si>
  <si>
    <t>Dennis, EE; Warley, S; Sheridan, J</t>
  </si>
  <si>
    <t>Dennis, Everette E.; Warley, Stephen; Sheridan, James</t>
  </si>
  <si>
    <t>Doing Digital: An Assessment of the Top 25 U.S. Media Companies and their Digital Strategies</t>
  </si>
  <si>
    <t>technology; digital strategy; leadership; company organization</t>
  </si>
  <si>
    <t>This study examines how major U.S. media companies are developing their digital strategies in the context of earlier work on convergence. Through rare interviews with media leaders and other sources, the ways that media corporations have coped with digital innovation following the dot-com crash are explored, including its delivery and the styles of leadership. The authors posit that media firms fall into three categories: leaders, learners and laggards.</t>
  </si>
  <si>
    <t>[Dennis, Everette E.; Warley, Stephen; Sheridan, James] Fordham Univ, Grad Sch Business, Bronx, NY 10458 USA</t>
  </si>
  <si>
    <t>Dennis, EE (corresponding author), Fordham Univ, Grad Sch Business, Bronx, NY 10458 USA.</t>
  </si>
  <si>
    <t>10.1080/16522354.2006.11073438</t>
  </si>
  <si>
    <t>VA1XM</t>
  </si>
  <si>
    <t>WOS:000409701800003</t>
  </si>
  <si>
    <t>McNulty, E</t>
  </si>
  <si>
    <t>Just in time for the holidays</t>
  </si>
  <si>
    <t>It's the busiest time of year for North Pole Workshops. Production is in high gear, and the elves are on overtime in the sprint toward Christmas. But an unexpected spike in demand for one toy may leave children around the world disappointed on Christmas morning, whether they've been naughty or nice. At the same time, another toy's popularity threatens to plummet, leaving Santa and his elves faced with the prospect of millions of unloved playthings left in the warehouse. This is the third time in three years that Santa's elves have been caught off guard by a toy's sudden surge in popularity. Earlier in the season, even just a month ago, it would have been possible to find capacity, but now every line is running full tilt. Oh, it used to be so simple, Santa ruminates. Wooden blocks, a train set, a doll... Now we have more than a million SKUs.... Trends jump across the oceans in an instant. I've asked the elves in the field to go beyond reporting on kids' behavior and start trend spotting. I've invested in software. But still I can't help thinking that one of these days we're not going to be able to do it. Santa and his staff are determined not to disappoint the children, but North Pole Workshops must find a way to improve its response to shifts in demand. Should Santa invest in better forecasting? Or does the answer lie in a more flexible supply chain? Commenting on this fictional case study are M. Eric Johnson, the director of the Glassmeyer/McNamee Center for Digital Strategies at Dartmouth's Tuck School of Business; Horst Brandstatter, the owner of Playmobil; Warren Hausman, a professor of operations management at Stanford University; and Anne Omrod, the CEO of the consulting firm John Galt Solutions.</t>
  </si>
  <si>
    <t>Harvard Univ, Business Sch Publishing, Conference Div, Boston, MA 02115 USA</t>
  </si>
  <si>
    <t>McNulty, E (corresponding author), Harvard Univ, Business Sch Publishing, Conference Div, Boston, MA 02115 USA.</t>
  </si>
  <si>
    <t>emcnulty@hbsp.harvard.edu</t>
  </si>
  <si>
    <t>986MP</t>
  </si>
  <si>
    <t>WOS:000233454000016</t>
  </si>
  <si>
    <t>Azaïs, F; Bertrand, Y; Renovell, M; Ivanov, A; Tabatabaei, S</t>
  </si>
  <si>
    <t>An all-digital DFT scheme for testing catastrophic faults in PLLs</t>
  </si>
  <si>
    <t>IEEE DESIGN &amp; TEST OF COMPUTERS</t>
  </si>
  <si>
    <t>Traditional functional testing of mixed-signal ICs is slow and requires costly, dedicated test equipment. The authors update the standard PLL architecture to allow simple digital testing. The all-digital strategy yields catastrophic fault coverage as high as that of the classical functional test, plus it is fast, extremely simple to implement and requires only standard digital test equipment.</t>
  </si>
  <si>
    <t>Univ Montpellier, CNRS, Microelect Dept, LIRMM, F-34392 Montpellier, France; Univ British Columbia, Dept Elect &amp; Comp Engn, Vancouver, BC V5Z 1M9, Canada</t>
  </si>
  <si>
    <t>Centre National de la Recherche Scientifique (CNRS); Universite Paul-Valery; Universite Perpignan Via Domitia; Universite de Montpellier; University of British Columbia</t>
  </si>
  <si>
    <t>azais@lirmm.fr</t>
  </si>
  <si>
    <t>0740-7475</t>
  </si>
  <si>
    <t>1558-1918</t>
  </si>
  <si>
    <t>IEEE DES TEST COMPUT</t>
  </si>
  <si>
    <t>IEEE Des. Test Comput.</t>
  </si>
  <si>
    <t>JAN-FEB</t>
  </si>
  <si>
    <t>10.1109/MDT.2003.1173054</t>
  </si>
  <si>
    <t>Computer Science, Hardware &amp; Architecture; Engineering, Electrical &amp; Electronic</t>
  </si>
  <si>
    <t>634HG</t>
  </si>
  <si>
    <t>WOS:000180333500009</t>
  </si>
  <si>
    <t>Bermak, A; Boussaïd, F; Bouzerdoum, A</t>
  </si>
  <si>
    <t>A CMOS imager with on-chip processing for image enhancement and edge detection</t>
  </si>
  <si>
    <t>CANADIAN JOURNAL OF ELECTRICAL AND COMPUTER ENGINEERING-REVUE CANADIENNE DE GENIE ELECTRIQUE ET INFORMATIQUE</t>
  </si>
  <si>
    <t>In this paper a CMOS vision chip featuring real-time on-chip image processing capabilities is presented. A sensor army, an analogue read-out processor and a digital image processor have been integrated on a single chip. The prototype can perform dynamic-range compression, noise filtering, edge detection and image enhancement. To achieve high-speed real-time processing, an efficient VLSI implementation based on a mixed-mode analogue-digital strategy is proposed. The proposed approach also leads to a very compact VLSI implementation of the analogue processing parts, allowing for 7590 of the silicon area to be fully dedicated to the 58 x 58-pixel array.</t>
  </si>
  <si>
    <t>Edith Cowan Univ, Sch Engn &amp; Math, Joondalup, WA 6027, Australia</t>
  </si>
  <si>
    <t>Edith Cowan University</t>
  </si>
  <si>
    <t>Bermak, A (corresponding author), Edith Cowan Univ, Sch Engn &amp; Math, Joondalup, WA 6027, Australia.</t>
  </si>
  <si>
    <t>a.bermak@ecu.edu.au; f.boussaid@ecu.edu.au; a.bouzerdoum@ecu.edu.au</t>
  </si>
  <si>
    <t>Bermak, Amine/G-9915-2013; Bouzerdoum, Abdesselam/A-4479-2012</t>
  </si>
  <si>
    <t>Bouzerdoum, Abdesselam/0000-0002-9163-0045; Bermak, Amine/0000-0003-4984-6093; BOUSSAID, FARID/0000-0001-7250-7407</t>
  </si>
  <si>
    <t>IEEE CANADA</t>
  </si>
  <si>
    <t>QUEBEC CITY</t>
  </si>
  <si>
    <t>UNIVERSITE LAVAL, DEPT GENIE ELECTRIQUE, QUEBEC CITY, PQ G1K 7P4, CANADA</t>
  </si>
  <si>
    <t>0840-8688</t>
  </si>
  <si>
    <t>CAN J ELECT COMPUT E</t>
  </si>
  <si>
    <t>Can. J. Electr. Comp. Eng.-Rev. Can. Genie Electr. Inform.</t>
  </si>
  <si>
    <t>JUL-OCT</t>
  </si>
  <si>
    <t>530KR</t>
  </si>
  <si>
    <t>WOS:000174357300013</t>
  </si>
  <si>
    <t>Inouye, AS</t>
  </si>
  <si>
    <t>A digital strategy for the library of congress</t>
  </si>
  <si>
    <t>COMMUNICATIONS OF THE ACM</t>
  </si>
  <si>
    <t>Comp Sci &amp; Telecommun Board, Washington, DC USA</t>
  </si>
  <si>
    <t>Inouye, AS (corresponding author), Comp Sci &amp; Telecommun Board, Washington, DC USA.</t>
  </si>
  <si>
    <t>Hedstrom, Margaret/0000-0002-0356-6806</t>
  </si>
  <si>
    <t>ASSOC COMPUTING MACHINERY</t>
  </si>
  <si>
    <t>1515 BROADWAY, NEW YORK, NY 10036 USA</t>
  </si>
  <si>
    <t>0001-0782</t>
  </si>
  <si>
    <t>COMMUN ACM</t>
  </si>
  <si>
    <t>Commun. ACM</t>
  </si>
  <si>
    <t>10.1145/374308.374336</t>
  </si>
  <si>
    <t>Computer Science, Hardware &amp; Architecture; Computer Science, Software Engineering; Computer Science, Theory &amp; Methods</t>
  </si>
  <si>
    <t>428PH</t>
  </si>
  <si>
    <t>WOS:000168469700012</t>
  </si>
  <si>
    <t>Coutu, DL</t>
  </si>
  <si>
    <t>Too old to learn?</t>
  </si>
  <si>
    <t>C.J. Albert, the head of family-owned Armor Coat insurance, is just settling in on a Sunday evening when he receives an unsettling phone call from his star salesman. Fifty-two-year-old Ed McGlynn has just returned from a business dinner with his younger technology mentor, and he's none too happy with the way he's being treated. If CJ. doesn't take this attack dog off him, Ed warns, he's gone. C.J. had indeed assigned 28-year-old Roger Sterling - the company's monomaniacal, slightly antisocial director of e-commerce-to teach Ed about digital strategy and the Web. Reverse mentoring seemed like a good way to create synergy between the sales and technology groups. The goal was to create a digital insurance product that would allow Armor Coat to keep up with its competitors. But there'd been tension between Ed and Roger right from the start - stemming from their personalities and their two departments. So when the two reluctantly agreed to meet for dinner to talk, the conversation didn't go well. Ed insisted that great sales reps, not the Internet, are crucial to selling insurance. Roger insisted that the Web will revolutionize the way insurance is sold and distributed - that Ed either give in or move on. Ed took off in a huff and subsequently phoned C.J. Roger followed Ed's irate call with his own weary ultimatum: Either Ed goes or I go. C.J. faces some difficult Monday-morning discussions with both disgruntled parties. What should he do? Six commentators, including a mentor-protege pair, offer their advice in this fictional case study.</t>
  </si>
  <si>
    <t>BOSTON</t>
  </si>
  <si>
    <t>60 HARVARD WAY, BOSTON, MA 02163 USA</t>
  </si>
  <si>
    <t>NOV-DEC</t>
  </si>
  <si>
    <t>368KL</t>
  </si>
  <si>
    <t>WOS:000090116100009</t>
  </si>
  <si>
    <t>DJUKANOVIC, M; NEVICEVIC, M; SOBAJIC, DJ; PAO, YP</t>
  </si>
  <si>
    <t>CONCEPTUAL DEVELOPMENT OF OPTIMAL LOAD FREQUENCY CONTROL USING ARTIFICIAL NEURAL NETWORKS AND FUZZY SET-THEORY</t>
  </si>
  <si>
    <t>ENGINEERING INTELLIGENT SYSTEMS FOR ELECTRICAL ENGINEERING AND COMMUNICATIONS</t>
  </si>
  <si>
    <t>OPTIMAL LOAD FREQUENCY CONTROL; ARTIFICIAL NEURAL NETWORKS; FUZZY SET THEORY</t>
  </si>
  <si>
    <t>AUTOMATIC-GENERATION CONTROL; DYNAMIC SECURITY ASSESSMENT; ELECTRIC-POWER SYSTEMS</t>
  </si>
  <si>
    <t>Design of a new adaptive optimal load frequency control (LFC) system using an artificial neural network (ANN) and its performance irt a computer simulation of the two-area load frequency control problem is demonstrated In order to achieve minimization of the excursions of area control errors (ACEs), their integrals and control vectors about the steady stare values over a wide range of operating conditions, it is desirable to adapt elements of the feedback matrix K. The control system design is based on the pattern recognition principle and ill implementation on the parallel distributed computational architecture of artificial neural networks. A comparison between neural-net based LFC and fuzzy logic based LFC is presented. The fuzzy logic controller based on a set of fuzzy logic operations that are performed on controller inputs, provides a means of converting a linguistic control strategy based on expert knowledge into an efficient control strategy. Digital simulations of two-area power system dynamic response subject to a disturbance of a step load change under different oper ating conditions are performed and the comparisons of conventional integral control, stare space optimal control and neural-net based optimal control are presented, The effectiveness of the proposed fuzzy logic controller is illustrated through the comparison of dynamic performances obtained using fuzzy controller and the state-space optimal controller.</t>
  </si>
  <si>
    <t>JUGEL,BELGRADE,YUGOSLAVIA; ELECT POWER RES INST,PALO ALTO,CA 94304; CASE WESTERN RESERVE UNIV,DEPT ELECT ENGN &amp; COMP SCI,CLEVELAND,OH 44106; AI WARE INC,CLEVELAND,OH 44106</t>
  </si>
  <si>
    <t>Electric Power Research Institute (EPRI); Case Western Reserve University</t>
  </si>
  <si>
    <t>DJUKANOVIC, M (corresponding author), ELECT ENGN INST NIKOLA TESLA,BELGRADE,YUGOSLAVIA.</t>
  </si>
  <si>
    <t>C R L PUBLISHING LTD</t>
  </si>
  <si>
    <t>MARKET HARBOROUGH</t>
  </si>
  <si>
    <t>PO BOX 31, MARKET HARBOROUGH, LEICS, ENGLAND LE16 9RQ</t>
  </si>
  <si>
    <t>0969-1170</t>
  </si>
  <si>
    <t>ENG INTELL SYST ELEC</t>
  </si>
  <si>
    <t>Eng. Intell. Syst. Elect. Eng. Commun.</t>
  </si>
  <si>
    <t>Computer Science, Artificial Intelligence; Engineering, Electrical &amp; Electronic</t>
  </si>
  <si>
    <t>RE970</t>
  </si>
  <si>
    <t>WOS:A1995RE97000004</t>
  </si>
  <si>
    <t>CAMMARANO, R; STREET, R; MCCORMICK, PG; EVANS, ME</t>
  </si>
  <si>
    <t>CONSTANT RATE OF CHANGE OF MAGNETIZATION HYSTERESIS LOOP TRACER</t>
  </si>
  <si>
    <t>JOURNAL OF APPLIED PHYSICS</t>
  </si>
  <si>
    <t>35TH ANNUAL CONF ON MAGNETISM AND MAGNETIC MATERIALS</t>
  </si>
  <si>
    <t>OCT 29-NOV 01, 1990</t>
  </si>
  <si>
    <t>SAN DIEGO, CA</t>
  </si>
  <si>
    <t>AMER INST PHYS,IEEE, MAGNET SOC,AMER INST MIN MET &amp; PETR ENGINEERS, MET SOC,USN, OFF NAVAL RES,AMER SOC TESTING &amp; MAT,AMER PHYS SOC,AMER CERAM SOC</t>
  </si>
  <si>
    <t>FREQUENCY</t>
  </si>
  <si>
    <t>An experimental procedure has been developed by which magnetization curves may be traversed at a constant rate of change of magnetic polarization, J. The new technique involves, in an iterative procedure, the use of a combination of closed- and open-loop digital strategies to control the magnetic field so that J remains constant over the majority of the hysteresis loop. As an application of the effectiveness of the technique, results obtained using Alnico permanent magnet materials are presented. The limitations of this method are reviewed in relation to material properties and the type of measurement system utilized. The consequences of using a digital control system and digital measurement techniques in the characterization of magnetic materials are discussed.</t>
  </si>
  <si>
    <t>UNIV WESTERN AUSTRALIA,DEPT PHYS,NEDLANDS,WA 6009,AUSTRALIA</t>
  </si>
  <si>
    <t>University of Western Australia</t>
  </si>
  <si>
    <t>CAMMARANO, R (corresponding author), UNIV WESTERN AUSTRALIA,DEPT MECH ENGN,NEDLANDS,WA 6009,AUSTRALIA.</t>
  </si>
  <si>
    <t>AMER INST PHYSICS</t>
  </si>
  <si>
    <t>WOODBURY</t>
  </si>
  <si>
    <t>CIRCULATION FULFILLMENT DIV, 500 SUNNYSIDE BLVD, WOODBURY, NY 11797-2999</t>
  </si>
  <si>
    <t>0021-8979</t>
  </si>
  <si>
    <t>J APPL PHYS</t>
  </si>
  <si>
    <t>J. Appl. Phys.</t>
  </si>
  <si>
    <t>APR 15</t>
  </si>
  <si>
    <t>10.1063/1.348136</t>
  </si>
  <si>
    <t>Physics, Applied</t>
  </si>
  <si>
    <t>Conference Proceedings Citation Index - Science (CPCI-S); Science Citation Index Expanded (SCI-EXPANDED)</t>
  </si>
  <si>
    <t>Physics</t>
  </si>
  <si>
    <t>FL732</t>
  </si>
  <si>
    <t>WOS:A1991FL73200238</t>
  </si>
  <si>
    <t>Row Labels</t>
  </si>
  <si>
    <t>Grand Total</t>
  </si>
  <si>
    <t>Count of UT (Unique WOS ID)</t>
  </si>
  <si>
    <t xml:space="preserve"> OR </t>
  </si>
  <si>
    <t>WOS:000285383200006 OR WOS:000329754600009 OR WOS:000499922800012 OR WOS:000579529600028 OR WOS:000525321800016 OR WOS:000409101300005 OR WOS:000262030400012 OR WOS:000430518300004 OR WOS:000450369800001 OR WOS:000434026200008 OR WOS:000463302600003 OR WOS:000329754600011 OR WOS:000547612800001 OR WOS:000527393100011 OR WOS:000427902200001 OR WOS:000391015200003 OR WOS:000443003600020 OR WOS:000503426500002 OR WOS:000398033600003 OR WOS:000621451400001 OR WOS:000794305800001 OR WOS:000382286800001 OR WOS:000799198500009 OR WOS:000379762300006 OR WOS:000503324600011 OR WOS:000483414000084 OR WOS:000298165600001 OR WOS:000490465000006 OR WOS:000532604200001 OR WOS:000605608800052 OR WOS:000343584800004 OR WOS:000511429500001 OR WOS:000495345700007 OR WOS:000433898900005 OR WOS:000511392100001 OR WOS:000296302800031 OR WOS:000389869600001 OR WOS:000681245200014 OR WOS:000424578800007 OR WOS:000791289200008 OR WOS:000629423000001 OR WOS:000358051200003 OR WOS:A1995RE97000004 OR WOS:000888846500001 OR WOS:000396827700009 OR WOS:000697394700001 OR WOS:000470286400006 OR WOS:000381439200003 OR WOS:000514221500001 OR WOS:000492996000068 OR WOS:000461926700001 OR WOS:000615625200001 OR WOS:000321464300010 OR WOS:000522233700001 OR WOS:000344995400008 OR WOS:000433014800004 OR WOS:000431178300006 OR WOS:000293832600026 OR WOS:000550153800021 OR WOS:000460458100005 OR WOS:000346823000002 OR WOS:000620168400008 OR WOS:000428964500001 OR WOS:000180333500009 OR WOS:000802601300002 OR WOS:000711948900002 OR WOS:000675728900001 OR WOS:000570387200001 OR WOS:000546076100001 OR WOS:000496860100001 OR WOS:000742775400016 OR WOS:000706477200009 OR WOS:000705493100004 OR WOS:000369874500005 OR WOS:000409703200005 OR WOS:000437441200004 OR WOS:000281941800013 OR WOS:000489792800003 OR WOS:000464985500007 OR WOS:000458695800009 OR WOS:000707584600002 OR WOS:000507397300001 OR WOS:000413649100021 OR WOS:000506329200006 OR WOS:000497446800006 OR WOS:000735449200001 OR WOS:000603421000001 OR WOS:000494903000001 OR WOS:000383390200004 OR WOS:000838907100011 OR WOS:000659845500001 OR WOS:000487036200009 OR WOS:000435505500001 OR WOS:000417379200003 OR WOS:000597406700008 OR WOS:000526902200001 OR WOS:000467547400001 OR WOS:000430105100004 OR WOS:000299221300019 OR WOS:000793116100001 OR WOS:000778515400001 OR WOS:000640580200001 OR WOS:000464985500004 OR WOS:000436284200007 OR WOS:000403920100004 OR WOS:000407688700003 OR WOS:000966229300001 OR WOS:000837844200003 OR WOS:000663140300001 OR WOS:000770688600001 OR WOS:000536451200003 OR WOS:000546087300001 OR WOS:000501095100001 OR WOS:000476871600006 OR WOS:000455220200001 OR WOS:000437533900005 OR WOS:000416122000002 OR WOS:000748655300001 OR WOS:000750226100001 OR WOS:000686398500001 OR WOS:000696790200004 OR WOS:000660009100002 OR WOS:000626820200001 OR WOS:000329135100022 OR WOS:000322929300021 OR WOS:000409701800003 OR WOS:000751085600001 OR WOS:000692505100003 OR WOS:000622556300001 OR WOS:000536436600014 OR WOS:000448224100005 OR WOS:000443460300022 OR WOS:000437435200002 OR WOS:000644497600020 OR WOS:000519135105002 OR WOS:000506236000005 OR WOS:000354277800005 OR WOS:000338822900011 OR WOS:000436010000003 OR WOS:000900054200001 OR WOS:000756024500001 OR WOS:000719370700002 OR WOS:000694471200001 OR WOS:000591504700004 OR WOS:000602684700006 OR WOS:000438480500002 OR WOS:000428659700004 OR WOS:000426785000001 OR WOS:000283640400001 OR WOS:000448336500002 OR WOS:000722706200004 OR WOS:000651880300001 OR WOS:000646325900001 OR WOS:000564547600007 OR WOS:000430192200012 OR WOS:000359698500002 OR WOS:000325305900003 OR WOS:000865512800035 OR WOS:000732678400001 OR WOS:000327001400010 OR WOS:000906531700003 OR WOS:000680740800001 OR WOS:000686474100001 OR WOS:000738510300001 OR WOS:000404844900003 OR WOS:000413154900002 OR WOS:000325822900017 OR WOS:000208874100003 OR WOS:000873527800001 OR WOS:000740319900002 OR WOS:000696595900001 OR WOS:000699530300001 OR WOS:000639710300001 OR WOS:000630910500004 OR WOS:000627100200001 OR WOS:000542965300004 OR WOS:000535316400025 OR WOS:000509764900019 OR WOS:000558680500004 OR WOS:000415351600001 OR WOS:000385474200012 OR WOS:000259048400004 OR WOS:000247843900003 OR WOS:000905154500001 OR WOS:000900342400001 OR WOS:000836281300001 OR WOS:000848605600004 OR WOS:000663118500001 OR WOS:000532587300005 OR WOS:000533889600029 OR WOS:000525770900008 OR WOS:000463608100008 OR WOS:000484819400006 OR WOS:000446560700001 OR WOS:000449823600001 OR WOS:000391437000004 OR WOS:000343233500003 OR WOS:000379776700005 OR WOS:000347994200011 OR WOS:000363526500010 OR WOS:000347994200010 OR WOS:000372917200006 OR WOS:000863209400005 OR WOS:000800518200001 OR WOS:000796257700010 OR WOS:000793338200001 OR WOS:000803320500001 OR WOS:000723010600001 OR WOS:000721112900004 OR WOS:000750851200076 OR WOS:000750345500017 OR WOS:000699218500001 OR WOS:000670396600001 OR WOS:000611636700001 OR WOS:000642306200001 OR WOS:000598233900001 OR WOS:000484391200044 OR WOS:000469498300008 OR WOS:000461557100008 OR WOS:000460387200001 OR WOS:000442235500010 OR WOS:000418142900006 OR WOS:000419717800008 OR WOS:000417175400009 OR WOS:000210360600012 OR WOS:000873494300001 OR WOS:000808897100001 OR WOS:000802415300001 OR WOS:000780937900001 OR WOS:000759655500001 OR WOS:000814535000001 OR WOS:000710036400001 OR WOS:000669598200001 OR WOS:000646830900001 OR WOS:000667730000001 OR WOS:000675335100005 OR WOS:000565999400001 OR WOS:000461645400001 OR WOS:000473144200015 OR WOS:000453695600005 OR WOS:000415048600005 OR WOS:000424584200004 OR WOS:000413820800007 OR WOS:000210836700005 OR WOS:000409741900002 OR WOS:000174357300013 OR WOS:000090116100009 OR WOS:000988138700001 OR WOS:001015848200001 OR WOS:000960688500001 OR WOS:000882132400001 OR WOS:000863599900001 OR WOS:000843141000001 OR WOS:000848691400001 OR WOS:000797442100003 OR WOS:001027264700001 OR WOS:000656931900006 OR WOS:000748389200012 OR WOS:000725287500010 OR WOS:000773615100036 OR WOS:000656229300013 OR WOS:000753848000018 OR WOS:000598503500008 OR WOS:000535448500001 OR WOS:000514015200023 OR WOS:000483812900001 OR WOS:000472758300005 OR WOS:000569532000011 OR WOS:000490251500055 OR WOS:000418001500004 OR WOS:000417308900008 OR WOS:000343338800033 OR WOS:000212701800007 OR WOS:000943788300001 OR WOS:000937852500001 OR WOS:000865342400001 OR WOS:000867262000001 OR WOS:000852342500013 OR WOS:000890397700001 OR WOS:000844955300001 OR WOS:000828200900002 OR WOS:000749915700004 OR WOS:000741378600001 OR WOS:000838651500004 OR WOS:000675891000025 OR WOS:000665659700001 OR WOS:000658314900001 OR WOS:000672677100002 OR WOS:000651362200001 OR WOS:000780483300002 OR WOS:000637323400065 OR WOS:000628917400001 OR WOS:000611710900001 OR WOS:000609438900001 OR WOS:000596816000001 OR WOS:000581935000020 OR WOS:000578438100031 OR WOS:000513524100001 OR WOS:000504932100007 OR WOS:000461191900003 OR WOS:000503372300008 OR WOS:000454902600008 OR WOS:000457220600005 OR WOS:000406907300006 OR WOS:000350965300014 OR WOS:000213442500007 OR WOS:000247570500004 OR WOS:000246892000068 OR WOS:000241838700005 OR WOS:A1991FL73200238 OR WOS:000955110100001 OR WOS:000909928200001 OR WOS:000919042800001 OR WOS:000914677400001 OR WOS:000902960000001 OR WOS:000913180200002 OR WOS:000887695400001 OR WOS:000881846600004 OR WOS:000849427700001 OR WOS:000856165100001 OR WOS:000858213600001 OR WOS:000850147000001 OR WOS:000838967000001 OR WOS:000796257700007 OR WOS:000803715500001 OR WOS:000803373100001 OR WOS:000804163100015 OR WOS:000786521800001 OR WOS:000786938000001 OR WOS:000756065300001 OR WOS:000892035000001 OR WOS:000788987300001 OR WOS:000836414000014 OR WOS:000886192900001 OR WOS:000753404200001 OR WOS:000737627800001 OR WOS:000716511200001 OR WOS:000685837400001 OR WOS:000751371200003 OR WOS:000684090700001 OR WOS:000637705700001 OR WOS:000647515900001 OR WOS:000636471400008 OR WOS:000613165800001 OR WOS:000678715200001 OR WOS:000668658800006 OR WOS:000669866800010 OR WOS:000574279000006 OR WOS:000603589000001 OR WOS:000534511100005 OR WOS:000539041000001 OR WOS:000571148100001 OR WOS:000537971600005 OR WOS:000621639500002 OR WOS:000505237400001 OR WOS:000688300900007 OR WOS:000468084700001 OR WOS:000486078600024 OR WOS:000477812800003 OR WOS:000473144200013 OR WOS:000468549900010 OR WOS:000445155400002 OR WOS:000444547800006 OR WOS:000403413700110 OR WOS:000404154600007 OR WOS:000427176100008 OR WOS:000387079500011 OR WOS:000393583300013 OR WOS:000375960500006 OR WOS:000410376500004 OR WOS:000374870700004 OR WOS:000469777800020 OR WOS:000363796300011 OR WOS:000326251100004 OR WOS:000278535900010 OR WOS:000267877500016 OR WOS:000269478900002 OR WOS:000260442900009 OR WOS:000168469700012 OR WOS:001045747500001 OR WOS:001027659400001 OR WOS:001031861600001 OR WOS:001004384200001 OR WOS:001012928700001 OR WOS:000989176900001 OR WOS:000979815600001 OR WOS:000968128200001 OR WOS:000966637800001 OR WOS:000957037500001 OR WOS:000955918500001 OR WOS:000954592100001 OR WOS:000968604400001 OR WOS:000939818500001 OR WOS:000925587300002 OR WOS:000939037200001 OR WOS:001005815900001 OR WOS:001042680500008 OR WOS:000842370200001 OR WOS:000899226200001 OR WOS:000897847600001 OR WOS:000948679800010 OR WOS:000895823100006 OR WOS:000897909700002 OR WOS:000917668300005 OR WOS:000869789100001 OR WOS:000873375900001 OR WOS:000871496100001 OR WOS:000891411200001 OR WOS:000850816900003 OR WOS:000929053500004 OR WOS:000852177800001 OR WOS:001006612900001 OR WOS:000848604400002 OR WOS:000848604700001 OR WOS:000811019600001 OR WOS:000854080300016 OR WOS:000790136000001 OR WOS:000761017800008 OR WOS:000797875600004 OR WOS:000767649100001 OR WOS:000820252100006 OR WOS:001079739800002 OR WOS:000748501500002 OR WOS:000700037800001 OR WOS:000728112300006 OR WOS:000706829300013 OR WOS:000673014800001 OR WOS:000690456000038 OR WOS:000898268600004 OR WOS:000645176800001 OR WOS:000625361900025 OR WOS:000614413700002 OR WOS:000609636000009 OR WOS:000707502900005 OR WOS:000652354900005 OR WOS:000670430900006 OR WOS:000544324900015 OR WOS:000544927600014 OR WOS:000577136000001 OR WOS:000496582700003 OR WOS:000481740200010 OR WOS:000462912100009 OR WOS:000606978100005 OR WOS:000513890800009 OR WOS:000442375300008 OR WOS:000446591800010 OR WOS:000435558000001 OR WOS:000411797600013 OR WOS:000404288800003 OR WOS:000437730000011 OR WOS:000440134800003 OR WOS:000407594600008 OR WOS:000388440900006 OR WOS:000369078300001 OR WOS:000378142900007 OR WOS:000388576900012 OR WOS:000454015100012 OR WOS:000337787700026 OR WOS:000340103000020 OR WOS:000448354600002 OR WOS:000321155600007 OR WOS:000398771300018 OR WOS:000318760900001 OR WOS:000281964400026 OR WOS:000409716500003 OR WOS:000243832300026 OR WOS:000213048700007 OR WOS:001087097800001 OR WOS:001087960200001 OR WOS:001086060300001 OR WOS:001090408300001 OR WOS:001085854500001 OR WOS:001049479700001 OR WOS:001074928700001 OR WOS:001086006300001 OR WOS:001071980700001 OR WOS:001081454800001 OR WOS:001072299000001 OR WOS:001051855000002 OR WOS:001072589100001 OR WOS:001058121000001 OR WOS:001074507600001 OR WOS:001072309400001 OR WOS:001070782700001 OR WOS:001060341700001 OR WOS:001079400900002 OR WOS:001052843500011 OR WOS:001052011900001 OR WOS:001049136200001 OR WOS:001048669500004 OR WOS:001045004800002 OR WOS:001033165800001 OR WOS:001034811000017 OR WOS:001030720600001 OR WOS:001024625500001 OR WOS:001029603200001 OR WOS:001024279200001 OR WOS:001042144500003 OR WOS:001036130900001 OR WOS:001048302300001 OR WOS:001061736100001 OR WOS:001045112600001 OR WOS:001089011500007 OR WOS:001020547500001 OR WOS:001019862400001 OR WOS:001016606200001 OR WOS:001019315200001 OR WOS:001018461900002 OR WOS:001009298700001 OR WOS:000998454700001 OR WOS:001015841000001 OR WOS:001022810800005 OR WOS:000995965500001 OR WOS:000997861200001 OR WOS:001026288200001 OR WOS:001011477000016 OR WOS:000996513000007 OR WOS:000994774100027 OR WOS:001030154600001 OR WOS:000988904900009 OR WOS:000978051100001 OR WOS:000953654700001 OR WOS:000962912100001 OR WOS:000965482500001 OR WOS:000948811100001 OR WOS:001029367800004 OR WOS:001089672500006 OR WOS:001059716100008 OR WOS:000937324900001 OR WOS:000988262300001 OR WOS:001058807900009 OR WOS:000932583400001 OR WOS:000930794500001 OR WOS:000917967300001 OR WOS:001023953500001 OR WOS:001032499800004 OR WOS:000998561100003 OR WOS:000908926400001 OR WOS:000993327600006 OR WOS:001001117700007 OR WOS:001084643300010 OR WOS:001083543000001 OR WOS:000954928500001 OR WOS:000908721400001 OR WOS:000906718400002 OR WOS:000904990200001 OR WOS:000903702100001 OR WOS:000896893300001 OR WOS:000910902100003 OR WOS:001001054900050 OR WOS:000892083000015 OR WOS:000926013600043 OR WOS:000923079900008 OR WOS:000884214300001 OR WOS:000891091400006 OR WOS:000869686100001 OR WOS:000929883700018 OR WOS:000873808300001 OR WOS:000874188300001 OR WOS:000892219400003 OR WOS:000865306200009 OR WOS:000868492000003 OR WOS:000850937400001 OR WOS:000857038300001 OR WOS:000892587000004 OR WOS:000919673400003 OR WOS:000897825500026 OR WOS:000899334400026 OR WOS:000860362800001 OR WOS:000843680000001 OR WOS:000848407800003 OR WOS:000866223200014 OR WOS:000835773700001 OR WOS:000860750100013 OR WOS:000811055100017 OR WOS:000815732000001 OR WOS:000858719700008 OR WOS:000787994800006 OR WOS:000973635700047 OR WOS:000969490800003 OR WOS:000804816900001 OR WOS:000923257700004 OR WOS:000835090900001 OR WOS:000822762700055 OR WOS:000993888800009 OR WOS:000783066900001 OR WOS:000778117600004 OR WOS:000825334300002 OR WOS:000777672700001 OR WOS:000905494300017 OR WOS:000748953200001 OR WOS:000825226800011 OR WOS:000813078300006 OR WOS:000826896000009 OR WOS:001023353200001 OR WOS:000806241600015 OR WOS:000838665700003 OR WOS:000806030700037 OR WOS:000826879200029 OR WOS:000799191100001 OR WOS:000801931300015 OR WOS:000752414800001 OR WOS:000961307000005 OR WOS:000927592100004 OR WOS:000712668000001 OR WOS:000744182400004 OR WOS:000695454600001 OR WOS:000657259400005 OR WOS:000642009300004 OR WOS:000626291900003 OR WOS:000744952700005 OR WOS:000652490100007 OR WOS:000877485500008 OR WOS:000681302800001 OR WOS:000733894900003 OR WOS:000758146600013 OR WOS:000735247500012 OR WOS:000950030900013 OR WOS:000983107100026 OR WOS:000683183100024 OR WOS:000657220600024 OR WOS:000598578000001 OR WOS:000608600400018 OR WOS:000609928200006 OR WOS:000981661400013 OR WOS:000523565400002 OR WOS:000519562400005 OR WOS:000512737100024 OR WOS:000596092700004 OR WOS:000752492600003 OR WOS:000601789600005 OR WOS:000599990000003 OR WOS:000528233200004 OR WOS:000511377300001 OR WOS:000505934500014 OR WOS:000600114800002 OR WOS:000751943600021 OR WOS:000469498300010 OR WOS:000562934000004 OR WOS:000505268200010 OR WOS:000454342500003 OR WOS:000486078600026 OR WOS:000451872100004 OR WOS:000511300100006 OR WOS:000437784000016 OR WOS:000445782200012 OR WOS:000416826400023 OR WOS:000433407900001 OR WOS:000461199400013 OR WOS:000411455400003 OR WOS:000411618500009 OR WOS:000400026600028 OR WOS:000396461500002 OR WOS:000384622100007 OR WOS:000384000800020 OR WOS:000403250800006 OR WOS:000398354600004 OR WOS:000367847100005 OR WOS:000366144800006 OR WOS:000489991200080 OR WOS:000338690700018 OR WOS:000336886300002 OR WOS:000450054100006 OR WOS:000436259300014 OR WOS:000213138200003 OR WOS:000217877300003 OR WOS:000428175800079 OR WOS:000217879200006 OR WOS:000215545600021 OR WOS:000219830900007 OR WOS:000415426800001 OR WOS:000210456200003 OR WOS:000260275100007 OR WOS:000233454000016</t>
  </si>
  <si>
    <t>09 Industry Innovation And Infrastructure</t>
  </si>
  <si>
    <t>03 Good Health And Well Being</t>
  </si>
  <si>
    <t>04 Quality Education</t>
  </si>
  <si>
    <t>Pavlou, Paul/D-3561-2014; El Sawy, Omar/ABG-7773-2021; Venkatraman, N./AAB-2555-2019</t>
  </si>
  <si>
    <t>2024-09-15</t>
  </si>
  <si>
    <t>Pennsylvania Commonwealth System of Higher Education (PCSHE); Temple University; University of Oslo; University System of Ohio; Case Western Reserve University</t>
  </si>
  <si>
    <t>Yoo, Youngjin/ABI-7778-2020; Lyytinen, Kalle/O-8202-2017; Yoo, Youngjin/M-4143-2014</t>
  </si>
  <si>
    <t>Henfridsson, Ola/0000-0003-1605-5180; Yoo, Youngjin/0000-0001-8548-3475</t>
  </si>
  <si>
    <t>Direct For Computer &amp; Info Scie &amp; Enginr; Office of Advanced Cyberinfrastructure (OAC) [0943157] Funding Source: National Science Foundation; Direct For Computer &amp; Info Scie &amp; Enginr; Office of Advanced Cyberinfrastructure (OAC) [0943010] Funding Source: National Science Foundation</t>
  </si>
  <si>
    <t>Direct For Computer &amp; Info Scie &amp; Enginr; Office of Advanced Cyberinfrastructure (OAC)(National Science Foundation (NSF)NSF - Directorate for Computer &amp; Information Science &amp; Engineering (CISE)); Direct For Computer &amp; Info Scie &amp; Enginr; Office of Advanced Cyberinfrastructure (OAC)(National Science Foundation (NSF)NSF - Directorate for Computer &amp; Information Science &amp; Engineering (CISE))</t>
  </si>
  <si>
    <t>Roland, Szabó/AEP-0961-2022</t>
  </si>
  <si>
    <t>Szabo, Roland Zs./0000-0002-7961-1298</t>
  </si>
  <si>
    <t>Y</t>
  </si>
  <si>
    <t>N</t>
  </si>
  <si>
    <t>Rajak, Sonu/AAE-8690-2021; Lopes de Sousa Jabbour, Ana Beatriz/B-8966-2012; Raj, Alok/AAA-5806-2020; Sharma, Ankit/W-2230-2018</t>
  </si>
  <si>
    <t>rajak, sonu/0000-0002-4334-8010; Lopes de Sousa Jabbour, Ana Beatriz/0000-0001-6423-8868; Sharma, Ankit/0000-0003-1418-8991</t>
  </si>
  <si>
    <t>INFORMATION-SYSTEMS; STRATEGY</t>
  </si>
  <si>
    <t>Singapore University of Social Sciences (SUSS); Nanyang Technological University; Copenhagen Business School</t>
  </si>
  <si>
    <t>INFORMATION-SYSTEMS STRATEGY; AS-PRACTICE; IMPLEMENTATION; TECHNOLOGY; CAPABILITIES; ETHNOGRAPHY; INNOVATION; OFFICERS; CONTEXT; FIELD</t>
  </si>
  <si>
    <t>Hess, Thomas/A-1774-2016; Myers, Michael/F-9405-2010</t>
  </si>
  <si>
    <t>Myers, Michael/0000-0001-8525-6395; Hess, Thomas/0000-0003-3969-7477</t>
  </si>
  <si>
    <t>University of Innsbruck; Solent University; University of Southampton</t>
  </si>
  <si>
    <t>Eller, Robert/JPY-0603-2023; Peters, Mike/K-3253-2019; Kallmuenzer, Andreas/J-2880-2019</t>
  </si>
  <si>
    <t>De Massis, Alfredo/ACL-9744-2022</t>
  </si>
  <si>
    <t>Abu Dhabi University; Deakin University; Aston University; European Research University</t>
  </si>
  <si>
    <t>AlNuaimi, Bader/AAR-4755-2021; SINGH, SANJAY/M-8813-2013; Vorobyev, Dmitriy/A-6975-2018</t>
  </si>
  <si>
    <t>SINGH, SANJAY/0000-0001-7651-5009; Vorobyev, Dmitriy/0000-0002-2230-182X; Ren, Shuang/0000-0002-8768-8447</t>
  </si>
  <si>
    <t>Zhu, Feng/0000-0002-3034-6876; Adner, Ron/0000-0003-1238-2248; Puranam, Phanish/0000-0002-0032-8538</t>
  </si>
  <si>
    <t>Jardim, Jacinto/AAH-9791-2020; Porfírio, José/I-3940-2012; Porfirio, Jose Antonio/D-5527-2015</t>
  </si>
  <si>
    <t>Carrilho, Tiago/0000-0001-8258-8546; Jardim, Manuel Jacinto Ascensao/0000-0002-0600-3128; FELICIO, J. AUGUSTO/0000-0001-5862-1094; Porfirio, Jose Antonio/0000-0001-9551-9531</t>
  </si>
  <si>
    <t>Singh, Rajesh/K-2998-2019; Sindhwani, Dr. Rahul/AAO-8022-2020</t>
  </si>
  <si>
    <t>Dutta, Gautam/0000-0003-2981-6073; Kumar, Prof. (Dr.) Ravinder/0000-0003-4255-4303; Sindhwani, Dr. Rahul/0000-0001-9361-309X</t>
  </si>
  <si>
    <t>FA9O6</t>
  </si>
  <si>
    <t>Ritala, Paavo/JOZ-8801-2023; Baiyere, Abayomi/AFQ-0918-2022</t>
  </si>
  <si>
    <t>Hughes, Mathew/0000-0001-6859-558X; Ritala, Paavo/0000-0002-8525-4610</t>
  </si>
  <si>
    <t>; Lindeque, Johan/G-5211-2013</t>
  </si>
  <si>
    <t>Peter, Marc/0000-0002-2897-0389; Lindeque, Johan/0000-0002-8303-2715</t>
  </si>
  <si>
    <t>Ribeiro-Navarrete, Samuel/CAG-7783-2022; Xie, X.M./ABQ-6831-2022; Han, Yuhang/HGB-0213-2022; Anderson, Alistair/AAH-6460-2019</t>
  </si>
  <si>
    <t>Ribeiro-Navarrete, Samuel/0000-0003-1046-5322; Han, Yuhang/0000-0002-7688-619X</t>
  </si>
  <si>
    <t>Fernandez Vidal, Jorge/HIZ-5766-2022; Gascó, José/L-1794-2014; Perotti, Francesco/ABD-3833-2021; Gonzalez-Ramirez, Reyes/L-1893-2014</t>
  </si>
  <si>
    <t>Gonzalez-Ramirez, Reyes/0000-0002-9758-7957; Perotti, Francesco Antonio/0000-0002-4719-7774</t>
  </si>
  <si>
    <t>Benitez, Guilherme/T-2979-2017; Frank, Alejandro G./H-7379-2014</t>
  </si>
  <si>
    <t>Frank, Alejandro G./0000-0001-5041-6467</t>
  </si>
  <si>
    <t>Floor 5, Northspring 21-23 Wellington Street, Leeds, W YORKSHIRE, ENGLAND</t>
  </si>
  <si>
    <t>pera, rebecca/JRX-1972-2023; pera, rebecca/D-7415-2016; Canhoto, Ana Isabel/M-1980-2017; Molinillo, Sebastian/I-2420-2015</t>
  </si>
  <si>
    <t>pera, rebecca/0000-0001-9887-0167; Canhoto, Ana Isabel/0000-0002-1623-611X; Molinillo, Sebastian/0000-0001-9132-5190</t>
  </si>
  <si>
    <t>Green Published, Green Accepted, Green Submitted</t>
  </si>
  <si>
    <t>Universidade do Porto; INESC TEC; Universidade do Porto; Universidade de Coimbra; Eindhoven University of Technology; Universidade do Porto; INESC TEC</t>
  </si>
  <si>
    <t>Magalhães, Vanessa/GZL-2926-2022; Roca, Jaime/AAK-3477-2021; Senna, Pedro/GRS-5705-2022; Ferreira, Luis/H-3046-2016</t>
  </si>
  <si>
    <t>Senna, Pedro/0000-0002-4025-5716; Magalhaes, Vanessa/0000-0002-5265-8555; Ferreira, Luis/0000-0003-0459-0020</t>
  </si>
  <si>
    <t>Universidade de Lisboa; INOV INESC Inovacao; Universidade de Lisboa</t>
  </si>
  <si>
    <t>Mira da Silva, Miguel/A-2892-2009</t>
  </si>
  <si>
    <t>Leao, Pedro/0000-0003-1891-5009</t>
  </si>
  <si>
    <t>Alhassan, Ibrahim/AAO-6724-2020</t>
  </si>
  <si>
    <t>Pesce, Danilo/0000-0002-3405-8396; PAOLUCCI, Emilio/0000-0003-1249-8179</t>
  </si>
  <si>
    <t>Orlandi, Ludovico/E-5999-2017; rossignoli, cecilia/K-1196-2015; Zardini, Alessandro/J-8400-2014</t>
  </si>
  <si>
    <t>Nagy, Judit/HZL-6228-2023; Demeter, Krisztina/B-1310-2013; Losonci, Dávid/A-7808-2013</t>
  </si>
  <si>
    <t>Nagy, Judit/0000-0001-8275-1550; Losonci, David/0000-0003-0073-7849</t>
  </si>
  <si>
    <t>Kovacs, Tibor/0000-0002-7408-998X; Ko, Andrea/0000-0003-0023-1143; Szabo, Zoltan/0000-0001-9466-1448</t>
  </si>
  <si>
    <t>Rane, Santosh/AAQ-5960-2021</t>
  </si>
  <si>
    <t>Rane, Dr Santosh/0000-0003-0636-2048</t>
  </si>
  <si>
    <t>Fletcher, Margaret/HNQ-5888-2023</t>
  </si>
  <si>
    <t>Trzaska, Rafał/U-1788-2018; Niemczyk, Jerzy/R-5727-2018; Sulich, Adam/M-7935-2019; Sulich, Adam/S-8960-2016</t>
  </si>
  <si>
    <t>Sulich, Adam/0000-0001-8841-9102; Niemczyk, Jerzy/0000-0002-0766-3929</t>
  </si>
  <si>
    <t>De Roure, David/D-6785-2011; Burnap, Pete/HTN-3478-2023; Radanliev, Petar/L-7509-2015</t>
  </si>
  <si>
    <t>EPSRC [EP/S035362/1]; Cisco Research Centre [CG1525381]; SPF [EP/S035362/1] Funding Source: UKRI</t>
  </si>
  <si>
    <t>EPSRC(UK Research &amp; Innovation (UKRI)Engineering &amp; Physical Sciences Research Council (EPSRC)); Cisco Research Centre; SPF(UK Research &amp; Innovation (UKRI))</t>
  </si>
  <si>
    <t>Green Published, hybrid, Green Submitted</t>
  </si>
  <si>
    <t>Sinha, Manish/J-2574-2019</t>
  </si>
  <si>
    <t>Sanchez, Marisa/M-6135-2014</t>
  </si>
  <si>
    <t>Gascó, José/L-1794-2014; Fernandez Vidal, Jorge/HIZ-5766-2022; Gonzalez-Ramirez, Reyes/L-1893-2014</t>
  </si>
  <si>
    <t>Gonzalez-Ramirez, Reyes/0000-0002-9758-7957</t>
  </si>
  <si>
    <t>Bhattacharyya, Som Sekhar/AAJ-5749-2020; Nayak, Bishwajit/G-5193-2018</t>
  </si>
  <si>
    <t>Tsolakis, Naoum/AAQ-9163-2021; Kumar, Mukesh/A-9178-2012</t>
  </si>
  <si>
    <t>Tsolakis, Naoum/0000-0003-2042-7047; Ho, Wan Ri/0000-0003-2540-0732; Dora, Manoj/0000-0003-4730-8144; Kumar, Mukesh/0000-0002-1961-5078</t>
  </si>
  <si>
    <t>Wolniak, Radoslaw/ABA-9722-2020; Wolniak, Radoslaw/P-7146-2017; Gajdzik, Bozena/S-8265-2018</t>
  </si>
  <si>
    <t>Wolniak, Radoslaw/0000-0003-0317-9811; Gajdzik, Bozena/0000-0002-0408-1691</t>
  </si>
  <si>
    <t>INDUSTRY 4.0 TECHNOLOGIES; CLOUD COMPUTING ADOPTION; BIG DATA ANALYTICS; DYNAMIC CAPABILITIES; MANAGEMENT-PRACTICES; FIRM PERFORMANCE; DETERMINANTS; IMPLEMENTATION; PERSPECTIVE; READINESS</t>
  </si>
  <si>
    <t>Nakandala, Dilupa/GLQ-9745-2022; Samaranayake, Premaratne/ABI-6391-2022; Samaranayake, Premaratne/A-1824-2014</t>
  </si>
  <si>
    <t>Weerabahu, Samanthi/0000-0003-4925-7096; Nakandala, Dilupa/0000-0003-1535-5288; Samaranayake, Premaratne/0000-0002-6253-7976</t>
  </si>
  <si>
    <t>HA7V4</t>
  </si>
  <si>
    <t>Schachtebeck, Chris/AAE-5048-2021; Botha, Chante/AEM-4968-2022; Bossink, Bart/KYQ-6976-2024</t>
  </si>
  <si>
    <t>Schachtebeck, Chris/0000-0002-9133-2590; Botha, Chante/0000-0002-1155-416X; Bossink, Bart/0000-0001-9809-5121</t>
  </si>
  <si>
    <t>Kontic, Ljiljana/GPX-1477-2022; Kontic, Ljiljana/G-8551-2011</t>
  </si>
  <si>
    <t>Kontic, Ljiljana/0000-0002-5117-0419</t>
  </si>
  <si>
    <t>Solvay SA; Universite Libre de Bruxelles; University of Munich; Centre for Economic Policy Research - UK; Universite Libre de Bruxelles; Solvay SA</t>
  </si>
  <si>
    <t>van Zeebroeck, Nicolas/AAU-6350-2020</t>
  </si>
  <si>
    <t>FORLIANO, CANIO/AAL-9933-2020; rossignoli, cecilia/K-1196-2015; Orlandi, Ludovico/E-5999-2017; Zardini, Alessandro/J-8400-2014</t>
  </si>
  <si>
    <t>Tierney, Robert/KYP-6645-2024</t>
  </si>
  <si>
    <t>MAR 3</t>
  </si>
  <si>
    <t>JE7T1</t>
  </si>
  <si>
    <t>Moon, Taesoo/0000-0003-0248-2595</t>
  </si>
  <si>
    <t>Rahrovani, Yasser/KOD-5726-2024</t>
  </si>
  <si>
    <t>Sanchez, Marisa/0000-0002-8291-0491</t>
  </si>
  <si>
    <t>Tokyo International University; Singapore Management University</t>
  </si>
  <si>
    <t>Tan, Yee Heng/0000-0003-1382-4669</t>
  </si>
  <si>
    <t>Martinez-Prieto, Miguel A./A-4891-2011; Bregon, Anibal/R-6700-2018</t>
  </si>
  <si>
    <t>Martinez-Prieto, Miguel A./0000-0003-4418-561X; Bregon, Anibal/0000-0001-6752-1159; Garcia, Alvaro/0000-0002-8628-3405</t>
  </si>
  <si>
    <t>Liu, Longjun/0000-0002-6495-1695; Fan, Qing/0000-0001-5179-921X; Zhang, Guiqing/0000-0002-6706-1946</t>
  </si>
  <si>
    <t>Smedlund, Anssi/AAD-6583-2020; Hanninen, Mikko/M-3456-2016</t>
  </si>
  <si>
    <t>Hanninen, Mikko/0000-0002-7186-4397</t>
  </si>
  <si>
    <t>Singh, Vishal/H-6092-2012</t>
  </si>
  <si>
    <t>Mariño Romero, Jorge/ITR-9914-2023; Velicia-Martin, Felix/M-4710-2014; Palos-Sanchez, Pedro R./A-8952-2017</t>
  </si>
  <si>
    <t>Velicia-Martin, Felix/0000-0003-2300-6256; Palos-Sanchez, Pedro R./0000-0001-9966-0698; Marino Romero, Jorge Alberto/0000-0002-9624-5154</t>
  </si>
  <si>
    <t>Tidd, joe/KFB-1212-2024; Williams, Christopher/GQQ-9115-2022</t>
  </si>
  <si>
    <t>Saihi, Afef/KIE-8264-2024; As'ad, Rami/AAI-5880-2021; Ben-Daya, Mohamed/AAG-5851-2021</t>
  </si>
  <si>
    <t>Silvianita, Anita/AAE-3461-2021; PRADANA, MAHIR/AAL-8975-2020</t>
  </si>
  <si>
    <t>Benešová, Andrea/JER-5311-2023; Steiner, Frantisek/M-8283-2014; Tupa, Jiri/P-1692-2016</t>
  </si>
  <si>
    <t>Tupa, Jiri/0000-0002-4329-5406; Benesova, Andrea/0000-0003-0879-7846</t>
  </si>
  <si>
    <t>Biotechnology &amp; Applied Microbiology; Engineering, Biomedical</t>
  </si>
  <si>
    <t>Biotechnology &amp; Applied Microbiology; Engineering</t>
  </si>
  <si>
    <t>Boadu, Francis/AAA-2642-2021; Liu, Yunqing/AAY-8413-2021</t>
  </si>
  <si>
    <t>Liu, Yunqing/0000-0003-2013-8747; Boadu, Francis/0000-0001-7029-2828; Tang, Hongjuan/0000-0003-2686-861X</t>
  </si>
  <si>
    <t>MAY 13</t>
  </si>
  <si>
    <t>PY1D9</t>
  </si>
  <si>
    <t>Lardón-López, María Esmeralda/AAU-1126-2020; Martin-Rojas., Rodrigo/G-3029-2015; GARCIA MORALES, VICTOR JESUS/F-9736-2016</t>
  </si>
  <si>
    <t>Lardon-Lopez, Maria Esmeralda/0000-0001-7422-5278; GARCIA MORALES, VICTOR JESUS/0000-0001-9061-6973</t>
  </si>
  <si>
    <t>Yu, Shun Chi/0000-0001-9453-0229; Luo, Xiaowen/0000-0001-7507-8994</t>
  </si>
  <si>
    <t>Del Ser, Javier/AAA-2965-2021; Del Ser, Javier/J-2187-2014</t>
  </si>
  <si>
    <t>Torre-Bastida, Phd. Ana I./0000-0003-3005-1100; Del Ser, Javier/0000-0002-1260-9775; Arostegi, Maria/0000-0001-6691-4276; BILBAO MARON, MIREN NEKANE/0000-0002-0519-8728</t>
  </si>
  <si>
    <t>DYNAMIC CAPABILITIES; INDUSTRY 4.0; INNOVATION; STRATEGY; SYSTEMS; ORGANIZATIONS; FIRMS; TECHNOLOGY; PLATFORMS; IMPACT</t>
  </si>
  <si>
    <t>Peter the Great St. Petersburg Polytechnic University; Voronezh State Technical University; Kazan Federal University; Murmansk Arctic State University; Russian Academy of Sciences; Kola Science Centre of the Russian Academy of Sciences</t>
  </si>
  <si>
    <t>Vicentiy, Alexander/E-8282-2017; Irina, Rudaleva/M-3974-2013; Shkarupeta, Elena/Q-4229-2017</t>
  </si>
  <si>
    <t>Irina, Rudaleva/0000-0002-3301-4009; Shkarupeta, Elena/0000-0003-3644-4239</t>
  </si>
  <si>
    <t>Diaz, Regina/KSZ-1346-2024</t>
  </si>
  <si>
    <t>Verona, Gianmario/AIF-4104-2022; CILLO, PAOLA/KCZ-0688-2024</t>
  </si>
  <si>
    <t>Consiglio Nazionale delle Ricerche (CNR); Polytechnic University of Turin; heSam Universite; ESCP Business School; IESEG School of Management; Institut Polytechnique de Paris; Ecole Polytechnique; ESSCA School of Management; Centre National de la Recherche Scientifique (CNRS); University of Geneva</t>
  </si>
  <si>
    <t>Sandor, Agnes/0009-0001-5935-0262</t>
  </si>
  <si>
    <t>PONIS, STAVROS/AAC-9945-2019</t>
  </si>
  <si>
    <t>Talib, Yurita/U-5564-2018</t>
  </si>
  <si>
    <t>Abd Mutalib, Hafizah/0000-0002-5077-5117</t>
  </si>
  <si>
    <t>INESC TEC; Universidade do Porto; Universidade do Porto; Eindhoven University of Technology</t>
  </si>
  <si>
    <t>Roca, Jaime/AAK-3477-2021; Senna, Pedro/GRS-5705-2022; Azevedo, Americo/G-2763-2015</t>
  </si>
  <si>
    <t>Senna, Pedro/0000-0002-4025-5716; Azevedo, Americo/0000-0002-9659-5488</t>
  </si>
  <si>
    <t>Jiang, Zihao/W-4884-2019</t>
  </si>
  <si>
    <t>Passaro, Renato/AFO-8339-2022; Quinto, Ivana/AAO-3661-2020</t>
  </si>
  <si>
    <t>Cerchione, Roberto/0000-0002-7025-3295; PASSARO, RENATO/0000-0002-3263-2294; Centobelli, Piera/0000-0002-3302-2236</t>
  </si>
  <si>
    <t>Barbalho, Sanderson/H-4113-2015</t>
  </si>
  <si>
    <t>Shao, Guosong/0009-0005-5650-662X</t>
  </si>
  <si>
    <t>Scott, Stephanie/AAM-4542-2021; Urbano, David/B-6879-2009; Aparicio, Sebastian/D-4106-2015</t>
  </si>
  <si>
    <t>Aparicio, Sebastian/0000-0003-1121-5667</t>
  </si>
  <si>
    <t>CA3B1</t>
  </si>
  <si>
    <t>National University of Science &amp; Technology POLITEHNICA Bucharest</t>
  </si>
  <si>
    <t>Fayek, Aminah/AAA-2461-2019</t>
  </si>
  <si>
    <t>Karekla, Maria/AGG-4284-2022</t>
  </si>
  <si>
    <t>Váně, Jan/W-2066-2019; Kalvas, František/J-5714-2019; Kalvas, Frantisek/C-7225-2016</t>
  </si>
  <si>
    <t>Vane, Jan/0000-0002-5109-505X; Kalvas, Frantisek/0000-0002-9495-1602</t>
  </si>
  <si>
    <t>University of Eastern Finland</t>
  </si>
  <si>
    <t>Wang, Qi/0000-0002-4926-8097</t>
  </si>
  <si>
    <t>Xiao-mei, CHEN/I-1498-2012</t>
  </si>
  <si>
    <t>CIOBANU, Eliza/ACR-6745-2022; Nicolau, Cristina/E-8312-2015</t>
  </si>
  <si>
    <t>Nicolau, Cristina/0000-0002-7180-2102; CIOBANU, ELIZA/0000-0003-2838-6155; Munteanu, Daniel/0000-0001-6749-6766</t>
  </si>
  <si>
    <t>Schneider, Sabrina/AAD-6768-2020</t>
  </si>
  <si>
    <t>Voda, Ana Iolanda/AAB-9492-2020; Costuleanu, Carmen/D-8165-2011; Ciulu, Ruxandra/AAG-2871-2021; Gradinaru, Camelia/AAL-9226-2020</t>
  </si>
  <si>
    <t>Schildt, Henri/G-4462-2012</t>
  </si>
  <si>
    <t>Ministry of Education &amp; Science of Ukraine; Chernihiv Polytechnic National University; Interregional Academy of Personnel Management; Ministry of Education &amp; Science of Ukraine; Dragomanov Ukrainian State University; Ministry of Education &amp; Science of Ukraine; Chernihiv Polytechnic National University</t>
  </si>
  <si>
    <t>Kublitska, Olena/AHD-8131-2022; Nazarko, Svitlana/IAO-0813-2023; Denysenko, Tetiana/G-6003-2014; Ivanova, Nataliia/I-3574-2016</t>
  </si>
  <si>
    <t>Nazarko, Svitlana/0000-0002-4841-9201; Denysenko, Tetiana/0000-0002-7022-5884; Kublitska, Olena/0000-0001-5897-1393; Ivanova, Nataliia/0000-0001-6622-7310</t>
  </si>
  <si>
    <t>London</t>
  </si>
  <si>
    <t>125 London Wall, London, ENGLAND</t>
  </si>
  <si>
    <t>APR 29</t>
  </si>
  <si>
    <t>OP5T5</t>
  </si>
  <si>
    <t>Ibidunni, Ayodotun/M-7532-2013; Mdaka, Lerato E./KEZ-9284-2024; Ayeni, Adebanji Adejuwon William/R-4754-2017; Ogundana, Oyedele Martins/R-9840-2018</t>
  </si>
  <si>
    <t>Ibidunni, Ayodotun Stephen/0000-0001-5790-3508; Ayeni, Adebanji Adejuwon William/0000-0002-2409-0835; Mdaka, Lerato E/0000-0002-9761-1291; Ogundana, Oyedele Martins/0000-0002-0121-7231</t>
  </si>
  <si>
    <t>Salzano, Antonio/0000-0002-2068-760X; NICOLELLA, Maurizio/0000-0002-7140-6759; CICCONE, ANGELO/0000-0001-9737-4698</t>
  </si>
  <si>
    <t>Ruiz, Gonzalo/AGF-8317-2022</t>
  </si>
  <si>
    <t>Ruiz, Gonzalo/0000-0001-9972-9181</t>
  </si>
  <si>
    <t>DATA ANALYTICS; PROJECT; INTEGRATION; MANAGEMENT; OPPORTUNITIES; TECHNOLOGIES; FRAMEWORK; INDUSTRY; DESIGN</t>
  </si>
  <si>
    <t>BANDI, SHAMSULHADI/AAD-2283-2020</t>
  </si>
  <si>
    <t>Construction &amp; Building Technology; Engineering, Civil; Management</t>
  </si>
  <si>
    <t>Construction &amp; Building Technology; Engineering; Business &amp; Economics</t>
  </si>
  <si>
    <t>XP0M9</t>
  </si>
  <si>
    <t>Li, Lan/LFT-6776-2024</t>
  </si>
  <si>
    <t>Li, Lan/0000-0003-2836-4781</t>
  </si>
  <si>
    <t>Zayed University(Zayed University)</t>
  </si>
  <si>
    <t>Rosa María, Nava-Rogel/O-4885-2015; Gutierrez-Leefmans, Catalina/N-6287-2018</t>
  </si>
  <si>
    <t>Gutierrez-Leefmans, Catalina/0000-0001-9588-6753</t>
  </si>
  <si>
    <t>Jing, Hao/0000-0002-2736-9436; ren, xingmin/0009-0007-4017-3992</t>
  </si>
  <si>
    <t>Kapogiannis, Georgios/Y-4662-2019</t>
  </si>
  <si>
    <t>BAYRAKTAR, DORIN/KCY-2984-2024</t>
  </si>
  <si>
    <t>Steffens, Fernanda/AAI-9707-2020; Dal Forno, Ana Julia/F-3652-2015; Ulson de Souza, Antonio Augusto/K-1051-2012</t>
  </si>
  <si>
    <t>Birla Institute of Technology &amp; Science Pilani (BITS Pilani); Indian Institute of Technology System (IIT System); Indian Institute of Technology (IIT) - Jodhpur; Indian Institute of Technology (IIT) - Madras</t>
  </si>
  <si>
    <t>Saxena, Deepak/R-2084-2019</t>
  </si>
  <si>
    <t>Z9EF3</t>
  </si>
  <si>
    <t>GT3O1</t>
  </si>
  <si>
    <t>Piñeiro-Chousa, Juan/AAU-8264-2020; Ribeiro, Belen/IYS-9631-2023</t>
  </si>
  <si>
    <t>Ribeiro-Navarrete, Belen/0009-0002-0579-9803</t>
  </si>
  <si>
    <t>Jaklič, Jurij/IUO-4046-2023; Erjavec, Jure/GON-4923-2022; Indihar Štemberger, Mojca/G-7048-2012</t>
  </si>
  <si>
    <t>Indihar Stemberger, Mojca/0000-0002-2154-5750; Jaklic, Jurij/0000-0003-4183-3271</t>
  </si>
  <si>
    <t>C6L5F</t>
  </si>
  <si>
    <t>Aspiranti, Tasya/AAH-7163-2021; Ali, Qaisar/AAW-1205-2020</t>
  </si>
  <si>
    <t>SALVACHUA RODRIGUEZ, JOAQUIN/O-1445-2015</t>
  </si>
  <si>
    <t>de la Guardia, Juan/HKE-8412-2023; Palomo, Ricardo/C-4070-2015; PALOMO-ZURDO, RICARDO/ABR-2536-2022</t>
  </si>
  <si>
    <t>Melo, Paulo/KFR-7292-2024</t>
  </si>
  <si>
    <t>COGNITIVE-BEHAVIORAL THERAPY; MENTAL-HEALTH INTERVENTIONS; MEDICATION ADHERENCE; EXPRESSED EMOTION; RATING-SCALE; PEOPLE; METAANALYSIS; RELIABILITY; SYMPTOMS; VALIDITY</t>
  </si>
  <si>
    <t>Morris, Rohan/AAA-7914-2019; Buchan, Iain/H-5767-2013; Emsley, Richard/N-1342-2016</t>
  </si>
  <si>
    <t>Ainsworth, John/0000-0002-2187-9195; Lewis, Shon/0000-0003-1861-4652; Haddock, Professor Gillian/0000-0001-6234-5774; Buchan, Iain/0000-0003-3392-1650; berry, katherine/0000-0002-7399-5462; Emsley, Richard/0000-0002-1218-675X; Machin, Matthew/0000-0001-6600-9508</t>
  </si>
  <si>
    <t>Medical Research Council Developmental Pathway Funding Scheme [MR/L005301/1]; University of Manchester; Greater Manchester Mental Health NHS Foundation Trust; MRC [MR/L005301/1, MR/P026664/1] Funding Source: UKRI</t>
  </si>
  <si>
    <t>Medical Research Council Developmental Pathway Funding Scheme(UK Research &amp; Innovation (UKRI)Medical Research Council UK (MRC)); University of Manchester; Greater Manchester Mental Health NHS Foundation Trust; MRC(UK Research &amp; Innovation (UKRI)Medical Research Council UK (MRC))</t>
  </si>
  <si>
    <t>Brooks, Steven/ABC-8078-2021; Schwamm, Lee/JUV-6310-2023; Campillo, Jose/AAY-1706-2020; Bradley, Steven/AID-7839-2022; Brooks, Steven/N-4317-2015</t>
  </si>
  <si>
    <t>Brooks, Steven/0000-0002-4592-4974; Leary, Marion/0000-0002-4815-4223; Jessup, Mariell/0000-0002-3010-0112</t>
  </si>
  <si>
    <t>Intramural NIH HHS [Z99 OD999999, Z99 DK999999, Z99 DA999999] Funding Source: Medline</t>
  </si>
  <si>
    <t>Alexander, Gregory L/0000-0003-4500-8797</t>
  </si>
  <si>
    <t>Rich, Emma/0000-0003-1774-2898</t>
  </si>
  <si>
    <t>Agarwal, Smisha/0000-0002-7407-0066; Orton, Maeghan June/0009-0000-9156-6496; Vasudevan, Lavanya/0000-0003-2900-6070</t>
  </si>
  <si>
    <t>Voigt, Isabel/0000-0003-0097-8589; Haase, Rocco/0000-0003-2465-4909</t>
  </si>
  <si>
    <t>Meessen, Bruno/0000-0002-0359-8621</t>
  </si>
  <si>
    <t>Westmoreland, Drew/GMX-2667-2022; Rendina, H. Jonathon/M-9286-2016</t>
  </si>
  <si>
    <t>Westmoreland, Drew/0000-0003-4085-7941; Rendina, H. Jonathon/0000-0002-0148-2852</t>
  </si>
  <si>
    <t>van Dijk, Ewoud/J-7951-2012; Prokop, W./H-8081-2014; Meijer, Frederick/L-4516-2015</t>
  </si>
  <si>
    <t>Prokop, Mathias/0000-0001-8157-8055; Meijer, Frederick/0000-0001-5921-639X</t>
  </si>
  <si>
    <t>Cleary, Sean/B-5596-2012</t>
  </si>
  <si>
    <t>University of Munich; Berlin Institute of Health; Free University of Berlin; Humboldt University of Berlin; Charite Universitatsmedizin Berlin</t>
  </si>
  <si>
    <t>Scherer, Juliana/JCE-5356-2023; da Costa, Cristiano/AAV-1894-2020; Nichterwitz Scherer, Juliana/M-6344-2016</t>
  </si>
  <si>
    <t>Andre da Costa, Cristiano/0000-0003-3859-6199; Nichterwitz Scherer, Juliana/0000-0002-9235-0416; Donida, Bruna/0000-0001-6346-5153</t>
  </si>
  <si>
    <t>Igual, Jorge/0000-0003-3408-4014; Traver, Vicente/0000-0003-1806-8575; Navarro Martinez, Olga/0000-0003-3563-4129</t>
  </si>
  <si>
    <t>Bonnevie, Erika/0000-0001-8068-5123</t>
  </si>
  <si>
    <t>tang, wei/HZH-5205-2023; Jiao, Kedi/GQQ-9364-2022; Ma, Wei/C-4748-2019</t>
  </si>
  <si>
    <t>Jiao, Kedi/0000-0002-1774-8889</t>
  </si>
  <si>
    <t>National Key Research and Development Program of China(National Key Research &amp; Development Program of China)</t>
  </si>
  <si>
    <t>Cortes-Penfield, Nicolas/ACS-1833-2022; Chávez, Miguel/HZJ-1612-2023; Barlow, Brooke/GZM-7960-2022</t>
  </si>
  <si>
    <t>Abdoler, Emily/0000-0002-0938-0527; Spicer, Jennifer/0000-0002-5565-9617</t>
  </si>
  <si>
    <t>Vasicek, Zdenek/A-3655-2016; Bidlo, Michal/GRS-4501-2022; Sekanina, Lukas/E-8394-2014</t>
  </si>
  <si>
    <t>Sekanina, Lukas/0000-0002-2693-9011</t>
  </si>
  <si>
    <t>Nanyang Technological University; University of Southern California</t>
  </si>
  <si>
    <t>Chib, Arul/JWO-1701-2024</t>
  </si>
  <si>
    <t>Kiltz, Uta/AIC-2081-2022; Chehab, Gamal/AAP-5698-2021; Richter, Jutta/AAA-5054-2021; Specker, Christof/GNP-2957-2022</t>
  </si>
  <si>
    <t>Callhoff, Johanna/0000-0002-3923-2728; Specker, Christof/0000-0003-2504-3229</t>
  </si>
  <si>
    <t>Konigorski, Stefan/JVD-6065-2023</t>
  </si>
  <si>
    <t>Slosarek, Tamara/0000-0003-1514-1706; Ruether, Darius Ferenc/0000-0003-3783-380X; Manaswini, Manisha/0000-0003-4403-7692; Zenner, Alexander Maximilian/0000-0002-6745-1610; owoyele, babajide/0000-0002-3688-5248; Pottbacker, Fabian/0000-0001-8446-1776; Wernicke, Sarah/0000-0001-8127-1969</t>
  </si>
  <si>
    <t>Martin, Nina/AFN-8720-2022; Reznar, Melissa/AGF-5330-2022; Poirier, Lisa/AAG-5292-2019</t>
  </si>
  <si>
    <t>Reznar, Melissa/0000-0002-6304-3943; Poirier, Lisa/0000-0003-4180-0357; Martin, Nina/0000-0002-3361-7037; Sundermeir, Samantha/0000-0003-4471-0621; Gittelsohn, Joel/0000-0003-2761-3280</t>
  </si>
  <si>
    <t>Keskin, Basak/ABG-9093-2020; Salman, Baris/E-9735-2013</t>
  </si>
  <si>
    <t>Salman, Baris/0000-0002-4833-1808</t>
  </si>
  <si>
    <t>gold, Green Published, Green Submitted</t>
  </si>
  <si>
    <t>Byiringiro, Samuel/ABF-6161-2021</t>
  </si>
  <si>
    <t>Guerrero Vazquez, Monica/0000-0002-4072-3954; Lacanienta, Cyd/0000-0002-3840-0822; Byiringiro, Samuel/0000-0001-9165-0348</t>
  </si>
  <si>
    <t>Christensen, Helen/F-5053-2012; Wong, Quincy/K-6950-2019; Torok, Michelle/R-3231-2018</t>
  </si>
  <si>
    <t>VIRTUAL-REALITY WORLD; MENTAL-HEALTH; 2ND LIFE; PERCEIVED DISCRIMINATION; CULTURAL COMPETENCE; ETHNIC-DIFFERENCES; UNITED-STATES; DOUBLE BIND; PATIENT; CARE</t>
  </si>
  <si>
    <t>Kirmayer, Laurence/F-8022-2019; Glatard, Tristan/H-3656-2014; Dahan, Albert/B-8845-2008</t>
  </si>
  <si>
    <t>Holowka, Eileen Mary/0000-0003-2419-4981; Khalili-Mahani, Najmeh/0000-0002-5248-2609; Dahan, Albert/0000-0003-3161-3945</t>
  </si>
  <si>
    <t>Adam, Martin/AAX-2958-2020; Benlian, Alexander/E-1075-2014</t>
  </si>
  <si>
    <t>Universidad de Guadalajara; University of London; London School of Hygiene &amp; Tropical Medicine; University of Washington; University of Washington Seattle; Institute for Health Metrics &amp; Evaluation; Universidad Nacional Autonoma de Mexico</t>
  </si>
  <si>
    <t>; Lozano, Rafael/T-5352-2018</t>
  </si>
  <si>
    <t>Suarez-Idueta, Lorena/0000-0003-0909-7737; Lozano, Rafael/0000-0002-7356-8823; Tapia-Conyer, Roberto/0000-0001-9425-7322; Gallardo-Rincon, Hector Jose/0000-0002-0811-4606; Martinez-Juarez, Luis Alberto/0000-0001-7550-7867</t>
  </si>
  <si>
    <t>Green Published, Green Accepted, gold</t>
  </si>
  <si>
    <t>Latifi, Neda/HZM-2171-2023</t>
  </si>
  <si>
    <t>Miri, Amir K./0000-0003-0685-0770; Mongeau, Luc/0000-0003-0344-227X; Latifi, Neda/0000-0002-8099-8354</t>
  </si>
  <si>
    <t>Rodriguez, Jorge/KYQ-4272-2024; Sousa, Jessica/AAN-6572-2021</t>
  </si>
  <si>
    <t>Sousa, Jessica/0000-0003-1714-4441</t>
  </si>
  <si>
    <t>chen, xiao/KFQ-6812-2024; wei, wang/KHY-7669-2024; Jin, Zi-Bing/J-6810-2014</t>
  </si>
  <si>
    <t>Santos, Raul/A-1170-2010; Santo, Karla/L-2889-2016</t>
  </si>
  <si>
    <t>Machline-Carrion, M. Julia/0000-0003-1840-4372; Girotto, Alysson Nathan/0009-0002-4023-9457; Monfardini, Frederico/0000-0002-9590-5448; Nieri, Josue/0000-0002-8409-8601; Pereira, Pedro Marton/0009-0007-9359-7297</t>
  </si>
  <si>
    <t>; Morelli, Alessandra/AAM-2614-2021</t>
  </si>
  <si>
    <t>Baraitser, Paula/0000-0002-3354-6494; Morelli, Alessandra/0000-0002-9803-2136; McCulloch, Hannah/0000-0001-5006-967X</t>
  </si>
  <si>
    <t>Yu, Taeho/KVA-8135-2024; Lee, Sang Yup/C-1526-2011</t>
  </si>
  <si>
    <t>Ganesh, Ragul/IVH-4408-2023; Martinez-Raga, Jose/AAS-1785-2020; Martinez-Raga, Jose/B-6251-2017; Salom, Caroline/C-1761-2014</t>
  </si>
  <si>
    <t>BALHARA, YATAN PAL SINGH/0000-0003-1616-6403; Martinez-Raga, Jose/0000-0002-2856-6562; Salom, Caroline/0000-0002-8986-9735</t>
  </si>
  <si>
    <t>Leonte, Marie/0000-0002-2822-5899; McGee, Beth/0000-0003-3711-5859; LaCross, Lauren/0000-0002-2017-8346; Wildenhaus, Kevin/0000-0003-4634-1794; Wilcox, Marsha/0000-0001-8339-8621</t>
  </si>
  <si>
    <t>del Rio, Carlos/B-3763-2012; Swartz, Talia/AAN-8591-2020; Cortes-Penfield, Nicolas/ACS-1833-2022</t>
  </si>
  <si>
    <t>Swartz, Talia H./0000-0003-1572-045X</t>
  </si>
  <si>
    <t>Hocking, Jane/AAD-5203-2021; Goller, Jane/ABD-3084-2021</t>
  </si>
  <si>
    <t>Goller, Jane/0000-0001-5580-360X; Hunter, Barbara/0000-0002-1268-3166; Hocking, Jane/0000-0001-9329-8501</t>
  </si>
  <si>
    <t>X4VT5</t>
  </si>
  <si>
    <t>Baldacchino, Alexander/AAA-8836-2020; Daneshvar, Hadi/E-7759-2018</t>
  </si>
  <si>
    <t>Oteo Perez, Alberto/0000-0002-4239-9529; Daneshvar, Hadi/0000-0002-2727-7646; Baldacchino, Alex/0000-0002-5388-7376</t>
  </si>
  <si>
    <t>Gesualdo, Francesco/H-9221-2012; Croci, Ileana/AAA-5255-2020; Cinelli, Giulia/AAI-1255-2019; Tozzi, Alberto Eugenio/F-9494-2012</t>
  </si>
  <si>
    <t>Miller, Kiersten/0000-0002-0087-2867; Tozzi, Alberto Eugenio/0000-0002-6884-984X; Croci, Ileana/0000-0002-3448-6059</t>
  </si>
  <si>
    <t>Martinez-Juarez, Luis Alberto/0000-0001-7550-7867; Gallardo-Rincon, Hector Jose/0000-0002-0811-4606; Montoya, Alejandra/0000-0002-9466-8452</t>
  </si>
  <si>
    <t>Bitencourt, Evelyn/AGY-7211-2022; Murdoch, Jamie/ABE-3382-2020; Van de Ven, Pepijn/J-4587-2012; Araya, Ricardo/S-3144-2019; Scazufca, Marcia/K-7418-2012; Didone, Thiago/AAL-8798-2021; Peters, Tim/HNI-2741-2023</t>
  </si>
  <si>
    <t>Murdoch, Jamie/0000-0002-9021-3629; da Silva Bitencourt, Evelyn/0000-0002-9527-1967; Nakamura, Carina Akemi/0000-0002-4761-4486; Didone, Thiago/0000-0002-2397-5797; Scazufca, Marcia/0000-0002-4545-006X; Seward, Nadine/0000-0002-4821-9437; Azevedo Moretti, Felipe/0000-0002-9747-7790; Araya, Ricardo/0000-0002-0420-5148; Hollingworth, William/0000-0002-0840-6254; Peters, Tim/0000-0003-2881-4180</t>
  </si>
  <si>
    <t>Sao Paulo Research Foundation (FAPESP) [2017/50094-2]; Joint Global Health Trials initiative - Medical Research Council; Wellcome Trust; UK Department for International Development (MRC) [MR/R006229/1]; FAPESP [2018/19343-9, 2020/02272-1, 2021/04493-8, 2021/03849-3, 2020/14504-4, 2021/04230-7, 2020/14768-1, 2021/10148-1]; CNPq-Brazil [307579/2019-0]; Vinnova [2021-04493, 2021-03849] Funding Source: Vinnova; MRC [MR/R006229/1] Funding Source: UKRI</t>
  </si>
  <si>
    <t>Sao Paulo Research Foundation (FAPESP)(Fundacao de Amparo a Pesquisa do Estado de Sao Paulo (FAPESP)); Joint Global Health Trials initiative - Medical Research Council; Wellcome Trust(Wellcome Trust); UK Department for International Development (MRC); FAPESP(Fundacao de Amparo a Pesquisa do Estado de Sao Paulo (FAPESP)); CNPq-Brazil(Conselho Nacional de Desenvolvimento Cientifico e Tecnologico (CNPQ)); Vinnova(Vinnova); MRC(UK Research &amp; Innovation (UKRI)Medical Research Council UK (MRC))</t>
  </si>
  <si>
    <t>Kane, Jeremy/JTU-1481-2023</t>
  </si>
  <si>
    <t>Fox, Kira/0009-0001-2610-9739; Kane, John/0000-0002-2628-9442</t>
  </si>
  <si>
    <t>del Rio, Carlos/B-3763-2012; Swartz, Talia/AAN-8591-2020</t>
  </si>
  <si>
    <t>Marcelin, Jasmine/0000-0003-0504-753X; Swartz, Talia H./0000-0003-1572-045X</t>
  </si>
  <si>
    <t>University of Sydney; University of Sydney; University of Sydney; Sydney Local Health District; University of New South Wales Sydney; University of Sydney; George Institute for Global Health</t>
  </si>
  <si>
    <t>Jia, Sisi/AAW-8042-2021; Raeside, Rebecca/AAF-8778-2021; Redfern, Julie/AAM-8617-2020; Partridge, Stephanie R/B-7327-2018</t>
  </si>
  <si>
    <t>Redfern, Julie/0000-0001-8707-5563; Reece, Lindsey/0000-0003-2883-3963; Schirmer, Teisha/0000-0002-5863-3885; Phongsavan, Philayrath/0000-0003-2460-5031; Todd, Allyson Ruth/0000-0001-6948-9754; Partridge, Stephanie R/0000-0001-5390-3922; Sim, Kyra/0000-0003-2825-665X; Raeside, Rebecca/0000-0003-2016-6393</t>
  </si>
  <si>
    <t>University of Sydney(University of Sydney); Heart Foundation; National Health and Medical Research Council(National Health &amp; Medical Research Council (NHMRC) of Australia)</t>
  </si>
  <si>
    <t>Bernard, Gordon/IZP-7077-2023</t>
  </si>
  <si>
    <t>Gastelú, Carlos/N-2459-2015; Prieto Mendez, Manuel Emilio/A-8047-2011</t>
  </si>
  <si>
    <t>Prieto Mendez, Manuel Emilio/0000-0003-0343-1482</t>
  </si>
  <si>
    <t>Speciali, Danielli/I-5693-2016; Marie, Suely/D-1870-2012; Silva, Gisele/H-3082-2013</t>
  </si>
  <si>
    <t>Pires, Danielle Silveira/0000-0002-5424-3708; Conforto, Adriana/0000-0001-7869-3490</t>
  </si>
  <si>
    <t>SPERM MORPHOMETRY</t>
  </si>
  <si>
    <t>University of Milan; University of Milan; Consiglio Nazionale delle Ricerche (CNR); Istituto dei Sistemi Complessi (ISC-CNR); University of Milan; University of Milan; Fondazione IRCCS Istituto Neurologico Carlo Besta; Aalto University; Consiglio Nazionale delle Ricerche (CNR); Istituto di Chimica della Materia Condensata e di Tecnologie per l Energia (ICMATE-CNR)</t>
  </si>
  <si>
    <t>pasini, Maria/D-8785-2012; la porta, caterina/K-7345-2013; Zapperi, Stefano/C-9473-2009; Taloni, Alessandro/N-3121-2016; Ciusani, Emilio/J-9822-2016; Vasco, Chiara/C-5637-2017</t>
  </si>
  <si>
    <t>la porta, caterina/0000-0002-3010-8966; Zapperi, Stefano/0000-0001-5692-5465; MARIA ENRICA, PASINI/0000-0002-7476-6928; Taloni, Alessandro/0000-0002-8863-7166; Ciusani, Emilio/0000-0002-7285-123X; Vasco, Chiara/0000-0002-3788-778X</t>
  </si>
  <si>
    <t>Rao, Dr.B.Madhusudhan/0000-0002-1905-707X</t>
  </si>
  <si>
    <t>Brand, Matthias/B-1109-2011; Wegmann, Elisa/GXH-7386-2022; Schiebener, Johannes/H-4883-2012</t>
  </si>
  <si>
    <t>Bastos De Vasconcellos, Adalberto/0000-0002-2610-5471</t>
  </si>
  <si>
    <t>Y5TG8</t>
  </si>
  <si>
    <t>CV-PREVITAL Study Grp</t>
  </si>
  <si>
    <t>IRCCS Centro Cardiologico Monzino; University of Milan; IRCCS Neuromed; Istituto di Ricerche Farmacologiche Mario Negri IRCCS; Humanitas University; IRCCS Multimedica; IRCCS Neuromed; Catholic University of the Sacred Heart; IRCCS Policlinico Gemelli; IRCCS Ca Granda Ospedale Maggiore Policlinico; Catholic University of the Sacred Heart; IRCCS Policlinico Gemelli; IRCCS San Raffaele Pisana; Vita-Salute San Raffaele University; IRCCS Ospedale San Raffaele; Maria Cecilia Hospital; IRCCS Fondazione San Matteo; IRCCS Istituto Auxologico Italiano; University of Milano-Bicocca; University of Perugia; University of Milan; IRCCS Policlinico San Donato; University of Milan; IRCCS Policlinico San Donato; IRCCS Policlinico San Donato; University of Milan; IRCCS Policlinico San Donato; University of Genoa; IRCCS Ca Granda Ospedale Maggiore Policlinico; Catholic University of the Sacred Heart; IRCCS Policlinico Gemelli; IRCCS Fondazione San Matteo; IRCCS San Raffaele Pisana; Vita-Salute San Raffaele University; IRCCS Ospedale San Raffaele; Polytechnic University of Milan; Istituti Clinici Scientifici Maugeri IRCCS; University of Milan; University of Milan</t>
  </si>
  <si>
    <t>Parati, Gianfranco/K-7151-2016; Rosa, Debora/AAG-8957-2021; Ambrosio, Giuseppe/JUV-2507-2023; UCCELLI, Antonio/E-7343-2012; cardani, rosanna/ABH-6525-2020; roncaglioni, maria/AAB-1875-2020; Pierobon, Antonia/AAA-2859-2021; Foresta, Andreana/AAA-8073-2022; klersy, catherine/AAA-3003-2019; Baetta, Roberta/R-2208-2019; Di Castelnuovo, Augusto Filippo/K-5517-2016; Bilo, Grzegorz/J-8694-2016; Siani, Alfonso/B-7925-2015; Malavazos, Alexis/AAB-2370-2021; AGNESE, VALENTINA/R-9489-2017; Bonomi, Alice/AAB-6147-2020; Arbustini, Eloisa/K-8174-2016; Faini, Andrea/E-1052-2018; menicanti, lorenzo/K-5649-2018; Conaldi, Pier/AAC-1573-2019; Gialluisi, Alessandro/K-1195-2018; Ricciardi, Walter/K-3342-2018; Pompilio, Giulio/J-6701-2014; Scambia, Giovanni/K-7539-2016; Ferrante, Giuseppe/AAN-7122-2020; Pane, Bianca/AAD-3540-2019; Veglia, Fabrizio/K-1958-2016; sideri, riccardo/K-5225-2018; Olivares, Adriana/AAB-8587-2020; Urtis, Mario/AAA-6425-2021; Valenti, Luca/B-3695-2009; scalvini, simonetta/AAB-8992-2020; Baldassarre, Damiano/J-3295-2016; Gorini, Alessandra/C-6689-2011; Lombardi, Carolina/ABR-3176-2022; Comini, Laura/AAB-8550-2020; La Rovere, Maria Teresa/D-6796-2019; Badano, Luigi/H-9755-2019; Olmetti, Francesca/E-8296-2019; pengo, martino/P-8490-2019; Baetta, Roberta/F-4855-2018; Bachetti, Tiziana/J-3140-2016; Iacoviello, Licia/K-4676-2016; Remuzzi, Giuseppe/V-9766-2017; Cova, Lidia/K-6459-2016</t>
  </si>
  <si>
    <t>Veglia, Fabrizio/0000-0002-9378-8874; Vinci, Ramona/0000-0003-3632-5934; sideri, riccardo/0000-0002-3261-8062; Olivares, Adriana/0000-0003-0624-421X; Urtis, Mario/0000-0003-3289-9228; Valenti, Luca/0000-0001-8909-0345; scalvini, simonetta/0000-0001-7387-505X; Bonanni, Alice/0000-0001-8382-255X; Brecciaroli, Mattia/0009-0009-5552-3320; Caminiti, Giuseppe/0000-0001-7820-567X; Baldassarre, Damiano/0000-0002-2766-8882; Gorini, Alessandra/0000-0003-3216-1784; Lombardi, Carolina/0000-0003-1033-6053; Comini, Laura/0000-0001-6237-4428; La Rovere, Maria Teresa/0000-0002-1884-5058; Badano, Luigi/0000-0002-0379-3283; Olmetti, Francesca/0000-0001-7423-3956; Malavazos, Alexis Elias/0000-0002-0852-9625; De Angeli, Giada/0000-0003-2826-0181; Torlasco, Camilla/0000-0003-2382-6721; Periti, Giulia/0009-0005-1265-4583; Trevisan, Manuel Bruno/0000-0002-1881-6839; giuseppe, ambrosio/0000-0002-9677-980X; pengo, martino/0000-0002-4657-9172; Baetta, Roberta/0000-0001-7190-4638; Bachetti, Tiziana/0000-0003-1612-5329; Iacoviello, Licia/0000-0003-0514-5885; Remuzzi, Giuseppe/0000-0002-6194-3446; Cova, Lidia/0000-0002-1504-1556; Soranna, Davide/0000-0001-8067-2779</t>
  </si>
  <si>
    <t>McCarthy, Siobhan/0000-0001-5651-2409; Walsh, Aisling/0000-0002-5312-5101; Rafter, Natasha/0000-0003-0486-3076</t>
  </si>
  <si>
    <t>Lotto, Matheus/X-6400-2019; Boger, Jennifer/B-6342-2008; Oetomo, Arlene/ABE-7407-2021; Cruvinel Silva, Thiago/K-2707-2012</t>
  </si>
  <si>
    <t>Cruvinel Silva, Thiago/0000-0001-7095-908X</t>
  </si>
  <si>
    <t>Jain, Bhav/HLW-2803-2023; Stanford, Fatima/H-3953-2019</t>
  </si>
  <si>
    <t>Bajaj, Simar/0000-0002-8498-9674; Jain, Bhav/0000-0003-2648-4894; Stanford, Fatima/0000-0003-4616-533X</t>
  </si>
  <si>
    <t>Khan, Intakhab/J-4924-2012</t>
  </si>
  <si>
    <t>Romero, Martha/JAC-9293-2023; Guzman-Prado, Yuli/AAZ-7118-2020; Mejia Saldarriaga, Mateo/AHH-5432-2022</t>
  </si>
  <si>
    <t>Quintero Vega, Guillermo Enrique/0000-0002-3671-6911; GUIO OROS, JUAN FRANCISCO/0000-0003-0235-3195; Mejia Saldarriaga, Mateo/0000-0002-3504-5597; Guzman-Prado, Yuli/0000-0002-0433-1371; Tijaro-Ovalle, Natalia/0000-0003-1545-1253; Fuentes-Lacouture, Maria Cynthia/0000-0002-4560-4487; Melo, Andres Felipe/0000-0002-9840-8850</t>
  </si>
  <si>
    <t>FH6H5</t>
  </si>
  <si>
    <t>Griffith University; Griffith University - Mount Gravatt Campus; Griffith University; Griffith University - Mount Gravatt Campus; University of Queensland; University of Queensland; Griffith University; Royal Brisbane &amp; Women's Hospital; Princess Alexandra Hospital; University of California System; University of California Merced; University of Jyvaskyla</t>
  </si>
  <si>
    <t>Byrnes, Josh/AAA-4387-2021; Campbell, Katrina/A-2290-2013; Kelly, JAIMON/GNP-3057-2022; Kelly, Jaimon/I-3730-2016</t>
  </si>
  <si>
    <t>Kelly, Jaimon/0000-0003-0232-5848; Hamilton, Kyra/0000-0001-9975-685X; Wright, Charlene/0000-0003-2918-6032</t>
  </si>
  <si>
    <t>Haiyang, Yu/ACP-8009-2022</t>
  </si>
  <si>
    <t>Wu, Jiacheng/0000-0002-6887-7699</t>
  </si>
  <si>
    <t>Albrecht, Urs-Vito/HGE-6769-2022</t>
  </si>
  <si>
    <t>Harkin, Damien/A-3501-2011; Boland, Fiona/HTQ-1342-2023</t>
  </si>
  <si>
    <t>Boland, Dr Fiona/0000-0003-3228-0046; Harkin, Denis/0000-0002-4701-8350</t>
  </si>
  <si>
    <t>University of London; University College London; University College London Hospitals NHS Foundation Trust; University of London; University College London; University of London; University College London</t>
  </si>
  <si>
    <t>RAMIREZ, PAULA/KFB-3996-2024</t>
  </si>
  <si>
    <t>Jones, Stephen Scott/0000-0002-5361-8088; Mehta, Kripa/0000-0001-8286-8468; Belzer, Marvin/0000-0002-8870-9326; MacDonell, Karen/0000-0001-8916-624X; Budhwani, Henna/0000-0002-6716-9754; Gurung, Sitaji/0000-0003-4713-4228</t>
  </si>
  <si>
    <t>Perdana, Arif/N-2865-2013</t>
  </si>
  <si>
    <t>Zhang, Xinxin/ABC-6731-2021; Liu, Changyang/GXM-9414-2022; Yu, Jiaming/JDM-2390-2023</t>
  </si>
  <si>
    <t>Universite de Montpellier; CHU de Nimes; Universite de Montpellier; Universite de Montpellier; CHU de Nimes; Universite de Montpellier; CHU de Montpellier; Institut National de la Sante et de la Recherche Medicale (Inserm); Universite de Montpellier; CHU de Nimes; Universite de Montpellier; CHU de Nimes</t>
  </si>
  <si>
    <t>Boudemaghe, Thierry/AAA-2607-2019</t>
  </si>
  <si>
    <t>BOUDEMAGHE, Thierry/0000-0003-4768-2267; JABER, Samir/0000-0002-7257-8069</t>
  </si>
  <si>
    <t>Green Submitted, Bronze</t>
  </si>
  <si>
    <t>Oliveira, Thais/D-9576-2012; Lotto, Matheus/X-6400-2019; Lotto, Matheus/V-4759-2018; Cruvinel Silva, Thiago/K-2707-2012</t>
  </si>
  <si>
    <t>Juca, Ana Maria/0000-0003-0908-6819; Lotto, Matheus/0000-0002-0121-4006; Cruvinel Silva, Thiago/0000-0001-7095-908X; Menezes, Tamires/0000-0002-2184-5075; Santana Jorge, Olivia/0000-0002-5266-5798</t>
  </si>
  <si>
    <t>A2A0D</t>
  </si>
  <si>
    <t>Spring, Bonnie/0000-0003-0692-9868; Linville, Twila/0000-0002-8315-5731; Aaby, David/0000-0002-2395-3563; Lin, Annie/0000-0002-0045-8826</t>
  </si>
  <si>
    <t>Suarez-Obando, Fernando/AAY-3327-2021; Gomez-Restrepo, Carlos/ISA-2919-2023</t>
  </si>
  <si>
    <t>Gomez-Restrepo, Carlos/0000-0002-9013-5384</t>
  </si>
  <si>
    <t>Edwards, John/AAC-9878-2020; Sharma, Sujeet Kumar/HTP-3338-2023; Rana, Nripendra/ABA-4719-2020; Coombs, Crispin/J-6264-2012; Raman, Ramakrishnan/U-2170-2017; Dwivedi, Yogesh/A-5362-2008</t>
  </si>
  <si>
    <t>Raman, Ramakrishnan/0000-0003-3642-6989; Dwivedi, Yogesh/0000-0002-5547-9990; Edwards, John S./0000-0003-3979-017X; Upadhyay, Nitin/0000-0001-8301-8924; Constantiou, Ioanna/0000-0002-9761-1208</t>
  </si>
  <si>
    <t>Gil-Garcia, J./A-9636-2009</t>
  </si>
  <si>
    <t>Mikalef, Patrick/0000-0002-6788-2277; Lampu, Maija Tuulikki/0000-0001-6331-7847</t>
  </si>
  <si>
    <t>Fantauzzi, Chiara/HTR-6656-2023; Frondizi, Rocco/ABH-3850-2020; Appolloni, Andrea/L-3607-2014</t>
  </si>
  <si>
    <t>Appolloni, Andrea/0000-0001-5741-398X; Frondizi, Rocco/0000-0002-9913-349X</t>
  </si>
  <si>
    <t>Ribeiro, Sandra/AAC-1057-2022</t>
  </si>
  <si>
    <t>Marques Ribeiro, Sandra Patricia/0000-0002-6767-0151</t>
  </si>
  <si>
    <t>Mikheev, Alexey/AAR-8829-2021; Serkina, Yana/O-4544-2017</t>
  </si>
  <si>
    <t>Mikheev, Alexey/0000-0002-9875-8172</t>
  </si>
  <si>
    <t>GIACCONE, Sonia Caterina/0000-0002-4422-9566; BONACINI, Elisa/0000-0001-6987-6180</t>
  </si>
  <si>
    <t>Kurz, Alexander/0000-0001-6490-025X; McKnight, Katherine/0000-0002-8760-7408; , Liane/0000-0002-4111-5280</t>
  </si>
  <si>
    <t>Alamer, Albandary/GYA-4905-2022; Iqbal, Sardar Zafar/D-4586-2018; Gull, Hina/D-4552-2018; Alabbad, Dina/GYU-5534-2022; Saeed, Saqib/E-4381-2014; Saqib, Madeeha/GYA-2663-2022</t>
  </si>
  <si>
    <t>Saeed, Saqib/0000-0001-7136-3480; Alqahtani, Dr. Mohammed/0000-0002-5158-3344; Saqib, Madeeha/0000-0003-4856-8095; Al Qahtani, Saeed Hussein/0000-0002-7424-6420; Gull, Hina/0000-0002-6685-5189; Alabbad, Dina A./0000-0001-7624-8924; iqbal, sardar zafar/0000-0003-2076-0800</t>
  </si>
  <si>
    <t>Punin, Maria Isabel/G-7066-2015</t>
  </si>
  <si>
    <t>Punin, Maria Isabel/0000-0001-5052-824X</t>
  </si>
  <si>
    <t>Green Accepted, gold, Green Submitted</t>
  </si>
  <si>
    <t>Andriukaitiene, Regina/AAC-8251-2022; Vitalina, Nikitenko/AAQ-5631-2021; Voronkova, Valentyna/T-2057-2017; Holovii, Liudmyla/AET-4065-2022; Oleksenko, Roman/I-4725-2017</t>
  </si>
  <si>
    <t>Andriukaitiene, Regina/0000-0002-0691-7333; Oleksenko, Roman/0000-0002-2171-514X</t>
  </si>
  <si>
    <t>Czauderna, Andre/0000-0002-1091-5656; Budke, Alexandra/0000-0003-1063-8991</t>
  </si>
  <si>
    <t>Fandino Parra, Yamith Jose/N-6508-2014</t>
  </si>
  <si>
    <t>Fandino Parra, Yamith Jose/0000-0002-5567-5465</t>
  </si>
  <si>
    <t>Lampoltshammer, Thomas/G-7781-2011; Edelmann, Noella/P-7459-2017; Mergel, Ines/Q-7249-2016</t>
  </si>
  <si>
    <t>Lampoltshammer, Thomas J./0000-0002-1122-6908; Edelmann, Noella/0000-0001-8386-9585; Mergel, Ines/0000-0003-0285-4758</t>
  </si>
  <si>
    <t>Jiménez, Carmen/AAS-5135-2021; Campos Soto, María Natalia/KRQ-4362-2024; Aravena, Margarita/AAD-8079-2021</t>
  </si>
  <si>
    <t>Aravena Gaete, Margarita Ercilia/0000-0003-3198-8384; Campos Soto, Maria Natalia/0000-0002-3361-2930; Rodriguez Jimenez, Carmen/0000-0001-8623-8316</t>
  </si>
  <si>
    <t>Lyons, Sean/AAH-7579-2019; McCoy, Selina/ABC-9817-2020</t>
  </si>
  <si>
    <t>Volkenstein, Stefan/AAD-2719-2019</t>
  </si>
  <si>
    <t>Universidade de Lisboa; Institute of Social Sciences, University of Lisbon (ICS-UL)</t>
  </si>
  <si>
    <t>Silva, Carolina/0000-0003-2060-2693</t>
  </si>
  <si>
    <t>Mylonas, Naoum/AAD-8214-2019; Kourouthanassis, Panos/L-2955-2018</t>
  </si>
  <si>
    <t>Kourouthanassis, Panos/0000-0003-2048-9694; Nikopoulou, Maria/0000-0003-3870-0216</t>
  </si>
  <si>
    <t>La Parra-Casado, Daniel/I-5481-2016; Papi-Galvez, Natalia/A-1408-2019</t>
  </si>
  <si>
    <t>Papi-Galvez, Natalia/0000-0002-4871-1691; La Parra-Casado, Daniel/0000-0002-9096-3972</t>
  </si>
  <si>
    <t>Perez-Curiel, Concha/O-4919-2018; Velasco Molpeceres, Ana/P-4568-2016</t>
  </si>
  <si>
    <t>Perez-Curiel, Concha/0000-0002-1888-0451; Zarauza Castro, Jorge/0000-0001-6319-7080; Velasco Molpeceres, Ana/0000-0002-0593-0325</t>
  </si>
  <si>
    <t>Cuevas, Joshua/AAX-5372-2021</t>
  </si>
  <si>
    <t>Herrero-De-la-Fuente, Mercedes/V-6141-2018</t>
  </si>
  <si>
    <t>Herrero-De-la-Fuente, Mercedes/0000-0002-5361-9056</t>
  </si>
  <si>
    <t>University of Buenos Aires; University of Buenos Aires; Consejo Nacional de Investigaciones Cientificas y Tecnicas (CONICET)</t>
  </si>
  <si>
    <t>Burin, D. I./0000-0002-2515-719X</t>
  </si>
  <si>
    <t>Gil-Garcia, J./A-9636-2009; Picazo-Vela, Sergio/K-3879-2013; Puron-Cid, Gabriel/AAY-5661-2021; Luna, Dolores Edwiges/T-4076-2017; Luna-Reyes, Luis/G-5548-2012</t>
  </si>
  <si>
    <t>Luna, Dolores Edwiges/0000-0002-0601-5006; Puron-Cid, Gabriel/0000-0002-6272-7374; Gil-Garcia, J. Ramon/0000-0002-1033-4974; Luna-Reyes, Luis/0000-0002-0852-404X</t>
  </si>
  <si>
    <t>Zink, Alexander/S-4445-2019; Welzel, Julia/AAG-9988-2019; Wijnen-Meijer, Marjo/AAP-9518-2021</t>
  </si>
  <si>
    <t>Jewitt, Katharine/AAZ-1561-2020; baxter, jacqueline/L-2715-2019; Floyd, Alan/AAZ-5577-2020; Floyd, Alan/E-8017-2017</t>
  </si>
  <si>
    <t>Floyd, Alan/0000-0002-2008-7831; Baxter, Jacqueline/0000-0001-6650-2984; Jewitt, Dr Katharine/0000-0002-9037-422X</t>
  </si>
  <si>
    <t>Santos-Villalba, María/AAE-7185-2021; García Aguilera, Francisco José/AAE-5361-2021; Alcalá del Olmo Fernández, María José/JZE-4244-2024</t>
  </si>
  <si>
    <t>Walmsley, Anthony/V-8585-2018; Dias da Silva, Marco Antonio/K-4730-2012</t>
  </si>
  <si>
    <t>Dias da Silva, Marco Antonio/0000-0002-2774-4769; Pereira, Andresa Costa/0000-0002-3654-6123; Walmsley, Anthony Damien/0000-0003-4970-0764</t>
  </si>
  <si>
    <t>Penalba, Ericson/0000-0001-5834-4859</t>
  </si>
  <si>
    <t>Hurtado Mazeyra, Alejandra Lucía/JNR-3104-2023; Núñez-Pacheco, Rosa/AAA-9506-2020</t>
  </si>
  <si>
    <t>Hurtado-Mazeyra, Alejandra/0000-0002-0113-1673</t>
  </si>
  <si>
    <t>Boyle, Neasa/0000-0003-4226-0751; Marshall, Kevin/0000-0002-6793-5535; O'Sullivan, Katriona/0000-0001-7202-0033; Clark, Serena/0000-0001-8405-576X</t>
  </si>
  <si>
    <t>Mohamed Soliman, Mohamed Soliman/0000-0003-2212-3813</t>
  </si>
  <si>
    <t>Marin, Beatriz/KVB-9153-2024</t>
  </si>
  <si>
    <t>Ballon, Pieter/KGL-1886-2024</t>
  </si>
  <si>
    <t>Delaere, Simon/0000-0003-3775-6592; Van Audenhove, Leo/0000-0002-1093-9041; Ballon, Pieter/0000-0001-6066-3242</t>
  </si>
  <si>
    <t>Petiz, Eva/GPK-6277-2022; Lousa, Eva/S-1815-2018; Lousa, Mario/AAA-3387-2019</t>
  </si>
  <si>
    <t>Lousa, Eva/0000-0001-8212-8638; Lousa, Mario/0000-0001-7776-5528</t>
  </si>
  <si>
    <t>Albahar, Marwan/AFN-4974-2022</t>
  </si>
  <si>
    <t>Albahar, Marwan/0000-0003-3586-3423</t>
  </si>
  <si>
    <t>Fernández-Díaz, Elia/H-2790-2015; CORREA GOROSPE, JOSE MIGUEL/L-5627-2013</t>
  </si>
  <si>
    <t>CORREA GOROSPE, JOSE MIGUEL/0000-0002-6570-9905</t>
  </si>
  <si>
    <t>Sun, Tianshu/AAD-7598-2019</t>
  </si>
  <si>
    <t>Wu, Kuo-Jui/N-1926-2019; Lim, Ming K/D-1476-2017; Tseng, Ming Lang/M-9051-2014</t>
  </si>
  <si>
    <t>Wu, Kuo-Jui/0000-0002-6246-8245; Lim, Ming K/0000-0003-0809-9431; Tseng, Ming Lang/0000-0002-2702-3590</t>
  </si>
  <si>
    <t>Sonar, Dr. Harshad/AAX-6460-2021; Kharde, Dr Yashomandira/JMR-0741-2023; Ghag, Nikhil/HTS-6859-2023</t>
  </si>
  <si>
    <t>KHARDE, YASHOMANDIRA/0000-0002-4705-1038; Sonar, Harshad/0000-0001-9114-7785; Ghag, Nikhil/0000-0002-6823-3279</t>
  </si>
  <si>
    <t>GJ6S0</t>
  </si>
  <si>
    <t>University of Macedonia; Aristotle University of Thessaloniki; International Hellenic University; Open University of Cyprus</t>
  </si>
  <si>
    <t>Lioutas, Evagelos/AGK-8015-2022; Talias, Michael/R-1867-2017; Charatsari, Chrysanthi/X-2312-2019; Kamariotou, Maria/AAZ-8488-2021; Kitsios, Fotis/B-2286-2017</t>
  </si>
  <si>
    <t>Talias, Michael/0000-0002-1802-5586; Kitsios, Fotis/0000-0001-7269-5567; Charatsari, Chrysanthi/0000-0002-9160-3469</t>
  </si>
  <si>
    <t>zheng, wei/IQT-9639-2023; Lin, Zhibin/R-7541-2018</t>
  </si>
  <si>
    <t>WU, ZHEN/0000-0001-8719-057X; Lin, Zhibin/0000-0001-5575-2216</t>
  </si>
  <si>
    <t>DePaul University; Universidade Federal do Parana; Universite de Montreal; Laval University; Universidade Federal do Parana</t>
  </si>
  <si>
    <t>Rezende, Denis Alcides/AAR-2488-2021; Guimaraes, Thiago Andre/JCN-8842-2023; Fumagalli, Luis Andre Wernecke/C-7061-2013</t>
  </si>
  <si>
    <t>Fumagalli, Luis Andre Wernecke/0000-0002-1406-5230</t>
  </si>
  <si>
    <t>Alizadeh, Tooran/AAX-2371-2020; Sipe, Neil/A-4052-2009</t>
  </si>
  <si>
    <t>Alizadeh, Tooran/0000-0001-5424-3348; Sipe, Neil/0000-0002-3228-3768</t>
  </si>
  <si>
    <t>Zapperi, Stefano/0000-0001-5692-5465; Bonfanti, Silvia/0000-0002-0323-8714; Guerra, Roberto/0000-0002-1278-8021</t>
  </si>
  <si>
    <t>Sipe, Neil/0000-0002-3228-3768</t>
  </si>
  <si>
    <t>Rezende, Denis Alcides/AAR-2488-2021; Zarpelão, Bruno/D-6845-2013</t>
  </si>
  <si>
    <t>MENDES, LEONARDO/0000-0001-6712-2203; Bogaz Zarpelao, Bruno/0000-0001-9172-3578</t>
  </si>
  <si>
    <t>GEORGIADIS, CHRISTOS/AAM-7076-2021</t>
  </si>
  <si>
    <t>Georgiadis, Christos/0000-0003-0897-9009</t>
  </si>
  <si>
    <t>Gregori, Stefano/U-8583-2019; Ng, Pc/ITV-2513-2023; Plataniotis, Konstantinos/E-8471-2014</t>
  </si>
  <si>
    <t>Ng, Pai Chet/0000-0001-9153-5411; Gregori, Stefano/0000-0001-5410-1139; Plataniotis, Konstantinos/0000-0003-3647-5473</t>
  </si>
  <si>
    <t>; Corchado, Juan Manuel/D-3229-2013</t>
  </si>
  <si>
    <t>Castillo Ossa, Luis Fernando/0000-0002-2878-8229; Corchado, Juan Manuel/0000-0002-2829-1829; LOPEZ CASTANO, CARLOS ALBERTO/0000-0001-8764-7496</t>
  </si>
  <si>
    <t>Matzler, Kurt/M-5994-2013; Marangon, Francesco/P-5554-2015</t>
  </si>
  <si>
    <t>Matzler, Kurt/0000-0002-3132-4388; Marangon, Francesco/0000-0001-7519-2922</t>
  </si>
  <si>
    <t>Tumová, Dominika/AAY-2006-2021; Jankal, Radoslav/P-1044-2016; Koman, Gabriel/AAE-6629-2021</t>
  </si>
  <si>
    <t>Koman, Gabriel/0000-0001-7562-5476; Bubeliny, Oliver/0000-0002-0818-2510</t>
  </si>
  <si>
    <t>Guimaraes, Thiago Andre/JCN-8842-2023; Rezende, Denis Alcides/AAR-2488-2021; Fumagalli, Luis Andre Wernecke/C-7061-2013</t>
  </si>
  <si>
    <t>Fumagalli, Luis Andre Wernecke/0000-0002-1406-5230; Rezende, Denis Alcides/0000-0002-3327-0424; Guimaraes, Thiago Andre/0000-0003-2483-976X</t>
  </si>
  <si>
    <t>Ribeiro, Sergio/D-1944-2017</t>
  </si>
  <si>
    <t>Ojo, Adegboyega/AAU-9932-2021; Singh, Harminder/AAY-4506-2021</t>
  </si>
  <si>
    <t>Krajnovic, Aleksandra/AFK-4097-2022</t>
  </si>
  <si>
    <t>Barrientos, Francisco/C-1040-2013; Tondelli, Simona/AAD-6167-2021; Egusquiza, Aitziber/ABB-6332-2021; Orlando, Matteo/GNH-5781-2022; Dinler, Mesut/ISB-7720-2023; de Luca, Claudia/AFL-6981-2022; Aliberti, Alessandro/T-6571-2019</t>
  </si>
  <si>
    <t>Martin, John/0000-0003-3363-8855; Aliberti, Alessandro/0000-0001-8828-608X; Amirzada, Zahra/0009-0004-0990-1718; Pavlova, Irina/0000-0003-1675-845X; Dinler, Mesut/0000-0001-5816-1278; Barrientos, Francisco/0000-0001-6528-0902; Tondelli, Simona/0000-0003-0891-7852; Manteigas Cunha, Luis Filipe/0000-0003-4345-1162; ORLANDO, MATTEO/0000-0002-7028-2301</t>
  </si>
  <si>
    <t>Santos, Vasco/F-9780-2017; Dias, Alvaro/T-7293-2019; Sousa, Bruno/A-5325-2019</t>
  </si>
  <si>
    <t>Dias, Alvaro/0000-0003-4074-1586; Sousa, Bruno/0000-0002-8588-2422; Santos, Vasco/0000-0002-3535-9377; Arantes, Luzia/0000-0003-1179-9113</t>
  </si>
  <si>
    <t>Ferlin, Edson/AAM-4371-2021; Rezende, Denis Alcides/AAR-2488-2021</t>
  </si>
  <si>
    <t>van Tuijl, Erwin/0000-0002-8239-8352; Carvalho, Luis/0000-0002-7700-4558</t>
  </si>
  <si>
    <t>Universidade Federal do Parana; Universidade Tecnologica Federal do Parana; Pontificia Universidade Catolica do Parana; Instituto Federal do Parana; Universidade Federal da Integracao Latino-Americana; Pontificia Universidade Catolica do Parana</t>
  </si>
  <si>
    <t>Rezende, Denis Alcides/AAR-2488-2021; da Silva, Marcelo/AAI-5016-2021; Almeida, Giovana Goretti Feijó/I-2491-2016</t>
  </si>
  <si>
    <t>Almeida, Giovana Goretti Feijó/I-2491-2016; Rezende, Denis Alcides/AAR-2488-2021</t>
  </si>
  <si>
    <t>yudaruddin, rizky/0000-0002-0850-9747</t>
  </si>
  <si>
    <t>Lestari, Diyan/AAC-6232-2022</t>
  </si>
  <si>
    <t>Ma, Shiguang/0000-0003-4510-4236</t>
  </si>
  <si>
    <t>Doellgast, Virginia/0000-0001-8503-694X</t>
  </si>
  <si>
    <t>Pettersson, Katarina/I-3330-2019</t>
  </si>
  <si>
    <t>Ridout, Travis/A-2589-2010</t>
  </si>
  <si>
    <t>Franz, Michael/0000-0001-5996-075X; Franklin Fowler, Erika/0000-0003-3141-572X; Yao, Jielu/0000-0002-2787-3405; Neumann, Markus/0000-0002-9681-4003</t>
  </si>
  <si>
    <t>MAY 10</t>
  </si>
  <si>
    <t>AP4J8</t>
  </si>
  <si>
    <t>Oztig, Lacin/AAN-7181-2021</t>
  </si>
  <si>
    <t>FO4N5</t>
  </si>
  <si>
    <t>Rundel, Christina/T-1799-2017</t>
  </si>
  <si>
    <t>Rundel, Christina/0000-0002-3687-9198; Salemink, Koen/0000-0002-9331-7343</t>
  </si>
  <si>
    <t>Hungarian Academy of Sciences; Hungarian Research Network; HUN-REN Centre for Economic &amp; Regional Studies; John von Neumann University</t>
  </si>
  <si>
    <t>Szalai, Ádám/ABA-2250-2021; Zsolt, Farkas/AAX-1818-2020</t>
  </si>
  <si>
    <t>Hoyk, Edit/0000-0002-2956-8308; Farkas, Jeno Zsolt/0000-0002-4245-2908; Szalai, Adam/0000-0002-8786-0470</t>
  </si>
  <si>
    <t>Electric Power Research Institute (EPRI); University System of Ohio; Case Western Reserve University</t>
  </si>
  <si>
    <t>Tomim, Marcelo/AAH-8466-2020; de Almeida, Pedro/Q-5244-2019; Almeida, Andrei/GLU-7810-2022; de Almeida, Pedro/O-6438-2018; Aroca Tomim, Marcelo/N-1375-2016; Gomes Barbosa, Pedro/E-8472-2014</t>
  </si>
  <si>
    <t>de Oliveira Almeida, Andrei/0000-0003-2072-8683; de Almeida, Pedro/0000-0003-0979-0865; Aroca Tomim, Marcelo/0000-0003-1854-0198; Gomes Barbosa, Pedro/0000-0003-3838-2668</t>
  </si>
  <si>
    <t>Finnish Academy [298323, 294228]; Academy of Finland (AKA) [294228] Funding Source: Academy of Finland (AKA)</t>
  </si>
  <si>
    <t>Picchio, Francesca/Q-7873-2018</t>
  </si>
  <si>
    <t>PICCHIO, FRANCESCA/0000-0002-8072-584X</t>
  </si>
  <si>
    <t>OGREAN, CLAUDIA/C-6678-2008; HERCIU, MIHAELA/C-5875-2008</t>
  </si>
  <si>
    <t>HERCIU, MIHAELA/0000-0001-9649-2043</t>
  </si>
  <si>
    <t>Moretti, Laura/B-7123-2013; Loprencipe, Giuseppe/C-2223-2013</t>
  </si>
  <si>
    <t>Slobodnik, Jaroslav/AAA-9721-2021; Zare Jeddi, Maryam/KXQ-7738-2024; Fantke, Peter/N-2704-2015</t>
  </si>
  <si>
    <t>Zare Jeddi, Maryam/0000-0002-9505-812X; Fantke, Peter/0000-0001-7148-6982; Kosnik, Marissa/0000-0002-2609-5816; Dimitroulopoulou, Sani/0000-0001-9913-1526; Cascio, Claudia/0000-0002-3810-4134</t>
  </si>
  <si>
    <t>12 Responsible Consumption And Production</t>
  </si>
  <si>
    <t>11 Sustainable Cities And Communities</t>
  </si>
  <si>
    <t>01 No Poverty</t>
  </si>
  <si>
    <t>08 Decent Work And Economic Growth</t>
  </si>
  <si>
    <t>10 Reduced Inequality</t>
  </si>
  <si>
    <t>05 Gender Equality</t>
  </si>
  <si>
    <t>16 Peace And Justice Strong Institutions</t>
  </si>
  <si>
    <t>02 Zero Hunger</t>
  </si>
  <si>
    <t>07 Affordable And Clean Energy</t>
  </si>
  <si>
    <t>15 Life On Land</t>
  </si>
  <si>
    <t>13 Climate Action</t>
  </si>
  <si>
    <t>06 Clean Water And Sanitation</t>
  </si>
  <si>
    <t>SDG9</t>
  </si>
  <si>
    <t>SDG3</t>
  </si>
  <si>
    <t>SDG4</t>
  </si>
  <si>
    <t>SDG12</t>
  </si>
  <si>
    <t>SDG11</t>
  </si>
  <si>
    <t>SDG01</t>
  </si>
  <si>
    <t>SDG08</t>
  </si>
  <si>
    <t>SDG10</t>
  </si>
  <si>
    <t>SDG05</t>
  </si>
  <si>
    <t>SDG16</t>
  </si>
  <si>
    <t>SDG02</t>
  </si>
  <si>
    <t>SDG07</t>
  </si>
  <si>
    <t>SDG15</t>
  </si>
  <si>
    <t>SDG13</t>
  </si>
  <si>
    <t>SDG06</t>
  </si>
  <si>
    <t>AUTORES</t>
  </si>
  <si>
    <t>Etiquetas de fila</t>
  </si>
  <si>
    <t>Cuenta de AUTORES</t>
  </si>
  <si>
    <t>Publications</t>
  </si>
  <si>
    <t>Red</t>
  </si>
  <si>
    <t>Afiliación</t>
  </si>
  <si>
    <t>País</t>
  </si>
  <si>
    <t>Aaby, D</t>
  </si>
  <si>
    <t>Abbas, A</t>
  </si>
  <si>
    <t>Sakas, DP</t>
  </si>
  <si>
    <t>Guimaraes, Thiago Andre</t>
  </si>
  <si>
    <t>Abbene, L</t>
  </si>
  <si>
    <t>Kanellos, N</t>
  </si>
  <si>
    <t>Briercrest Coll &amp; Seminary</t>
  </si>
  <si>
    <t>Abdoler, E</t>
  </si>
  <si>
    <t>Giannakopoulos, NT</t>
  </si>
  <si>
    <t>Procopiuck, Mario</t>
  </si>
  <si>
    <t>Abedin, B</t>
  </si>
  <si>
    <t>de Almeida, GGF</t>
  </si>
  <si>
    <t>Figueiredo, Frederico de Carvalho</t>
  </si>
  <si>
    <t>Pontifical Catholic Univ, Postgrad Program Urban Management</t>
  </si>
  <si>
    <t>Ackerman, JM</t>
  </si>
  <si>
    <t>Total</t>
  </si>
  <si>
    <t>Acuto, M</t>
  </si>
  <si>
    <t>Saura, JR</t>
  </si>
  <si>
    <t>Agarwal, S</t>
  </si>
  <si>
    <t>Agnihotri, R</t>
  </si>
  <si>
    <t>Castillo, JGD</t>
  </si>
  <si>
    <t>Agudelo, C</t>
  </si>
  <si>
    <t>Wrigley, C</t>
  </si>
  <si>
    <t>Aguilera, FJG</t>
  </si>
  <si>
    <t>Zhou, J</t>
  </si>
  <si>
    <t>Ahrens, A</t>
  </si>
  <si>
    <t>Zardini, A</t>
  </si>
  <si>
    <t>Aidi, M</t>
  </si>
  <si>
    <t>Tapia-Conyer, R</t>
  </si>
  <si>
    <t>Woods, S</t>
  </si>
  <si>
    <t>Ainsworth, J</t>
  </si>
  <si>
    <t>Tseng, ML</t>
  </si>
  <si>
    <t>Akbulut, S</t>
  </si>
  <si>
    <t>Zapperi, S</t>
  </si>
  <si>
    <t>Al Qahtani, SH</t>
  </si>
  <si>
    <t>Vázquez-Herrero, J</t>
  </si>
  <si>
    <t>Alabbad, DA</t>
  </si>
  <si>
    <t>Zhang, Y</t>
  </si>
  <si>
    <t>Alamer, A</t>
  </si>
  <si>
    <t>Weerabahu, WMSK</t>
  </si>
  <si>
    <t>Al-Amin, M</t>
  </si>
  <si>
    <t>Williams, CA</t>
  </si>
  <si>
    <t>Albahar, MA</t>
  </si>
  <si>
    <t>Wang, L</t>
  </si>
  <si>
    <t>Al-Begain, K</t>
  </si>
  <si>
    <t>Samaranayake, P</t>
  </si>
  <si>
    <t>Albiston, M</t>
  </si>
  <si>
    <t>Straker, K</t>
  </si>
  <si>
    <t>Albrecht, UV</t>
  </si>
  <si>
    <t>Alcaraz, PP</t>
  </si>
  <si>
    <t>Roca, JB</t>
  </si>
  <si>
    <t>Alejandro-Oviedo, O</t>
  </si>
  <si>
    <t>Rezaeirad, M</t>
  </si>
  <si>
    <t>Alexander, GL</t>
  </si>
  <si>
    <t>Saucedo-Martínez, R</t>
  </si>
  <si>
    <t>Alford, P</t>
  </si>
  <si>
    <t>Reyneri, L</t>
  </si>
  <si>
    <t>Alhassan, I</t>
  </si>
  <si>
    <t>Schallmo, D</t>
  </si>
  <si>
    <t>Ali, Q</t>
  </si>
  <si>
    <t>Senna, PP</t>
  </si>
  <si>
    <t>Aliberti, A</t>
  </si>
  <si>
    <t>Rodriguez, J</t>
  </si>
  <si>
    <t>Alkema, P</t>
  </si>
  <si>
    <t>Sebastian, IM</t>
  </si>
  <si>
    <t>Almeida, PM</t>
  </si>
  <si>
    <t>Ross, JW</t>
  </si>
  <si>
    <t>Alqahtani, MA</t>
  </si>
  <si>
    <t>Spec, A</t>
  </si>
  <si>
    <t>Alshurafa, N</t>
  </si>
  <si>
    <t>Rossignoli, C</t>
  </si>
  <si>
    <t>Alvayero, RD</t>
  </si>
  <si>
    <t>Roy, M</t>
  </si>
  <si>
    <t>Amaliah, I</t>
  </si>
  <si>
    <t>Swartz, TH</t>
  </si>
  <si>
    <t>Amato, M</t>
  </si>
  <si>
    <t>Pateli, A</t>
  </si>
  <si>
    <t>Amoroso, S</t>
  </si>
  <si>
    <t>Nasiopoulos, DK</t>
  </si>
  <si>
    <t>Anderson, A</t>
  </si>
  <si>
    <t>Naraine, ML</t>
  </si>
  <si>
    <t>Andriukaitiene, R</t>
  </si>
  <si>
    <t>Montoya, A</t>
  </si>
  <si>
    <t>Angelopoulos, M</t>
  </si>
  <si>
    <t>Palos-Sanchez, P</t>
  </si>
  <si>
    <t>Antonialli, LM</t>
  </si>
  <si>
    <t>Mylonas, N</t>
  </si>
  <si>
    <t>Anzera, G</t>
  </si>
  <si>
    <t>Procopiuck, M</t>
  </si>
  <si>
    <t>Aparicio, S</t>
  </si>
  <si>
    <t>Nakandala, D</t>
  </si>
  <si>
    <t>Orlandi, LB</t>
  </si>
  <si>
    <t>Aránguiz, M</t>
  </si>
  <si>
    <t>Llamas, MS</t>
  </si>
  <si>
    <t>Araújo, AA</t>
  </si>
  <si>
    <t>Martínez-Juárez, LA</t>
  </si>
  <si>
    <t>Aravopoulou, E</t>
  </si>
  <si>
    <t>Arboleda, H</t>
  </si>
  <si>
    <t>Kraus, S</t>
  </si>
  <si>
    <t>Armenta, JA</t>
  </si>
  <si>
    <t>Lim, MK</t>
  </si>
  <si>
    <t>Arunachalam, S</t>
  </si>
  <si>
    <t>Lewis, S</t>
  </si>
  <si>
    <t>As'ad, R</t>
  </si>
  <si>
    <t>Merchant, RM</t>
  </si>
  <si>
    <t>Ascagni, M</t>
  </si>
  <si>
    <t>Asprone, D</t>
  </si>
  <si>
    <t>Lotto, M</t>
  </si>
  <si>
    <t>Assimakopoulos, V</t>
  </si>
  <si>
    <t>Marcelin, JR</t>
  </si>
  <si>
    <t>Auchter, A</t>
  </si>
  <si>
    <t>Aufderheide, TP</t>
  </si>
  <si>
    <t>Li, X</t>
  </si>
  <si>
    <t>Aurisano, N</t>
  </si>
  <si>
    <t>Mergel, I</t>
  </si>
  <si>
    <t>Ayeni, AWA</t>
  </si>
  <si>
    <t>Khan, S</t>
  </si>
  <si>
    <t>Aytekin, A</t>
  </si>
  <si>
    <t>Jones, SS</t>
  </si>
  <si>
    <t>Azam, S</t>
  </si>
  <si>
    <t>Islam, MA</t>
  </si>
  <si>
    <t>Azevedo, A</t>
  </si>
  <si>
    <t>Gallardo-Rincón, H</t>
  </si>
  <si>
    <t>Azmeh, S</t>
  </si>
  <si>
    <t>Gasco, J</t>
  </si>
  <si>
    <t>Babu, MM</t>
  </si>
  <si>
    <t>Gonzalez, R</t>
  </si>
  <si>
    <t>Baetta, R</t>
  </si>
  <si>
    <t>Khalili-Mahani, N</t>
  </si>
  <si>
    <t>Baik, SH</t>
  </si>
  <si>
    <t>Baiyere, A</t>
  </si>
  <si>
    <t>Cruvinel, T</t>
  </si>
  <si>
    <t>Bajaj, SS</t>
  </si>
  <si>
    <t>Fernández, LR</t>
  </si>
  <si>
    <t>Baldacchino, A</t>
  </si>
  <si>
    <t>Fernandez-Vidal, J</t>
  </si>
  <si>
    <t>Ballon, P</t>
  </si>
  <si>
    <t>Figueiredo, FD</t>
  </si>
  <si>
    <t>Bamarouf, YA</t>
  </si>
  <si>
    <t>del Rio, C</t>
  </si>
  <si>
    <t>Bandi, S</t>
  </si>
  <si>
    <t>Foria, F</t>
  </si>
  <si>
    <t>Baquedano, JSM</t>
  </si>
  <si>
    <t>Barberà, E</t>
  </si>
  <si>
    <t>Barros, AC</t>
  </si>
  <si>
    <t>Barbosa, PG</t>
  </si>
  <si>
    <t>Barbulescu, O</t>
  </si>
  <si>
    <t>Barrett, M</t>
  </si>
  <si>
    <t>Barchino, AT</t>
  </si>
  <si>
    <t>Bardon, C</t>
  </si>
  <si>
    <t>Calicchio, M</t>
  </si>
  <si>
    <t>Barlow, A</t>
  </si>
  <si>
    <t>Barlow, B</t>
  </si>
  <si>
    <t>Budke, A</t>
  </si>
  <si>
    <t>Barnett, DJ</t>
  </si>
  <si>
    <t>Arayesh, MB</t>
  </si>
  <si>
    <t>Basl, J</t>
  </si>
  <si>
    <t>Barrett, ND</t>
  </si>
  <si>
    <t>Zheng, R</t>
  </si>
  <si>
    <t>Barrientos, F</t>
  </si>
  <si>
    <t>Xu, C</t>
  </si>
  <si>
    <t>Wilcox, M</t>
  </si>
  <si>
    <t>Tang, XW</t>
  </si>
  <si>
    <t>Barrowclough, C</t>
  </si>
  <si>
    <t>Yuldashev, S</t>
  </si>
  <si>
    <t>Tantscher, D</t>
  </si>
  <si>
    <t>Webb, JB</t>
  </si>
  <si>
    <t>Bataglini, WV</t>
  </si>
  <si>
    <t>Talias, MA</t>
  </si>
  <si>
    <t>Baudier, P</t>
  </si>
  <si>
    <t>Wooten, D</t>
  </si>
  <si>
    <t>Baumel, A</t>
  </si>
  <si>
    <t>Tavella, NF</t>
  </si>
  <si>
    <t>Baym, NK</t>
  </si>
  <si>
    <t>Yehudi, Y</t>
  </si>
  <si>
    <t>Bayraktar, D</t>
  </si>
  <si>
    <t>Tello, L</t>
  </si>
  <si>
    <t>Bazinet, J</t>
  </si>
  <si>
    <t>Zhang, GQ</t>
  </si>
  <si>
    <t>Beath, C</t>
  </si>
  <si>
    <t>Terkowitz, M</t>
  </si>
  <si>
    <t>Beath, CM</t>
  </si>
  <si>
    <t>Becerra, TD</t>
  </si>
  <si>
    <t>Terzi, MC</t>
  </si>
  <si>
    <t>Bedoya, JWB</t>
  </si>
  <si>
    <t>Wessel, M</t>
  </si>
  <si>
    <t>Bellandi, N</t>
  </si>
  <si>
    <t>Teza, G</t>
  </si>
  <si>
    <t>Bellinger, C</t>
  </si>
  <si>
    <t>Willman, C</t>
  </si>
  <si>
    <t>Beltran, A</t>
  </si>
  <si>
    <t>Thiel, R</t>
  </si>
  <si>
    <t>Belzer, M</t>
  </si>
  <si>
    <t>Wu, SH</t>
  </si>
  <si>
    <t>Benassi, HM</t>
  </si>
  <si>
    <t>Benavides, AVV</t>
  </si>
  <si>
    <t>Yang, DY</t>
  </si>
  <si>
    <t>Ben-Daya, M</t>
  </si>
  <si>
    <t>Benghozi, PJ</t>
  </si>
  <si>
    <t>Yu, HL</t>
  </si>
  <si>
    <t>Benhayoun, L</t>
  </si>
  <si>
    <t>Thomas, J</t>
  </si>
  <si>
    <t>Benitez, GB</t>
  </si>
  <si>
    <t>Zarauza-Castro, J</t>
  </si>
  <si>
    <t>Benlian, A</t>
  </si>
  <si>
    <t>Thomas, M</t>
  </si>
  <si>
    <t>Bent, R</t>
  </si>
  <si>
    <t>Zhang, W</t>
  </si>
  <si>
    <t>Bényei, J</t>
  </si>
  <si>
    <t>Thompson, A</t>
  </si>
  <si>
    <t>Berardi, V</t>
  </si>
  <si>
    <t>Zweig, M</t>
  </si>
  <si>
    <t>Berg, E</t>
  </si>
  <si>
    <t>Bernard, G</t>
  </si>
  <si>
    <t>Warley, S</t>
  </si>
  <si>
    <t>Berrio-Valbuena, J</t>
  </si>
  <si>
    <t>Thorns, DC</t>
  </si>
  <si>
    <t>Berry, K</t>
  </si>
  <si>
    <t>Welzel, J</t>
  </si>
  <si>
    <t>Bertello, A</t>
  </si>
  <si>
    <t>Thurman, N</t>
  </si>
  <si>
    <t>Bertrand, Y</t>
  </si>
  <si>
    <t>Wharton, RM</t>
  </si>
  <si>
    <t>Bertrandias, L</t>
  </si>
  <si>
    <t>Tian, JX</t>
  </si>
  <si>
    <t>Berwanger, O</t>
  </si>
  <si>
    <t>Willermark, S</t>
  </si>
  <si>
    <t>Bettinger, P</t>
  </si>
  <si>
    <t>Tidd, J</t>
  </si>
  <si>
    <t>Beuer, F</t>
  </si>
  <si>
    <t>Wolniak, R</t>
  </si>
  <si>
    <t>Bevilacqua, F</t>
  </si>
  <si>
    <t>Tiernan, P</t>
  </si>
  <si>
    <t>Bhandarkar, BM</t>
  </si>
  <si>
    <t>Wu, JC</t>
  </si>
  <si>
    <t>Bhansing, PV</t>
  </si>
  <si>
    <t>Tierney, R</t>
  </si>
  <si>
    <t>Bhattacharyya, SS</t>
  </si>
  <si>
    <t>Bidlo, M</t>
  </si>
  <si>
    <t>Tíjaro-Ovalle, N</t>
  </si>
  <si>
    <t>Biedermann, T</t>
  </si>
  <si>
    <t>Xu, SX</t>
  </si>
  <si>
    <t>Bilbao, MN</t>
  </si>
  <si>
    <t>Tikkala, E</t>
  </si>
  <si>
    <t>Bilyi, D</t>
  </si>
  <si>
    <t>Yao, Q</t>
  </si>
  <si>
    <t>Birkenes, TS</t>
  </si>
  <si>
    <t>Timm-Bottos, J</t>
  </si>
  <si>
    <t>Bispo, LVD</t>
  </si>
  <si>
    <t>Bitencourt, ED</t>
  </si>
  <si>
    <t>Tkachuk, LN</t>
  </si>
  <si>
    <t>Bjerkan, J</t>
  </si>
  <si>
    <t>Yu, SC</t>
  </si>
  <si>
    <t>Blandini, F</t>
  </si>
  <si>
    <t>Todd, A</t>
  </si>
  <si>
    <t>Boadu, F</t>
  </si>
  <si>
    <t>Zaman, M</t>
  </si>
  <si>
    <t>Boasquevisque, DD</t>
  </si>
  <si>
    <t>Boettinger, E</t>
  </si>
  <si>
    <t>Zavala, AMM</t>
  </si>
  <si>
    <t>Boger, J</t>
  </si>
  <si>
    <t>Boisson, C</t>
  </si>
  <si>
    <t>Zhang, KW</t>
  </si>
  <si>
    <t>Boland, F</t>
  </si>
  <si>
    <t>Tomim, MA</t>
  </si>
  <si>
    <t>Bolaños, A</t>
  </si>
  <si>
    <t>Zhang, ZP</t>
  </si>
  <si>
    <t>Bolaños, E</t>
  </si>
  <si>
    <t>Borda, A</t>
  </si>
  <si>
    <t>Zhou, N</t>
  </si>
  <si>
    <t>Borrero-Domínguez, JD</t>
  </si>
  <si>
    <t>Tondelli, S</t>
  </si>
  <si>
    <t>Bosari, S</t>
  </si>
  <si>
    <t>Wang, XC</t>
  </si>
  <si>
    <t>Bossink, B</t>
  </si>
  <si>
    <t>Torok, M</t>
  </si>
  <si>
    <t>Botton, JP</t>
  </si>
  <si>
    <t>Wang, YY</t>
  </si>
  <si>
    <t>Boudemaghe, T</t>
  </si>
  <si>
    <t>Torre-Bastida, A</t>
  </si>
  <si>
    <t>Boussaïd, F</t>
  </si>
  <si>
    <t>Wasim, J</t>
  </si>
  <si>
    <t>Bouzerdoum, A</t>
  </si>
  <si>
    <t>Bowen, JP</t>
  </si>
  <si>
    <t>Tamborrino, R</t>
  </si>
  <si>
    <t>Boyle, N</t>
  </si>
  <si>
    <t>Bradley, SM</t>
  </si>
  <si>
    <t>Werner, A</t>
  </si>
  <si>
    <t>Bradshaw, R</t>
  </si>
  <si>
    <t>Torvatn, HY</t>
  </si>
  <si>
    <t>Brand, M</t>
  </si>
  <si>
    <t>Westmoreland, D</t>
  </si>
  <si>
    <t>Brea, JAF</t>
  </si>
  <si>
    <t>Tozzi, AE</t>
  </si>
  <si>
    <t>Breda, GD</t>
  </si>
  <si>
    <t>Bregon, A</t>
  </si>
  <si>
    <t>Tremblay-Wragg, É</t>
  </si>
  <si>
    <t>Briggs, M</t>
  </si>
  <si>
    <t>Wilkins, CH</t>
  </si>
  <si>
    <t>Brooks, RA</t>
  </si>
  <si>
    <t>Trujillo-León, MA</t>
  </si>
  <si>
    <t>Brooks, SC</t>
  </si>
  <si>
    <t>Williams, DJ</t>
  </si>
  <si>
    <t>Brunetti, F</t>
  </si>
  <si>
    <t>Trusova, NV</t>
  </si>
  <si>
    <t>Bu, K</t>
  </si>
  <si>
    <t>Woias, P</t>
  </si>
  <si>
    <t>Bubeliny, O</t>
  </si>
  <si>
    <t>Tryfonopoulos, C</t>
  </si>
  <si>
    <t>Buchan, I</t>
  </si>
  <si>
    <t>Wong, Q</t>
  </si>
  <si>
    <t>Buchanan, V</t>
  </si>
  <si>
    <t>Trzaska, R</t>
  </si>
  <si>
    <t>Buck, T</t>
  </si>
  <si>
    <t>Wright, R</t>
  </si>
  <si>
    <t>Budhwani, H</t>
  </si>
  <si>
    <t>Budhwar, P</t>
  </si>
  <si>
    <t>Wu, LX</t>
  </si>
  <si>
    <t>Tsakanikas, A</t>
  </si>
  <si>
    <t>Wunsch, LP</t>
  </si>
  <si>
    <t>Bughin, J</t>
  </si>
  <si>
    <t>Talib, YYA</t>
  </si>
  <si>
    <t>Burdon, S</t>
  </si>
  <si>
    <t>Xie, XM</t>
  </si>
  <si>
    <t>Burgess, G</t>
  </si>
  <si>
    <t>Tseng, SW</t>
  </si>
  <si>
    <t>Burgos, D</t>
  </si>
  <si>
    <t>Xu, LS</t>
  </si>
  <si>
    <t>Burin, D</t>
  </si>
  <si>
    <t>Tsolakis, N</t>
  </si>
  <si>
    <t>Burnap, P</t>
  </si>
  <si>
    <t>Xu, YT</t>
  </si>
  <si>
    <t>Bussador, A</t>
  </si>
  <si>
    <t>Tsoulfas, GT</t>
  </si>
  <si>
    <t>Butt, ZA</t>
  </si>
  <si>
    <t>Yao, JL</t>
  </si>
  <si>
    <t>Byrnes, J</t>
  </si>
  <si>
    <t>Tucker, JD</t>
  </si>
  <si>
    <t>Cakici, NM</t>
  </si>
  <si>
    <t>Yarbro, J</t>
  </si>
  <si>
    <t>Yeremenko, DV</t>
  </si>
  <si>
    <t>Callhoff, J</t>
  </si>
  <si>
    <t>Tumova, D</t>
  </si>
  <si>
    <t>Calvo, SM</t>
  </si>
  <si>
    <t>Yoo, YJ</t>
  </si>
  <si>
    <t>Camacho, J</t>
  </si>
  <si>
    <t>Tupa, J</t>
  </si>
  <si>
    <t>Campbell, KL</t>
  </si>
  <si>
    <t>Yu, JM</t>
  </si>
  <si>
    <t>Campos-Soto, MN</t>
  </si>
  <si>
    <t>Tusneem, A</t>
  </si>
  <si>
    <t>Candelo, E</t>
  </si>
  <si>
    <t>Yu, YB</t>
  </si>
  <si>
    <t>Cantin, LN</t>
  </si>
  <si>
    <t>Uccelli, A</t>
  </si>
  <si>
    <t>Carlsson, J</t>
  </si>
  <si>
    <t>Zaharía, AM</t>
  </si>
  <si>
    <t>Carmona, DG</t>
  </si>
  <si>
    <t>Uhrenfeldt, L</t>
  </si>
  <si>
    <t>Carrilho, T</t>
  </si>
  <si>
    <t>Tanday, A</t>
  </si>
  <si>
    <t>Carrillo, IDV</t>
  </si>
  <si>
    <t>Ukko, J</t>
  </si>
  <si>
    <t>Cartujano-Barrera, F</t>
  </si>
  <si>
    <t>Zarpelao, BB</t>
  </si>
  <si>
    <t>Cascio, C</t>
  </si>
  <si>
    <t>Unander-Scharin, Å</t>
  </si>
  <si>
    <t>Case, LD</t>
  </si>
  <si>
    <t>Zhang, BC</t>
  </si>
  <si>
    <t>Castaldi, L</t>
  </si>
  <si>
    <t>Unander-Scharin, C</t>
  </si>
  <si>
    <t>Casteleiro-Pitrez, J</t>
  </si>
  <si>
    <t>Zhang, HJ</t>
  </si>
  <si>
    <t>Castillo, LF</t>
  </si>
  <si>
    <t>Upadhyay, N</t>
  </si>
  <si>
    <t>Cavalli-Björkman, H</t>
  </si>
  <si>
    <t>Zhang, RL</t>
  </si>
  <si>
    <t>Cavallo, F</t>
  </si>
  <si>
    <t>Urbano, D</t>
  </si>
  <si>
    <t>Cenamor, J</t>
  </si>
  <si>
    <t>Tandazo, CVG</t>
  </si>
  <si>
    <t>Cerchione, R</t>
  </si>
  <si>
    <t>Üsküp, DK</t>
  </si>
  <si>
    <t>Cervantes-Barraza, JA</t>
  </si>
  <si>
    <t>Zhao, SK</t>
  </si>
  <si>
    <t>Charatsari, C</t>
  </si>
  <si>
    <t>Valencia, JT</t>
  </si>
  <si>
    <t>Chasapi, G</t>
  </si>
  <si>
    <t>Tang, HJ</t>
  </si>
  <si>
    <t>Chavez, MA</t>
  </si>
  <si>
    <t>Valverde, MTC</t>
  </si>
  <si>
    <t>Chehab, G</t>
  </si>
  <si>
    <t>Zhu, F</t>
  </si>
  <si>
    <t>Chen, JE</t>
  </si>
  <si>
    <t>Van Audenhove, L</t>
  </si>
  <si>
    <t>Chen, JYJ</t>
  </si>
  <si>
    <t>Talan, AJ</t>
  </si>
  <si>
    <t>Chen, SY</t>
  </si>
  <si>
    <t>van de Ven, P</t>
  </si>
  <si>
    <t>Chen, YB</t>
  </si>
  <si>
    <t>Wang, YB</t>
  </si>
  <si>
    <t>Chintakananda, A</t>
  </si>
  <si>
    <t>van Dijk, EJ</t>
  </si>
  <si>
    <t>Cho, KT</t>
  </si>
  <si>
    <t>Wang, YX</t>
  </si>
  <si>
    <t>Choi, S</t>
  </si>
  <si>
    <t>Van Loenen, B</t>
  </si>
  <si>
    <t>Christensen, H</t>
  </si>
  <si>
    <t>Wardlow, L</t>
  </si>
  <si>
    <t>Chu, LY</t>
  </si>
  <si>
    <t>van Tonder, C</t>
  </si>
  <si>
    <t>Chung, HFL</t>
  </si>
  <si>
    <t>Warren, K</t>
  </si>
  <si>
    <t>Cibrian, F</t>
  </si>
  <si>
    <t>van Tuijl, E</t>
  </si>
  <si>
    <t>Cifuentes-Faura, J</t>
  </si>
  <si>
    <t>Watters, C</t>
  </si>
  <si>
    <t>Ciulu, R</t>
  </si>
  <si>
    <t>Van Zeebroeck, N</t>
  </si>
  <si>
    <t>Ciusani, E</t>
  </si>
  <si>
    <t>Wecker, H</t>
  </si>
  <si>
    <t>Claret, PG</t>
  </si>
  <si>
    <t>Váne, J</t>
  </si>
  <si>
    <t>Clark, R</t>
  </si>
  <si>
    <t>Wegmann, E</t>
  </si>
  <si>
    <t>Clay, J</t>
  </si>
  <si>
    <t>Vannucci, V</t>
  </si>
  <si>
    <t>Cleary, SD</t>
  </si>
  <si>
    <t>Wen, X</t>
  </si>
  <si>
    <t>Clegg, S</t>
  </si>
  <si>
    <t>Vapiwala, F</t>
  </si>
  <si>
    <t>Cohenour, EJC</t>
  </si>
  <si>
    <t>Wernicke, S</t>
  </si>
  <si>
    <t>Cohernour, EJC</t>
  </si>
  <si>
    <t>Vasco, C</t>
  </si>
  <si>
    <t>Colasanti, N</t>
  </si>
  <si>
    <t>Westerhuis, R</t>
  </si>
  <si>
    <t>Conaldi, PG</t>
  </si>
  <si>
    <t>Vasicek, Z</t>
  </si>
  <si>
    <t>Condorelli, G</t>
  </si>
  <si>
    <t>Weston, C</t>
  </si>
  <si>
    <t>Conforto, AB</t>
  </si>
  <si>
    <t>Vasudevan, L</t>
  </si>
  <si>
    <t>Constantiou, I</t>
  </si>
  <si>
    <t>Whitten, M</t>
  </si>
  <si>
    <t>Coombs, C</t>
  </si>
  <si>
    <t>Vasyaev, A</t>
  </si>
  <si>
    <t>Corchado, JM</t>
  </si>
  <si>
    <t>Wijnen-Meijer, M</t>
  </si>
  <si>
    <t>Correia, MB</t>
  </si>
  <si>
    <t>Vazquez, MG</t>
  </si>
  <si>
    <t>Cortes-Penfield, N</t>
  </si>
  <si>
    <t>Wildenhaus, K</t>
  </si>
  <si>
    <t>Cortés-Penfield, N</t>
  </si>
  <si>
    <t>Taloni, A</t>
  </si>
  <si>
    <t>Cosgrave, E</t>
  </si>
  <si>
    <t>Willcocks, LP</t>
  </si>
  <si>
    <t>Costuleanu, CL</t>
  </si>
  <si>
    <t>Vecchi, A</t>
  </si>
  <si>
    <t>Côté, LP</t>
  </si>
  <si>
    <t>Tan, LP</t>
  </si>
  <si>
    <t>Côté-Parent, R</t>
  </si>
  <si>
    <t>Velasco-Molpeceres, A</t>
  </si>
  <si>
    <t>Croci, I</t>
  </si>
  <si>
    <t>Williams, K</t>
  </si>
  <si>
    <t>Crudu, A</t>
  </si>
  <si>
    <t>Velicia-Martin, E</t>
  </si>
  <si>
    <t>Winn, R</t>
  </si>
  <si>
    <t>Venkatraman, N</t>
  </si>
  <si>
    <t>Cuellar, G</t>
  </si>
  <si>
    <t>Wolfrum, J</t>
  </si>
  <si>
    <t>Cuevas, JA</t>
  </si>
  <si>
    <t>Ventura, L</t>
  </si>
  <si>
    <t>Cullen, M</t>
  </si>
  <si>
    <t>Wong, P</t>
  </si>
  <si>
    <t>Cunha, LFM</t>
  </si>
  <si>
    <t>Venuto, D</t>
  </si>
  <si>
    <t>Cunningham, I</t>
  </si>
  <si>
    <t>Tan, Y</t>
  </si>
  <si>
    <t>Cupertino, AP</t>
  </si>
  <si>
    <t>Verdú, JL</t>
  </si>
  <si>
    <t>Currim, IS</t>
  </si>
  <si>
    <t>Wright, C</t>
  </si>
  <si>
    <t>Cusinato, A</t>
  </si>
  <si>
    <t>Verhovnik, J</t>
  </si>
  <si>
    <t>Cuvillon, P</t>
  </si>
  <si>
    <t>Tan, YH</t>
  </si>
  <si>
    <t>da Costa, CA</t>
  </si>
  <si>
    <t>Vermeer, SE</t>
  </si>
  <si>
    <t>da Costa, MO</t>
  </si>
  <si>
    <t>Wu, KJ</t>
  </si>
  <si>
    <t>da Silva, ALB</t>
  </si>
  <si>
    <t>Verona, G</t>
  </si>
  <si>
    <t>da Silva, MAD</t>
  </si>
  <si>
    <t>Wu, M</t>
  </si>
  <si>
    <t>da Silva, MM</t>
  </si>
  <si>
    <t>Veselovskiy, G</t>
  </si>
  <si>
    <t>da Silva, NSDC</t>
  </si>
  <si>
    <t>Wu, T</t>
  </si>
  <si>
    <t>da Silva, RAR</t>
  </si>
  <si>
    <t>Vicentiy, A</t>
  </si>
  <si>
    <t>Dahan, A</t>
  </si>
  <si>
    <t>Xiao, HX</t>
  </si>
  <si>
    <t>Dai, PR</t>
  </si>
  <si>
    <t>Vidicki, D</t>
  </si>
  <si>
    <t>Dalal, AK</t>
  </si>
  <si>
    <t>Xie, CY</t>
  </si>
  <si>
    <t>Dampérat, M</t>
  </si>
  <si>
    <t>Vieira, VA</t>
  </si>
  <si>
    <t>Daneshvar, H</t>
  </si>
  <si>
    <t>Xiong, Z</t>
  </si>
  <si>
    <t>Danieletto, M</t>
  </si>
  <si>
    <t>Vigil, VMA</t>
  </si>
  <si>
    <t>Dantas, RD</t>
  </si>
  <si>
    <t>Xu, JW</t>
  </si>
  <si>
    <t>Davenport, T</t>
  </si>
  <si>
    <t>Vigolo, V</t>
  </si>
  <si>
    <t>Dawes, T</t>
  </si>
  <si>
    <t>Xu, MH</t>
  </si>
  <si>
    <t>Dazert, S</t>
  </si>
  <si>
    <t>Vila, NA</t>
  </si>
  <si>
    <t>Xu, Y</t>
  </si>
  <si>
    <t>Vila, TD</t>
  </si>
  <si>
    <t>Yan, MR</t>
  </si>
  <si>
    <t>de Almeida, MIS</t>
  </si>
  <si>
    <t>Villalba, MJS</t>
  </si>
  <si>
    <t>de Brito, MJ</t>
  </si>
  <si>
    <t>Yang, SL</t>
  </si>
  <si>
    <t>de Bruin, YB</t>
  </si>
  <si>
    <t>Villanueva, LKB</t>
  </si>
  <si>
    <t>de la Hoz, AM</t>
  </si>
  <si>
    <t>Yao, JT</t>
  </si>
  <si>
    <t>de Luca, C</t>
  </si>
  <si>
    <t>Villeneuve, S</t>
  </si>
  <si>
    <t>De Massis, A</t>
  </si>
  <si>
    <t>Yao, X</t>
  </si>
  <si>
    <t>de Matos, N</t>
  </si>
  <si>
    <t>Vincent, C</t>
  </si>
  <si>
    <t>De Mello, J</t>
  </si>
  <si>
    <t>Ye, XW</t>
  </si>
  <si>
    <t>de Oliveira, DS</t>
  </si>
  <si>
    <t>Voda, AI</t>
  </si>
  <si>
    <t>de Oliveira, GM</t>
  </si>
  <si>
    <t>Yeow, A</t>
  </si>
  <si>
    <t>de Rezende, DC</t>
  </si>
  <si>
    <t>Voigt, I</t>
  </si>
  <si>
    <t>De Roure, D</t>
  </si>
  <si>
    <t>de Sousa, PR</t>
  </si>
  <si>
    <t>Volkenstein, S</t>
  </si>
  <si>
    <t>de Souza, AAU</t>
  </si>
  <si>
    <t>Ylinen, M</t>
  </si>
  <si>
    <t>de Souza, CHQ</t>
  </si>
  <si>
    <t>Von Bülow, M</t>
  </si>
  <si>
    <t>de Vasconcellos, AB</t>
  </si>
  <si>
    <t>Youssofi, A</t>
  </si>
  <si>
    <t>de Vries, J</t>
  </si>
  <si>
    <t>von Kutzschenbach, M</t>
  </si>
  <si>
    <t>de Winter, AF</t>
  </si>
  <si>
    <t>Yu, HY</t>
  </si>
  <si>
    <t>Dedmon, JM</t>
  </si>
  <si>
    <t>Vonmetz, K</t>
  </si>
  <si>
    <t>del Olmo, MJA</t>
  </si>
  <si>
    <t>Yu, JT</t>
  </si>
  <si>
    <t>Voormann, A</t>
  </si>
  <si>
    <t>Yu, T</t>
  </si>
  <si>
    <t>Del Ser, J</t>
  </si>
  <si>
    <t>Vorobyev, D</t>
  </si>
  <si>
    <t>Del Vecchio, P</t>
  </si>
  <si>
    <t>Delaere, S</t>
  </si>
  <si>
    <t>Voronkova, V</t>
  </si>
  <si>
    <t>DelPizzo-Cheng, E</t>
  </si>
  <si>
    <t>Yun, K</t>
  </si>
  <si>
    <t>Denysenko, T</t>
  </si>
  <si>
    <t>Vo-Thanh, T</t>
  </si>
  <si>
    <t>Déri, CE</t>
  </si>
  <si>
    <t>Zaiser, M</t>
  </si>
  <si>
    <t>Desai, A</t>
  </si>
  <si>
    <t>Vu, A</t>
  </si>
  <si>
    <t>Desai, M</t>
  </si>
  <si>
    <t>Devitt, N</t>
  </si>
  <si>
    <t>Waffner, B</t>
  </si>
  <si>
    <t>Di Malta, A</t>
  </si>
  <si>
    <t>Zara, KRD</t>
  </si>
  <si>
    <t>Dias, AL</t>
  </si>
  <si>
    <t>Wagner, K</t>
  </si>
  <si>
    <t>Dias, APC</t>
  </si>
  <si>
    <t>Tandazo, CG</t>
  </si>
  <si>
    <t>Dias, T</t>
  </si>
  <si>
    <t>Walmsley, AD</t>
  </si>
  <si>
    <t>Diaz, J</t>
  </si>
  <si>
    <t>Zavadskas, EK</t>
  </si>
  <si>
    <t>Didone, TVN</t>
  </si>
  <si>
    <t>Walsh, A</t>
  </si>
  <si>
    <t>Dimitroulopoulou, S</t>
  </si>
  <si>
    <t>Zenner, AM</t>
  </si>
  <si>
    <t>Ding, TH</t>
  </si>
  <si>
    <t>Walton, VG</t>
  </si>
  <si>
    <t>Ding, W</t>
  </si>
  <si>
    <t>Zhang, FJ</t>
  </si>
  <si>
    <t>Dinler, M</t>
  </si>
  <si>
    <t>Wan, WH</t>
  </si>
  <si>
    <t>Ditshego, KK</t>
  </si>
  <si>
    <t>Zhang, H</t>
  </si>
  <si>
    <t>Dixon, L</t>
  </si>
  <si>
    <t>Wan, XH</t>
  </si>
  <si>
    <t>Doll, A</t>
  </si>
  <si>
    <t>Zhang, JZ</t>
  </si>
  <si>
    <t>Domínguez, AG</t>
  </si>
  <si>
    <t>Wang, CM</t>
  </si>
  <si>
    <t>Dominguez, GM</t>
  </si>
  <si>
    <t>Zhang, M</t>
  </si>
  <si>
    <t>Donnellan, B</t>
  </si>
  <si>
    <t>Wang, HC</t>
  </si>
  <si>
    <t>Dora, M</t>
  </si>
  <si>
    <t>Zhang, SX</t>
  </si>
  <si>
    <t>dos Santos, EM</t>
  </si>
  <si>
    <t>Wang, HJ</t>
  </si>
  <si>
    <t>dos Santos, MS</t>
  </si>
  <si>
    <t>Zhang, XX</t>
  </si>
  <si>
    <t>Doyle, F</t>
  </si>
  <si>
    <t>Wang, JM</t>
  </si>
  <si>
    <t>Du, B</t>
  </si>
  <si>
    <t>Zhang, YY</t>
  </si>
  <si>
    <t>Duan, YQ</t>
  </si>
  <si>
    <t>Zhu, JK</t>
  </si>
  <si>
    <t>Duarte, M</t>
  </si>
  <si>
    <t>Zhao, J</t>
  </si>
  <si>
    <t>Duffy, K</t>
  </si>
  <si>
    <t>Zhu, SP</t>
  </si>
  <si>
    <t>Duh, ES</t>
  </si>
  <si>
    <t>Dulce, GB</t>
  </si>
  <si>
    <t>Ziehfreund, S</t>
  </si>
  <si>
    <t>Dunkel, L</t>
  </si>
  <si>
    <t>Zheng, WM</t>
  </si>
  <si>
    <t>Dunn, ME</t>
  </si>
  <si>
    <t>Zimand Sheiner, D</t>
  </si>
  <si>
    <t>Durst, S</t>
  </si>
  <si>
    <t>Zhou, LY</t>
  </si>
  <si>
    <t>Dwivedi, G</t>
  </si>
  <si>
    <t>Zink, A</t>
  </si>
  <si>
    <t>Earon, A</t>
  </si>
  <si>
    <t>Zhou, X</t>
  </si>
  <si>
    <t>Ebuenyi, I</t>
  </si>
  <si>
    <t>Zou, YW</t>
  </si>
  <si>
    <t>Ecer, F</t>
  </si>
  <si>
    <t>Tang, WM</t>
  </si>
  <si>
    <t>Echenique, I</t>
  </si>
  <si>
    <t>Zuntini, JI</t>
  </si>
  <si>
    <t>Edberg, MC</t>
  </si>
  <si>
    <t>Zhu, XM</t>
  </si>
  <si>
    <t>Edelhoff, D</t>
  </si>
  <si>
    <t>Wang, LY</t>
  </si>
  <si>
    <t>Edelman, JA</t>
  </si>
  <si>
    <t>Ziemssen, T</t>
  </si>
  <si>
    <t>Edge, D</t>
  </si>
  <si>
    <t>Wang, MK</t>
  </si>
  <si>
    <t>Edwards, JS</t>
  </si>
  <si>
    <t>Zimmermann, L</t>
  </si>
  <si>
    <t>Egusquiza, A</t>
  </si>
  <si>
    <t>Wang, NL</t>
  </si>
  <si>
    <t>El Sawy, OA</t>
  </si>
  <si>
    <t>Zou, TT</t>
  </si>
  <si>
    <t>Elhaj, M</t>
  </si>
  <si>
    <t>Wang, Q</t>
  </si>
  <si>
    <t>Elias, BL</t>
  </si>
  <si>
    <t>Zubair, A</t>
  </si>
  <si>
    <t>Elliott, S</t>
  </si>
  <si>
    <t>Wang, S</t>
  </si>
  <si>
    <t>Elommal, N</t>
  </si>
  <si>
    <t>Zurdo, RP</t>
  </si>
  <si>
    <t>Emsley, R</t>
  </si>
  <si>
    <t>Wang, SH</t>
  </si>
  <si>
    <t>Engan, K</t>
  </si>
  <si>
    <t>Wang, SN</t>
  </si>
  <si>
    <t>Escalante, MAS</t>
  </si>
  <si>
    <t>Wang, TW</t>
  </si>
  <si>
    <t>Escota, GV</t>
  </si>
  <si>
    <t>Suárez-Idueta, L</t>
  </si>
  <si>
    <t>Espinosa, MPP</t>
  </si>
  <si>
    <t>Siokas, E</t>
  </si>
  <si>
    <t>Esposito, E</t>
  </si>
  <si>
    <t>Shao, CM</t>
  </si>
  <si>
    <t>Evans, C</t>
  </si>
  <si>
    <t>Renovell, M</t>
  </si>
  <si>
    <t>Evans, MA</t>
  </si>
  <si>
    <t>Spachos, P</t>
  </si>
  <si>
    <t>EVANS, ME</t>
  </si>
  <si>
    <t>Reps, J</t>
  </si>
  <si>
    <t>Evans, N</t>
  </si>
  <si>
    <t>Seetharaman, P</t>
  </si>
  <si>
    <t>Evans, WD</t>
  </si>
  <si>
    <t>Reyes, RJ</t>
  </si>
  <si>
    <t>Fabris, M</t>
  </si>
  <si>
    <t>Silva, GS</t>
  </si>
  <si>
    <t>Fait, M</t>
  </si>
  <si>
    <t>Reyes-Menendez, A</t>
  </si>
  <si>
    <t>Fan, Q</t>
  </si>
  <si>
    <t>Soh, C</t>
  </si>
  <si>
    <t>Fantauzzi, C</t>
  </si>
  <si>
    <t>Reddy, SK</t>
  </si>
  <si>
    <t>Farkas, JZ</t>
  </si>
  <si>
    <t>Steffens, F</t>
  </si>
  <si>
    <t>Fayek, AR</t>
  </si>
  <si>
    <t>Fedotov, O</t>
  </si>
  <si>
    <t>Scicchitano, S</t>
  </si>
  <si>
    <t>Fehér, P</t>
  </si>
  <si>
    <t>Redfern, J</t>
  </si>
  <si>
    <t>Felício, JA</t>
  </si>
  <si>
    <t>Serkina, Y</t>
  </si>
  <si>
    <t>Feng, JZ</t>
  </si>
  <si>
    <t>Reece, L</t>
  </si>
  <si>
    <t>Ferguson, S</t>
  </si>
  <si>
    <t>Shi, JR</t>
  </si>
  <si>
    <t>Rezig, S</t>
  </si>
  <si>
    <t>Fernández, TD</t>
  </si>
  <si>
    <t>Sindhwani, R</t>
  </si>
  <si>
    <t>Fernandez, V</t>
  </si>
  <si>
    <t>Reznar, MM</t>
  </si>
  <si>
    <t>Fernández, VAM</t>
  </si>
  <si>
    <t>Smart, F</t>
  </si>
  <si>
    <t>Ferrante, L</t>
  </si>
  <si>
    <t>Ferreira, LMDF</t>
  </si>
  <si>
    <t>Sonar, H</t>
  </si>
  <si>
    <t>Ferrer, JME</t>
  </si>
  <si>
    <t>Reese, M</t>
  </si>
  <si>
    <t>Ferro, E</t>
  </si>
  <si>
    <t>Spyrou, A</t>
  </si>
  <si>
    <t>Feyzioglu, O</t>
  </si>
  <si>
    <t>Ribeiro-Navarrete, B</t>
  </si>
  <si>
    <t>Stewart, S</t>
  </si>
  <si>
    <t>Ribeiro-Navarrete, S</t>
  </si>
  <si>
    <t>Filián, JF</t>
  </si>
  <si>
    <t>Rendina, HJ</t>
  </si>
  <si>
    <t>Filiol, E</t>
  </si>
  <si>
    <t>Ribeiro-Soriano, D</t>
  </si>
  <si>
    <t>Finne, K</t>
  </si>
  <si>
    <t>Sean, V</t>
  </si>
  <si>
    <t>Fiorani, G</t>
  </si>
  <si>
    <t>Ricciardi, W</t>
  </si>
  <si>
    <t>Fischer, M</t>
  </si>
  <si>
    <t>Sekanina, L</t>
  </si>
  <si>
    <t>Fjermestad, J</t>
  </si>
  <si>
    <t>Rich, E</t>
  </si>
  <si>
    <t>Fjortoft, SO</t>
  </si>
  <si>
    <t>Shahzadi, I</t>
  </si>
  <si>
    <t>Fletcher, M</t>
  </si>
  <si>
    <t>Richter, JG</t>
  </si>
  <si>
    <t>Fletcher, R</t>
  </si>
  <si>
    <t>Sharma, SK</t>
  </si>
  <si>
    <t>Florea, N</t>
  </si>
  <si>
    <t>Ridout, TN</t>
  </si>
  <si>
    <t>Flores, JS</t>
  </si>
  <si>
    <t>Siddiqui, J</t>
  </si>
  <si>
    <t>Flores, YN</t>
  </si>
  <si>
    <t>Ripley, D</t>
  </si>
  <si>
    <t>Floyd, A</t>
  </si>
  <si>
    <t>Simkin, L</t>
  </si>
  <si>
    <t>Foday, E</t>
  </si>
  <si>
    <t>Ritala, P</t>
  </si>
  <si>
    <t>Foer, D</t>
  </si>
  <si>
    <t>Singh, SK</t>
  </si>
  <si>
    <t>Fofonca, E</t>
  </si>
  <si>
    <t>Rizzo, I</t>
  </si>
  <si>
    <t>Folch, CS</t>
  </si>
  <si>
    <t>Skrypnyk, SV</t>
  </si>
  <si>
    <t>Foley, K</t>
  </si>
  <si>
    <t>Reggi, L</t>
  </si>
  <si>
    <t>Fonseca, MGFS</t>
  </si>
  <si>
    <t>Smolak-Lozano, E</t>
  </si>
  <si>
    <t>Fonstad, NO</t>
  </si>
  <si>
    <t>Roca, MCC</t>
  </si>
  <si>
    <t>Font-Clos, F</t>
  </si>
  <si>
    <t>Soliman, M</t>
  </si>
  <si>
    <t>Ford, NM</t>
  </si>
  <si>
    <t>Rodan, D</t>
  </si>
  <si>
    <t>Forestiero, F</t>
  </si>
  <si>
    <t>Sorrentino, M</t>
  </si>
  <si>
    <t>Fox, KH</t>
  </si>
  <si>
    <t>Frank, AG</t>
  </si>
  <si>
    <t>Specker, C</t>
  </si>
  <si>
    <t>Franz, MM</t>
  </si>
  <si>
    <t>Rodriguez, A</t>
  </si>
  <si>
    <t>Frati, L</t>
  </si>
  <si>
    <t>Stam, A</t>
  </si>
  <si>
    <t>Frattini, F</t>
  </si>
  <si>
    <t>Reifenrath, J</t>
  </si>
  <si>
    <t>Free, C</t>
  </si>
  <si>
    <t>Stephanopoulos, G</t>
  </si>
  <si>
    <t>Freire, OBD</t>
  </si>
  <si>
    <t>Rodríguez, LGG</t>
  </si>
  <si>
    <t>Frondizi, R</t>
  </si>
  <si>
    <t>STREET, R</t>
  </si>
  <si>
    <t>Fuentes, C</t>
  </si>
  <si>
    <t>Rodríguez, YG</t>
  </si>
  <si>
    <t>Galarza, FYP</t>
  </si>
  <si>
    <t>Sukwatthana, S</t>
  </si>
  <si>
    <t>Galarza-Fernández, E</t>
  </si>
  <si>
    <t>Galiatsatos, P</t>
  </si>
  <si>
    <t>Schwanberg, L</t>
  </si>
  <si>
    <t>Galindo-Rubio, F</t>
  </si>
  <si>
    <t>Rodríguez-Bolaños, R</t>
  </si>
  <si>
    <t>Gallagher, E</t>
  </si>
  <si>
    <t>Scott, S</t>
  </si>
  <si>
    <t>Gallegos-Carrillo, K</t>
  </si>
  <si>
    <t>Rodríguez-Jiménez, C</t>
  </si>
  <si>
    <t>Galvin, KT</t>
  </si>
  <si>
    <t>Secundo, G</t>
  </si>
  <si>
    <t>Gan, DZQ</t>
  </si>
  <si>
    <t>Rodríguez-Nieto, CA</t>
  </si>
  <si>
    <t>Ganesh, R</t>
  </si>
  <si>
    <t>Séguin, B</t>
  </si>
  <si>
    <t>García, JI</t>
  </si>
  <si>
    <t>Roesler, DA</t>
  </si>
  <si>
    <t>Garcia, MG</t>
  </si>
  <si>
    <t>Ren, Y</t>
  </si>
  <si>
    <t>García-Franco, LL</t>
  </si>
  <si>
    <t>Roethke, K</t>
  </si>
  <si>
    <t>García-Morales, VJ</t>
  </si>
  <si>
    <t>Seward, N</t>
  </si>
  <si>
    <t>Garg, L</t>
  </si>
  <si>
    <t>Rokka, J</t>
  </si>
  <si>
    <t>Garnaud, B</t>
  </si>
  <si>
    <t>Shan, ZW</t>
  </si>
  <si>
    <t>Garrett, C</t>
  </si>
  <si>
    <t>Romero, SMA</t>
  </si>
  <si>
    <t>Roncaglioni, MC</t>
  </si>
  <si>
    <t>Gascon, JL</t>
  </si>
  <si>
    <t>Shepherd, T</t>
  </si>
  <si>
    <t>Gastelu, CAT</t>
  </si>
  <si>
    <t>Rosales, RM</t>
  </si>
  <si>
    <t>Gaudreault, J</t>
  </si>
  <si>
    <t>Shojaei, RS</t>
  </si>
  <si>
    <t>Gellert, R</t>
  </si>
  <si>
    <t>Rosales, WAC</t>
  </si>
  <si>
    <t>Gensini, G</t>
  </si>
  <si>
    <t>Siegel, R</t>
  </si>
  <si>
    <t>Georgiadis, CK</t>
  </si>
  <si>
    <t>Rosano, M</t>
  </si>
  <si>
    <t>Germano, NT</t>
  </si>
  <si>
    <t>Silvianita, A</t>
  </si>
  <si>
    <t>Gesualdo, F</t>
  </si>
  <si>
    <t>Rosemann, M</t>
  </si>
  <si>
    <t>Ghag, N</t>
  </si>
  <si>
    <t>Simón, IV</t>
  </si>
  <si>
    <t>Giaccone, SC</t>
  </si>
  <si>
    <t>Rosenberg, SD</t>
  </si>
  <si>
    <t>Giampellegrini, PP</t>
  </si>
  <si>
    <t>Singh, RK</t>
  </si>
  <si>
    <t>Rosenberg-Carlson, E</t>
  </si>
  <si>
    <t>Singodia, M</t>
  </si>
  <si>
    <t>Rosin, AF</t>
  </si>
  <si>
    <t>Sipe, N</t>
  </si>
  <si>
    <t>Gil-Garcia, JR</t>
  </si>
  <si>
    <t>Reijneveld, SA</t>
  </si>
  <si>
    <t>Gil-García, JR</t>
  </si>
  <si>
    <t>Slobodnik, J</t>
  </si>
  <si>
    <t>Gilmore, A</t>
  </si>
  <si>
    <t>Rossi, L</t>
  </si>
  <si>
    <t>Gimpel, JG</t>
  </si>
  <si>
    <t>Smith, E</t>
  </si>
  <si>
    <t>Gioria, MR</t>
  </si>
  <si>
    <t>Reinhardt, RJ</t>
  </si>
  <si>
    <t>Girotto, AN</t>
  </si>
  <si>
    <t>SOBAJIC, DJ</t>
  </si>
  <si>
    <t>Gittelsohn, J</t>
  </si>
  <si>
    <t>Rostami, A</t>
  </si>
  <si>
    <t>Giusti, G</t>
  </si>
  <si>
    <t>Soldatkina, OL</t>
  </si>
  <si>
    <t>Glatard, T</t>
  </si>
  <si>
    <t>Goanta, C</t>
  </si>
  <si>
    <t>Soloaga, PD</t>
  </si>
  <si>
    <t>Goldbarg, J</t>
  </si>
  <si>
    <t>Roveda, F</t>
  </si>
  <si>
    <t>Golden, E</t>
  </si>
  <si>
    <t>Sooriyapperuma, B</t>
  </si>
  <si>
    <t>Goldenberg, A</t>
  </si>
  <si>
    <t>Reinhart, TA</t>
  </si>
  <si>
    <t>Goldschmidtboeing, F</t>
  </si>
  <si>
    <t>Sousa, BB</t>
  </si>
  <si>
    <t>Golja, T</t>
  </si>
  <si>
    <t>Ru, J</t>
  </si>
  <si>
    <t>Goller, JL</t>
  </si>
  <si>
    <t>Speciali, DS</t>
  </si>
  <si>
    <t>Gómez, LKA</t>
  </si>
  <si>
    <t>Rudaleva, I</t>
  </si>
  <si>
    <t>Gómez-Restrepo, C</t>
  </si>
  <si>
    <t>Spring, B</t>
  </si>
  <si>
    <t>González, EA</t>
  </si>
  <si>
    <t>Rudin, RS</t>
  </si>
  <si>
    <t>González, F</t>
  </si>
  <si>
    <t>Stagars, M</t>
  </si>
  <si>
    <t>González, FM</t>
  </si>
  <si>
    <t>Rueda, E</t>
  </si>
  <si>
    <t>Steele, A</t>
  </si>
  <si>
    <t>Ruether, DF</t>
  </si>
  <si>
    <t>Goolkasian, G</t>
  </si>
  <si>
    <t>Stemberger, MI</t>
  </si>
  <si>
    <t>Gorospe, JMC</t>
  </si>
  <si>
    <t>Ruidera, D</t>
  </si>
  <si>
    <t>Goyal, P</t>
  </si>
  <si>
    <t>Gradinaru, C</t>
  </si>
  <si>
    <t>Rumsfeld, JS</t>
  </si>
  <si>
    <t>Granwehr, B</t>
  </si>
  <si>
    <t>Stone, M</t>
  </si>
  <si>
    <t>Gregori, S</t>
  </si>
  <si>
    <t>Rundel, C</t>
  </si>
  <si>
    <t>Gricourt, Y</t>
  </si>
  <si>
    <t>Stubner, S</t>
  </si>
  <si>
    <t>Grover, A</t>
  </si>
  <si>
    <t>Rusly, FH</t>
  </si>
  <si>
    <t>Grover, V</t>
  </si>
  <si>
    <t>Suglia, P</t>
  </si>
  <si>
    <t>Gu, YY</t>
  </si>
  <si>
    <t>Ruttkay, Z</t>
  </si>
  <si>
    <t>Gubán, A</t>
  </si>
  <si>
    <t>Sun, KCY</t>
  </si>
  <si>
    <t>Guerin, M</t>
  </si>
  <si>
    <t>Ruvalcaba-Gomez, EA</t>
  </si>
  <si>
    <t>Guerra, R</t>
  </si>
  <si>
    <t>Schwamm, LH</t>
  </si>
  <si>
    <t>Guidetti, L</t>
  </si>
  <si>
    <t>Ryu, G</t>
  </si>
  <si>
    <t>Guimaraes, TA</t>
  </si>
  <si>
    <t>Schwienbacher, A</t>
  </si>
  <si>
    <t>Guo, YD</t>
  </si>
  <si>
    <t>Saeed, S</t>
  </si>
  <si>
    <t>Gupta, B</t>
  </si>
  <si>
    <t>Scorrano, P</t>
  </si>
  <si>
    <t>Gupta, M</t>
  </si>
  <si>
    <t>Saihi, A</t>
  </si>
  <si>
    <t>Güth, JF</t>
  </si>
  <si>
    <t>Scupola, A</t>
  </si>
  <si>
    <t>Guzman, LCD</t>
  </si>
  <si>
    <t>Reklitis, DP</t>
  </si>
  <si>
    <t>Guzmán, Y</t>
  </si>
  <si>
    <t>Ren, XM</t>
  </si>
  <si>
    <t>Haase, R</t>
  </si>
  <si>
    <t>Sakki, I</t>
  </si>
  <si>
    <t>Haddock, G</t>
  </si>
  <si>
    <t>Sedera, D</t>
  </si>
  <si>
    <t>Haleem, A</t>
  </si>
  <si>
    <t>Haley, E</t>
  </si>
  <si>
    <t>Segal, A</t>
  </si>
  <si>
    <t>Hamilton, K</t>
  </si>
  <si>
    <t>Salaverría, R</t>
  </si>
  <si>
    <t>Han, BM</t>
  </si>
  <si>
    <t>Seidel, S</t>
  </si>
  <si>
    <t>Han, J</t>
  </si>
  <si>
    <t>Salcedo, VT</t>
  </si>
  <si>
    <t>Han, XT</t>
  </si>
  <si>
    <t>Seneviratne, D</t>
  </si>
  <si>
    <t>Han, YH</t>
  </si>
  <si>
    <t>Saldarriaga, MM</t>
  </si>
  <si>
    <t>Hanelt, A</t>
  </si>
  <si>
    <t>Hanjahanja-Phiri, T</t>
  </si>
  <si>
    <t>Salemink, K</t>
  </si>
  <si>
    <t>Hansen, R</t>
  </si>
  <si>
    <t>Seshadri, S</t>
  </si>
  <si>
    <t>Harkin, DW</t>
  </si>
  <si>
    <t>Salfas, B</t>
  </si>
  <si>
    <t>Harris, PA</t>
  </si>
  <si>
    <t>Shahi, C</t>
  </si>
  <si>
    <t>Hasan, R</t>
  </si>
  <si>
    <t>Salhi, Y</t>
  </si>
  <si>
    <t>Havle, CA</t>
  </si>
  <si>
    <t>Shams, SMR</t>
  </si>
  <si>
    <t>He, ZP</t>
  </si>
  <si>
    <t>Salman, B</t>
  </si>
  <si>
    <t>Healy, R</t>
  </si>
  <si>
    <t>Shanmugam, B</t>
  </si>
  <si>
    <t>Henderson, M</t>
  </si>
  <si>
    <t>Salom, C</t>
  </si>
  <si>
    <t>Henfridsson, O</t>
  </si>
  <si>
    <t>Shao, D</t>
  </si>
  <si>
    <t>Henschel, F</t>
  </si>
  <si>
    <t>Salvador, E</t>
  </si>
  <si>
    <t>Herciu, M</t>
  </si>
  <si>
    <t>Sharma, A</t>
  </si>
  <si>
    <t>Hernández, GA</t>
  </si>
  <si>
    <t>Salzano, A</t>
  </si>
  <si>
    <t>Hernández, SDA</t>
  </si>
  <si>
    <t>Sharon, T</t>
  </si>
  <si>
    <t>Hernell, E</t>
  </si>
  <si>
    <t>Samaniego, CRC</t>
  </si>
  <si>
    <t>Herráez, BR</t>
  </si>
  <si>
    <t>Sheridan, J</t>
  </si>
  <si>
    <t>Herrero-Gutiérrez, FJ</t>
  </si>
  <si>
    <t>Remané, G</t>
  </si>
  <si>
    <t>Hess, T</t>
  </si>
  <si>
    <t>Shkarupeta, E</t>
  </si>
  <si>
    <t>Hetrick, S</t>
  </si>
  <si>
    <t>Sammon, D</t>
  </si>
  <si>
    <t>Hidouci, WK</t>
  </si>
  <si>
    <t>Siakas, K</t>
  </si>
  <si>
    <t>Hikkerova, L</t>
  </si>
  <si>
    <t>Sampugnaro, R</t>
  </si>
  <si>
    <t>Hill, KB</t>
  </si>
  <si>
    <t>Hillman, S</t>
  </si>
  <si>
    <t>Samson, D</t>
  </si>
  <si>
    <t>Himmelfarb, CRD</t>
  </si>
  <si>
    <t>Hoang, TH</t>
  </si>
  <si>
    <t>Sanchez, A</t>
  </si>
  <si>
    <t>Hocking, JS</t>
  </si>
  <si>
    <t>Silvaggi, A</t>
  </si>
  <si>
    <t>Hogan, C</t>
  </si>
  <si>
    <t>Rembert, M</t>
  </si>
  <si>
    <t>Hollingworth, W</t>
  </si>
  <si>
    <t>Sim, KA</t>
  </si>
  <si>
    <t>Holovii, L</t>
  </si>
  <si>
    <t>Sánchez-Torres, G</t>
  </si>
  <si>
    <t>Holowka, E</t>
  </si>
  <si>
    <t>Simon, B</t>
  </si>
  <si>
    <t>Holowka, EM</t>
  </si>
  <si>
    <t>Sándor, A</t>
  </si>
  <si>
    <t>Holtstrom, J</t>
  </si>
  <si>
    <t>Simón-Moya, V</t>
  </si>
  <si>
    <t>Hong, LY</t>
  </si>
  <si>
    <t>Sandoval-Almazán, R</t>
  </si>
  <si>
    <t>Hossain, MI</t>
  </si>
  <si>
    <t>Singh, H</t>
  </si>
  <si>
    <t>Hovey, RB</t>
  </si>
  <si>
    <t>Sangil, L</t>
  </si>
  <si>
    <t>Hoye, R</t>
  </si>
  <si>
    <t>Singh, S</t>
  </si>
  <si>
    <t>Hu, JH</t>
  </si>
  <si>
    <t>SanJuan, E</t>
  </si>
  <si>
    <t>Hua, GH</t>
  </si>
  <si>
    <t>Singh, V</t>
  </si>
  <si>
    <t>Huang, JP</t>
  </si>
  <si>
    <t>Hughes, C</t>
  </si>
  <si>
    <t>Sinha, M</t>
  </si>
  <si>
    <t>Hughes, D</t>
  </si>
  <si>
    <t>Santo, K</t>
  </si>
  <si>
    <t>Hughes, DL</t>
  </si>
  <si>
    <t>Siokas, G</t>
  </si>
  <si>
    <t>Hughes, M</t>
  </si>
  <si>
    <t>Santofimia, EO</t>
  </si>
  <si>
    <t>Hunter, B</t>
  </si>
  <si>
    <t>Skamnakis, C</t>
  </si>
  <si>
    <t>Hurriyet, H</t>
  </si>
  <si>
    <t>Santos, FMBC</t>
  </si>
  <si>
    <t>Husain, Z</t>
  </si>
  <si>
    <t>Hussin, MRA</t>
  </si>
  <si>
    <t>Santos, J</t>
  </si>
  <si>
    <t>Hvistendahl, R</t>
  </si>
  <si>
    <t>Slosarek, T</t>
  </si>
  <si>
    <t>Iacoviello, L</t>
  </si>
  <si>
    <t>Santos, O</t>
  </si>
  <si>
    <t>Iglesias-Sánchez, PP</t>
  </si>
  <si>
    <t>Smedlund, A</t>
  </si>
  <si>
    <t>Iqbal, SZ</t>
  </si>
  <si>
    <t>Santos, RD</t>
  </si>
  <si>
    <t>Smith, P</t>
  </si>
  <si>
    <t>Itani, OS</t>
  </si>
  <si>
    <t>Santos, VR</t>
  </si>
  <si>
    <t>Ivanov, A</t>
  </si>
  <si>
    <t>Smyser, J</t>
  </si>
  <si>
    <t>Ivanov, K</t>
  </si>
  <si>
    <t>Saqib, M</t>
  </si>
  <si>
    <t>Jabbour, ABLD</t>
  </si>
  <si>
    <t>Sobolev, M</t>
  </si>
  <si>
    <t>Jaber, S</t>
  </si>
  <si>
    <t>Sarmiento, LSC</t>
  </si>
  <si>
    <t>Jacky, MAH</t>
  </si>
  <si>
    <t>Solar, BM</t>
  </si>
  <si>
    <t>Jain, P</t>
  </si>
  <si>
    <t>Sarris, A</t>
  </si>
  <si>
    <t>Jaklic, J</t>
  </si>
  <si>
    <t>Jambrino-Maldonado, C</t>
  </si>
  <si>
    <t>Satimbaevich, BE</t>
  </si>
  <si>
    <t>Jankal, R</t>
  </si>
  <si>
    <t>Solito, L</t>
  </si>
  <si>
    <t>Jardim, J</t>
  </si>
  <si>
    <t>Remuzzi, G</t>
  </si>
  <si>
    <t>Jasinski, B</t>
  </si>
  <si>
    <t>Jay, C</t>
  </si>
  <si>
    <t>Saunila, M</t>
  </si>
  <si>
    <t>Jeannot, F</t>
  </si>
  <si>
    <t>Soncin, M</t>
  </si>
  <si>
    <t>Jeddi, MZ</t>
  </si>
  <si>
    <t>Ren, CM</t>
  </si>
  <si>
    <t>Jeliazkov, I</t>
  </si>
  <si>
    <t>Sorrentino, C</t>
  </si>
  <si>
    <t>Jenkins, L</t>
  </si>
  <si>
    <t>Sauter, F</t>
  </si>
  <si>
    <t>Jensen, JK</t>
  </si>
  <si>
    <t>Sosa, D</t>
  </si>
  <si>
    <t>Jessup, M</t>
  </si>
  <si>
    <t>Saxena, DK</t>
  </si>
  <si>
    <t>Jewitt, K</t>
  </si>
  <si>
    <t>Sousa, J</t>
  </si>
  <si>
    <t>Jia, SS</t>
  </si>
  <si>
    <t>Scambia, G</t>
  </si>
  <si>
    <t>Jiao, SP</t>
  </si>
  <si>
    <t>Renaldi, R</t>
  </si>
  <si>
    <t>Jimenez, RH</t>
  </si>
  <si>
    <t>Scarlat, C</t>
  </si>
  <si>
    <t>Jin, NS</t>
  </si>
  <si>
    <t>Speck, C</t>
  </si>
  <si>
    <t>Jin, ZB</t>
  </si>
  <si>
    <t>Scazufca, M</t>
  </si>
  <si>
    <t>Jing, H</t>
  </si>
  <si>
    <t>Spicer, JO</t>
  </si>
  <si>
    <t>Jocius, R</t>
  </si>
  <si>
    <t>Schachtebeck, C</t>
  </si>
  <si>
    <t>Johansson, C</t>
  </si>
  <si>
    <t>Springs, SL</t>
  </si>
  <si>
    <t>Johnson, J</t>
  </si>
  <si>
    <t>Johnson, S</t>
  </si>
  <si>
    <t>Srinivasan, A</t>
  </si>
  <si>
    <t>Jones, J</t>
  </si>
  <si>
    <t>Schaefer, C</t>
  </si>
  <si>
    <t>Jones, S</t>
  </si>
  <si>
    <t>Staggers, N</t>
  </si>
  <si>
    <t>Ren, S</t>
  </si>
  <si>
    <t>Stanford, FC</t>
  </si>
  <si>
    <t>Jongmans, E</t>
  </si>
  <si>
    <t>Scheepers, R</t>
  </si>
  <si>
    <t>Jonkman, M</t>
  </si>
  <si>
    <t>Steemers, J</t>
  </si>
  <si>
    <t>Jorge, OS</t>
  </si>
  <si>
    <t>Scherer, JN</t>
  </si>
  <si>
    <t>Jun, AL</t>
  </si>
  <si>
    <t>Steiner, F</t>
  </si>
  <si>
    <t>Kabasheva, I</t>
  </si>
  <si>
    <t>Schiebener, J</t>
  </si>
  <si>
    <t>Kallmünzer, A</t>
  </si>
  <si>
    <t>Stentoft, J</t>
  </si>
  <si>
    <t>Kalvas, F</t>
  </si>
  <si>
    <t>Schildt, H</t>
  </si>
  <si>
    <t>Kamal, S</t>
  </si>
  <si>
    <t>Stevens, S</t>
  </si>
  <si>
    <t>Kamau, DW</t>
  </si>
  <si>
    <t>Sundermeir, SM</t>
  </si>
  <si>
    <t>Kammer-Kerwick, M</t>
  </si>
  <si>
    <t>Stewart, K</t>
  </si>
  <si>
    <t>Kamperos, IDG</t>
  </si>
  <si>
    <t>Syarifuddin, S</t>
  </si>
  <si>
    <t>Kanashiro, L</t>
  </si>
  <si>
    <t>Stiakakis, E</t>
  </si>
  <si>
    <t>Kane, JM</t>
  </si>
  <si>
    <t>Szabó, Z</t>
  </si>
  <si>
    <t>Rencoret, N</t>
  </si>
  <si>
    <t>Szerman, N</t>
  </si>
  <si>
    <t>Strelow, N</t>
  </si>
  <si>
    <t>Tafti, A</t>
  </si>
  <si>
    <t>Kang, DM</t>
  </si>
  <si>
    <t>Suárez-Carballo, F</t>
  </si>
  <si>
    <t>Kaplun, IS</t>
  </si>
  <si>
    <t>Reddy, AVJ</t>
  </si>
  <si>
    <t>Kapogiannis, G</t>
  </si>
  <si>
    <t>Suárez-Obando, F</t>
  </si>
  <si>
    <t>Karamasa, Ç</t>
  </si>
  <si>
    <t>Scholz, J</t>
  </si>
  <si>
    <t>Karia, N</t>
  </si>
  <si>
    <t>Suing, A</t>
  </si>
  <si>
    <t>Karman, SV</t>
  </si>
  <si>
    <t>Keane, T</t>
  </si>
  <si>
    <t>Sulich, A</t>
  </si>
  <si>
    <t>Kelly, JT</t>
  </si>
  <si>
    <t>Schubert, O</t>
  </si>
  <si>
    <t>Kennedy, N</t>
  </si>
  <si>
    <t>Sun, TS</t>
  </si>
  <si>
    <t>Kephalopoulos, S</t>
  </si>
  <si>
    <t>Schulte-Derne, D</t>
  </si>
  <si>
    <t>Kern, R</t>
  </si>
  <si>
    <t>Khaled, R</t>
  </si>
  <si>
    <t>Schirmer, T</t>
  </si>
  <si>
    <t>Khaleghi, N</t>
  </si>
  <si>
    <t>Szabó, RZ</t>
  </si>
  <si>
    <t>Khan, MMI</t>
  </si>
  <si>
    <t>Schmid, A</t>
  </si>
  <si>
    <t>Szalai, A</t>
  </si>
  <si>
    <t>Kharde, Y</t>
  </si>
  <si>
    <t>Schmitz, HP</t>
  </si>
  <si>
    <t>Kierstead, EC</t>
  </si>
  <si>
    <t>Tabatabaei, S</t>
  </si>
  <si>
    <t>Kiltz, U</t>
  </si>
  <si>
    <t>Schneider, M</t>
  </si>
  <si>
    <t>Kim, B</t>
  </si>
  <si>
    <t>Taks, M</t>
  </si>
  <si>
    <t>Kim, GB</t>
  </si>
  <si>
    <t>Schneider, S</t>
  </si>
  <si>
    <t>Kim, Y</t>
  </si>
  <si>
    <t>Schoenenberger, L</t>
  </si>
  <si>
    <t>Kina, S</t>
  </si>
  <si>
    <t>Quinton, S</t>
  </si>
  <si>
    <t>Kirmayer, LJ</t>
  </si>
  <si>
    <t>Pérez-Peláez, ME</t>
  </si>
  <si>
    <t>Kitsios, F</t>
  </si>
  <si>
    <t>Pandolfi, E</t>
  </si>
  <si>
    <t>Klus, MF</t>
  </si>
  <si>
    <t>Millar, J</t>
  </si>
  <si>
    <t>Koh, HE</t>
  </si>
  <si>
    <t>Poirier, L</t>
  </si>
  <si>
    <t>Kolokolchykova, IV</t>
  </si>
  <si>
    <t>Miller, D</t>
  </si>
  <si>
    <t>Konomanyi, A</t>
  </si>
  <si>
    <t>Miller, KP</t>
  </si>
  <si>
    <t>Kononenko, S</t>
  </si>
  <si>
    <t>Patti, E</t>
  </si>
  <si>
    <t>Korba, C</t>
  </si>
  <si>
    <t>Minter, DJ</t>
  </si>
  <si>
    <t>Kotsialos, T</t>
  </si>
  <si>
    <t>Picazo-Vela, S</t>
  </si>
  <si>
    <t>Kourouthanassis, P</t>
  </si>
  <si>
    <t>Mintz, O</t>
  </si>
  <si>
    <t>Kovacs, T</t>
  </si>
  <si>
    <t>Kozina, G</t>
  </si>
  <si>
    <t>Miravete, ADF</t>
  </si>
  <si>
    <t>Kraft, C</t>
  </si>
  <si>
    <t>Millan, G</t>
  </si>
  <si>
    <t>Miri, AK</t>
  </si>
  <si>
    <t>Kretschmer, T</t>
  </si>
  <si>
    <t>Paladines, F</t>
  </si>
  <si>
    <t>Krishnamoorthy, B</t>
  </si>
  <si>
    <t>Misra, S</t>
  </si>
  <si>
    <t>Kublitska, O</t>
  </si>
  <si>
    <t>Parrinello, S</t>
  </si>
  <si>
    <t>Kumar, M</t>
  </si>
  <si>
    <t>Mitchell, W</t>
  </si>
  <si>
    <t>Kumar, R</t>
  </si>
  <si>
    <t>Perdana, A</t>
  </si>
  <si>
    <t>Kuriakose, K</t>
  </si>
  <si>
    <t>Mitev, A</t>
  </si>
  <si>
    <t>Kurz, A</t>
  </si>
  <si>
    <t>Peter, MK</t>
  </si>
  <si>
    <t>Kymre, IG</t>
  </si>
  <si>
    <t>Mithas, S</t>
  </si>
  <si>
    <t>La Parra-Casado, D</t>
  </si>
  <si>
    <t>Pires, DS</t>
  </si>
  <si>
    <t>La Porta, CAM</t>
  </si>
  <si>
    <t>Labelle, R</t>
  </si>
  <si>
    <t>Porfírio, JA</t>
  </si>
  <si>
    <t>Labonté-Lemoyne, É</t>
  </si>
  <si>
    <t>Mocker, M</t>
  </si>
  <si>
    <t>Lacanienta, C</t>
  </si>
  <si>
    <t>Puron-Cid, G</t>
  </si>
  <si>
    <t>Lachance, EL</t>
  </si>
  <si>
    <t>Mody, R</t>
  </si>
  <si>
    <t>Lacity, MC</t>
  </si>
  <si>
    <t>LaCross, L</t>
  </si>
  <si>
    <t>Lada, C</t>
  </si>
  <si>
    <t>Ouyang, P</t>
  </si>
  <si>
    <t>Lal, B</t>
  </si>
  <si>
    <t>Mohalajeng, L</t>
  </si>
  <si>
    <t>Lamoki, TG</t>
  </si>
  <si>
    <t>Pahayahay, A</t>
  </si>
  <si>
    <t>Lampoltshammer, T</t>
  </si>
  <si>
    <t>Molinillo, S</t>
  </si>
  <si>
    <t>Lamuki, TG</t>
  </si>
  <si>
    <t>Palomino, RI</t>
  </si>
  <si>
    <t>Lanshina, T</t>
  </si>
  <si>
    <t>Moloney, KG</t>
  </si>
  <si>
    <t>Lara, D</t>
  </si>
  <si>
    <t>Paolucci, E</t>
  </si>
  <si>
    <t>Lardy, B</t>
  </si>
  <si>
    <t>Monego, M</t>
  </si>
  <si>
    <t>Larios, Y</t>
  </si>
  <si>
    <t>Passos, L</t>
  </si>
  <si>
    <t>Lashley, M</t>
  </si>
  <si>
    <t>Moneley, D</t>
  </si>
  <si>
    <t>Lau, H</t>
  </si>
  <si>
    <t>Pechlaner, H</t>
  </si>
  <si>
    <t>Lau, N</t>
  </si>
  <si>
    <t>Monfardini, F</t>
  </si>
  <si>
    <t>Lawal, F</t>
  </si>
  <si>
    <t>Leary, M</t>
  </si>
  <si>
    <t>Mongeau, L</t>
  </si>
  <si>
    <t>Lee, CY</t>
  </si>
  <si>
    <t>Perotti, FA</t>
  </si>
  <si>
    <t>Lee, D</t>
  </si>
  <si>
    <t>Montalvo, R</t>
  </si>
  <si>
    <t>Lee, DH</t>
  </si>
  <si>
    <t>Pettersson, K</t>
  </si>
  <si>
    <t>Lee, SJ</t>
  </si>
  <si>
    <t>Montemagno, F</t>
  </si>
  <si>
    <t>Lee, SY</t>
  </si>
  <si>
    <t>Pilares, ICA</t>
  </si>
  <si>
    <t>Lehmann, C</t>
  </si>
  <si>
    <t>Montereale, L</t>
  </si>
  <si>
    <t>Lemanski, MK</t>
  </si>
  <si>
    <t>Leme, PHMV</t>
  </si>
  <si>
    <t>Montgomery, KC</t>
  </si>
  <si>
    <t>Lemmer, K</t>
  </si>
  <si>
    <t>Lentini, MC</t>
  </si>
  <si>
    <t>Leonforte, F</t>
  </si>
  <si>
    <t>Leonte, M</t>
  </si>
  <si>
    <t>Moon, T</t>
  </si>
  <si>
    <t>Lerman, LV</t>
  </si>
  <si>
    <t>Proksch, D</t>
  </si>
  <si>
    <t>Levie, A</t>
  </si>
  <si>
    <t>Moraes, I</t>
  </si>
  <si>
    <t>Quezada-Tello, LL</t>
  </si>
  <si>
    <t>Morales, AJR</t>
  </si>
  <si>
    <t>Li, HQ</t>
  </si>
  <si>
    <t>Raffini, L</t>
  </si>
  <si>
    <t>Li, JH</t>
  </si>
  <si>
    <t>Rajarajan, M</t>
  </si>
  <si>
    <t>Morales-Caporal, R</t>
  </si>
  <si>
    <t>Miceli, G</t>
  </si>
  <si>
    <t>Li, SM</t>
  </si>
  <si>
    <t>Morán, AMI</t>
  </si>
  <si>
    <t>Li, TH</t>
  </si>
  <si>
    <t>Owoyele, B</t>
  </si>
  <si>
    <t>Morelli, A</t>
  </si>
  <si>
    <t>Li, Z</t>
  </si>
  <si>
    <t>Padalko, H</t>
  </si>
  <si>
    <t>Liang, YT</t>
  </si>
  <si>
    <t>Moretti, FA</t>
  </si>
  <si>
    <t>Liao, MZ</t>
  </si>
  <si>
    <t>Palacios, M</t>
  </si>
  <si>
    <t>Liao, ZX</t>
  </si>
  <si>
    <t>Moretti, L</t>
  </si>
  <si>
    <t>Liard, M</t>
  </si>
  <si>
    <t>Lieck, L</t>
  </si>
  <si>
    <t>Morita, PP</t>
  </si>
  <si>
    <t>Palos-Sanchez, PR</t>
  </si>
  <si>
    <t>Morris, R</t>
  </si>
  <si>
    <t>Lima, AP</t>
  </si>
  <si>
    <t>Pantoja, GD</t>
  </si>
  <si>
    <t>Lin, DD</t>
  </si>
  <si>
    <t>Mosch, P</t>
  </si>
  <si>
    <t>Lin, DY</t>
  </si>
  <si>
    <t>Paredes, MAM</t>
  </si>
  <si>
    <t>Lin, XX</t>
  </si>
  <si>
    <t>Motala, A</t>
  </si>
  <si>
    <t>Lin, ZB</t>
  </si>
  <si>
    <t>Pasini, ME</t>
  </si>
  <si>
    <t>Lindeque, J</t>
  </si>
  <si>
    <t>Motta, FMD</t>
  </si>
  <si>
    <t>Linville, T</t>
  </si>
  <si>
    <t>Milburn, NG</t>
  </si>
  <si>
    <t>Lioutas, ED</t>
  </si>
  <si>
    <t>Lipsitz, S</t>
  </si>
  <si>
    <t>Pavlova, I</t>
  </si>
  <si>
    <t>Liu, CY</t>
  </si>
  <si>
    <t>Muhoza, P</t>
  </si>
  <si>
    <t>Liu, H</t>
  </si>
  <si>
    <t>Pera, R</t>
  </si>
  <si>
    <t>Liu, HR</t>
  </si>
  <si>
    <t>Mújica-Rosales, R</t>
  </si>
  <si>
    <t>Liu, JM</t>
  </si>
  <si>
    <t>Pereira, LA</t>
  </si>
  <si>
    <t>Liu, RH</t>
  </si>
  <si>
    <t>Liu, Y</t>
  </si>
  <si>
    <t>Pérez-Curiel, C</t>
  </si>
  <si>
    <t>Liu, YQ</t>
  </si>
  <si>
    <t>Mummery, J</t>
  </si>
  <si>
    <t>Peris, L</t>
  </si>
  <si>
    <t>Llopis, J</t>
  </si>
  <si>
    <t>Lloyd, TD</t>
  </si>
  <si>
    <t>Pesce, F</t>
  </si>
  <si>
    <t>Lluch, JS</t>
  </si>
  <si>
    <t>Munteanu, D</t>
  </si>
  <si>
    <t>Loddo, F</t>
  </si>
  <si>
    <t>Peters, TJ</t>
  </si>
  <si>
    <t>Lohse, J</t>
  </si>
  <si>
    <t>Muñoz, A</t>
  </si>
  <si>
    <t>Lohwasser, TS</t>
  </si>
  <si>
    <t>Phelps, LW</t>
  </si>
  <si>
    <t>Long, J</t>
  </si>
  <si>
    <t>López, P</t>
  </si>
  <si>
    <t>Piccoli, G</t>
  </si>
  <si>
    <t>López-Cabarcos, MA</t>
  </si>
  <si>
    <t>Murdoch, J</t>
  </si>
  <si>
    <t>López-Delgado, P</t>
  </si>
  <si>
    <t>Pinto, DJA</t>
  </si>
  <si>
    <t>López-García, X</t>
  </si>
  <si>
    <t>Musial, J</t>
  </si>
  <si>
    <t>Loprencipe, G</t>
  </si>
  <si>
    <t>Lorenz, HM</t>
  </si>
  <si>
    <t>Losonci, D</t>
  </si>
  <si>
    <t>Plombon, S</t>
  </si>
  <si>
    <t>Lotich, K</t>
  </si>
  <si>
    <t>Musso, S</t>
  </si>
  <si>
    <t>Lousa, EP</t>
  </si>
  <si>
    <t>Pollalis, Y</t>
  </si>
  <si>
    <t>Lozano, R</t>
  </si>
  <si>
    <t>Mutalib, HA</t>
  </si>
  <si>
    <t>Lu, WQ</t>
  </si>
  <si>
    <t>Lu, ZC</t>
  </si>
  <si>
    <t>Myers, MD</t>
  </si>
  <si>
    <t>Lu, ZF</t>
  </si>
  <si>
    <t>Poulopoulos, C</t>
  </si>
  <si>
    <t>Luna-Reyes, DE</t>
  </si>
  <si>
    <t>Myklebust, H</t>
  </si>
  <si>
    <t>Luna-Reyes, LF</t>
  </si>
  <si>
    <t>Luo, J</t>
  </si>
  <si>
    <t>Migkos, SP</t>
  </si>
  <si>
    <t>Lupu, R</t>
  </si>
  <si>
    <t>Milecka-Forrest, M</t>
  </si>
  <si>
    <t>Lurie, N</t>
  </si>
  <si>
    <t>Na, S</t>
  </si>
  <si>
    <t>Luthardt, FW</t>
  </si>
  <si>
    <t>Punín, MI</t>
  </si>
  <si>
    <t>Lyons, S</t>
  </si>
  <si>
    <t>Naar, S</t>
  </si>
  <si>
    <t>Lyytinen, K</t>
  </si>
  <si>
    <t>Qi, YD</t>
  </si>
  <si>
    <t>Ma, J</t>
  </si>
  <si>
    <t>Nagy, J</t>
  </si>
  <si>
    <t>Ma, L</t>
  </si>
  <si>
    <t>Quintero, G</t>
  </si>
  <si>
    <t>Ma, SG</t>
  </si>
  <si>
    <t>Nakamura, CA</t>
  </si>
  <si>
    <t>Ma, W</t>
  </si>
  <si>
    <t>Radanliev, P</t>
  </si>
  <si>
    <t>MacDonell, K</t>
  </si>
  <si>
    <t>Mihu, C</t>
  </si>
  <si>
    <t>Machado, M</t>
  </si>
  <si>
    <t>Raga, JM</t>
  </si>
  <si>
    <t>Machin, M</t>
  </si>
  <si>
    <t>Nales, A</t>
  </si>
  <si>
    <t>Mackin, B</t>
  </si>
  <si>
    <t>Raja, M</t>
  </si>
  <si>
    <t>Madeira, GD</t>
  </si>
  <si>
    <t>Mikalef, P</t>
  </si>
  <si>
    <t>Magalhaes, V</t>
  </si>
  <si>
    <t>Ramadan, Z</t>
  </si>
  <si>
    <t>Majocco, P</t>
  </si>
  <si>
    <t>Narva, A</t>
  </si>
  <si>
    <t>Makar, E</t>
  </si>
  <si>
    <t>Ravazzani, S</t>
  </si>
  <si>
    <t>Malaarachchi, DN</t>
  </si>
  <si>
    <t>Narvel, YAM</t>
  </si>
  <si>
    <t>Malcolm, P</t>
  </si>
  <si>
    <t>Otokiti, B</t>
  </si>
  <si>
    <t>Maldonado, EF</t>
  </si>
  <si>
    <t>Maldonado, P</t>
  </si>
  <si>
    <t>Malinis, M</t>
  </si>
  <si>
    <t>Mikheev, A</t>
  </si>
  <si>
    <t>Manaswini, M</t>
  </si>
  <si>
    <t>Manataki, M</t>
  </si>
  <si>
    <t>Nasiri, M</t>
  </si>
  <si>
    <t>Manceau, LM</t>
  </si>
  <si>
    <t>Pacas, M</t>
  </si>
  <si>
    <t>Manski-Nankervis, JA</t>
  </si>
  <si>
    <t>Natalicchio, A</t>
  </si>
  <si>
    <t>Marangon, F</t>
  </si>
  <si>
    <t>Padro, MP</t>
  </si>
  <si>
    <t>Maresch, D</t>
  </si>
  <si>
    <t>Nava-Rogel, RM</t>
  </si>
  <si>
    <t>Margolis, GS</t>
  </si>
  <si>
    <t>Pakkanen, J</t>
  </si>
  <si>
    <t>Marinho, J</t>
  </si>
  <si>
    <t>Navarro, JT</t>
  </si>
  <si>
    <t>Marín-Ochoa, BE</t>
  </si>
  <si>
    <t>Palacios-Marqués, D</t>
  </si>
  <si>
    <t>Marrujo, J</t>
  </si>
  <si>
    <t>Navis, G</t>
  </si>
  <si>
    <t>Marshall, A</t>
  </si>
  <si>
    <t>Palkovics, A</t>
  </si>
  <si>
    <t>Marshall, K</t>
  </si>
  <si>
    <t>Nayak, B</t>
  </si>
  <si>
    <t>Martin, J</t>
  </si>
  <si>
    <t>Palmer, M</t>
  </si>
  <si>
    <t>Martín, VR</t>
  </si>
  <si>
    <t>Nazarko, A</t>
  </si>
  <si>
    <t>Martínez, A</t>
  </si>
  <si>
    <t>Milan, S</t>
  </si>
  <si>
    <t>Nazarko, S</t>
  </si>
  <si>
    <t>Pandita, D</t>
  </si>
  <si>
    <t>Martinez-Moya, D</t>
  </si>
  <si>
    <t>Negash, YT</t>
  </si>
  <si>
    <t>Martínez-Prieto, MA</t>
  </si>
  <si>
    <t>Panduru, DA</t>
  </si>
  <si>
    <t>Martín-Rojas, R</t>
  </si>
  <si>
    <t>Neirotti, P</t>
  </si>
  <si>
    <t>Martins, JJG</t>
  </si>
  <si>
    <t>PAO, YP</t>
  </si>
  <si>
    <t>Martins, MMD</t>
  </si>
  <si>
    <t>Martín-Sanromán, JR</t>
  </si>
  <si>
    <t>Papí-Gálvez, N</t>
  </si>
  <si>
    <t>Martorana, M</t>
  </si>
  <si>
    <t>Nematollahi, S</t>
  </si>
  <si>
    <t>Massicotte, L</t>
  </si>
  <si>
    <t>Parent, MM</t>
  </si>
  <si>
    <t>Mastan, E</t>
  </si>
  <si>
    <t>Neumann, M</t>
  </si>
  <si>
    <t>Mateos-González, S</t>
  </si>
  <si>
    <t>Partridge, SR</t>
  </si>
  <si>
    <t>Materassi, L</t>
  </si>
  <si>
    <t>NEVICEVIC, M</t>
  </si>
  <si>
    <t>Matheson, C</t>
  </si>
  <si>
    <t>Passaro, R</t>
  </si>
  <si>
    <t>Mathieu-Chartier, S</t>
  </si>
  <si>
    <t>Newman, E</t>
  </si>
  <si>
    <t>Matos, JL</t>
  </si>
  <si>
    <t>Patel, US</t>
  </si>
  <si>
    <t>Matthews, J</t>
  </si>
  <si>
    <t>Ng, PC</t>
  </si>
  <si>
    <t>Mayer, B</t>
  </si>
  <si>
    <t>Pathak, RD</t>
  </si>
  <si>
    <t>Mayer, K</t>
  </si>
  <si>
    <t>Ng, PML</t>
  </si>
  <si>
    <t>McCarty, T</t>
  </si>
  <si>
    <t>Pavlou, PA</t>
  </si>
  <si>
    <t>MCCORMICK, PG</t>
  </si>
  <si>
    <t>Ngo, H</t>
  </si>
  <si>
    <t>Mccoy, S</t>
  </si>
  <si>
    <t>Payutvorased, R</t>
  </si>
  <si>
    <t>McCulloch, H</t>
  </si>
  <si>
    <t>Nguyen, H</t>
  </si>
  <si>
    <t>McGregor, SC</t>
  </si>
  <si>
    <t>Peñalba, EH</t>
  </si>
  <si>
    <t>Nichifor, E</t>
  </si>
  <si>
    <t>McKnight, K</t>
  </si>
  <si>
    <t>Perboli, G</t>
  </si>
  <si>
    <t>McManus, R</t>
  </si>
  <si>
    <t>Nicklas, L</t>
  </si>
  <si>
    <t>McMillan, S</t>
  </si>
  <si>
    <t>Pereira, AC</t>
  </si>
  <si>
    <t>Mcneill, D</t>
  </si>
  <si>
    <t>Nicolau, C</t>
  </si>
  <si>
    <t>Mehta, K</t>
  </si>
  <si>
    <t>Pereira, PM</t>
  </si>
  <si>
    <t>Meijer, FJA</t>
  </si>
  <si>
    <t>Nicolella, M</t>
  </si>
  <si>
    <t>Mejia, RM</t>
  </si>
  <si>
    <t>Mellon, L</t>
  </si>
  <si>
    <t>Niehaves, B</t>
  </si>
  <si>
    <t>Melo, A</t>
  </si>
  <si>
    <t>Pérez-Latre, FJ</t>
  </si>
  <si>
    <t>Melo, P</t>
  </si>
  <si>
    <t>Niemczyk, J</t>
  </si>
  <si>
    <t>Mendes, LD</t>
  </si>
  <si>
    <t>Perillo, M</t>
  </si>
  <si>
    <t>Mendez, MEP</t>
  </si>
  <si>
    <t>Nieri, J</t>
  </si>
  <si>
    <t>Menezes, TS</t>
  </si>
  <si>
    <t>Perkovic, A</t>
  </si>
  <si>
    <t>Niesters, M</t>
  </si>
  <si>
    <t>Pesce, D</t>
  </si>
  <si>
    <t>Nieto, O</t>
  </si>
  <si>
    <t>Metz, I</t>
  </si>
  <si>
    <t>Pesci, A</t>
  </si>
  <si>
    <t>Mey, MR</t>
  </si>
  <si>
    <t>Nieuwenhuizen, C</t>
  </si>
  <si>
    <t>Miah, A</t>
  </si>
  <si>
    <t>Peters, M</t>
  </si>
  <si>
    <t>Miah, MSU</t>
  </si>
  <si>
    <t>Nikitenko, V</t>
  </si>
  <si>
    <t>Petruzzelli, AM</t>
  </si>
  <si>
    <t>Nikopoulou, M</t>
  </si>
  <si>
    <t>Pezzoli, S</t>
  </si>
  <si>
    <t>Ning, Y</t>
  </si>
  <si>
    <t>Phongsavan, P</t>
  </si>
  <si>
    <t>Nishanov, AK</t>
  </si>
  <si>
    <t>Picchio, F</t>
  </si>
  <si>
    <t>Pierce, P</t>
  </si>
  <si>
    <t>Nkonde-Price, C</t>
  </si>
  <si>
    <t>Pinkwart, A</t>
  </si>
  <si>
    <t>Nobbs, K</t>
  </si>
  <si>
    <t>Piñeiro-Chousa, J</t>
  </si>
  <si>
    <t>Noehrer, L</t>
  </si>
  <si>
    <t>Pirni, A</t>
  </si>
  <si>
    <t>Nolan, NS</t>
  </si>
  <si>
    <t>Pitic, AG</t>
  </si>
  <si>
    <t>Nold, E</t>
  </si>
  <si>
    <t>Plataniotis, KN</t>
  </si>
  <si>
    <t>Norboyo'g'li, SS</t>
  </si>
  <si>
    <t>Podimatas, I</t>
  </si>
  <si>
    <t>Nsouli, NZ</t>
  </si>
  <si>
    <t>Poli, MS</t>
  </si>
  <si>
    <t>Núñez-Pacheco, R</t>
  </si>
  <si>
    <t>Polyzos, N</t>
  </si>
  <si>
    <t>Nutakor, F</t>
  </si>
  <si>
    <t>Ponis, ST</t>
  </si>
  <si>
    <t>Popple, S</t>
  </si>
  <si>
    <t>Obermaier, R</t>
  </si>
  <si>
    <t>Pottbaecker, F</t>
  </si>
  <si>
    <t>Oborn, E</t>
  </si>
  <si>
    <t>Pourmorshed, S</t>
  </si>
  <si>
    <t>Oetomo, A</t>
  </si>
  <si>
    <t>Pradana, M</t>
  </si>
  <si>
    <t>Ogrean, C</t>
  </si>
  <si>
    <t>Prashant, P</t>
  </si>
  <si>
    <t>Ogundana, OM</t>
  </si>
  <si>
    <t>Priharsari, D</t>
  </si>
  <si>
    <t>Ojo, A</t>
  </si>
  <si>
    <t>Prokop, M</t>
  </si>
  <si>
    <t>Pulley, JM</t>
  </si>
  <si>
    <t>O'Kelly, J</t>
  </si>
  <si>
    <t>Puranam, P</t>
  </si>
  <si>
    <t>Oleksenko, R</t>
  </si>
  <si>
    <t>Qi, PP</t>
  </si>
  <si>
    <t>Oleynik, V</t>
  </si>
  <si>
    <t>Qiao, LM</t>
  </si>
  <si>
    <t>Oliveira, TM</t>
  </si>
  <si>
    <t>Quintas-Froufe, N</t>
  </si>
  <si>
    <t>Olson, EJ</t>
  </si>
  <si>
    <t>Quinto, I</t>
  </si>
  <si>
    <t>O'Malley, N</t>
  </si>
  <si>
    <t>Rabold, M</t>
  </si>
  <si>
    <t>O'Neill, N</t>
  </si>
  <si>
    <t>Raeside, R</t>
  </si>
  <si>
    <t>Ordóñez, K</t>
  </si>
  <si>
    <t>Rafter, N</t>
  </si>
  <si>
    <t>Organa, M</t>
  </si>
  <si>
    <t>Raguz, IV</t>
  </si>
  <si>
    <t>Ramalho, AM</t>
  </si>
  <si>
    <t>Raj, A</t>
  </si>
  <si>
    <t>Raman, R</t>
  </si>
  <si>
    <t>Rajak, S</t>
  </si>
  <si>
    <t>Ramírez-Palacios, P</t>
  </si>
  <si>
    <t>Rajkumar, C</t>
  </si>
  <si>
    <t>Rane, SB</t>
  </si>
  <si>
    <t>Ramajo-Hernández, N</t>
  </si>
  <si>
    <t>Rao, BM</t>
  </si>
  <si>
    <t>Rassy, J</t>
  </si>
  <si>
    <t>Ramires, A</t>
  </si>
  <si>
    <t>Orlando, M</t>
  </si>
  <si>
    <t>Rana, NP</t>
  </si>
  <si>
    <t>Orlikowski, W</t>
  </si>
  <si>
    <t>Rantala, T</t>
  </si>
  <si>
    <t>Ortega-Mohedano, F</t>
  </si>
  <si>
    <t>Raoufi, M</t>
  </si>
  <si>
    <t>Orton, M</t>
  </si>
  <si>
    <t>Raupp, P</t>
  </si>
  <si>
    <t>O'Steen, B</t>
  </si>
  <si>
    <t>Razo, C</t>
  </si>
  <si>
    <t>O'Sullivan, K</t>
  </si>
  <si>
    <t>Oteo, A</t>
  </si>
  <si>
    <t>Luque, SG</t>
  </si>
  <si>
    <t>Kohli, R</t>
  </si>
  <si>
    <t>Koman, G</t>
  </si>
  <si>
    <t>Mahrenbach, LC</t>
  </si>
  <si>
    <t>Kim, D</t>
  </si>
  <si>
    <t>Martincevic, I</t>
  </si>
  <si>
    <t>Konigorski, S</t>
  </si>
  <si>
    <t>Kontic, L</t>
  </si>
  <si>
    <t>Kontu, H</t>
  </si>
  <si>
    <t>Korucuk, S</t>
  </si>
  <si>
    <t>McGee, B</t>
  </si>
  <si>
    <t>Kosnik, MB</t>
  </si>
  <si>
    <t>Meinich-Bache, O</t>
  </si>
  <si>
    <t>López-López, D</t>
  </si>
  <si>
    <t>Machline-Carrion, MJ</t>
  </si>
  <si>
    <t>Krajnovic, A</t>
  </si>
  <si>
    <t>Kim, DH</t>
  </si>
  <si>
    <t>Kreiss, D</t>
  </si>
  <si>
    <t>Ko, A</t>
  </si>
  <si>
    <t>Marty, PF</t>
  </si>
  <si>
    <t>Kudyba, S</t>
  </si>
  <si>
    <t>McIntyre, DP</t>
  </si>
  <si>
    <t>Luo, XW</t>
  </si>
  <si>
    <t>Majdalawieh, M</t>
  </si>
  <si>
    <t>Mal'ko, AV</t>
  </si>
  <si>
    <t>Manita, R</t>
  </si>
  <si>
    <t>Lane, J</t>
  </si>
  <si>
    <t>Martin, NM</t>
  </si>
  <si>
    <t>Lardón-López, ME</t>
  </si>
  <si>
    <t>Martínez, M</t>
  </si>
  <si>
    <t>Massa, A</t>
  </si>
  <si>
    <t>Latifi, N</t>
  </si>
  <si>
    <t>Mastromartino, B</t>
  </si>
  <si>
    <t>McCarthy, SE</t>
  </si>
  <si>
    <t>Le, QH</t>
  </si>
  <si>
    <t>Leao, P</t>
  </si>
  <si>
    <t>McGrath, R</t>
  </si>
  <si>
    <t>Le-Dain, MA</t>
  </si>
  <si>
    <t>Leiva, JJ</t>
  </si>
  <si>
    <t>Lotriet, RA</t>
  </si>
  <si>
    <t>Lema, MLD</t>
  </si>
  <si>
    <t>Loudini, M</t>
  </si>
  <si>
    <t>Lousa, MD</t>
  </si>
  <si>
    <t>Luo, T</t>
  </si>
  <si>
    <t>Lestari, D</t>
  </si>
  <si>
    <t>Letsio, A</t>
  </si>
  <si>
    <t>Li, JK</t>
  </si>
  <si>
    <t>Maier, CD</t>
  </si>
  <si>
    <t>Kim, K</t>
  </si>
  <si>
    <t>Li, RY</t>
  </si>
  <si>
    <t>Knudsen, KE</t>
  </si>
  <si>
    <t>Marino-Romero, JA</t>
  </si>
  <si>
    <t>Markaryan, M</t>
  </si>
  <si>
    <t>Lim, DH</t>
  </si>
  <si>
    <t>Limongi, R</t>
  </si>
  <si>
    <t>Lin, AW</t>
  </si>
  <si>
    <t>Martínez, ON</t>
  </si>
  <si>
    <t>Masella, M</t>
  </si>
  <si>
    <t>Matías, KMR</t>
  </si>
  <si>
    <t>Matricano, D</t>
  </si>
  <si>
    <t>Liu, LJ</t>
  </si>
  <si>
    <t>Liu, QR</t>
  </si>
  <si>
    <t>McCarthy, P</t>
  </si>
  <si>
    <t>Liu, YL</t>
  </si>
  <si>
    <t>Kiran, F</t>
  </si>
  <si>
    <t>McGillivray, L</t>
  </si>
  <si>
    <t>Lobillo-Mora, G</t>
  </si>
  <si>
    <t>McShane, I</t>
  </si>
  <si>
    <t>Metaxiotis, K</t>
  </si>
  <si>
    <t>Lopez, CA</t>
  </si>
  <si>
    <t>Mhlungu, NSM</t>
  </si>
  <si>
    <t>Longhi-Heredia, SA</t>
  </si>
  <si>
    <t>Frishammar, J</t>
  </si>
  <si>
    <t>Ibidunni, AS</t>
  </si>
  <si>
    <t>Jiao, KD</t>
  </si>
  <si>
    <t>Fumagalli, LAW</t>
  </si>
  <si>
    <t>Gainous, J</t>
  </si>
  <si>
    <t>Gajdzik, B</t>
  </si>
  <si>
    <t>Kerres, M</t>
  </si>
  <si>
    <t>Hornuf, L</t>
  </si>
  <si>
    <t>Ivanova, N</t>
  </si>
  <si>
    <t>Jenkins, K</t>
  </si>
  <si>
    <t>Gandon, C</t>
  </si>
  <si>
    <t>Ho, WR</t>
  </si>
  <si>
    <t>García, A</t>
  </si>
  <si>
    <t>Garcia-Lomas, JD</t>
  </si>
  <si>
    <t>García-Martín, I</t>
  </si>
  <si>
    <t>Jain, B</t>
  </si>
  <si>
    <t>Jin, J</t>
  </si>
  <si>
    <t>Gartner, J</t>
  </si>
  <si>
    <t>Fowler, EF</t>
  </si>
  <si>
    <t>Gault, J</t>
  </si>
  <si>
    <t>Gaynor, SW</t>
  </si>
  <si>
    <t>Gebretekle, YT</t>
  </si>
  <si>
    <t>Gerardi, G</t>
  </si>
  <si>
    <t>Gezer, M</t>
  </si>
  <si>
    <t>Giannini, T</t>
  </si>
  <si>
    <t>Giannopoulos, G</t>
  </si>
  <si>
    <t>Kalra, A</t>
  </si>
  <si>
    <t>Goldstein, K</t>
  </si>
  <si>
    <t>Gon, M</t>
  </si>
  <si>
    <t>González-Neira, A</t>
  </si>
  <si>
    <t>Gordon-Isasi, J</t>
  </si>
  <si>
    <t>Högberg, K</t>
  </si>
  <si>
    <t>Horváth, D</t>
  </si>
  <si>
    <t>Greco, AN</t>
  </si>
  <si>
    <t>Hoyk, E</t>
  </si>
  <si>
    <t>Grimaldi, D</t>
  </si>
  <si>
    <t>Hurtado-Mazeyra, A</t>
  </si>
  <si>
    <t>Iaia, L</t>
  </si>
  <si>
    <t>Guio, J</t>
  </si>
  <si>
    <t>Gulati, S</t>
  </si>
  <si>
    <t>Gull, H</t>
  </si>
  <si>
    <t>Guo, S</t>
  </si>
  <si>
    <t>Guo, Y</t>
  </si>
  <si>
    <t>Gurung, S</t>
  </si>
  <si>
    <t>Javornik, A</t>
  </si>
  <si>
    <t>Gutiérrez-Leefmans, C</t>
  </si>
  <si>
    <t>Guttieres, D</t>
  </si>
  <si>
    <t>Jerome, RN</t>
  </si>
  <si>
    <t>Jiang, ZH</t>
  </si>
  <si>
    <t>Habelsberger, BEM</t>
  </si>
  <si>
    <t>Jiménez-Consuegra, MA</t>
  </si>
  <si>
    <t>Hall, N</t>
  </si>
  <si>
    <t>Han, BR</t>
  </si>
  <si>
    <t>Kamariotou, M</t>
  </si>
  <si>
    <t>Hänninen, M</t>
  </si>
  <si>
    <t>Karekla, M</t>
  </si>
  <si>
    <t>Karimikia, H</t>
  </si>
  <si>
    <t>Keskin, B</t>
  </si>
  <si>
    <t>Kiernan, A</t>
  </si>
  <si>
    <t>He, ZX</t>
  </si>
  <si>
    <t>Helbig, N</t>
  </si>
  <si>
    <t>Edelmann, N</t>
  </si>
  <si>
    <t>Dold, L</t>
  </si>
  <si>
    <t>Abdullahi, I</t>
  </si>
  <si>
    <t>Adam, M</t>
  </si>
  <si>
    <t>Adner, R</t>
  </si>
  <si>
    <t>Agrawal, A</t>
  </si>
  <si>
    <t>Chester, J</t>
  </si>
  <si>
    <t>Akkizidis, I</t>
  </si>
  <si>
    <t>Aldoy, N</t>
  </si>
  <si>
    <t>Chib, A</t>
  </si>
  <si>
    <t>Alexander, B</t>
  </si>
  <si>
    <t>Fernandes, N</t>
  </si>
  <si>
    <t>Ali, FH</t>
  </si>
  <si>
    <t>Childers, CC</t>
  </si>
  <si>
    <t>Almeida, AO</t>
  </si>
  <si>
    <t>Almeida, S</t>
  </si>
  <si>
    <t>AlNuaimi, BK</t>
  </si>
  <si>
    <t>Alqahtani, M</t>
  </si>
  <si>
    <t>Dwivedi, YK</t>
  </si>
  <si>
    <t>Andrade, EL</t>
  </si>
  <si>
    <t>Elblaus, L</t>
  </si>
  <si>
    <t>Andreacola, F</t>
  </si>
  <si>
    <t>Christodoulou, IP</t>
  </si>
  <si>
    <t>Ano, B</t>
  </si>
  <si>
    <t>Estrada, IC</t>
  </si>
  <si>
    <t>Antoniazzi, L</t>
  </si>
  <si>
    <t>Appolloni, A</t>
  </si>
  <si>
    <t>Aravena, M</t>
  </si>
  <si>
    <t>Chu, SC</t>
  </si>
  <si>
    <t>Chukwu, E</t>
  </si>
  <si>
    <t>Arostegi, M</t>
  </si>
  <si>
    <t>Ashton, H</t>
  </si>
  <si>
    <t>Aspiranti, T</t>
  </si>
  <si>
    <t>Atencio, P</t>
  </si>
  <si>
    <t>Ciccone, A</t>
  </si>
  <si>
    <t>Dittrich, F</t>
  </si>
  <si>
    <t>Azaïs, F</t>
  </si>
  <si>
    <t>Azarova, AA</t>
  </si>
  <si>
    <t>Babkin, A</t>
  </si>
  <si>
    <t>Cillo, P</t>
  </si>
  <si>
    <t>Baldassarre, D</t>
  </si>
  <si>
    <t>Balhara, YPS</t>
  </si>
  <si>
    <t>Cinelli, G</t>
  </si>
  <si>
    <t>Baraitser, P</t>
  </si>
  <si>
    <t>Barbalho, SCM</t>
  </si>
  <si>
    <t>Barile, D</t>
  </si>
  <si>
    <t>Baxter, J</t>
  </si>
  <si>
    <t>Escoffier, N</t>
  </si>
  <si>
    <t>Behbehani, D</t>
  </si>
  <si>
    <t>Clark, S</t>
  </si>
  <si>
    <t>Beijer, TR</t>
  </si>
  <si>
    <t>Benesová, A</t>
  </si>
  <si>
    <t>Fan, XY</t>
  </si>
  <si>
    <t>Bermak, A</t>
  </si>
  <si>
    <t>Bharadwaj, A</t>
  </si>
  <si>
    <t>Birnbaum, ML</t>
  </si>
  <si>
    <t>CO-AUTOR3</t>
  </si>
  <si>
    <t>Blaszkowski, DAAD</t>
  </si>
  <si>
    <t>Blikstad-Balas, M</t>
  </si>
  <si>
    <t>CO-AUTOR4</t>
  </si>
  <si>
    <t>Bonacini, E</t>
  </si>
  <si>
    <t>Bonfanti, A</t>
  </si>
  <si>
    <t>Bonfanti, S</t>
  </si>
  <si>
    <t>Bonnevie, E</t>
  </si>
  <si>
    <t>Boonstra, MD</t>
  </si>
  <si>
    <t>Borrero, JD</t>
  </si>
  <si>
    <t>Díaz, AC</t>
  </si>
  <si>
    <t>Bosua, R</t>
  </si>
  <si>
    <t>Diaz, R</t>
  </si>
  <si>
    <t>Boyd, L</t>
  </si>
  <si>
    <t>Ding, HF</t>
  </si>
  <si>
    <t>Brinch, M</t>
  </si>
  <si>
    <t>Ditchburn, JL</t>
  </si>
  <si>
    <t>Bucci, S</t>
  </si>
  <si>
    <t>Bursic, E</t>
  </si>
  <si>
    <t>DJUKANOVIC, M</t>
  </si>
  <si>
    <t>Busca, L</t>
  </si>
  <si>
    <t>Busco, C</t>
  </si>
  <si>
    <t>Dombrowski, T</t>
  </si>
  <si>
    <t>Büyüközkan, G</t>
  </si>
  <si>
    <t>Byiringiro, S</t>
  </si>
  <si>
    <t>Calzati, S</t>
  </si>
  <si>
    <t>CAMMARANO, R</t>
  </si>
  <si>
    <t>Campos, AC</t>
  </si>
  <si>
    <t>Dueñas, PPM</t>
  </si>
  <si>
    <t>Canhoto, AI</t>
  </si>
  <si>
    <t>Correani, A</t>
  </si>
  <si>
    <t>Dumbrell, J</t>
  </si>
  <si>
    <t>Carmona, KMO</t>
  </si>
  <si>
    <t>Dutta, G</t>
  </si>
  <si>
    <t>Carvalho, L</t>
  </si>
  <si>
    <t>Castellano, CM</t>
  </si>
  <si>
    <t>Cauffman, C</t>
  </si>
  <si>
    <t>Cavalieri, M</t>
  </si>
  <si>
    <t>Centobelli, P</t>
  </si>
  <si>
    <t>Cepa, K</t>
  </si>
  <si>
    <t>Cha, H</t>
  </si>
  <si>
    <t>Chanias, S</t>
  </si>
  <si>
    <t>Chapano, M</t>
  </si>
  <si>
    <t>Chawla, RN</t>
  </si>
  <si>
    <t>Erjavec, J</t>
  </si>
  <si>
    <t>Chen, LZ</t>
  </si>
  <si>
    <t>Chen, QM</t>
  </si>
  <si>
    <t>Coyne, B</t>
  </si>
  <si>
    <t>Evans, JM</t>
  </si>
  <si>
    <t>Czauderna, A</t>
  </si>
  <si>
    <t>da Silva, MR</t>
  </si>
  <si>
    <t>Dal Forno, AJ</t>
  </si>
  <si>
    <t>Dalton, B</t>
  </si>
  <si>
    <t>Davarpanah, MR</t>
  </si>
  <si>
    <t>Dávila-Morán, RC</t>
  </si>
  <si>
    <t>Flores-Vivar, JM</t>
  </si>
  <si>
    <t>de Amorim, LA</t>
  </si>
  <si>
    <t>de Araujo, EM</t>
  </si>
  <si>
    <t>de Barros, MJF</t>
  </si>
  <si>
    <t>De Bernardi, P</t>
  </si>
  <si>
    <t>de Kervenoael, R</t>
  </si>
  <si>
    <t>de la Fuente, MH</t>
  </si>
  <si>
    <t>Díaz, EF</t>
  </si>
  <si>
    <t>de las Heras-Pedrosa, C</t>
  </si>
  <si>
    <t>De Venuto, D</t>
  </si>
  <si>
    <t>Dechaux, J</t>
  </si>
  <si>
    <t>Demeter, K</t>
  </si>
  <si>
    <t>Deng, TY</t>
  </si>
  <si>
    <t>Ding, DF</t>
  </si>
  <si>
    <t>Dharod, A</t>
  </si>
  <si>
    <t>Donida, B</t>
  </si>
  <si>
    <t>Egodawele, M</t>
  </si>
  <si>
    <t>Elangovan, P</t>
  </si>
  <si>
    <t>Eller, R</t>
  </si>
  <si>
    <t>Ellström, D</t>
  </si>
  <si>
    <t>Enrique, DV</t>
  </si>
  <si>
    <t>Ferlin, EP</t>
  </si>
  <si>
    <t>Fernández-Peña, E</t>
  </si>
  <si>
    <t>Fielden, K</t>
  </si>
  <si>
    <t>Fink, RL</t>
  </si>
  <si>
    <t>Flores, CC</t>
  </si>
  <si>
    <t>Fonseca, DLD</t>
  </si>
  <si>
    <t>Forliano, C</t>
  </si>
  <si>
    <t>Foster, C</t>
  </si>
  <si>
    <t>(en blanco)</t>
  </si>
  <si>
    <t>Total general</t>
  </si>
  <si>
    <t>Cuenta de Publication Year</t>
  </si>
  <si>
    <t>Years</t>
  </si>
  <si>
    <t>Años</t>
  </si>
  <si>
    <t>Publicaciones</t>
  </si>
  <si>
    <t>Titulo del Artículo</t>
  </si>
  <si>
    <t>Numbers</t>
  </si>
  <si>
    <t>Cited, WoS Core</t>
  </si>
  <si>
    <t>Número</t>
  </si>
  <si>
    <t>Citaciones</t>
  </si>
  <si>
    <t>Cuenta de Source Title</t>
  </si>
  <si>
    <t>Porcentaje</t>
  </si>
  <si>
    <t>Revista</t>
  </si>
  <si>
    <t>Categoria WoS</t>
  </si>
  <si>
    <t>Factor de Impacto</t>
  </si>
  <si>
    <t>Cites Score</t>
  </si>
  <si>
    <t>Nombre de la Revista</t>
  </si>
  <si>
    <t>Articulos</t>
  </si>
  <si>
    <t>Citas Acumulativas</t>
  </si>
  <si>
    <t>% Acumulado de Citas</t>
  </si>
  <si>
    <t>Otras</t>
  </si>
  <si>
    <t>Nombre de los autores</t>
  </si>
  <si>
    <t>Clúster</t>
  </si>
  <si>
    <t>Brasil</t>
  </si>
  <si>
    <t>Fed Inst Sci &amp; Technol Parana IFPR, Tech &amp; Technol</t>
  </si>
  <si>
    <t>Feijo de Almeida, Giovanna Gore</t>
  </si>
  <si>
    <t xml:space="preserve">Alberto Martínez-Juarez, Luis </t>
  </si>
  <si>
    <t>Green</t>
  </si>
  <si>
    <t>London School of Hygiene &amp; Tropical Medicine</t>
  </si>
  <si>
    <t>Inglaterra</t>
  </si>
  <si>
    <t>Gallardo-Rincon, Hector</t>
  </si>
  <si>
    <t>Universidad de Guadalajara</t>
  </si>
  <si>
    <t>México</t>
  </si>
  <si>
    <t>Saucedo-Martinez, Rodrigo</t>
  </si>
  <si>
    <t>Carlos Slim Fdn, Mexico City</t>
  </si>
  <si>
    <t>Montoya, Alejandra</t>
  </si>
  <si>
    <t>Tapia-Conyer, Roberto</t>
  </si>
  <si>
    <t>Swartz, Talia H.</t>
  </si>
  <si>
    <t>Blue</t>
  </si>
  <si>
    <t>University of California System</t>
  </si>
  <si>
    <t>USA</t>
  </si>
  <si>
    <t>Spec, Andrej</t>
  </si>
  <si>
    <t>Emory University</t>
  </si>
  <si>
    <t>Marcelin, Jasmine R.</t>
  </si>
  <si>
    <t>University of Nebraska System</t>
  </si>
  <si>
    <t>Del Rio, Carlos</t>
  </si>
  <si>
    <t>University of Nebraska Medical Center</t>
  </si>
  <si>
    <t>Cortes-Penfield, Nicolas</t>
  </si>
  <si>
    <t>Giannakopoulos, Nikolaos T.</t>
  </si>
  <si>
    <t>Yellow</t>
  </si>
  <si>
    <t>Grecia</t>
  </si>
  <si>
    <t>Kanellos, Nikos</t>
  </si>
  <si>
    <t>Nasiopoulos, Dimitrios K.</t>
  </si>
  <si>
    <t>Sakas, Damianos P.</t>
  </si>
  <si>
    <t>Kraus, Sascha</t>
  </si>
  <si>
    <t>Purple</t>
  </si>
  <si>
    <t>Free University of Bozen-Bolzano</t>
  </si>
  <si>
    <t>Italia</t>
  </si>
  <si>
    <t>Orlandi, Ludovico Bullini</t>
  </si>
  <si>
    <t>Zardini, Alessandro</t>
  </si>
  <si>
    <t>University of Verona</t>
  </si>
  <si>
    <t>Rossignoli, Cecilia</t>
  </si>
  <si>
    <t>Autores</t>
  </si>
  <si>
    <t>Abreviatura ISO de la Revista</t>
  </si>
  <si>
    <t>Veces Citada, Wos Score</t>
  </si>
  <si>
    <t>Año Publicado</t>
  </si>
  <si>
    <t>WoS Categorías</t>
  </si>
  <si>
    <t>Índice Wos</t>
  </si>
  <si>
    <t>(Yoo, Henfridsson, &amp; Lyytinen, 2010)</t>
  </si>
  <si>
    <t>(SSCI)</t>
  </si>
  <si>
    <t>(Bharadwaj et al., 2013)</t>
  </si>
  <si>
    <t>(SCI-EXPANDED); (SSCI)</t>
  </si>
  <si>
    <t>(Horvath &amp; Szabo, 2019)</t>
  </si>
  <si>
    <t>(Dwivedi, y otros, 2020)</t>
  </si>
  <si>
    <t>(Raj et al., 2020)</t>
  </si>
  <si>
    <t>(Sebastian, y otros, 2017)</t>
  </si>
  <si>
    <t>(Helbig, Gil-Garcia, &amp; Ferro, 2009)</t>
  </si>
  <si>
    <t>(Perboli, Musso, &amp; Rosano, 2018)</t>
  </si>
  <si>
    <t>(SCI-EXPANDED)</t>
  </si>
  <si>
    <t>(Bossetta, 2018)</t>
  </si>
  <si>
    <t>(Chanias, Myers, &amp; Hess, 2019)</t>
  </si>
  <si>
    <t>(Mithas, Tafti, &amp; Mitchell, 2013)</t>
  </si>
  <si>
    <t>(Correani et al., 2020)</t>
  </si>
  <si>
    <t>(Eller et al., 2020)</t>
  </si>
  <si>
    <t>(Kreiss &amp; McGregor, 2017)</t>
  </si>
  <si>
    <t>(Barrett, Oborn, &amp; Orlikowski, 2016)</t>
  </si>
  <si>
    <t>(Yeow, Soh, &amp; Hansen, 2018)</t>
  </si>
  <si>
    <t>Países</t>
  </si>
  <si>
    <t>Grados de Centralidad</t>
  </si>
  <si>
    <t>Estados Unidos</t>
  </si>
  <si>
    <t>España</t>
  </si>
  <si>
    <t>China</t>
  </si>
  <si>
    <t>Alemania</t>
  </si>
  <si>
    <t>Australia</t>
  </si>
  <si>
    <t>Canadá</t>
  </si>
  <si>
    <t>Francia</t>
  </si>
  <si>
    <t>Holanda</t>
  </si>
  <si>
    <t>India</t>
  </si>
  <si>
    <t>Portugal</t>
  </si>
  <si>
    <t>Finlandia</t>
  </si>
  <si>
    <t>Colombia</t>
  </si>
  <si>
    <t>Ecuador</t>
  </si>
  <si>
    <t>Irlanda</t>
  </si>
  <si>
    <t>Rusia</t>
  </si>
  <si>
    <t>Journal</t>
  </si>
  <si>
    <t>Categories WoS</t>
  </si>
  <si>
    <t>Keywords</t>
  </si>
  <si>
    <t>Technological Forecasting and Social Change</t>
  </si>
  <si>
    <t>Digital Transformation; technology; Information; Innovation; Dynamic Capabilities; Performance; Strategy</t>
  </si>
  <si>
    <t>Journal of Business Research</t>
  </si>
  <si>
    <t>Business; transformation; Information; Innovation; Dynamic Capabilities; Performance; Management</t>
  </si>
  <si>
    <t>International Journal of Production Economics</t>
  </si>
  <si>
    <t>Models; Management; Technologies; Innovation; Systems; Performance; Industry 4.0</t>
  </si>
  <si>
    <t>Systems; Adoption; Integration; Big Data; Process Integration</t>
  </si>
  <si>
    <t>Models; Management; Technologies; Innovation; Systems; Performance; Capabilities; Adoption; Systems; Transformation</t>
  </si>
  <si>
    <t>International Journal of Innovation Management</t>
  </si>
  <si>
    <t>Business; Transformation; Models; Innovation; Dynamic Capabilities; Performance; Strategy</t>
  </si>
  <si>
    <t>Harvard Business Review</t>
  </si>
  <si>
    <t>Digital Strategy; Business; Models</t>
  </si>
  <si>
    <t>Information Communication &amp; Society</t>
  </si>
  <si>
    <t>Communication; Intenet; Politics; Media</t>
  </si>
  <si>
    <t>Journal Of Strategic Information Systems</t>
  </si>
  <si>
    <t>Business; Technology; Innovation; Information-Sistems Strategy; Capabilities; Performance; Management</t>
  </si>
  <si>
    <t>Bmj Open</t>
  </si>
  <si>
    <t>Behavior; Risk; Validation; Innovation</t>
  </si>
  <si>
    <t>Frontiers In Psychology</t>
  </si>
  <si>
    <t>Innovation; Transformation; Capabilities</t>
  </si>
  <si>
    <t>Big data; management</t>
  </si>
  <si>
    <r>
      <t>Heliyon</t>
    </r>
    <r>
      <rPr>
        <sz val="11"/>
        <color rgb="FF000000"/>
        <rFont val="Times New Roman"/>
        <family val="1"/>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</si>
</sst>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ont>
    <font>
      <b/>
      <sz val="10"/>
      <name val="Arial"/>
      <family val="2"/>
    </font>
    <font>
      <u/>
      <sz val="10"/>
      <color theme="10"/>
      <name val="Arial"/>
      <family val="2"/>
    </font>
    <font>
      <sz val="10"/>
      <name val="Arial"/>
      <family val="2"/>
    </font>
    <font>
      <b/>
      <sz val="10"/>
      <color theme="1"/>
      <name val="Arial"/>
      <family val="2"/>
    </font>
    <font>
      <sz val="10"/>
      <color rgb="FFFF0000"/>
      <name val="Arial"/>
      <family val="2"/>
    </font>
    <font>
      <sz val="10"/>
      <color rgb="FF000000"/>
      <name val="Palatino Linotype"/>
      <family val="1"/>
    </font>
    <font>
      <b/>
      <sz val="11"/>
      <color rgb="FF000000"/>
      <name val="Times New Roman"/>
      <family val="1"/>
    </font>
    <font>
      <sz val="11"/>
      <color rgb="FF000000"/>
      <name val="Times New Roman"/>
      <family val="1"/>
    </font>
    <font>
      <sz val="11"/>
      <name val="Calibri"/>
      <family val="2"/>
    </font>
    <font>
      <b/>
      <sz val="11"/>
      <name val="Times New Roman"/>
      <family val="1"/>
    </font>
    <font>
      <sz val="11"/>
      <name val="Times New Roman"/>
      <family val="1"/>
    </font>
    <font>
      <sz val="10.5"/>
      <name val="Calibri"/>
      <family val="2"/>
    </font>
  </fonts>
  <fills count="15">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top/>
      <bottom style="thin">
        <color theme="4" tint="0.39997558519241921"/>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bottom style="thin">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2" fillId="0" borderId="0" applyNumberFormat="0" applyFill="0" applyBorder="0" applyAlignment="0" applyProtection="0"/>
    <xf numFmtId="0" fontId="3" fillId="0" borderId="0"/>
    <xf numFmtId="9" fontId="3" fillId="0" borderId="0" applyFont="0" applyFill="0" applyBorder="0" applyAlignment="0" applyProtection="0"/>
  </cellStyleXfs>
  <cellXfs count="104">
    <xf numFmtId="0" fontId="0" fillId="0" borderId="0" xfId="0"/>
    <xf numFmtId="0" fontId="0" fillId="2" borderId="0" xfId="0" applyFill="1"/>
    <xf numFmtId="0" fontId="1" fillId="0" borderId="0" xfId="0" applyFont="1"/>
    <xf numFmtId="0" fontId="1" fillId="2" borderId="0" xfId="0" applyFont="1" applyFill="1"/>
    <xf numFmtId="0" fontId="0" fillId="0" borderId="0" xfId="0" pivotButton="1"/>
    <xf numFmtId="0" fontId="0" fillId="0" borderId="0" xfId="0" applyAlignment="1">
      <alignment horizontal="left"/>
    </xf>
    <xf numFmtId="0" fontId="0" fillId="3" borderId="0" xfId="0" applyFill="1"/>
    <xf numFmtId="0" fontId="2" fillId="3" borderId="0" xfId="1" applyFill="1"/>
    <xf numFmtId="0" fontId="3" fillId="0" borderId="0" xfId="0" applyFont="1"/>
    <xf numFmtId="0" fontId="3" fillId="0" borderId="0" xfId="2"/>
    <xf numFmtId="0" fontId="3" fillId="0" borderId="0" xfId="2"/>
    <xf numFmtId="0" fontId="3" fillId="0" borderId="0" xfId="2"/>
    <xf numFmtId="0" fontId="3" fillId="0" borderId="0" xfId="2"/>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3" fillId="5" borderId="0" xfId="2" applyFill="1"/>
    <xf numFmtId="0" fontId="1" fillId="0" borderId="1" xfId="2" applyFont="1" applyBorder="1" applyAlignment="1">
      <alignment horizontal="center"/>
    </xf>
    <xf numFmtId="0" fontId="1" fillId="0" borderId="0" xfId="2" applyFont="1"/>
    <xf numFmtId="0" fontId="3" fillId="0" borderId="0" xfId="2" applyAlignment="1">
      <alignment horizontal="left"/>
    </xf>
    <xf numFmtId="0" fontId="3" fillId="0" borderId="1" xfId="2" applyBorder="1"/>
    <xf numFmtId="0" fontId="1" fillId="0" borderId="1" xfId="2" applyFont="1" applyBorder="1"/>
    <xf numFmtId="0" fontId="3" fillId="0" borderId="1" xfId="2" applyBorder="1" applyAlignment="1">
      <alignment horizontal="left"/>
    </xf>
    <xf numFmtId="0" fontId="4" fillId="6" borderId="1" xfId="2" applyFont="1" applyFill="1" applyBorder="1"/>
    <xf numFmtId="0" fontId="1" fillId="7" borderId="1" xfId="2" applyFont="1" applyFill="1" applyBorder="1" applyAlignment="1">
      <alignment horizontal="left"/>
    </xf>
    <xf numFmtId="0" fontId="1" fillId="7" borderId="1" xfId="2" applyFont="1" applyFill="1" applyBorder="1" applyAlignment="1">
      <alignment horizontal="center"/>
    </xf>
    <xf numFmtId="0" fontId="3" fillId="0" borderId="0" xfId="2" applyAlignment="1">
      <alignment horizontal="center"/>
    </xf>
    <xf numFmtId="0" fontId="3" fillId="8" borderId="0" xfId="2" applyFill="1"/>
    <xf numFmtId="0" fontId="1" fillId="9" borderId="1" xfId="2" applyFont="1" applyFill="1" applyBorder="1"/>
    <xf numFmtId="0" fontId="3" fillId="2" borderId="1" xfId="2" applyFill="1" applyBorder="1" applyAlignment="1">
      <alignment horizontal="left"/>
    </xf>
    <xf numFmtId="0" fontId="3" fillId="2" borderId="1" xfId="2" applyFill="1" applyBorder="1"/>
    <xf numFmtId="9" fontId="0" fillId="0" borderId="1" xfId="3" applyFont="1" applyBorder="1"/>
    <xf numFmtId="10" fontId="0" fillId="0" borderId="1" xfId="3" applyNumberFormat="1" applyFont="1" applyBorder="1"/>
    <xf numFmtId="0" fontId="3" fillId="2" borderId="1" xfId="2" applyFont="1" applyFill="1" applyBorder="1" applyAlignment="1">
      <alignment horizontal="left"/>
    </xf>
    <xf numFmtId="0" fontId="3" fillId="2" borderId="1" xfId="2" applyFont="1" applyFill="1" applyBorder="1"/>
    <xf numFmtId="0" fontId="3" fillId="0" borderId="0" xfId="2" applyFont="1"/>
    <xf numFmtId="0" fontId="3" fillId="10" borderId="1" xfId="2" applyFont="1" applyFill="1" applyBorder="1" applyAlignment="1">
      <alignment horizontal="left"/>
    </xf>
    <xf numFmtId="0" fontId="3" fillId="10" borderId="1" xfId="2" applyFill="1" applyBorder="1"/>
    <xf numFmtId="0" fontId="1" fillId="0" borderId="2" xfId="2" applyFont="1" applyBorder="1" applyAlignment="1">
      <alignment horizontal="center" vertical="center"/>
    </xf>
    <xf numFmtId="0" fontId="4" fillId="6" borderId="3" xfId="2" applyFont="1" applyFill="1" applyBorder="1" applyAlignment="1">
      <alignment horizontal="center" vertical="center"/>
    </xf>
    <xf numFmtId="0" fontId="3" fillId="11" borderId="5" xfId="2" applyFill="1" applyBorder="1" applyAlignment="1">
      <alignment horizontal="left" indent="1"/>
    </xf>
    <xf numFmtId="0" fontId="3" fillId="11" borderId="5" xfId="2" applyFill="1" applyBorder="1" applyAlignment="1">
      <alignment horizontal="center"/>
    </xf>
    <xf numFmtId="0" fontId="3" fillId="11" borderId="7" xfId="2" applyFill="1" applyBorder="1" applyAlignment="1">
      <alignment horizontal="left" indent="1"/>
    </xf>
    <xf numFmtId="0" fontId="3" fillId="11" borderId="7" xfId="2" applyFill="1" applyBorder="1" applyAlignment="1">
      <alignment horizontal="center"/>
    </xf>
    <xf numFmtId="0" fontId="3" fillId="4" borderId="7" xfId="2" applyFill="1" applyBorder="1" applyAlignment="1">
      <alignment horizontal="center"/>
    </xf>
    <xf numFmtId="0" fontId="3" fillId="11" borderId="9" xfId="2" applyFill="1" applyBorder="1" applyAlignment="1">
      <alignment horizontal="left" indent="1"/>
    </xf>
    <xf numFmtId="0" fontId="3" fillId="11" borderId="9" xfId="2" applyFill="1" applyBorder="1" applyAlignment="1">
      <alignment horizontal="center"/>
    </xf>
    <xf numFmtId="0" fontId="3" fillId="11" borderId="10" xfId="2" applyFill="1" applyBorder="1" applyAlignment="1">
      <alignment horizontal="left" indent="1"/>
    </xf>
    <xf numFmtId="0" fontId="3" fillId="11" borderId="0" xfId="2" applyFill="1" applyAlignment="1">
      <alignment horizontal="left" indent="1"/>
    </xf>
    <xf numFmtId="0" fontId="3" fillId="11" borderId="11" xfId="2" applyFill="1" applyBorder="1" applyAlignment="1">
      <alignment horizontal="left" indent="1"/>
    </xf>
    <xf numFmtId="0" fontId="3" fillId="12" borderId="14" xfId="2" applyFill="1" applyBorder="1" applyAlignment="1">
      <alignment horizontal="left" indent="1"/>
    </xf>
    <xf numFmtId="0" fontId="3" fillId="12" borderId="10" xfId="2" applyFill="1" applyBorder="1" applyAlignment="1">
      <alignment horizontal="center"/>
    </xf>
    <xf numFmtId="0" fontId="3" fillId="12" borderId="15" xfId="2" applyFill="1" applyBorder="1" applyAlignment="1">
      <alignment horizontal="left" indent="1"/>
    </xf>
    <xf numFmtId="0" fontId="3" fillId="12" borderId="0" xfId="2" applyFill="1" applyAlignment="1">
      <alignment horizontal="center"/>
    </xf>
    <xf numFmtId="0" fontId="3" fillId="12" borderId="16" xfId="2" applyFill="1" applyBorder="1" applyAlignment="1">
      <alignment horizontal="left" indent="1"/>
    </xf>
    <xf numFmtId="0" fontId="3" fillId="12" borderId="11" xfId="2" applyFill="1" applyBorder="1" applyAlignment="1">
      <alignment horizontal="center"/>
    </xf>
    <xf numFmtId="0" fontId="4" fillId="2" borderId="3" xfId="2" applyFont="1" applyFill="1" applyBorder="1" applyAlignment="1">
      <alignment horizontal="left" wrapText="1"/>
    </xf>
    <xf numFmtId="0" fontId="3" fillId="11" borderId="17" xfId="2" applyFill="1" applyBorder="1" applyAlignment="1">
      <alignment horizontal="left" vertical="top" indent="1"/>
    </xf>
    <xf numFmtId="0" fontId="3" fillId="4" borderId="3" xfId="2" applyFill="1" applyBorder="1" applyAlignment="1">
      <alignment horizontal="center" vertical="center"/>
    </xf>
    <xf numFmtId="0" fontId="3" fillId="11" borderId="18" xfId="2" applyFill="1" applyBorder="1" applyAlignment="1">
      <alignment horizontal="left" indent="1"/>
    </xf>
    <xf numFmtId="0" fontId="3" fillId="11" borderId="19" xfId="2" applyFill="1" applyBorder="1" applyAlignment="1">
      <alignment horizontal="left" indent="1"/>
    </xf>
    <xf numFmtId="0" fontId="3" fillId="11" borderId="8" xfId="2" applyFill="1" applyBorder="1" applyAlignment="1">
      <alignment horizontal="left" indent="1"/>
    </xf>
    <xf numFmtId="0" fontId="1" fillId="14" borderId="1" xfId="2" applyFont="1" applyFill="1" applyBorder="1" applyAlignment="1">
      <alignment horizontal="center"/>
    </xf>
    <xf numFmtId="0" fontId="8" fillId="0" borderId="0" xfId="0" applyFont="1" applyAlignment="1">
      <alignment horizontal="center" vertical="center"/>
    </xf>
    <xf numFmtId="0" fontId="8" fillId="0" borderId="11" xfId="0" applyFont="1" applyBorder="1" applyAlignment="1">
      <alignment horizontal="center" vertical="center"/>
    </xf>
    <xf numFmtId="0" fontId="7" fillId="14" borderId="17" xfId="0" applyFont="1" applyFill="1" applyBorder="1" applyAlignment="1">
      <alignment horizontal="center" vertical="center"/>
    </xf>
    <xf numFmtId="0" fontId="11" fillId="0" borderId="0" xfId="0" applyFont="1" applyAlignment="1">
      <alignment horizontal="center" vertical="center"/>
    </xf>
    <xf numFmtId="0" fontId="11" fillId="0" borderId="11" xfId="0" applyFont="1" applyBorder="1" applyAlignment="1">
      <alignment horizontal="center" vertical="center"/>
    </xf>
    <xf numFmtId="0" fontId="3" fillId="0" borderId="0" xfId="2" applyAlignment="1"/>
    <xf numFmtId="0" fontId="10" fillId="14" borderId="17" xfId="0" applyFont="1" applyFill="1" applyBorder="1" applyAlignment="1">
      <alignment horizontal="center" vertical="center"/>
    </xf>
    <xf numFmtId="0" fontId="3" fillId="13" borderId="1" xfId="2" applyFill="1" applyBorder="1"/>
    <xf numFmtId="0" fontId="3" fillId="0" borderId="1" xfId="2" applyBorder="1" applyAlignment="1">
      <alignment horizontal="center"/>
    </xf>
    <xf numFmtId="0" fontId="3" fillId="8" borderId="1" xfId="2" applyFill="1" applyBorder="1" applyAlignment="1">
      <alignment horizontal="center"/>
    </xf>
    <xf numFmtId="0" fontId="5" fillId="0" borderId="1" xfId="2" applyFont="1" applyBorder="1"/>
    <xf numFmtId="0" fontId="5" fillId="0" borderId="1" xfId="2" applyFont="1" applyBorder="1" applyAlignment="1">
      <alignment horizontal="center"/>
    </xf>
    <xf numFmtId="0" fontId="9" fillId="0" borderId="0" xfId="0" applyFont="1" applyAlignment="1">
      <alignment vertical="center"/>
    </xf>
    <xf numFmtId="0" fontId="12" fillId="0" borderId="0" xfId="0" applyFont="1" applyAlignment="1">
      <alignment vertical="center"/>
    </xf>
    <xf numFmtId="0" fontId="6" fillId="0" borderId="0" xfId="0" applyFont="1" applyAlignment="1">
      <alignment horizontal="justify" vertical="center"/>
    </xf>
    <xf numFmtId="0" fontId="0" fillId="0" borderId="0" xfId="0" applyAlignment="1"/>
    <xf numFmtId="0" fontId="11" fillId="0" borderId="1" xfId="0" applyFont="1" applyBorder="1" applyAlignment="1">
      <alignment vertical="center"/>
    </xf>
    <xf numFmtId="0" fontId="11" fillId="0" borderId="1" xfId="0" applyFont="1" applyBorder="1" applyAlignment="1">
      <alignment horizontal="center" vertical="center"/>
    </xf>
    <xf numFmtId="0" fontId="4" fillId="2" borderId="12" xfId="2" applyFont="1" applyFill="1" applyBorder="1" applyAlignment="1">
      <alignment horizontal="center" vertical="center"/>
    </xf>
    <xf numFmtId="0" fontId="4" fillId="2" borderId="13" xfId="2" applyFont="1" applyFill="1" applyBorder="1" applyAlignment="1">
      <alignment horizontal="center" vertical="center"/>
    </xf>
    <xf numFmtId="0" fontId="4" fillId="2" borderId="9" xfId="2" applyFont="1" applyFill="1" applyBorder="1" applyAlignment="1">
      <alignment horizontal="center" vertical="center"/>
    </xf>
    <xf numFmtId="0" fontId="4" fillId="2" borderId="4" xfId="2" applyFont="1" applyFill="1" applyBorder="1" applyAlignment="1">
      <alignment horizontal="center" vertical="center"/>
    </xf>
    <xf numFmtId="0" fontId="4" fillId="2" borderId="6" xfId="2" applyFont="1" applyFill="1" applyBorder="1" applyAlignment="1">
      <alignment horizontal="center" vertical="center"/>
    </xf>
    <xf numFmtId="0" fontId="4" fillId="2" borderId="8" xfId="2" applyFont="1" applyFill="1" applyBorder="1" applyAlignment="1">
      <alignment horizontal="center" vertical="center"/>
    </xf>
    <xf numFmtId="0" fontId="4" fillId="2" borderId="5"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2" borderId="12" xfId="2" applyFont="1" applyFill="1" applyBorder="1" applyAlignment="1">
      <alignment horizontal="center" vertical="center" wrapText="1"/>
    </xf>
    <xf numFmtId="0" fontId="4" fillId="2" borderId="13" xfId="2" applyFont="1" applyFill="1" applyBorder="1" applyAlignment="1">
      <alignment horizontal="center" vertical="center" wrapText="1"/>
    </xf>
    <xf numFmtId="0" fontId="7" fillId="14" borderId="20" xfId="0" applyFont="1" applyFill="1" applyBorder="1" applyAlignment="1">
      <alignment horizontal="center" vertical="center"/>
    </xf>
    <xf numFmtId="0" fontId="7" fillId="14" borderId="21" xfId="0" applyFont="1" applyFill="1" applyBorder="1" applyAlignment="1">
      <alignment horizontal="center" vertical="center"/>
    </xf>
    <xf numFmtId="0" fontId="7" fillId="14" borderId="1" xfId="0" applyFont="1" applyFill="1" applyBorder="1" applyAlignment="1">
      <alignment horizontal="center" vertical="center"/>
    </xf>
    <xf numFmtId="0" fontId="7" fillId="14" borderId="1"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Porcentaje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SDG!$E$5:$E$19</c:f>
              <c:strCache>
                <c:ptCount val="15"/>
                <c:pt idx="0">
                  <c:v>SDG9</c:v>
                </c:pt>
                <c:pt idx="1">
                  <c:v>SDG3</c:v>
                </c:pt>
                <c:pt idx="2">
                  <c:v>SDG4</c:v>
                </c:pt>
                <c:pt idx="3">
                  <c:v>SDG12</c:v>
                </c:pt>
                <c:pt idx="4">
                  <c:v>SDG11</c:v>
                </c:pt>
                <c:pt idx="5">
                  <c:v>SDG01</c:v>
                </c:pt>
                <c:pt idx="6">
                  <c:v>SDG08</c:v>
                </c:pt>
                <c:pt idx="7">
                  <c:v>SDG10</c:v>
                </c:pt>
                <c:pt idx="8">
                  <c:v>SDG05</c:v>
                </c:pt>
                <c:pt idx="9">
                  <c:v>SDG16</c:v>
                </c:pt>
                <c:pt idx="10">
                  <c:v>SDG02</c:v>
                </c:pt>
                <c:pt idx="11">
                  <c:v>SDG07</c:v>
                </c:pt>
                <c:pt idx="12">
                  <c:v>SDG15</c:v>
                </c:pt>
                <c:pt idx="13">
                  <c:v>SDG13</c:v>
                </c:pt>
                <c:pt idx="14">
                  <c:v>SDG06</c:v>
                </c:pt>
              </c:strCache>
            </c:strRef>
          </c:cat>
          <c:val>
            <c:numRef>
              <c:f>SDG!$F$5:$F$19</c:f>
              <c:numCache>
                <c:formatCode>General</c:formatCode>
                <c:ptCount val="15"/>
                <c:pt idx="0">
                  <c:v>166</c:v>
                </c:pt>
                <c:pt idx="1">
                  <c:v>101</c:v>
                </c:pt>
                <c:pt idx="2">
                  <c:v>86</c:v>
                </c:pt>
                <c:pt idx="3">
                  <c:v>42</c:v>
                </c:pt>
                <c:pt idx="4">
                  <c:v>38</c:v>
                </c:pt>
                <c:pt idx="5">
                  <c:v>13</c:v>
                </c:pt>
                <c:pt idx="6">
                  <c:v>10</c:v>
                </c:pt>
                <c:pt idx="7">
                  <c:v>9</c:v>
                </c:pt>
                <c:pt idx="8">
                  <c:v>6</c:v>
                </c:pt>
                <c:pt idx="9">
                  <c:v>6</c:v>
                </c:pt>
                <c:pt idx="10">
                  <c:v>5</c:v>
                </c:pt>
                <c:pt idx="11">
                  <c:v>5</c:v>
                </c:pt>
                <c:pt idx="12">
                  <c:v>4</c:v>
                </c:pt>
                <c:pt idx="13">
                  <c:v>3</c:v>
                </c:pt>
                <c:pt idx="14">
                  <c:v>2</c:v>
                </c:pt>
              </c:numCache>
            </c:numRef>
          </c:val>
          <c:extLst>
            <c:ext xmlns:c16="http://schemas.microsoft.com/office/drawing/2014/chart" uri="{C3380CC4-5D6E-409C-BE32-E72D297353CC}">
              <c16:uniqueId val="{00000000-BC54-40A7-8AE3-92E25018AF72}"/>
            </c:ext>
          </c:extLst>
        </c:ser>
        <c:dLbls>
          <c:dLblPos val="outEnd"/>
          <c:showLegendKey val="0"/>
          <c:showVal val="1"/>
          <c:showCatName val="0"/>
          <c:showSerName val="0"/>
          <c:showPercent val="0"/>
          <c:showBubbleSize val="0"/>
        </c:dLbls>
        <c:gapWidth val="100"/>
        <c:overlap val="-24"/>
        <c:axId val="-1995900928"/>
        <c:axId val="-1995907456"/>
      </c:barChart>
      <c:catAx>
        <c:axId val="-1995900928"/>
        <c:scaling>
          <c:orientation val="minMax"/>
        </c:scaling>
        <c:delete val="0"/>
        <c:axPos val="b"/>
        <c:title>
          <c:tx>
            <c:rich>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r>
                  <a:rPr lang="es-419" cap="none" baseline="0"/>
                  <a:t>Related SDG</a:t>
                </a:r>
              </a:p>
            </c:rich>
          </c:tx>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crossAx val="-1995907456"/>
        <c:crosses val="autoZero"/>
        <c:auto val="1"/>
        <c:lblAlgn val="ctr"/>
        <c:lblOffset val="100"/>
        <c:noMultiLvlLbl val="0"/>
      </c:catAx>
      <c:valAx>
        <c:axId val="-1995907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r>
                  <a:rPr lang="es-419" cap="none" baseline="0"/>
                  <a:t>Published documents</a:t>
                </a:r>
              </a:p>
            </c:rich>
          </c:tx>
          <c:overlay val="0"/>
          <c:spPr>
            <a:noFill/>
            <a:ln>
              <a:noFill/>
            </a:ln>
            <a:effectLst/>
          </c:spPr>
          <c:txPr>
            <a:bodyPr rot="-5400000" spcFirstLastPara="1" vertOverflow="ellipsis" vert="horz" wrap="square" anchor="ctr" anchorCtr="1"/>
            <a:lstStyle/>
            <a:p>
              <a:pPr>
                <a:defRPr sz="900" b="0" i="0" u="none" strike="noStrike" kern="1200" cap="none" baseline="0">
                  <a:solidFill>
                    <a:schemeClr val="tx1">
                      <a:lumMod val="50000"/>
                      <a:lumOff val="50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crossAx val="-19959009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Lotka!$J$1</c:f>
              <c:strCache>
                <c:ptCount val="1"/>
                <c:pt idx="0">
                  <c:v>Authors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6350" cap="flat" cmpd="sng" algn="ctr">
                <a:solidFill>
                  <a:schemeClr val="accent2"/>
                </a:solidFill>
                <a:prstDash val="solid"/>
                <a:miter lim="800000"/>
              </a:ln>
              <a:effectLst/>
            </c:spPr>
            <c:trendlineType val="power"/>
            <c:dispRSqr val="1"/>
            <c:dispEq val="1"/>
            <c:trendlineLbl>
              <c:layout>
                <c:manualLayout>
                  <c:x val="-0.11829832885857383"/>
                  <c:y val="-0.3016233654777559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trendlineLbl>
          </c:trendline>
          <c:xVal>
            <c:numRef>
              <c:f>Lotka!$I$2:$I$6</c:f>
              <c:numCache>
                <c:formatCode>General</c:formatCode>
                <c:ptCount val="5"/>
                <c:pt idx="0">
                  <c:v>14</c:v>
                </c:pt>
                <c:pt idx="1">
                  <c:v>4</c:v>
                </c:pt>
                <c:pt idx="2">
                  <c:v>3</c:v>
                </c:pt>
                <c:pt idx="3">
                  <c:v>2</c:v>
                </c:pt>
                <c:pt idx="4">
                  <c:v>1</c:v>
                </c:pt>
              </c:numCache>
            </c:numRef>
          </c:xVal>
          <c:yVal>
            <c:numRef>
              <c:f>Lotka!$J$2:$J$6</c:f>
              <c:numCache>
                <c:formatCode>General</c:formatCode>
                <c:ptCount val="5"/>
                <c:pt idx="0">
                  <c:v>1</c:v>
                </c:pt>
                <c:pt idx="1">
                  <c:v>4</c:v>
                </c:pt>
                <c:pt idx="2">
                  <c:v>1</c:v>
                </c:pt>
                <c:pt idx="3">
                  <c:v>75</c:v>
                </c:pt>
                <c:pt idx="4">
                  <c:v>2039</c:v>
                </c:pt>
              </c:numCache>
            </c:numRef>
          </c:yVal>
          <c:smooth val="0"/>
          <c:extLst>
            <c:ext xmlns:c16="http://schemas.microsoft.com/office/drawing/2014/chart" uri="{C3380CC4-5D6E-409C-BE32-E72D297353CC}">
              <c16:uniqueId val="{00000000-C25A-482C-8DE7-6E504F367686}"/>
            </c:ext>
          </c:extLst>
        </c:ser>
        <c:dLbls>
          <c:showLegendKey val="0"/>
          <c:showVal val="0"/>
          <c:showCatName val="0"/>
          <c:showSerName val="0"/>
          <c:showPercent val="0"/>
          <c:showBubbleSize val="0"/>
        </c:dLbls>
        <c:axId val="-1221336736"/>
        <c:axId val="-1221347616"/>
      </c:scatterChart>
      <c:valAx>
        <c:axId val="-12213367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Número de publicaciones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47616"/>
        <c:crosses val="autoZero"/>
        <c:crossBetween val="midCat"/>
      </c:valAx>
      <c:valAx>
        <c:axId val="-12213476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Autores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367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Lotka!$J$1</c:f>
              <c:strCache>
                <c:ptCount val="1"/>
                <c:pt idx="0">
                  <c:v>Authors</c:v>
                </c:pt>
              </c:strCache>
            </c:strRef>
          </c:tx>
          <c:spPr>
            <a:solidFill>
              <a:schemeClr val="accent1"/>
            </a:solidFill>
            <a:ln>
              <a:noFill/>
            </a:ln>
            <a:effectLst/>
          </c:spPr>
          <c:invertIfNegative val="0"/>
          <c:dPt>
            <c:idx val="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93E7-4FE0-AD64-4DFB780F1D08}"/>
              </c:ext>
            </c:extLst>
          </c:dPt>
          <c:dPt>
            <c:idx val="1"/>
            <c:invertIfNegative val="0"/>
            <c:bubble3D val="0"/>
            <c:spPr>
              <a:solidFill>
                <a:srgbClr val="0070C0"/>
              </a:solidFill>
              <a:ln>
                <a:noFill/>
              </a:ln>
              <a:effectLst/>
            </c:spPr>
            <c:extLst>
              <c:ext xmlns:c16="http://schemas.microsoft.com/office/drawing/2014/chart" uri="{C3380CC4-5D6E-409C-BE32-E72D297353CC}">
                <c16:uniqueId val="{00000003-93E7-4FE0-AD64-4DFB780F1D08}"/>
              </c:ext>
            </c:extLst>
          </c:dPt>
          <c:dPt>
            <c:idx val="2"/>
            <c:invertIfNegative val="0"/>
            <c:bubble3D val="0"/>
            <c:spPr>
              <a:solidFill>
                <a:schemeClr val="accent1">
                  <a:lumMod val="75000"/>
                </a:schemeClr>
              </a:solidFill>
              <a:ln>
                <a:noFill/>
              </a:ln>
              <a:effectLst/>
            </c:spPr>
            <c:extLst>
              <c:ext xmlns:c16="http://schemas.microsoft.com/office/drawing/2014/chart" uri="{C3380CC4-5D6E-409C-BE32-E72D297353CC}">
                <c16:uniqueId val="{00000005-93E7-4FE0-AD64-4DFB780F1D08}"/>
              </c:ext>
            </c:extLst>
          </c:dPt>
          <c:dPt>
            <c:idx val="3"/>
            <c:invertIfNegative val="0"/>
            <c:bubble3D val="0"/>
            <c:spPr>
              <a:solidFill>
                <a:srgbClr val="00B0F0"/>
              </a:solidFill>
              <a:ln>
                <a:noFill/>
              </a:ln>
              <a:effectLst/>
            </c:spPr>
            <c:extLst>
              <c:ext xmlns:c16="http://schemas.microsoft.com/office/drawing/2014/chart" uri="{C3380CC4-5D6E-409C-BE32-E72D297353CC}">
                <c16:uniqueId val="{00000001-F748-4D17-B9E0-23D21498DCB6}"/>
              </c:ext>
            </c:extLst>
          </c:dPt>
          <c:dPt>
            <c:idx val="4"/>
            <c:invertIfNegative val="0"/>
            <c:bubble3D val="0"/>
            <c:spPr>
              <a:solidFill>
                <a:schemeClr val="accent1">
                  <a:lumMod val="50000"/>
                </a:schemeClr>
              </a:solidFill>
              <a:ln>
                <a:noFill/>
              </a:ln>
              <a:effectLst/>
            </c:spPr>
            <c:extLst>
              <c:ext xmlns:c16="http://schemas.microsoft.com/office/drawing/2014/chart" uri="{C3380CC4-5D6E-409C-BE32-E72D297353CC}">
                <c16:uniqueId val="{00000003-F748-4D17-B9E0-23D21498DC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Lotka!$I$31:$I$35</c:f>
              <c:numCache>
                <c:formatCode>General</c:formatCode>
                <c:ptCount val="5"/>
                <c:pt idx="0">
                  <c:v>2039</c:v>
                </c:pt>
                <c:pt idx="1">
                  <c:v>75</c:v>
                </c:pt>
                <c:pt idx="2">
                  <c:v>1</c:v>
                </c:pt>
                <c:pt idx="3">
                  <c:v>4</c:v>
                </c:pt>
                <c:pt idx="4">
                  <c:v>1</c:v>
                </c:pt>
              </c:numCache>
            </c:numRef>
          </c:cat>
          <c:val>
            <c:numRef>
              <c:f>Lotka!$J$31:$J$35</c:f>
              <c:numCache>
                <c:formatCode>General</c:formatCode>
                <c:ptCount val="5"/>
                <c:pt idx="0">
                  <c:v>1</c:v>
                </c:pt>
                <c:pt idx="1">
                  <c:v>2</c:v>
                </c:pt>
                <c:pt idx="2">
                  <c:v>3</c:v>
                </c:pt>
                <c:pt idx="3">
                  <c:v>4</c:v>
                </c:pt>
                <c:pt idx="4">
                  <c:v>14</c:v>
                </c:pt>
              </c:numCache>
            </c:numRef>
          </c:val>
          <c:extLst>
            <c:ext xmlns:c16="http://schemas.microsoft.com/office/drawing/2014/chart" uri="{C3380CC4-5D6E-409C-BE32-E72D297353CC}">
              <c16:uniqueId val="{00000004-F748-4D17-B9E0-23D21498DCB6}"/>
            </c:ext>
          </c:extLst>
        </c:ser>
        <c:dLbls>
          <c:showLegendKey val="0"/>
          <c:showVal val="1"/>
          <c:showCatName val="0"/>
          <c:showSerName val="0"/>
          <c:showPercent val="0"/>
          <c:showBubbleSize val="0"/>
        </c:dLbls>
        <c:gapWidth val="75"/>
        <c:overlap val="40"/>
        <c:axId val="-1221339456"/>
        <c:axId val="-1221349248"/>
      </c:barChart>
      <c:catAx>
        <c:axId val="-1221339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HN"/>
                  <a:t>Authors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49248"/>
        <c:crosses val="autoZero"/>
        <c:auto val="1"/>
        <c:lblAlgn val="ctr"/>
        <c:lblOffset val="100"/>
        <c:noMultiLvlLbl val="0"/>
      </c:catAx>
      <c:valAx>
        <c:axId val="-1221349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HN"/>
                  <a:t>Numbers of publications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3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Publicaciones por año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lineMarker"/>
        <c:varyColors val="0"/>
        <c:ser>
          <c:idx val="0"/>
          <c:order val="0"/>
          <c:tx>
            <c:strRef>
              <c:f>Price!$BT$5</c:f>
              <c:strCache>
                <c:ptCount val="1"/>
                <c:pt idx="0">
                  <c:v>Publicaciones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6350" cap="flat" cmpd="sng" algn="ctr">
                <a:solidFill>
                  <a:schemeClr val="accent2"/>
                </a:solidFill>
                <a:prstDash val="solid"/>
                <a:miter lim="800000"/>
              </a:ln>
              <a:effectLst/>
            </c:spPr>
            <c:trendlineType val="linear"/>
            <c:dispRSqr val="1"/>
            <c:dispEq val="1"/>
            <c:trendlineLbl>
              <c:layout>
                <c:manualLayout>
                  <c:x val="-0.21455580188398779"/>
                  <c:y val="-0.12461395450568678"/>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L"/>
                </a:p>
              </c:txPr>
            </c:trendlineLbl>
          </c:trendline>
          <c:xVal>
            <c:numRef>
              <c:f>Price!$BS$6:$BS$29</c:f>
              <c:numCache>
                <c:formatCode>General</c:formatCode>
                <c:ptCount val="24"/>
                <c:pt idx="0">
                  <c:v>2023</c:v>
                </c:pt>
                <c:pt idx="1">
                  <c:v>2022</c:v>
                </c:pt>
                <c:pt idx="2">
                  <c:v>2021</c:v>
                </c:pt>
                <c:pt idx="3">
                  <c:v>2020</c:v>
                </c:pt>
                <c:pt idx="4">
                  <c:v>2019</c:v>
                </c:pt>
                <c:pt idx="5">
                  <c:v>2018</c:v>
                </c:pt>
                <c:pt idx="6">
                  <c:v>2017</c:v>
                </c:pt>
                <c:pt idx="7">
                  <c:v>2016</c:v>
                </c:pt>
                <c:pt idx="8">
                  <c:v>2015</c:v>
                </c:pt>
                <c:pt idx="9">
                  <c:v>2014</c:v>
                </c:pt>
                <c:pt idx="10">
                  <c:v>2013</c:v>
                </c:pt>
                <c:pt idx="11">
                  <c:v>2012</c:v>
                </c:pt>
                <c:pt idx="12">
                  <c:v>2011</c:v>
                </c:pt>
                <c:pt idx="13">
                  <c:v>2010</c:v>
                </c:pt>
                <c:pt idx="14">
                  <c:v>2009</c:v>
                </c:pt>
                <c:pt idx="15">
                  <c:v>2008</c:v>
                </c:pt>
                <c:pt idx="16">
                  <c:v>2007</c:v>
                </c:pt>
                <c:pt idx="17">
                  <c:v>2006</c:v>
                </c:pt>
                <c:pt idx="18">
                  <c:v>2005</c:v>
                </c:pt>
                <c:pt idx="19">
                  <c:v>2003</c:v>
                </c:pt>
                <c:pt idx="20">
                  <c:v>2001</c:v>
                </c:pt>
                <c:pt idx="21">
                  <c:v>2000</c:v>
                </c:pt>
                <c:pt idx="22">
                  <c:v>1995</c:v>
                </c:pt>
                <c:pt idx="23">
                  <c:v>1991</c:v>
                </c:pt>
              </c:numCache>
            </c:numRef>
          </c:xVal>
          <c:yVal>
            <c:numRef>
              <c:f>Price!$BT$6:$BT$29</c:f>
              <c:numCache>
                <c:formatCode>General</c:formatCode>
                <c:ptCount val="24"/>
                <c:pt idx="0">
                  <c:v>127</c:v>
                </c:pt>
                <c:pt idx="1">
                  <c:v>154</c:v>
                </c:pt>
                <c:pt idx="2">
                  <c:v>98</c:v>
                </c:pt>
                <c:pt idx="3">
                  <c:v>52</c:v>
                </c:pt>
                <c:pt idx="4">
                  <c:v>54</c:v>
                </c:pt>
                <c:pt idx="5">
                  <c:v>41</c:v>
                </c:pt>
                <c:pt idx="6">
                  <c:v>34</c:v>
                </c:pt>
                <c:pt idx="7">
                  <c:v>25</c:v>
                </c:pt>
                <c:pt idx="8">
                  <c:v>17</c:v>
                </c:pt>
                <c:pt idx="9">
                  <c:v>14</c:v>
                </c:pt>
                <c:pt idx="10">
                  <c:v>16</c:v>
                </c:pt>
                <c:pt idx="11">
                  <c:v>3</c:v>
                </c:pt>
                <c:pt idx="12">
                  <c:v>7</c:v>
                </c:pt>
                <c:pt idx="13">
                  <c:v>8</c:v>
                </c:pt>
                <c:pt idx="14">
                  <c:v>5</c:v>
                </c:pt>
                <c:pt idx="15">
                  <c:v>4</c:v>
                </c:pt>
                <c:pt idx="16">
                  <c:v>5</c:v>
                </c:pt>
                <c:pt idx="17">
                  <c:v>3</c:v>
                </c:pt>
                <c:pt idx="18">
                  <c:v>1</c:v>
                </c:pt>
                <c:pt idx="19">
                  <c:v>1</c:v>
                </c:pt>
                <c:pt idx="20">
                  <c:v>2</c:v>
                </c:pt>
                <c:pt idx="21">
                  <c:v>1</c:v>
                </c:pt>
                <c:pt idx="22">
                  <c:v>1</c:v>
                </c:pt>
                <c:pt idx="23">
                  <c:v>1</c:v>
                </c:pt>
              </c:numCache>
            </c:numRef>
          </c:yVal>
          <c:smooth val="0"/>
          <c:extLst>
            <c:ext xmlns:c16="http://schemas.microsoft.com/office/drawing/2014/chart" uri="{C3380CC4-5D6E-409C-BE32-E72D297353CC}">
              <c16:uniqueId val="{00000000-4661-4A72-8441-D8FDA8A9BE10}"/>
            </c:ext>
          </c:extLst>
        </c:ser>
        <c:dLbls>
          <c:showLegendKey val="0"/>
          <c:showVal val="0"/>
          <c:showCatName val="0"/>
          <c:showSerName val="0"/>
          <c:showPercent val="0"/>
          <c:showBubbleSize val="0"/>
        </c:dLbls>
        <c:axId val="-1221348160"/>
        <c:axId val="-1221337824"/>
      </c:scatterChart>
      <c:valAx>
        <c:axId val="-12213481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Años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37824"/>
        <c:crosses val="autoZero"/>
        <c:crossBetween val="midCat"/>
      </c:valAx>
      <c:valAx>
        <c:axId val="-1221337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Publicaciones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481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Price!$F$1</c:f>
              <c:strCache>
                <c:ptCount val="1"/>
                <c:pt idx="0">
                  <c:v>Publications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6350" cap="flat" cmpd="sng" algn="ctr">
                <a:solidFill>
                  <a:schemeClr val="accent2"/>
                </a:solidFill>
                <a:prstDash val="solid"/>
                <a:miter lim="800000"/>
              </a:ln>
              <a:effectLst/>
            </c:spPr>
            <c:trendlineType val="exp"/>
            <c:dispRSqr val="1"/>
            <c:dispEq val="1"/>
            <c:trendlineLbl>
              <c:layout>
                <c:manualLayout>
                  <c:x val="-0.2712529341414604"/>
                  <c:y val="-2.503282292965839E-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trendlineLbl>
          </c:trendline>
          <c:xVal>
            <c:numRef>
              <c:f>Price!$E$7:$E$24</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Price!$F$7:$F$24</c:f>
              <c:numCache>
                <c:formatCode>General</c:formatCode>
                <c:ptCount val="18"/>
                <c:pt idx="0">
                  <c:v>1</c:v>
                </c:pt>
                <c:pt idx="1">
                  <c:v>3</c:v>
                </c:pt>
                <c:pt idx="2">
                  <c:v>5</c:v>
                </c:pt>
                <c:pt idx="3">
                  <c:v>4</c:v>
                </c:pt>
                <c:pt idx="4">
                  <c:v>5</c:v>
                </c:pt>
                <c:pt idx="5">
                  <c:v>8</c:v>
                </c:pt>
                <c:pt idx="6">
                  <c:v>7</c:v>
                </c:pt>
                <c:pt idx="7">
                  <c:v>3</c:v>
                </c:pt>
                <c:pt idx="8">
                  <c:v>16</c:v>
                </c:pt>
                <c:pt idx="9">
                  <c:v>14</c:v>
                </c:pt>
                <c:pt idx="10">
                  <c:v>17</c:v>
                </c:pt>
                <c:pt idx="11">
                  <c:v>25</c:v>
                </c:pt>
                <c:pt idx="12">
                  <c:v>34</c:v>
                </c:pt>
                <c:pt idx="13">
                  <c:v>41</c:v>
                </c:pt>
                <c:pt idx="14">
                  <c:v>54</c:v>
                </c:pt>
                <c:pt idx="15">
                  <c:v>52</c:v>
                </c:pt>
                <c:pt idx="16">
                  <c:v>98</c:v>
                </c:pt>
                <c:pt idx="17">
                  <c:v>154</c:v>
                </c:pt>
              </c:numCache>
            </c:numRef>
          </c:yVal>
          <c:smooth val="0"/>
          <c:extLst>
            <c:ext xmlns:c16="http://schemas.microsoft.com/office/drawing/2014/chart" uri="{C3380CC4-5D6E-409C-BE32-E72D297353CC}">
              <c16:uniqueId val="{00000000-72CC-4ACC-83E4-9669FEF0355B}"/>
            </c:ext>
          </c:extLst>
        </c:ser>
        <c:dLbls>
          <c:showLegendKey val="0"/>
          <c:showVal val="0"/>
          <c:showCatName val="0"/>
          <c:showSerName val="0"/>
          <c:showPercent val="0"/>
          <c:showBubbleSize val="0"/>
        </c:dLbls>
        <c:axId val="-1221343808"/>
        <c:axId val="-1221342176"/>
      </c:scatterChart>
      <c:valAx>
        <c:axId val="-1221343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Years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42176"/>
        <c:crosses val="autoZero"/>
        <c:crossBetween val="midCat"/>
      </c:valAx>
      <c:valAx>
        <c:axId val="-1221342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US"/>
                  <a:t>Publications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43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'Indice H'!$B$1</c:f>
              <c:strCache>
                <c:ptCount val="1"/>
                <c:pt idx="0">
                  <c:v>Numbers</c:v>
                </c:pt>
              </c:strCache>
            </c:strRef>
          </c:tx>
          <c:spPr>
            <a:ln w="38100" cap="rnd">
              <a:solidFill>
                <a:schemeClr val="accent1"/>
              </a:solidFill>
              <a:round/>
            </a:ln>
            <a:effectLst/>
          </c:spPr>
          <c:marker>
            <c:symbol val="none"/>
          </c:marker>
          <c:val>
            <c:numRef>
              <c:f>'Indice H'!$B$2:$B$675</c:f>
              <c:numCache>
                <c:formatCode>General</c:formatCode>
                <c:ptCount val="67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numCache>
            </c:numRef>
          </c:val>
          <c:smooth val="0"/>
          <c:extLst>
            <c:ext xmlns:c16="http://schemas.microsoft.com/office/drawing/2014/chart" uri="{C3380CC4-5D6E-409C-BE32-E72D297353CC}">
              <c16:uniqueId val="{00000000-082F-431E-A004-81E65AC4FF3C}"/>
            </c:ext>
          </c:extLst>
        </c:ser>
        <c:ser>
          <c:idx val="1"/>
          <c:order val="1"/>
          <c:tx>
            <c:strRef>
              <c:f>'Indice H'!$C$1</c:f>
              <c:strCache>
                <c:ptCount val="1"/>
                <c:pt idx="0">
                  <c:v>Cited, WoS Core</c:v>
                </c:pt>
              </c:strCache>
            </c:strRef>
          </c:tx>
          <c:spPr>
            <a:ln w="38100" cap="rnd">
              <a:solidFill>
                <a:schemeClr val="accent3"/>
              </a:solidFill>
              <a:round/>
            </a:ln>
            <a:effectLst/>
          </c:spPr>
          <c:marker>
            <c:symbol val="none"/>
          </c:marker>
          <c:val>
            <c:numRef>
              <c:f>'Indice H'!$C$2:$C$675</c:f>
              <c:numCache>
                <c:formatCode>General</c:formatCode>
                <c:ptCount val="674"/>
                <c:pt idx="0">
                  <c:v>1231</c:v>
                </c:pt>
                <c:pt idx="1">
                  <c:v>1212</c:v>
                </c:pt>
                <c:pt idx="2">
                  <c:v>435</c:v>
                </c:pt>
                <c:pt idx="3">
                  <c:v>372</c:v>
                </c:pt>
                <c:pt idx="4">
                  <c:v>349</c:v>
                </c:pt>
                <c:pt idx="5">
                  <c:v>335</c:v>
                </c:pt>
                <c:pt idx="6">
                  <c:v>241</c:v>
                </c:pt>
                <c:pt idx="7">
                  <c:v>238</c:v>
                </c:pt>
                <c:pt idx="8">
                  <c:v>235</c:v>
                </c:pt>
                <c:pt idx="9">
                  <c:v>213</c:v>
                </c:pt>
                <c:pt idx="10">
                  <c:v>209</c:v>
                </c:pt>
                <c:pt idx="11">
                  <c:v>197</c:v>
                </c:pt>
                <c:pt idx="12">
                  <c:v>171</c:v>
                </c:pt>
                <c:pt idx="13">
                  <c:v>166</c:v>
                </c:pt>
                <c:pt idx="14">
                  <c:v>131</c:v>
                </c:pt>
                <c:pt idx="15">
                  <c:v>117</c:v>
                </c:pt>
                <c:pt idx="16">
                  <c:v>96</c:v>
                </c:pt>
                <c:pt idx="17">
                  <c:v>90</c:v>
                </c:pt>
                <c:pt idx="18">
                  <c:v>81</c:v>
                </c:pt>
                <c:pt idx="19">
                  <c:v>79</c:v>
                </c:pt>
                <c:pt idx="20">
                  <c:v>74</c:v>
                </c:pt>
                <c:pt idx="21">
                  <c:v>72</c:v>
                </c:pt>
                <c:pt idx="22">
                  <c:v>70</c:v>
                </c:pt>
                <c:pt idx="23">
                  <c:v>69</c:v>
                </c:pt>
                <c:pt idx="24">
                  <c:v>68</c:v>
                </c:pt>
                <c:pt idx="25">
                  <c:v>68</c:v>
                </c:pt>
                <c:pt idx="26">
                  <c:v>66</c:v>
                </c:pt>
                <c:pt idx="27">
                  <c:v>64</c:v>
                </c:pt>
                <c:pt idx="28">
                  <c:v>63</c:v>
                </c:pt>
                <c:pt idx="29">
                  <c:v>60</c:v>
                </c:pt>
                <c:pt idx="30">
                  <c:v>60</c:v>
                </c:pt>
                <c:pt idx="31">
                  <c:v>59</c:v>
                </c:pt>
                <c:pt idx="32">
                  <c:v>57</c:v>
                </c:pt>
                <c:pt idx="33">
                  <c:v>56</c:v>
                </c:pt>
                <c:pt idx="34">
                  <c:v>55</c:v>
                </c:pt>
                <c:pt idx="35">
                  <c:v>55</c:v>
                </c:pt>
                <c:pt idx="36">
                  <c:v>52</c:v>
                </c:pt>
                <c:pt idx="37">
                  <c:v>49</c:v>
                </c:pt>
                <c:pt idx="38">
                  <c:v>47</c:v>
                </c:pt>
                <c:pt idx="39">
                  <c:v>38</c:v>
                </c:pt>
                <c:pt idx="40">
                  <c:v>38</c:v>
                </c:pt>
                <c:pt idx="41">
                  <c:v>37</c:v>
                </c:pt>
                <c:pt idx="42">
                  <c:v>37</c:v>
                </c:pt>
                <c:pt idx="43">
                  <c:v>35</c:v>
                </c:pt>
                <c:pt idx="44">
                  <c:v>35</c:v>
                </c:pt>
                <c:pt idx="45">
                  <c:v>34</c:v>
                </c:pt>
                <c:pt idx="46">
                  <c:v>34</c:v>
                </c:pt>
                <c:pt idx="47">
                  <c:v>34</c:v>
                </c:pt>
                <c:pt idx="48">
                  <c:v>33</c:v>
                </c:pt>
                <c:pt idx="49">
                  <c:v>33</c:v>
                </c:pt>
                <c:pt idx="50">
                  <c:v>33</c:v>
                </c:pt>
                <c:pt idx="51">
                  <c:v>32</c:v>
                </c:pt>
                <c:pt idx="52">
                  <c:v>32</c:v>
                </c:pt>
                <c:pt idx="53">
                  <c:v>31</c:v>
                </c:pt>
                <c:pt idx="54">
                  <c:v>31</c:v>
                </c:pt>
                <c:pt idx="55">
                  <c:v>30</c:v>
                </c:pt>
                <c:pt idx="56">
                  <c:v>30</c:v>
                </c:pt>
                <c:pt idx="57">
                  <c:v>30</c:v>
                </c:pt>
                <c:pt idx="58">
                  <c:v>29</c:v>
                </c:pt>
                <c:pt idx="59">
                  <c:v>28</c:v>
                </c:pt>
                <c:pt idx="60">
                  <c:v>28</c:v>
                </c:pt>
                <c:pt idx="61">
                  <c:v>27</c:v>
                </c:pt>
                <c:pt idx="62">
                  <c:v>27</c:v>
                </c:pt>
                <c:pt idx="63">
                  <c:v>27</c:v>
                </c:pt>
                <c:pt idx="64">
                  <c:v>26</c:v>
                </c:pt>
                <c:pt idx="65">
                  <c:v>26</c:v>
                </c:pt>
                <c:pt idx="66">
                  <c:v>26</c:v>
                </c:pt>
                <c:pt idx="67">
                  <c:v>26</c:v>
                </c:pt>
                <c:pt idx="68">
                  <c:v>26</c:v>
                </c:pt>
                <c:pt idx="69">
                  <c:v>26</c:v>
                </c:pt>
                <c:pt idx="70">
                  <c:v>25</c:v>
                </c:pt>
                <c:pt idx="71">
                  <c:v>25</c:v>
                </c:pt>
                <c:pt idx="72">
                  <c:v>25</c:v>
                </c:pt>
                <c:pt idx="73">
                  <c:v>25</c:v>
                </c:pt>
                <c:pt idx="74">
                  <c:v>25</c:v>
                </c:pt>
                <c:pt idx="75">
                  <c:v>24</c:v>
                </c:pt>
                <c:pt idx="76">
                  <c:v>24</c:v>
                </c:pt>
                <c:pt idx="77">
                  <c:v>23</c:v>
                </c:pt>
                <c:pt idx="78">
                  <c:v>23</c:v>
                </c:pt>
                <c:pt idx="79">
                  <c:v>23</c:v>
                </c:pt>
                <c:pt idx="80">
                  <c:v>22</c:v>
                </c:pt>
                <c:pt idx="81">
                  <c:v>22</c:v>
                </c:pt>
                <c:pt idx="82">
                  <c:v>22</c:v>
                </c:pt>
                <c:pt idx="83">
                  <c:v>21</c:v>
                </c:pt>
                <c:pt idx="84">
                  <c:v>21</c:v>
                </c:pt>
                <c:pt idx="85">
                  <c:v>20</c:v>
                </c:pt>
                <c:pt idx="86">
                  <c:v>20</c:v>
                </c:pt>
                <c:pt idx="87">
                  <c:v>20</c:v>
                </c:pt>
                <c:pt idx="88">
                  <c:v>20</c:v>
                </c:pt>
                <c:pt idx="89">
                  <c:v>19</c:v>
                </c:pt>
                <c:pt idx="90">
                  <c:v>19</c:v>
                </c:pt>
                <c:pt idx="91">
                  <c:v>19</c:v>
                </c:pt>
                <c:pt idx="92">
                  <c:v>19</c:v>
                </c:pt>
                <c:pt idx="93">
                  <c:v>19</c:v>
                </c:pt>
                <c:pt idx="94">
                  <c:v>18</c:v>
                </c:pt>
                <c:pt idx="95">
                  <c:v>18</c:v>
                </c:pt>
                <c:pt idx="96">
                  <c:v>18</c:v>
                </c:pt>
                <c:pt idx="97">
                  <c:v>18</c:v>
                </c:pt>
                <c:pt idx="98">
                  <c:v>18</c:v>
                </c:pt>
                <c:pt idx="99">
                  <c:v>17</c:v>
                </c:pt>
                <c:pt idx="100">
                  <c:v>17</c:v>
                </c:pt>
                <c:pt idx="101">
                  <c:v>17</c:v>
                </c:pt>
                <c:pt idx="102">
                  <c:v>17</c:v>
                </c:pt>
                <c:pt idx="103">
                  <c:v>17</c:v>
                </c:pt>
                <c:pt idx="104">
                  <c:v>17</c:v>
                </c:pt>
                <c:pt idx="105">
                  <c:v>17</c:v>
                </c:pt>
                <c:pt idx="106">
                  <c:v>16</c:v>
                </c:pt>
                <c:pt idx="107">
                  <c:v>16</c:v>
                </c:pt>
                <c:pt idx="108">
                  <c:v>16</c:v>
                </c:pt>
                <c:pt idx="109">
                  <c:v>16</c:v>
                </c:pt>
                <c:pt idx="110">
                  <c:v>16</c:v>
                </c:pt>
                <c:pt idx="111">
                  <c:v>16</c:v>
                </c:pt>
                <c:pt idx="112">
                  <c:v>16</c:v>
                </c:pt>
                <c:pt idx="113">
                  <c:v>16</c:v>
                </c:pt>
                <c:pt idx="114">
                  <c:v>16</c:v>
                </c:pt>
                <c:pt idx="115">
                  <c:v>16</c:v>
                </c:pt>
                <c:pt idx="116">
                  <c:v>16</c:v>
                </c:pt>
                <c:pt idx="117">
                  <c:v>15</c:v>
                </c:pt>
                <c:pt idx="118">
                  <c:v>15</c:v>
                </c:pt>
                <c:pt idx="119">
                  <c:v>15</c:v>
                </c:pt>
                <c:pt idx="120">
                  <c:v>15</c:v>
                </c:pt>
                <c:pt idx="121">
                  <c:v>15</c:v>
                </c:pt>
                <c:pt idx="122">
                  <c:v>15</c:v>
                </c:pt>
                <c:pt idx="123">
                  <c:v>15</c:v>
                </c:pt>
                <c:pt idx="124">
                  <c:v>15</c:v>
                </c:pt>
                <c:pt idx="125">
                  <c:v>15</c:v>
                </c:pt>
                <c:pt idx="126">
                  <c:v>14</c:v>
                </c:pt>
                <c:pt idx="127">
                  <c:v>14</c:v>
                </c:pt>
                <c:pt idx="128">
                  <c:v>14</c:v>
                </c:pt>
                <c:pt idx="129">
                  <c:v>14</c:v>
                </c:pt>
                <c:pt idx="130">
                  <c:v>14</c:v>
                </c:pt>
                <c:pt idx="131">
                  <c:v>14</c:v>
                </c:pt>
                <c:pt idx="132">
                  <c:v>14</c:v>
                </c:pt>
                <c:pt idx="133">
                  <c:v>13</c:v>
                </c:pt>
                <c:pt idx="134">
                  <c:v>13</c:v>
                </c:pt>
                <c:pt idx="135">
                  <c:v>13</c:v>
                </c:pt>
                <c:pt idx="136">
                  <c:v>13</c:v>
                </c:pt>
                <c:pt idx="137">
                  <c:v>13</c:v>
                </c:pt>
                <c:pt idx="138">
                  <c:v>13</c:v>
                </c:pt>
                <c:pt idx="139">
                  <c:v>12</c:v>
                </c:pt>
                <c:pt idx="140">
                  <c:v>12</c:v>
                </c:pt>
                <c:pt idx="141">
                  <c:v>12</c:v>
                </c:pt>
                <c:pt idx="142">
                  <c:v>12</c:v>
                </c:pt>
                <c:pt idx="143">
                  <c:v>12</c:v>
                </c:pt>
                <c:pt idx="144">
                  <c:v>12</c:v>
                </c:pt>
                <c:pt idx="145">
                  <c:v>12</c:v>
                </c:pt>
                <c:pt idx="146">
                  <c:v>12</c:v>
                </c:pt>
                <c:pt idx="147">
                  <c:v>12</c:v>
                </c:pt>
                <c:pt idx="148">
                  <c:v>12</c:v>
                </c:pt>
                <c:pt idx="149">
                  <c:v>12</c:v>
                </c:pt>
                <c:pt idx="150">
                  <c:v>11</c:v>
                </c:pt>
                <c:pt idx="151">
                  <c:v>11</c:v>
                </c:pt>
                <c:pt idx="152">
                  <c:v>11</c:v>
                </c:pt>
                <c:pt idx="153">
                  <c:v>11</c:v>
                </c:pt>
                <c:pt idx="154">
                  <c:v>11</c:v>
                </c:pt>
                <c:pt idx="155">
                  <c:v>11</c:v>
                </c:pt>
                <c:pt idx="156">
                  <c:v>11</c:v>
                </c:pt>
                <c:pt idx="157">
                  <c:v>10</c:v>
                </c:pt>
                <c:pt idx="158">
                  <c:v>10</c:v>
                </c:pt>
                <c:pt idx="159">
                  <c:v>10</c:v>
                </c:pt>
                <c:pt idx="160">
                  <c:v>9</c:v>
                </c:pt>
                <c:pt idx="161">
                  <c:v>9</c:v>
                </c:pt>
                <c:pt idx="162">
                  <c:v>9</c:v>
                </c:pt>
                <c:pt idx="163">
                  <c:v>9</c:v>
                </c:pt>
                <c:pt idx="164">
                  <c:v>9</c:v>
                </c:pt>
                <c:pt idx="165">
                  <c:v>9</c:v>
                </c:pt>
                <c:pt idx="166">
                  <c:v>9</c:v>
                </c:pt>
                <c:pt idx="167">
                  <c:v>9</c:v>
                </c:pt>
                <c:pt idx="168">
                  <c:v>8</c:v>
                </c:pt>
                <c:pt idx="169">
                  <c:v>8</c:v>
                </c:pt>
                <c:pt idx="170">
                  <c:v>8</c:v>
                </c:pt>
                <c:pt idx="171">
                  <c:v>8</c:v>
                </c:pt>
                <c:pt idx="172">
                  <c:v>8</c:v>
                </c:pt>
                <c:pt idx="173">
                  <c:v>8</c:v>
                </c:pt>
                <c:pt idx="174">
                  <c:v>8</c:v>
                </c:pt>
                <c:pt idx="175">
                  <c:v>8</c:v>
                </c:pt>
                <c:pt idx="176">
                  <c:v>8</c:v>
                </c:pt>
                <c:pt idx="177">
                  <c:v>8</c:v>
                </c:pt>
                <c:pt idx="178">
                  <c:v>8</c:v>
                </c:pt>
                <c:pt idx="179">
                  <c:v>8</c:v>
                </c:pt>
                <c:pt idx="180">
                  <c:v>8</c:v>
                </c:pt>
                <c:pt idx="181">
                  <c:v>8</c:v>
                </c:pt>
                <c:pt idx="182">
                  <c:v>8</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6</c:v>
                </c:pt>
                <c:pt idx="203">
                  <c:v>6</c:v>
                </c:pt>
                <c:pt idx="204">
                  <c:v>6</c:v>
                </c:pt>
                <c:pt idx="205">
                  <c:v>6</c:v>
                </c:pt>
                <c:pt idx="206">
                  <c:v>6</c:v>
                </c:pt>
                <c:pt idx="207">
                  <c:v>6</c:v>
                </c:pt>
                <c:pt idx="208">
                  <c:v>6</c:v>
                </c:pt>
                <c:pt idx="209">
                  <c:v>6</c:v>
                </c:pt>
                <c:pt idx="210">
                  <c:v>6</c:v>
                </c:pt>
                <c:pt idx="211">
                  <c:v>6</c:v>
                </c:pt>
                <c:pt idx="212">
                  <c:v>6</c:v>
                </c:pt>
                <c:pt idx="213">
                  <c:v>6</c:v>
                </c:pt>
                <c:pt idx="214">
                  <c:v>6</c:v>
                </c:pt>
                <c:pt idx="215">
                  <c:v>6</c:v>
                </c:pt>
                <c:pt idx="216">
                  <c:v>6</c:v>
                </c:pt>
                <c:pt idx="217">
                  <c:v>6</c:v>
                </c:pt>
                <c:pt idx="218">
                  <c:v>6</c:v>
                </c:pt>
                <c:pt idx="219">
                  <c:v>6</c:v>
                </c:pt>
                <c:pt idx="220">
                  <c:v>6</c:v>
                </c:pt>
                <c:pt idx="221">
                  <c:v>6</c:v>
                </c:pt>
                <c:pt idx="222">
                  <c:v>6</c:v>
                </c:pt>
                <c:pt idx="223">
                  <c:v>6</c:v>
                </c:pt>
                <c:pt idx="224">
                  <c:v>6</c:v>
                </c:pt>
                <c:pt idx="225">
                  <c:v>5</c:v>
                </c:pt>
                <c:pt idx="226">
                  <c:v>5</c:v>
                </c:pt>
                <c:pt idx="227">
                  <c:v>5</c:v>
                </c:pt>
                <c:pt idx="228">
                  <c:v>5</c:v>
                </c:pt>
                <c:pt idx="229">
                  <c:v>5</c:v>
                </c:pt>
                <c:pt idx="230">
                  <c:v>5</c:v>
                </c:pt>
                <c:pt idx="231">
                  <c:v>5</c:v>
                </c:pt>
                <c:pt idx="232">
                  <c:v>5</c:v>
                </c:pt>
                <c:pt idx="233">
                  <c:v>5</c:v>
                </c:pt>
                <c:pt idx="234">
                  <c:v>5</c:v>
                </c:pt>
                <c:pt idx="235">
                  <c:v>5</c:v>
                </c:pt>
                <c:pt idx="236">
                  <c:v>5</c:v>
                </c:pt>
                <c:pt idx="237">
                  <c:v>5</c:v>
                </c:pt>
                <c:pt idx="238">
                  <c:v>5</c:v>
                </c:pt>
                <c:pt idx="239">
                  <c:v>5</c:v>
                </c:pt>
                <c:pt idx="240">
                  <c:v>5</c:v>
                </c:pt>
                <c:pt idx="241">
                  <c:v>5</c:v>
                </c:pt>
                <c:pt idx="242">
                  <c:v>5</c:v>
                </c:pt>
                <c:pt idx="243">
                  <c:v>5</c:v>
                </c:pt>
                <c:pt idx="244">
                  <c:v>5</c:v>
                </c:pt>
                <c:pt idx="245">
                  <c:v>5</c:v>
                </c:pt>
                <c:pt idx="246">
                  <c:v>5</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numCache>
            </c:numRef>
          </c:val>
          <c:smooth val="0"/>
          <c:extLst>
            <c:ext xmlns:c16="http://schemas.microsoft.com/office/drawing/2014/chart" uri="{C3380CC4-5D6E-409C-BE32-E72D297353CC}">
              <c16:uniqueId val="{00000001-082F-431E-A004-81E65AC4FF3C}"/>
            </c:ext>
          </c:extLst>
        </c:ser>
        <c:dLbls>
          <c:showLegendKey val="0"/>
          <c:showVal val="0"/>
          <c:showCatName val="0"/>
          <c:showSerName val="0"/>
          <c:showPercent val="0"/>
          <c:showBubbleSize val="0"/>
        </c:dLbls>
        <c:smooth val="0"/>
        <c:axId val="-1221346528"/>
        <c:axId val="-1221335104"/>
      </c:lineChart>
      <c:catAx>
        <c:axId val="-12213465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cap="none" spc="0" normalizeH="0" baseline="0">
                <a:solidFill>
                  <a:schemeClr val="tx1">
                    <a:lumMod val="65000"/>
                    <a:lumOff val="35000"/>
                  </a:schemeClr>
                </a:solidFill>
                <a:latin typeface="+mn-lt"/>
                <a:ea typeface="+mn-ea"/>
                <a:cs typeface="+mn-cs"/>
              </a:defRPr>
            </a:pPr>
            <a:endParaRPr lang="es-CL"/>
          </a:p>
        </c:txPr>
        <c:crossAx val="-1221335104"/>
        <c:crosses val="autoZero"/>
        <c:auto val="1"/>
        <c:lblAlgn val="ctr"/>
        <c:lblOffset val="100"/>
        <c:noMultiLvlLbl val="0"/>
      </c:catAx>
      <c:valAx>
        <c:axId val="-1221335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crossAx val="-1221346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Publicaciones por Categoria</a:t>
            </a:r>
            <a:r>
              <a:rPr lang="en-US" baseline="0"/>
              <a:t> WoS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bar"/>
        <c:grouping val="clustered"/>
        <c:varyColors val="0"/>
        <c:ser>
          <c:idx val="0"/>
          <c:order val="0"/>
          <c:tx>
            <c:strRef>
              <c:f>Bradford!$B$1</c:f>
              <c:strCache>
                <c:ptCount val="1"/>
                <c:pt idx="0">
                  <c:v>Cuenta de Source Title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Bradford!$A$2:$A$14</c:f>
              <c:strCache>
                <c:ptCount val="13"/>
                <c:pt idx="0">
                  <c:v>Education &amp; Educational Research</c:v>
                </c:pt>
                <c:pt idx="1">
                  <c:v>Communication</c:v>
                </c:pt>
                <c:pt idx="2">
                  <c:v>Management</c:v>
                </c:pt>
                <c:pt idx="3">
                  <c:v>Business</c:v>
                </c:pt>
                <c:pt idx="4">
                  <c:v>Information Science &amp; Library Science</c:v>
                </c:pt>
                <c:pt idx="5">
                  <c:v>Business; Management</c:v>
                </c:pt>
                <c:pt idx="6">
                  <c:v>Green &amp; Sustainable Science &amp; Technology; Environmental Sciences; Environmental Studies</c:v>
                </c:pt>
                <c:pt idx="7">
                  <c:v>Social Sciences, Interdisciplinary</c:v>
                </c:pt>
                <c:pt idx="8">
                  <c:v>Humanities, Multidisciplinary</c:v>
                </c:pt>
                <c:pt idx="9">
                  <c:v>Medicine, General &amp; Internal</c:v>
                </c:pt>
                <c:pt idx="10">
                  <c:v>Economics</c:v>
                </c:pt>
                <c:pt idx="11">
                  <c:v>Business, Finance</c:v>
                </c:pt>
                <c:pt idx="12">
                  <c:v>Otras</c:v>
                </c:pt>
              </c:strCache>
            </c:strRef>
          </c:cat>
          <c:val>
            <c:numRef>
              <c:f>Bradford!$B$2:$B$14</c:f>
            </c:numRef>
          </c:val>
          <c:extLst>
            <c:ext xmlns:c16="http://schemas.microsoft.com/office/drawing/2014/chart" uri="{C3380CC4-5D6E-409C-BE32-E72D297353CC}">
              <c16:uniqueId val="{00000000-6414-4FA7-95EF-F3574951D7CC}"/>
            </c:ext>
          </c:extLst>
        </c:ser>
        <c:ser>
          <c:idx val="1"/>
          <c:order val="1"/>
          <c:tx>
            <c:strRef>
              <c:f>Bradford!$C$1</c:f>
              <c:strCache>
                <c:ptCount val="1"/>
                <c:pt idx="0">
                  <c:v>Porcentaje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Bradford!$A$2:$A$14</c:f>
              <c:strCache>
                <c:ptCount val="13"/>
                <c:pt idx="0">
                  <c:v>Education &amp; Educational Research</c:v>
                </c:pt>
                <c:pt idx="1">
                  <c:v>Communication</c:v>
                </c:pt>
                <c:pt idx="2">
                  <c:v>Management</c:v>
                </c:pt>
                <c:pt idx="3">
                  <c:v>Business</c:v>
                </c:pt>
                <c:pt idx="4">
                  <c:v>Information Science &amp; Library Science</c:v>
                </c:pt>
                <c:pt idx="5">
                  <c:v>Business; Management</c:v>
                </c:pt>
                <c:pt idx="6">
                  <c:v>Green &amp; Sustainable Science &amp; Technology; Environmental Sciences; Environmental Studies</c:v>
                </c:pt>
                <c:pt idx="7">
                  <c:v>Social Sciences, Interdisciplinary</c:v>
                </c:pt>
                <c:pt idx="8">
                  <c:v>Humanities, Multidisciplinary</c:v>
                </c:pt>
                <c:pt idx="9">
                  <c:v>Medicine, General &amp; Internal</c:v>
                </c:pt>
                <c:pt idx="10">
                  <c:v>Economics</c:v>
                </c:pt>
                <c:pt idx="11">
                  <c:v>Business, Finance</c:v>
                </c:pt>
                <c:pt idx="12">
                  <c:v>Otras</c:v>
                </c:pt>
              </c:strCache>
            </c:strRef>
          </c:cat>
          <c:val>
            <c:numRef>
              <c:f>Bradford!$C$2:$C$14</c:f>
              <c:numCache>
                <c:formatCode>0%</c:formatCode>
                <c:ptCount val="13"/>
                <c:pt idx="0">
                  <c:v>6.6765578635014838E-2</c:v>
                </c:pt>
                <c:pt idx="1">
                  <c:v>6.5281899109792291E-2</c:v>
                </c:pt>
                <c:pt idx="2">
                  <c:v>5.9347181008902079E-2</c:v>
                </c:pt>
                <c:pt idx="3">
                  <c:v>5.192878338278932E-2</c:v>
                </c:pt>
                <c:pt idx="4">
                  <c:v>4.5994065281899109E-2</c:v>
                </c:pt>
                <c:pt idx="5">
                  <c:v>4.3026706231454007E-2</c:v>
                </c:pt>
                <c:pt idx="6">
                  <c:v>3.4124629080118693E-2</c:v>
                </c:pt>
                <c:pt idx="7">
                  <c:v>3.2640949554896145E-2</c:v>
                </c:pt>
                <c:pt idx="8">
                  <c:v>2.2255192878338281E-2</c:v>
                </c:pt>
                <c:pt idx="9">
                  <c:v>1.9287833827893175E-2</c:v>
                </c:pt>
                <c:pt idx="10">
                  <c:v>1.7804154302670624E-2</c:v>
                </c:pt>
                <c:pt idx="11">
                  <c:v>1.483679525222552E-2</c:v>
                </c:pt>
                <c:pt idx="12">
                  <c:v>0.52670623145400597</c:v>
                </c:pt>
              </c:numCache>
            </c:numRef>
          </c:val>
          <c:extLst>
            <c:ext xmlns:c16="http://schemas.microsoft.com/office/drawing/2014/chart" uri="{C3380CC4-5D6E-409C-BE32-E72D297353CC}">
              <c16:uniqueId val="{00000001-6414-4FA7-95EF-F3574951D7CC}"/>
            </c:ext>
          </c:extLst>
        </c:ser>
        <c:dLbls>
          <c:dLblPos val="outEnd"/>
          <c:showLegendKey val="0"/>
          <c:showVal val="1"/>
          <c:showCatName val="0"/>
          <c:showSerName val="0"/>
          <c:showPercent val="0"/>
          <c:showBubbleSize val="0"/>
        </c:dLbls>
        <c:gapWidth val="182"/>
        <c:axId val="-1221334560"/>
        <c:axId val="-1221334016"/>
      </c:barChart>
      <c:catAx>
        <c:axId val="-1221334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34016"/>
        <c:crosses val="autoZero"/>
        <c:auto val="1"/>
        <c:lblAlgn val="ctr"/>
        <c:lblOffset val="100"/>
        <c:noMultiLvlLbl val="0"/>
      </c:catAx>
      <c:valAx>
        <c:axId val="-1221334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221334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243840</xdr:colOff>
      <xdr:row>9</xdr:row>
      <xdr:rowOff>110490</xdr:rowOff>
    </xdr:from>
    <xdr:to>
      <xdr:col>13</xdr:col>
      <xdr:colOff>548640</xdr:colOff>
      <xdr:row>26</xdr:row>
      <xdr:rowOff>3810</xdr:rowOff>
    </xdr:to>
    <xdr:graphicFrame macro="">
      <xdr:nvGraphicFramePr>
        <xdr:cNvPr id="2" name="Chart 1">
          <a:extLst>
            <a:ext uri="{FF2B5EF4-FFF2-40B4-BE49-F238E27FC236}">
              <a16:creationId xmlns:a16="http://schemas.microsoft.com/office/drawing/2014/main" id="{AC8193BE-B1CC-9C82-5FDE-BB738BA7D5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754206</xdr:colOff>
      <xdr:row>0</xdr:row>
      <xdr:rowOff>3031</xdr:rowOff>
    </xdr:from>
    <xdr:to>
      <xdr:col>18</xdr:col>
      <xdr:colOff>423430</xdr:colOff>
      <xdr:row>16</xdr:row>
      <xdr:rowOff>111269</xdr:rowOff>
    </xdr:to>
    <xdr:graphicFrame macro="">
      <xdr:nvGraphicFramePr>
        <xdr:cNvPr id="2" name="Gráfico 1">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412750</xdr:colOff>
      <xdr:row>9</xdr:row>
      <xdr:rowOff>103374</xdr:rowOff>
    </xdr:from>
    <xdr:to>
      <xdr:col>11</xdr:col>
      <xdr:colOff>633692</xdr:colOff>
      <xdr:row>26</xdr:row>
      <xdr:rowOff>93849</xdr:rowOff>
    </xdr:to>
    <xdr:graphicFrame macro="">
      <xdr:nvGraphicFramePr>
        <xdr:cNvPr id="3" name="Gráfico 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61</xdr:col>
      <xdr:colOff>638174</xdr:colOff>
      <xdr:row>6</xdr:row>
      <xdr:rowOff>95250</xdr:rowOff>
    </xdr:from>
    <xdr:to>
      <xdr:col>69</xdr:col>
      <xdr:colOff>533399</xdr:colOff>
      <xdr:row>25</xdr:row>
      <xdr:rowOff>114300</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466724</xdr:colOff>
      <xdr:row>0</xdr:row>
      <xdr:rowOff>21981</xdr:rowOff>
    </xdr:from>
    <xdr:to>
      <xdr:col>14</xdr:col>
      <xdr:colOff>381000</xdr:colOff>
      <xdr:row>20</xdr:row>
      <xdr:rowOff>19050</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392425</xdr:colOff>
      <xdr:row>1</xdr:row>
      <xdr:rowOff>140448</xdr:rowOff>
    </xdr:from>
    <xdr:to>
      <xdr:col>13</xdr:col>
      <xdr:colOff>509353</xdr:colOff>
      <xdr:row>31</xdr:row>
      <xdr:rowOff>67235</xdr:rowOff>
    </xdr:to>
    <xdr:graphicFrame macro="">
      <xdr:nvGraphicFramePr>
        <xdr:cNvPr id="2" name="Gráfico 1">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961570</xdr:colOff>
      <xdr:row>1</xdr:row>
      <xdr:rowOff>23812</xdr:rowOff>
    </xdr:from>
    <xdr:to>
      <xdr:col>6</xdr:col>
      <xdr:colOff>870856</xdr:colOff>
      <xdr:row>22</xdr:row>
      <xdr:rowOff>63500</xdr:rowOff>
    </xdr:to>
    <xdr:graphicFrame macro="">
      <xdr:nvGraphicFramePr>
        <xdr:cNvPr id="2" name="Gráfico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gustavo.cruz\OneDrive%20-%20Instituto%20Hondure&#241;o%20de%20Seguridad%20Social\Papers\Doctorado%20papers%20principales\Art&#237;culo%201\Aplicaci&#243;n%20de%20Bibliometria\savedrecs%20-%202023-11-15T132918.053.v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gustavo.cruz\OneDrive%20-%20Instituto%20Hondure&#241;o%20de%20Seguridad%20Social\Papers\Doctorado%20papers%20principales\Art&#237;culo%201\Aplicaci&#243;n%20de%20Bibliometria\savedrecs%20-%202023-11-15T132918.053.v1.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ejandro Vega" refreshedDate="45404.951940624996" createdVersion="8" refreshedVersion="8" minRefreshableVersion="3" recordCount="674" xr:uid="{00000000-000A-0000-FFFF-FFFF00000000}">
  <cacheSource type="worksheet">
    <worksheetSource ref="A1:BT675" sheet="savedrecs"/>
  </cacheSource>
  <cacheFields count="72">
    <cacheField name="Publication Type" numFmtId="0">
      <sharedItems/>
    </cacheField>
    <cacheField name="Authors" numFmtId="0">
      <sharedItems longText="1"/>
    </cacheField>
    <cacheField name="Book Authors" numFmtId="0">
      <sharedItems/>
    </cacheField>
    <cacheField name="Book Editors" numFmtId="0">
      <sharedItems/>
    </cacheField>
    <cacheField name="Book Group Authors" numFmtId="0">
      <sharedItems/>
    </cacheField>
    <cacheField name="Author Full Names" numFmtId="0">
      <sharedItems longText="1"/>
    </cacheField>
    <cacheField name="Book Author Full Names" numFmtId="0">
      <sharedItems/>
    </cacheField>
    <cacheField name="Group Authors" numFmtId="0">
      <sharedItems/>
    </cacheField>
    <cacheField name="Article Title" numFmtId="0">
      <sharedItems longText="1"/>
    </cacheField>
    <cacheField name="Source Title" numFmtId="0">
      <sharedItems/>
    </cacheField>
    <cacheField name="Book Series Title" numFmtId="0">
      <sharedItems/>
    </cacheField>
    <cacheField name="Book Series Subtitle" numFmtId="0">
      <sharedItems/>
    </cacheField>
    <cacheField name="Language" numFmtId="0">
      <sharedItems/>
    </cacheField>
    <cacheField name="Document Type" numFmtId="0">
      <sharedItems count="5">
        <s v="Article"/>
        <s v="Article; Book Chapter"/>
        <s v="Article; Early Access"/>
        <s v="Article; Retracted Publication"/>
        <s v="Article; Proceedings Paper"/>
      </sharedItems>
    </cacheField>
    <cacheField name="Conference Title" numFmtId="0">
      <sharedItems/>
    </cacheField>
    <cacheField name="Conference Date" numFmtId="0">
      <sharedItems/>
    </cacheField>
    <cacheField name="Conference Location" numFmtId="0">
      <sharedItems/>
    </cacheField>
    <cacheField name="Conference Sponsor" numFmtId="0">
      <sharedItems/>
    </cacheField>
    <cacheField name="Conference Host" numFmtId="0">
      <sharedItems/>
    </cacheField>
    <cacheField name="Author Keywords" numFmtId="0">
      <sharedItems longText="1"/>
    </cacheField>
    <cacheField name="Keywords Plus" numFmtId="0">
      <sharedItems/>
    </cacheField>
    <cacheField name="Abstract" numFmtId="0">
      <sharedItems longText="1"/>
    </cacheField>
    <cacheField name="Addresses" numFmtId="0">
      <sharedItems longText="1"/>
    </cacheField>
    <cacheField name="Affiliations" numFmtId="0">
      <sharedItems longText="1"/>
    </cacheField>
    <cacheField name="Reprint Addresses" numFmtId="0">
      <sharedItems longText="1"/>
    </cacheField>
    <cacheField name="Email Addresses" numFmtId="0">
      <sharedItems longText="1"/>
    </cacheField>
    <cacheField name="Researcher Ids" numFmtId="0">
      <sharedItems longText="1"/>
    </cacheField>
    <cacheField name="ORCIDs" numFmtId="0">
      <sharedItems longText="1"/>
    </cacheField>
    <cacheField name="Funding Orgs" numFmtId="0">
      <sharedItems longText="1"/>
    </cacheField>
    <cacheField name="Funding Name Preferred" numFmtId="0">
      <sharedItems longText="1"/>
    </cacheField>
    <cacheField name="Funding Text" numFmtId="0">
      <sharedItems longText="1"/>
    </cacheField>
    <cacheField name="Cited References" numFmtId="0">
      <sharedItems/>
    </cacheField>
    <cacheField name="Cited Reference Count" numFmtId="0">
      <sharedItems containsSemiMixedTypes="0" containsString="0" containsNumber="1" containsInteger="1" minValue="0" maxValue="254"/>
    </cacheField>
    <cacheField name="Times Cited, WoS Core" numFmtId="0">
      <sharedItems containsSemiMixedTypes="0" containsString="0" containsNumber="1" containsInteger="1" minValue="0" maxValue="1231"/>
    </cacheField>
    <cacheField name="Times Cited, All Databases" numFmtId="0">
      <sharedItems containsSemiMixedTypes="0" containsString="0" containsNumber="1" containsInteger="1" minValue="0" maxValue="1282"/>
    </cacheField>
    <cacheField name="180 Day Usage Count" numFmtId="0">
      <sharedItems containsSemiMixedTypes="0" containsString="0" containsNumber="1" containsInteger="1" minValue="0" maxValue="692"/>
    </cacheField>
    <cacheField name="Since 2013 Usage Count" numFmtId="0">
      <sharedItems containsSemiMixedTypes="0" containsString="0" containsNumber="1" containsInteger="1" minValue="0" maxValue="1522"/>
    </cacheField>
    <cacheField name="Publisher" numFmtId="0">
      <sharedItems/>
    </cacheField>
    <cacheField name="Publisher City" numFmtId="0">
      <sharedItems/>
    </cacheField>
    <cacheField name="Publisher Address" numFmtId="0">
      <sharedItems/>
    </cacheField>
    <cacheField name="ISSN" numFmtId="0">
      <sharedItems/>
    </cacheField>
    <cacheField name="eISSN" numFmtId="0">
      <sharedItems/>
    </cacheField>
    <cacheField name="ISBN" numFmtId="0">
      <sharedItems/>
    </cacheField>
    <cacheField name="Journal Abbreviation" numFmtId="0">
      <sharedItems/>
    </cacheField>
    <cacheField name="Journal ISO Abbreviation" numFmtId="0">
      <sharedItems/>
    </cacheField>
    <cacheField name="Publication Date" numFmtId="0">
      <sharedItems/>
    </cacheField>
    <cacheField name="Publication Year" numFmtId="0">
      <sharedItems containsSemiMixedTypes="0" containsString="0" containsNumber="1" containsInteger="1" minValue="1991" maxValue="2023"/>
    </cacheField>
    <cacheField name="Volume" numFmtId="0">
      <sharedItems containsMixedTypes="1" containsNumber="1" containsInteger="1" minValue="3" maxValue="2674"/>
    </cacheField>
    <cacheField name="Issue" numFmtId="0">
      <sharedItems containsMixedTypes="1" containsNumber="1" containsInteger="1" minValue="1" maxValue="346"/>
    </cacheField>
    <cacheField name="Part Number" numFmtId="0">
      <sharedItems/>
    </cacheField>
    <cacheField name="Supplement" numFmtId="0">
      <sharedItems containsMixedTypes="1" containsNumber="1" containsInteger="1" minValue="1" maxValue="6"/>
    </cacheField>
    <cacheField name="Special Issue" numFmtId="0">
      <sharedItems/>
    </cacheField>
    <cacheField name="Meeting Abstract" numFmtId="0">
      <sharedItems/>
    </cacheField>
    <cacheField name="Start Page" numFmtId="0">
      <sharedItems containsMixedTypes="1" containsNumber="1" containsInteger="1" minValue="1" maxValue="98156"/>
    </cacheField>
    <cacheField name="End Page" numFmtId="0">
      <sharedItems containsMixedTypes="1" containsNumber="1" containsInteger="1" minValue="9" maxValue="98182"/>
    </cacheField>
    <cacheField name="Article Number" numFmtId="0">
      <sharedItems containsMixedTypes="1" containsNumber="1" containsInteger="1" minValue="1" maxValue="1.4761270211067162E+16"/>
    </cacheField>
    <cacheField name="DOI" numFmtId="0">
      <sharedItems/>
    </cacheField>
    <cacheField name="DOI Link" numFmtId="0">
      <sharedItems/>
    </cacheField>
    <cacheField name="Book DOI" numFmtId="0">
      <sharedItems/>
    </cacheField>
    <cacheField name="Early Access Date" numFmtId="0">
      <sharedItems/>
    </cacheField>
    <cacheField name="Number of Pages" numFmtId="0">
      <sharedItems containsSemiMixedTypes="0" containsString="0" containsNumber="1" containsInteger="1" minValue="1" maxValue="180"/>
    </cacheField>
    <cacheField name="WoS Categories" numFmtId="0">
      <sharedItems/>
    </cacheField>
    <cacheField name="Web of Science Index" numFmtId="0">
      <sharedItems count="14">
        <s v="Social Science Citation Index (SSCI)"/>
        <s v="Science Citation Index Expanded (SCI-EXPANDED); Social Science Citation Index (SSCI)"/>
        <s v="Science Citation Index Expanded (SCI-EXPANDED)"/>
        <s v="Emerging Sources Citation Index (ESCI)"/>
        <s v="Book Citation Index – Social Sciences &amp; Humanities (BKCI-SSH)"/>
        <s v="Social Science Citation Index (SSCI); Arts &amp; Humanities Citation Index (A&amp;HCI)"/>
        <s v="Arts &amp; Humanities Citation Index (A&amp;HCI)"/>
        <s v="Social Science Citation Index (SSCI); Conference Proceedings Citation Index - Social Science &amp; Humanities (CPCI-SSH)"/>
        <s v="Science Citation Index Expanded (SCI-EXPANDED); Conference Proceedings Citation Index - Science (CPCI-S)"/>
        <s v="Conference Proceedings Citation Index - Science (CPCI-S); Science Citation Index Expanded (SCI-EXPANDED)"/>
        <s v="Book Citation Index – Social Sciences &amp; Humanities (BKCI-SSH); Book Citation Index – Science (BKCI-S)"/>
        <s v="Science Citation Index Expanded (SCI-EXPANDED); Social Science Citation Index (SSCI); Conference Proceedings Citation Index - Social Science &amp; Humanities (CPCI-SSH)"/>
        <s v="Book Citation Index – Science (BKCI-S)"/>
        <s v="Science Citation Index Expanded (SCI-EXPANDED); Arts &amp; Humanities Citation Index (A&amp;HCI)"/>
      </sharedItems>
    </cacheField>
    <cacheField name="Research Areas" numFmtId="0">
      <sharedItems/>
    </cacheField>
    <cacheField name="IDS Number" numFmtId="0">
      <sharedItems/>
    </cacheField>
    <cacheField name="Pubmed Id" numFmtId="0">
      <sharedItems containsMixedTypes="1" containsNumber="1" containsInteger="1" minValue="11184976" maxValue="37875743"/>
    </cacheField>
    <cacheField name="Open Access Designations" numFmtId="0">
      <sharedItems/>
    </cacheField>
    <cacheField name="Highly Cited Status" numFmtId="0">
      <sharedItems/>
    </cacheField>
    <cacheField name="Hot Paper Status" numFmtId="0">
      <sharedItems/>
    </cacheField>
    <cacheField name="Date of Export" numFmtId="0">
      <sharedItems/>
    </cacheField>
    <cacheField name="UT (Unique WOS ID)" numFmtId="0">
      <sharedItems count="674">
        <s v="WOS:000285383200006"/>
        <s v="WOS:000329754600009"/>
        <s v="WOS:000499922800012"/>
        <s v="WOS:000579529600028"/>
        <s v="WOS:000525321800016"/>
        <s v="WOS:000409101300005"/>
        <s v="WOS:000262030400012"/>
        <s v="WOS:000430518300004"/>
        <s v="WOS:000450369800001"/>
        <s v="WOS:000434026200008"/>
        <s v="WOS:000463302600003"/>
        <s v="WOS:000329754600011"/>
        <s v="WOS:000547612800001"/>
        <s v="WOS:000527393100011"/>
        <s v="WOS:000427902200001"/>
        <s v="WOS:000391015200003"/>
        <s v="WOS:000443003600020"/>
        <s v="WOS:000503426500002"/>
        <s v="WOS:000398033600003"/>
        <s v="WOS:000621451400001"/>
        <s v="WOS:000794305800001"/>
        <s v="WOS:000382286800001"/>
        <s v="WOS:000799198500009"/>
        <s v="WOS:000379762300006"/>
        <s v="WOS:000503324600011"/>
        <s v="WOS:000483414000084"/>
        <s v="WOS:000298165600001"/>
        <s v="WOS:000490465000006"/>
        <s v="WOS:000532604200001"/>
        <s v="WOS:000605608800052"/>
        <s v="WOS:000343584800004"/>
        <s v="WOS:000511429500001"/>
        <s v="WOS:000495345700007"/>
        <s v="WOS:000433898900005"/>
        <s v="WOS:000511392100001"/>
        <s v="WOS:000296302800031"/>
        <s v="WOS:000389869600001"/>
        <s v="WOS:000681245200014"/>
        <s v="WOS:000424578800007"/>
        <s v="WOS:000791289200008"/>
        <s v="WOS:000629423000001"/>
        <s v="WOS:000358051200003"/>
        <s v="WOS:A1995RE97000004"/>
        <s v="WOS:000888846500001"/>
        <s v="WOS:000396827700009"/>
        <s v="WOS:000697394700001"/>
        <s v="WOS:000470286400006"/>
        <s v="WOS:000381439200003"/>
        <s v="WOS:000514221500001"/>
        <s v="WOS:000492996000068"/>
        <s v="WOS:000461926700001"/>
        <s v="WOS:000615625200001"/>
        <s v="WOS:000321464300010"/>
        <s v="WOS:000522233700001"/>
        <s v="WOS:000344995400008"/>
        <s v="WOS:000433014800004"/>
        <s v="WOS:000431178300006"/>
        <s v="WOS:000293832600026"/>
        <s v="WOS:000550153800021"/>
        <s v="WOS:000460458100005"/>
        <s v="WOS:000346823000002"/>
        <s v="WOS:000620168400008"/>
        <s v="WOS:000428964500001"/>
        <s v="WOS:000180333500009"/>
        <s v="WOS:000802601300002"/>
        <s v="WOS:000711948900002"/>
        <s v="WOS:000675728900001"/>
        <s v="WOS:000570387200001"/>
        <s v="WOS:000546076100001"/>
        <s v="WOS:000496860100001"/>
        <s v="WOS:000742775400016"/>
        <s v="WOS:000706477200009"/>
        <s v="WOS:000705493100004"/>
        <s v="WOS:000369874500005"/>
        <s v="WOS:000409703200005"/>
        <s v="WOS:000437441200004"/>
        <s v="WOS:000281941800013"/>
        <s v="WOS:000489792800003"/>
        <s v="WOS:000464985500007"/>
        <s v="WOS:000458695800009"/>
        <s v="WOS:000707584600002"/>
        <s v="WOS:000507397300001"/>
        <s v="WOS:000413649100021"/>
        <s v="WOS:000506329200006"/>
        <s v="WOS:000497446800006"/>
        <s v="WOS:000735449200001"/>
        <s v="WOS:000603421000001"/>
        <s v="WOS:000494903000001"/>
        <s v="WOS:000383390200004"/>
        <s v="WOS:000838907100011"/>
        <s v="WOS:000659845500001"/>
        <s v="WOS:000487036200009"/>
        <s v="WOS:000435505500001"/>
        <s v="WOS:000417379200003"/>
        <s v="WOS:000597406700008"/>
        <s v="WOS:000526902200001"/>
        <s v="WOS:000467547400001"/>
        <s v="WOS:000430105100004"/>
        <s v="WOS:000299221300019"/>
        <s v="WOS:000793116100001"/>
        <s v="WOS:000778515400001"/>
        <s v="WOS:000640580200001"/>
        <s v="WOS:000464985500004"/>
        <s v="WOS:000436284200007"/>
        <s v="WOS:000403920100004"/>
        <s v="WOS:000407688700003"/>
        <s v="WOS:000966229300001"/>
        <s v="WOS:000837844200003"/>
        <s v="WOS:000663140300001"/>
        <s v="WOS:000770688600001"/>
        <s v="WOS:000536451200003"/>
        <s v="WOS:000546087300001"/>
        <s v="WOS:000501095100001"/>
        <s v="WOS:000476871600006"/>
        <s v="WOS:000455220200001"/>
        <s v="WOS:000437533900005"/>
        <s v="WOS:000416122000002"/>
        <s v="WOS:000748655300001"/>
        <s v="WOS:000750226100001"/>
        <s v="WOS:000686398500001"/>
        <s v="WOS:000696790200004"/>
        <s v="WOS:000660009100002"/>
        <s v="WOS:000626820200001"/>
        <s v="WOS:000329135100022"/>
        <s v="WOS:000322929300021"/>
        <s v="WOS:000409701800003"/>
        <s v="WOS:000751085600001"/>
        <s v="WOS:000692505100003"/>
        <s v="WOS:000622556300001"/>
        <s v="WOS:000536436600014"/>
        <s v="WOS:000448224100005"/>
        <s v="WOS:000443460300022"/>
        <s v="WOS:000437435200002"/>
        <s v="WOS:000644497600020"/>
        <s v="WOS:000519135105002"/>
        <s v="WOS:000506236000005"/>
        <s v="WOS:000354277800005"/>
        <s v="WOS:000338822900011"/>
        <s v="WOS:000436010000003"/>
        <s v="WOS:000900054200001"/>
        <s v="WOS:000756024500001"/>
        <s v="WOS:000719370700002"/>
        <s v="WOS:000694471200001"/>
        <s v="WOS:000591504700004"/>
        <s v="WOS:000602684700006"/>
        <s v="WOS:000438480500002"/>
        <s v="WOS:000428659700004"/>
        <s v="WOS:000426785000001"/>
        <s v="WOS:000283640400001"/>
        <s v="WOS:000448336500002"/>
        <s v="WOS:000722706200004"/>
        <s v="WOS:000651880300001"/>
        <s v="WOS:000646325900001"/>
        <s v="WOS:000564547600007"/>
        <s v="WOS:000430192200012"/>
        <s v="WOS:000359698500002"/>
        <s v="WOS:000325305900003"/>
        <s v="WOS:000865512800035"/>
        <s v="WOS:000732678400001"/>
        <s v="WOS:000327001400010"/>
        <s v="WOS:000906531700003"/>
        <s v="WOS:000680740800001"/>
        <s v="WOS:000686474100001"/>
        <s v="WOS:000738510300001"/>
        <s v="WOS:000404844900003"/>
        <s v="WOS:000413154900002"/>
        <s v="WOS:000325822900017"/>
        <s v="WOS:000208874100003"/>
        <s v="WOS:000873527800001"/>
        <s v="WOS:000740319900002"/>
        <s v="WOS:000696595900001"/>
        <s v="WOS:000699530300001"/>
        <s v="WOS:000639710300001"/>
        <s v="WOS:000630910500004"/>
        <s v="WOS:000627100200001"/>
        <s v="WOS:000542965300004"/>
        <s v="WOS:000535316400025"/>
        <s v="WOS:000509764900019"/>
        <s v="WOS:000558680500004"/>
        <s v="WOS:000415351600001"/>
        <s v="WOS:000385474200012"/>
        <s v="WOS:000259048400004"/>
        <s v="WOS:000247843900003"/>
        <s v="WOS:000905154500001"/>
        <s v="WOS:000900342400001"/>
        <s v="WOS:000836281300001"/>
        <s v="WOS:000848605600004"/>
        <s v="WOS:000663118500001"/>
        <s v="WOS:000532587300005"/>
        <s v="WOS:000533889600029"/>
        <s v="WOS:000525770900008"/>
        <s v="WOS:000463608100008"/>
        <s v="WOS:000484819400006"/>
        <s v="WOS:000446560700001"/>
        <s v="WOS:000449823600001"/>
        <s v="WOS:000391437000004"/>
        <s v="WOS:000343233500003"/>
        <s v="WOS:000379776700005"/>
        <s v="WOS:000347994200011"/>
        <s v="WOS:000363526500010"/>
        <s v="WOS:000347994200010"/>
        <s v="WOS:000372917200006"/>
        <s v="WOS:000863209400005"/>
        <s v="WOS:000800518200001"/>
        <s v="WOS:000796257700010"/>
        <s v="WOS:000793338200001"/>
        <s v="WOS:000803320500001"/>
        <s v="WOS:000723010600001"/>
        <s v="WOS:000721112900004"/>
        <s v="WOS:000750851200076"/>
        <s v="WOS:000750345500017"/>
        <s v="WOS:000699218500001"/>
        <s v="WOS:000670396600001"/>
        <s v="WOS:000611636700001"/>
        <s v="WOS:000642306200001"/>
        <s v="WOS:000598233900001"/>
        <s v="WOS:000484391200044"/>
        <s v="WOS:000469498300008"/>
        <s v="WOS:000461557100008"/>
        <s v="WOS:000460387200001"/>
        <s v="WOS:000442235500010"/>
        <s v="WOS:000418142900006"/>
        <s v="WOS:000419717800008"/>
        <s v="WOS:000417175400009"/>
        <s v="WOS:000210360600012"/>
        <s v="WOS:000873494300001"/>
        <s v="WOS:000808897100001"/>
        <s v="WOS:000802415300001"/>
        <s v="WOS:000780937900001"/>
        <s v="WOS:000759655500001"/>
        <s v="WOS:000814535000001"/>
        <s v="WOS:000710036400001"/>
        <s v="WOS:000669598200001"/>
        <s v="WOS:000646830900001"/>
        <s v="WOS:000667730000001"/>
        <s v="WOS:000675335100005"/>
        <s v="WOS:000565999400001"/>
        <s v="WOS:000461645400001"/>
        <s v="WOS:000473144200015"/>
        <s v="WOS:000453695600005"/>
        <s v="WOS:000415048600005"/>
        <s v="WOS:000424584200004"/>
        <s v="WOS:000413820800007"/>
        <s v="WOS:000210836700005"/>
        <s v="WOS:000409741900002"/>
        <s v="WOS:000174357300013"/>
        <s v="WOS:000090116100009"/>
        <s v="WOS:000988138700001"/>
        <s v="WOS:001015848200001"/>
        <s v="WOS:000960688500001"/>
        <s v="WOS:000882132400001"/>
        <s v="WOS:000863599900001"/>
        <s v="WOS:000843141000001"/>
        <s v="WOS:000848691400001"/>
        <s v="WOS:000797442100003"/>
        <s v="WOS:001027264700001"/>
        <s v="WOS:000656931900006"/>
        <s v="WOS:000748389200012"/>
        <s v="WOS:000725287500010"/>
        <s v="WOS:000773615100036"/>
        <s v="WOS:000656229300013"/>
        <s v="WOS:000753848000018"/>
        <s v="WOS:000598503500008"/>
        <s v="WOS:000535448500001"/>
        <s v="WOS:000514015200023"/>
        <s v="WOS:000483812900001"/>
        <s v="WOS:000472758300005"/>
        <s v="WOS:000569532000011"/>
        <s v="WOS:000490251500055"/>
        <s v="WOS:000418001500004"/>
        <s v="WOS:000417308900008"/>
        <s v="WOS:000343338800033"/>
        <s v="WOS:000212701800007"/>
        <s v="WOS:000943788300001"/>
        <s v="WOS:000937852500001"/>
        <s v="WOS:000865342400001"/>
        <s v="WOS:000867262000001"/>
        <s v="WOS:000852342500013"/>
        <s v="WOS:000890397700001"/>
        <s v="WOS:000844955300001"/>
        <s v="WOS:000828200900002"/>
        <s v="WOS:000749915700004"/>
        <s v="WOS:000741378600001"/>
        <s v="WOS:000838651500004"/>
        <s v="WOS:000675891000025"/>
        <s v="WOS:000665659700001"/>
        <s v="WOS:000658314900001"/>
        <s v="WOS:000672677100002"/>
        <s v="WOS:000651362200001"/>
        <s v="WOS:000780483300002"/>
        <s v="WOS:000637323400065"/>
        <s v="WOS:000628917400001"/>
        <s v="WOS:000611710900001"/>
        <s v="WOS:000609438900001"/>
        <s v="WOS:000596816000001"/>
        <s v="WOS:000581935000020"/>
        <s v="WOS:000578438100031"/>
        <s v="WOS:000513524100001"/>
        <s v="WOS:000504932100007"/>
        <s v="WOS:000461191900003"/>
        <s v="WOS:000503372300008"/>
        <s v="WOS:000454902600008"/>
        <s v="WOS:000457220600005"/>
        <s v="WOS:000406907300006"/>
        <s v="WOS:000350965300014"/>
        <s v="WOS:000213442500007"/>
        <s v="WOS:000247570500004"/>
        <s v="WOS:000246892000068"/>
        <s v="WOS:000241838700005"/>
        <s v="WOS:A1991FL73200238"/>
        <s v="WOS:000955110100001"/>
        <s v="WOS:000909928200001"/>
        <s v="WOS:000919042800001"/>
        <s v="WOS:000914677400001"/>
        <s v="WOS:000902960000001"/>
        <s v="WOS:000913180200002"/>
        <s v="WOS:000887695400001"/>
        <s v="WOS:000881846600004"/>
        <s v="WOS:000849427700001"/>
        <s v="WOS:000856165100001"/>
        <s v="WOS:000858213600001"/>
        <s v="WOS:000850147000001"/>
        <s v="WOS:000838967000001"/>
        <s v="WOS:000796257700007"/>
        <s v="WOS:000803715500001"/>
        <s v="WOS:000803373100001"/>
        <s v="WOS:000804163100015"/>
        <s v="WOS:000786521800001"/>
        <s v="WOS:000786938000001"/>
        <s v="WOS:000756065300001"/>
        <s v="WOS:000892035000001"/>
        <s v="WOS:000788987300001"/>
        <s v="WOS:000836414000014"/>
        <s v="WOS:000886192900001"/>
        <s v="WOS:000753404200001"/>
        <s v="WOS:000737627800001"/>
        <s v="WOS:000716511200001"/>
        <s v="WOS:000685837400001"/>
        <s v="WOS:000751371200003"/>
        <s v="WOS:000684090700001"/>
        <s v="WOS:000637705700001"/>
        <s v="WOS:000647515900001"/>
        <s v="WOS:000636471400008"/>
        <s v="WOS:000613165800001"/>
        <s v="WOS:000678715200001"/>
        <s v="WOS:000668658800006"/>
        <s v="WOS:000669866800010"/>
        <s v="WOS:000574279000006"/>
        <s v="WOS:000603589000001"/>
        <s v="WOS:000534511100005"/>
        <s v="WOS:000539041000001"/>
        <s v="WOS:000571148100001"/>
        <s v="WOS:000537971600005"/>
        <s v="WOS:000621639500002"/>
        <s v="WOS:000505237400001"/>
        <s v="WOS:000688300900007"/>
        <s v="WOS:000468084700001"/>
        <s v="WOS:000486078600024"/>
        <s v="WOS:000477812800003"/>
        <s v="WOS:000473144200013"/>
        <s v="WOS:000468549900010"/>
        <s v="WOS:000445155400002"/>
        <s v="WOS:000444547800006"/>
        <s v="WOS:000403413700110"/>
        <s v="WOS:000404154600007"/>
        <s v="WOS:000427176100008"/>
        <s v="WOS:000387079500011"/>
        <s v="WOS:000393583300013"/>
        <s v="WOS:000375960500006"/>
        <s v="WOS:000410376500004"/>
        <s v="WOS:000374870700004"/>
        <s v="WOS:000469777800020"/>
        <s v="WOS:000363796300011"/>
        <s v="WOS:000326251100004"/>
        <s v="WOS:000278535900010"/>
        <s v="WOS:000267877500016"/>
        <s v="WOS:000269478900002"/>
        <s v="WOS:000260442900009"/>
        <s v="WOS:000168469700012"/>
        <s v="WOS:001045747500001"/>
        <s v="WOS:001027659400001"/>
        <s v="WOS:001031861600001"/>
        <s v="WOS:001004384200001"/>
        <s v="WOS:001012928700001"/>
        <s v="WOS:000989176900001"/>
        <s v="WOS:000979815600001"/>
        <s v="WOS:000968128200001"/>
        <s v="WOS:000966637800001"/>
        <s v="WOS:000957037500001"/>
        <s v="WOS:000955918500001"/>
        <s v="WOS:000954592100001"/>
        <s v="WOS:000968604400001"/>
        <s v="WOS:000939818500001"/>
        <s v="WOS:000925587300002"/>
        <s v="WOS:000939037200001"/>
        <s v="WOS:001005815900001"/>
        <s v="WOS:001042680500008"/>
        <s v="WOS:000842370200001"/>
        <s v="WOS:000899226200001"/>
        <s v="WOS:000897847600001"/>
        <s v="WOS:000948679800010"/>
        <s v="WOS:000895823100006"/>
        <s v="WOS:000897909700002"/>
        <s v="WOS:000917668300005"/>
        <s v="WOS:000869789100001"/>
        <s v="WOS:000873375900001"/>
        <s v="WOS:000871496100001"/>
        <s v="WOS:000891411200001"/>
        <s v="WOS:000850816900003"/>
        <s v="WOS:000929053500004"/>
        <s v="WOS:000852177800001"/>
        <s v="WOS:001006612900001"/>
        <s v="WOS:000848604400002"/>
        <s v="WOS:000848604700001"/>
        <s v="WOS:000811019600001"/>
        <s v="WOS:000854080300016"/>
        <s v="WOS:000790136000001"/>
        <s v="WOS:000761017800008"/>
        <s v="WOS:000797875600004"/>
        <s v="WOS:000767649100001"/>
        <s v="WOS:000820252100006"/>
        <s v="WOS:001079739800002"/>
        <s v="WOS:000748501500002"/>
        <s v="WOS:000700037800001"/>
        <s v="WOS:000728112300006"/>
        <s v="WOS:000706829300013"/>
        <s v="WOS:000673014800001"/>
        <s v="WOS:000690456000038"/>
        <s v="WOS:000898268600004"/>
        <s v="WOS:000645176800001"/>
        <s v="WOS:000625361900025"/>
        <s v="WOS:000614413700002"/>
        <s v="WOS:000609636000009"/>
        <s v="WOS:000707502900005"/>
        <s v="WOS:000652354900005"/>
        <s v="WOS:000670430900006"/>
        <s v="WOS:000544324900015"/>
        <s v="WOS:000544927600014"/>
        <s v="WOS:000577136000001"/>
        <s v="WOS:000496582700003"/>
        <s v="WOS:000481740200010"/>
        <s v="WOS:000462912100009"/>
        <s v="WOS:000606978100005"/>
        <s v="WOS:000513890800009"/>
        <s v="WOS:000442375300008"/>
        <s v="WOS:000446591800010"/>
        <s v="WOS:000435558000001"/>
        <s v="WOS:000411797600013"/>
        <s v="WOS:000404288800003"/>
        <s v="WOS:000437730000011"/>
        <s v="WOS:000440134800003"/>
        <s v="WOS:000407594600008"/>
        <s v="WOS:000388440900006"/>
        <s v="WOS:000369078300001"/>
        <s v="WOS:000378142900007"/>
        <s v="WOS:000388576900012"/>
        <s v="WOS:000454015100012"/>
        <s v="WOS:000337787700026"/>
        <s v="WOS:000340103000020"/>
        <s v="WOS:000448354600002"/>
        <s v="WOS:000321155600007"/>
        <s v="WOS:000398771300018"/>
        <s v="WOS:000318760900001"/>
        <s v="WOS:000281964400026"/>
        <s v="WOS:000409716500003"/>
        <s v="WOS:000243832300026"/>
        <s v="WOS:000213048700007"/>
        <s v="WOS:001087097800001"/>
        <s v="WOS:001087960200001"/>
        <s v="WOS:001086060300001"/>
        <s v="WOS:001090408300001"/>
        <s v="WOS:001085854500001"/>
        <s v="WOS:001049479700001"/>
        <s v="WOS:001074928700001"/>
        <s v="WOS:001086006300001"/>
        <s v="WOS:001071980700001"/>
        <s v="WOS:001081454800001"/>
        <s v="WOS:001072299000001"/>
        <s v="WOS:001051855000002"/>
        <s v="WOS:001072589100001"/>
        <s v="WOS:001058121000001"/>
        <s v="WOS:001074507600001"/>
        <s v="WOS:001072309400001"/>
        <s v="WOS:001070782700001"/>
        <s v="WOS:001060341700001"/>
        <s v="WOS:001079400900002"/>
        <s v="WOS:001052843500011"/>
        <s v="WOS:001052011900001"/>
        <s v="WOS:001049136200001"/>
        <s v="WOS:001048669500004"/>
        <s v="WOS:001045004800002"/>
        <s v="WOS:001033165800001"/>
        <s v="WOS:001034811000017"/>
        <s v="WOS:001030720600001"/>
        <s v="WOS:001024625500001"/>
        <s v="WOS:001029603200001"/>
        <s v="WOS:001024279200001"/>
        <s v="WOS:001042144500003"/>
        <s v="WOS:001036130900001"/>
        <s v="WOS:001048302300001"/>
        <s v="WOS:001061736100001"/>
        <s v="WOS:001045112600001"/>
        <s v="WOS:001089011500007"/>
        <s v="WOS:001020547500001"/>
        <s v="WOS:001019862400001"/>
        <s v="WOS:001016606200001"/>
        <s v="WOS:001019315200001"/>
        <s v="WOS:001018461900002"/>
        <s v="WOS:001009298700001"/>
        <s v="WOS:000998454700001"/>
        <s v="WOS:001015841000001"/>
        <s v="WOS:001022810800005"/>
        <s v="WOS:000995965500001"/>
        <s v="WOS:000997861200001"/>
        <s v="WOS:001026288200001"/>
        <s v="WOS:001011477000016"/>
        <s v="WOS:000996513000007"/>
        <s v="WOS:000994774100027"/>
        <s v="WOS:001030154600001"/>
        <s v="WOS:000988904900009"/>
        <s v="WOS:000978051100001"/>
        <s v="WOS:000953654700001"/>
        <s v="WOS:000962912100001"/>
        <s v="WOS:000965482500001"/>
        <s v="WOS:000948811100001"/>
        <s v="WOS:001029367800004"/>
        <s v="WOS:001089672500006"/>
        <s v="WOS:001059716100008"/>
        <s v="WOS:000937324900001"/>
        <s v="WOS:000988262300001"/>
        <s v="WOS:001058807900009"/>
        <s v="WOS:000932583400001"/>
        <s v="WOS:000930794500001"/>
        <s v="WOS:000917967300001"/>
        <s v="WOS:001023953500001"/>
        <s v="WOS:001032499800004"/>
        <s v="WOS:000998561100003"/>
        <s v="WOS:000908926400001"/>
        <s v="WOS:000993327600006"/>
        <s v="WOS:001001117700007"/>
        <s v="WOS:001084643300010"/>
        <s v="WOS:001083543000001"/>
        <s v="WOS:000954928500001"/>
        <s v="WOS:000908721400001"/>
        <s v="WOS:000906718400002"/>
        <s v="WOS:000904990200001"/>
        <s v="WOS:000903702100001"/>
        <s v="WOS:000896893300001"/>
        <s v="WOS:000910902100003"/>
        <s v="WOS:001001054900050"/>
        <s v="WOS:000892083000015"/>
        <s v="WOS:000926013600043"/>
        <s v="WOS:000923079900008"/>
        <s v="WOS:000884214300001"/>
        <s v="WOS:000891091400006"/>
        <s v="WOS:000869686100001"/>
        <s v="WOS:000929883700018"/>
        <s v="WOS:000873808300001"/>
        <s v="WOS:000874188300001"/>
        <s v="WOS:000892219400003"/>
        <s v="WOS:000865306200009"/>
        <s v="WOS:000868492000003"/>
        <s v="WOS:000850937400001"/>
        <s v="WOS:000857038300001"/>
        <s v="WOS:000892587000004"/>
        <s v="WOS:000919673400003"/>
        <s v="WOS:000897825500026"/>
        <s v="WOS:000899334400026"/>
        <s v="WOS:000860362800001"/>
        <s v="WOS:000843680000001"/>
        <s v="WOS:000848407800003"/>
        <s v="WOS:000866223200014"/>
        <s v="WOS:000835773700001"/>
        <s v="WOS:000860750100013"/>
        <s v="WOS:000811055100017"/>
        <s v="WOS:000815732000001"/>
        <s v="WOS:000858719700008"/>
        <s v="WOS:000787994800006"/>
        <s v="WOS:000973635700047"/>
        <s v="WOS:000969490800003"/>
        <s v="WOS:000804816900001"/>
        <s v="WOS:000923257700004"/>
        <s v="WOS:000835090900001"/>
        <s v="WOS:000822762700055"/>
        <s v="WOS:000993888800009"/>
        <s v="WOS:000783066900001"/>
        <s v="WOS:000778117600004"/>
        <s v="WOS:000825334300002"/>
        <s v="WOS:000777672700001"/>
        <s v="WOS:000905494300017"/>
        <s v="WOS:000748953200001"/>
        <s v="WOS:000825226800011"/>
        <s v="WOS:000813078300006"/>
        <s v="WOS:000826896000009"/>
        <s v="WOS:001023353200001"/>
        <s v="WOS:000806241600015"/>
        <s v="WOS:000838665700003"/>
        <s v="WOS:000806030700037"/>
        <s v="WOS:000826879200029"/>
        <s v="WOS:000799191100001"/>
        <s v="WOS:000801931300015"/>
        <s v="WOS:000752414800001"/>
        <s v="WOS:000961307000005"/>
        <s v="WOS:000927592100004"/>
        <s v="WOS:000712668000001"/>
        <s v="WOS:000744182400004"/>
        <s v="WOS:000695454600001"/>
        <s v="WOS:000657259400005"/>
        <s v="WOS:000642009300004"/>
        <s v="WOS:000626291900003"/>
        <s v="WOS:000744952700005"/>
        <s v="WOS:000652490100007"/>
        <s v="WOS:000877485500008"/>
        <s v="WOS:000681302800001"/>
        <s v="WOS:000733894900003"/>
        <s v="WOS:000758146600013"/>
        <s v="WOS:000735247500012"/>
        <s v="WOS:000950030900013"/>
        <s v="WOS:000983107100026"/>
        <s v="WOS:000683183100024"/>
        <s v="WOS:000657220600024"/>
        <s v="WOS:000598578000001"/>
        <s v="WOS:000608600400018"/>
        <s v="WOS:000609928200006"/>
        <s v="WOS:000981661400013"/>
        <s v="WOS:000523565400002"/>
        <s v="WOS:000519562400005"/>
        <s v="WOS:000512737100024"/>
        <s v="WOS:000596092700004"/>
        <s v="WOS:000752492600003"/>
        <s v="WOS:000601789600005"/>
        <s v="WOS:000599990000003"/>
        <s v="WOS:000528233200004"/>
        <s v="WOS:000511377300001"/>
        <s v="WOS:000505934500014"/>
        <s v="WOS:000600114800002"/>
        <s v="WOS:000751943600021"/>
        <s v="WOS:000469498300010"/>
        <s v="WOS:000562934000004"/>
        <s v="WOS:000505268200010"/>
        <s v="WOS:000454342500003"/>
        <s v="WOS:000486078600026"/>
        <s v="WOS:000451872100004"/>
        <s v="WOS:000511300100006"/>
        <s v="WOS:000437784000016"/>
        <s v="WOS:000445782200012"/>
        <s v="WOS:000416826400023"/>
        <s v="WOS:000433407900001"/>
        <s v="WOS:000461199400013"/>
        <s v="WOS:000411455400003"/>
        <s v="WOS:000411618500009"/>
        <s v="WOS:000400026600028"/>
        <s v="WOS:000396461500002"/>
        <s v="WOS:000384622100007"/>
        <s v="WOS:000384000800020"/>
        <s v="WOS:000403250800006"/>
        <s v="WOS:000398354600004"/>
        <s v="WOS:000367847100005"/>
        <s v="WOS:000366144800006"/>
        <s v="WOS:000489991200080"/>
        <s v="WOS:000338690700018"/>
        <s v="WOS:000336886300002"/>
        <s v="WOS:000450054100006"/>
        <s v="WOS:000436259300014"/>
        <s v="WOS:000213138200003"/>
        <s v="WOS:000217877300003"/>
        <s v="WOS:000428175800079"/>
        <s v="WOS:000217879200006"/>
        <s v="WOS:000215545600021"/>
        <s v="WOS:000219830900007"/>
        <s v="WOS:000415426800001"/>
        <s v="WOS:000210456200003"/>
        <s v="WOS:000260275100007"/>
        <s v="WOS:000233454000016"/>
      </sharedItems>
    </cacheField>
    <cacheField name="Web of Science Recor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o Mejia" refreshedDate="45261.444612268519" createdVersion="5" refreshedVersion="5" minRefreshableVersion="3" recordCount="2152" xr:uid="{00000000-000A-0000-FFFF-FFFF02000000}">
  <cacheSource type="worksheet">
    <worksheetSource ref="B1:B1048576" sheet="Lotka" r:id="rId2"/>
  </cacheSource>
  <cacheFields count="1">
    <cacheField name="AUTORES" numFmtId="0">
      <sharedItems containsBlank="1" count="2047">
        <s v="Aaby, D"/>
        <s v="Abbas, A"/>
        <s v="Abbene, L"/>
        <s v="Abdoler, E"/>
        <s v="Abedin, B"/>
        <s v="Ackerman, JM"/>
        <s v="Acuto, M"/>
        <s v="Agarwal, S"/>
        <s v="Agnihotri, R"/>
        <s v="Agudelo, C"/>
        <s v="Aguilera, FJG"/>
        <s v="Ahrens, A"/>
        <s v="Aidi, M"/>
        <s v="Ainsworth, J"/>
        <s v="Akbulut, S"/>
        <s v="Al Qahtani, SH"/>
        <s v="Alabbad, DA"/>
        <s v="Alamer, A"/>
        <s v="Al-Amin, M"/>
        <s v="Albahar, MA"/>
        <s v="Al-Begain, K"/>
        <s v="Albiston, M"/>
        <s v="Albrecht, UV"/>
        <s v="Alcaraz, PP"/>
        <s v="Alejandro-Oviedo, O"/>
        <s v="Alexander, GL"/>
        <s v="Alford, P"/>
        <s v="Alhassan, I"/>
        <s v="Ali, Q"/>
        <s v="Aliberti, A"/>
        <s v="Alkema, P"/>
        <s v="Almeida, PM"/>
        <s v="Alqahtani, MA"/>
        <s v="Alshurafa, N"/>
        <s v="Alvayero, RD"/>
        <s v="Amaliah, I"/>
        <s v="Amato, M"/>
        <s v="Amoroso, S"/>
        <s v="Anderson, A"/>
        <s v="Andriukaitiene, R"/>
        <s v="Angelopoulos, M"/>
        <s v="Antonialli, LM"/>
        <s v="Anzera, G"/>
        <s v="Aparicio, S"/>
        <s v="Aránguiz, M"/>
        <s v="Araújo, AA"/>
        <s v="Aravopoulou, E"/>
        <s v="Arboleda, H"/>
        <s v="Armenta, JA"/>
        <s v="Arunachalam, S"/>
        <s v="As'ad, R"/>
        <s v="Ascagni, M"/>
        <s v="Asprone, D"/>
        <s v="Assimakopoulos, V"/>
        <s v="Auchter, A"/>
        <s v="Aufderheide, TP"/>
        <s v="Aurisano, N"/>
        <s v="Ayeni, AWA"/>
        <s v="Aytekin, A"/>
        <s v="Azam, S"/>
        <s v="Azevedo, A"/>
        <s v="Azmeh, S"/>
        <s v="Babu, MM"/>
        <s v="Baetta, R"/>
        <s v="Baik, SH"/>
        <s v="Baiyere, A"/>
        <s v="Bajaj, SS"/>
        <s v="Baldacchino, A"/>
        <s v="Ballon, P"/>
        <s v="Bamarouf, YA"/>
        <s v="Bandi, S"/>
        <s v="Baquedano, JSM"/>
        <s v="Barberà, E"/>
        <s v="Barbosa, PG"/>
        <s v="Barbulescu, O"/>
        <s v="Barchino, AT"/>
        <s v="Bardon, C"/>
        <s v="Barlow, A"/>
        <s v="Barlow, B"/>
        <s v="Barnett, DJ"/>
        <s v="Barrett, M"/>
        <s v="Barrett, ND"/>
        <s v="Barrientos, F"/>
        <s v="Barros, AC"/>
        <s v="Barrowclough, C"/>
        <s v="Basl, J"/>
        <s v="Bataglini, WV"/>
        <s v="Baudier, P"/>
        <s v="Baumel, A"/>
        <s v="Baym, NK"/>
        <s v="Bayraktar, D"/>
        <s v="Bazinet, J"/>
        <s v="Beath, C"/>
        <s v="Beath, CM"/>
        <s v="Becerra, TD"/>
        <s v="Bedoya, JWB"/>
        <s v="Bellandi, N"/>
        <s v="Bellinger, C"/>
        <s v="Beltran, A"/>
        <s v="Belzer, M"/>
        <s v="Benassi, HM"/>
        <s v="Benavides, AVV"/>
        <s v="Ben-Daya, M"/>
        <s v="Benghozi, PJ"/>
        <s v="Benhayoun, L"/>
        <s v="Benitez, GB"/>
        <s v="Benlian, A"/>
        <s v="Bent, R"/>
        <s v="Bényei, J"/>
        <s v="Berardi, V"/>
        <s v="Berg, E"/>
        <s v="Bernard, G"/>
        <s v="Berrio-Valbuena, J"/>
        <s v="Berry, K"/>
        <s v="Bertello, A"/>
        <s v="Bertrand, Y"/>
        <s v="Bertrandias, L"/>
        <s v="Berwanger, O"/>
        <s v="Bettinger, P"/>
        <s v="Beuer, F"/>
        <s v="Bevilacqua, F"/>
        <s v="Bhandarkar, BM"/>
        <s v="Bhansing, PV"/>
        <s v="Bhattacharyya, SS"/>
        <s v="Bidlo, M"/>
        <s v="Biedermann, T"/>
        <s v="Bilbao, MN"/>
        <s v="Bilyi, D"/>
        <s v="Birkenes, TS"/>
        <s v="Bispo, LVD"/>
        <s v="Bitencourt, ED"/>
        <s v="Bjerkan, J"/>
        <s v="Blandini, F"/>
        <s v="Boadu, F"/>
        <s v="Boasquevisque, DD"/>
        <s v="Boettinger, E"/>
        <s v="Boger, J"/>
        <s v="Boisson, C"/>
        <s v="Boland, F"/>
        <s v="Bolaños, A"/>
        <s v="Bolaños, E"/>
        <s v="Borda, A"/>
        <s v="Borrero-Domínguez, JD"/>
        <s v="Bosari, S"/>
        <s v="Bossink, B"/>
        <s v="Botton, JP"/>
        <s v="Boudemaghe, T"/>
        <s v="Boussaïd, F"/>
        <s v="Bouzerdoum, A"/>
        <s v="Bowen, JP"/>
        <s v="Boyle, N"/>
        <s v="Bradley, SM"/>
        <s v="Bradshaw, R"/>
        <s v="Brand, M"/>
        <s v="Brea, JAF"/>
        <s v="Breda, GD"/>
        <s v="Bregon, A"/>
        <s v="Briggs, M"/>
        <s v="Brooks, RA"/>
        <s v="Brooks, SC"/>
        <s v="Brunetti, F"/>
        <s v="Bu, K"/>
        <s v="Bubeliny, O"/>
        <s v="Buchan, I"/>
        <s v="Buchanan, V"/>
        <s v="Buck, T"/>
        <s v="Budhwani, H"/>
        <s v="Budhwar, P"/>
        <s v="Budke, A"/>
        <s v="Bughin, J"/>
        <s v="Burdon, S"/>
        <s v="Burgess, G"/>
        <s v="Burgos, D"/>
        <s v="Burin, D"/>
        <s v="Burnap, P"/>
        <s v="Bussador, A"/>
        <s v="Butt, ZA"/>
        <s v="Byrnes, J"/>
        <s v="Cakici, NM"/>
        <s v="Calicchio, M"/>
        <s v="Callhoff, J"/>
        <s v="Calvo, SM"/>
        <s v="Camacho, J"/>
        <s v="Campbell, KL"/>
        <s v="Campos-Soto, MN"/>
        <s v="Candelo, E"/>
        <s v="Cantin, LN"/>
        <s v="Carlsson, J"/>
        <s v="Carmona, DG"/>
        <s v="Carrilho, T"/>
        <s v="Carrillo, IDV"/>
        <s v="Cartujano-Barrera, F"/>
        <s v="Cascio, C"/>
        <s v="Case, LD"/>
        <s v="Castaldi, L"/>
        <s v="Casteleiro-Pitrez, J"/>
        <s v="Castillo, LF"/>
        <s v="Cavalli-Björkman, H"/>
        <s v="Cavallo, F"/>
        <s v="Cenamor, J"/>
        <s v="Cerchione, R"/>
        <s v="Cervantes-Barraza, JA"/>
        <s v="Charatsari, C"/>
        <s v="Chasapi, G"/>
        <s v="Chavez, MA"/>
        <s v="Chehab, G"/>
        <s v="Chen, JE"/>
        <s v="Chen, JYJ"/>
        <s v="Chen, SY"/>
        <s v="Chen, YB"/>
        <s v="Chintakananda, A"/>
        <s v="Cho, KT"/>
        <s v="Choi, S"/>
        <s v="Christensen, H"/>
        <s v="Chu, LY"/>
        <s v="Chung, HFL"/>
        <s v="Cibrian, F"/>
        <s v="Cifuentes-Faura, J"/>
        <s v="Ciulu, R"/>
        <s v="Ciusani, E"/>
        <s v="Claret, PG"/>
        <s v="Clark, R"/>
        <s v="Clay, J"/>
        <s v="Cleary, SD"/>
        <s v="Clegg, S"/>
        <s v="Cohenour, EJC"/>
        <s v="Cohernour, EJC"/>
        <s v="Colasanti, N"/>
        <s v="Conaldi, PG"/>
        <s v="Condorelli, G"/>
        <s v="Conforto, AB"/>
        <s v="Constantiou, I"/>
        <s v="Coombs, C"/>
        <s v="Corchado, JM"/>
        <s v="Correia, MB"/>
        <s v="Cortes-Penfield, N"/>
        <s v="Cortés-Penfield, N"/>
        <s v="Cosgrave, E"/>
        <s v="Costuleanu, CL"/>
        <s v="Côté, LP"/>
        <s v="Côté-Parent, R"/>
        <s v="Croci, I"/>
        <s v="Crudu, A"/>
        <s v="Cruvinel, T"/>
        <s v="Cuellar, G"/>
        <s v="Cuevas, JA"/>
        <s v="Cullen, M"/>
        <s v="Cunha, LFM"/>
        <s v="Cunningham, I"/>
        <s v="Cupertino, AP"/>
        <s v="Currim, IS"/>
        <s v="Cusinato, A"/>
        <s v="Cuvillon, P"/>
        <s v="da Costa, CA"/>
        <s v="da Costa, MO"/>
        <s v="da Silva, ALB"/>
        <s v="da Silva, MAD"/>
        <s v="da Silva, MM"/>
        <s v="da Silva, NSDC"/>
        <s v="da Silva, RAR"/>
        <s v="Dahan, A"/>
        <s v="Dai, PR"/>
        <s v="Dalal, AK"/>
        <s v="Dampérat, M"/>
        <s v="Daneshvar, H"/>
        <s v="Danieletto, M"/>
        <s v="Dantas, RD"/>
        <s v="Davenport, T"/>
        <s v="Dawes, T"/>
        <s v="Dazert, S"/>
        <s v="de Almeida, GGF"/>
        <s v="de Almeida, MIS"/>
        <s v="de Brito, MJ"/>
        <s v="de Bruin, YB"/>
        <s v="de la Hoz, AM"/>
        <s v="de Luca, C"/>
        <s v="De Massis, A"/>
        <s v="de Matos, N"/>
        <s v="De Mello, J"/>
        <s v="de Oliveira, DS"/>
        <s v="de Oliveira, GM"/>
        <s v="de Rezende, DC"/>
        <s v="De Roure, D"/>
        <s v="de Sousa, PR"/>
        <s v="de Souza, AAU"/>
        <s v="de Souza, CHQ"/>
        <s v="de Vasconcellos, AB"/>
        <s v="de Vries, J"/>
        <s v="de Winter, AF"/>
        <s v="Dedmon, JM"/>
        <s v="del Olmo, MJA"/>
        <s v="del Rio, C"/>
        <s v="Del Ser, J"/>
        <s v="Del Vecchio, P"/>
        <s v="Delaere, S"/>
        <s v="DelPizzo-Cheng, E"/>
        <s v="Denysenko, T"/>
        <s v="Déri, CE"/>
        <s v="Desai, A"/>
        <s v="Desai, M"/>
        <s v="Devitt, N"/>
        <s v="Di Malta, A"/>
        <s v="Dias, AL"/>
        <s v="Dias, APC"/>
        <s v="Dias, T"/>
        <s v="Diaz, J"/>
        <s v="Didone, TVN"/>
        <s v="Dimitroulopoulou, S"/>
        <s v="Ding, TH"/>
        <s v="Ding, W"/>
        <s v="Dinler, M"/>
        <s v="Ditshego, KK"/>
        <s v="Dixon, L"/>
        <s v="Doll, A"/>
        <s v="Domínguez, AG"/>
        <s v="Dominguez, GM"/>
        <s v="Donnellan, B"/>
        <s v="Dora, M"/>
        <s v="dos Santos, EM"/>
        <s v="dos Santos, MS"/>
        <s v="Doyle, F"/>
        <s v="Du, B"/>
        <s v="Duan, YQ"/>
        <s v="Duarte, M"/>
        <s v="Duffy, K"/>
        <s v="Duh, ES"/>
        <s v="Dulce, GB"/>
        <s v="Dunkel, L"/>
        <s v="Dunn, ME"/>
        <s v="Durst, S"/>
        <s v="Dwivedi, G"/>
        <s v="Earon, A"/>
        <s v="Ebuenyi, I"/>
        <s v="Ecer, F"/>
        <s v="Echenique, I"/>
        <s v="Edberg, MC"/>
        <s v="Edelhoff, D"/>
        <s v="Edelman, JA"/>
        <s v="Edge, D"/>
        <s v="Edwards, JS"/>
        <s v="Egusquiza, A"/>
        <s v="El Sawy, OA"/>
        <s v="Elhaj, M"/>
        <s v="Elias, BL"/>
        <s v="Elliott, S"/>
        <s v="Elommal, N"/>
        <s v="Emsley, R"/>
        <s v="Engan, K"/>
        <s v="Escalante, MAS"/>
        <s v="Escota, GV"/>
        <s v="Espinosa, MPP"/>
        <s v="Esposito, E"/>
        <s v="Evans, C"/>
        <s v="Evans, MA"/>
        <s v="EVANS, ME"/>
        <s v="Evans, N"/>
        <s v="Evans, WD"/>
        <s v="Fabris, M"/>
        <s v="Fait, M"/>
        <s v="Fan, Q"/>
        <s v="Fantauzzi, C"/>
        <s v="Farkas, JZ"/>
        <s v="Fayek, AR"/>
        <s v="Fedotov, O"/>
        <s v="Fehér, P"/>
        <s v="Felício, JA"/>
        <s v="Feng, JZ"/>
        <s v="Ferguson, S"/>
        <s v="Fernández, LR"/>
        <s v="Fernández, TD"/>
        <s v="Fernandez, V"/>
        <s v="Fernández, VAM"/>
        <s v="Ferrante, L"/>
        <s v="Ferreira, LMDF"/>
        <s v="Ferrer, JME"/>
        <s v="Ferro, E"/>
        <s v="Feyzioglu, O"/>
        <s v="Figueiredo, FD"/>
        <s v="Filián, JF"/>
        <s v="Filiol, E"/>
        <s v="Finne, K"/>
        <s v="Fiorani, G"/>
        <s v="Fischer, M"/>
        <s v="Fjermestad, J"/>
        <s v="Fjortoft, SO"/>
        <s v="Fletcher, M"/>
        <s v="Fletcher, R"/>
        <s v="Florea, N"/>
        <s v="Flores, JS"/>
        <s v="Flores, YN"/>
        <s v="Floyd, A"/>
        <s v="Foday, E"/>
        <s v="Foer, D"/>
        <s v="Fofonca, E"/>
        <s v="Folch, CS"/>
        <s v="Foley, K"/>
        <s v="Fonseca, MGFS"/>
        <s v="Fonstad, NO"/>
        <s v="Font-Clos, F"/>
        <s v="Ford, NM"/>
        <s v="Forestiero, F"/>
        <s v="Fox, KH"/>
        <s v="Frank, AG"/>
        <s v="Franz, MM"/>
        <s v="Frati, L"/>
        <s v="Frattini, F"/>
        <s v="Free, C"/>
        <s v="Freire, OBD"/>
        <s v="Frondizi, R"/>
        <s v="Fuentes, C"/>
        <s v="Galarza, FYP"/>
        <s v="Galarza-Fernández, E"/>
        <s v="Galiatsatos, P"/>
        <s v="Galindo-Rubio, F"/>
        <s v="Gallagher, E"/>
        <s v="Gallegos-Carrillo, K"/>
        <s v="Galvin, KT"/>
        <s v="Gan, DZQ"/>
        <s v="Ganesh, R"/>
        <s v="García, JI"/>
        <s v="Garcia, MG"/>
        <s v="García-Franco, LL"/>
        <s v="García-Morales, VJ"/>
        <s v="Garg, L"/>
        <s v="Garnaud, B"/>
        <s v="Garrett, C"/>
        <s v="Gasco, J"/>
        <s v="Gascon, JL"/>
        <s v="Gastelu, CAT"/>
        <s v="Gaudreault, J"/>
        <s v="Gellert, R"/>
        <s v="Gensini, G"/>
        <s v="Georgiadis, CK"/>
        <s v="Germano, NT"/>
        <s v="Gesualdo, F"/>
        <s v="Ghag, N"/>
        <s v="Giaccone, SC"/>
        <s v="Giampellegrini, PP"/>
        <s v="Giannakopoulos, NT"/>
        <s v="Gil-Garcia, JR"/>
        <s v="Gil-García, JR"/>
        <s v="Gilmore, A"/>
        <s v="Gimpel, JG"/>
        <s v="Gioria, MR"/>
        <s v="Girotto, AN"/>
        <s v="Gittelsohn, J"/>
        <s v="Giusti, G"/>
        <s v="Glatard, T"/>
        <s v="Goanta, C"/>
        <s v="Goldbarg, J"/>
        <s v="Golden, E"/>
        <s v="Goldenberg, A"/>
        <s v="Goldschmidtboeing, F"/>
        <s v="Golja, T"/>
        <s v="Goller, JL"/>
        <s v="Gómez, LKA"/>
        <s v="Gómez-Restrepo, C"/>
        <s v="González, EA"/>
        <s v="González, F"/>
        <s v="González, FM"/>
        <s v="Gonzalez, R"/>
        <s v="Goolkasian, G"/>
        <s v="Gorospe, JMC"/>
        <s v="Goyal, P"/>
        <s v="Gradinaru, C"/>
        <s v="Granwehr, B"/>
        <s v="Gregori, S"/>
        <s v="Gricourt, Y"/>
        <s v="Grover, A"/>
        <s v="Grover, V"/>
        <s v="Gu, YY"/>
        <s v="Gubán, A"/>
        <s v="Guerin, M"/>
        <s v="Guerra, R"/>
        <s v="Guidetti, L"/>
        <s v="Guimaraes, TA"/>
        <s v="Guo, YD"/>
        <s v="Gupta, B"/>
        <s v="Gupta, M"/>
        <s v="Güth, JF"/>
        <s v="Guzman, LCD"/>
        <s v="Guzmán, Y"/>
        <s v="Haase, R"/>
        <s v="Haddock, G"/>
        <s v="Haleem, A"/>
        <s v="Haley, E"/>
        <s v="Hamilton, K"/>
        <s v="Han, BM"/>
        <s v="Han, J"/>
        <s v="Han, XT"/>
        <s v="Han, YH"/>
        <s v="Hanelt, A"/>
        <s v="Hanjahanja-Phiri, T"/>
        <s v="Hansen, R"/>
        <s v="Harkin, DW"/>
        <s v="Harris, PA"/>
        <s v="Hasan, R"/>
        <s v="Havle, CA"/>
        <s v="He, ZP"/>
        <s v="Healy, R"/>
        <s v="Henderson, M"/>
        <s v="Henfridsson, O"/>
        <s v="Henschel, F"/>
        <s v="Herciu, M"/>
        <s v="Hernández, GA"/>
        <s v="Hernández, SDA"/>
        <s v="Hernell, E"/>
        <s v="Herráez, BR"/>
        <s v="Herrero-Gutiérrez, FJ"/>
        <s v="Hess, T"/>
        <s v="Hetrick, S"/>
        <s v="Hidouci, WK"/>
        <s v="Hikkerova, L"/>
        <s v="Hill, KB"/>
        <s v="Hillman, S"/>
        <s v="Himmelfarb, CRD"/>
        <s v="Hoang, TH"/>
        <s v="Hocking, JS"/>
        <s v="Hogan, C"/>
        <s v="Hollingworth, W"/>
        <s v="Holovii, L"/>
        <s v="Holowka, E"/>
        <s v="Holowka, EM"/>
        <s v="Holtstrom, J"/>
        <s v="Hong, LY"/>
        <s v="Hossain, MI"/>
        <s v="Hovey, RB"/>
        <s v="Hoye, R"/>
        <s v="Hu, JH"/>
        <s v="Hua, GH"/>
        <s v="Huang, JP"/>
        <s v="Hughes, C"/>
        <s v="Hughes, D"/>
        <s v="Hughes, DL"/>
        <s v="Hughes, M"/>
        <s v="Hunter, B"/>
        <s v="Hurriyet, H"/>
        <s v="Husain, Z"/>
        <s v="Hussin, MRA"/>
        <s v="Hvistendahl, R"/>
        <s v="Iacoviello, L"/>
        <s v="Iglesias-Sánchez, PP"/>
        <s v="Iqbal, SZ"/>
        <s v="Islam, MA"/>
        <s v="Itani, OS"/>
        <s v="Ivanov, A"/>
        <s v="Ivanov, K"/>
        <s v="Jabbour, ABLD"/>
        <s v="Jaber, S"/>
        <s v="Jacky, MAH"/>
        <s v="Jain, P"/>
        <s v="Jaklic, J"/>
        <s v="Jambrino-Maldonado, C"/>
        <s v="Jankal, R"/>
        <s v="Jardim, J"/>
        <s v="Jasinski, B"/>
        <s v="Jay, C"/>
        <s v="Jeannot, F"/>
        <s v="Jeddi, MZ"/>
        <s v="Jeliazkov, I"/>
        <s v="Jenkins, L"/>
        <s v="Jensen, JK"/>
        <s v="Jessup, M"/>
        <s v="Jewitt, K"/>
        <s v="Jia, SS"/>
        <s v="Jiao, SP"/>
        <s v="Jimenez, RH"/>
        <s v="Jin, NS"/>
        <s v="Jin, ZB"/>
        <s v="Jing, H"/>
        <s v="Jocius, R"/>
        <s v="Johansson, C"/>
        <s v="Johnson, J"/>
        <s v="Johnson, S"/>
        <s v="Jones, J"/>
        <s v="Jones, S"/>
        <s v="Jones, SS"/>
        <s v="Jongmans, E"/>
        <s v="Jonkman, M"/>
        <s v="Jorge, OS"/>
        <s v="Jun, AL"/>
        <s v="Kabasheva, I"/>
        <s v="Kallmünzer, A"/>
        <s v="Kalvas, F"/>
        <s v="Kamal, S"/>
        <s v="Kamau, DW"/>
        <s v="Kammer-Kerwick, M"/>
        <s v="Kamperos, IDG"/>
        <s v="Kanashiro, L"/>
        <s v="Kane, JM"/>
        <s v="Kanellos, N"/>
        <s v="Kang, DM"/>
        <s v="Kaplun, IS"/>
        <s v="Kapogiannis, G"/>
        <s v="Karamasa, Ç"/>
        <s v="Karia, N"/>
        <s v="Karman, SV"/>
        <s v="Keane, T"/>
        <s v="Kelly, JT"/>
        <s v="Kennedy, N"/>
        <s v="Kephalopoulos, S"/>
        <s v="Kern, R"/>
        <s v="Khaled, R"/>
        <s v="Khaleghi, N"/>
        <s v="Khan, MMI"/>
        <s v="Khan, S"/>
        <s v="Kharde, Y"/>
        <s v="Kierstead, EC"/>
        <s v="Kiltz, U"/>
        <s v="Kim, B"/>
        <s v="Kim, GB"/>
        <s v="Kim, Y"/>
        <s v="Kina, S"/>
        <s v="Kirmayer, LJ"/>
        <s v="Kitsios, F"/>
        <s v="Klus, MF"/>
        <s v="Koh, HE"/>
        <s v="Kolokolchykova, IV"/>
        <s v="Komninos, N"/>
        <s v="Konomanyi, A"/>
        <s v="Kononenko, S"/>
        <s v="Korba, C"/>
        <s v="Kotsialos, T"/>
        <s v="Kourouthanassis, P"/>
        <s v="Kovacs, T"/>
        <s v="Kozina, G"/>
        <s v="Kraft, C"/>
        <s v="Kraus, S"/>
        <s v="Kretschmer, T"/>
        <s v="Krishnamoorthy, B"/>
        <s v="Kublitska, O"/>
        <s v="Kumar, M"/>
        <s v="Kumar, R"/>
        <s v="Kuriakose, K"/>
        <s v="Kurz, A"/>
        <s v="Kymre, IG"/>
        <s v="La Parra-Casado, D"/>
        <s v="La Porta, CAM"/>
        <s v="Labelle, R"/>
        <s v="Labonté-Lemoyne, É"/>
        <s v="Lacanienta, C"/>
        <s v="Lachance, EL"/>
        <s v="Lacity, MC"/>
        <s v="LaCross, L"/>
        <s v="Lada, C"/>
        <s v="Lal, B"/>
        <s v="Lamoki, TG"/>
        <s v="Lampoltshammer, T"/>
        <s v="Lamuki, TG"/>
        <s v="Lanshina, T"/>
        <s v="Lara, D"/>
        <s v="Lardy, B"/>
        <s v="Larios, Y"/>
        <s v="Lashley, M"/>
        <s v="Lau, H"/>
        <s v="Lau, N"/>
        <s v="Lawal, F"/>
        <s v="Leary, M"/>
        <s v="Lee, CY"/>
        <s v="Lee, D"/>
        <s v="Lee, DH"/>
        <s v="Lee, SJ"/>
        <s v="Lee, SY"/>
        <s v="Lehmann, C"/>
        <s v="Lemanski, MK"/>
        <s v="Leme, PHMV"/>
        <s v="Lemmer, K"/>
        <s v="Lentini, MC"/>
        <s v="Leonforte, F"/>
        <s v="Leonte, M"/>
        <s v="Lerman, LV"/>
        <s v="Levie, A"/>
        <s v="Lewis, S"/>
        <s v="Li, HQ"/>
        <s v="Li, JH"/>
        <s v="Li, L"/>
        <s v="Li, LX"/>
        <s v="Li, SM"/>
        <s v="Li, TH"/>
        <s v="Li, X"/>
        <s v="Li, Z"/>
        <s v="Liang, YT"/>
        <s v="Liao, MZ"/>
        <s v="Liao, ZX"/>
        <s v="Liard, M"/>
        <s v="Lieck, L"/>
        <s v="Lim, MK"/>
        <s v="Lima, AP"/>
        <s v="Lin, DD"/>
        <s v="Lin, DY"/>
        <s v="Lin, XX"/>
        <s v="Lin, ZB"/>
        <s v="Lindeque, J"/>
        <s v="Linville, T"/>
        <s v="Lioutas, ED"/>
        <s v="Lipsitz, S"/>
        <s v="Liu, CY"/>
        <s v="Liu, H"/>
        <s v="Liu, HR"/>
        <s v="Liu, JM"/>
        <s v="Liu, RH"/>
        <s v="Liu, Y"/>
        <s v="Liu, YQ"/>
        <s v="Llamas, MS"/>
        <s v="Llopis, J"/>
        <s v="Lloyd, TD"/>
        <s v="Lluch, JS"/>
        <s v="Loddo, F"/>
        <s v="Lohse, J"/>
        <s v="Lohwasser, TS"/>
        <s v="Long, J"/>
        <s v="López, P"/>
        <s v="López-Cabarcos, MA"/>
        <s v="López-Delgado, P"/>
        <s v="López-García, X"/>
        <s v="Loprencipe, G"/>
        <s v="Lorenz, HM"/>
        <s v="Losonci, D"/>
        <s v="Lotich, K"/>
        <s v="Lousa, EP"/>
        <s v="Lozano, R"/>
        <s v="Lu, WQ"/>
        <s v="Lu, ZC"/>
        <s v="Lu, ZF"/>
        <s v="Luna-Reyes, DE"/>
        <s v="Luna-Reyes, LF"/>
        <s v="Luo, J"/>
        <s v="Lupu, R"/>
        <s v="Lurie, N"/>
        <s v="Luthardt, FW"/>
        <s v="Lyons, S"/>
        <s v="Lyytinen, K"/>
        <s v="Ma, J"/>
        <s v="Ma, L"/>
        <s v="Ma, SG"/>
        <s v="Ma, W"/>
        <s v="MacDonell, K"/>
        <s v="Machado, M"/>
        <s v="Machin, M"/>
        <s v="Mackin, B"/>
        <s v="Madeira, GD"/>
        <s v="Magalhaes, V"/>
        <s v="Majocco, P"/>
        <s v="Makar, E"/>
        <s v="Malaarachchi, DN"/>
        <s v="Malcolm, P"/>
        <s v="Maldonado, EF"/>
        <s v="Maldonado, P"/>
        <s v="Malinis, M"/>
        <s v="Manaswini, M"/>
        <s v="Manataki, M"/>
        <s v="Manceau, LM"/>
        <s v="Manski-Nankervis, JA"/>
        <s v="Marangon, F"/>
        <s v="Maresch, D"/>
        <s v="Margolis, GS"/>
        <s v="Marinho, J"/>
        <s v="Marín-Ochoa, BE"/>
        <s v="Marrujo, J"/>
        <s v="Marshall, A"/>
        <s v="Marshall, K"/>
        <s v="Martin, J"/>
        <s v="Martín, VR"/>
        <s v="Martínez, A"/>
        <s v="Martínez-Juárez, LA"/>
        <s v="Martinez-Moya, D"/>
        <s v="Martínez-Prieto, MA"/>
        <s v="Martín-Rojas, R"/>
        <s v="Martins, JJG"/>
        <s v="Martins, MMD"/>
        <s v="Martín-Sanromán, JR"/>
        <s v="Martorana, M"/>
        <s v="Massicotte, L"/>
        <s v="Mastan, E"/>
        <s v="Mateos-González, S"/>
        <s v="Materassi, L"/>
        <s v="Matheson, C"/>
        <s v="Mathieu-Chartier, S"/>
        <s v="Matos, JL"/>
        <s v="Matthews, J"/>
        <s v="Mayer, B"/>
        <s v="Mayer, K"/>
        <s v="McCarty, T"/>
        <s v="MCCORMICK, PG"/>
        <s v="Mccoy, S"/>
        <s v="McCulloch, H"/>
        <s v="McGregor, SC"/>
        <s v="McKelvey, B"/>
        <s v="McKnight, K"/>
        <s v="McManus, R"/>
        <s v="McMillan, S"/>
        <s v="Mcneill, D"/>
        <s v="Mehta, K"/>
        <s v="Meijer, FJA"/>
        <s v="Mejia, RM"/>
        <s v="Mellon, L"/>
        <s v="Melo, A"/>
        <s v="Melo, P"/>
        <s v="Mendes, LD"/>
        <s v="Mendez, MEP"/>
        <s v="Menezes, TS"/>
        <s v="Merchant, RM"/>
        <s v="Mergel, I"/>
        <s v="Metz, I"/>
        <s v="Mey, MR"/>
        <s v="Miah, A"/>
        <s v="Miah, MSU"/>
        <s v="Miceli, G"/>
        <s v="Migkos, SP"/>
        <s v="Milan, S"/>
        <s v="Milburn, NG"/>
        <s v="Milecka-Forrest, M"/>
        <s v="Millan, G"/>
        <s v="Millar, J"/>
        <s v="Miller, D"/>
        <s v="Miller, KP"/>
        <s v="Minter, DJ"/>
        <s v="Miri, AK"/>
        <s v="Misra, S"/>
        <s v="Mitchell, W"/>
        <s v="Mitev, A"/>
        <s v="Mocker, M"/>
        <s v="Mody, R"/>
        <s v="Mohalajeng, L"/>
        <s v="Molinillo, S"/>
        <s v="Moloney, KG"/>
        <s v="Monego, M"/>
        <s v="Moneley, D"/>
        <s v="Monfardini, F"/>
        <s v="Mongeau, L"/>
        <s v="Montalvo, R"/>
        <s v="Montemagno, F"/>
        <s v="Montgomery, KC"/>
        <s v="Montoya, A"/>
        <s v="Moon, T"/>
        <s v="Moraes, I"/>
        <s v="Morales, AJR"/>
        <s v="Morelli, A"/>
        <s v="Moretti, FA"/>
        <s v="Moretti, L"/>
        <s v="Morita, PP"/>
        <s v="Morris, R"/>
        <s v="Motala, A"/>
        <s v="Muhoza, P"/>
        <s v="Mújica-Rosales, R"/>
        <s v="Munteanu, D"/>
        <s v="Muñoz, A"/>
        <s v="Murdoch, J"/>
        <s v="Musial, J"/>
        <s v="Musso, S"/>
        <s v="Mutalib, HA"/>
        <s v="Myers, MD"/>
        <s v="Myklebust, H"/>
        <s v="Mylonas, N"/>
        <s v="Na, S"/>
        <s v="Naar, S"/>
        <s v="Nagy, J"/>
        <s v="Nakandala, D"/>
        <s v="Nales, A"/>
        <s v="Naraine, ML"/>
        <s v="Narva, A"/>
        <s v="Narvel, YAM"/>
        <s v="Nasiopoulos, DK"/>
        <s v="Nasiri, M"/>
        <s v="Natalicchio, A"/>
        <s v="Nava-Rogel, RM"/>
        <s v="Navis, G"/>
        <s v="Nazarko, S"/>
        <s v="Neirotti, P"/>
        <s v="Neumann, M"/>
        <s v="NEVICEVIC, M"/>
        <s v="Newman, E"/>
        <s v="Ng, PML"/>
        <s v="Ngo, H"/>
        <s v="Nguyen, H"/>
        <s v="Nichifor, E"/>
        <s v="Nicklas, L"/>
        <s v="Nicolella, M"/>
        <s v="Niehaves, B"/>
        <s v="Niemczyk, J"/>
        <s v="Nieri, J"/>
        <s v="Niesters, M"/>
        <s v="Nieto, O"/>
        <s v="Nieuwenhuizen, C"/>
        <s v="Nkonde-Price, C"/>
        <s v="Nobbs, K"/>
        <s v="Nolan, NS"/>
        <s v="Nold, E"/>
        <s v="Norboyo'g'li, SS"/>
        <s v="Nsouli, NZ"/>
        <s v="Núñez-Pacheco, R"/>
        <s v="Nutakor, F"/>
        <s v="Obermaier, R"/>
        <s v="Oborn, E"/>
        <s v="Oetomo, A"/>
        <s v="Ogundana, OM"/>
        <s v="Ojo, A"/>
        <s v="O'Kelly, J"/>
        <s v="Oleksenko, R"/>
        <s v="Oleynik, V"/>
        <s v="Oliveira, TM"/>
        <s v="Olson, EJ"/>
        <s v="O'Malley, N"/>
        <s v="Ordóñez, K"/>
        <s v="Organa, M"/>
        <s v="Orlandi, LB"/>
        <s v="Orlando, M"/>
        <s v="Orlikowski, W"/>
        <s v="Ortega-Mohedano, F"/>
        <s v="O'Steen, B"/>
        <s v="O'Sullivan, K"/>
        <s v="Oteo, A"/>
        <s v="Otokiti, B"/>
        <s v="Ouyang, P"/>
        <s v="Owoyele, B"/>
        <s v="Pacas, M"/>
        <s v="Padalko, H"/>
        <s v="Padro, MP"/>
        <s v="Pahayahay, A"/>
        <s v="Palacios, M"/>
        <s v="Palacios-Marqués, D"/>
        <s v="Palkovics, A"/>
        <s v="Palmer, M"/>
        <s v="Palomino, RI"/>
        <s v="Palos-Sanchez, P"/>
        <s v="Palos-Sanchez, PR"/>
        <s v="Pandolfi, E"/>
        <s v="Pantoja, GD"/>
        <s v="PAO, YP"/>
        <s v="Paolucci, E"/>
        <s v="Paredes, MAM"/>
        <s v="Parent, MM"/>
        <s v="Pasini, ME"/>
        <s v="Passaro, R"/>
        <s v="Patel, US"/>
        <s v="Pateli, A"/>
        <s v="Pathak, RD"/>
        <s v="Patti, E"/>
        <s v="Pavlou, PA"/>
        <s v="Pavlova, I"/>
        <s v="Pechlaner, H"/>
        <s v="Pera, R"/>
        <s v="Pereira, LA"/>
        <s v="Pereira, PM"/>
        <s v="Pérez-Curiel, C"/>
        <s v="Pérez-Latre, FJ"/>
        <s v="Pérez-Peláez, ME"/>
        <s v="Perillo, M"/>
        <s v="Peris, L"/>
        <s v="Perkovic, A"/>
        <s v="Perotti, FA"/>
        <s v="Pesce, F"/>
        <s v="Peters, M"/>
        <s v="Peters, TJ"/>
        <s v="Petruzzelli, AM"/>
        <s v="Pezzoli, S"/>
        <s v="Phongsavan, P"/>
        <s v="Picazo-Vela, S"/>
        <s v="Picchio, F"/>
        <s v="Pinkwart, A"/>
        <s v="Piñeiro-Chousa, J"/>
        <s v="Pitic, AG"/>
        <s v="Plataniotis, KN"/>
        <s v="Podimatas, I"/>
        <s v="Poirier, L"/>
        <s v="Poli, MS"/>
        <s v="Pollalis, Y"/>
        <s v="Polyzos, N"/>
        <s v="Popple, S"/>
        <s v="Pottbaecker, F"/>
        <s v="Poulopoulos, C"/>
        <s v="Prashant, P"/>
        <s v="Procopiuck, M"/>
        <s v="Prokop, M"/>
        <s v="Pulley, JM"/>
        <s v="Puranam, P"/>
        <s v="Puron-Cid, G"/>
        <s v="Qiao, LM"/>
        <s v="Quezada-Tello, LL"/>
        <s v="Quintas-Froufe, N"/>
        <s v="Quintero, G"/>
        <s v="Quinto, I"/>
        <s v="Quinton, S"/>
        <s v="Raeside, R"/>
        <s v="Raffini, L"/>
        <s v="Rafter, N"/>
        <s v="Raga, JM"/>
        <s v="Raguz, IV"/>
        <s v="Rajak, S"/>
        <s v="Rajarajan, M"/>
        <s v="Rajkumar, C"/>
        <s v="Ramajo-Hernández, N"/>
        <s v="Ramalho, AM"/>
        <s v="Raman, R"/>
        <s v="Ramires, A"/>
        <s v="Ramírez-Palacios, P"/>
        <s v="Rana, NP"/>
        <s v="Rantala, T"/>
        <s v="Rao, BM"/>
        <s v="Raoufi, M"/>
        <s v="Rassy, J"/>
        <s v="Raupp, P"/>
        <s v="Ravazzani, S"/>
        <s v="Razo, C"/>
        <s v="Reddy, SK"/>
        <s v="Redfern, J"/>
        <s v="Reece, L"/>
        <s v="Reese, M"/>
        <s v="Reifenrath, J"/>
        <s v="Reijneveld, SA"/>
        <s v="Reinhardt, RJ"/>
        <s v="Reinhart, TA"/>
        <s v="Reklitis, DP"/>
        <s v="Rembert, M"/>
        <s v="Remuzzi, G"/>
        <s v="Ren, S"/>
        <s v="Renaldi, R"/>
        <s v="Rencoret, N"/>
        <s v="Renovell, M"/>
        <s v="Reps, J"/>
        <s v="Reyes, RJ"/>
        <s v="Reyes-Menendez, A"/>
        <s v="Reyneri, L"/>
        <s v="Rezaeirad, M"/>
        <s v="Rezende, DA"/>
        <s v="Rezig, S"/>
        <s v="Reznar, MM"/>
        <s v="Ribeiro-Navarrete, S"/>
        <s v="Ribeiro-Soriano, D"/>
        <s v="Ricciardi, W"/>
        <s v="Ridout, TN"/>
        <s v="Ripley, D"/>
        <s v="Rizzo, I"/>
        <s v="Roca, JB"/>
        <s v="Roca, MCC"/>
        <s v="Rodan, D"/>
        <s v="Rodriguez, A"/>
        <s v="Rodriguez, J"/>
        <s v="Rodríguez, LGG"/>
        <s v="Rodríguez-Jiménez, C"/>
        <s v="Rodríguez-Nieto, CA"/>
        <s v="Roethke, K"/>
        <s v="Rokka, J"/>
        <s v="Romero, SMA"/>
        <s v="Roncaglioni, MC"/>
        <s v="Rosales, RM"/>
        <s v="Rosales, WAC"/>
        <s v="Rosano, M"/>
        <s v="Rosemann, M"/>
        <s v="Rosenberg, SD"/>
        <s v="Rosenberg-Carlson, E"/>
        <s v="Rosin, AF"/>
        <s v="Ross, JW"/>
        <s v="Rossi, L"/>
        <s v="Rossignoli, C"/>
        <s v="Rostami, A"/>
        <s v="Roveda, F"/>
        <s v="Roy, M"/>
        <s v="Rudaleva, I"/>
        <s v="Rudin, RS"/>
        <s v="Rueda, E"/>
        <s v="Ruether, DF"/>
        <s v="Ruidera, D"/>
        <s v="Saeed, S"/>
        <s v="Sakki, I"/>
        <s v="Salaverría, R"/>
        <s v="Salcedo, VT"/>
        <s v="Saldarriaga, MM"/>
        <s v="Salemink, K"/>
        <s v="Salfas, B"/>
        <s v="Salhi, Y"/>
        <s v="Salman, B"/>
        <s v="Salom, C"/>
        <s v="Salzano, A"/>
        <s v="Samaniego, CRC"/>
        <s v="Samaranayake, P"/>
        <s v="Sammon, D"/>
        <s v="Samson, D"/>
        <s v="Sanchez, A"/>
        <s v="Sánchez-Torres, G"/>
        <s v="SanJuan, E"/>
        <s v="Santo, K"/>
        <s v="Santofimia, EO"/>
        <s v="Santos, FMBC"/>
        <s v="Santos, O"/>
        <s v="Santos, RD"/>
        <s v="Santos, VR"/>
        <s v="Saqib, M"/>
        <s v="Sarmiento, LSC"/>
        <s v="Sarris, A"/>
        <s v="Satimbaevich, BE"/>
        <s v="Saucedo-Martínez, R"/>
        <s v="Saunila, M"/>
        <s v="Sauter, F"/>
        <s v="Saxena, DK"/>
        <s v="Scambia, G"/>
        <s v="Scarlat, C"/>
        <s v="Scazufca, M"/>
        <s v="Schachtebeck, C"/>
        <s v="Schaefer, C"/>
        <s v="Scherer, JN"/>
        <s v="Schiebener, J"/>
        <s v="Schildt, H"/>
        <s v="Schirmer, T"/>
        <s v="Schmid, A"/>
        <s v="Schmitz, HP"/>
        <s v="Schneider, M"/>
        <s v="Schneider, S"/>
        <s v="Schoenenberger, L"/>
        <s v="Scholz, J"/>
        <s v="Schwamm, LH"/>
        <s v="Schwanberg, L"/>
        <s v="Schwienbacher, A"/>
        <s v="Scicchitano, S"/>
        <s v="Scorrano, P"/>
        <s v="Scott, S"/>
        <s v="Sean, V"/>
        <s v="Sebastian, IM"/>
        <s v="Secundo, G"/>
        <s v="Sedera, D"/>
        <s v="Seetharaman, P"/>
        <s v="Segal, A"/>
        <s v="Séguin, B"/>
        <s v="Sekanina, L"/>
        <s v="Seneviratne, D"/>
        <s v="Serkina, Y"/>
        <s v="Seshadri, S"/>
        <s v="Seward, N"/>
        <s v="Shahzadi, I"/>
        <s v="Shams, SMR"/>
        <s v="Shan, ZW"/>
        <s v="Shanmugam, B"/>
        <s v="Shao, CM"/>
        <s v="Shao, D"/>
        <s v="Sharma, A"/>
        <s v="Sharma, SK"/>
        <s v="Sheridan, J"/>
        <s v="Shi, JR"/>
        <s v="Shkarupeta, E"/>
        <s v="Siddiqui, J"/>
        <s v="Siegel, R"/>
        <s v="Silva, GS"/>
        <s v="Silvianita, A"/>
        <s v="Sim, KA"/>
        <s v="Simkin, L"/>
        <s v="Simon, B"/>
        <s v="Simón, IV"/>
        <s v="Simón-Moya, V"/>
        <s v="Sindhwani, R"/>
        <s v="Singh, H"/>
        <s v="Singh, RK"/>
        <s v="Singh, S"/>
        <s v="Singh, SK"/>
        <s v="Singh, V"/>
        <s v="Singodia, M"/>
        <s v="Sinha, M"/>
        <s v="Siokas, E"/>
        <s v="Sipe, N"/>
        <s v="Skamnakis, C"/>
        <s v="Skrypnyk, SV"/>
        <s v="Slobodnik, J"/>
        <s v="Slosarek, T"/>
        <s v="Smart, F"/>
        <s v="Smedlund, A"/>
        <s v="Smith, E"/>
        <s v="Smolak-Lozano, E"/>
        <s v="Smyser, J"/>
        <s v="SOBAJIC, DJ"/>
        <s v="Sobolev, M"/>
        <s v="Soh, C"/>
        <s v="Soldatkina, OL"/>
        <s v="Solito, L"/>
        <s v="Soncin, M"/>
        <s v="Sooriyapperuma, B"/>
        <s v="Sorrentino, M"/>
        <s v="Sosa, D"/>
        <s v="Sousa, BB"/>
        <s v="Sousa, J"/>
        <s v="Spachos, P"/>
        <s v="Spec, A"/>
        <s v="Speciali, DS"/>
        <s v="Speck, C"/>
        <s v="Specker, C"/>
        <s v="Spicer, JO"/>
        <s v="Spring, B"/>
        <s v="Springs, SL"/>
        <s v="Spyrou, A"/>
        <s v="Srinivasan, A"/>
        <s v="Stagars, M"/>
        <s v="Stam, A"/>
        <s v="Stanford, FC"/>
        <s v="Steele, A"/>
        <s v="Steemers, J"/>
        <s v="Steffens, F"/>
        <s v="Steiner, F"/>
        <s v="Stemberger, MI"/>
        <s v="Stentoft, J"/>
        <s v="Stephanopoulos, G"/>
        <s v="Stevens, S"/>
        <s v="Stewart, S"/>
        <s v="STREET, R"/>
        <s v="Strelow, N"/>
        <s v="Stubner, S"/>
        <s v="Suárez-Idueta, L"/>
        <s v="Suglia, P"/>
        <s v="Sukwatthana, S"/>
        <s v="Sulich, A"/>
        <s v="Sun, KCY"/>
        <s v="Sun, TS"/>
        <s v="Sundermeir, SM"/>
        <s v="Swartz, TH"/>
        <s v="Syarifuddin, S"/>
        <s v="Szabó, RZ"/>
        <s v="Szabó, Z"/>
        <s v="Szalai, A"/>
        <s v="Szerman, N"/>
        <s v="Tabatabaei, S"/>
        <s v="Tafti, A"/>
        <s v="Taks, M"/>
        <s v="Talan, AJ"/>
        <s v="Talias, MA"/>
        <s v="Talib, YYA"/>
        <s v="Tan, LP"/>
        <s v="Tan, Y"/>
        <s v="Tanday, A"/>
        <s v="Tandazo, CG"/>
        <s v="Tang, HJ"/>
        <s v="Tang, WM"/>
        <s v="Tang, XW"/>
        <s v="Tapia-Conyer, R"/>
        <s v="Tavella, NF"/>
        <s v="Tello, L"/>
        <s v="Terkowitz, M"/>
        <s v="Terzi, MC"/>
        <s v="Teza, G"/>
        <s v="Thiel, R"/>
        <s v="Thomas, J"/>
        <s v="Thomas, M"/>
        <s v="Thompson, A"/>
        <s v="Thorns, DC"/>
        <s v="Tian, JX"/>
        <s v="Tidd, J"/>
        <s v="Tierney, R"/>
        <s v="Tíjaro-Ovalle, N"/>
        <s v="Tikkala, E"/>
        <s v="Timm-Bottos, J"/>
        <s v="Tkachuk, LN"/>
        <s v="Todd, A"/>
        <s v="Tomim, MA"/>
        <s v="Tondelli, S"/>
        <s v="Torok, M"/>
        <s v="Torre-Bastida, A"/>
        <s v="Torvatn, HY"/>
        <s v="Tozzi, AE"/>
        <s v="Trujillo-León, MA"/>
        <s v="Tryfonopoulos, C"/>
        <s v="Tsakanikas, A"/>
        <s v="Tseng, ML"/>
        <s v="Tseng, SW"/>
        <s v="Tsolakis, N"/>
        <s v="Tsoulfas, GT"/>
        <s v="Tucker, JD"/>
        <s v="Tumova, D"/>
        <s v="Tupa, J"/>
        <s v="Tusneem, A"/>
        <s v="Uccelli, A"/>
        <s v="Uhrenfeldt, L"/>
        <s v="Unander-Scharin, Å"/>
        <s v="Unander-Scharin, C"/>
        <s v="Upadhyay, N"/>
        <s v="van de Ven, P"/>
        <s v="van Dijk, EJ"/>
        <s v="Van Loenen, B"/>
        <s v="van Tuijl, E"/>
        <s v="Vannucci, V"/>
        <s v="Vapiwala, F"/>
        <s v="Vasco, C"/>
        <s v="Vasudevan, L"/>
        <s v="Vasyaev, A"/>
        <s v="Vazquez, MG"/>
        <s v="Vázquez-Herrero, J"/>
        <s v="Vecchi, A"/>
        <s v="Velicia-Martin, E"/>
        <s v="Venkatraman, N"/>
        <s v="Ventura, L"/>
        <s v="Vermeer, SE"/>
        <s v="Verona, G"/>
        <s v="Veselovskiy, G"/>
        <s v="Vicentiy, A"/>
        <s v="Vidicki, D"/>
        <s v="Vigil, VMA"/>
        <s v="Vigolo, V"/>
        <s v="Vila, NA"/>
        <s v="Villalba, MJS"/>
        <s v="Villanueva, LKB"/>
        <s v="Villeneuve, S"/>
        <s v="Vincent, C"/>
        <s v="Voigt, I"/>
        <s v="Volkenstein, S"/>
        <s v="Vonmetz, K"/>
        <s v="Voormann, A"/>
        <s v="Vorobyev, D"/>
        <s v="Voronkova, V"/>
        <s v="Vo-Thanh, T"/>
        <s v="Vu, A"/>
        <s v="Waffner, B"/>
        <s v="Wagner, K"/>
        <s v="Walmsley, AD"/>
        <s v="Walsh, A"/>
        <s v="Walton, VG"/>
        <s v="Wan, WH"/>
        <s v="Wan, XH"/>
        <s v="Wang, CM"/>
        <s v="Wang, JM"/>
        <s v="Wang, L"/>
        <s v="Wang, LY"/>
        <s v="Wang, NL"/>
        <s v="Wang, Q"/>
        <s v="Wang, S"/>
        <s v="Wang, SH"/>
        <s v="Wang, TW"/>
        <s v="Wang, XC"/>
        <s v="Wang, YB"/>
        <s v="Wang, YX"/>
        <s v="Wardlow, L"/>
        <s v="Warley, S"/>
        <s v="Warren, K"/>
        <s v="Wasim, J"/>
        <s v="Watters, C"/>
        <s v="Wecker, H"/>
        <s v="Welzel, J"/>
        <s v="Wen, X"/>
        <s v="Werner, A"/>
        <s v="Wernicke, S"/>
        <s v="Westerhuis, R"/>
        <s v="Westmoreland, D"/>
        <s v="Weston, C"/>
        <s v="Wharton, RM"/>
        <s v="Whitten, M"/>
        <s v="Wijnen-Meijer, M"/>
        <s v="Wilcox, M"/>
        <s v="Wildenhaus, K"/>
        <s v="Wilkins, CH"/>
        <s v="Willcocks, LP"/>
        <s v="Willermark, S"/>
        <s v="Williams, CA"/>
        <s v="Williams, DJ"/>
        <s v="Williams, K"/>
        <s v="Willman, C"/>
        <s v="Winn, R"/>
        <s v="Woias, P"/>
        <s v="Wolfrum, J"/>
        <s v="Wolniak, R"/>
        <s v="Wong, Q"/>
        <s v="Woods, S"/>
        <s v="Wooten, D"/>
        <s v="Wright, R"/>
        <s v="Wrigley, C"/>
        <s v="Wu, JC"/>
        <s v="Wu, KJ"/>
        <s v="Wu, LX"/>
        <s v="Wu, M"/>
        <s v="Wu, T"/>
        <s v="Wunsch, LP"/>
        <s v="Xiao, HX"/>
        <s v="Xie, CY"/>
        <s v="Xiong, Z"/>
        <s v="Xu, C"/>
        <s v="Xu, LS"/>
        <s v="Xu, MH"/>
        <s v="Xu, SX"/>
        <s v="Xu, Y"/>
        <s v="Yang, DY"/>
        <s v="Yang, SL"/>
        <s v="Yao, JL"/>
        <s v="Yao, JT"/>
        <s v="Yao, X"/>
        <s v="Ye, XW"/>
        <s v="Yehudi, Y"/>
        <s v="Yeremenko, DV"/>
        <s v="Ylinen, M"/>
        <s v="Yu, HY"/>
        <s v="Yu, JM"/>
        <s v="Yu, SC"/>
        <s v="Yu, T"/>
        <s v="Yu, YB"/>
        <s v="Yuldashev, S"/>
        <s v="Zaharía, AM"/>
        <s v="Zaiser, M"/>
        <s v="Zapperi, S"/>
        <s v="Zara, KRD"/>
        <s v="Zarauza-Castro, J"/>
        <s v="Zardini, A"/>
        <s v="Zarpelao, BB"/>
        <s v="Zavadskas, EK"/>
        <s v="Zavala, AMM"/>
        <s v="Zenner, AM"/>
        <s v="Zhang, BC"/>
        <s v="Zhang, FJ"/>
        <s v="Zhang, GQ"/>
        <s v="Zhang, H"/>
        <s v="Zhang, HJ"/>
        <s v="Zhang, JZ"/>
        <s v="Zhang, KW"/>
        <s v="Zhang, M"/>
        <s v="Zhang, RL"/>
        <s v="Zhang, SX"/>
        <s v="Zhang, W"/>
        <s v="Zhang, XX"/>
        <s v="Zhang, Y"/>
        <s v="Zhang, YY"/>
        <s v="Zhang, ZP"/>
        <s v="Zhao, J"/>
        <s v="Zhao, SK"/>
        <s v="Zhou, J"/>
        <s v="Zhou, LY"/>
        <s v="Zhu, F"/>
        <s v="Zhu, JK"/>
        <s v="Zhu, SP"/>
        <s v="Zink, A"/>
        <s v="Zou, TT"/>
        <s v="Zou, YW"/>
        <s v="Zubair, A"/>
        <s v="Zuntini, JI"/>
        <s v="Zurdo, RP"/>
        <s v="Zweig, M"/>
        <s v="Abdullahi, I"/>
        <s v="Abou Haidar, L"/>
        <s v="Adam, M"/>
        <s v="Adner, R"/>
        <s v="Agrawal, A"/>
        <s v="Akkizidis, I"/>
        <s v="Aldoy, N"/>
        <s v="Alexander, B"/>
        <s v="Ali, FH"/>
        <s v="Ali, Z"/>
        <s v="Alizadeh, T"/>
        <s v="Almeida, AO"/>
        <s v="Almeida, S"/>
        <s v="AlNuaimi, BK"/>
        <s v="Alqahtani, M"/>
        <s v="Alterazi, HA"/>
        <s v="Andrade, EL"/>
        <s v="Andreacola, F"/>
        <s v="Ano, B"/>
        <s v="Antoniazzi, L"/>
        <s v="Appolloni, A"/>
        <s v="Aravena, M"/>
        <s v="Arayesh, MB"/>
        <s v="Arostegi, M"/>
        <s v="Ashton, H"/>
        <s v="Aspiranti, T"/>
        <s v="Atencio, P"/>
        <s v="Atici, SG"/>
        <s v="Attwooll, D"/>
        <s v="AUTORES"/>
        <s v="Azaïs, F"/>
        <s v="Azarova, AA"/>
        <s v="Babkin, A"/>
        <s v="Baldassarre, D"/>
        <s v="Balhara, YPS"/>
        <s v="Baraitser, P"/>
        <s v="Barbalho, SCM"/>
        <s v="Barile, D"/>
        <s v="Barns, S"/>
        <s v="Baslyman, M"/>
        <s v="Batt, C"/>
        <s v="Baxter, J"/>
        <s v="Behbehani, D"/>
        <s v="Beijer, TR"/>
        <s v="Beltran, CYB"/>
        <s v="Benesová, A"/>
        <s v="Bermak, A"/>
        <s v="Bermès, E"/>
        <s v="Bertini, MJ"/>
        <s v="Bharadwaj, A"/>
        <s v="Birnbaum, ML"/>
        <s v="Blaszkowski, DAAD"/>
        <s v="Blikstad-Balas, M"/>
        <s v="Bonacini, E"/>
        <s v="Bonfanti, A"/>
        <s v="Bonfanti, S"/>
        <s v="Bonnevie, E"/>
        <s v="Boonstra, MD"/>
        <s v="Borrero, JD"/>
        <s v="Bossetta, M"/>
        <s v="Bosua, R"/>
        <s v="Botrugno, C"/>
        <s v="Bourcheix-Laporte, M"/>
        <s v="Boyd, L"/>
        <s v="Brianso, I"/>
        <s v="Brinch, M"/>
        <s v="Bucci, S"/>
        <s v="Bursic, E"/>
        <s v="Busca, L"/>
        <s v="Busco, C"/>
        <s v="Büyüközkan, G"/>
        <s v="Byiringiro, S"/>
        <s v="Calzati, S"/>
        <s v="CAMMARANO, R"/>
        <s v="Campoamor, LM"/>
        <s v="Campos, AC"/>
        <s v="Canhoto, AI"/>
        <s v="Cantone, F"/>
        <s v="Cardo, V"/>
        <s v="Carmona, KMO"/>
        <s v="Carnaby, P"/>
        <s v="Carvalho, L"/>
        <s v="Castellano, CM"/>
        <s v="Castillo, JGD"/>
        <s v="Cauffman, C"/>
        <s v="Cavalieri, M"/>
        <s v="Centobelli, P"/>
        <s v="Cepa, K"/>
        <s v="Cha, H"/>
        <s v="Chanias, S"/>
        <s v="Chapano, M"/>
        <s v="Chawla, RN"/>
        <s v="Chen, LZ"/>
        <s v="Chen, QM"/>
        <s v="Cheng, L"/>
        <s v="Chester, J"/>
        <s v="Chib, A"/>
        <s v="Childers, CC"/>
        <s v="Christodoulou, IP"/>
        <s v="Chu, SC"/>
        <s v="Chukwu, E"/>
        <s v="Ciccone, A"/>
        <s v="Cillo, P"/>
        <s v="Cinelli, G"/>
        <s v="Clark, S"/>
        <s v="CO-AUTOR3"/>
        <s v="CO-AUTOR4"/>
        <s v="Colbjornsen, T"/>
        <s v="Corning, GP"/>
        <s v="Correani, A"/>
        <s v="Costales, JR"/>
        <s v="Coutu, DL"/>
        <s v="Coyne, B"/>
        <s v="Cunningham, D"/>
        <s v="Czauderna, A"/>
        <s v="da Silva, MR"/>
        <s v="Dal Forno, AJ"/>
        <s v="Dalton, B"/>
        <s v="Dameri, RP"/>
        <s v="Davarpanah, MR"/>
        <s v="Dávila-Morán, RC"/>
        <s v="Davis, JL"/>
        <s v="de Amorim, LA"/>
        <s v="de Araujo, EM"/>
        <s v="de Barros, MJF"/>
        <s v="De Bernardi, P"/>
        <s v="de Kervenoael, R"/>
        <s v="de la Fuente, MH"/>
        <s v="de la Selva, ARA"/>
        <s v="de las Heras-Pedrosa, C"/>
        <s v="De Venuto, D"/>
        <s v="Dechaux, J"/>
        <s v="Delgado, F"/>
        <s v="Demeter, K"/>
        <s v="Deng, TY"/>
        <s v="Dennis, EE"/>
        <s v="Dharod, A"/>
        <s v="Díaz, AC"/>
        <s v="Díaz, EF"/>
        <s v="Díaz, GR"/>
        <s v="Diaz, R"/>
        <s v="Ding, DF"/>
        <s v="Ding, HF"/>
        <s v="Ditchburn, JL"/>
        <s v="Dittrich, F"/>
        <s v="DJUKANOVIC, M"/>
        <s v="Doellgast, V"/>
        <s v="Dold, L"/>
        <s v="Dombrowski, T"/>
        <s v="Donida, B"/>
        <s v="Dueñas, PPM"/>
        <s v="Dumbrell, J"/>
        <s v="Dutta, G"/>
        <s v="Dwivedi, YK"/>
        <s v="Edelmann, N"/>
        <s v="Egodawele, M"/>
        <s v="El Said, GR"/>
        <s v="Elangovan, P"/>
        <s v="Elblaus, L"/>
        <s v="Eller, R"/>
        <s v="Ellström, D"/>
        <s v="Enrique, DV"/>
        <s v="Erjavec, J"/>
        <s v="Escoffier, N"/>
        <s v="Estrada, IC"/>
        <s v="Evans, JM"/>
        <s v="Evens, T"/>
        <s v="Fabac, R"/>
        <s v="Fan, XY"/>
        <s v="Fandiño, YJ"/>
        <s v="Fehér, K"/>
        <s v="Ferlin, EP"/>
        <s v="Fernandes, N"/>
        <s v="Fernández-Peña, E"/>
        <s v="Fernandez-Vidal, J"/>
        <s v="Ferretti, F"/>
        <s v="Fielden, K"/>
        <s v="Fink, RL"/>
        <s v="Flew, T"/>
        <s v="Flores, CC"/>
        <s v="Flores-Vivar, JM"/>
        <s v="Fonseca, DLD"/>
        <s v="Foria, F"/>
        <s v="Forliano, C"/>
        <s v="Foster, C"/>
        <s v="Fowler, EF"/>
        <s v="Frishammar, J"/>
        <s v="Fumagalli, LAW"/>
        <s v="Gain, U"/>
        <s v="Gainous, J"/>
        <s v="Gajdzik, B"/>
        <s v="Gallardo-Rincón, H"/>
        <s v="Games, FJG"/>
        <s v="Gandon, C"/>
        <s v="García, A"/>
        <s v="Garcia-Lomas, JD"/>
        <s v="García-Martín, I"/>
        <s v="Gartner, J"/>
        <s v="Gault, J"/>
        <s v="Gaynor, SW"/>
        <s v="Gebretekle, YT"/>
        <s v="Gerardi, G"/>
        <s v="Gezer, M"/>
        <s v="Giannini, T"/>
        <s v="Giannopoulos, G"/>
        <s v="Giulierini, P"/>
        <s v="Godoy-Martín, FJ"/>
        <s v="Goldstein, K"/>
        <s v="Gon, M"/>
        <s v="González-Neira, A"/>
        <s v="Gordon-Isasi, J"/>
        <s v="Grau, BE"/>
        <s v="Greco, AN"/>
        <s v="Grimaldi, D"/>
        <s v="Guio, J"/>
        <s v="Gulati, S"/>
        <s v="Gull, H"/>
        <s v="Guo, S"/>
        <s v="Guo, Y"/>
        <s v="Gurung, S"/>
        <s v="Gutiérrez-Leefmans, C"/>
        <s v="Guttieres, D"/>
        <s v="Guzek, D"/>
        <s v="Habelsberger, BEM"/>
        <s v="Hall, F"/>
        <s v="Hall, N"/>
        <s v="Han, BR"/>
        <s v="Hänninen, M"/>
        <s v="Hartmann, H"/>
        <s v="Harvey, S"/>
        <s v="He, ZX"/>
        <s v="Helbig, N"/>
        <s v="Hensel, PG"/>
        <s v="Hestres, LE"/>
        <s v="Ho, WR"/>
        <s v="Hobley, J"/>
        <s v="Högberg, K"/>
        <s v="Hornuf, L"/>
        <s v="Horváth, D"/>
        <s v="Hoyk, E"/>
        <s v="Hu, LL"/>
        <s v="Huda, M"/>
        <s v="Hurtado-Mazeyra, A"/>
        <s v="Hutchinson, J"/>
        <s v="Iaia, L"/>
        <s v="Ibidunni, AS"/>
        <s v="Inouye, AS"/>
        <s v="Ivanova, N"/>
        <s v="Jain, B"/>
        <s v="Javornik, A"/>
        <s v="Jenkins, K"/>
        <s v="Jerome, RN"/>
        <s v="Jiang, ZH"/>
        <s v="Jiao, KD"/>
        <s v="Jiménez-Consuegra, MA"/>
        <s v="Jin, J"/>
        <s v="Jung, CM"/>
        <s v="Kalra, A"/>
        <s v="Kamariotou, M"/>
        <s v="Kandiuk, M"/>
        <s v="Karekla, M"/>
        <s v="Karimikia, H"/>
        <s v="Katz, A"/>
        <s v="Kay, J"/>
        <s v="Kerres, M"/>
        <s v="Keskin, B"/>
        <s v="Khalili-Mahani, N"/>
        <s v="Khan, IA"/>
        <s v="Kiernan, A"/>
        <s v="Kilcoyne, A"/>
        <s v="Kim, D"/>
        <s v="Kim, DH"/>
        <s v="Kim, K"/>
        <s v="Kimura, M"/>
        <s v="Kiran, F"/>
        <s v="Knudsen, KE"/>
        <s v="Ko, A"/>
        <s v="Kohli, R"/>
        <s v="Koman, G"/>
        <s v="Kondratieva, NB"/>
        <s v="König, PD"/>
        <s v="Konigorski, S"/>
        <s v="Kontic, L"/>
        <s v="Kontu, H"/>
        <s v="Korucuk, S"/>
        <s v="Kosnik, MB"/>
        <s v="Krajnovic, A"/>
        <s v="Kreiss, D"/>
        <s v="Kroksmark, T"/>
        <s v="Krona, M"/>
        <s v="Kudyba, S"/>
        <s v="Lane, J"/>
        <s v="Lardón-López, ME"/>
        <s v="Latifi, N"/>
        <s v="Lavonen, J"/>
        <s v="Le, QH"/>
        <s v="Leao, P"/>
        <s v="Le-Dain, MA"/>
        <s v="Lee, HYW"/>
        <s v="Leiva, JJ"/>
        <s v="Lema, MLD"/>
        <s v="Lerario, A"/>
        <s v="Lestari, D"/>
        <s v="Letsio, A"/>
        <s v="Li, JK"/>
        <s v="Li, RY"/>
        <s v="Lim, DH"/>
        <s v="Limongi, R"/>
        <s v="Lin, AW"/>
        <s v="Liu, LJ"/>
        <s v="Liu, QR"/>
        <s v="Liu, YL"/>
        <s v="Llanes, RP"/>
        <s v="Lobillo-Mora, G"/>
        <s v="Longhi-Heredia, SA"/>
        <s v="Lopera-Zuluaga, EC"/>
        <s v="Lopez, CA"/>
        <s v="López-López, D"/>
        <s v="Lotriet, RA"/>
        <s v="Lotto, M"/>
        <s v="Loudini, M"/>
        <s v="Lousa, MD"/>
        <s v="Luo, T"/>
        <s v="Luo, XW"/>
        <s v="Luque, SG"/>
        <s v="Machline-Carrion, MJ"/>
        <s v="Mahrenbach, LC"/>
        <s v="Maier, CD"/>
        <s v="Majdalawieh, M"/>
        <s v="Mal'ko, AV"/>
        <s v="Manita, R"/>
        <s v="Marcelin, JR"/>
        <s v="Marcut, M"/>
        <s v="Marino-Romero, JA"/>
        <s v="Markarian, J"/>
        <s v="Markaryan, M"/>
        <s v="Martin, NM"/>
        <s v="Martincevic, I"/>
        <s v="Martínez, M"/>
        <s v="Martínez, ON"/>
        <s v="Marty, PF"/>
        <s v="Masella, M"/>
        <s v="Massa, A"/>
        <s v="Massis, BE"/>
        <s v="Mastromartino, B"/>
        <s v="Mata, CC"/>
        <s v="Mathieson, J"/>
        <s v="Matías, KMR"/>
        <s v="Matricano, D"/>
        <s v="Matthyssens, P"/>
        <s v="McAnulty, JD"/>
        <s v="McCarthy, P"/>
        <s v="McCarthy, SE"/>
        <s v="McCombs, GM"/>
        <s v="McGee, B"/>
        <s v="McGillivray, L"/>
        <s v="McGrath, R"/>
        <s v="McIntyre, DP"/>
        <s v="McNulty, E"/>
        <s v="McShane, I"/>
        <s v="Medel, IL"/>
        <s v="Meessen, B"/>
        <s v="Meinich-Bache, O"/>
        <s v="Metaxiotis, K"/>
        <s v="Mhlungu, NSM"/>
        <s v="Miettinen, E"/>
        <s v="Mihu, C"/>
        <s v="Mikalef, P"/>
        <s v="Mikheev, A"/>
        <s v="Mintz, O"/>
        <s v="Miravete, ADF"/>
        <s v="Mithas, S"/>
        <s v="Mittrowann, A"/>
        <s v="Moen, LA"/>
        <s v="Montereale, L"/>
        <s v="Morales, MAA"/>
        <s v="Morales-Caporal, R"/>
        <s v="Morán, AMI"/>
        <s v="Mosch, P"/>
        <s v="Motta, FMD"/>
        <s v="Mouzykant, VL"/>
        <s v="Mulari, H"/>
        <s v="Mummery, J"/>
        <s v="Munro, M"/>
        <s v="Murayama, M"/>
        <s v="Mussinelli, C"/>
        <s v="Nakamura, CA"/>
        <s v="Nas, A"/>
        <s v="Navarro, JT"/>
        <s v="Nayak, B"/>
        <s v="Nazarko, A"/>
        <s v="Negash, YT"/>
        <s v="Nelson, R"/>
        <s v="Nematollahi, S"/>
        <s v="Ng, PC"/>
        <s v="Nicolau, C"/>
        <s v="Nikitenko, V"/>
        <s v="Nikopoulou, M"/>
        <s v="Ning, Y"/>
        <s v="Nishanov, AK"/>
        <s v="Nixon, B"/>
        <s v="Noehrer, L"/>
        <s v="Obar, JA"/>
        <s v="Ogrean, C"/>
        <s v="Okada, SI"/>
        <s v="O'Neill, N"/>
        <s v="Orton, M"/>
        <s v="Ovrelid, E"/>
        <s v="Oyarce-Cruz, J"/>
        <s v="Oztig, LI"/>
        <s v="Pakkanen, J"/>
        <s v="Paladines, F"/>
        <s v="Palmer, L"/>
        <s v="Pandita, D"/>
        <s v="Panduru, DA"/>
        <s v="Papí-Gálvez, N"/>
        <s v="Parrinello, S"/>
        <s v="Partridge, SR"/>
        <s v="Passos, L"/>
        <s v="Payutvorased, R"/>
        <s v="Peñalba, EH"/>
        <s v="Perboli, G"/>
        <s v="Perdana, A"/>
        <s v="Pereira, AC"/>
        <s v="Peres-Neto, L"/>
        <s v="Pérez, EG"/>
        <s v="Pesce, D"/>
        <s v="Pesci, A"/>
        <s v="Peter, MK"/>
        <s v="Pettersson, K"/>
        <s v="Phelps, LW"/>
        <s v="Piccoli, G"/>
        <s v="Pierce, P"/>
        <s v="Pilares, ICA"/>
        <s v="Pinto, DJA"/>
        <s v="Pires, DS"/>
        <s v="Pirni, A"/>
        <s v="Piskorski, MJ"/>
        <s v="Pitieiro-Oterol, T"/>
        <s v="Plombon, S"/>
        <s v="Pompili, I"/>
        <s v="Ponis, ST"/>
        <s v="Popova, I"/>
        <s v="Porfírio, JA"/>
        <s v="Pourmorshed, S"/>
        <s v="Powers, M"/>
        <s v="Pradana, M"/>
        <s v="Prado, E"/>
        <s v="Premat, C"/>
        <s v="Priharsari, D"/>
        <s v="Proksch, D"/>
        <s v="Punín, MI"/>
        <s v="Qi, PP"/>
        <s v="Qi, YD"/>
        <s v="Rabold, M"/>
        <s v="Radanliev, P"/>
        <s v="Rahrovani, Y"/>
        <s v="Raj, A"/>
        <s v="Raja, M"/>
        <s v="Ramadan, Z"/>
        <s v="Rane, SB"/>
        <s v="Reddy, AVJ"/>
        <s v="Reggi, L"/>
        <s v="Remané, G"/>
        <s v="Ren, CM"/>
        <s v="Ren, XM"/>
        <s v="Ren, Y"/>
        <s v="Rendina, HJ"/>
        <s v="Reynolds, CJ"/>
        <s v="Ribeiro, SPM"/>
        <s v="Ribeiro, SS"/>
        <s v="Ribeiro-Navarrete, B"/>
        <s v="Rich, E"/>
        <s v="Richter, JG"/>
        <s v="Ritala, P"/>
        <s v="Rodgers, S"/>
        <s v="Rodríguez, YG"/>
        <s v="Rodríguez-Andrés, R"/>
        <s v="Rodríguez-Bolaños, R"/>
        <s v="Roesler, DA"/>
        <s v="Roszkowska, D"/>
        <s v="Ru, J"/>
        <s v="Rumsfeld, JS"/>
        <s v="Rundel, C"/>
        <s v="Rusly, FH"/>
        <s v="Ruttkay, Z"/>
        <s v="Ruvalcaba-Gomez, EA"/>
        <s v="Ryu, G"/>
        <s v="Saihi, A"/>
        <s v="Sakas, DP"/>
        <s v="Sala, JFA"/>
        <s v="Salvador, E"/>
        <s v="Sampugnaro, R"/>
        <s v="Sánchez, MA"/>
        <s v="Sándor, A"/>
        <s v="Sandoval-Almazán, R"/>
        <s v="Sangil, L"/>
        <s v="Santana, YP"/>
        <s v="Santos, J"/>
        <s v="Saura, JR"/>
        <s v="Schachtner, C"/>
        <s v="Schallmo, D"/>
        <s v="Scheepers, R"/>
        <s v="Schönermark, MP"/>
        <s v="Schubert, O"/>
        <s v="Schulte-Derne, D"/>
        <s v="Schutte, J"/>
        <s v="Scupola, A"/>
        <s v="Seidel, S"/>
        <s v="Senna, PP"/>
        <s v="Seo, H"/>
        <s v="Shahi, C"/>
        <s v="Shao, GS"/>
        <s v="Sharon, T"/>
        <s v="Shepherd, T"/>
        <s v="Shojaei, RS"/>
        <s v="Siakas, K"/>
        <s v="Siefring, J"/>
        <s v="Silva, C"/>
        <s v="Silvaggi, A"/>
        <s v="Siokas, G"/>
        <s v="Slaatta, T"/>
        <s v="Smith, P"/>
        <s v="Solar, BM"/>
        <s v="Solima, L"/>
        <s v="Soliman, M"/>
        <s v="Soloaga, PD"/>
        <s v="Solovey, VD"/>
        <s v="Sonar, H"/>
        <s v="Sorrentino, C"/>
        <s v="Staggers, N"/>
        <s v="Stewart, H"/>
        <s v="Stewart, K"/>
        <s v="Stiakakis, E"/>
        <s v="Stone, M"/>
        <s v="Straker, K"/>
        <s v="Suárez-Carballo, F"/>
        <s v="Suárez-Obando, F"/>
        <s v="Suing, A"/>
        <s v="Taloni, A"/>
        <s v="Tamborrino, R"/>
        <s v="Tan, YH"/>
        <s v="Tandazo, CVG"/>
        <s v="Tantscher, D"/>
        <s v="Thomas, A"/>
        <s v="Thomas, E"/>
        <s v="Thompson, P"/>
        <s v="Thurman, N"/>
        <s v="Tiernan, P"/>
        <s v="Tomas, K"/>
        <s v="Tomasi, S"/>
        <s v="Tommasi, BL"/>
        <s v="Torres, NS"/>
        <s v="Torrijos, JLR"/>
        <s v="Tremblay-Wragg, É"/>
        <s v="Trusova, NV"/>
        <s v="Trzaska, R"/>
        <s v="Tsai, ZR"/>
        <s v="Tuerk, A"/>
        <s v="Ukko, J"/>
        <s v="Urbano, D"/>
        <s v="Üsküp, DK"/>
        <s v="Valencia, JT"/>
        <s v="Valverde, MTC"/>
        <s v="Van Audenhove, L"/>
        <s v="van Tonder, C"/>
        <s v="Van Zeebroeck, N"/>
        <s v="Váne, J"/>
        <s v="Vasicek, Z"/>
        <s v="Velasco-Molpeceres, A"/>
        <s v="Venuto, D"/>
        <s v="Verdú, JL"/>
        <s v="Verhovnik, J"/>
        <s v="Vieira, VA"/>
        <s v="Vila, TD"/>
        <s v="Voda, AI"/>
        <s v="Von Bülow, M"/>
        <s v="von Kutzschenbach, M"/>
        <s v="Wang, HC"/>
        <s v="Wang, HJ"/>
        <s v="Wang, MK"/>
        <s v="Wang, SN"/>
        <s v="Wang, YR"/>
        <s v="Wang, YY"/>
        <s v="Webb, JB"/>
        <s v="Weerabahu, WMSK"/>
        <s v="Wegmann, E"/>
        <s v="Wessel, M"/>
        <s v="Whyley, D"/>
        <s v="Wong, P"/>
        <s v="Wright, C"/>
        <s v="Wu, SH"/>
        <s v="Xiao, JH"/>
        <s v="Xie, XM"/>
        <s v="Xu, JW"/>
        <s v="Xu, YT"/>
        <s v="Yan, MR"/>
        <s v="Yao, Q"/>
        <s v="Yarbro, J"/>
        <s v="Yeow, A"/>
        <s v="Yevtodyeva, MG"/>
        <s v="Yin, WL"/>
        <s v="Yoo, YJ"/>
        <s v="Youssofi, A"/>
        <s v="Yu, HL"/>
        <s v="Yu, JT"/>
        <s v="Yudaruddin, R"/>
        <s v="Yun, K"/>
        <s v="Zaman, M"/>
        <s v="Zamora, GM"/>
        <s v="Zhao, X"/>
        <s v="Zheng, R"/>
        <s v="Zheng, WM"/>
        <s v="Zhou, N"/>
        <s v="Zhou, X"/>
        <s v="Zhu, XM"/>
        <s v="Ziehfreund, S"/>
        <s v="Ziemssen, T"/>
        <s v="Zimand Sheiner, D"/>
        <s v="Zimmermann, L"/>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stavo Cruz" refreshedDate="45250.401510069445" createdVersion="5" refreshedVersion="5" minRefreshableVersion="3" recordCount="675" xr:uid="{00000000-000A-0000-FFFF-FFFF01000000}">
  <cacheSource type="worksheet">
    <worksheetSource ref="A1:BU1048576" sheet="savedrecs" r:id="rId2"/>
  </cacheSource>
  <cacheFields count="74">
    <cacheField name="Numero" numFmtId="0">
      <sharedItems containsString="0" containsBlank="1" containsNumber="1" containsInteger="1" minValue="1" maxValue="674" count="67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m/>
      </sharedItems>
    </cacheField>
    <cacheField name="Publication Type" numFmtId="0">
      <sharedItems containsBlank="1"/>
    </cacheField>
    <cacheField name="Authors" numFmtId="0">
      <sharedItems containsBlank="1" count="665" longText="1">
        <s v="Senna, PP; Barros, AC; Roca, JB; Azevedo, A"/>
        <s v="Guio, J; Melo, A; Saldarriaga, MM; Fuentes, C; Tíjaro-Ovalle, N; Borda, A; Guzmán, Y; Bolaños, E; Quintero, G; Duarte, M; Agudelo, C; Aparicio, S; Cuellar, G; Bernal, P; Paéz, M; Rueda, E; Rodriguez, A; Alvarado, F; Pinzón, O; Romero, M"/>
        <s v="Youssofi, A; Jeannot, F; Jongmans, E; Dampérat, M"/>
        <s v="Wright, C; Kelly, JT; Byrnes, J; Campbell, KL; Healy, R; Musial, J; Hamilton, K"/>
        <s v="Ren, XM; Jing, H; Zhang, YY"/>
        <s v="Ren, Y; Wu, KJ; Lim, MK; Tseng, ML"/>
        <s v="Chawla, RN; Goyal, P; Saxena, DK"/>
        <s v="Ryu, G; Kim, GB; Yu, T; Lee, SY"/>
        <s v="Bosua, R; Evans, N"/>
        <s v="Priharsari, D; Abedin, B; Burdon, S; Clegg, S; Clay, J"/>
        <s v="Abdullahi, I; Watters, C; Kapogiannis, G; Lemanski, MK"/>
        <s v="Botrugno, C"/>
        <s v="Fernandes, N; Casteleiro-Pitrez, J"/>
        <s v="Li, RY; Zhang, KW; Li, SM; Zhang, Y; Tian, JX; Lu, ZC; Li, HQ; Wang, LY; Wan, XH; Zhang, FJ; Li, L; Jin, ZB; Wang, NL; Liu, HR"/>
        <s v="Parrinello, S; Picchio, F"/>
        <s v="Qi, PP; Xu, C; Wang, Q"/>
        <s v="Wang, HJ; Jiao, SP; Bu, K; Wang, YB; Wang, YX"/>
        <s v="Ribeiro-Navarrete, B; López-Cabarcos, MA; Piñeiro-Chousa, J; Simón-Moya, V"/>
        <s v="Erjavec, J; Stemberger, MI; Jaklic, J"/>
        <s v="Negash, YT; Sarmiento, LSC; Tseng, SW; Lim, MK; Tseng, ML"/>
        <s v="Calzati, S; Van Loenen, B"/>
        <s v="Sharon, T; Gellert, R"/>
        <s v="Raja, M; Kymre, IG; Bjerkan, J; Galvin, KT; Uhrenfeldt, L"/>
        <s v="Lee, HYW"/>
        <s v="Plombon, S; Rudin, RS; Flores, JS; Goolkasian, G; Sousa, J; Rodriguez, J; Lipsitz, S; Foer, D; Dalal, AK"/>
        <s v="Le, QH; Tan, LP; Hoang, TH"/>
        <s v="Wegmann, E; Schiebener, J; Brand, M"/>
        <s v="Jiang, ZH; Shi, JR"/>
        <s v="Passos, L; de Vasconcellos, AB; Kanashiro, L; Kina, S"/>
        <s v="Liu, QR; Liu, JM; He, ZP"/>
        <s v="Sonar, H; Ghag, N; Kharde, Y; Singodia, M"/>
        <s v="Gezer, M; Hunter, B; Hocking, JS; Manski-Nankervis, JA; Goller, JL"/>
        <s v="Baldassarre, D; Iacoviello, L; Baetta, R; Roncaglioni, MC; Condorelli, G; Remuzzi, G; Gensini, G; Frati, L; Ricciardi, W; Conaldi, PG; Uccelli, A; Blandini, F; Bosari, S; Scambia, G; Fini, M; Di Malta, A; Amato, M; Veglia, F; Bonomi, A; Klersy, C; Colazzo, F; Pengo, M; Gorini, F; Auteri, L; Ferrante, G; Baviera, M; Ambrosio, G; Catapano, A; Gialluisi, A; Malavazos, AE; Castelvecchio, S; Corsi-Romanelli, MM; Cardani, R; La Rovere, MT; Agnese, V; Pane, B; Prati, D; Spinardi, L; Liuzzo, G; Arbustini, E; Volterrani, M; Visconti, M; Werba, JP; Genovese, S; Bilo, G; Invitti, C; Di Blasio, A; Lombardi, C; Faini, A; Rosa, D; Ojeda-Fernández, L; Foresta, A; De Curtis, A; Di Castelnuovo, A; Scalvini, S; Pierobon, A; Gorini, A; Valenti, L; Luzi, L; Racca, A; Bandi, M; Tremoli, E; Menicanti, L; Parati, G; Pompilio, G"/>
        <s v="Lerario, A"/>
        <s v="Luo, T; Xie, CY; Wu, JC; Zhu, JK; Yu, HY"/>
        <s v="Machline-Carrion, MJ; Girotto, AN; Nieri, J; Pereira, PM; Monfardini, F; Forestiero, F; Raupp, P; Roveda, F; Santo, K; Berwanger, O; Santos, RD"/>
        <s v="McCarthy, SE; Hogan, C; Jenkins, L; Schwanberg, L; Williams, DJ; Mellon, L; Walsh, A; Keane, T; Rafter, N"/>
        <s v="Morán, AMI; Gómez, LKA; Villanueva, LKB; Hernández, SDA"/>
        <s v="Mosch, P; Majocco, P; Obermaier, R"/>
        <s v="Nazarko, A; Fedotov, O"/>
        <s v="Bonfanti, A; Vigolo, V; Vannucci, V; Brunetti, F"/>
        <s v="Soloaga, PD; Dominguez, GM; Zhou, J"/>
        <s v="Dittrich, F; Albrecht, UV"/>
        <s v="Kiernan, A; Boland, F; Moneley, D; Doyle, F; Harkin, DW"/>
        <s v="Gaynor, SW; Gimpel, JG"/>
        <s v="Cavalieri, M; Ferrante, L; Martorana, M; Rizzo, I"/>
        <s v="Lestari, D; Ma, SG; Jun, AL"/>
        <s v="Aspiranti, T; Ali, Q; Amaliah, I"/>
        <s v="Bursic, E; Golja, T; Benassi, HM"/>
        <s v="Ren, CM; Lin, XX"/>
        <s v="Kraus, S; Vonmetz, K; Orlandi, LB; Zardini, A; Rossignoli, C"/>
        <s v="Behbehani, D; Komninos, N; Al-Begain, K; Rajarajan, M"/>
        <s v="Borrero, JD; Borrero-Domínguez, JD"/>
        <s v="Urbano, D; Aparicio, S; Scott, S; Martinez-Moya, D"/>
        <s v="Fan, XY; Zhao, SK; Zhang, BC; Wang, S; Shao, D"/>
        <s v="Giannopoulos, G; Podimatas, I; Stephanopoulos, G"/>
        <s v="Hurtado-Mazeyra, A; Núñez-Pacheco, R; Alejandro-Oviedo, O"/>
        <s v="Ivanova, N; Nazarko, S; Denysenko, T; Kublitska, O; Kononenko, S"/>
        <s v="Sakas, DP; Giannakopoulos, NT; Nasiopoulos, DK; Kanellos, N; Tsoulfas, GT"/>
        <s v="Pierce, P; Whitten, M; Hillman, S"/>
        <s v="Yao, Q; Tang, HJ; Liu, YQ; Boadu, F"/>
        <s v="Mihu, C; Pitic, AG; Bayraktar, D"/>
        <s v="Schachtner, C"/>
        <s v="Ruvalcaba-Gomez, EA; Cifuentes-Faura, J"/>
        <s v="Lema, MLD; Rossi, L; Soncin, M"/>
        <s v="Dumbrell, J; Daneshvar, H; Oteo, A; Baldacchino, A; Matheson, C"/>
        <s v="Marino-Romero, JA; Palos-Sanchez, PR; Velicia-Martin, E"/>
        <s v="Khan, S; Haleem, A; Husain, Z; Samson, D; Pathak, RD"/>
        <s v="Lotto, M; Hanjahanja-Phiri, T; Padalko, H; Oetomo, A; Butt, ZA; Boger, J; Millar, J; Cruvinel, T; Morita, PP"/>
        <s v="Webb, JB; Ford, NM; Padro, MP"/>
        <s v="Pandita, D; Vapiwala, F"/>
        <s v="Cepa, K; Schildt, H"/>
        <s v="Busco, C; González, F; Aránguiz, M"/>
        <s v="Foria, F; Calicchio, M; Miceli, G"/>
        <s v="Qi, YD; Du, B; Wen, X"/>
        <s v="Navarro, JT; Santofimia, EO"/>
        <s v="Valverde, MTC; Garcia, MG; Alcaraz, PP"/>
        <s v="Li, JK; Wang, L; Nutakor, F"/>
        <s v="Fowler, EF; Franz, MM; Neumann, M; Ridout, TN; Yao, JL"/>
        <s v="Kalra, A; Itani, OS; Rostami, A"/>
        <s v="Xu, JW; Yu, YB; Zhang, M; Zhang, JZ"/>
        <s v="Atici, SG"/>
        <s v="Le-Dain, MA; Benhayoun, L; Matthews, J; Liard, M"/>
        <s v="Edelmann, N; Mergel, I; Lampoltshammer, T"/>
        <s v="Moen, LA"/>
        <s v="Nikopoulou, M; Kourouthanassis, P; Chasapi, G; Pateli, A; Mylonas, N"/>
        <s v="Rodríguez-Bolaños, R; Ramírez-Palacios, P; Bolaños, A; Lara, D; Millan, G; Gallegos-Carrillo, K; Flores, YN; Mejia, RM; Cupertino, AP; Cartujano-Barrera, F"/>
        <s v="Wang, MK; Lau, N"/>
        <s v="Agrawal, A; Thiel, R; Jain, P; Singh, V; Fischer, M"/>
        <s v="Liu, YL; Chung, HFL; Zhang, ZP; Wu, M"/>
        <s v="Forliano, C; Orlandi, LB; Zardini, A; Rossignoli, C"/>
        <s v="Tuerk, A"/>
        <s v="Cinelli, G; Croci, I; Gesualdo, F; Pandolfi, E; Miller, KP; Tozzi, AE"/>
        <s v="Egodawele, M; Sedera, D; Walton, VG; Seneviratne, D; Sooriyapperuma, B"/>
        <s v="Foria, F; Calicchio, M; Moretti, L; Loprencipe, G"/>
        <s v="Gurung, S; Jones, SS; Mehta, K; Budhwani, H; MacDonell, K; Belzer, M; Naar, S"/>
        <s v="Islam, MA; Islam, MA; Jacky, MAH; Al-Amin, M; Miah, MSU; Khan, MMI; Hossain, MI"/>
        <s v="Kim, D; Cho, KT"/>
        <s v="Medel, IL"/>
        <s v="Papí-Gálvez, N; La Parra-Casado, D"/>
        <s v="Perdana, A; Wang, TW"/>
        <s v="Rezende, DA"/>
        <s v="Roesler, DA; Rezende, DA; de Almeida, GGF"/>
        <s v="Velasco-Molpeceres, A; Zarauza-Castro, J; Pérez-Curiel, C; Mateos-González, S"/>
        <s v="Ziehfreund, S; Reifenrath, J; Wijnen-Meijer, M; Welzel, J; Sauter, F; Wecker, H; Biedermann, T; Zink, A"/>
        <s v="Babkin, A; Shkarupeta, E; Kabasheva, I; Rudaleva, I; Vicentiy, A"/>
        <s v="Yudaruddin, R"/>
        <s v="Zimmermann, L; Sobolev, M"/>
        <s v="Clark, S; Gallagher, E; Boyle, N; Barrett, M; Hughes, C; O'Malley, N; Sanchez, A; Ebuenyi, I; Smith, E; Marshall, K; O'Sullivan, K"/>
        <s v="Baxter, J; Floyd, A; Jewitt, K"/>
        <s v="Ning, Y; Li, LX; Xu, SX; Yang, SL"/>
        <s v="Barile, D; Secundo, G; Del Vecchio, P"/>
        <s v="Weerabahu, WMSK; Samaranayake, P; Nakandala, D; Lau, H; Malaarachchi, DN"/>
        <s v="Enrique, DV; Lerman, LV; de Sousa, PR; Benitez, GB; Santos, FMBC; Frank, AG"/>
        <s v="Corning, GP"/>
        <s v="Dávila-Morán, RC; Paredes, MAM; Roca, MCC; Vigil, VMA; Guzman, LCD"/>
        <s v="Korucuk, S; Aytekin, A; Ecer, F; Karamasa, Ç; Zavadskas, EK"/>
        <s v="Li, X; Wu, T; Zhang, HJ; Yang, DY"/>
        <s v="Piccoli, G; Rodriguez, J; Grover, V"/>
        <s v="Flores, CC; Rezende, DA"/>
        <s v="Gallardo-Rincón, H; Gascon, JL; Martínez-Juárez, LA; Montoya, A; Saucedo-Martínez, R; Rosales, RM; Tapia-Conyer, R"/>
        <s v="Kosnik, MB; Kephalopoulos, S; Muñoz, A; Aurisano, N; Cusinato, A; Dimitroulopoulou, S; Slobodnik, J; De Mello, J; Jeddi, MZ; Cascio, C; Ahrens, A; de Bruin, YB; Lieck, L; Fantke, P"/>
        <s v="Yun, K; Yu, JM; Liu, CY; Zhang, XX"/>
        <s v="Diaz, R; Montalvo, R"/>
        <s v="Flores-Vivar, JM; Zaharía, AM"/>
        <s v="Pourmorshed, S; Durst, S"/>
        <s v="Yevtodyeva, MG"/>
        <s v="Saihi, A; Ben-Daya, M; As'ad, R"/>
        <s v="Karimikia, H; Bradshaw, R; Singh, H; Ojo, A; Donnellan, B; Guerin, M"/>
        <s v="Christodoulou, IP; Wasim, J; Reinhardt, RJ; Ivanov, K"/>
        <s v="Ru, J; Mastan, E; Zhou, LY; Shao, CM; Zhao, J; Wang, SH; Zhu, SP"/>
        <s v="Jiao, KD; Wang, CM; Liao, MZ; Ma, J; Kang, DM; Tang, WM; Tucker, JD; Ma, W"/>
        <s v="Chen, QM; Zhang, W; Jin, NS; Wang, XC; Dai, PR"/>
        <s v="da Silva, MR; Bussador, A; Botton, JP; Zara, KRD; de Almeida, GGF; Rezende, DA"/>
        <s v="Deng, TY; Qiao, LM; Yao, X; Chen, SY; Tang, XW"/>
        <s v="Ibidunni, AS; Ayeni, AWA; Ogundana, OM; Otokiti, B; Mohalajeng, L"/>
        <s v="Nicolau, C; Nichifor, E; Munteanu, D; Barbulescu, O"/>
        <s v="Ovrelid, E"/>
        <s v="Sakas, DP; Giannakopoulos, NT; Terzi, MC; Kamperos, IDG; Nasiopoulos, DK; Reklitis, DP; Kanellos, N"/>
        <s v="Wang, YY; Guo, YD"/>
        <s v="Mikalef, P; Lemmer, K; Schaefer, C; Ylinen, M; Fjortoft, SO; Torvatn, HY; Gupta, M; Niehaves, B"/>
        <s v="Shojaei, RS; Burgess, G"/>
        <s v="Chapano, M; Mey, MR; Werner, A"/>
        <s v="Guo, Y; Zou, TT; Shan, ZW"/>
        <s v="Tamborrino, R; Patti, E; Aliberti, A; Dinler, M; Orlando, M; de Luca, C; Tondelli, S; Barrientos, F; Martin, J; Cunha, LFM; Stam, A; Nales, A; Egusquiza, A; Amirzada, Z; Pavlova, I"/>
        <s v="Cheng, L"/>
        <s v="Yin, WL"/>
        <s v="Stewart, H"/>
        <s v="Nakamura, CA; Scazufca, M; Moretti, FA; Didone, TVN; Martins, MMD; Pereira, LA; de Souza, CHQ; de Oliveira, GM; da Costa, MO; Machado, M; Bitencourt, ED; dos Santos, MS; Murdoch, J; van de Ven, P; Seward, N; Hollingworth, W; Peters, TJ; Araya, R"/>
        <s v="Alexander, B; Bellandi, N"/>
        <s v="Cillo, P; Verona, G"/>
        <s v="Ciccone, A; Suglia, P; Asprone, D; Salzano, A; Nicolella, M"/>
        <s v="de Araujo, EM; Rezende, DA; de Almeida, GGF"/>
        <s v="Hoyk, E; Szalai, A; Palkovics, A; Farkas, JZ"/>
        <s v="Koman, G; Bubeliny, O; Tumova, D; Jankal, R"/>
        <s v="Lousa, MD; Lousa, EP"/>
        <s v="Nikitenko, V; Voronkova, V; Oleksenko, R; Andriukaitiene, R; Holovii, L"/>
        <s v="Panduru, DA; Scarlat, C"/>
        <s v="Díaz, GR"/>
        <s v="Santana, YP"/>
        <s v="Byiringiro, S; Lacanienta, C; Clark, R; Evans, C; Stevens, S; Reese, M; Ouyang, P; Terkowitz, M; Weston, C; Galiatsatos, P; Vazquez, MG; Luthardt, FW; Himmelfarb, CRD"/>
        <s v="Ali, FH; Bandi, S"/>
        <s v="Gandon, C; Gricourt, Y; Thomas, M; Garnaud, B; Elhaj, M; Boisson, C; Boudemaghe, T; Jaber, S; Claret, PG; Cuvillon, P"/>
        <s v="Doellgast, V"/>
        <s v="de Amorim, LA; Sousa, BB; Dias, AL; Santos, VR"/>
        <s v="de las Heras-Pedrosa, C; Iglesias-Sánchez, PP; Jambrino-Maldonado, C; López-Delgado, P; Galarza-Fernández, E"/>
        <s v="Naraine, ML; Thompson, A; Lachance, EL; Séguin, B; Taks, M; Parent, MM; Hoye, R"/>
        <s v="Lardón-López, ME; Martín-Rojas, R; García-Morales, VJ"/>
        <s v="Wang, YR"/>
        <s v="Khalili-Mahani, N; Woods, S; Holowka, EM; Pahayahay, A; Roy, M"/>
        <s v="Remané, G; Schneider, S; Hanelt, A"/>
        <s v="Weerabahu, WMSK; Samaranayake, P; Nakandala, D; Hurriyet, H"/>
        <s v="Wang, SN; Lin, DD"/>
        <s v="Centobelli, P; Cerchione, R; Esposito, E; Passaro, R; Quinto, I"/>
        <s v="Fabac, R"/>
        <s v="Schallmo, D; Williams, CA; Tidd, J"/>
        <s v="Fernandez-Vidal, J; Perotti, FA; Gonzalez, R; Gasco, J"/>
        <s v="Schulte-Derne, D; Lehmann, C"/>
        <s v="Senna, PP; Ferreira, LMDF; Barros, AC; Roca, JB; Magalhaes, V"/>
        <s v="Li, L"/>
        <s v="Konigorski, S; Wernicke, S; Slosarek, T; Zenner, AM; Strelow, N; Ruether, DF; Henschel, F; Manaswini, M; Pottbaecker, F; Edelman, JA; Owoyele, B; Danieletto, M; Golden, E; Zweig, M; Nadkarni, GN; Boettinger, E"/>
        <s v="Üsküp, DK; Nieto, O; Rosenberg-Carlson, E; Lee, SJ; Milburn, NG; Brooks, RA"/>
        <s v="Garcia-Lomas, JD; Palacios, M; Zurdo, RP"/>
        <s v="Massa, A; Anzera, G"/>
        <s v="Chukwu, E; Garg, L; Foday, E; Konomanyi, A; Wright, R; Smart, F"/>
        <s v="Ferretti, F"/>
        <s v="Gulati, S; Grover, A"/>
        <s v="Lotto, M; Jorge, OS; Menezes, TS; Ramalho, AM; Oliveira, TM; Bevilacqua, F; Cruvinel, T"/>
        <s v="Pilares, ICA; Azam, S; Akbulut, S; Jonkman, M; Shanmugam, B"/>
        <s v="Zhu, XM; Liu, Y"/>
        <s v="Gartner, J; Maresch, D; Tierney, R"/>
        <s v="Birnbaum, ML; Garrett, C; Baumel, A; Germano, NT; Lee, CY; Sosa, D; Ngo, H; Fox, KH; Dixon, L; Kane, JM"/>
        <s v="Marcelin, JR; del Rio, C; Spec, A; Swartz, TH"/>
        <s v="Nematollahi, S; Minter, DJ; Barlow, B; Nolan, NS; Spicer, JO; Wooten, D; Cortes-Penfield, N; Barlow, A; Chavez, MA; McCarty, T; Abdoler, E; Escota, GV"/>
        <s v="Huda, M"/>
        <s v="Pradana, M; Silvianita, A; Syarifuddin, S; Renaldi, R"/>
        <s v="Zheng, R; Li, Z; Na, S"/>
        <s v="Luo, XW; Yu, SC"/>
        <s v="Katz, A"/>
        <s v="Alqahtani, M; Albahar, MA"/>
        <s v="Díaz, AC; Fernández, TD; Hernández, GA"/>
        <s v="Kim, K; Kim, B"/>
        <s v="Majdalawieh, M; Khan, S"/>
        <s v="McGillivray, L; Gan, DZQ; Wong, Q; Han, J; Hetrick, S; Christensen, H; Torok, M"/>
        <s v="Sakas, DP; Giannakopoulos, NT; Kanellos, N; Tryfonopoulos, C"/>
        <s v="Valencia, JT; Filián, JF"/>
        <s v="Högberg, K; Willermark, S"/>
        <s v="Partridge, SR; Reece, L; Sim, KA; Todd, A; Jia, SS; Raeside, R; Schirmer, T; Phongsavan, P; Redfern, J"/>
        <s v="Li, LX"/>
        <s v="Dal Forno, AJ; Bataglini, WV; Steffens, F; de Souza, AAU"/>
        <s v="Liu, LJ; Fan, Q; Liu, RH; Zhang, GQ; Wan, WH; Long, J"/>
        <s v="Boyd, L; Berardi, V; Hughes, D; Cibrian, F; Johnson, J; Sean, V; DelPizzo-Cheng, E; Mackin, B; Tusneem, A; Mody, R; Jones, S; Lotich, K"/>
        <s v="Longhi-Heredia, SA; Quezada-Tello, LL"/>
        <s v="Fonseca, DLD; Fonseca, MGFS"/>
        <s v="Hensel, PG"/>
        <s v="Leiva, JJ; del Olmo, MJA; Aguilera, FJG; Villalba, MJS"/>
        <s v="Fumagalli, LAW; Rezende, DA; Guimaraes, TA"/>
        <s v="Xie, XM; Han, YH; Anderson, A; Ribeiro-Navarrete, S"/>
        <s v="Yu, HL; Fletcher, M; Buck, T"/>
        <s v="AlNuaimi, BK; Singh, SK; Ren, S; Budhwar, P; Vorobyev, D"/>
        <s v="Ding, DF; Zhang, RL"/>
        <s v="Almeida, S; Ramires, A; Marinho, J"/>
        <s v="Lane, J; Côté, LP; Gaudreault, J; Massicotte, L; Manceau, LM; Labelle, R; Bardon, C; Bazinet, J; Rassy, J; Rembert, M"/>
        <s v="Rundel, C; Salemink, K"/>
        <s v="Jain, B; Bajaj, SS; Stanford, FC"/>
        <s v="Gebretekle, YT; Kamau, DW; Raoufi, M; Fayek, AR"/>
        <s v="Gull, H; Saeed, S; Iqbal, SZ; Bamarouf, YA; Alqahtani, MA; Alabbad, DA; Saqib, M; Al Qahtani, SH; Alamer, A"/>
        <s v="Martin, NM; Barnett, DJ; Poirier, L; Sundermeir, SM; Reznar, MM; Gittelsohn, J"/>
        <s v="Han, BR; Sun, TS; Chu, LY; Wu, LX"/>
        <s v="Hu, LL"/>
        <s v="Oztig, LI"/>
        <s v="Ho, WR; Tsolakis, N; Dawes, T; Dora, M; Kumar, M"/>
        <s v="Wu, SH; Tan, Y; Chen, YB; Liang, YT"/>
        <s v="Scupola, A; Mergel, I"/>
        <s v="Ali, Z"/>
        <s v="Baslyman, M"/>
        <s v="Bourcheix-Laporte, M"/>
        <s v="Mata, CC"/>
        <s v="Evans, JM; Baym, NK"/>
        <s v="Gault, J; Cuevas, JA"/>
        <s v="Godoy-Martín, FJ"/>
        <s v="Kamariotou, M; Kitsios, F; Charatsari, C; Lioutas, ED; Talias, MA"/>
        <s v="Letsio, A; Polyzos, N; Poulopoulos, C; Skamnakis, C"/>
        <s v="Zamora, GM"/>
        <s v="Murayama, M"/>
        <s v="Ng, PC; Spachos, P; Gregori, S; Plataniotis, KN"/>
        <s v="Nishanov, AK; Norboyo'g'li, SS; Satimbaevich, BE"/>
        <s v="Payutvorased, R; Sukwatthana, S"/>
        <s v="Peres-Neto, L"/>
        <s v="Pesci, A; Teza, G; Loddo, F; Fabris, M; Monego, M; Amoroso, S"/>
        <s v="Sakas, DP; Giannakopoulos, NT; Kanellos, N; Migkos, SP"/>
        <s v="Sangil, L; Salaverría, R; Pérez-Latre, FJ"/>
        <s v="Santos, J; Lima, AP"/>
        <s v="Solar, BM; Reyes, RJ"/>
        <s v="Sorrentino, C; Solito, L; Pezzoli, S; Materassi, L"/>
        <s v="Voda, AI; Florea, N; Ciulu, R; Costuleanu, CL; Gradinaru, C"/>
        <s v="Xu, YT; Li, TH"/>
        <s v="García, A; Bregon, A; Martínez-Prieto, MA"/>
        <s v="Khalili-Mahani, N; Holowka, E; Woods, S; Khaled, R; Roy, M; Lashley, M; Glatard, T; Timm-Bottos, J; Dahan, A; Niesters, M; Hovey, RB; Simon, B; Kirmayer, LJ"/>
        <s v="Boonstra, MD; Reijneveld, SA; Navis, G; Westerhuis, R; de Winter, AF"/>
        <s v="Cauffman, C; Goanta, C"/>
        <s v="Salvador, E; Benghozi, PJ"/>
        <s v="Sándor, A; Gubán, A"/>
        <s v="Trzaska, R; Sulich, A; Organa, M; Niemczyk, J; Jasinski, B"/>
        <s v="Marty, PF; Buchanan, V"/>
        <s v="Tantscher, D; Mayer, B"/>
        <s v="González-Neira, A; Vázquez-Herrero, J; Quintas-Froufe, N"/>
        <s v="He, ZX; Lu, WQ; Hua, GH; Wang, JM"/>
        <s v="Kondratieva, NB"/>
        <s v="Guzek, D"/>
        <s v="Fernandez-Vidal, J; Gonzalez, R; Gasco, J; Llopis, J"/>
        <s v="Noehrer, L; Gilmore, A; Jay, C; Yehudi, Y"/>
        <s v="McIntyre, DP; Srinivasan, A; Chintakananda, A"/>
        <s v="Silva, C"/>
        <s v="de Barros, MJF; Melo, P; dos Santos, EM; Bispo, LVD"/>
        <s v="Maier, CD; Ravazzani, S"/>
        <s v="Palmer, L"/>
        <s v="Pereira, AC; da Silva, MAD; Patel, US; Tanday, A; Hill, KB; Walmsley, AD"/>
        <s v="Büyüközkan, G; Havle, CA; Feyzioglu, O"/>
        <s v="Masella, M; Crudu, A; Leonforte, F"/>
        <s v="Ellström, D; Holtstrom, J; Berg, E; Johansson, C"/>
        <s v="Yan, MR; Hong, LY; Warren, K"/>
        <s v="Antoniazzi, L; Popple, S; Lupu, R"/>
        <s v="Campos, AC; de Rezende, DC; Leme, PHMV; de Brito, MJ; Antonialli, LM"/>
        <s v="Elangovan, P; Seshadri, S; Seetharaman, P"/>
        <s v="Habelsberger, BEM; Bhansing, PV"/>
        <s v="Leao, P; da Silva, MM"/>
        <s v="Martínez, ON; García, JI; Salcedo, VT"/>
        <s v="Yu, JT; Moon, T"/>
        <s v="Saura, JR; Palacios-Marqués, D; Ribeiro-Soriano, D"/>
        <s v="Kim, DH; Desai, M"/>
        <s v="Javornik, A; Duffy, K; Rokka, J; Scholz, J; Nobbs, K; Motala, A; Goldenberg, A"/>
        <s v="Benesová, A; Basl, J; Tupa, J; Steiner, F"/>
        <s v="Canhoto, AI; Quinton, S; Pera, R; Molinillo, S; Simkin, L"/>
        <s v="Zaman, M; Vo-Thanh, T; Hasan, R; Babu, MM"/>
        <s v="Radanliev, P; De Roure, D; Burnap, P; Santos, O"/>
        <s v="Arayesh, MB; Rezaeirad, M; Aidi, M; Lamuki, TG"/>
        <s v="Matricano, D; Castaldi, L; Sorrentino, M; Candelo, E"/>
        <s v="Khan, IA"/>
        <s v="Kimura, M"/>
        <s v="Martincevic, I; Kozina, G"/>
        <s v="Ritala, P; Baiyere, A; Hughes, M; Kraus, S"/>
        <s v="Balhara, YPS; Szerman, N; Singh, S; Raga, JM; Salom, C; Peris, L; Ganesh, R"/>
        <s v="Ko, A; Fehér, P; Kovacs, T; Mitev, A; Szabó, Z"/>
        <s v="Mastromartino, B; Naraine, ML"/>
        <s v="Van Zeebroeck, N; Kretschmer, T; Bughin, J"/>
        <s v="Ramadan, Z; Nsouli, NZ"/>
        <s v="Donida, B; da Costa, CA; Scherer, JN"/>
        <s v="Gajdzik, B; Wolniak, R"/>
        <s v="Karekla, M; Pollalis, Y; Angelopoulos, M"/>
        <s v="Jiménez-Consuegra, MA; Maldonado, EF; Pantoja, GD; Berrio-Valbuena, J; Rodríguez-Nieto, CA; Cervantes-Barraza, JA; Araújo, AA"/>
        <s v="Adam, M; Roethke, K; Benlian, A"/>
        <s v="Ano, B; Bent, R"/>
        <s v="Ponis, ST; Lada, C"/>
        <s v="Hänninen, M; Smedlund, A"/>
        <s v="Kilcoyne, A"/>
        <s v="Soliman, M; Karia, N"/>
        <s v="McCarthy, P; Sammon, D; Alhassan, I"/>
        <s v="Bonacini, E; Giaccone, SC"/>
        <s v="Váne, J; Kalvas, F; Basl, J"/>
        <s v="Harvey, S"/>
        <s v="McGee, B; Leonte, M; Wildenhaus, K; Wilcox, M; Reps, J; LaCross, L"/>
        <s v="Rendina, HJ; Talan, AJ; Tavella, NF; Matos, JL; Jimenez, RH; Jones, SS; Salfas, B; Westmoreland, D"/>
        <s v="Proksch, D; Rosin, AF; Stubner, S; Pinkwart, A"/>
        <s v="Mikheev, A; Serkina, Y; Vasyaev, A"/>
        <s v="Dueñas, PPM; Carmona, DG"/>
        <s v="Knudsen, KE; Willman, C; Winn, R"/>
        <s v="El Said, GR"/>
        <s v="Appolloni, A; Colasanti, N; Fantauzzi, C; Fiorani, G; Frondizi, R"/>
        <s v="Bonfanti, S; Guerra, R; Zaiser, M; Zapperi, S"/>
        <s v="Delgado, F"/>
        <s v="Gain, U"/>
        <s v="Nas, A"/>
        <s v="Marcelin, JR; Cortés-Penfield, N; del Rio, C; Desai, A; Echenique, I; Granwehr, B; Lawal, F; Kuriakose, K; Lee, DH; Malinis, M; Ruidera, D; Siddiqui, J; Spec, A; Swartz, TH"/>
        <s v="Sampugnaro, R; Montemagno, F"/>
        <s v="Chib, A; Nguyen, H; Lin, DY"/>
        <s v="Porfírio, JA; Carrilho, T; Felício, JA; Jardim, J"/>
        <s v="Hobley, J"/>
        <s v="Hutchinson, J"/>
        <s v="Abou Haidar, L"/>
        <s v="Lopez, CA; Castillo, LF; Corchado, JM"/>
        <s v="Alterazi, HA"/>
        <s v="Arayesh, MB; Rezaeirad, M; Aidi, M; Lamoki, TG"/>
        <s v="Atencio, P; Sánchez-Torres, G; Palomino, RI; Bedoya, JWB; Burgos, D"/>
        <s v="Lopera-Zuluaga, EC; Marín-Ochoa, BE; García-Franco, LL"/>
        <s v="Dold, L; Speck, C"/>
        <s v="Vila, TD; González, EA; Vila, NA; Brea, JAF"/>
        <s v="Escoffier, N; McKelvey, B"/>
        <s v="Miravete, ADF; Espinosa, MPP"/>
        <s v="Fernández-Peña, E; Ramajo-Hernández, N"/>
        <s v="Gallardo-Rincón, H; Montoya, A; Saucedo-Martínez, R; Mújica-Rosales, R; Suárez-Idueta, L; Martínez-Juárez, LA; Razo, C; Lozano, R; Tapia-Conyer, R"/>
        <s v="García-Martín, I; Ortega-Mohedano, F; Pérez-Peláez, ME"/>
        <s v="Giulierini, P"/>
        <s v="Jung, CM"/>
        <s v="Krajnovic, A; Raguz, IV; Perkovic, A"/>
        <s v="Limongi, R; Dias, APC; da Silva, ALB; de Oliveira, DS; Freire, OBD"/>
        <s v="Barbalho, SCM; Dantas, RD"/>
        <s v="Markaryan, M; Bilyi, D; Yuldashev, S"/>
        <s v="Popova, I"/>
        <s v="Matías, KMR; Rosales, WAC; Rodríguez, LGG"/>
        <s v="Rusly, FH; Talib, YYA; Hussin, MRA; Mutalib, HA"/>
        <s v="Seo, H"/>
        <s v="Siokas, G; Tsakanikas, A; Siokas, E"/>
        <s v="Tan, YH; Reddy, SK"/>
        <s v="Tomasi, S"/>
        <s v="Tremblay-Wragg, É; Déri, CE; Vincent, C; Labonté-Lemoyne, É; Mathieu-Chartier, S; Côté-Parent, R; Villeneuve, S"/>
        <s v="Trusova, NV; Yeremenko, DV; Karman, SV; Kolokolchykova, IV; Skrypnyk, SV"/>
        <s v="Verhovnik, J; Duh, ES"/>
        <s v="Zhou, X; Milecka-Forrest, M"/>
        <s v="Shahi, C; Sinha, M"/>
        <s v="Bonnevie, E; Lloyd, TD; Rosenberg, SD; Williams, K; Goldbarg, J; Smyser, J"/>
        <s v="Aldoy, N; Evans, MA"/>
        <s v="Lin, AW; Baik, SH; Aaby, D; Tello, L; Linville, T; Alshurafa, N; Spring, B"/>
        <s v="Aravena, M; Campos-Soto, MN; Rodríguez-Jiménez, C"/>
        <s v="Lopera-Zuluaga, EC"/>
        <s v="Dwivedi, YK; Hughes, DL; Coombs, C; Constantiou, I; Duan, YQ; Edwards, JS; Gupta, B; Lal, B; Misra, S; Prashant, P; Raman, R; Rana, NP; Sharma, SK; Upadhyay, N"/>
        <s v="Marcut, M"/>
        <s v="van Tonder, C; Schachtebeck, C; Nieuwenhuizen, C; Bossink, B"/>
        <s v="Zheng, WM; Liao, ZX; Lin, ZB"/>
        <s v="Markarian, J"/>
        <s v="Pinto, DJA; Moraes, I"/>
        <s v="Suing, A; Ordóñez, K; Herrero-Gutiérrez, FJ"/>
        <s v="Lotriet, RA; Ditshego, KK"/>
        <s v="Pateli, A; Mylonas, N; Spyrou, A"/>
        <s v="Zhao, X"/>
        <s v="Ogrean, C; Herciu, M"/>
        <s v="Correani, A; De Massis, A; Frattini, F; Petruzzelli, AM; Natalicchio, A"/>
        <s v="Demeter, K; Losonci, D; Nagy, J"/>
        <s v="Ziemssen, T; Kern, R; Voigt, I; Haase, R"/>
        <s v="Thomas, A"/>
        <s v="Rahrovani, Y"/>
        <s v="Raj, A; Dwivedi, G; Sharma, A; Jabbour, ABLD; Rajak, S"/>
        <s v="Keskin, B; Salman, B"/>
        <s v="Hornuf, L; Klus, MF; Lohwasser, TS; Schwienbacher, A"/>
        <s v="Eller, R; Alford, P; Kallmünzer, A; Peters, M"/>
        <s v="McGrath, R; McManus, R"/>
        <s v="Kudyba, S; Fjermestad, J; Davenport, T"/>
        <s v="López-López, D; Giusti, G"/>
        <s v="Morales, MAA"/>
        <s v="Czauderna, A; Budke, A"/>
        <s v="Motta, FMD; da Silva, RAR"/>
        <s v="Sanchez, MA"/>
        <s v="Wang, HC; Feng, JZ; Zhang, H; Li, X"/>
        <s v="Almeida, AO; Tomim, MA; Almeida, PM; Barbosa, PG"/>
        <s v="Hall, N; Schmitz, HP; Dedmon, JM"/>
        <s v="Mulari, H"/>
        <s v="Busca, L; Bertrandias, L"/>
        <s v="Saura, JR; Palos-Sanchez, P; Herráez, BR"/>
        <s v="Dutta, G; Kumar, R; Sindhwani, R; Singh, RK"/>
        <s v="Peter, MK; Kraft, C; Lindeque, J"/>
        <s v="Blaszkowski, DAAD; Wunsch, LP; Fofonca, E"/>
        <s v="Baraitser, P; McCulloch, H; Morelli, A; Free, C"/>
        <s v="Brianso, I"/>
        <s v="Rodríguez, YG; Calvo, SM; Martín, VR"/>
        <s v="Gordon-Isasi, J; Cantin, LN; Martins, JJG"/>
        <s v="Krona, M"/>
        <s v="Mahrenbach, LC; Mayer, K"/>
        <s v="Manita, R; Elommal, N; Baudier, P; Hikkerova, L"/>
        <s v="Montereale, L; Ventura, L"/>
        <s v="Nixon, B"/>
        <s v="O'Neill, N; Albiston, M; Ferguson, S; Nicklas, L"/>
        <s v="Peñalba, EH; Samaniego, CRC; Romero, SMA"/>
        <s v="Llanes, RP"/>
        <s v="Saura, JR; Reyes-Menendez, A; de Matos, N; Correia, MB; Palos-Sanchez, P"/>
        <s v="Seidel, S; Bettinger, P; Budke, A"/>
        <s v="Suárez-Carballo, F; Martín-Sanromán, JR; Galindo-Rubio, F"/>
        <s v="Jin, J; Ma, L; Ye, XW"/>
        <s v="Adner, R; Puranam, P; Zhu, F"/>
        <s v="Jenkins, K; Sun, KCY"/>
        <s v="Ribeiro, SS"/>
        <s v="Schallmo, D; Williams, CA; Lohse, J"/>
        <s v="Von Bülow, M; Dias, T"/>
        <s v="Xiao, JH"/>
        <s v="Stewart, K; Kammer-Kerwick, M; Auchter, A; Koh, HE; Dunn, ME; Cunningham, I"/>
        <s v="Foster, C; Azmeh, S"/>
        <s v="Pakkanen, J; Lentini, MC; Sarris, A; Tikkala, E; Manataki, M"/>
        <s v="Ukko, J; Nasiri, M; Saunila, M; Rantala, T"/>
        <s v="Vieira, VA; de Almeida, MIS; Agnihotri, R; da Silva, NSDC; Arunachalam, S"/>
        <s v="Zhang, Y; Luo, J; Xiong, Z; Liu, H; Wang, L; Gu, YY; Lu, ZF; Li, JH; Huang, JP"/>
        <s v="Rich, E; Miah, A; Lewis, S"/>
        <s v="Nayak, B; Bhattacharyya, SS; Krishnamoorthy, B"/>
        <s v="Guttieres, D; Stewart, S; Wolfrum, J; Springs, SL"/>
        <s v="Rane, SB; Narvel, YAM; Bhandarkar, BM"/>
        <s v="Campoamor, LM"/>
        <s v="Horváth, D; Szabó, RZ"/>
        <s v="Grimaldi, D; Diaz, J; Arboleda, H; Fernandez, V"/>
        <s v="Jerome, RN; Dunkel, L; Kennedy, N; Olson, EJ; Pulley, JM; Bernard, G; Wilkins, CH; Harris, PA"/>
        <s v="Estrada, IC; Zavala, AMM"/>
        <s v="de Almeida, GGF; Rezende, DA"/>
        <s v="Pirni, A; Giampellegrini, PP; Raffini, L"/>
        <s v="Verdú, JL; Lluch, JS; Barchino, AT"/>
        <s v="Mhlungu, NSM; Chen, JYJ; Alkema, P"/>
        <s v="Ferlin, EP; Rezende, DA"/>
        <s v="Richter, JG; Chehab, G; Kiltz, U; Callhoff, J; Voormann, A; Lorenz, HM; Schneider, M; Specker, C"/>
        <s v="Zimand Sheiner, D; Earon, A"/>
        <s v="Pesce, D; Neirotti, P; Paolucci, E"/>
        <s v="Thurman, N; Fletcher, R"/>
        <s v="Chanias, S; Myers, MD; Hess, T"/>
        <s v="Dombrowski, T; Dazert, S; Volkenstein, S"/>
        <s v="de la Fuente, MH; Domínguez, AG"/>
        <s v="Schönermark, MP"/>
        <s v="Tiernan, P; O'Kelly, J"/>
        <s v="Kay, J"/>
        <s v="Azarova, AA; Tkachuk, LN; Kaplun, IS"/>
        <s v="Chester, J; Montgomery, KC"/>
        <s v="Chu, SC; Kamal, S; Kim, Y"/>
        <s v="De Bernardi, P; Bertello, A; Shams, SMR"/>
        <s v="Dharod, A; Bellinger, C; Foley, K; Case, LD; Miller, D"/>
        <s v="Castillo, JGD; Cohenour, EJC; Escalante, MAS; Carrillo, IDV"/>
        <s v="Giannini, T; Bowen, JP"/>
        <s v="Kerres, M; Waffner, B"/>
        <s v="Lobillo-Mora, G; Smolak-Lozano, E"/>
        <s v="Mal'ko, AV; Soldatkina, OL"/>
        <s v="Martínez, M; Marrujo, J; Perillo, M; González, FM; Burin, D"/>
        <s v="Matthyssens, P"/>
        <s v="Obar, JA"/>
        <s v="Pompili, I"/>
        <s v="Ribeiro, SS; Rezende, DA; Yao, JT"/>
        <s v="Shepherd, T; Henderson, M"/>
        <s v="Siefring, J"/>
        <s v="Silvaggi, A; Pesce, F"/>
        <s v="Castellano, CM; Folch, CS"/>
        <s v="Meessen, B"/>
        <s v="Orton, M; Agarwal, S; Muhoza, P; Vasudevan, L; Vu, A"/>
        <s v="Arostegi, M; Torre-Bastida, A; Bilbao, MN; Del Ser, J"/>
        <s v="Bucci, S; Barrowclough, C; Ainsworth, J; Machin, M; Morris, R; Berry, K; Emsley, R; Lewis, S; Edge, D; Buchan, I; Haddock, G"/>
        <s v="Gutiérrez-Leefmans, C; Nava-Rogel, RM; Trujillo-León, MA"/>
        <s v="Rodríguez-Andrés, R"/>
        <s v="Carmona, KMO; Armenta, JA; Mendez, MEP; Gastelu, CAT"/>
        <s v="Bossetta, M"/>
        <s v="Mathieson, J"/>
        <s v="Scheepers, R; Lacity, MC; Willcocks, LP"/>
        <s v="Sánchez, MA; Zuntini, JI"/>
        <s v="Pires, DS; Boasquevisque, DD; Speciali, DS; Silva, GS; Conforto, AB"/>
        <s v="Andrade, EL; Evans, WD; Barrett, ND; Cleary, SD; Edberg, MC; Alvayero, RD; Kierstead, EC; Beltran, A"/>
        <s v="Frishammar, J; Cenamor, J; Cavalli-Björkman, H; Hernell, E; Carlsson, J"/>
        <s v="Staggers, N; Elias, BL; Makar, E; Alexander, GL"/>
        <s v="Munro, M"/>
        <s v="Torrijos, JLR"/>
        <s v="Yeow, A; Soh, C; Hansen, R"/>
        <s v="Brinch, M; Stentoft, J; Jensen, JK; Rajkumar, C"/>
        <s v="Cardo, V"/>
        <s v="Childers, CC; Haley, E; McMillan, S"/>
        <s v="Castillo, JGD; Cohernour, EJC; Barberà, E"/>
        <s v="Fink, RL; Reinhart, TA; Steele, A"/>
        <s v="Gainous, J; Segal, A; Wagner, K"/>
        <s v="Pérez, EG"/>
        <s v="Kiran, F; Zubair, A; Shahzadi, I; Abbas, A"/>
        <s v="Kontic, L; Vidicki, D"/>
        <s v="Kreiss, D; McGregor, SC"/>
        <s v="Meinich-Bache, O; Engan, K; Birkenes, TS; Myklebust, H"/>
        <s v="Perboli, G; Musso, S; Rosano, M"/>
        <s v="Rezende, DA; Procopiuck, M"/>
        <s v="Ruttkay, Z; Bényei, J"/>
        <s v="Schubert, O; Beuer, F; Güth, JF; Nold, E; Edelhoff, D; Metz, I"/>
        <s v="Stone, M; Aravopoulou, E"/>
        <s v="Tommasi, BL"/>
        <s v="von Kutzschenbach, M; Schmid, A; Schoenenberger, L"/>
        <s v="Whyley, D"/>
        <s v="Wong, P; Lee, D; Ng, PML"/>
        <s v="Elblaus, L; Unander-Scharin, Å; Unander-Scharin, C"/>
        <s v="Ross, JW; Sebastian, IM; Beath, CM"/>
        <s v="Vázquez-Herrero, J; López-García, X"/>
        <s v="Zhou, N; Zhang, SX; Chen, JE; Han, XT"/>
        <s v="König, PD"/>
        <s v="Mummery, J; Rodan, D"/>
        <s v="Games, FJG"/>
        <s v="Sebastian, IM; Ross, JW; Beath, C; Mocker, M; Moloney, KG; Fonstad, NO"/>
        <s v="Taloni, A; Font-Clos, F; Guidetti, L; Milan, S; Ascagni, M; Vasco, C; Pasini, ME; Gioria, MR; Ciusani, E; Zapperi, S; La Porta, CAM"/>
        <s v="Roszkowska, D"/>
        <s v="Hestres, LE"/>
        <s v="Reddy, AVJ; Rao, BM"/>
        <s v="Torres, NS"/>
        <s v="Lavonen, J"/>
        <s v="Alizadeh, T"/>
        <s v="Sánchez, MA"/>
        <s v="Barns, S; Cosgrave, E; Acuto, M; Mcneill, D"/>
        <s v="Batt, C"/>
        <s v="Carvalho, L; van Tuijl, E"/>
        <s v="Davis, JL"/>
        <s v="Fehér, K"/>
        <s v="Luque, SG; Simón, IV; Becerra, TD"/>
        <s v="Guo, S; Ding, W; Lanshina, T"/>
        <s v="Hartmann, H"/>
        <s v="Iaia, L; Scorrano, P; Fait, M; Cavallo, F"/>
        <s v="Oyarce-Cruz, J"/>
        <s v="Paladines, F; Tandazo, CG; Fernández, VAM"/>
        <s v="Pettersson, K; Sakki, I"/>
        <s v="Fernández, LR; Llamas, MS"/>
        <s v="Sandoval-Almazán, R; Luna-Reyes, LF; Luna-Reyes, DE; Gil-Garcia, JR; Puron-Cid, G; Picazo-Vela, S"/>
        <s v="Schutte, J"/>
        <s v="Solovey, VD"/>
        <s v="Barrett, M; Oborn, E; Orlikowski, W"/>
        <s v="Gon, M; Pechlaner, H; Marangon, F"/>
        <s v="Castillo, JGD; Baquedano, JSM"/>
        <s v="Wessel, M; Levie, A; Siegel, R"/>
        <s v="Alizadeh, T; Sipe, N"/>
        <s v="Powers, M"/>
        <s v="Kandiuk, M"/>
        <s v="Rumsfeld, JS; Brooks, SC; Aufderheide, TP; Leary, M; Bradley, SM; Nkonde-Price, C; Schwamm, LH; Jessup, M; Ferrer, JME; Merchant, RM"/>
        <s v="Dechaux, J; Filiol, E"/>
        <s v="Grau, BE"/>
        <s v="Sala, JFA"/>
        <s v="Ding, HF; Zhou, J; Xu, Y; Ding, TH; Xiao, HX; Li, L; Hu, JH"/>
        <s v="Evens, T"/>
        <s v="Ditchburn, JL; Marshall, A"/>
        <s v="Ribeiro, SPM"/>
        <s v="Akkizidis, I; Stagars, M"/>
        <s v="Barns, S"/>
        <s v="Beltran, CYB"/>
        <s v="Tandazo, CVG; Galarza, FYP; Benavides, AVV"/>
        <s v="Komninos, N"/>
        <s v="Kroksmark, T"/>
        <s v="Miettinen, E"/>
        <s v="Straker, K; Wrigley, C"/>
        <s v="Suárez-Obando, F; Gómez-Restrepo, C; Camacho, J; de la Hoz, AM; Morales, AJR; Maldonado, P; López, P"/>
        <s v="Yarbro, J; McKnight, K; Elliott, S; Kurz, A; Wardlow, L"/>
        <s v="Cunningham, D"/>
        <s v="Andreacola, F; SanJuan, E; Poli, MS"/>
        <s v="Rezende, DA; Procopiuck, M; Figueiredo, FD"/>
        <s v="Colbjornsen, T"/>
        <s v="Bertini, MJ"/>
        <s v="Cantone, F"/>
        <s v="Coyne, B; Devitt, N; Lyons, S; Mccoy, S"/>
        <s v="Merchant, RM; Finne, K; Lardy, B; Veselovskiy, G; Korba, C; Margolis, GS; Lurie, N"/>
        <s v="Prado, E"/>
        <s v="Rodgers, S"/>
        <s v="de la Selva, ARA"/>
        <s v="Llamas, MS; Fernández, LR; Dulce, GB"/>
        <s v="Slaatta, T"/>
        <s v="Solima, L"/>
        <s v="Straker, K; Wrigley, C; Rosemann, M"/>
        <s v="Gerardi, G; Abbene, L"/>
        <s v="Latifi, N; Miri, AK; Mongeau, L"/>
        <s v="Costales, JR"/>
        <s v="Chen, LZ; Xu, MH; Zou, YW; Xu, LS"/>
        <s v="Reggi, L; Scicchitano, S"/>
        <s v="Thompson, P"/>
        <s v="Bermès, E"/>
        <s v="Rezende, DA; Madeira, GD; Mendes, LD; Breda, GD; Zarpelao, BB; Figueiredo, FD"/>
        <s v="Dameri, RP"/>
        <s v="Punín, MI; Martínez, A; Rencoret, N"/>
        <s v="Kontu, H; Vecchi, A"/>
        <s v="Massis, BE"/>
        <s v="Mouzykant, VL"/>
        <s v="Nelson, R"/>
        <s v="Tomas, K"/>
        <s v="Fandiño, YJ"/>
        <s v="Vasicek, Z; Bidlo, M; Sekanina, L"/>
        <s v="Mintz, O; Currim, IS; Jeliazkov, I"/>
        <s v="Beijer, TR; van Dijk, EJ; de Vries, J; Vermeer, SE; Prokop, M; Meijer, FJA"/>
        <s v="Reynolds, CJ"/>
        <s v="Goldstein, K; Briggs, M; Oleynik, V; Cullen, M; Jones, J; Newman, E; Narva, A"/>
        <s v="Thomas, E"/>
        <s v="Bharadwaj, A; El Sawy, OA; Pavlou, PA; Venkatraman, N"/>
        <s v="Loudini, M; Rezig, S; Hidouci, WK; Salhi, Y"/>
        <s v="Mithas, S; Tafti, A; Mitchell, W"/>
        <s v="Blikstad-Balas, M; Hvistendahl, R"/>
        <s v="Dalton, B; Jocius, R"/>
        <s v="McCombs, GM"/>
        <s v="Premat, C"/>
        <s v="Tsai, ZR"/>
        <s v="Attwooll, D"/>
        <s v="de Kervenoael, R; Palmer, M; Cakici, NM"/>
        <s v="Hall, F"/>
        <s v="Kohli, R; Johnson, S"/>
        <s v="Pitieiro-Oterol, T"/>
        <s v="Piskorski, MJ"/>
        <s v="Okada, SI"/>
        <s v="Stiakakis, E; Georgiadis, CK"/>
        <s v="Morales-Caporal, R; Pacas, M"/>
        <s v="Flew, T"/>
        <s v="Yoo, YJ; Henfridsson, O; Lyytinen, K"/>
        <s v="Greco, AN; Wharton, RM"/>
        <s v="Mussinelli, C"/>
        <s v="Phelps, LW; Ackerman, JM"/>
        <s v="Metaxiotis, K; Larios, Y; Assimakopoulos, V"/>
        <s v="Fielden, K; Malcolm, P"/>
        <s v="McShane, I; Thomas, J"/>
        <s v="Shao, GS"/>
        <s v="McAnulty, JD"/>
        <s v="Carnaby, P"/>
        <s v="Helbig, N; Gil-García, JR; Ferro, E"/>
        <s v="Lim, DH; Ripley, D; O'Steen, B"/>
        <s v="Mittrowann, A"/>
        <s v="Cha, H; Choi, S; Han, BM"/>
        <s v="Díaz, EF; Gorospe, JMC"/>
        <s v="Siakas, K; Kotsialos, T"/>
        <s v="Van Audenhove, L; Delaere, S; Ballon, P"/>
        <s v="Ashton, H; Thorns, DC"/>
        <s v="Venuto, D; Reyneri, L"/>
        <s v="Smith, P; Steemers, J"/>
        <s v="De Venuto, D; Reyneri, L"/>
        <s v="Rabold, M; Doll, A; Goldschmidtboeing, F; Woias, P"/>
        <s v="Dennis, EE"/>
        <s v="Davarpanah, MR; Khaleghi, N"/>
        <s v="Dennis, EE; Warley, S; Sheridan, J"/>
        <s v="McNulty, E"/>
        <s v="Azaïs, F; Bertrand, Y; Renovell, M; Ivanov, A; Tabatabaei, S"/>
        <s v="Bermak, A; Boussaïd, F; Bouzerdoum, A"/>
        <s v="Inouye, AS"/>
        <s v="Coutu, DL"/>
        <s v="DJUKANOVIC, M; NEVICEVIC, M; SOBAJIC, DJ; PAO, YP"/>
        <s v="CAMMARANO, R; STREET, R; MCCORMICK, PG; EVANS, ME"/>
        <m/>
      </sharedItems>
    </cacheField>
    <cacheField name="Book Authors" numFmtId="0">
      <sharedItems containsBlank="1"/>
    </cacheField>
    <cacheField name="Book Editors" numFmtId="0">
      <sharedItems containsBlank="1"/>
    </cacheField>
    <cacheField name="Book Group Authors" numFmtId="0">
      <sharedItems containsBlank="1"/>
    </cacheField>
    <cacheField name="Author Full Names" numFmtId="0">
      <sharedItems containsBlank="1" longText="1"/>
    </cacheField>
    <cacheField name="Book Author Full Names" numFmtId="0">
      <sharedItems containsBlank="1"/>
    </cacheField>
    <cacheField name="Group Authors" numFmtId="0">
      <sharedItems containsBlank="1"/>
    </cacheField>
    <cacheField name="Article Title" numFmtId="0">
      <sharedItems containsBlank="1" count="673" longText="1">
        <s v="Development of a digital maturity model for Industry 4.0 based on the technology-organization-environment framework"/>
        <s v="A Novel Digital Educational Strategy Improves Treatment Adherence and Quality of Life in Patients with Multiple Myeloma"/>
        <s v="Designing the digitalized guest experience: A comprehensive framework and research agenda"/>
        <s v="A non-randomised feasibility study of a mHealth follow-up program in bariatric surgery"/>
        <s v="Construction of Digital Transformation Capability of Manufacturing Enterprises: Qualitative Meta-Analysis Based on Current Research"/>
        <s v="Technology transfer adoption to achieve a circular economy model under resource-based view: A high-tech firm"/>
        <s v="The role of CIO in digital transformation: an exploratory study"/>
        <s v="Deep learning for metabolic pathway design"/>
        <s v="Going digital: Developing social capital through online social networks in regional SMEs-An Australian study"/>
        <s v="National digital strategy development: Guidelines and lesson learnt from Asia Pacific countries"/>
        <s v="Role of Digital Strategy in Managing the Planning Complexity of Mega Construction Projects"/>
        <s v="Cybersecurity, privacy, and health data protection in the digital strategy of the European Union"/>
        <s v="Augmented Reality in Portuguese Museums: A Grounded Theory Study on the Museum Professionals' Perspectives"/>
        <s v="Implementing a digital comprehensive myopia prevention and control strategy for children and adolescents in China: a cost- effectiveness analysis"/>
        <s v="Digital Strategies to Enhance Cultural Heritage Routes: From Integrated Survey to Digital Twins of Different European Architectural Scenarios"/>
        <s v="What Determines the Digital Transformation of SRDI Enterprises?-A Study of the TOE Framework-Based Configuration"/>
        <s v="Digital transformation and manufacturing companies' ESG responsibility performance"/>
        <s v="The moment is now! From digital transformation to environmental performance"/>
        <s v="How to Develop Organizational Forms for a Successful Digital Transformation? Findings from Two Case Studies"/>
        <s v="A circular waste bioeconomy development model in the Ecuadorian fishery industry: the impact of government strategy on supply chain integration and smart operations"/>
        <s v="Beyond federated data: a data commoning proposition for the EU's citizen-centric digital strategy"/>
        <s v="Regulating Big Tech expansionism? Sphere transgressions and the limits of Europe's digital regulatory strategy"/>
        <s v="National digital strategies and innovative eHealth policies concerning older adults' dignity: a document analysis in three Scandinavian countries"/>
        <s v="The Dual Strategy for Textile and Fashion Production Using Clothing Waste"/>
        <s v="Assessing Equitable Recruitment in a Digital Health Trial for Asthma"/>
        <s v="Brand posts and brand co-creation in higher education communities: a social communication process theory"/>
        <s v="Social-networks use as adaptive or maladaptive strategy for coping with stress"/>
        <s v="Can firm R&amp;D benefit from digital technologies? Evidence from Chinese high-speed rail industry"/>
        <s v="The natural CAD/CAM anterior implant single tooth restoration: A novel digital workflow"/>
        <s v="Digital transformation ambidexterity and business performance"/>
        <s v="Digital innovations for micro, small and medium enterprises in the net zero economy: A strategic perspective"/>
        <s v="Informing the design of a digital intervention to support sexually transmissible infection care in general practice: a qualitative study exploring the views of clinicians"/>
        <s v="Rationale and design of the CV-PREVITAL study: an Italian multiple cohort randomised controlled trial investigating innovative digital strategies in primary cardiovascular prevention"/>
        <s v="The Communication Challenge in Archaeological Museums in Puglia: Insights into the Contribution of Social Media and ICTs to Small-Scale Institutions"/>
        <s v="A digital strategy for intraoperative acquisition of actual drill position and rapid assessment of bony preparation accuracy using an intraoral scanner"/>
        <s v="Assessing statins use in a real-world primary care digital strategy: a cross-sectional analysis of a population-wide digital health approach"/>
        <s v="Videos of simulated after action reviews: a training resource to support social and inclusive learning from patient safety events"/>
        <s v="DEVELOPMENT OF DIGITAL MARKETING STRATEGIES TO IMPROVE THE COMMERCIALIZATION OF HARDWARE PRODUCTS IN THE COMPANY FERROMETALES ALLAN DEL CANTÓN QUEVEDO"/>
        <s v="Contrasting value creation strategies of industrial-IoT-platforms-a multiple case study"/>
        <s v="The Power of Digitization: Transforming Ukraine's Customs Service"/>
        <s v="Creating memorable shopping experiences to meet phygital customers' needs: evidence from sporting goods stores"/>
        <s v="Legacy transmission through fashion films: Visual and narrative brand heritage integration"/>
        <s v="Secure app usage-Evaluation benchmarks for medical apps Quality aspects for health apps based on 9 key criteria"/>
        <s v="Varicose Vein Education and Informed coNsent (VVEIN) study: a randomised controlled pilot feasibility study"/>
        <s v="Building Support Through the Personalization of Twitter Messages in a Permanent Campaign"/>
        <s v="The ICT strategy of Italian museums: institutional, supply and demand side drivers"/>
        <s v="Enhancing bank stability from diversification and digitalization perspective in ASEAN"/>
        <s v="Big Data Analytics to Support Open Innovation Strategies in Banks"/>
        <s v="ANALYSIS OF CROATIAN PUBLIC MUSEUMS' DIGITAL INITIATIVES AMID COVID-19 AND RECOMMENDATIONS FOR MUSEUM MANAGEMENT AND GOVERNANCE"/>
        <s v="Research on digital spillover effect of internet enterprises - an exploratory study based on grounded theory"/>
        <s v="Digital entrepreneurship: The role of entrepreneurial orientation and digitalization for disruptive innovation"/>
        <s v="Cloud Enterprise Dynamic Risk Assessment (CEDRA): a dynamic risk assessment using dynamic Bayesian networks for cloud environment"/>
        <s v="Enhancing Short-Term Berry Yield Prediction for Small Growers Using a Novel Hybrid Machine Learning Model"/>
        <s v="Inside out: The interplay between institutions and digital technologies for SMEs performance"/>
        <s v="The impact of corporate digital strategic orientation on innovation output"/>
        <s v="Interventions suggested for the functional upgrading of the two most critical digital health services in Greece"/>
        <s v="Digital Storytelling as educational tool and strategy in 2D and 3D versions for the development of narrative competence in early childhood education"/>
        <s v="Business Strategy Transformation: The Impact of Global Digitalization and COVID-19 Pandemic Factors"/>
        <s v="Assessing the Efficacy of Cryptocurrency Applications' Affiliate Marketing Process on Supply Chain Firms' Website Visibility"/>
        <s v="The impact of digital healthcare on vulnerable pregnant women: A review of the use of the MyCare app in the maternity department at a central London tertiary unit"/>
        <s v="The penetration effect of digital leadership on digital transformation: the role of digital strategy consensus and diversity types"/>
        <s v="Drivers of Digital Transformation and their Impact on Organizational Management"/>
        <s v="The Role Chief Digital Officer (CDO) in Public Municipalities-The Conceptual Effect of a Functional Profile for Successful Transformation"/>
        <s v="Analysis of the perception of digital government and artificial intelligence in the public sector in Jalisco, Mexico"/>
        <s v="Teaching away from school: do school digital support influence teachers' well-being during Covid-19 emergency?"/>
        <s v="The acceptability of overdose alert and response technologies: introducing the TPOM-ODART framework"/>
        <s v="Improving KIBS performance using digital transformation: study based on the theory of resources and capabilities"/>
        <s v="Barriers to blockchain technology adoption in supply chains: the case of India"/>
        <s v="Ethical principles for infodemiology and infoveillance studies concerning infodemic management on social media"/>
        <s v="Fashion versus fitspo: The effect of viewing images of contemporary Barbie? dolls in passive versus active poses on college women?s body image and affect"/>
        <s v="Waving the flames of fan engagement: strategies for coping with the digital transformation in sports organizations"/>
        <s v="What to teach when we teach digital strategy? An exploration of the nascent field"/>
        <s v="Factors that favor or hinder the acquisition of a digital culture in large organizations in Chile"/>
        <s v="Automatization, artificial intelligence and digital strategies in the maintenance of railway TBM tunnels"/>
        <s v="Strategic Digital Transformation of State-owned Enterprises: Mission Embedding and Mode Selection-A Case Study Based on the Typical Digital Transformation of Three State-owned Enterprises"/>
        <s v="EU Member States' Institutional Twitter Campaigns on COVID-19 Vaccination: Analyses of Germany, Spain, France and Italy"/>
        <s v="STUDENT CO-EVALUATION OF METACOGNITIVE AND ARGUMENTATIVE TEXT COMMENTARIES: ANALYSIS OF A FORMATIVE PROCESS WITH DIGITAL RESOURCES"/>
        <s v="Empirical research on the influence of corporate digitalization on green innovation"/>
        <s v="Digital Advertising in the 2022 Midterms"/>
        <s v="Can salespeople use social media to enhance brand awareness and sales performance? The role of manager empowerment and creativity"/>
        <s v="Impacts of digital transformation on eco-innovation and sustainable performance: Evidence from Chinese manufacturing companies"/>
        <s v="Abstract socialities: digital advertising work and behavioural data modelling in Istanbul"/>
        <s v="Barriers and opportunities of digital servitization for SMEs: the effect of smart Product-Service System business models"/>
        <s v="Competences That Foster Digital Transformation of Public Administrations: An Austrian Case Study"/>
        <s v="DIVERSIFY OR DOUBLING DOWN: CHOOSING A DIGITAL GROWTH STRATEGY"/>
        <s v="Determinants of Digital Transformation in the Hospitality Industry: Technological, Organizational, and Environmental Drivers"/>
        <s v="Decidetexto Mexico: Recruitment and baseline characteristics of Mexican individuals who smoke in a cessation study"/>
        <s v="NFT Digital Twins: A Digitalization Strategy to Preserve and Sustain Miao Silver Craftsmanship in the Metaverse Era"/>
        <s v="Digital Twin: Where do humans fit in?"/>
        <s v="When and how digital platforms empower professional services firms: an agility perspective"/>
        <s v="Technological orientation and organizational resilience to Covid-19: The mediating role of strategy's digital maturity"/>
        <s v="Digital leadership role in developing business strategy suitable for digital transformation"/>
        <s v="Public Engagement in Digital Recommendations for Promoting Healthy Parental Behaviours from Preconception through the First 1000 Days"/>
        <s v="Shooting 'Yohani' to Global Stardom: A Teaching Case of Social Media Strategy of a Top-10 YouTuber"/>
        <s v="MULTIDIMENSIONAL MOBILE MAPPING AND INTEGRATED APPROACH FOR THE DIGITALISATION OF UNDERGROUND TRANSPORT INFRASTRUCTURE"/>
        <s v="Examining Recruitment Strategies in the Enrollment Cascade of Youth Living With HIV: Descriptive Findings From a Nationwide Web-Based Adherence Protocol"/>
        <s v="Distributed Ledger Technology Based Integrated Healthcare Solution for Bangladesh"/>
        <s v="Digital Transformation Characteristics of the Semiconductor Industry Ecosystem"/>
        <s v="Social Media Will Tell Your Story: The Digital Strategy of #Ham4Ham"/>
        <s v="Age-Based Digital Divide: Uses of the Internet in People Over 54 Years Old"/>
        <s v="Harnessing Data and Embracing Digital Strategy at Zalora"/>
        <s v="Strategic digital city: Concept, model, and research cases"/>
        <s v="Digital strategies and public services and relations with strategic digital city sub-projects: cases Brazil and Germany"/>
        <s v="Slow Fashion as a Communication Strategy of Fashion Brands on Instagram"/>
        <s v="Considering medical students' perception, concerns and needs for e-exam during COVID-19: a promising approach to improve subject specific e-exams"/>
        <s v="A Framework for Digital Development of Industrial Systems in the Strategic Drift to Industry 5.0"/>
        <s v="Bank lending during the COVID-19 pandemic: do alliances and digital strategies matter?"/>
        <s v="Digital Strategies for Screen Time Reduction: A Randomized Field Experiment"/>
        <s v="The International Education Index: A global approach to education policy analysis, performance and sustainable development"/>
        <s v="Pandemic, a catalyst for change: Strategic planning for digital education in English secondary schools, before during and post Covid"/>
        <s v="How do digital technologies improve supply chain resilience in the COVID-19 pandemic? Evidence from Chinese manufacturing firms"/>
        <s v="Food 4.0 for competing during the COVID-19 pandemic: experimenting digitalization in family firms"/>
        <s v="Barriers to the adoption of digital servitization: a case of the Sri Lankan manufacturing sector"/>
        <s v="Being digital and flexible to navigate the storm: How digital transformation enhances supply chain flexibility in turbulent environments"/>
        <s v="ASEAN and the Regime Complex for Digital Trade in the Asia-Pacific"/>
        <s v="DIGITAL TRANSFORMATION AND THE MANAGEMENT OF CHANGE IN TEACHERS OF A PERUVIAN UNIVERSITY, IN POST-PANDEMIC TIMES"/>
        <s v="Assessing Green Approaches and Digital Marketing Strategies for Twin Transition via Fermatean Fuzzy SWARA-COPRAS"/>
        <s v="Digital Technology Adoption and Sustainable Development Performance of Strategic Emerging Industries: The Mediating Role of Digital Technology Capability and the Moderating Role of Digital Strategy"/>
        <s v="DIGITAL STRATEGIC INITIATIVES AND DIGITAL RESOURCES: CONSTRUCT DEFINITION AND FUTURE RESEARCH DIRECTIONS1"/>
        <s v="Crowdsourcing framework applied to strategic digital city projects"/>
        <s v="MIDO COVID: A digital public health strategy designed to tackle chronic disease and the COVID-19 pandemic in Mexico"/>
        <s v="Advancing exposure data analytics and repositories as part of the European Exposure Science Strategy 2020-2030"/>
        <s v="A Cost-effectiveness Analysis of a Mobile Phone-Based Integrated HIV-Prevention Intervention Among Men Who Have Sex With Men in China: Economic Evaluation"/>
        <s v="Digital Transformation as an Enabler to Become More Efficient in Sustainability: Evidence from Five Leading Companies in the Mexican Market"/>
        <s v="The praxis of clickbait and The Trust Project: Risks and challenges for Spanish digital newspapers"/>
        <s v="The Usefulness of the Digitalization Integration Framework for Developing Digital Supply Chains in SMEs"/>
        <s v="EMPLOYMENT AND EDUCATION POLICY IN GERMANY IN THE CONTEXT OF DIGITALISATION AND INDUSTRY 4.0 DEVELOPMENT"/>
        <s v="Underpinning success factors of maintenance digital transformation: A hybrid reactive Delphi approach"/>
        <s v="An emergent taxonomy of boundary spanning in the smart city context-The case of smart Dublin"/>
        <s v="The strategic role of middle managers in the formulation and implementation of digital transformation projects"/>
        <s v="Digital Strategies to Improve Product Quality and Production Efficiency of Fluorinated Polymers: 1. Development of Kinetic Model and Experimental Verification for Fluorinated Ethylene Propylene Copolymerization"/>
        <s v="A differentiated digital intervention to improve antiretroviral therapy adherence among men who have sex with men living with HIV in China: a randomized controlled trial"/>
        <s v="Digital Transformation Evaluation for Small- and Medium-Sized Manufacturing Enterprises Using the Fuzzy Synthetic Method DEMATEL-ANP"/>
        <s v="Relations between strategies, public services, and strategic digital city: cases of Foz do Iguacu and Pinhais, Parana, Brazil"/>
        <s v="A Profit Framework Model for Digital Platforms Based on Value Sharing and Resource Complementarity"/>
        <s v="Survival during Times of Disruptions: Rethinking Strategies for Enabling Business Viability in the Developing Economy"/>
        <s v="Decoding Business Potential for Digital Sustainable Entrepreneurship: What Romanian Entrepreneurs Think and Do for the Future"/>
        <s v="Exploring the Alignment between Digital Strategies and Educational Practices in Higher Education Infrastructures"/>
        <s v="Social Media Strategy Processes for Centralized Payment Network Firms after a War Crisis Outset"/>
        <s v="Does Digital Transformation Enhance Corporate Risk-Taking?: Evidence from China"/>
        <s v="Enabling AI capabilities in government agencies: A study of determinants for European municipalities"/>
        <s v="Non-technical inhibitors: Exploring the adoption of digital innovation in the UK construction industry"/>
        <s v="Adoption of digital strategies across the human resource value chain"/>
        <s v="Taxation strategies for the governance of digital business model-An example of China"/>
        <s v="A resources ecosystem for digital and heritage-led holistic knowledge in rural regeneration"/>
        <s v="Decision Modeling and Evaluation of Enterprise Digital Transformation Using Data Mining"/>
        <s v="Identifying the pathways through digital transformation to achieve supply chain resilience: an fsQCA approach"/>
        <s v="Digital Transformation Security Challenges"/>
        <s v="Digital psychosocial intervention for depression among older adults in socioeconomically deprived areas in Brazil (PRODIGITAL-D): protocol for an individually randomised controlled trial"/>
        <s v="Limited or Limitless? Exploring the Potential of NFTs on Value Creation in Luxury Fashion"/>
        <s v="The strategic organization of innovation: State of the art and emerging challenges"/>
        <s v="Defining a Digital Strategy in a BIM Environment to Manage Existing Reinforced Concrete Bridges in the Context of Italian Regulation"/>
        <s v="Municipal public services and strategies in the context of the strategic digital city"/>
        <s v="Policy Gaps Related to Sustainability in Hungarian Agribusiness Development"/>
        <s v="SUSTAINABLE TRANSPORT WITHIN THE CONTEXT OF SMART CITIES IN THE SLOVAK REPUBLIC"/>
        <s v="Conditioning factors in the remote learning context in higher education"/>
        <s v="Education as a factor of cognitive society development in the conditions of digital transformation"/>
        <s v="Digitalization and Strategic Changes in Romanian Retail Fuel Networks: A Qualitative Study"/>
        <s v="Private participation in government-led backbone network projects: Lessons from three Latin American experiments"/>
        <s v="BINDING RELATIONSHIP BETWEEN DIGITAL MARKETING STRATEGIES AND THE FAILURE OF SMEs. GUAYAQUIL CASE STUDY"/>
        <s v="Digital and virtual strategies to advance community stakeholder engagement in research during COVID-19 pandemic"/>
        <s v="Correlation between BIM data creation and big data attributes in construction"/>
        <s v="How traditional and digital analytics interventions can enhance lung-protective ventilation strategies during general anaesthesia: A two-year quality improvement project analysis"/>
        <s v="Strengthening social regulation in the digital economy: comparative findings from the ICT industry"/>
        <s v="Exploring the outcomes of digital marketing on historic sites' visitor behaviour"/>
        <s v="Museum communication management in digital ecosystems. Impact of COVID-19 on digital strategy"/>
        <s v="Examining Board and Executive Staff Perceptions of Social Media in National Sport Organizations"/>
        <s v="Social media technologies: a waste of time or a good way to learn and improve technological competences?"/>
        <s v="The Impact of Digital Strategic Orientation on Enterprise Sustainable Performance Against the Background of 2030 Sustainable Performance Goal"/>
        <s v="Toward a digital citizen lab for capturing data about alternative ways of self-managing chronic pain: An attitudinal user study"/>
        <s v="DIGITAL BUSINESS MODEL TYPES: UNDERSTANDING THEIR MECHANISMS AS RECIPES TO COMMERCIALISE DIGITAL TECHNOLOGIES"/>
        <s v="Digital supply chain research trends: a systematic review and a maturity model for adoption"/>
        <s v="Applying the post-digital strategy of anexact architecture to non-standard design practices within the challenging construction contexts"/>
        <s v="The undigital behavior of innovative startups: empirical evidence and taxonomy of digital innovation strategies"/>
        <s v="Digital Balanced Scorecard System as a Supporting Strategy for Digital Transformation"/>
        <s v="THE ART OF HOLISTIC DIGITALISATION: A META-VIEW ON STRATEGY, TRANSFORMATION, IMPLEMENTATION, AND MATURITY"/>
        <s v="Managing digital transformation: The view from the top"/>
        <s v="HOW CAN MANAGERS DRIVE FIRM PERFORMANCE VIA DIGITAL INNOVATIONS?"/>
        <s v="Prioritizing barriers for the adoption of Industry 4.0 technologies"/>
        <s v="Evaluation of Digital Transformation Maturity of Small and Medium-Sized Entrepreneurial Enterprises Based on Multicriteria Framework"/>
        <s v="StudyU: A Platform for Designing and Conducting Innovative Digital N-of-1 Trials"/>
        <s v="Acceptability and Appropriateness of Digital PrEP Interventions for Black and Latina Cisgender Women: Perspectives From Service Providers in Los Angeles County"/>
        <s v="Mergers &amp; acquisitions in the elevator industry: The use of information and communication technologies to avoid information asymmetry"/>
        <s v="The platformization of military communication: The digital strategy of the Israel Defense Forces on Twitter"/>
        <s v="Digital Health Solutions and State of Interoperability: Landscape Analysis of Sierra Leone"/>
        <s v="A SINGLE EUROPEAN DATA SPACE AND DATA ACT FOR THE DIGITAL SINGLE MARKET: ON DATAFICATION AND THE VIABILITY OF A PSD2-LIKE ACCESS REGIME FOR THE PLATFORM ECONOMY"/>
        <s v="THE IMPACT OF SOCIAL MEDIA PLATFORMS ON THE GROWTH OF STARTUPS IN INDIA"/>
        <s v="Psychophysiological Reactions of Internet Users Exposed to Fluoride Information and Disinformation: Protocol for a Randomized Controlled Trial"/>
        <s v="Addressing the Challenges of Electronic Health Records Using Blockchain and IPFS"/>
        <s v="The Formation Mechanism of an Enterprise?s Digital Intelligence Transformation Capability: A Case Study on ?Knowledge-Action Oneness? in Haier"/>
        <s v="The key to scaling in the digital era: Simultaneous automation, individualization and interdisciplinarity"/>
        <s v="Digital Strategies to Accelerate Help-Seeking in Youth With Psychiatric Concerns in New York State"/>
        <s v="Digital Strategy and Social Media for Infectious Diseases"/>
        <s v="The Digital Classroom: How to Leverage Social Media for Infectious Diseases Education"/>
        <s v="Digital marketplace for tourism resilience in the pandemic age: voices from budget hotel customers"/>
        <s v="The Implication of Digital Organisational Culture on Firm Performance"/>
        <s v="How customer engagement in the live-streaming affects purchase intention and customer acquisition, E-tailer?s perspective"/>
        <s v="Relationship between External Environment, Internal Conditions, and Digital Transformation from the Perspective of Synergetics"/>
        <s v="Neglected to Indispensable: Lessons from beyond Access for Global Public Library Reform and Development"/>
        <s v="The Impact of Security and Payment Method On Consumers' Perception of Marketplace in Saudi Arabia (Case Study on Noon)"/>
        <s v="DIAGNOSIS OF DIGITAL TRANSFORMATION IN HOTEL BUSINESS: CASE STUDY AT THE HOTEL NACIONAL DE CUBA"/>
        <s v="Decision-Making Model for Reinforcing Digital Transformation Strategies Based on Artificial Intelligence Technology"/>
        <s v="Building an Integrated Digital Transformation System Framework: A Design Science Research, the Case of FedUni"/>
        <s v="Three-arm randomised controlled trial of an m-health app and digital engagement strategy for improving treatment adherence and reducing suicidal ideation in young people: study protocol"/>
        <s v="Digital Marketing Enhancement of Cryptocurrency Websites through Customer Innovative Data Process"/>
        <s v="Digital transformation models in the management of commercial companies"/>
        <s v="Strategic Responses to Digital Disruption in Incumbent Firms- A Strategy-as-Practice Perspective"/>
        <s v="An analysis of current obesity strategies for adolescents in NSW against best practice recommendations: Implications for researchers, policymakers and practitioners"/>
        <s v="Digital transformation and sustainable performance: The moderating role of market turbulence"/>
        <s v="Maturity model toll to diagnose Industry 4.0 in the clothing industry"/>
        <s v="How to benefit from digital platform capabilities? Examining the role of knowledge bases and organisational routines updating"/>
        <s v="Manipulating image luminance to improve eye gaze and verbal behavior in autistic children"/>
        <s v="Museum digital strategies during the pandemic: Prado National Museum and Reina Sofia National Art Center Museum"/>
        <s v="TikTok as a tool for innovation in library information services"/>
        <s v="Organization and management scholars' technological conservatism: Could we free ourselves from the shackles of paper-bound logic?"/>
        <s v="Promotion of Intercultural Competencies and Use of ICT: Towards a Digitally Inclusive University"/>
        <s v="Data Intelligence in Public Transportation: Sustainable and Equitable Solutions to Urban Modals in Strategic Digital City Subproject"/>
        <s v="Digital platforms and SMEs' business model innovation: Exploring the mediating mechanisms of capability reconfiguration"/>
        <s v="Managing digital transformation during re-internationalization: Trajectories and implications for performance"/>
        <s v="Mastering digital transformation: The nexus between leadership, agility, and digital strategy"/>
        <s v="China's COVID-19 Control Strategy and Its Impact on the Global Pandemic"/>
        <s v="Hashtags - A Keystone of Instagram in the Hotel Digital Strategy. An Iberian Case Study"/>
        <s v="The Development Process of the New Quebec Digital Suicide Prevention Strategy: Suicide.ca"/>
        <s v="Hubs, hopes and high stakes for a relatively disadvantaged low tech place"/>
        <s v="Randomized clinical trials of weight loss: Pragmatic and digital strategies and innovations"/>
        <s v="Digitalization Opportunities Road Mapping Tool (DORMT©): A framework to assess digitalization opportunities in construction organizations"/>
        <s v="An Empirical Study of Mobile Commerce and Customers Security Perception in Saudi Arabia"/>
        <s v="Moving Food Assistance into the Digital Age: A Scoping Review"/>
        <s v="COVID-19 and E-Commerce Operations: Evidence from Alibaba"/>
        <s v="The PPE industry in Italy during COVID-19: supply chain disruption and the adoption of digital and social media in B2B firms"/>
        <s v="Holocaust museums, Holocaust memorial culture, and individuals: a Constructivist perspective"/>
        <s v="A Digital Strategy Development Framework for Supply Chains"/>
        <s v="How Is Mobile User Behavior Different?-A Hidden Markov Model of Cross-Mobile Application Usage Dynamics"/>
        <s v="Co-production in digital transformation of public administration and public value creation: The case of Denmark"/>
        <s v="21ST-CENTURY LEARNING: UNDERSTANDING THE LANGUAGE LEARNING STRATEGIES WITH TECHNOLOGY LITERACY AMONG L2 LEARNERS"/>
        <s v="Digital Transformation From the Industry Perspective: Definitions, Goals, Conceptual Model, and Processes"/>
        <s v="Digital cultural industrialism and the arts A critical look at Creative Canada and the Canada Council for the Arts' Digital Strategy Fund"/>
        <s v="Impact of COVID-19 on the consumption of local brands in Guanajuato: an analysis from the population distribution"/>
        <s v="The Audacity of Clout (Chasing): Digital Strategies of Black Youth in Chicago DIY Hip-Hop"/>
        <s v="Uses of Blended Learning and its Impact in a High School Social Studies Classroom"/>
        <s v="Communication agencies in the face of new Social Media. Early adopters or late incorporations?"/>
        <s v="Digital Strategy Decision Support Systems: Agrifood Supply Chain Management in SMEs"/>
        <s v="Hospital managers' participation in operational planning: insights from a recent study in the Greek National Health System"/>
        <s v="UNRAVELING THE MEDICAL LABORATORY SCIENCE STUDENTS' ACADEMIC LIVED-EXPERIENCES AND THEIR APPRECIATION OF MOTIVATIONAL LEARNING STRATEGIESINTHE DIGITAL LEARNING"/>
        <s v="Society 5.0 Transformation Digital Strategy in Japan"/>
        <s v="Epidemic Exposure Tracking With Wearables: A Machine Learning Approach to Contact Tracing"/>
        <s v="ANALYSIS OF METHODOLOGY OF RATING EVALUATION OF DIGITAL ECONOMY AND E-GOVERNMENT DEVELOPMENT IN UZBEKISTAN"/>
        <s v="STRATEGIC DIGITAL MARKETING DEVELOPMENT: A CASE STUDY OF AN ONLINE ENTREPRENEUR IN FACEBOOK DURING EMERGING DISEASES OF THE NOVEL CORONAVIRUS 2019 (COVID-19) PANDEMIC"/>
        <s v="Journalist-Twitterers as Political Influencers in Brazil: Narratives and Disputes Towards a New Intermediary Model"/>
        <s v="Evaluation of possible systematic effects in SfM UAV based point clouds: TLS and surface variations for error mitigation methods"/>
        <s v="Innovative Cryptocurrency Trade Websites' Marketing Strategy Refinement, via Digital Behavior"/>
        <s v="The arrangement of elmundo.es in the digital strategy of Unidad Editorial (1996-2021)"/>
        <s v="Digital Strategies to Combat the Impacts of the Covid-19 Pandemic in the Business Context"/>
        <s v="Feminist Cyberactivism in Chile. The experience of the Observatory against Street Harassment"/>
        <s v="The interweaving of influences The pandemic and the communication strategies of 12 actors through their accounts Facebook"/>
        <s v="DIGITAL STRATEGY ASSESSMENT IN EDUCATION. WHAT ACTIONS NEED TO BE ADDRESSED? THE PERCEPTION OF STUDENTS IN SOCIAL SCIENCES AND HUMANITIES"/>
        <s v="Measuring digital economy in China"/>
        <s v="A non-intrusive Industry 4.0 retrofitting approach for collaborative maintenance in traditional manufacturing"/>
        <s v="Play the Pain: A Digital Strategy for Play-Oriented Research and Action"/>
        <s v="Co-Creation of a Multi-Component Health Literacy Intervention Targeting Both Patients with Mild to Severe Chronic Kidney Disease and Health Care Professionals"/>
        <s v="A New Order: The Digital Services Act and Consumer Protection"/>
        <s v="The Digital Strategies of Publishing Houses: A Matter of Book Content?"/>
        <s v="A Measuring Tool for the Digital Maturity of Small and Medium-Sized Enterprises"/>
        <s v="Digitalization Business Strategies in Energy Sector: Solving Problems with Uncertainty under Industry 4.0 Conditions"/>
        <s v="Exploring the Contributions and Challenges of Museum Technology Professionals during the COVID-19 Crisis"/>
        <s v="Digital Retrofitting of legacy machines: A holistic procedure model for industrial companies"/>
        <s v="Convergence of linear television and digital platforms: An analysis of YouTube offer and consumption"/>
        <s v="Factors Affecting Enterprise Level Green Innovation Efficiency in the Digital Economy Era - Evidence from Listed Paper Enterprises in China"/>
        <s v="EU Agricultural Digitalization Decalogue"/>
        <s v="When partisan groups get access to the digital society: re-voicing religion in Poland"/>
        <s v="Digitalization and corporate transformation: The case of European oil &amp; gas firms"/>
        <s v="The impact of COVID-19 on digital data practices in museums and art galleries in the UK and the US"/>
        <s v="The persistence of platforms: The role of network, platform, and complementor attributes"/>
        <s v="Pockets of Resilience - the Digital Responses of Youth Collectives in Contemporary Art Museums During Lockdown"/>
        <s v="THE PANDEMIC OF COVID-19 AND THE LEVEL OF DIGITAL MATURITY OF MICRO AND SMALL BUSINESSES, A GLOBAL CONCERN"/>
        <s v="Framing Diversity in Corporate Digital Contexts: A Multimodal Approach to Discursive Recontextualizations of Social Practices"/>
        <s v="Press Freedom during Covid-19: The Digital Discourses of the International Press Institute, Reporters Sans Frontieres, and the Committee to Protect Journalists"/>
        <s v="Using quizzes to provide an effective and more enjoyable dental education: A pilot study"/>
        <s v="An integrated SWOT based fuzzy AHP and fuzzy MARCOS methodology for digital transformation strategy analysis in airline industry"/>
        <s v="Hybrid polarizable simulations of a conventional hydrophobic polyelectrolyte. Toward a theoretical tool for green science innovation"/>
        <s v="Dynamic capabilities for digital transformation"/>
        <s v="Integrated knowledge visualization and the enterprise digital twin system for supporting strategic management decision"/>
        <s v="Neither Sublimes Nor Castrophes: Digital Affordances In Silent Film Heritage And Suggestions From Home Movies Collections"/>
        <s v="DIGITAL MARKETING IN CRISIS TIME"/>
        <s v="6B Model for Business-Aligned Digital Transformation"/>
        <s v="Art Galleries in Transformation: Is COVID-19 Driving Digitisation?"/>
        <s v="Impacts of digital transformation on firms' competitive advantages: A systematic literature review"/>
        <s v="Estimating Patient Empowerment and Nurses' Use of Digital Strategies: eSurvey Study"/>
        <s v="Impact of Digital Strategic Orientation on Organizational Performance through Digital Competence"/>
        <s v="Digital marketing in SMEs via data-driven strategies: Reviewing the current state of research"/>
        <s v="Are Social Media Worth It for News Media?: Explaining News Engagement on Tumblr and Digital Traffic of News Websites"/>
        <s v="Strategic approaches to augmented reality deployment by luxury brands"/>
        <s v="Design of a business readiness model to realise a green industry 4.0 company"/>
        <s v="Digital strategy aligning in SMEs: A dynamic capabilities perspective"/>
        <s v="Mobile channel as a strategic distribution channel in times of crisis: a self-determination theory perspective"/>
        <s v="Epistemological Equation for Analysing Uncontrollable States in Complex Systems: Quantifying Cyber Risks from the Internet of Things"/>
        <s v="Modeling the platform-based banking in commercial banks of Iran"/>
        <s v="The behavior of managers handling digital business transformations: theoretical issues and preliminary evidence from firms in the manufacturing industry"/>
        <s v="Attention Deficit Hyperactivity Disorder among English language learners of Sterilization program amidst COVID-19"/>
        <s v="Customer segment transition through the customer loyalty program"/>
        <s v="Influence of Digital Technologies and Its Technological Dynamics on Company Management"/>
        <s v="Digital strategy implementation: The role of individual entrepreneurial orientation and relational capital"/>
        <s v="Treatment Needs and Service Delivery for Patients with Dual Disorders During the COVID-19 Pandemic: Findings From the WADD Survey"/>
        <s v="Influencing factors of digital transformation: management or IT is the driving force?"/>
        <s v="(Dis)Innovative digital strategy in professional sport: examining sponsor leveraging through social media"/>
        <s v="Digital is Strategy: The Role of Digital Technology Adoption in Strategy Renewal"/>
        <s v="Challenges for public transportation: Consequences and possible alternatives for the Covid-19 pandemic through strategic digital city application"/>
        <s v="Luxury fashion start-up brands' digital strategies with female Gen Y in the Middle East"/>
        <s v="Making the COVID-19 Pandemic a Driver for Digital Health: Brazilian Strategies"/>
        <s v="Digitalisation and Innovation in the Steel Industry in Poland-Selected Tools of ICT in an Analysis of Statistical Data and a Case Study"/>
        <s v="Key Drivers of Digital Transformation in Greek Businesses: Strategy vs. Technology"/>
        <s v="Strategies and Digital Organization of Professors for Teaching and Connectivity in the Context of the COVID-19 Pandemic"/>
        <s v="Gamblified digital product offerings: an experimental study of loot box menu designs"/>
        <s v="Human determinants influencing the digital transformation strategy of multigenerational family businesses: a multiple-case study of five French growth-oriented family firms"/>
        <s v="Digital transformation in the Greek fashion industry: A survey"/>
        <s v="Same Old Song with a Different Melody: The Paradox of Market Reach and Financial Performance on Digital Platforms"/>
        <s v="Living and learning with Covid-19: re-imagining the digital strategy for schools in Ireland"/>
        <s v="Investigating ERP Readiness Enablers and Inhibitors Among Egyptian Higher Education Institutions"/>
        <s v="Digital Transformation Leadership Characteristics: a Literature Analysis"/>
        <s v="Gamification and cultural institutions in cultural heritage promotion: a successful example from Italy"/>
        <s v="Engineering companies and their readiness for Industry 4.0"/>
        <s v="Small Donor Contributions in Response to Email Outreach by a Political Campaign"/>
        <s v="Come to My Garbage Show!: Semiotics and Audience Development for Wastelands"/>
        <s v="Leveraging Digital Technology in Conducting Longitudinal Research on Mental Health in Pregnancy: Longitudinal Panel Survey Study"/>
        <s v="Leveraging Technology to Blend Large-Scale Epidemiologic Surveillance With Social and Behavioral Science Methods: Successes, Challenges, and Lessons Learned Implementing the UNITE Longitudinal Cohort Study of HIV Risk Factors Among Sexual Minority Men in the United States"/>
        <s v="The influence of a digital strategy on the digitalization of new ventures: The mediating effect of digital capabilities and a digital culture"/>
        <s v="RETRACTED: Current trends in the digital transformation of higher education institutions in Russia (Retracted article. See APR, 2023)"/>
        <s v="Management of digital communication in spanish cooperatives"/>
        <s v="Optimizing the Use of Telemedicine in Oncology Care: Postpandemic Opportunities"/>
        <s v="How Did the COVID-19 Pandemic Affect Higher Education Learning Experience? An Empirical Investigation of Learners' Academic Performance at a University in a Developing Country"/>
        <s v="Distance Learning as a Resilience Strategy during Covid-19: An Analysis of the Italian Context"/>
        <s v="Digital strategies for structured and architected materials design"/>
        <s v="Teaching Physics for Computer Science Students in Higher Education During the COVID-19 Pandemic: A Fully Internet-Supported Course"/>
        <s v="Applying Frameworks for Cognitive Services in IIoT"/>
        <s v="Women in Mosques: mapping the gendered religious space through online activism"/>
        <s v="How the Field of Infectious Diseases Can Leverage Digital Strategy and Social Media Use During a Pandemic"/>
        <s v="In Search of the Americanization: Candidates and Political Campaigns in European General Election"/>
        <s v="Provocation as Agentic Practice: Gender Performativity in Online Strategies of Transgender Sex Workers"/>
        <s v="Leadership characteristics and digital transformation"/>
        <s v="Cultivating learners who 'think like vocational professionals': signature pedagogies, technology and vocational learning"/>
        <s v="Micro-platformization for digital activism on social media"/>
        <s v="Speech in a digital era: teaching and learning differently?"/>
        <s v="Discovering the Value Creation System in IoT Ecosystems"/>
        <s v="Towards Reaping the Promotions of Big Data in Healthcare Services"/>
        <s v="Thematic analysis on a model of implementation of open and technological banking in commercial banks in Iran"/>
        <s v="Conceptual architecture of the epidemiological surveillance technology platform for COVID-19"/>
        <s v="Digital learnings built with children in situation of school socioeconomic segregation"/>
        <s v="Resolving the productivity paradox of digitalised production"/>
        <s v="Indicators of Website Features in the User Experience of E-Tourism Search and Metasearch Engines"/>
        <s v="Using Crowd wisdom via crowdsourcing Proof of concept of an efficient digital strategy in the age of digital business complexity"/>
        <s v="Analysis of the digitization process of a Secondary School from the DigCompOrg model"/>
        <s v="Olympic Channel: Digital strategy and content"/>
        <s v="Integrated Measurement for Early Detection (MIDO) as a digital strategy for timely assessment of non-communicable disease profiles and factors associated with unawareness and control: a retrospective observational study in primary healthcare facilities in Mexico"/>
        <s v="Communication and cultural spaces in times of COVID-19"/>
        <s v="MANN's DIGITAL STRATEGY"/>
        <s v="DRIVERS AND CONSEQUENCES OF BUSINESS-REFERENCE-CONTENT (BRC): THE ROLE OF NARRATIVE TRANSPORTATION IN B2B COMMUNICATION"/>
        <s v="STRATEGIC AND DIGITAL MARKETING IN CULTURAL INSTITUTIONS AND THE IMPACT OF THE COVID-19 PANDEMIC - A COMPARATIVE ANALYSIS OF TWO CASE STUDIES"/>
        <s v="From Off to On in the Wholesale Fashion Market: the Potential of Digital Influencers"/>
        <s v="The effect of islands of improvement on the maturity models for industry 4.0: the implementation of an inventory management system in a beverage factory"/>
        <s v="LEGAL PECULIARITIES OF DIGITALIZATION OF THE ECONOMY IN THE CONTEXT OF THE DEVELOPMENT OF THE INFORMATION SOCIETY IN UKRAINE"/>
        <s v="The Challenges of Implementing the EAEU's Digital Agenda"/>
        <s v="Digital strategies and commercial relations of the artisanal sector in the north of Canton Santa Elena, province of Santa Elena, 2020"/>
        <s v="MODELLING THE INTERNAL FORCES OF SMEs DIGITAL ADAPTATION STRATEGY TOWARDS INDUSTRY REVOLUTION 4.0"/>
        <s v="COMMUNITY-BASED INTERVENTION RESEARCH STRATEGIES Digital Inclusion for Marginalized Populations"/>
        <s v="Implementing smart city strategies in Greece: Appetite for success"/>
        <s v="Crowdfunding digital platforms: Backer networks and their impact on project outcomes"/>
        <s v="COVID19 EMERGENCY, HEALTH PROTECTION AND DIGITALIZATION: THE ARGUMENTATIVE LIMITS OF THE DIGITAL STRATEGY"/>
        <s v="In the Aftermath of the Pandemic: Higher Education Students Rely on Technology to Write Their Thesis, Break Their Social Isolation and Find the Will to Persevere"/>
        <s v="Digitalization of Investment-Innovative Activities of the Trade Business Entities in Network IT-System"/>
        <s v="The importance of Industry 4.0 and digital transformation for SMEs"/>
        <s v="Two groups separated by a shared goal: how academic managers and lecturers have embraced the introduction of digital technologies in UK Higher Education"/>
        <s v="Digital transformation: challenges faced by organizations and their potential solutions"/>
        <s v="Layla's Got You: Developing a tailored contraception chatbot for Black and Hispanic young women"/>
        <s v="An Investigation into a Digital Strategy for Industrial Design Education"/>
        <s v="eHealth Practices in Cancer Survivors With BMI in Overweight or Obese Categories: Latent Class Analysis Study"/>
        <s v="Learning Strategies at a Higher Taxonomic Level in Primary Education Students in the Digital Age"/>
        <s v="Social Network Replies that Denounce Inequalities of the #AprenderDigital Strategy in Time of Covid-19"/>
        <s v="Impact of COVID-19 pandemic on information management research and practice: Transforming education, work and life"/>
        <s v="Evaluating the EU's role as a global actor in the digital space"/>
        <s v="A FRAMEWORK FOR DIGITAL TRANSFORMATION AND BUSINESS MODEL INNOVATION"/>
        <s v="Navigating through the complex transport system: A heuristic approach for city tourism recommendation"/>
        <s v="Digital Strategies for Biopharma Manufacturing"/>
        <s v="Digital Media as a Tool of Manipulation in Democratic Electoral Processes: An Analysis of the Brexit Case"/>
        <s v="Coexistence between radio and social networks in the process of media convergence in Spain"/>
        <s v="An assessment of perceptions concerning digital transformation at a South African commercial bank - a case of Anthropocene denial for the economy?"/>
        <s v="Organizational Adoption of Social Media in the Hospitality Industry: An Integrated Approach Based on DIT and TOE Frameworks"/>
        <s v="Auditing the Me Inc.: Teaching personal branding on LinkedIn through an experiential learning method"/>
        <s v="DIGITAL TRANSFORMATION OF CENTRU REGION ROMANIA - NEEDS ASSESSMENT"/>
        <s v="Implementing a Digital Strategy: Learning from the Experience of Three Digital Transformation Projects"/>
        <s v="Road to digital manufacturing - a longitudinal case-based analysis"/>
        <s v="Data Collection in Multiple Sclerosis: The MSDS Approach"/>
        <s v="Convergence and digital fusion lead to competitive differentiation"/>
        <s v="Platform drifting: When work digitalization hijacks its spirit"/>
        <s v="Barriers to the adoption of industry 4.0 technologies in the manufacturing sector: An inter-country comparative perspective"/>
        <s v="Building Information Modeling Implementation Framework for Smart Airport Life Cycle Management"/>
        <s v="How do banks interact with fintech startups?"/>
        <s v="Antecedents, consequences, and challenges of small and medium-sized enterprise digitalization"/>
        <s v="Digital Transformation LEARNING YOUR WAY TO A NEW BUSINESS MODEL What's your digital strategy?"/>
        <s v="A research model for identifying factors that drive effective decision-making and the future of work"/>
        <s v="Comparing Digital Strategies and Social Media Usage in B2B and B2C Industries in Spain"/>
        <s v="The digital gaps in Mexico: A relevant balance"/>
        <s v="How Digital Strategy and Management Games Can Facilitate the Practice of Dynamic Decision-Making"/>
        <s v="THE ADOPTION OF DIGITAL TECHNOLOGIES IN THE RECONSTRUCTION OF HERITAGE: experience report of the National Museum, Brazil"/>
        <s v="UNIVERSITY E-READINESS FOR THE DIGITAL TRANSFORMATION: THE CASE OF UNIVERSIDAD NACIONAL DEL SUR"/>
        <s v="The effect of digital transformation strategy on performance The moderating role of cognitive conflict"/>
        <s v="A control strategy for an offshore wind farm with the generating units connected in series with a VSC-HVDC transmission link"/>
        <s v="Transnational Advocacy and NGOs in the Digital Era: New Forms of Networked Power"/>
        <s v="Emotional Encounters and Young Feminine Choreographies in the Helsinki Metro"/>
        <s v="A Framework for Digital Marketing Research: Investigating the Four Cultural Eras of Digital Marketing"/>
        <s v="Digital Marketing for Sustainable Growth: Business Models and Online Campaigns Using Sustainable Strategies"/>
        <s v="Digital transformation priorities of India's discrete manufacturing SMEs - a conceptual study in perspective of Industry 4.0"/>
        <s v="Strategic action fields of digital transformation An exploration of the strategic action fields of Swiss SMEs and large enterprises"/>
        <s v="LEARNING OF READING AND WRITING AND NEW DIGITAL STRATEGIES: LEGAL INDICATORS AND KEY ELEMENTS OF A CONTEXTUALIZATION OF THE BRAZILIAN EDUCATIONAL REALITY"/>
        <s v="How do users of a 'digital-only' contraceptive service provide biometric measurements and what does this teach us about safe and effective online care? A qualitative interview study"/>
        <s v="The assaulted monument: from emotion to exhibition"/>
        <s v="Approach to digital educational experiences in the face of the COVID-19 crisis in the university context with students of functional diversity"/>
        <s v="INTEGRATED MARKETING COMMUNICATION (IMC) IN HIGHER EDUCATION (HE) IN PANDEMIC TIMES"/>
        <s v="Collaborative Media Practices and Interconnected Digital Strategies of Islamic State (IS) and Pro-IS Supporter Networks on Telegram"/>
        <s v="Framing Policy Visions of Big Data in Emerging States"/>
        <s v="The digital transformation of external audit and its impact on corporate governance"/>
        <s v="MOLISE: A DIGITAL STRATEGY FOR THE DISSEMINATION OF THE CULTURAL HERITAGE OF THE REGION"/>
        <s v="The business of news in the attention economy: Audience labor and MediaNews Group's efforts to capitalize on news consumption"/>
        <s v="Improving CBT supervision. Four years of implementing NES Specialist Supervision Training for CBT in Scotland"/>
        <s v="Digital storytelling: a tool for promoting historical understanding among college students"/>
        <s v="Digital strategy to strengthen the commercial management of Cuban agro livestock cooperatives"/>
        <s v="CONSUMER BEHAVIOR IN THE DIGITAL AGE"/>
        <s v="Representations and Concepts of Borders in Digital Strategy Games and Their Potential for Political Education in Geography Teaching"/>
        <s v="Responsive Graphic Marks in the Digital Strategy of the Corporate Visual Identity"/>
        <s v="Digital transformation strategies for existed firms: from the perspectives of data ownership and key value propositions"/>
        <s v="What Is Different About Digital Strategy? From Quantitative to Qualitative Change"/>
        <s v="Digital Strategies for Building Spiritual Intimacy: Families on a Wired Camino"/>
        <s v="Issues of Strategic Digital City"/>
        <s v="DIGITAL STRATEGY - INTEGRATED APPROACH AND GENERIC OPTIONS"/>
        <s v="Hashtag Activism for and against Dilma Rousseff's Impeachment"/>
        <s v="Digital transformation in higher education: critiquing the five-year development plans (2016-2020) of 75 Chinese universities"/>
        <s v="Examining digital video advertising (DVA) effectiveness The role of product category, product involvement, and device"/>
        <s v="Latecomer Economies and National Digital Policy: An Industrial Policy Perspective"/>
        <s v="Recording and Reconstructing the Sacred Landscapes of Sicilian Naxos"/>
        <s v="Sustainability strategy as a moderator in the relationship between digital business strategy and financial performance"/>
        <s v="In pursuit of an effective B2B digital marketing strategy in an emerging market"/>
        <s v="User-defined microstructures array fabricated by DMD based multistep lithography with dose modulation"/>
        <s v="Is digital health care more equitable? The framing of health inequalities within England's digital health policy 2010-2017"/>
        <s v="Application of digital technologies in health insurance for social good of bottom of pyramid customers in India"/>
        <s v="Cyberbiosecurity in Advanced Manufacturing Models"/>
        <s v="Developing strategies to improve agility in the project procurement management (PPM) process Perspective of business intelligence (BI)"/>
        <s v="There's an App for That: Telecom, Children's Rights, and Conflicting Logics of Corporate Social Responsibility"/>
        <s v="Driving forces and barriers of Industry 4.0: Do multinational and small and medium-sized companies have equal opportunities?"/>
        <s v="Data maturity analysis and business performance. A Colombian case study"/>
        <s v="To end disease tomorrow, begin with trials today: Digital strategies for increased awareness of a clinical trials finder"/>
        <s v="Importance of the inclusion of strategies with digital social networks in restaurants of the gastronomic zone of Tijuana"/>
        <s v="Territorial brand as strategic resource in strategic digital city subprojects: case study of the city of Porto Alegre, RS, Brazil"/>
        <s v="DIGITAL TRANSFORMATION AND EGOVERNMENT. FOR A RESEARCH AGENDA ON THE LIGURIA REGION"/>
        <s v="Digital diagrams and urban and territorial cartography. Contemporary schematic depictions of immateriality"/>
        <s v="The underlying factors of a successful organisational digital transformation"/>
        <s v="Big data applied to strategic digital city: study on the volume of data in the smart city applications"/>
        <s v="Digital Health in the Rheumatology - Status Survey 2018/19"/>
        <s v="Disruptions of account planning in the digital age"/>
        <s v="When culture meets digital platforms: value creation and stakeholders' alignment in big data use"/>
        <s v="Has Digital Distribution Rejuvenated Readership? Revisiting the age demographics of newspaper consumption"/>
        <s v="Digital transformation strategy making in pre-digital organizations: The case of a financial services provider"/>
        <s v="Strategies of Digitized Learning"/>
        <s v="FACEBOOK LIVE AND SOCIAL TELEVISION: THE USE OF STREAMING IN ANTENA 3 AND LASEXTA"/>
        <s v="Medical Data Management - Approach, Concepts, Strategic and Operative Implications"/>
        <s v="Learning with digital video in second level schools in Ireland"/>
        <s v="Improving access to e-resources for users at the University of Derby: enhancing discovery systems with Library Plus 2.0"/>
        <s v="y COMPLEX TARGET PROGRAM AS A TOOL TO STIMULATE REGIONAL DEVELOPMENT"/>
        <s v="TECHNOLOGICAL EMBEDDEDNESS OF INTER-ORGANIZATIONAL COLLABORATION PROCESSES"/>
        <s v="The digital commercialisation of US politics - 2020 and beyond"/>
        <s v="Re-examining of consumers' responses toward social media advertising and purchase intention toward luxury products from 2013 to 2018: A retrospective commentary"/>
        <s v="LOGICS HINDERING DIGITAL TRANSFORMATION IN CULTURAL HERITAGE STRATEGIC MANAGEMENT: AN EXPLORATORY CASE STUDY"/>
        <s v="The Reach and Feasibility of an Interactive Lung Cancer Screening Decision Aid Delivered by Patient Portal"/>
        <s v="Reducing the Digital Divide in Vulnerable Communities in Southeastern Mexico"/>
        <s v="Transforming Education for Museum Professionals in the Digital Age"/>
        <s v="DIGITAL SCHOOL NETWORKS Technology Integration as a Joint Research and Development Effort"/>
        <s v="The relationship as a strategic value in organizational communication between football clubs and star players in social networks. Case study of Real Madrid CF / Cristiano Ronaldo and FC Barcelona / Leo Messi"/>
        <s v="LEGAL ASPECTS OF INFORMATION POLICY IN THE MODERN SOCIETY: A COMPARATIVE ANALYSIS"/>
        <s v="Reading comprehension in e-Learning: support strategies and working memory"/>
        <s v="Reconceptualizing value innovation for Industry 4.0 and the Industrial Internet of Things"/>
        <s v="Searching for Data Privacy Self-Management: Individual Data Control and Canada's Digital Strategy"/>
        <s v="ARCHAEOLOGY AND AUDIENCE DEVELOPMENT DIGITAL STRATEGIES: A RESEARCH CONDUCTED WITH THE TEAM OF ARCHEOLOGIA E CALCOLATORI"/>
        <s v="Toward a model of the municipal evidence-based decision process in the strategic digital city context"/>
        <s v="Digital Literacy in Digital Strategy"/>
        <s v="Democratizing Discovery: The Impact of Digital Culture on the Research Library"/>
        <s v="Job profiles for museums in the digital era: research conducted in Portugal, Italy and Greece within the Mu.SA project"/>
        <s v="The use of netnography as a research method to analyze online brand communities: the case of Estrella Damm"/>
        <s v="The Role of Digital Strategies in Financing Health Care for Universal Health Coverage in Low- and Middle-Income Countries"/>
        <s v="Strengthening Delivery of Health Services Using Digital Devices"/>
        <s v="A heuristic approach to the multicriteria design of IaaS cloud infrastructures for Big Data applications"/>
        <s v="Actissist: Proof-of-Concept Trial of a Theory-Driven Digital Intervention for Psychosis"/>
        <s v="HOW ARE DYNAMIC CAPABILITIES AND DIGITAL MARKETING RELATED? A REFLECTION FROM LITERATURE"/>
        <s v="Trump 2016: ?President Elected Thanks to Social Media?"/>
        <s v="Twitter information for contributing to the strategic digital city: Towards citizens as co-managers"/>
        <s v="EDUCATIC: IMPLEMENTATION OF A TECNO-EDUCATIONAL STRATEGY FOR UNIVERSITY DIGITAL COMPETENCE DEVELOPMENT"/>
        <s v="The Digital Architectures of Social Media: Comparing Political Campaigning on Facebook, Twitter, Instagram, and Snapchat in the 2016 US Election"/>
        <s v="The Body and the Possible Soul in Digital Ekphrastic Poetry"/>
        <s v="Cognitive Automation as Part of Deakin University's Digital Strategy"/>
        <s v="Organizational readiness for the digital transformation: a case study research"/>
        <s v="Success of promotion strategies for a stroke rehabilitation protocol"/>
        <s v="Development of the place-based Adelante social marketing campaign for prevention of substance use, sexual risk and violence among Latino immigrant youth"/>
        <s v="Digital strategies for two-sided markets: A case study of shopping malls"/>
        <s v="The Imperative of Solving Nurses' Usability Problems With Health Information Technology"/>
        <s v="The complicity of digital technologies in the marketisation of UK higher education: exploring the implications of a critical discourse analysis of thirteen national digital teaching and learning strategies"/>
        <s v="The digital strategy of internationalisation of Marca in Latin America. Study case of MARCA Claro in Mexico"/>
        <s v="Aligning with new digital strategy: A dynamic capabilities approach"/>
        <s v="Practitioners understanding of big data and its applications in supply chain management"/>
        <s v="Technology, popular culture and everyday life: The electoral defeat of New Zealand Internet MANA"/>
        <s v="Achieving Strategic Digital Integration: Views From Experienced New York City Advertising Agency Professionals"/>
        <s v="Factors influencing technology use by Mayan women in the digital age"/>
        <s v="Mount Vernon's Historic Building Information Management System Digital Strategies for Preservation in the Twenty-First Century"/>
        <s v="Is the equalization/normalization lens dead? Social media campaigning in US congressional elections"/>
        <s v="Millennials' abandonment of linear television"/>
        <s v="Internet-based digitalmarketing strategies fordata-rich environments: A social network perspective to study gossips"/>
        <s v="Strategy for Digital Organization: Testing a Measurement Tool for Digital Transformation"/>
        <s v="Technology Firms Shape Political Communication: The Work of Microsoft, Facebook, Twitter, and Google With Campaigns During the 2016 US Presidential Cycle"/>
        <s v="Real-Time Chest Compression Quality Measurements by Smartphone Camera"/>
        <s v="Blockchain in Logistics and Supply Chain: A Lean Approach for Designing Real-World Use Cases"/>
        <s v="Strategic Digital City Project as Public Policy: the case of Chicago, USA"/>
        <s v="Renewal of the Museum in the Digital Epoch"/>
        <s v="Two digital strategies in modern implantology - root-analogue implants and the digital one-abutment/one-time concept"/>
        <s v="Improving journeys by opening data: the case of Transport for London (TfL)"/>
        <s v="Project management and digital transformation. Performance measuring model of digital projects and archives"/>
        <s v="Using Feedback Systems Thinking to Explore Theories of Digital Business for Medtech Companies"/>
        <s v="Barriers to Mobile Learning Advancements in the United Kingdom"/>
        <s v="Online search for information about universities: a Hong Kong study"/>
        <s v="The role of digital marketing in political campaigns"/>
        <s v="Uncanny Materialities: Digital Strategies for Staging Supernatural Themes Drawn from Medieval Ballads"/>
        <s v="How to Develop a Great Digital Strategy"/>
        <s v="Interactive documentaries as a format in audiovisual media: A case study of RTVE and Al Jazeera"/>
        <s v="The role of information technologies (ITs) in firms' resource orchestration process: A case analysis of China's Huangshan 168"/>
        <s v="The place of conditionality and individual responsibility in a data-driven economy"/>
        <s v="Mediation for affect: coming to care about factory-farmed animals"/>
        <s v="Freire in the digital era: Oppression and liberation of indigenous groups using ITC"/>
        <s v="How Big Old Companies Navigate Digital Transformation"/>
        <s v="Probing spermiogenesis: a digital strategy for mouse acrosome classification"/>
        <s v="External Knowledge Sourcing and Innovation Processes in Modern Economic Environment"/>
        <s v="Tools Beyond Control: Social Media and the Work of Advocacy Organizations"/>
        <s v="Opportunities and challenges for Indian Pharmaceutical companies in overseas markets and need of digital tools for sustainable success"/>
        <s v="Digital communication in the mobilization and resistance of indigenous of Colombia"/>
        <s v="Governance decentralisation in education: Finnish innovation in education"/>
        <s v="Urban Digital Strategies: Planning in the Face of Information Technology?"/>
        <s v="A FRAMEWORK TO ASSESS ORGANIZATIONAL READINESS FOR THE DIGITAL TRANSFORMATION"/>
        <s v="Digital Infrastructures and Urban Governance"/>
        <s v="Long-term digital strategy: do it once, do it right"/>
        <s v="NEW APPROACHES TO DIGITAL STRATEGY IN THE 21ST CENTURY"/>
        <s v="Digital Strategy (Manchester)"/>
        <s v="Curation: a theoretical treatment"/>
        <s v="NETFRAMEWORK AND THE DIGITALIZED-MEDIATIZED SELF"/>
        <s v="Use of the websites of parliaments to promote citizen deliberation in the process of public decision-making. Comparative study of ten countries (America and Europe)"/>
        <s v="Global Governance and the Role of the G20 in the Emerging Digital Economy"/>
        <s v="Academic Publishing in the Humanities Current trends in Germany"/>
        <s v="Wine, family businesses and web: marketing strategies to compete effectively"/>
        <s v="Creating a Media Lab at the Universidad Nacional Mayor de San Marcos-Peru"/>
        <s v="The Situation of Digital Strategic Communication in Ecuador and Other Countries in Latin America: The Management of the Community Manager"/>
        <s v="Pray for the fatherland! Discursive and digital strategies at play in nationalist political blogging"/>
        <s v="13-J Election Debate: Social Audience in Digital Strategy of Political Parties"/>
        <s v="Developing a Digital Government Strategy for Public Value Creation"/>
        <s v="The future of student life: participating"/>
        <s v="DIGITAL MYTHOLOGY AND DONALD TRUMP ELECTORAL CAMPAIGN"/>
        <s v="Creating Value in Online Communities: The Sociomaterial Configuring of Strategy, Platform, and Stakeholder Engagement"/>
        <s v="Destination management organizations (DMOs) and Digital Natives: the neglected informal expertise'' in web 2.0 implementation and social media presence. Insights from the Italian Friuli Venezia Giulia DMO"/>
        <s v="Evaluation of an online course for skills training in the use of ICT in science teachers in public secondary Southeast Mexico"/>
        <s v="The Problem with Legacy Ecosystems"/>
        <s v="Vancouver's Digital Strategy: Disruption, New Direction, or Business as Usual?"/>
        <s v="NGO Publicity and Reinforcing Path Dependencies: Explaining the Persistence of Media-Centered Publicity Strategies"/>
        <s v="The Rhetoric of Digitization and the Politicization of Canadian Heritage"/>
        <s v="Use of Mobile Devices, Social Media, and Crowdsourcing as Digital Strategies to Improve Emergency Cardiovascular Care A Scientific Statement From the American Heart Association"/>
        <s v="Proactive defense against malicious documents: formalization, implementation and case studies"/>
        <s v="Activism and Digital Practices in the Construction of an LGTB Sphere in Spain"/>
        <s v="Information Communication Technologies in crime prevention"/>
        <s v="Design of a Current-Controlled Power Supply for High-Stability Flat-Top Pulsed Magnetic Field"/>
        <s v="Creative Commons licences in cultural heritage institutions in Flanders"/>
        <s v="The Cumbria Rural Health Forum: initiating change and moving forward with technology"/>
        <s v="Developing intercultural awareness using digital storytelling"/>
        <s v="Digital Strategy"/>
        <s v="Mine your data: open data, digital strategies and entrepreneurial governance by code"/>
        <s v="Kioscos Vive Digital: A digital strategy to promote the connectivity and social inclusion in rural communities in Colombia"/>
        <s v="Digital strategic communication in Ecuador's public organisations. Current state and future projection"/>
        <s v="Smart environments and smart growth: connecting innovation strategies and digital growth strategies"/>
        <s v="The stretchiness of learning the digital mystery of learning in one-to-one environments in schools"/>
        <s v="MARKETING OF TOURISM PRODUCTS THROUGH THE RUSSIAN SOCIAL MEDIA CHANNEL VKONTAKTE"/>
        <s v="Emotionally engaging customers in the digital age: the case study of Burberry love"/>
        <s v="Portal of Clinical Practice Guidelines: Digital Strategy for the Dissemination of Clinical Practice Guidelines Developed in Colombia"/>
        <s v="Digital Instructional Strategies and Their Role in Classroom Learning"/>
        <s v="NHS Education for Scotland's digital strategy: what does it mean for general practitioners?"/>
        <s v="Methodology of Analysis of Museum User Computer Involvement"/>
        <s v="Public Policy and a Strategic Digital City Project: A Case Study of the Brazilian Municipality of Vinhedo"/>
        <s v="Brisbane's digital strategy: an economic strategy for the digital age?"/>
        <s v="Digital divergence: analysing strategy, interpretation and controversy in the case of the introduction of an ebook reader technology"/>
        <s v="A policy analysis of digital strategies: Brisbane vs. Vancouver"/>
        <s v="Figures of anonymity. What Banksy is-it the no ? A political economy of the visible"/>
        <s v="THE FLOWER WOMAN FIGURINES FROM THE FOCE SELE HERA SANCTUARY. ANCIENT COROPLASTIC DIGITAL DATA MANAGEMENT, ANALYSIS, AND SHARING"/>
        <s v="Perceived benefits and barriers to the use of high-speed broadband in Ireland's second-level schools"/>
        <s v="State of Emergency Preparedness for US Health Insurance Plans"/>
        <s v="The press in Catalonia: between the digital challenge and nation building"/>
        <s v="Foreign objects? Web content management systems, journalistic cultures and the ontology of software"/>
        <s v="The New Faces of Inequality in the 21st Century: The Digital Gap"/>
        <s v="Social Audience in Spain: Succesful strategies in national TV"/>
        <s v="Print versus digital in Norwegian newspapers"/>
        <s v="Digital Resources and Approaches Adopted by User-Centred Museums: The Growing Impact of the Internet and Social Media"/>
        <s v="Typologies and touchpoints: designing multi-channel digital strategies"/>
        <s v="A digital approach for real time high-rate high-resolution radiation measurements"/>
        <s v="Determination of the elastic properties of rabbit vocal fold tissue using uniaxial tensile testing and a tailored finite element model"/>
        <s v="Rafael Correa and the 2006 elections Marketing and digital political communication in Ecuador"/>
        <s v="Clinical Study of the Role of 64-Slice CT Cerebra Angiography in Aneurysmal Subarachnoid Hemorrhage"/>
        <s v="Are EU regional digital strategies evidence-based? An analysis of the allocation of 2007-13 Structural Funds"/>
        <s v="WIRED-UP OR WIND-UP? THE POLITICAL ECONOMY OF BROADBAND POLICY IN NEW ZEALAND/AOTEAROA"/>
        <s v="Following the user's flow in the Digital Pompidou"/>
        <s v="Information and Telecommunications Project for a Digital City: A Brazilian case study"/>
        <s v="Comparing Smart and Digital City: Initiatives and Strategies in Amsterdam and Genoa. Are They Digital and/or Smart?"/>
        <s v="Digital Media in Ecuador - Future Perspectives"/>
        <s v="Why all that noise - assessing the strategic value of social media for fashion brands"/>
        <s v="Library marketing: moving between traditional and digital strategies"/>
        <s v="THE STUDY OF SMM AS A VIRUS STRATEGY IN THE MEDIA SPACE"/>
        <s v="Developing a digital strategy Engaging audiences at Shakespeare's Globe"/>
        <s v="Virtual Reality: Why Magazines Should Adopt a Mobile-First Publishing Strategy"/>
        <s v="21st Century Skills and the English Foreign Language Classroom: A Call for More Awareness in Colombia"/>
        <s v="Evolution of efficient real-time non-linear image filters for FPGAs"/>
        <s v="Information Processing Pattern and Propensity to Buy: An Investigation of Online Point-of-Purchase Behavior"/>
        <s v="4D-CT angiography differentiating arteriovenous fistula subtypes"/>
        <s v="Better value digital health: the medium, the market and the role of openness"/>
        <s v="Using Digital Media to Promote Kidney Disease Education"/>
        <s v="The Digital Strategy: a new era in e-book provision at UniSA"/>
        <s v="DIGITAL BUSINESS STRATEGY: TOWARD A NEXT GENERATION OF INSIGHTS"/>
        <s v="Design and Application of Intelligent Control Schemes for the Performance Enhancement of a Web Server"/>
        <s v="HOW A FIRM'S COMPETITIVE ENVIRONMENT AND DIGITAL STRATEGIC POSTURE INFLUENCE DIGITAL BUSINESS STRATEGY"/>
        <s v="Students' Digital Strategies and Shortcuts-Searching for Answers on Wikipedia as a Core Literacy Practice in Upper Secondary School"/>
        <s v="FROM STRUGGLING READER TO DIGITAL READER AND MULTIMODAL COMPOSER"/>
        <s v="Using digital strategies to manage print collections more efficiently: a case study"/>
        <s v="How do French Municipalities Communicate on Citizen Involvement? The Success of Participatory Democracy in France"/>
        <s v="Neural-Fuzzy Digital Strategy of Continuous-Time Nonlinear Systems Using Adaptive Prediction and Random-Local-Optimization Design"/>
        <s v="Moth or Spider? Weaving a digital strategy"/>
        <s v="Exploring Civil Servant Resistance to M-Government: A Story of Transition and Opportunities in Turkey"/>
        <s v="Teaching Change How publishing students can develop expertise to cope with digital challenges"/>
        <s v="DIGITAL TRANSFORMATION IN LATECOMER INDUSTRIES: CIO AND CEO LEADERSHIP LESSONS FROM ENCANA OIL &amp; GAS (USA) INC."/>
        <s v="NEW LEARNING STRATEGISTS. DIGITAL SKILLS POWERED BY OWN-LEARNING"/>
        <s v="Social Strategies That Work"/>
        <s v="WEB ANALYTICS: MODELS OF ENGAGEMENT METRICS IN NEW MEDIA"/>
        <s v="Drivers of a tourism e-business strategy: the impact of information and communication technologies"/>
        <s v="Suppression of Saturation Effects in a Sensorless Predictive Controlled Synchronous Reluctance Machine Based on Voltage Space Phasor Injections"/>
        <s v="Rethinking Public Service Media and Citizenship: Digital Strategies for News and Current Affairs at Australia's Special Broadcasting Service"/>
        <s v="The New Organizing Logic of Digital Innovation: An Agenda for Information Systems Research"/>
        <s v="The Market Demand for University Press Books 2008-15"/>
        <s v="Digital Publishing in Europe: a Focus on France, Germany, Italy and Spain"/>
        <s v="Making the Case for Disciplinarity in Rhetoric, Composition, and Writing Studies: The Visibility Project"/>
        <s v="Strengthening Governments to Formulate Integrated Digital Strategies"/>
        <s v="E-government in New Zealand: Local Governments, Digital Divides and the National Digital Strategy"/>
        <s v="Unlocking the potential? - Australia's digital strategy and major public libraries"/>
        <s v="VENTURING THROUGH ACQUISITIONS OR ALLIANCES? EXAMINING U.S. MEDIA COMPANIES' DIGITAL STRATEGY"/>
        <s v="Bringing Patient Recruitment Into Our Digital World"/>
        <s v="Libraries as a common denominator A view from New Zealand of the citizen, country and global perspective"/>
        <s v="Understanding the complexity of electronic government: Implications from the digital divide literature"/>
        <s v="E-learning methodologies in practice: similarities and differences between North American countries and New Zealand"/>
        <s v="Strategic, Digital, Human: The Library of the Future. A View on International Developments by a German Library Supplier"/>
        <s v="Comparison of PWM Strategies for Three-Phase Current-fed DC/DC Converters"/>
        <s v="Integration of ICT in collaborative projects through sponsorships digital"/>
        <s v="The Greek information society"/>
        <s v="Newspapers on Electronic Paper Devices: A Scenario Analysis of Possible Business Models"/>
        <s v="The role of information communications technology in retrieving local community"/>
        <s v="Fully digital strategy for fast calibration and test of ΣΔ ADCs"/>
        <s v="BBC to the rescue! Digital switchover and the reinvention of public service broadcasting in Britain"/>
        <s v="Fully digital strategy for fast calibration and test of ΣΔ ADC's"/>
        <s v="The modified blister test method"/>
        <s v="Television's convergence conundrum - Finding the right digital strategy"/>
        <s v="Evaluating websites A systematic investigation of internet site quality from a single country domain name"/>
        <s v="Doing Digital: An Assessment of the Top 25 U.S. Media Companies and their Digital Strategies"/>
        <s v="Just in time for the holidays"/>
        <s v="An all-digital DFT scheme for testing catastrophic faults in PLLs"/>
        <s v="A CMOS imager with on-chip processing for image enhancement and edge detection"/>
        <s v="A digital strategy for the library of congress"/>
        <s v="Too old to learn?"/>
        <s v="CONCEPTUAL DEVELOPMENT OF OPTIMAL LOAD FREQUENCY CONTROL USING ARTIFICIAL NEURAL NETWORKS AND FUZZY SET-THEORY"/>
        <s v="CONSTANT RATE OF CHANGE OF MAGNETIZATION HYSTERESIS LOOP TRACER"/>
        <m/>
      </sharedItems>
    </cacheField>
    <cacheField name="Source Title" numFmtId="0">
      <sharedItems containsBlank="1" count="488">
        <s v="COMPUTERS &amp; INDUSTRIAL ENGINEERING"/>
        <s v="JOURNAL OF CANCER EDUCATION"/>
        <s v="PSYCHOLOGY &amp; MARKETING"/>
        <s v="PILOT AND FEASIBILITY STUDIES"/>
        <s v="SUSTAINABILITY"/>
        <s v="INTERNATIONAL JOURNAL OF PRODUCTION ECONOMICS"/>
        <s v="INFORMATION SYSTEMS AND E-BUSINESS MANAGEMENT"/>
        <s v="METABOLIC ENGINEERING"/>
        <s v="KNOWLEDGE AND PROCESS MANAGEMENT"/>
        <s v="TECHNOLOGICAL FORECASTING AND SOCIAL CHANGE"/>
        <s v="REVISTA DE ESTUDOS CONSTITUCIONAIS HERMENEUTICA E TEORIA DO DIREITO-RECHTD"/>
        <s v="MULTIMODAL TECHNOLOGIES AND INTERACTION"/>
        <s v="LANCET REGIONAL HEALTH-WESTERN PACIFIC"/>
        <s v="DRONES"/>
        <s v="FINANCE RESEARCH LETTERS"/>
        <s v="VENTURE CAPITAL"/>
        <s v="JOURNAL OF THE KNOWLEDGE ECONOMY"/>
        <s v="ENVIRONMENTAL SCIENCE AND POLLUTION RESEARCH"/>
        <s v="AI &amp; SOCIETY"/>
        <s v="INFORMATION COMMUNICATION &amp; SOCIETY"/>
        <s v="BMC HEALTH SERVICES RESEARCH"/>
        <s v="APPLIED CLINICAL INFORMATICS"/>
        <s v="JOURNAL OF MARKETING FOR HIGHER EDUCATION"/>
        <s v="SCIENTIFIC REPORTS"/>
        <s v="KYBERNETES"/>
        <s v="JOURNAL OF ESTHETIC AND RESTORATIVE DENTISTRY"/>
        <s v="JOURNAL OF ENTERPRISE INFORMATION MANAGEMENT"/>
        <s v="BUSINESS STRATEGY AND DEVELOPMENT"/>
        <s v="SEXUAL HEALTH"/>
        <s v="BMJ OPEN"/>
        <s v="HERITAGE"/>
        <s v="HELIYON"/>
        <s v="LANCET REGIONAL HEALTH-AMERICAS"/>
        <s v="BMJ OPEN QUALITY"/>
        <s v="REVISTA UNIVERSIDAD Y SOCIEDAD"/>
        <s v="GLOBAL TRADE AND CUSTOMS JOURNAL"/>
        <s v="INTERNATIONAL JOURNAL OF RETAIL &amp; DISTRIBUTION MANAGEMENT"/>
        <s v="JOURNAL OF GLOBAL FASHION MARKETING"/>
        <s v="ORTHOPADIE"/>
        <s v="AMERICAN POLITICS RESEARCH"/>
        <s v="ECONOMICS OF INNOVATION AND NEW TECHNOLOGY"/>
        <s v="STUDIES IN ECONOMICS AND FINANCE"/>
        <s v="RISKS"/>
        <s v="MANAGEMENT-JOURNAL OF CONTEMPORARY MANAGEMENT ISSUES"/>
        <s v="APPLIED ECONOMICS"/>
        <s v="JOURNAL OF CLOUD COMPUTING-ADVANCES SYSTEMS AND APPLICATIONS"/>
        <s v="HORTICULTURAE"/>
        <s v="ENTREPRENEURSHIP AND REGIONAL DEVELOPMENT"/>
        <s v="ARCHIVES OF HELLENIC MEDICINE"/>
        <s v="PIXEL-BIT- REVISTA DE MEDIOS Y EDUCACION"/>
        <s v="REVISTA DE LA UNIVERSIDAD DEL ZULIA"/>
        <s v="FRONTIERS IN DIGITAL HEALTH"/>
        <s v="STUDIES IN BUSINESS AND ECONOMICS"/>
        <s v="SMART CITIES"/>
        <s v="INTERNATIONAL REVIEW OF ADMINISTRATIVE SCIENCES"/>
        <s v="LARGE-SCALE ASSESSMENTS IN EDUCATION"/>
        <s v="HARM REDUCTION JOURNAL"/>
        <s v="JOURNAL OF SERVICE THEORY AND PRACTICE"/>
        <s v="OPERATIONS MANAGEMENT RESEARCH"/>
        <s v="FRONTIERS IN PUBLIC HEALTH"/>
        <s v="BODY IMAGE"/>
        <s v="JOURNAL OF STRATEGY AND MANAGEMENT"/>
        <s v="LONG RANGE PLANNING"/>
        <s v="FRONTIERS IN PSYCHOLOGY"/>
        <s v="GALLERIE E GRANDI OPERE SOTTERRANEE"/>
        <s v="FRONTIERS OF BUSINESS RESEARCH IN CHINA"/>
        <s v="VACCINES"/>
        <s v="PERSPECTIVA EDUCACIONAL"/>
        <s v="FRONTIERS IN ENVIRONMENTAL SCIENCE"/>
        <s v="FORUM-A JOURNAL OF APPLIED RESEARCH IN CONTEMPORARY POLITICS"/>
        <s v="JOURNAL OF BUSINESS &amp; INDUSTRIAL MARKETING"/>
        <s v="JOURNAL OF CLEANER PRODUCTION"/>
        <s v="SUBJECTIVITY"/>
        <s v="SERVICE BUSINESS"/>
        <s v="ADMINISTRATIVE SCIENCES"/>
        <s v="INTERNATIONAL JOURNAL OF INNOVATION MANAGEMENT"/>
        <s v="TOBACCO USE INSIGHTS"/>
        <s v="AUTOMATION IN CONSTRUCTION"/>
        <s v="INTERNATIONAL JOURNAL OF ENVIRONMENTAL RESEARCH AND PUBLIC HEALTH"/>
        <s v="COMMUNICATIONS OF THE ASSOCIATION FOR INFORMATION SYSTEMS"/>
        <s v="ACTA POLYTECHNICA"/>
        <s v="JMIR FORMATIVE RESEARCH"/>
        <s v="IEEE ACCESS"/>
        <s v="EUROPEAN JOURNAL OF AMERICAN STUDIES"/>
        <s v="MEDIA AND COMMUNICATION"/>
        <s v="JOURNAL OF EMERGING TECHNOLOGIES IN ACCOUNTING"/>
        <s v="JOURNAL OF INFRASTRUCTURE POLICY AND DEVELOPMENT"/>
        <s v="REVISTA DE GESTAO E SECRETARIADO-GESEC"/>
        <s v="MEDICAL EDUCATION ONLINE"/>
        <s v="INTERNATIONAL JOURNAL OF TECHNOLOGY"/>
        <s v="MANAGERIAL FINANCE"/>
        <s v="CYBERPSYCHOLOGY BEHAVIOR AND SOCIAL NETWORKING"/>
        <s v="BRITISH EDUCATIONAL RESEARCH JOURNAL"/>
        <s v="FRONTIERS OF ENGINEERING MANAGEMENT"/>
        <s v="EUROPEAN JOURNAL OF INNOVATION MANAGEMENT"/>
        <s v="INTERNATIONAL JOURNAL OF EMERGING MARKETS"/>
        <s v="JOURNAL OF WORLD TRADE"/>
        <s v="AXIOMS"/>
        <s v="JOURNAL OF ORGANIZATIONAL AND END USER COMPUTING"/>
        <s v="MIS QUARTERLY"/>
        <s v="JOURNAL OF URBAN MANAGEMENT"/>
        <s v="PLOS ONE"/>
        <s v="ENVIRONMENT INTERNATIONAL"/>
        <s v="JOURNAL OF MEDICAL INTERNET RESEARCH"/>
        <s v="ANALISI-QUADERNS DE COMUNICACIO I CULTURA"/>
        <s v="MIROVAYA EKONOMIKA I MEZHDUNARODNYE OTNOSHENIYA"/>
        <s v="STRATEGIC CHANGE-BRIEFINGS IN ENTREPRENEURIAL FINANCE"/>
        <s v="INDUSTRIAL &amp; ENGINEERING CHEMISTRY RESEARCH"/>
        <s v="BMC MEDICINE"/>
        <s v="REVISTA TECNOLOGIA E SOCIEDADE"/>
        <s v="EDUCATION SCIENCES"/>
        <s v="PROCESSES"/>
        <s v="AFRICAN AND ASIAN STUDIES"/>
        <s v="GOVERNMENT INFORMATION QUARTERLY"/>
        <s v="SA JOURNAL OF HUMAN RESOURCE MANAGEMENT"/>
        <s v="JOURNAL OF CULTURAL HERITAGE"/>
        <s v="MOBILE INFORMATION SYSTEMS"/>
        <s v="JOURNAL OF COMPUTER INFORMATION SYSTEMS"/>
        <s v="TRIALS"/>
        <s v="FASHION PRACTICE-THE JOURNAL OF DESIGN CREATIVE PROCESS &amp; THE FASHION INDUSTRY"/>
        <s v="STRATEGIC ORGANIZATION"/>
        <s v="AGRONOMY-BASEL"/>
        <s v="ENTREPRENEURSHIP AND SUSTAINABILITY ISSUES"/>
        <s v="REVISTA EDAPECI-EDUCACAO A DISTANCIA E PRATICAS EDUCATIVAS COMUNICACIONAIS E INTERCULTURAIS"/>
        <s v="INFORMATION"/>
        <s v="TELECOMMUNICATIONS POLICY"/>
        <s v="JOURNAL OF CLINICAL AND TRANSLATIONAL SCIENCE"/>
        <s v="INTERNATIONAL JOURNAL OF CONSTRUCTION MANAGEMENT"/>
        <s v="ANAESTHESIA CRITICAL CARE &amp; PAIN MEDICINE"/>
        <s v="LABOUR AND INDUSTRY"/>
        <s v="JOURNAL OF CULTURAL HERITAGE MANAGEMENT AND SUSTAINABLE DEVELOPMENT"/>
        <s v="MUSEUM MANAGEMENT AND CURATORSHIP"/>
        <s v="JOURNAL OF GLOBAL SPORT MANAGEMENT"/>
        <s v="JOURNAL OF KNOWLEDGE MANAGEMENT"/>
        <s v="MATHEMATICAL PROBLEMS IN ENGINEERING"/>
        <s v="FRONTIERS IN REHABILITATION SCIENCES"/>
        <s v="BENCHMARKING-AN INTERNATIONAL JOURNAL"/>
        <s v="INTERNATIONAL JOURNAL OF ENTREPRENEURIAL BEHAVIOR &amp; RESEARCH"/>
        <s v="JOURNAL OF BUSINESS RESEARCH"/>
        <s v="JAIDS-JOURNAL OF ACQUIRED IMMUNE DEFICIENCY SYNDROMES"/>
        <s v="ENGINEERING REPORTS"/>
        <s v="MEDIA WAR AND CONFLICT"/>
        <s v="EUROPEAN JOURNAL OF LEGAL STUDIES"/>
        <s v="INTERNATIONAL JOURNAL OF EARLY CHILDHOOD SPECIAL EDUCATION"/>
        <s v="JMIR RESEARCH PROTOCOLS"/>
        <s v="SENSORS"/>
        <s v="JOURNAL OF SMALL BUSINESS MANAGEMENT"/>
        <s v="FRONTIERS IN PSYCHIATRY"/>
        <s v="CLINICAL INFECTIOUS DISEASES"/>
        <s v="INTERNATIONAL JOURNAL OF ORGANIZATIONAL ANALYSIS"/>
        <s v="JOURNAL OF RETAILING AND CONSUMER SERVICES"/>
        <s v="DISCRETE DYNAMICS IN NATURE AND SOCIETY"/>
        <s v="PUBLIC LIBRARY QUARTERLY"/>
        <s v="INTERNATIONAL JOURNAL OF ADVANCED COMPUTER SCIENCE AND APPLICATIONS"/>
        <s v="REVISTA COOPERATIVISMO Y DESARROLLO-COODES"/>
        <s v="HEALTH PROMOTION JOURNAL OF AUSTRALIA"/>
        <s v="INDUSTRIAL MARKETING MANAGEMENT"/>
        <s v="JOURNAL OF FASHION MARKETING AND MANAGEMENT"/>
        <s v="HUMANITIES &amp; SOCIAL SCIENCES COMMUNICATIONS"/>
        <s v="QUESTION"/>
        <s v="EM QUESTAO"/>
        <s v="REICE-REVISTA IBEROAMERICANA SOBRE CALIDAD EFICACIA Y CAMBIO EN EDUCACION"/>
        <s v="INTERNATIONAL JOURNAL OF INFORMATION MANAGEMENT"/>
        <s v="JOURNAL OF INTERNATIONAL MANAGEMENT"/>
        <s v="JOURNAL OF QUALITY ASSURANCE IN HOSPITALITY &amp; TOURISM"/>
        <s v="SANTE MENTALE AU QUEBEC"/>
        <s v="LOCAL ECONOMY"/>
        <s v="CONTEMPORARY CLINICAL TRIALS"/>
        <s v="CANADIAN JOURNAL OF CIVIL ENGINEERING"/>
        <s v="ELECTRONICS"/>
        <s v="M&amp;SOM-MANUFACTURING &amp; SERVICE OPERATIONS MANAGEMENT"/>
        <s v="JOURNAL OF MODERN JEWISH STUDIES"/>
        <s v="IEEE TRANSACTIONS ON ENGINEERING MANAGEMENT"/>
        <s v="INFORMATION SYSTEMS RESEARCH"/>
        <s v="JOURNAL OF NUSANTARA STUDIES-JONUS"/>
        <s v="CANADIAN CULTURAL POLICY IN TRANSITION"/>
        <s v="CIMEXUS"/>
        <s v="INTERNATIONAL JOURNAL OF COMMUNICATION"/>
        <s v="INTERNATIONAL JOURNAL OF TECHNOLOGY IN EDUCATION"/>
        <s v="REVISTA INTERNACIONAL DE RELACIONES PUBLICAS"/>
        <s v="HIPPOKRATIA"/>
        <s v="MANAGEMENT EDUCATION AND AUTOMATION"/>
        <s v="QUADERNI DI GEOFISICA"/>
        <s v="HISTORIA Y COMUNICACION SOCIAL"/>
        <s v="INTERNATIONAL JOURNAL OF MARKETING COMMUNICATION AND NEW MEDIA"/>
        <s v="APUNTES-REVISTA DE CIENCIAS SOCIALES"/>
        <s v="CAMBIO-RIVISTA SULLE TRASFORMAZIONI SOCIALI"/>
        <s v="TRANSFORMATIONS IN BUSINESS &amp; ECONOMICS"/>
        <s v="NATIONAL ACCOUNTING REVIEW"/>
        <s v="EUROPEAN JOURNAL OF RISK REGULATION"/>
        <s v="INTERNATIONAL JOURNAL OF ARTS MANAGEMENT"/>
        <s v="MANAGEMENT AND PRODUCTION ENGINEERING REVIEW"/>
        <s v="ENERGIES"/>
        <s v="CURATOR-THE MUSEUM JOURNAL"/>
        <s v="CIRP JOURNAL OF MANUFACTURING SCIENCE AND TECHNOLOGY"/>
        <s v="EUROPEAN JOURNAL OF COMMUNICATION"/>
        <s v="BIORESOURCES"/>
        <s v="HERALD OF THE RUSSIAN ACADEMY OF SCIENCES"/>
        <s v="JOURNAL OF MUSEUM EDUCATION"/>
        <s v="RISUS-JOURNAL ON INNOVATION AND SUSTAINABILITY"/>
        <s v="INTERNATIONAL JOURNAL OF BUSINESS COMMUNICATION"/>
        <s v="DIGITAL JOURNALISM"/>
        <s v="EUROPEAN JOURNAL OF DENTAL EDUCATION"/>
        <s v="JOURNAL OF AIR TRANSPORT MANAGEMENT"/>
        <s v="JOURNAL OF CHEMICAL PHYSICS"/>
        <s v="MANAGEMENT DECISION"/>
        <s v="STUDIES IN EUROPEAN CINEMA"/>
        <s v="GESTAO E DESENVOLVIMENTO"/>
        <s v="IT PROFESSIONAL"/>
        <s v="ARTS"/>
        <s v="JMM-INTERNATIONAL JOURNAL ON MEDIA MANAGEMENT"/>
        <s v="INTERNATIONAL JOURNAL OF COMPUTER INTEGRATED MANUFACTURING"/>
        <s v="JOURNAL OF STRATEGIC INFORMATION SYSTEMS"/>
        <s v="JOURNAL OF STRATEGIC MARKETING"/>
        <s v="REVIEW OF SOCIONETWORK STRATEGIES"/>
        <s v="JOURNAL OF BANKING REGULATION"/>
        <s v="PAKISTAN JOURNAL OF MEDICAL &amp; HEALTH SCIENCES"/>
        <s v="ASIA PACIFIC JOURNAL OF MARKETING AND LOGISTICS"/>
        <s v="TEHNICKI VJESNIK-TECHNICAL GAZETTE"/>
        <s v="JOURNAL OF DUAL DIAGNOSIS"/>
        <s v="INTERNATIONAL JOURNAL OF INNOVATION SCIENCE"/>
        <s v="INTERNATIONAL JOURNAL OF SPORTS MARKETING &amp; SPONSORSHIP"/>
        <s v="JMIR PUBLIC HEALTH AND SURVEILLANCE"/>
        <s v="CENTRAL EUROPEAN MANAGEMENT JOURNAL"/>
        <s v="ACADEMIA Y VIRTUALIDAD"/>
        <s v="ELECTRONIC MARKETS"/>
        <s v="JOURNAL OF FAMILY BUSINESS MANAGEMENT"/>
        <s v="INTERNATIONAL JOURNAL OF FASHION DESIGN TECHNOLOGY AND EDUCATION"/>
        <s v="JOURNAL OF MANAGEMENT STUDIES"/>
        <s v="IRISH EDUCATIONAL STUDIES"/>
        <s v="GLOBAL BUSINESS REVIEW"/>
        <s v="JOURNAL OF DECISION SYSTEMS"/>
        <s v="CULTURAL TRENDS"/>
        <s v="INTERNATIONAL JOURNAL OF PRODUCTIVITY AND PERFORMANCE MANAGEMENT"/>
        <s v="JOURNAL OF POLITICAL MARKETING"/>
        <s v="CANADIAN THEATRE REVIEW"/>
        <s v="JMIR PEDIATRICS AND PARENTING"/>
        <s v="AMERICAN JOURNAL OF EPIDEMIOLOGY"/>
        <s v="EDUCATION AND INFORMATION TECHNOLOGIES"/>
        <s v="CIRIEC-ESPANA REVISTA DE ECONOMIA PUBLICA SOCIAL Y COOPERATIVA"/>
        <s v="CLINICAL CANCER RESEARCH"/>
        <s v="ADVANCES IN HUMAN-COMPUTER INTERACTION"/>
        <s v="APL MATERIALS"/>
        <s v="FUTURE INTERNET"/>
        <s v="JOURNAL OF SYSTEMS SCIENCE AND SYSTEMS ENGINEERING"/>
        <s v="FEMINIST MEDIA STUDIES"/>
        <s v="OPEN FORUM INFECTIOUS DISEASES"/>
        <s v="JOURNAL OF COMPUTER-MEDIATED COMMUNICATION"/>
        <s v="RESEARCH IN POST-COMPULSORY EDUCATION"/>
        <s v="ALSIC-APPRENTISSAGE DES LANGUES ET SYSTEMS D INFORMATION ET DE COMMUNICATION"/>
        <s v="INTERNATIONAL TRANSACTION JOURNAL OF ENGINEERING MANAGEMENT &amp; APPLIED SCIENCES &amp; TECHNOLOGIES"/>
        <s v="CAMPUS VIRTUALES"/>
        <s v="REVISTA IBEROAMERICANA DE EDUCACION"/>
        <s v="INTERNATIONAL JOURNAL OF PRODUCTION MANAGEMENT AND ENGINEERING"/>
        <s v="JOURNAL OF THEORETICAL AND APPLIED ELECTRONIC COMMERCE RESEARCH"/>
        <s v="MANAGEMENT IN THE AGE OF DIGITAL BUSINESS COMPLEXITY"/>
        <s v="REVISTA LATINOAMERICANA DE TECNOLOGIA EDUCATIVA-RELATEC"/>
        <s v="JOURNAL OF HUMAN SPORT AND EXERCISE"/>
        <s v="VIVAT ACADEMIA"/>
        <s v="SCIRES-IT-SCIENTIFIC RESEARCH AND INFORMATION TECHNOLOGY"/>
        <s v="JOURNAL OF BUSINESS ECONOMICS AND MANAGEMENT"/>
        <s v="INTERDISCIPLINARY DESCRIPTION OF COMPLEX SYSTEMS"/>
        <s v="ADMINISTRACAO-ENSINO E PESQUISA"/>
        <s v="BRAZILIAN JOURNAL OF OPERATIONS &amp; PRODUCTION MANAGEMENT"/>
        <s v="BALTIC JOURNAL OF ECONOMIC STUDIES"/>
        <s v="VESTNIK MEZHDUNARODNYKH ORGANIZATSII-INTERNATIONAL ORGANISATIONS RESEARCH JOURNAL"/>
        <s v="REVISTA CIENCIAS PEDAGOGICAS E INNOVACION"/>
        <s v="POLISH JOURNAL OF MANAGEMENT STUDIES"/>
        <s v="RESEARCH EXPOSED: How Empirical Social Science Gets Done in the Digital Age"/>
        <s v="CITIES"/>
        <s v="SOCIAL NETWORKS"/>
        <s v="BIOLAW JOURNAL-RIVISTA DI BIODIRITTO"/>
        <s v="INTERNATIONAL JOURNAL OF TECHNOLOGIES IN HIGHER EDUCATION"/>
        <s v="ESTUDIOS DE ECONOMIA APLICADA"/>
        <s v="ELEKTROTEHNISKI VESTNIK"/>
        <s v="RESEARCH IN LEARNING TECHNOLOGY"/>
        <s v="HEALTH EDUCATION JOURNAL"/>
        <s v="INTERNATIONAL JOURNAL OF ART &amp; DESIGN EDUCATION"/>
        <s v="JMIR CANCER"/>
        <s v="REVISTA INTERNACIONAL DE EDUCACION PARA LA JUSTICIA SOCIAL"/>
        <s v="ROMANIAN JOURNAL OF EUROPEAN AFFAIRS"/>
        <s v="TOURISM MANAGEMENT"/>
        <s v="BIOPHARM INTERNATIONAL"/>
        <s v="REVISTA DE ESTUDIOS SOCIALES"/>
        <s v="TYDSKRIF VIR GEESTESWETENSKAPPE"/>
        <s v="COMMUNICATION TEACHER"/>
        <s v="CALIFORNIA MANAGEMENT REVIEW"/>
        <s v="JOURNAL OF MANUFACTURING TECHNOLOGY MANAGEMENT"/>
        <s v="FRONTIERS IN NEUROLOGY"/>
        <s v="BUSINESS PROCESS MANAGEMENT JOURNAL"/>
        <s v="TRANSPORTATION RESEARCH RECORD"/>
        <s v="SMALL BUSINESS ECONOMICS"/>
        <s v="HARVARD BUSINESS REVIEW"/>
        <s v="JOURNAL OF INTELLECTUAL CAPITAL"/>
        <s v="JOURNAL OF BUSINESS-TO-BUSINESS MARKETING"/>
        <s v="TRIMESTRE ECONOMICO"/>
        <s v="INFORMACAO &amp; SOCIEDADE-ESTUDOS"/>
        <s v="REVISTA GESTAO &amp; TECNOLOGIA-JOURNAL OF MANAGEMENT AND TECHNOLOGY"/>
        <s v="INTERNATIONAL JOURNAL OF CONFLICT MANAGEMENT"/>
        <s v="ELECTRIC POWER SYSTEMS RESEARCH"/>
        <s v="INTERNATIONAL STUDIES QUARTERLY"/>
        <s v="GIRLHOOD STUDIES-AN INTERDISCIPLINARY JOURNAL"/>
        <s v="JOURNAL OF INTERACTIVE MARKETING"/>
        <s v="COMPETITIVENESS REVIEW"/>
        <s v="HUMANIDADES &amp; INOVACAO"/>
        <s v="CULTURE ET MUSEES"/>
        <s v="JOURNAL OF LEARNING STYLES"/>
        <s v="REVISTA DE ESTUDIOS EMPRESARIALES-SEGUNDA EPOCA"/>
        <s v="CANADIAN JOURNAL OF COMMUNICATION"/>
        <s v="ARCHEOMATICA-TECNOLOGIE PER I BENI CULTURALI"/>
        <s v="JOURNALISM"/>
        <s v="COGNITIVE BEHAVIOUR THERAPIST"/>
        <s v="JOURNAL OF SPATIAL AND ORGANIZATIONAL DYNAMICS"/>
        <s v="FONSECA-JOURNAL OF COMMUNICATION"/>
        <s v="ASIAN JOURNAL OF TECHNOLOGY INNOVATION"/>
        <s v="STRATEGY SCIENCE"/>
        <s v="QUALITATIVE SOCIOLOGY"/>
        <s v="URBAN SCIENCE"/>
        <s v="REVISTA CRITICA DE CIENCIAS SOCIAIS"/>
        <s v="DISTANCE EDUCATION"/>
        <s v="EUROPEAN JOURNAL OF MARKETING"/>
        <s v="JOURNAL OF DEVELOPMENT STUDIES"/>
        <s v="OPEN ARCHAEOLOGY"/>
        <s v="JOURNAL OF THE ACADEMY OF MARKETING SCIENCE"/>
        <s v="OPTICS EXPRESS"/>
        <s v="SOCIOLOGY OF HEALTH &amp; ILLNESS"/>
        <s v="INTERNATIONAL JOURNAL OF SOCIOLOGY AND SOCIAL POLICY"/>
        <s v="FRONTIERS IN BIOENGINEERING AND BIOTECHNOLOGY"/>
        <s v="AMERICAN ANTHROPOLOGIST"/>
        <s v="PERIPLO SUSTENTABLE"/>
        <s v="CONEXAO-COMUNICACAO E CULTURA"/>
        <s v="OBETS-REVISTA DE CIENCIAS SOCIALES"/>
        <s v="DISEGNARECON"/>
        <s v="SOUTH AFRICAN JOURNAL OF INFORMATION MANAGEMENT"/>
        <s v="DEUTSCHE MEDIZINISCHE WOCHENSCHRIFT"/>
        <s v="MARKETING INTELLIGENCE &amp; PLANNING"/>
        <s v="CURRENT ISSUES IN TOURISM"/>
        <s v="JOURNALISM STUDIES"/>
        <s v="LARYNGO-RHINO-OTOLOGIE"/>
        <s v="INSIGHTS-THE UKSG JOURNAL"/>
        <s v="VOPROSY GOSUDARSTVENNOGO I MUNITSIPALNOGO UPRAVLENIYA-PUBLIC ADMINISTRATION ISSUES"/>
        <s v="MANAGING INTER-ORGANIZATIONAL COLLABORATIONS: PROCESS VIEWS"/>
        <s v="INTERNET POLICY REVIEW"/>
        <s v="TOURISM ANALYSIS"/>
        <s v="REVISTA PUBLICACIONES"/>
        <s v="MUSEUMS AND DIGITAL CULTURE: NEW PERSPECTIVES AND RESEARCH"/>
        <s v="INTEGRATING DIGITAL TECHNOLOGY IN EDUCATION: SCHOOL-UNIVERSITY-COMMUNITY COLLABORATION"/>
        <s v="SRAVNITELNAYA POLITIKA-COMPARATIVE POLITICS"/>
        <s v="OCNOS-REVISTA DE ESTUDIOS SOBRE LA LECTURA"/>
        <s v="ARCHEOLOGIA E CALCOLATORI"/>
        <s v="INFORMATION POLITY"/>
        <s v="ENCATC JOURNAL OF CULTURAL MANAGEMENT AND POLICY"/>
        <s v="COMUNICACIO-REVISTA DE RECERCA I D ANALISI"/>
        <s v="GLOBAL HEALTH-SCIENCE AND PRACTICE"/>
        <s v="EXPERT SYSTEMS"/>
        <s v="SCHIZOPHRENIA BULLETIN"/>
        <s v="REVISTA ELETRONICA DE ESTRATEGIA E NEGOCIOS-REEN"/>
        <s v="PALABRA CLAVE"/>
        <s v="TELEMATICS AND INFORMATICS"/>
        <s v="JOURNALISM &amp; MASS COMMUNICATION QUARTERLY"/>
        <s v="POETICS TODAY"/>
        <s v="MIS QUARTERLY EXECUTIVE"/>
        <s v="REVISTA DA ASSOCIACAO MEDICA BRASILEIRA"/>
        <s v="HEALTH EDUCATION RESEARCH"/>
        <s v="DECISION SUPPORT SYSTEMS"/>
        <s v="JOURNAL OF NURSING ADMINISTRATION"/>
        <s v="INTERNATIONAL JOURNAL OF EDUCATIONAL TECHNOLOGY IN HIGHER EDUCATION"/>
        <s v="REVISTA DE COMUNICACION-PERU"/>
        <s v="INTERNATIONAL JOURNAL OF LOGISTICS MANAGEMENT"/>
        <s v="JOURNAL OF CURRENT ISSUES AND RESEARCH IN ADVERTISING"/>
        <s v="GENDER TECHNOLOGY &amp; DEVELOPMENT"/>
        <s v="STEWARDS OF MEMORY: THE PAST, PRESENT, AND FUTURE OF HISTORIC PRESERVATION AT GEORGE WASHINGTON'S MOUNT VERNON"/>
        <s v="ONLINE INFORMATION REVIEW"/>
        <s v="REVISTA LATINA DE COMUNICACION SOCIAL"/>
        <s v="BOTTOM LINE"/>
        <s v="STRATEGIC MANAGEMENT"/>
        <s v="POLITICAL COMMUNICATION"/>
        <s v="JOURNAL OF HEALTHCARE ENGINEERING"/>
        <s v="FUTURE OF MUSEUMS"/>
        <s v="INTERNATIONAL JOURNAL OF COMPUTERIZED DENTISTRY"/>
        <s v="JLIS.IT"/>
        <s v="BUSINESS INFORMATION SYSTEMS AND TECHNOLOGY 4.0: NEW TRENDS IN THE AGE OF DIGITAL CHANGE"/>
        <s v="SECOND HANDBOOK OF INFORMATION TECHNOLOGY IN PRIMARY AND SECONDARY EDUCATION"/>
        <s v="INTERNATIONAL JOURNAL OF EDUCATIONAL MANAGEMENT"/>
        <s v="LEONARDO MUSIC JOURNAL"/>
        <s v="MIT SLOAN MANAGEMENT REVIEW"/>
        <s v="BIG DATA &amp; SOCIETY"/>
        <s v="MEDIA INTERNATIONAL AUSTRALIA"/>
        <s v="INNOVACION EDUCATIVA-MEXICO"/>
        <s v="INTERNATIONAL JOURNAL OF MANAGEMENT AND ECONOMICS"/>
        <s v="SOCIAL MEDIA + SOCIETY"/>
        <s v="INDIAN JOURNAL OF PHARMACEUTICAL EDUCATION AND RESEARCH"/>
        <s v="RED-REVISTA DE EDUCACION A DISTANCIA"/>
        <s v="JOURNAL OF URBAN TECHNOLOGY"/>
        <s v="DIMENSION EMPRESARIAL"/>
        <s v="URBAN POLICY AND RESEARCH"/>
        <s v="INFORMATION AND LEARNING SCIENCE"/>
        <s v="INNOVATION IN LIBRARIES AND INFORMATION SERVICES"/>
        <s v="DELIVERING SUSTAINABLE COMPETITIVENESS: REVISITING THE ORGANISING CAPACITY OF CITIES"/>
        <s v="CORVINUS JOURNAL OF SOCIOLOGY AND SOCIAL POLICY"/>
        <s v="COMMUNICATION &amp; SOCIETY-SPAIN"/>
        <s v="LOGOS-JOURNAL OF THE WORLD PUBLISHING COMMUNITY"/>
        <s v="BRITISH FOOD JOURNAL"/>
        <s v="LETRAS"/>
        <s v="MEDIA AND METAMEDIA MANAGEMENT"/>
        <s v="QUALITATIVE RESEARCH IN PSYCHOLOGY"/>
        <s v="TRIPODOS"/>
        <s v="BUILDING DIGITAL GOVERNMENT STRATEGIES: PRINCIPLES AND PRACTICES"/>
        <s v="ON THE HORIZON"/>
        <s v="POLIS-POLITICHESKIYE ISSLEDOVANIYA"/>
        <s v="INFORMATION TECHNOLOGY &amp; TOURISM"/>
        <s v="INTERNATIONAL JOURNAL OF E-PLANNING RESEARCH"/>
        <s v="INTERNATIONAL JOURNAL OF PRESS-POLITICS"/>
        <s v="LIBRARY TRENDS"/>
        <s v="CIRCULATION"/>
        <s v="JOURNAL OF COMPUTER VIROLOGY AND HACKING TECHNIQUES"/>
        <s v="DADOS-REVISTA DE CIENCIAS SOCIAIS"/>
        <s v="URVIO-REVISTA LATINOAMERICANA DE ESTUDIOS DE SEGURIDAD"/>
        <s v="IEEE TRANSACTIONS ON APPLIED SUPERCONDUCTIVITY"/>
        <s v="JOURNAL OF LIBRARIANSHIP AND INFORMATION SCIENCE"/>
        <s v="RURAL AND REMOTE HEALTH"/>
        <s v="LANGUAGE AND INTERCULTURAL COMMUNICATION"/>
        <s v="MARKETPLACE LENDING, FINANCIAL ANALYSIS, AND THE FUTURE OF CREDIT: INTEGRATION, PROFITABILITY AND RISK MANAGEMENT"/>
        <s v="URBAN GEOGRAPHY"/>
        <s v="INTERNATIONAL JOURNAL OF PSYCHOLOGICAL RESEARCH"/>
        <s v="INTERNATIONAL JOURNAL OF KNOWLEDGE-BASED DEVELOPMENT"/>
        <s v="TOURISM AND HOSPITALITY MANAGEMENT"/>
        <s v="UNIVERSITAS MEDICA"/>
        <s v="JOURNAL OF RESEARCH ON TECHNOLOGY IN EDUCATION"/>
        <s v="SCOTTISH MEDICAL JOURNAL"/>
        <s v="CANADIAN JOURNAL OF INFORMATION AND LIBRARY SCIENCE-REVUE CANADIENNE DES SCIENCES DE L INFORMATION ET DE BIBLIOTHECONOMIE"/>
        <s v="AUSTRALIAN PLANNER"/>
        <s v="CAHIERS DE NARRATOLOGIE"/>
        <s v="AMERICAN JOURNAL OF MANAGED CARE"/>
        <s v="MEDIA CULTURE &amp; SOCIETY"/>
        <s v="REVISTA MEXICANA DE CIENCIAS POLITICAS Y SOCIALES"/>
        <s v="REVISTA ICONO 14-REVISTA CIENTIFICA DE COMUNICACION Y TECNOLOGIAS"/>
        <s v="HOSPITALITY, TRAVEL, AND TOURISM: CONCEPTS, METHODOLOGIES, TOOLS, AND APPLICATIONS"/>
        <s v="JOURNAL OF RESEARCH IN INTERACTIVE MARKETING"/>
        <s v="NUCLEAR INSTRUMENTS &amp; METHODS IN PHYSICS RESEARCH SECTION A-ACCELERATORS SPECTROMETERS DETECTORS AND ASSOCIATED EQUIPMENT"/>
        <s v="JOURNAL OF THE MECHANICAL BEHAVIOR OF BIOMEDICAL MATERIALS"/>
        <s v="CHASQUI-REVISTA LATINOAMERICANA DE COMUNICACION"/>
        <s v="CELL BIOCHEMISTRY AND BIOPHYSICS"/>
        <s v="ZEITSCHRIFT FUR BIBLIOTHEKSWESEN UND BIBLIOGRAPHIE"/>
        <s v="SMART CITY: HOW TO CREATE PUBLIC AND ECONOMIC VALUE WITH HIGH TECHNOLOGY IN URBAN SPACE"/>
        <s v="COMUNICAR"/>
        <s v="NEW LIBRARY WORLD"/>
        <s v="RUDN JOURNAL OF SOCIOLOGY-VESTNIK ROSSIISKOGO UNIVERSITETA DRUZHBY NARODOV SERIYA SOTSIOLOGIYA"/>
        <s v="SHAKESPEARE AND THE DIGITAL WORLD: REDEFINING SCHOLARSHIP AND PRACTICE"/>
        <s v="PUBLISHING RESEARCH QUARTERLY"/>
        <s v="GIST-EDUCATION AND LEARNING RESEARCH JOURNAL"/>
        <s v="SOFT COMPUTING"/>
        <s v="MARKETING SCIENCE"/>
        <s v="CLINICAL NEUROLOGY AND NEUROSURGERY"/>
        <s v="CLINICAL MEDICINE"/>
        <s v="ADVANCES IN CHRONIC KIDNEY DISEASE"/>
        <s v="CONTROL ENGINEERING AND APPLIED INFORMATICS"/>
        <s v="NORDIC JOURNAL OF DIGITAL LITERACY"/>
        <s v="SCHOOL-BASED INTERVENTIONS FOR STRUGGLING READERS, K-8"/>
        <s v="LIBRARY MANAGEMENT"/>
        <s v="E-GOVERNMENT SUCCESS AROUND THE WORLD: CASES, EMPIRICAL STUDIES, AND PRACTICAL RECOMMENDATIONS"/>
        <s v="DIGITAL DEMOCRACY: CONCEPTS, METHODOLOGIES, TOOLS, AND APPLICATIONS, VOL 1"/>
        <s v="REVISTA BRASILEIRA DE MARKETING"/>
        <s v="OPERATIONAL RESEARCH"/>
        <s v="IEEE TRANSACTIONS ON INDUSTRIAL ELECTRONICS"/>
        <s v="JOURNAL OF SCHOLARLY PUBLISHING"/>
        <s v="COLLEGE COMPOSITION AND COMMUNICATION"/>
        <s v="IEEE TECHNOLOGY AND SOCIETY MAGAZINE"/>
        <s v="COMPARATIVE E-GOVERNMENT"/>
        <s v="PROMETHEUS"/>
        <s v="JOURNAL OF MEDIA BUSINESS STUDIES"/>
        <s v="DRUG INFORMATION JOURNAL"/>
        <s v="PROGRAM-ELECTRONIC LIBRARY AND INFORMATION SYSTEMS"/>
        <s v="HUMAN RESOURCE DEVELOPMENT INTERNATIONAL"/>
        <s v="JOURNAL OF POWER ELECTRONICS"/>
        <s v="INFORMACIOS TARSADALOM"/>
        <s v="CITY &amp; COMMUNITY"/>
        <s v="MICROELECTRONICS JOURNAL"/>
        <s v="JAVNOST-THE PUBLIC"/>
        <s v="JOURNAL OF THE ELECTROCHEMICAL SOCIETY"/>
        <s v="TELEVISION QUARTERLY"/>
        <s v="LIBRARY REVIEW"/>
        <s v="IEEE DESIGN &amp; TEST OF COMPUTERS"/>
        <s v="CANADIAN JOURNAL OF ELECTRICAL AND COMPUTER ENGINEERING-REVUE CANADIENNE DE GENIE ELECTRIQUE ET INFORMATIQUE"/>
        <s v="COMMUNICATIONS OF THE ACM"/>
        <s v="ENGINEERING INTELLIGENT SYSTEMS FOR ELECTRICAL ENGINEERING AND COMMUNICATIONS"/>
        <s v="JOURNAL OF APPLIED PHYSICS"/>
        <m/>
      </sharedItems>
    </cacheField>
    <cacheField name="Book Series Title" numFmtId="0">
      <sharedItems containsBlank="1"/>
    </cacheField>
    <cacheField name="Book Series Subtitle" numFmtId="0">
      <sharedItems containsBlank="1"/>
    </cacheField>
    <cacheField name="Language" numFmtId="0">
      <sharedItems containsBlank="1"/>
    </cacheField>
    <cacheField name="Document Type" numFmtId="0">
      <sharedItems containsBlank="1"/>
    </cacheField>
    <cacheField name="Conference Title" numFmtId="0">
      <sharedItems containsBlank="1"/>
    </cacheField>
    <cacheField name="Conference Date" numFmtId="0">
      <sharedItems containsBlank="1"/>
    </cacheField>
    <cacheField name="Conference Location" numFmtId="0">
      <sharedItems containsBlank="1"/>
    </cacheField>
    <cacheField name="Conference Sponsor" numFmtId="0">
      <sharedItems containsBlank="1"/>
    </cacheField>
    <cacheField name="Conference Host" numFmtId="0">
      <sharedItems containsBlank="1"/>
    </cacheField>
    <cacheField name="Author Keywords" numFmtId="0">
      <sharedItems containsBlank="1" count="589" longText="1">
        <s v="Digital maturity model; Industry 4.0; Technology management; Industrial management; Systematic literature review; Case research"/>
        <s v="Multiple myeloma; Digital education program; Medication adherence; Quality of life"/>
        <s v="artificial intelligence; digital technology; hospitality; intented digitalized guest experience; self-service technology"/>
        <s v="Bariatric surgery; mHealth; Mixed methods; Text messages; Email newsletter; Online resources; Feasibility; Acceptability; Cost analysis"/>
        <s v="digital transformation capability; digital transformation; manufacture; qualitative meta-analysis"/>
        <s v="Circular economy principles; Technology transfer; Resource-based view; Fuzzy synthetic method; Decision-making trial and evaluation; laboratory"/>
        <s v="Digital transformation; Chief Information Officer; DT; CIO; Leadership"/>
        <s v="Deep learning; Enzyme discovery; Machine learning; Metabolic pathway design; Systems metabolic engineering"/>
        <s v=""/>
        <s v="Digital economy strategy; Digital ecosystem; Economic growth; Productivity; Asia productivity organization"/>
        <s v="construction planning; information and communication technology; construction site; supply chain; technology; information management systems; BIM"/>
        <s v="cybersecurity; privacy; data protection; health data; EU digital strategy; information; and communication technologies"/>
        <s v="augmented reality; AR; museum; museology; museum professionals; Portuguese museums; AR museum experiences"/>
        <s v="Myopia; Digital; Cost-effectiveness; Health education; Screening"/>
        <s v="integrated survey; digital documentation; UAVs; scan-to-BIM; digital twins; extended reality; cultural routes; interactive informative platform; H2020 Prometheus"/>
        <s v="SRDI enterprises; digital transformation; TOE framework; fsQCA"/>
        <s v="Digital transformation; ESG responsibility performance; Manufacturing companies; Digital strategy"/>
        <s v="Digital transformation; digital vision; digital orientation; digital strategy; transformation management intensity; digital management and departmental agility; environmental performance"/>
        <s v="Digital transformation; Organizational form; Digital transformation actions; Influence factors; Dynamic capabilities; Case study"/>
        <s v="Circular waste bioeconomy; Supply chain integration; Smart operations; Government strategies; Fuzzy Delphi method; Fuzzy decision-making trial and evaluation laboratory"/>
        <s v="EU digital strategy; Citizen-centric; Data governance; Federated data; Digital single market; Data commons"/>
        <s v="Big Tech expansionism; sphere transgressions; EU digital regulatory strategy; technology regulation; &gt;"/>
        <s v="Digital strategies; Dignity; Document analysis; eHealth; Older adults; Qualitative"/>
        <s v="dual strategy; clothing waste; sustainable process; circular fashion"/>
        <s v="asthma; electronic health records; patient portal; health equity; human"/>
        <s v="Brand posts; brand co-creation; online community; social communication; higher education"/>
        <s v="High-speed rail industry; Digital transformation; Innovation efficiency; Human capital"/>
        <s v="biomimetic; CAD; CAM; ceramics; composite resin; dental implant; digital dentistry; immediate loading"/>
        <s v="Digital transformation ambidexterity; Non-digital firms; Business performance; Efficiency; Growth; Text mining"/>
        <s v="digital innovation; digital transformation; MSMEs; net zero; sustainability"/>
        <s v="Australia; chlamydia; clinical decision support; digital; electronic medical record; general practice; gonorrhoea; primary care; STI management; STIs; syphilis"/>
        <s v="PREVENTIVE MEDICINE; Health informatics; Cardiac Epidemiology; Clinical trials"/>
        <s v="digital museum communication; Apulian museum; digital collections; museum websites; virtual museums; social networks; museum networks"/>
        <s v="Intraoral scan; Scan body; Polyetheretherketone; Bony preparation accuracy; Implant surgery"/>
        <s v="Primary care; Digital health; Statins use; Dyslipidaemia"/>
        <s v="Hand-off; Patient safety; Simulation; Teamwork; Medical education"/>
        <s v="digital strategies; administrative sciences; qualitative and quantitative methodology; organizational actions"/>
        <s v="Digital platform; Industrial internet-of-thing; Value creation logic; Multiple case study; Digital strategy"/>
        <s v="customs; digital transformation; digitalization; information technology; electronic customs procedures; automation; Customs Service of Ukraine"/>
        <s v="Customer experience management; In-store technology; Customer engagement; Phygital retailing; Retail store experience; Sporting goods stores"/>
        <s v="Brand heritage; communication; digital strategy; fashion film; luxury brand"/>
        <s v="Consensus development; Data security; Mobile apps; Risk-benefit assessment; Smartphone"/>
        <s v="Consent; Digital consent; Health education tool; Endovenous thermal ablation; Vascular surgery; Venous disease"/>
        <s v="political campaigns; social media; digital strategy; twitter; incumbency"/>
        <s v="Museums; ICT; technological innovation; demand-side factors; Italy"/>
        <s v="Diversification; Digitalization; Stability"/>
        <s v="open innovation; big data analytics; strategic resources; digital strategy; financial sector"/>
        <s v="museum management and governance; digitisation; digital strategies; innovative museum experiences; digital transformation"/>
        <s v="Digital spillover; grounded theory; internet enterprises; digital strategy"/>
        <s v="Digital strategy; Disruptive innovation; Entrepreneurial orientation; Digitalization; digital entrepreneurship; Competing hypotheses"/>
        <s v="Cloud risk assessment; Quantitative risk-analysis; Dynamic Bayesian Network"/>
        <s v="time series; nonlinear autoregressive neural networks; support vector regression; Kalman filter; digital marketing strategies; supply chain management; supply forecasting; horticultural industry"/>
        <s v="Digital technology; institutions; regional context; total factor productivity; multilevel analysis; Latin America and the Caribbean"/>
        <s v="Digital strategy orientation; Innovation; Executive incentives; State ownership"/>
        <s v="Electronic health record; Electronic prescription system; ICD-10 and ICPC-2 disease coding systems"/>
        <s v="Narrativa digital; competencia narrativa; educacion infantil; casa cuna; realidad aumentada Digital Storytelling; narrative competence; early childhood education; crib house; augmented reality"/>
        <s v="Digital transformation; digitalization; business strategy; e-commerce; COVID-19"/>
        <s v="strategic digital marketing; digitalization; sustainability; supply chain; innovation; process optimization; blockchain; big data; Decision Support Systems (DSSs)"/>
        <s v="electronic health records systems; pregnancy; e-health; technology; vulnerable pregnant women; digital divide"/>
        <s v="Digital leadership; Digital transformation; Digital strategy consensus; Diversity; Organizational identification"/>
        <s v="Management; Digital Transformation; Driver; Digital Culture; Digital Strategy"/>
        <s v="CDO; governance; transformation; digital trends; framework; function"/>
        <s v="Digital government; artificial intelligence; public sector; public administration; Mexico"/>
        <s v="Teachers' well-being; School digital support; REDS data; School effect; Covid-19"/>
        <s v="Opioids; People who use opioids (PWUO); Overdose (OD); Public health; Harm reduction; Overdose alert and response technologies (ODART); TPOM-ODART; Overdose digital technologies"/>
        <s v="Digital capability; Digital strategy; Technologies; Organizational performance"/>
        <s v="Barriers; Blockchain Technology; DEMATEL; Supply Chain; Sustainability"/>
        <s v="health information; infodemic; infoveillance; misinformation; social media"/>
        <s v="Barbie? dolls; Thin-ideal; Athletic-ideal; Fitspiration; Body image; College women"/>
        <s v="Fan engagement; Fan experience; Social media; Digital transformation; Sports organization"/>
        <s v="digital transformation; digital culture; digital leadership; digital strategy; Delphi method"/>
        <s v="TBM tunnels maintenance; serviceability; long-term behavior; tunnelling automatization and artificial Intelligence; monitoring"/>
        <s v="national mission; state-owned enterprises (SOEs); functional classification; two-way embedding; digital strategic transformation"/>
        <s v="European Union; digital strategic communication; social networks; Twitter campaign; COVID-19; vaccination"/>
        <s v="Argumentation; text commentary; formative assessment; learning process; information and communication technologies; peace"/>
        <s v="corporate digitalization; green innovation; human capital; executive team environmental attention; media attention"/>
        <s v="digital ads; elections; negative campaigns; abortion; Facebook; Google; Instagram; YouTube"/>
        <s v="Salesperson social media use; Creativity; Manager empowerment; Brand awareness; Company performance"/>
        <s v="Digital transformation; Eco-innovation; Sustainable performance; Manufacturers"/>
        <s v="Algorithmic data; Infrastructure; Digital work and labour; Advertisement; Affects; Turkey"/>
        <s v="Smart Product-Service System; Digital servitization; Barriers; Opportunities; SME"/>
        <s v="digital transformation; competences; public administrations; qualitative research; Austria"/>
        <s v="Digital strategy; growth strategy; business strategy; business development; digital business; digitalisation"/>
        <s v="digital technologies; TOE framework; hospitality; digital maturity; COVID-19; digital transformation"/>
        <s v="smoking cessation; tobacco control; Recruitment"/>
        <s v="cultural heritage preservation; digitalization strategy; cultural sustainability; handicrafts and craftsmanship; NFT; blockchain technology; metaverse"/>
        <s v="Digital Twin; Levels of Digital Twin; Digital strategy; Artificial Intelligence; Human in the loop digital twin; Cyber Physical Systems; Industry 4; 0; Digital Twin Maturity"/>
        <s v="Digital platforms; Strategic agility theory; Professional service firms; Business performance; Creative self-efficacy; Innovation"/>
        <s v="Digital maturity; Technological orientation; Resilience; Innovation"/>
        <s v="digital transformation; business strategy; organizational change; digital leadership; digital strategy"/>
        <s v="1000 days; digital communication; innovation"/>
        <s v="Social Media; Digital Strategy; YouTuber; Teaching Case"/>
        <s v="MIRET; ARCHITA; mobile mapping; tunnel defects; railway tunnels"/>
        <s v="recruitment methods; enrollment challenges; digital technology; adherence protocol; youth living with HIV; COVID-19"/>
        <s v="Medical services; Distributed ledger; Blockchains; Security; Pediatrics; Government; Electronic healthcare; Smart contracts; Distributed ledger technology; integrated healthcare; blockchain; smart contract; hyperledger fabric; blockchain in healthcare"/>
        <s v="semiconductor; ecosystem; digital transformation; digital drivers; digital competencies; business model; management performance"/>
        <s v="Hamilton; #Ham4Ham; Mike Karns; Marathon Digital; creative proximity"/>
        <s v="digital competence; digital divide; grey divide; internet access; logistic regression; social context"/>
        <s v="digital transformation; digital technology; information systems and technology; digital strategy"/>
        <s v="city strategies; city information; public services to citizens; information technology in cities; strategic digital city; urban management"/>
        <s v="City Strategies; Digital Public Services; Strategic Digital City; Public Administration; Information Technology"/>
        <s v="slow fashion; sustainability; Instagram; influencers; greenwashing; fast fashion; fashion"/>
        <s v="e-assessment; e-exam; curriculum; medical students; e-learning"/>
        <s v="Digital strategizing; Framework; Industrial system; Industry 5.0; Strategic drift"/>
        <s v="COVID-19; Alliance strategy; Digital strategy; Bank lending"/>
        <s v="screen time; smartphone; digital nudge; goal-setting; time limits; design friction"/>
        <s v="change and sustainability; COVID-19; education policy; policy analysis"/>
        <s v="digital technologies; supply chain resilience; information processing theory; COVID-19; China"/>
        <s v="Food 4; 0; Digital transformation; Digital marketing; Action research; Family firm"/>
        <s v="Digital servitization; Industry 4; 0; Manufacturing; Barriers of digital servitization"/>
        <s v="Digital transformation; Industry 4; 0; Business uncertainties; Smart supply chain; Supply chain flexibility"/>
        <s v="digital trade; e-commerce; cross-border data flows; regime complex; ASEAN; Digital Economy Partnership Agreement; Indo-Pacific Economic Framework; Singapore; Vietnam; Indonesia"/>
        <s v="Digital transformation; strategy; technological innovation; digital talent; communication"/>
        <s v="twin transition; green transition; digital transition; fermatean fuzzy sets; sustainability; information and communication technology"/>
        <s v="Digital technology adoption; Digital technology capability; Digital strategy; Strategic emerging industries; Sustainable development performance"/>
        <s v="Digital resources; digital strategy; digital innovation; IT resources; IT strategy"/>
        <s v="Crowdsourcing; Collective decision; e-participation; Social platforms; e-governance; Strategic digital city projects"/>
        <s v="International Society of Exposure Science; Data analysis; Data management; Chemicals; Exposure assessment; Risk assessment"/>
        <s v="cost-effectiveness; digital intervention; men who have sex with men; mathematical model"/>
        <s v="digital transformation; business management; sustainability; qualitative study research; Mexican market"/>
        <s v="clickbait; fake news; The Trust Project; misinformation; cybermedia"/>
        <s v="digital supply chain; digitalization; small and medium-sized enterprises; SMEs; adoption; digital transformation"/>
        <s v="Germany; Industry 4.0; Labour 4.0; Education 4.0; digitalization; labour market; regulatory tools"/>
        <s v="Maintenance digital transformation; Success factors; Hybrid reactive Delphi method; Expert verification; Ranking"/>
        <s v="Smart city; Governance; Boundary spanning; Taxonomy"/>
        <s v="Anti-retroviral agents; Therapeutics; Medication adherence; Digital technology; Sexual and gender minorities; Randomized controlled trial"/>
        <s v="digital transformation; decision-making test and evaluation laboratory methods; network analytic hierarchy process; fuzzy comprehensive evaluation; small- and medium enterprises"/>
        <s v="Urban services; Urban management; Strategic digital city; Information Technology; Public services"/>
        <s v="flexible strategy; digital platform; profit mechanism; symbiosis; digital capability"/>
        <s v="environmental disruptions; small business survival; business environment; epidemics; pandemics; developing economies"/>
        <s v="digital sustainable entrepreneurship; digital transformation; digital strategy; entrepreneurial vision; digitalisation"/>
        <s v="digital strategies; higher education; educational practices; digital infrastructure"/>
        <s v="strategic digital marketing; social media strategy; sustainable supply chain; innovation process; crisis; risk management; centralized payment networks (CPN); big data; fuzzy applications; decision support systems"/>
        <s v="digital transformation; corporate risk-taking; information disclosure quality; asset utilization"/>
        <s v="Artificial intelligence; Public organizations; AI capabilities; TOE framework"/>
        <s v="Digital innovation; Building Information Modelling (BIM); Construction industry; Digital Innovation Implementation Inhibitors; Socio-technical theory; Non -technical barriers"/>
        <s v="HRM digitalisation; digital HRM technologies; HR value chain; digital HRM strategies; organisational objectives/performance; South Africa"/>
        <s v="tax strategy management; digital business model; operations; digital ecosystem; digital technology"/>
        <s v="Digital heritage platform; FAIR data; Digital humanities; Cultural heritage; Rural digital strategies; Digital tools? integration"/>
        <s v="Digital transformation; Supply chain resilience; Resource orchestration theory; R&amp;D intensity; R&amp;D Employee; fsQCA; Firm size"/>
        <s v="Digital strategy security; digital strategy; digital transformation; IS; IT strategy security; information security; digital security"/>
        <s v="Randomised controlled trial; Process evaluation; Depression; Digital intervention; Psychosocial intervention; Behavioural activation; Psychoeducation; Low- and middle-income countries; Brazil"/>
        <s v="blockchain; NFTs; value creation; technology acceptance; luxury; fashion"/>
        <s v="capabilities; digital strategy; dynamic capabilities; innovation management; organizational change; topics and perspectives"/>
        <s v="existing R; C; bridges; bridge management; BIM modelling; information management; structural regulatory context"/>
        <s v="Municipal Strategy; Public Services; Strategic Digital City; Public Administration"/>
        <s v="sustainability; digitalization; ecologization; agribusiness development; Hungary"/>
        <s v="Smart City; sustainable transport; sustainable mobility; digital strategy"/>
        <s v="COVID-19 pandemic; Efficacy; Information technology; Remote learning; Soft Skills."/>
        <s v="Education; society; computer literacy; Economic systems; information"/>
        <s v="strategic changes; digitalization; digital strategy; digital transformation; digital acceleration; coronavirus pandemic as digital accelerator; fuel retail networks; trends in oil and gas industry"/>
        <s v="Backbone network; Public-private partnership; Broadband; Risk allocation"/>
        <s v="digital marketing; business failure; ecuadorian SMEs; business survival"/>
        <s v="Community engagement; community-engaged research; virtual engagement; community stakeholders; COVID-19"/>
        <s v="Building information modelling; big data; relationship"/>
        <s v="Protective ventilation; Recruitment; Quality improvement project; Software; Adherence"/>
        <s v="digital transformation; ICT industry; labour unions; artificial intelligence"/>
        <s v="Digital marketing; Historic sites management; Destination marketing; Destination image; Visitor loyalty"/>
        <s v="Communication; museum; social networks; digital strategy; COVID-19; lockdown"/>
        <s v="Digital media; boards; not-for-profit; sport governance; qualitative research"/>
        <s v="Social media technologies; Organizational learning; Technological knowledge competences; Organizational performance"/>
        <s v="chronic pain; data sharing; citizen science; attitudinal survey study; non-pharmacological pain treatment; mHealth; mixed-methods research; patient-oriented research"/>
        <s v="Digital business models; business model types; business model patterns; digital technologies; digital transformation; digital strategy; platforms"/>
        <s v="Industry 4; 0; Digital supply chains; DSC enablers; Challenges of DSC adoption"/>
        <s v="Design practice strategy; Post -digital architecture; Parametric design; Developing region; Non -standard architecture"/>
        <s v="Digital behavior; Digitalization; Digital transformation; Digital infrastructures; Emergent entrepreneurship; Startups; Startup strategies"/>
        <s v="digital balanced scorecard; digital transformation; strategy; supporting framework; sustainability; technology"/>
        <s v="Digital strategy; digital transformation; digital implementation; digital maturity"/>
        <s v="Digital Transformation; Corporate Transformation; Corporate strategy; Digital strategy; Talent management"/>
        <s v="Digitalisation; digital transformation; value creation; productivity; managerial behaviour; servitisation; innovation management; firm performance"/>
        <s v="Industry 4; 0; Barriers; Technology adoption; Interpretive structural modelling"/>
        <s v="digital interventions; N-of-1 trial; SCED; single-case experimental design; web application; mobile application; app; digital health"/>
        <s v="Black women; Latina women; pre-exposure prophylaxis; digital technology; telemedicine"/>
        <s v="adverse selection; digital strategy; ICTs; information asymmetry; IoT; IT due diligence; M&amp;A performance; M&amp;A success"/>
        <s v="conflict; Israel Defense Forces (IDF); military communication; online platforms; strategic narratives; Twitter"/>
        <s v="digital health; mHealth; mobile health; eHealth; Health information and communication technologies; Sierra Leone; big data; HIE; interoperability"/>
        <s v="Digital Single Market; Data Act; data; data rights and control; data access; data sharing; platform economy; PSD2"/>
        <s v="social media advertising; startups; online sales; digital strategies; social media marketing effectiveness"/>
        <s v="fluoride; disinformation; randomized controlled trial; social media; internet"/>
        <s v="blockchain; cryptography; electronic health record; privacy; security; distributed file system"/>
        <s v="digital intelligence transformation capability; learning subject; learning process; ?knowledge-action oneness; ? Haier"/>
        <s v="Scaling; digital technologies; hybrid strategies; cost-leadership; differentiation; small businesses; explanatory case study"/>
        <s v="digital advertisements; early intervention; youth mental health; help-seeking; social media; pathways to care"/>
        <s v="digital strategy; infectious diseases; dissemination of information; social media"/>
        <s v="social media; medical education; digital strategy; infectious diseases; virtual learning"/>
        <s v="Organisation strategy; Tourism resilience sustainability; Pandemic age; Beliefs; Practices and experiences; Malaysian budget hotel"/>
        <s v="organisational culture; human resource management; business administration; business digitalisation; human capital"/>
        <s v="Retailing; Live streaming; Customer engagement; E-tailers; Purchase intention; Customer acquisition"/>
        <s v="Public libraries; library development; ict4d; international development; leadership; community engagement; social inclusion; myanmar; bangladesh; philippines; georgia"/>
        <s v="Payment security; digital strategy; digital transformation; user security"/>
        <s v="Digital transformation; digital maturity model; empathy map; customer experience map; tourism"/>
        <s v="digital transformation; AI technology; digital strategy; decision model; SERM model"/>
        <s v="agile; change management; design thinking; design science research; digital transformation; digital; digital technologies; digital strategy; integrated framework; system development life cycle"/>
        <s v="MENTAL HEALTH; Suicide &amp; self-harm; PSYCHIATRY"/>
        <s v="strategic digital marketing; innovation process; decentralized systems; data analysis; web analytics; customer electronics; decision support systems"/>
        <s v="digital transformation; digital transformation models; digitalization; customers; organizational culture"/>
        <s v="Digital business strategy; digital transformation; incumbent firms; disruptive digital innovations; hospitality industry"/>
        <s v="adolescent; management; obesity; policy; prevention; public health; young people"/>
        <s v="Digital transformation; Market turbulence; Economic performance; Environmental performance; China"/>
        <s v="Diagnosis tool; Clothing industry; Maturity model; Industry 4; 0; Emerging technologies"/>
        <s v="Digital platform capabilities; Knowledge bases; Technological innovation; Organisational routines; Resource-based view"/>
        <s v="Museum; Covid-19; Educommunication; Digital Strategies; UNESCO"/>
        <s v="Social network; Innovation; Information services; Consumption of information; Libraries"/>
        <s v="deinstitutionalization; digital strategy; institutional change; technological change; technology; topics and perspectives"/>
        <s v="Interculturality; Inclusion; Digital skill; Active methodologies; Educational innovation"/>
        <s v="public transport; public administration; public investments; sustainable urban development; strategic digital city"/>
        <s v="Digital platforms; Business model innovation; Capability reconfiguration; Dynamic capability; SMEs"/>
        <s v="Re-internationalization; Digital transformation; Internationalized SMEs; International performance"/>
        <s v="Digital transformation; Organizational agility; Leadership; Digital strategy; Institutional theory; COVID-19"/>
        <s v="COVID-19; control strategy; challenges; equity; global pandemic"/>
        <s v="Hotel sector; digital marketing; social media; instagram; hashtags; Portugal; Spain"/>
        <s v="suicide prevention; digital strategy; digital technology; digital services; e-mental health; implementation science"/>
        <s v="rural digital hub; digital strategy; place-based approach; rural proofing; hub concept"/>
        <s v="Digital trials; Weight loss trials; Remote clinical trials"/>
        <s v="fuzzy logic; fuzzy arithmetic; construction; linguistic evaluation; digitalization"/>
        <s v="mobile commerce; security; digital strategy; digital transformation; user security"/>
        <s v="food security; food assistance; digital applications; digital technology; digital health"/>
        <s v="e-commerce; COVID-19; containment measures; digital resilience; logistics"/>
        <s v="Supply chain; B2B; Social media; Disruption; COVID-19; PPE"/>
        <s v="Holocaust museums; Holocaust memorial culture; individuals; agency; Constructivism"/>
        <s v="Supply chains; Manufacturing; Companies; Decision making; Robots; Real-time systems; Bibliographies; Digital strategy development; digital supply chain strategy typologies; strategic management; supply chain digitalization criteria; supply chain management"/>
        <s v="econometrics; economics of IS; electronic commerce; mobile computing; mobile Internet"/>
        <s v="Digital transformation; Public value; Co-production; Public service delivery; Public administration; Digital strategy; Digital policy"/>
        <s v="21st-century learning; Language Learning Strategies (LLS); technology literacy"/>
        <s v="Industries; Digital transformation; Data models; Companies; Interviews; Technological innovation; Transforms; Digital transformation; digital strategy; business mode; conceptual model; industry; digital transformation process; digital transformation goals"/>
        <s v="COVID-19; marketing; local brands; entrepreneurs, and digital strategies"/>
        <s v="hip-hop; social media; media literacy; visibility labor; microcelebrity; platformed creation"/>
        <s v="Blended learning; Digital learning; Instructional technology; Social studies; Student perceptions"/>
        <s v="agencies; communication; public relations; social networks; content"/>
        <s v="decision support systems; agrifood supply chains; information systems planning; digitalization; SMEs"/>
        <s v="Greece; National Health System; hospitals; strategic planning; health policy; management; operational efficiency"/>
        <s v="digital learning; academic lived-experiences; motivational learning experiences"/>
        <s v="Sensors; COVID-19; Machine learning; Temperature measurement; Coronaviruses; Wearable computers; Protocols; Bluetooth low energy; contact tracing; disease outbreak; physical distancing; smartwatch; wearables; COVID-19; proximity sensing; pandemic; artificial intelligence; supervised learning; neural network"/>
        <s v="digital economy; e-government; rating assessment; interactive services; information systems; information security; database"/>
        <s v="digital marketing; big data; emerging diseases of the Novel Coronavirus 2019 (COVID-19) pandemic"/>
        <s v="Brazil; freedom of the press; influencers; Jair Bolsonaro; journalists"/>
        <s v="Structure from Moon (SfM); Deformaon analysis; Point cloud distorons"/>
        <s v="Cryptocurrency; Behavioral sciences; Organizations; Measurement; Blockchains; Costs; Technological innovation; Strategic digital marketing; digital behavior; innovation; decentralized payment networks; big data; e-commerce; decision support systems"/>
        <s v="Strategy; digital; management; big data"/>
        <s v="Covid-19; digital strategies; digital marketing; pandemic impacts"/>
        <s v="Feminist Cyberactivism; Street Harassment; Gender Violence; Chile; OCAC (Observatory against Street harassment)"/>
        <s v="communicative space; public sphere; covid-19; social media; journalism"/>
        <s v="digital strategy; directions for action; education"/>
        <s v="digital economy; index compilation; entropy grey target method; sigma convergence; cluster analysis"/>
        <s v="Digital retrofitting; Collaborative maintenance; Industry 4; 0; Human -machine interfaces; Traditional manufacturing; Non-intrusive sensors"/>
        <s v="chronic pain; personalized medicine; citizen labs; stigma &amp; discrimination; digital health; serious games (SGs); big-data; play"/>
        <s v="chronic kidney disease; health literacy; self-management; communication; patient education; intervention; professional training"/>
        <s v="Cultural and creative industries; book publishing industry; e-book; e-readers; book catalogue; digital economy"/>
        <s v="Digitalization; Digital maturity model; SMEs; Fuzzy method"/>
        <s v="business models; digital revolution; energy sector transformation; Hellwig's method; Industry 4; 0; literature review; strategic management"/>
        <s v="Digital Transformation; Digital Retrofitting; Industry 4.0; Procedure model"/>
        <s v="digital video; audience; television; YouTube; digitalization"/>
        <s v="Green technology innovation; Media attention; Tobit model; Environmental regulation; Digital economy"/>
        <s v="digital strategy; common agricultural policy; supranational regulation; COVID-19 pandemic; sustainable development; global climate change"/>
        <s v="Iteration practices; digital society; religion; partisan groups; far-right; Poland"/>
        <s v="Digital transformation; Business transformation; Digital strategy; Corporate strategy; Energy sector"/>
        <s v="Platforms; Digital strategy; Network effects; Complements"/>
        <s v="Youth collectives; contemporary art museums; youth; collaborative art practices; digital strategies; lockdown"/>
        <s v="digital maturity; micro and small businesses; Covid-19 pandemic; digital strategy"/>
        <s v="corporate multimodal communication; discursive digital strategies; critical discourse analysis; diversity commitment and management"/>
        <s v="Covid-19; pandemic; coronavirus; press freedom; Committee to Protect Journalists; International Press Institute; Reporters sans Frontieres; Twitter"/>
        <s v="feedback; formative assessment; gamification; medical education; online quiz"/>
        <s v="Airline industry; Digital transformation; SWOT Analysis; Fuzzy AHP; Fuzzy MARCOS"/>
        <s v="Digital transformation; Dynamic capabilities; Routines; Digitalization; Qualitative research; Innovation; Technology"/>
        <s v="Knowledge visualization; Digital twin; Strategy; Decision support; System dynamics (SD); Digital transformation; Performance management; Innovation; Data analytics; Dynamic capability"/>
        <s v="Silent film heritage; digital technology; public engagement; home movie collections; affordance"/>
        <s v="Digital strategies; Crisis; Integrative literature review"/>
        <s v="Analytical models; Digital transformation; Organizations; Information age; Planning; Monitoring"/>
        <s v="art galleries; art market; digital technology; multi-channel strategy; business model innovation"/>
        <s v="competitive advantage; digital strategy; digital transformation; global value chains; impact"/>
        <s v="health literacy; digital literacy; digital skills; patient empowerment"/>
        <s v="customer orientation; competitor orientation; technology orientation; digital infrastructure; digital integration; digital management; organizational performance"/>
        <s v="SMEs; entrepreneurial marketing; data sciences; digital marketing; multiple correspondence analysis"/>
        <s v="Luxury brand; Augmented reality; Brand equity; Customer journey; Brand experience; Strategic approaches"/>
        <s v="Industry 4.0; maturity model of industry 4.0; green; sustainable manufacturing; sustainability carbon neutrality"/>
        <s v="Digital strategy aligning; SMEs; Europe; Dynamic capabilities; Five-phase model"/>
        <s v="Multi-channel; omni-channel; mobile channel; Too Good To Go (TGTG) app; self-determination theory; motives"/>
        <s v="Epistemological analysis; Internet of Things; Risk transformation roadmap; Cyber risk regulations; Empirical analysis; Cyber risk self-assessment; Cyber risk target state"/>
        <s v="Platform banking; Commercial banks; Grounded theory; The banking industry"/>
        <s v="Digital business transformation; Organizational culture; Leadership; Manufacturing industry; Content analysis; Case studies"/>
        <s v="ADHD; English language; sterilization; Attention deficit hyperactivity; digital strategies; motivation"/>
        <s v="Customer journey; Customer loyalty; Smartphone app; Digital strategy; Forecasting; System dynamics"/>
        <s v="digitalization; digital strategy; digital transformation; digital technology; export companies; information and communication technologies (ICT); management"/>
        <s v="Digital strategy; Individual entrepreneurial orientation; Proactiveness; Risk-taking; Innovativeness; Relational capital; Performance"/>
        <s v="Dual disorders; COVID-19; service delivery; health care delivery; barriers"/>
        <s v="Structural equation modeling; Digital transformation; Management commitment; Digital innovation; Digital strategy; Role of IT department"/>
        <s v="Social media; Innovation; NHL; COVID; Disinnovation"/>
        <s v="Companies; Industries; Cognition; Steady-state; Space exploration; Mobile applications; Insurance; Digital strategy; digital transformation; strategic organization design (SOD); strategic renewal; technology adoption"/>
        <s v="COVID-19; Public transportation; Strategic digital city; Bus"/>
        <s v="Digital marketing; Start-ups; Fashion; Luxury; UAE; KSA"/>
        <s v="COVID-19; digital technology; Brazil; public health; medical informatics; digital health; strategy; outbreak; system; data; health data; implementation; monitoring"/>
        <s v="Industry 4; 0; steel industry; digitalisation"/>
        <s v="digital transformation; digital strategy; digital technology; digital maturity; digital technology management; businesses; Greece"/>
        <s v="connectivity; virtual classes; aptitude for virtuality; virtual teaching methodologies; virtual or remote evaluation"/>
        <s v="Gamblification; Gambling; Gamification; Digital business models; Loot box; Prospect theory"/>
        <s v="Multigenerational family business; Millennials; Digital strategy; Human capital; Non-economic goals"/>
        <s v="Digital transformation; Industry 4; 0; fashion industry; survey"/>
        <s v="digital strategy; entrepreneurship; marketplace; platform economy; service provider; services"/>
        <s v="Covid-19; policy enactment; policy actors; school context; online practices"/>
        <s v="Higher education; higher education institutions; enablers; inhibitors; technological readiness; TRI; enterprise resource planning adoption; Egypt"/>
        <s v="Digital transformation; leadership; open coding; literature analysis; taxonomy; c-suite"/>
        <s v="Gamification; serious games; cultural institutions; digital heritage; digital marketing; game tourism"/>
        <s v="Industry 4; 0; Digital strategy; Engineering companies; Readiness"/>
        <s v="Small donations; campaign contributions; text analysis; digital strategy; email; political campaigns; campaign strategy; political participation"/>
        <s v="#ecotheatre; #ecoart; #ecodramaturgy; #greentheatre; #ecoscenography; #artforsocialchange; #puppetry; #immersivetheatre; #artsadministration; #audiencedevelopment"/>
        <s v="digital; longitudinal; pregnancy; postpartum; perinatal; panel; study design; mental health"/>
        <s v="cohort methods; digital technology; HIV prevention; home-based testing; sexual minority men"/>
        <s v="Digital entrepreneurship; digital new ventures; digital strategy"/>
        <s v="Digital transformation; Digitalization; Higher education; Digital technologies; Social institutions"/>
        <s v="Business communication; Digital communication; Social Media Marketing; Communication management; web 2.0"/>
        <s v="higher education; digitalization; distance learning; Covid-19 outbreak; resilience"/>
        <s v="blended learning; mobile learning; COVID-19; physics education; performance learning; educational innovation; higher education"/>
        <s v="Digitalization; industrial internet of things; cognitive services; digital twin; blockchain"/>
        <s v="Gender; feminism; Islam; space; Turkey; online activism"/>
        <s v="digital strategy; infectious diseases; information dissemination; social media"/>
        <s v="Americanization; convergence; digitalization; personalization"/>
        <s v="Agency; Identity; Internet; Intersectionality; Marginalization; Performativity"/>
        <s v="Leadership; Digital transformation; Corporate strategy; Business strategy; Digital strategy"/>
        <s v="Pedagogical Content Knowledge; technological Pedagogical Content Knowledge; signature Pedagogies; expansive education and vocational capacity"/>
        <s v="Digital activism; YouTube; micro-platformization; influencers; MCNs"/>
        <s v="oral; FFL; phonetics; ICT"/>
        <s v="value creation; IoT ecosystem; value offer; system dynamics; value capture; business model"/>
        <s v="mHealth; eHealth; Clinical data analytics; Big data in healthcare; IoT in health service; Digitalization of healthcare; Medical care; Electronic health record; Intelligent medical care system; Healthcare data"/>
        <s v="Open Banking; Thematic Analysis; Implementation; Commercial Banks of Iran"/>
        <s v="COVID-19; Artificial intelligence; Data analytics; Digital transformation"/>
        <s v="Disadvantaged schools; elementary school students; learning strategies; action research; teacher researcher; technology education"/>
        <s v="digitalised production; digital transformation; industry 4.0; Industrie 4.0; value creation; value capture; manufacturing strategy"/>
        <s v="User experience; E-commerce; Tourism search and metasearch engines; GAM"/>
        <s v="Digital Competence; Digital Culture; Secondary Education; Educational Organization; Technology Of The Information And Communication"/>
        <s v="International Olympic Committee; Olympics; IOC; Digital content; Television; Social media; Millennials"/>
        <s v="diabetes &amp; endocrinology; health services administration &amp; management; preventive medicine; public health"/>
        <s v="COVID-19; Coronavirus; Pandemics; Museums; Social networks; Digital resources; Education"/>
        <s v="Digital strategies; digital cultural heritage; museums; gaming"/>
        <s v="B2B content marketing; business-reference content; B2B digital-marketing; narrative content; narrative transportation; B2B purchase risk"/>
        <s v="COVID-19; coronavirus; digital marketing; non-profit marketing; cultural institutions"/>
        <s v="digital influencers; shopping; digital marketing; fashion"/>
        <s v="Industry 4.0; Maturity Model; Logistics; Inventory; Storage Management Systems; RFID"/>
        <s v="digital economy; legal regulation; services; digitalization of business; industry; digital leadership; digital infrastructure; digital skills; digitalization of the country; public policy, etc"/>
        <s v="EAEU; EAEU digital agenda until 2025; integration processes in the post-Soviet space; Eurasian Economic Commission; digital economy"/>
        <s v="Digital strategies; Marketing; Machine Learning; Deep Learning; B2C and B2B"/>
        <s v="change adaptation; change management; digital adaptation; digitalisation; digital strategy; IR4.0; SME"/>
        <s v="Smart city; Smart urban policy; Digital tools; City planning; Smart strategy"/>
        <s v="Crowdfunding; Social networks; Digital strategy; Social influence"/>
        <s v="pandemic; argumentation; practical conflict; tracing-contact app; trust"/>
        <s v="Pandemic; digital tools; virtual modalities; higher studies; graduate students; academic writing; teaching and learning"/>
        <s v="business processes; IT-outsourcing; global market; technologies; zonal level"/>
        <s v="Digital transformation; Digital strategy; Industry 4.0; SMEs; IoT"/>
        <s v="communities of practice; academic managers; digital technology strategy; academic staff-management collaboration; motivations"/>
        <s v="Change management; Technology; Digital transformation; Digital strategy"/>
        <s v="Chatbots; contraception; health communication; health disparities; technology"/>
        <s v="Digital design; industrial design; design tools; media; design education; computer‐ aided design"/>
        <s v="eHealth; patient communication; cancer survivorship; obesity; behavior"/>
        <s v="higher thinking; cognitive skills; perspective analysis; abstraction; ICT; digital"/>
        <s v="Digital gap; Covid-19; Educational strategy; Social network; Citizen replies"/>
        <s v="COVID-19; Digital life; Digital transformation; Digital world; Information management; Information systems; Information technology"/>
        <s v="European Union; actorness; digital space; digital policy"/>
        <s v="digitalisation; digital transformation; business model innovation"/>
        <s v="Tourism recommendation system; Smart tourism; City tourism; Transport mode choice; Multi-objective optimization; Nondominated sorting heuristic approach"/>
        <s v="Brexit; democracy; far right; digital media; digital political marketing"/>
        <s v="radio; social networks; audience; media convergence"/>
        <s v="digital maturity; digital transformation; digital revolution; the Fourth Industrial Revolution; fintechs; big data; blockchain"/>
        <s v="social media adoption; diffusion of innovation theory; TOE; hospitality industry"/>
        <s v="Centru Region-Romania; digital transformation; (digital) innovation; (digital) competitiveness; innovation performance"/>
        <s v="digital transformation; digital strategy; strategy implementation"/>
        <s v="Industry 4; 0; Digitalization; Case study; Automotive industry"/>
        <s v="multiple sclerosis; documentation; digital patient management; post-authorization safety study; MSDS3D"/>
        <s v="Convergence; Open innovation; Digital technology; Agile synergistic interaction; Business and technology management; Digital fusion"/>
        <s v="Digital work; Platform alignment; Social media alignment; Platform logic; Platform drifting; Digital strategy; Organizational transformation; Digital transformation"/>
        <s v="Industry 4.0; Barriers; Grey-DEMATEL; Developed economy; Developing economy"/>
        <s v="Fintech; Strategic alliance; Make; buy; or ally; Entrepreneurial finance; Banks"/>
        <s v="SME digitalization; Financial performance; Employee skill; Digital strategy; Resource-based view; Digital identity"/>
        <s v="Collective intelligence; Cognitive technologies; Digital strategies; Knowledge systems"/>
        <s v="Digital strategies; digital tactics; B2B; B2C; cluster analysis"/>
        <s v="Digital agenda; digital gaps; digital economy; digital paradigm; socio-economic development"/>
        <s v="decision-making; polytelic conflicts; problem-solving; digital games; game-based learning; gameplay loop; game design; geography education research; qualitative research"/>
        <s v="Heritage; Post-disaster Reconstruction; Digital Strategies; National Museum; Brazil"/>
        <s v="Digital transformation; University; Higher education; Digital strategy; Public sector"/>
        <s v="Cognitive conflict; Digital transformation strategy; Long-term financial performance; Short-term financial performance"/>
        <s v="Offshore wind farms; Series DC connection; VSC-HVDC; MMC; NPC"/>
        <s v="digitalization; harassment; racism; spatial strategies; urban space; young femininity"/>
        <s v="Digital marketing; Historical method; Digital cultures; Institutional theory; Practice theory; Cultural framework; Prospective"/>
        <s v="sustainable digital marketing strategies; sustainable business models; sustainable management; social network analysis for sustainability"/>
        <s v="Integration; SME; Manufacturing; Industry 4; 0; Digitalization; IoT; Digital; Transformation; Performance; Design"/>
        <s v="Business strategy; Digital transformation; Digitalization; Digital strategy; Digital business development; Strategic action fields"/>
        <s v="Reading; Writing; Elementary School; Portuguese Language; Legal indicators"/>
        <s v="telemedicine; quality in health care; sexual medicine"/>
        <s v="damaged monuments; heritage emotion; traumatic ruin; actors; exhibition"/>
        <s v="inclusion; disability; competences; accessibility"/>
        <s v="integrated marketing communication (IMC); higher education marketing (HEM); higher education (HE); pandemic; service sector"/>
        <s v="social media; propaganda; Islamic State; Telegram; collaborative media; terrorism; participatory media; affordances"/>
        <s v="Data policy; Big data; Emerging powers; frames; Digital strategy; Global South"/>
        <s v="Audit; Digitalization; Big Data; Artificial Intelligence; Audit process"/>
        <s v="Attention economy; audience labor; Digital First Media; digital news; exploitation; MediaNews Group; news consumption; newspaper industry; political economy of news"/>
        <s v="CBT; competency; Kirkpatrick; supervision"/>
        <s v="digital storytelling; history education; historical understanding; Philippine history; thematic network analysis"/>
        <s v="agricultural commercialization; digital marketing; electronic business; social networks"/>
        <s v="Consumer Behavior; Digital Age; Digital Strategies; Digital Business"/>
        <s v="geography education research; video games; qualitative research; game-based learning; popular geopolitics"/>
        <s v="Logos; visual identity; graphic design; responsive design; digital strategy"/>
        <s v="Digital transformation; key value propositions; data ownership; existed firms; emerging economies"/>
        <s v="digital transformation; digital technology; representation; connectivity; aggregation; firm strategy; digital strategy"/>
        <s v="Technologies; Families; Spirituality; Reflexivity; Intimacy; Pilgrimage"/>
        <s v="strategic digital city; decision-making process; municipal strategies; municipal information; municipal public services; information technology"/>
        <s v="Digital strategy; digital transformation; digital transformation strategy; digitisation; business model"/>
        <s v="Brazil; digital activism; political history; political mobilization; social networks"/>
        <s v="China; digital transformation; digital strategy; higher education; institutional development plan; national policy"/>
        <s v="Experimental design; Product involvement; Device type; Digital video advertising; Search intentions"/>
        <s v="Greek sanctuaries; Naxos in Sicily; digital reconstruction; 3D documentation; geophysical survey"/>
        <s v="Sustainable development; Sustainability strategy; Digital strategy; Digital transformation; Technology transformation; Managerial capabilities; Financial performance"/>
        <s v="Digital echoverse; Digital B2B; Digital media elasticities; Emerging markets; Vector autoregression; Inbound marketing; Paid media; Owned media; Earned social media; Sales; Customer acquisition"/>
        <s v="E-health; Health Policy; Healthism; Internet; Social determinants of health; Youth"/>
        <s v="Bottom of pyramid; Risk management; Digital technology; Social policy; Social health insurance"/>
        <s v="cybersecurity; biomanufacturing; distributed manufacturing; bioprocess risks; cyber-physical systems; risk mitigation"/>
        <s v="Delphi; Agility; Business intelligence; Interpretive structural modelling; MICMAC; Project procurement management"/>
        <s v="Industry 4.0; Digital strategy; Management functions; Lean; Qualitative; Supply chain"/>
        <s v="Business; Computer science; Information science; Economics; Colombia; Data science; Competitive analytics; Qualitative comparative analysis; Business performance"/>
        <s v="Clinical trials; patient information needs; social media; public service announcements; recruitment"/>
        <s v="Social networks; Strategy; Innovation; Restaurants; Gastronomic zone"/>
        <s v="Branding; Communication; Territorial Brand; Strategic Digital City; Territoriality"/>
        <s v="Public Administration; Digital Transformation; Digital Agenda; Europe; Liguria; Open Government"/>
        <s v="Diagram; Digital; Cartography; Immateriality; MIT"/>
        <s v="Digital transformation; organisational transformation; innovation; digital strategy; organisational digital transformation assessement"/>
        <s v="Smart City; Big Data; Strategic Digital City; Management of Cities; Information technology in Cities"/>
        <s v="digital health; Rheumatologie; Versorgungsforschung; digital health; rheumatology; health services research"/>
        <s v="Big Data; Strategy; Advertising agencies; Account planning; Creative process; Digital strategy"/>
        <s v="Value creation; big data; digitization; digital transformation; digital platforms; stakeholders' interests; Google Arts &amp; Culture; Europeana"/>
        <s v="age; attention; audience measurement; cohort effects; demography; newspaper consumption; online editions; time spent"/>
        <s v="Digital transformation strategy; IS strategizing; Interpretive case study; Financial services"/>
        <s v="e-learning; digital teaching; digitization; academic teaching; curriculum; medical education"/>
        <s v="Facebook Live; Facebook; streaming; engagement; social audience; transmedia storytelling; crossmedia storytelling; interaction; social networks"/>
        <s v="Electronic Health Record; Digital Strategy; Digital Transformation; Electronic Medical Record; EHR; Hospital"/>
        <s v="Online video; Digital video; Second level teaching; Digital learning; secondary schools teaching"/>
        <s v="Discovery systems; EDS; HE libraries; e-resources; accessibility; user experience; UX"/>
        <s v="complex target program; regional governance; regional development; distribution of financial resources; IT technology"/>
        <s v="Big data; digitalization; digital transformation; digital strategy; inter-organizational collaboration; embeddedness; transparency; adaptation"/>
        <s v="Advertising; Elections; Micro-targeting; Privacy"/>
        <s v="Social media advertising; luxury products; beliefs; attitudes; behaviors; purchase intention"/>
        <s v="Museum digitalization; Organizational transformation; Cultural strategic management; Cultural tourism; Digital strategy"/>
        <s v="electronic health records; eligibility determination; decision support techniques; patient portals; cancer early detection"/>
        <s v="digital divide; information society; vulnerable community; social marginalization"/>
        <s v="public relations; organisational communication; sports management; social networks; Real Madrid CF; FC Barcelona"/>
        <s v="Information-legal policy; information security; Government as Platform; US International Strategy for Cyberspace; Basic Law of the Federal Republic of Germany; Cyber Cybersecurity Law of China; Digital Strategy of Great Britain"/>
        <s v="Reading Comprehension; Electronic Learning; Reading Strategies; Short Term Memory; Expository Comprehension"/>
        <s v="Value innovation; IoT; Industry 4.0; Strategy innovation"/>
        <s v="Big data; Consent; Infomediation; PIPEDA; Privacy"/>
        <s v="Decision process; municipal strategies; municipal public services; information technology resources; evidence-based management; strategic digital city"/>
        <s v="Digital literacy; Policy; Technology; Internet; Regulation"/>
        <s v="Museum; Job profiles; Digital skills; Transferable competences; Digital culture"/>
        <s v="online community; brand; netnography; methodology; social network; Facebook"/>
        <s v="Big Data; Cloud Computing; IaaS; multiobjective heuristics; NSGA-II"/>
        <s v="psychosis; relapse; mHealth; digital intervention; randomized controlled trial; early psychosis"/>
        <s v="Dynamic Capabilitie; Digital Marketing; Marketing Capabilities; Dynamic Marketing Capabilities; Digital Strategy"/>
        <s v="Social media; Internet; Twitter; Facebook; Trump; political communication"/>
        <s v="Twitter; Strategic digital city; Citizen participation; Information technology; Information quality attributes"/>
        <s v="Social media; media education; sex education; image; gender stereotypes; digital identity; social roles; youth"/>
        <s v="political communication; affordances; primaries; digital marketing"/>
        <s v="digital poetry; intermediation; metaphysics; dynamic heterarchy; digital ekphrasis"/>
        <s v="Digital transformation; digital strategy; The Five Competitive Forces Model; Value Chain Analysis; Dynamic capabilities; Ecosystem theory"/>
        <s v="Internet; Social media; Social networking; Neurology; Stroke; Physical therapy modalities"/>
        <s v="Digitalization; Two-sided market; Omnichannel strategies; Shopping mall; Retailing; Interpretative case study"/>
        <s v="Digital technologies; Higher education policy and strategy; Marketisation of HE; Neoliberalism; Critical discourse analysis"/>
        <s v="sports journalism; digital journalism; innovation; internationalization; MARCA Claro; digital strategy"/>
        <s v="Aligning; Dynamic capabilities; Digital strategy; Tension; B2C ecommerce; IT Alignment"/>
        <s v="Supply chain management; Big data; Decision making; Information technology; Mixed method; Business processes; Digital strategy; Applications"/>
        <s v="Political communication; digital politics; democracy and technology; politics and popular culture; New Zealand politics"/>
        <s v="Digital divide; gender; technology; socioeconomic development; ICTs; training program"/>
        <s v="Elections; Social media; Equalization/normalization; Political campaigns"/>
        <s v="Television; Internet; audiences; audiovisual media consumption; millennials"/>
        <s v="Big data; Digital technology; Gossip; Friendship ties; Structural embeddedness; Workflow ties"/>
        <s v="Digital organization; strategy; digital dexterity; transformation; organizational culture"/>
        <s v="Facebook; 2016 US Presidential Election; digital politics; political campaigning; social media"/>
        <s v="Blockchain; hyperledger; supply chain"/>
        <s v="Public Policy; Strategic Digital City; Strategic Technological Project; Public Administration; Citizen Participation"/>
        <s v="Design; Digital museum; Digital technologies; Evaluation; Learning; New media culture; BDT (basic digital technologies)"/>
        <s v="computer-aided design/computer-aided manufacturing (CAD/CAM); custom-made implant; cone beam computed tomography (CBCT); guided surgery; immediate implantation; intraoral scanning (IOS); root-analogue implant (RAI); one-abutment/one-time; three-dimensional (3D) diagnosis"/>
        <s v="Public transport; Customer information; Open data; Customer benefits; App development; Cloud hosting"/>
        <s v="Digital project; Digital project management; Digital economy; Archival economy; Digital archives; Games Theory; Digital records management"/>
        <s v="Digital transformation; Systems thinking; Systems archetypes Business model; Theory of business; Digital service strategy; Platform business; Healthcare; Medtech"/>
        <s v="Mobile technology; Digital strategy; BYOD1:1; Cloud storage; E-books personalized learning"/>
        <s v="Higher education institutions; Enrolment; Online university information search; University marketing; University recruitment"/>
        <s v="Elections; Advertising; Privacy; Analytics; Profiling"/>
        <s v="interactive documentary; transmedia; docugame; newsgames; online media"/>
        <s v="Resource orchestration process; Information technologies; Low-tech industries"/>
        <s v="Digital economy; information and communication technologies; conditionality; individual responsibility; data protection; value creation"/>
        <s v="affect; animal activism; mediation; mobilisation; Web 2.0"/>
        <s v="Digital culture; digitalization; indigenous population; information and communication technology; Paulo Freire"/>
        <s v="external knowledge; innovation management; innovation process; co-innovation; open innovation"/>
        <s v="Internet governance; private information intermediaries; advocacy organizations; social media; Facebook; Twitter; activism"/>
        <s v="Indian pharma industry; Digital tools; Global markets; Globalization; Digital strategy; Automation in pharma; Pharma domain"/>
        <s v="indigenous communication; digital communication; indigenous mobilization; digital appropriation"/>
        <s v="Education policy; digital strategy; curriculum; quality assuramce; assessment"/>
        <s v="Digital strategy; urban; digital economy; Brisbane; Vancouver"/>
        <s v="Digital transformation; digital strategy; The Five Competitive Forces Model; Value Chain Analysis; System Dynamics"/>
        <s v="Smart cities; digital infrastructure; public sector information; regional development; broadband; urban governance; smart cities; digital strategy; open data; policy mobility"/>
        <s v="Strategic planning; Libraries; Internet; Museums; Archives; Digital innovation; Socio-technical change"/>
        <s v="Collecting institutions; internet; strategic planning; socio-technical determinism; innovation"/>
        <s v="Identity; curation; production; consumption; digital media; social media"/>
        <s v="digitalized-mediatized self; digital footprint; personal/professional online strategy; NetFrameWork"/>
        <s v="Parliaments; Internet; Citizen participation; Public sphere; Deliberation; Deliberative democracy"/>
        <s v="digital economy; Global governance; G20; BRICS"/>
        <s v="academic publishing; humanities; open access; German book market; German publishing companies; academic self-publishing; Copyright Act; digitization"/>
        <s v="Family firms; Wine industry; Website; Online strategies; Web communication"/>
        <s v="Media Lab; digital media; internet; spread science"/>
        <s v="Community manager; Strategic communication; Digital"/>
        <s v="Nationalism; persuasion; political blogs; political communication; qualitative research"/>
        <s v="electoral debate; television; social media audience; politics; Twitter"/>
        <s v="Higher education; Governance; Activism; Student needs; Civic engagement; Participating"/>
        <s v="Internet; social media; Google; Facebook; Twitter; Big Data; politics; electoral campaign; Donald Trump; Hillary Clinton; digital strategy; microtargeting"/>
        <s v="digital; online communities; health IT; value; computer-mediated communication and collaboration"/>
        <s v="Social media; Web 2.0 implementation; Destination management organizations; Digital natives; DMOs digital strategies"/>
        <s v="Evaluation; ICT; Empowerment; Learning; Online course"/>
        <s v="Digital Strategy; Green City; Planning; Smart City; Telecommunication; Vancouver"/>
        <s v="advocacy; civil society; global news; new institutionalism"/>
        <s v="AHA Scientific Statements; cardiac arrest; crowdsourcing; emergency cardiovascular care; heart attack; mhealth; mobile health; myocardial infarction; social media; stroke"/>
        <s v="digital practices; social networks; LGTB activism; mobilization; communities"/>
        <s v="internet; crime prevention; governance; transversality"/>
        <s v="Auxiliary power supply; current-controlled power supply; current injection; flat-top pulsed field"/>
        <s v="Creative Commons; cultural heritage; digital strategy; Flanders; information management; survey"/>
        <s v="digital technology; e-health; England; health services; needs and demand; social care; strategy; telecare; telehealth; telemedicine"/>
        <s v="Digital storytelling; HE; intercultural awareness; student engagement; technology-enhanced learning"/>
        <s v="Smart cities; open data; urban entrepreneurialism; policy mobility"/>
        <s v="kioscos vive digital; social inclusion; CIT; social psychology; digital communications"/>
        <s v="Ecuador; digital media; public organisations; strategic communication; public communication"/>
        <s v="innovation strategy; smart specialisation; digital strategy; digital innovation; innovation system; cyber-physical system; co-design"/>
        <s v="One-to-one; Digital strategies for learning; Lifeworld; Phenomenographic narration"/>
        <s v="Social media; Russian market; social media; Russian tourists"/>
        <s v="Digital channels; Customer relationships; Design and emotion; Digital behaviour"/>
        <s v="practice guidelines; information dissemination; internet; communication; information services"/>
        <s v="digital instructional strategy; digital instructional tactic; opportunity to learn"/>
        <s v="museum; participatory web; mixed method; mind map; PLS Approach"/>
        <s v="digital cities; public policy; strategic municipal planning; strategic digital city; urban management"/>
        <s v="smart city; business strategy; economic strategy; third wave; digital strategy; triple helix"/>
        <s v="digital publishing; mobile technology; innovation; technology strategy; e-commerce"/>
        <s v="digital strategy; Australia; Canada; economic development; policy analysis"/>
        <s v="high-speed broadband; ICT barriers; second-level education; student learning; ICT integration"/>
        <s v="Catalonia; cultural identity; media; nation building; online strategies; press"/>
        <s v="Actor-network theory; computation; digital media; newspapers; organizational theory; phenomenology; practice theory; site ontology; software; web content management systems"/>
        <s v="social inequality; Information and Knowledge Society, digital gap; digital agenda; National Digital Strategy; Mexico"/>
        <s v="Social audience; Digital strategies; Twitter; Transmedia; Gran Hermano; La Sexta Noche; Quien quiere casarse con mi hijo"/>
        <s v="digital news distribution; media change; media systems; newspapers; Norway; online news; print versus digital media"/>
        <s v="Hierarchical relations; Channel management; Channels; Digital channels; Establishing typology; Industry relationship model"/>
        <s v="Digital pulse processing; Pulse height analysis; Pulse shape analysis; Real time processing; Dead time correction; Energy resolved photon counting"/>
        <s v="Biomechanics; Vocal fold; Tensile test; Geometrical models; Inverse problem; Finite element model"/>
        <s v="Rafael Correa; Elections; Marketing; Digital Political Communications; Digital Government"/>
        <s v="Acute subarachnoid hemorrhage; Aneurysm; CTA"/>
        <s v="Information Society; Digital Agenda; Regional Policy; Cohesion Policy; Structural Funds; e-Services; e-Government; Cluster analysis"/>
        <s v="Municipal Information Planning; Telecommunications; Open Access Metropolitan Area Network; Strategic Digital City; Municipal management"/>
        <s v="Smart city; Digital city; Digital agenda; Case study"/>
        <s v="Communication; digital media; digital trend; development; access; Internet; journalism"/>
        <s v="fashion; strategic marketing; digital strategy; social media; Facebook"/>
        <s v="Marketing; Libraries; Patrons"/>
        <s v="social marketing; SMM; virus marketing; video hosting; structure of the target audience; intensive virus; digital-strategies; demotivators"/>
        <s v="Digital publishing; Digital strategy; Mobile-first; Mobile publishing; Publishing industry; Publishing strategy"/>
        <s v="21st century skills; new literacies; technology; English language teaching; English as a foreign language"/>
        <s v="Non-linear image filter; Noise removal; Cartesian genetic programming; Evolutionary design; Digital circuit"/>
        <s v="information processing; discrete choice; Markov chain Monte Carlo (MCMC); digital strategy"/>
        <s v="Dural arteriovenous fistula; 4D CTA; Brain; Neurovascular; Neuroimaging"/>
        <s v="Digital health services; digital health; digital strategy; open source; open governance"/>
        <s v="Kidney disease; Health education; Internet; Social media; Health-care providers"/>
        <s v="Digital business strategy; scope of digital business strategy; scale of digital business strategy; speed of digital business strategy; digital business strategy value creation and capture"/>
        <s v="Quality of service; Web server; differentiated service; service delay guarantee; absolute delay (AD); relative delay (RD); difference equation (DE); fuzzy logic controller; tabu search"/>
        <s v="Digital business strategy; strategic posture; industry environment; industry turbulence; industry competition; industry growth; IT investments; IT strategy"/>
        <s v="Assessment; Digital literacy; School tasks; Wikipedia"/>
        <s v="Digital literacies; struggling readers; comprehension; multimodal composition; universal design for learning"/>
        <s v="Digitization; Access; Special collections; Institutional repository; Efficiency; Innovation; Government documents; Entrepreneurial; Metadata; Partnerships"/>
        <s v="publishing; book industry; change; digital; simulation; teaching; strategy; skills"/>
        <s v="Digital competitions; European space for higher education Autonomous; learning; Web 2.0; Viral Strategy"/>
        <s v="Web analytics; Metrics; Digital strategies"/>
        <s v="E-tourism; E-business technology; Digital strategy; ICT; Dynamic packaging"/>
        <s v="Cross saturation; predictive control; sensorless control; synchronous reluctance machine (SynRM); torque control"/>
        <s v="digitization; digital innovation; product architecture; layered modular architecture; organizing logic; doubly distributed networks"/>
        <s v="innovative business models for scholarly publishing; university presses; e-book electronic publishing; scholarly communication; marketing strategies"/>
        <s v="Bookrepublic; Digital content; Digital printing; Digital publishing; eBook; Edigita; Editech; ePublishing; eReaders; Gallimard; Japan; iPad; iPhones; Libranda; Libreka; Planeta; Random House; Santillana; Smartphone; Trade book publisher; Spain; Europe; Italy; France; Germany"/>
        <s v="corporate strategy; corporate venturing; media firms; digital strategy; acquisitions; equity alliances; non-equity alliances"/>
        <s v="Clinical trials; Digital strategies; Patient recruitment; Media convergence"/>
        <s v="Digital libraries; Management strategy; National libraries; New Zealand"/>
        <s v="Electronic government; Digital government; Digital divide; Public management; Inclusion policies; IT strategies; Theory development"/>
        <s v="e-learning methodology; cross national study; qualitative study; tertiary instructor"/>
        <s v="future; strategy; digital; virtual; competencies; physical; place"/>
        <s v="Three-phase dc/dc converter; Three-phase PWM strategy; Losses; Active clamp; Efficiency"/>
        <s v="Teachers Longlife Learning; Information And Comunication Techology; Action-research; Pre-school And Primary Education; Learning In Collaboration"/>
        <s v="Greece; information society; broadband access; telecommunications; ICT"/>
        <s v="newspaper; electronic newspaper; electronic paper; business model; digital strategy"/>
        <s v="test technique; high resolution sigma delta ADC"/>
        <s v="test tecnique; high resolution sigma delta ADC"/>
        <s v="Worldwide web; Iran; Internet"/>
        <s v="technology; digital strategy; leadership; company organization"/>
        <s v="OPTIMAL LOAD FREQUENCY CONTROL; ARTIFICIAL NEURAL NETWORKS; FUZZY SET THEORY"/>
        <m/>
      </sharedItems>
    </cacheField>
    <cacheField name="Keywords Plus" numFmtId="0">
      <sharedItems containsBlank="1" count="446">
        <s v="READINESS ASSESSMENT; SUPPLY CHAIN; SMES"/>
        <s v=""/>
        <s v="CUSTOMER EXPERIENCE; MANAGEMENT; HOSPITALITY; HOTELS"/>
        <s v="HEALTH OUTCOMES; INTERVENTION"/>
        <s v="RESOURCE-BASED VIEW; DYNAMIC-CAPABILITIES; INNOVATION; STRATEGY; FIRM"/>
        <s v="BIG-DATA"/>
        <s v="NEXT-GENERATION; MANAGEMENT; STRATEGY; BUSINESS; CAPABILITIES; ANTECEDENTS; PERFORMANCE; LEADERSHIP; VISION; FUTURE"/>
        <s v="ENZYME FUNCTION PREDICTION; ESCHERICHIA-COLI; BIOCHEMICAL REACTIONS; NEURAL-NETWORKS; RETROSYNTHESIS; RESOURCE; TOOL; METANETX/MNXREF; IDENTIFICATION; PROMISCUITY"/>
        <s v="KNOWLEDGE CREATION; BUSINESS; MEDIA; PERFORMANCE; COMMUNITIES; MANAGEMENT; CUSTOMERS; ADOPTION"/>
        <s v="INFORMATION"/>
        <s v="SUPPLY CHAIN; FRAMEWORK; QUANTIFICATION; PERSPECTIVE; PERFORMANCE; SYSTEM; CHINA"/>
        <s v="REFRACTIVE ERRORS; SCHOOL; SPECTACLES; EPIDEMIC; VISION"/>
        <s v="INFORMATION; PROTECTION; MANAGEMENT; MODELS; CITY; WEB"/>
        <s v="INFORMATION-TECHNOLOGY CAPABILITY; INDUSTRY 4.0 TECHNOLOGIES; RESOURCE-BASED VIEW; MARKET ORIENTATION; COMPETITIVE ADVANTAGE; SUSTAINABLE DEVELOPMENT; DYNAMIC CAPABILITIES; EMPIRICAL-ANALYSIS; STRATEGIC AGILITY; FIRM PERFORMANCE"/>
        <s v="DYNAMIC CAPABILITIES; FIRM PERFORMANCE; STRATEGY; INNOVATION; OFFICERS; IMPACT; MODEL; KEY"/>
        <s v="PERFORMANCE; TECHNOLOGY"/>
        <s v="GOVERNMENT; CITIES"/>
        <s v="HEALTH-CARE"/>
        <s v="SUSTAINABILITY; DISPOSAL"/>
        <s v="PATIENT; OUTCOMES; COMMUNITY; VISITS"/>
        <s v="ELABORATION LIKELIHOOD MODEL; ONLINE REVIEWS; PERSUASIVE MESSAGES; MODERATING ROLE; MEDIA; UNIVERSITIES; INTENTION; BEHAVIOR; CONCEPTUALIZATION; PERSPECTIVES"/>
        <s v="ADDICTION; FACEBOOK; DISORDERS; SUPPORT; SITES; MOOD"/>
        <s v="OPEN INNOVATION; ABSORPTIVE-CAPACITY; INFORMATION-TECHNOLOGY; EMPIRICAL-ANALYSIS; PERFORMANCE; EFFICIENCY; IMPACT; CREATION; MODEL; ENTREPRENEURSHIP"/>
        <s v="NETWORK PICN MATERIALS; AESTHETIC OUTCOMES; SURFACE TREATMENTS; BOND STRENGTH; HUMAN ENAMEL; PLACEMENT; IMMEDIATE; RESIN; BIOCOMPATIBILITY; TEETH"/>
        <s v="DYNAMIC CAPABILITIES; INDUSTRY 4.0; INNOVATION; STRATEGY; SYSTEMS; ORGANIZATIONS; FIRMS; TECHNOLOGY; PLATFORMS; COMPANIES"/>
        <s v="INDICATORS; CHALLENGES; TOURISM"/>
        <s v="BARRIERS; TOOL"/>
        <s v="RISK; DISEASE; VALIDATION; STANDARD; SCORE"/>
        <s v="VIRTUAL MUSEUMS"/>
        <s v="IMPLANT IMPRESSIONS"/>
        <s v="CARDIOVASCULAR-DISEASE; MIDDLE-INCOME; SECONDARY PREVENTION; MEDICATION USE; COUNTRIES; DYSLIPIDEMIAS; PRESCRIPTION; COMMUNITY; UPDATE; BRAZIL"/>
        <s v="BEHAVIOR"/>
        <s v="DIGITAL SERVITIZATION; BUSINESS MODELS; COMPETITION; TECHNOLOGIES; PERSPECTIVES; INNOVATION; ECONOMIES; FUTURE"/>
        <s v="RETAIL ATMOSPHERICS; CONSUMER-BEHAVIOR; FRAMEWORK; IMPACT; MOTIVATION"/>
        <s v="COMMUNICATION; OUTCOMES"/>
        <s v="SHARED DECISION-MAKING; VASCULAR-SURGERY; SURGICAL-PROCEDURES; PATIENT; CLAIMS; CARE; RECOMMENDATIONS; ABLATION; SIZE"/>
        <s v="SOCIAL MEDIA; CANDIDATES USE; INTERACTIVITY; ORIENTATION; EXTREMISTS; KNOWLEDGE; AGE"/>
        <s v="TECHNOLOGIES; CULTURE; AUTHENTICITY; EXPERIENCE; PROVISION; HERITAGE; POLICY; AGE"/>
        <s v="INCOME DIVERSIFICATION; PANEL-DATA; REVENUE DIVERSIFICATION; RISK EVIDENCE; MARKET POWER; COMPETITION; BUSINESS; IMPACT; PERFORMANCE; TECHNOLOGY"/>
        <s v="RESEARCH-AND-DEVELOPMENT; MANAGEMENT CAPABILITY; DYNAMIC CAPABILITIES; FINANCIAL OPENNESS; SERVICE INNOVATION; BUSINESS PROCESSES; PARTNER SELECTION; FIRM RESOURCES; HUMAN SIDE; PERFORMANCE"/>
        <s v="TOURISM"/>
        <s v="SUPPLY CHAIN; TRANSFORMATION; CAPABILITIES; INNOVATION; STRATEGY; THINGS; SMART"/>
        <s v="STRATEGIC ORIENTATIONS; PRODUCT INNOVATION; BUSINESS STRATEGY; PERFORMANCE; TECHNOLOGY; ENVIRONMENT; FIRMS; CAPABILITIES; DESTRUCTION; PERSPECTIVE"/>
        <s v="THREAT INTELLIGENCE; MODEL"/>
        <s v="TIME-SERIES; ORDER FULFILLMENT; NEURAL-NETWORK; BIG DATA; DEMAND; ARIMA; PRICE; GREENHOUSE; FORECAST; PAKISTAN"/>
        <s v="TOTAL FACTOR PRODUCTIVITY; FIRM-LEVEL EVIDENCE; ECONOMIC-GROWTH; ENTREPRENEURSHIP; TAXES; EDUCATION; IMPACT; DETERMINANTS; CONVERGENCE; CORRUPTION"/>
        <s v="SEARCH ENGINE OPTIMIZATION; BIG DATA; MANAGEMENT; SUSTAINABILITY"/>
        <s v="LANGUAGE; PATIENT"/>
        <s v="ORGANIZATIONAL IDENTIFICATION; FIRM PERFORMANCE; MODERATING ROLE; TEAM COGNITION; INNOVATION; CAPABILITIES; IMPLEMENTATION; KNOWLEDGE; PAY"/>
        <s v="INFORMATION-TECHNOLOGY; LEADERSHIP; STRATEGY; ADOPT"/>
        <s v="GOVERNMENT; FRAMEWORK; INTERNET; THINGS"/>
        <s v="CAPABILITIES; BIG"/>
        <s v="TAKE-HOME NALOXONE"/>
        <s v="INTENSIVE BUSINESS SERVICES; INFORMATION-TECHNOLOGY CAPABILITY; MEDIUM-SIZED ENTERPRISES; ORGANIZATIONAL PERFORMANCE; DYNAMIC CAPABILITIES; PROCESS MANAGEMENT; BIG DATA; PLS-SEM; LEADERSHIP; INNOVATION"/>
        <s v="RESEARCH FRAMEWORK; CHALLENGES; OPERATIONS"/>
        <s v="SELF-OBJECTIFICATION; GIRLS; DISSATISFACTION; EXPOSURE; THIN; INTERNALIZATION; FUNCTIONALITY; SKINNY; FORM; KEN"/>
        <s v="SOCIAL MEDIA; CO-CREATION; CUSTOMER; INVOLVEMENT; CLUBS"/>
        <s v="BIG DATA; MANAGEMENT RESEARCH; BUSINESS STRATEGY; MEDIATING ROLE; INNOVATION; KNOWLEDGE; TECHNOLOGY; RESOURCES; TOOLS; ORGANIZATIONS"/>
        <s v="DELPHI; TRANSFORMATION; READY"/>
        <s v="INFORMATION-TECHNOLOGY; INNOVATION"/>
        <s v="ELECTORAL CAMPAIGN; HESITANCY; IMPACT; TIME; RISK"/>
        <s v="INFORMATION-TECHNOLOGY; ENVIRONMENTAL PERFORMANCE; ECO-INNOVATION; BIG DATA; ATTENTION; IMPACT; IDENTIFICATION; INTENTION; STRATEGY; CREATION"/>
        <s v="B2B SALES; CUSTOMER ENGAGEMENT; SERVICE BEHAVIORS; TECHNOLOGY FIT; EMPIRICAL-TEST; CO-CREATION; IMPACT; COMMON; IDENTIFICATION; ANTECEDENTS"/>
        <s v="INFORMATION-TECHNOLOGY; MEDIATING ROLE; CAPABILITY; MANAGEMENT; FLEXIBILITY"/>
        <s v="POLITICS; SEMIOTICS"/>
        <s v="INDUSTRY 4.0; MANUFACTURING COMPANIES; INNOVATION DIFFUSION; FUTURE; PSS; TRANSFORMATION; DIGITIZATION; TECHNOLOGY; ADOPTION; DESIGN"/>
        <s v="ORGANIZATIONS"/>
        <s v="BUSINESS MODEL INNOVATION; DYNAMIC CAPABILITIES; RELATIONAL VALUE; CAPTURING VALUE; BIG DATA; MARKET; IMPACT; FIRMS; TRANSFORMATION; PERFORMANCE"/>
        <s v="PARTIAL LEAST-SQUARES; INFORMATION-TECHNOLOGY; E-BUSINESS; FIRM-LEVEL; ADOPTION; PERFORMANCE; READINESS; COVID-19; TOURISM; ACCEPTANCE"/>
        <s v="TOBACCO CONTROL RESEARCH; CARE"/>
        <s v="TRACEABILITY"/>
        <s v="HUMAN-MACHINE INTERACTION; DESIGN SCIENCE; SYSTEMS; METHODOLOGY; AUTOMATION; PERFORMANCE; MANAGEMENT; FUTURE; LEVEL"/>
        <s v="INTENSIVE BUSINESS SERVICES; CREATIVE SELF-EFFICACY; DYNAMIC CAPABILITIES; STRATEGIC AGILITY; MEDIATING ROLE; INFORMATION-TECHNOLOGY; ORGANIZATIONAL AGILITY; ABSORPTIVE-CAPACITY; SUPPLY CHAIN; INNOVATION"/>
        <s v="DYNAMIC CAPABILITIES; COLLABORATIVE KNOWLEDGE; BUSINESS STRATEGY; PERFORMANCE; INNOVATION; ADOPTION; AGILITY; IMPACT; FIRM; OPPORTUNISM"/>
        <s v="MEDIATING ROLE; CAPABILITIES; FOCUS"/>
        <s v="INFORMATION-SEEKING; PHYSICAL-ACTIVITY; DECISION-MAKING; INTERNET USE; PREGNANCY; CARE"/>
        <s v="INSPECTION"/>
        <s v="SOCIAL MEDIA; TRIALS; ADOLESCENTS; RISK"/>
        <s v="INTERNET; ARCHITECTURE; SECURE"/>
        <s v="TECHNOLOGICAL CAPABILITY; PERFORMANCE; INNOVATION; PRODUCTS"/>
        <s v="ACCESS; TECHNOLOGY; MEDIA; ACCEPTANCE; LITERACY; SKILLS; LEVEL; MODEL"/>
        <s v="TRANSFORMATION"/>
        <s v="SMART GOVERNANCE; PUBLIC-SERVICES; COPRODUCTION; CITIZENS; INFORMATION; CITIES"/>
        <s v="SMART GOVERNANCE; COPRODUCTION; CITIES"/>
        <s v="CITIZENS"/>
        <s v="OPPORTUNITIES"/>
        <s v="REMOTE E-EXAMS; OPEN-BOOK; EXPERIENCE"/>
        <s v="TRANSFORMATION STRATEGY"/>
        <s v="CREDIT; INNOVATION; ADOPTION"/>
        <s v="IMPLEMENTATION INTENTIONS; ACADEMIC-PERFORMANCE; SMARTPHONE USAGE; BEHAVIOR; DISTRACTION; SYSTEM; COLOR"/>
        <s v="ICT"/>
        <s v="BIG DATA; PERFORMANCE; INTERNET; AGILITY; DESIGN; IMPACT; TRACEABILITY; CAPABILITIES; ANALYTICS; PRODUCTS"/>
        <s v="OPEN INNOVATION; BIG DATA; TECHNOLOGIES; BUSINESS; ENTREPRENEURSHIP; PERFORMANCE; CHALLENGES; MANAGEMENT; CREATION; SYSTEM"/>
        <s v="DYNAMIC CAPABILITIES; MODELING ENABLERS; INDUSTRY 4.0; MANAGEMENT; INNOVATION; TRANSFORMATION; DIGITIZATION; PERSPECTIVE"/>
        <s v="INDUSTRY 4.0 TECHNOLOGIES; MANUFACTURING FLEXIBILITY; FIRM PERFORMANCE; METHOD VARIANCE; MANAGEMENT; INTEGRATION; IMPACT; CAPABILITY; CONTEXT; FIT"/>
        <s v="FRAGMENTATION"/>
        <s v="DECISION-MAKING; WEIGHT ASSESSMENT; MCDM MODEL; SELECTION; TRANSFORMATION; MANAGEMENT; INTERNET"/>
        <s v="BIG DATA ANALYTICS; FIRM PERFORMANCE; INNOVATION; TRANSFORMATION"/>
        <s v="INFORMATION-SYSTEMS RESEARCH; SERVICE-DOMINANT LOGIC; ORGANIZATIONAL ROUTINES; BOUNDARY RESOURCES; FIRM PERFORMANCE; INNOVATION; TECHNOLOGY; MODULARITY; INFRASTRUCTURES; CAPABILITIES"/>
        <s v="LOCAL E-GOVERNMENT; SOCIAL MEDIA USE; E-PARTICIPATION; CHALLENGES; EPARTICIPATION; TRANSPARENCY; ALTERNATIVES; TECHNOLOGY; MOTIVATION; NETWORKS"/>
        <s v="PREVENTION; OBESITY; HYPERTENSION"/>
        <s v="CHEMICALS; FRAMEWORK"/>
        <s v="RISK; TRANSMISSION"/>
        <s v="MEDIA"/>
        <s v="RISK-MANAGEMENT; TRANSFORMATION; PERFORMANCE"/>
        <s v="INDUSTRY 4.0; CHALLENGES; SYSTEMS"/>
        <s v="KNOWLEDGE TRANSFORMATION; INTEGRATIVE FRAMEWORK; OPEN INNOVATION; ECO-CITY; CITIES; GOVERNANCE; WORK; ORGANIZATIONS; PARTICIPATION; PERFORMANCE"/>
        <s v="INNOVATION; MODEL; ORGANIZATIONS; TECHNOLOGY"/>
        <s v="RADICAL COPOLYMERIZATION; MOLECULAR-WEIGHT; DYNAMIC RHEOLOGY; POLYMERIZATION; TETRAFLUOROETHYLENE; MONOMERS"/>
        <s v="HEALTH-CARE; CLINICAL-OUTCOMES; UNITED-STATES; INFECTION; ENGAGEMENT; RETENTION; EFFICACY"/>
        <s v="INDUSTRY 4.0 READINESS; MATURITY MODEL; ENTREPRENEURS; COMPETENCE; RESOURCES; FIRMS"/>
        <s v="COPRODUCTION"/>
        <s v="OPEN INNOVATION; INFORMATION; CAPABILITIES; PERFORMANCE; SYSTEMS; IMPACT; COLLABORATION; TECHNOLOGIES; MANAGEMENT; STRATEGY"/>
        <s v="DATA ARTICLE; ENTREPRENEURSHIP; PERFORMANCE; RESILIENCE; PERSPECTIVE; ENTERPRISES; MANAGEMENT; COVID-19; BARRIERS; MARKET"/>
        <s v="TRANSFORMATION; PERSPECTIVE; INNOVATION"/>
        <s v="INFORMATION INFRASTRUCTURES; INNOVATION; TRANSFORMATION; PERSPECTIVE; TECHNOLOGY; CONTINUITY; COMPLEXITY; LOGIC"/>
        <s v="ORGANIZATIONAL CULTURE; INNOVATION; ANALYTICS; WEBSITES; DISASTER; IMPACT; RISK; ENGAGEMENT; CONSUMERS; FINTECH"/>
        <s v="BIG DATA ANALYTICS; ARTIFICIAL-INTELLIGENCE; FIRM PERFORMANCE; PLS-SEM; INFORMATION-TECHNOLOGY; USER ACCEPTANCE; ADOPTION; CHALLENGES; MODEL; SERVICES"/>
        <s v="CRITICAL SUCCESS FACTORS; SOCIOTECHNICAL SYSTEMS; SECTORAL SYSTEMS; INFORMATION; BIM; IMPLEMENTATION; DYNAMICS; PROJECTS; TECHNOLOGIES; FRAMEWORK"/>
        <s v="E-HRM; MANAGEMENT; PERFORMANCE; FUTURE; IMPACT"/>
        <s v="SERVICES TAX"/>
        <s v="QUALITATIVE COMPARATIVE-ANALYSIS; RESOURCE ORCHESTRATION; BLOCKCHAIN TECHNOLOGY; IMPACT; CAPABILITIES; STRATEGIES"/>
        <s v="INFORMATION SECURITY; DIRECTIONS; MANAGEMENT; USABILITY; CULTURE; DESIGN; IMPACT; NEEDS"/>
        <s v="PRIMARY-CARE; LOW-INCOME; SYMPTOMS; VALIDITY; PHQ-9"/>
        <s v="TECHNOLOGY ACCEPTANCE MODEL; INFORMATION-TECHNOLOGY; BLOCKCHAIN TECHNOLOGY; USER ACCEPTANCE; VIRTUAL-REALITY; PERCEIVED VALUE; QUALITY; PERCEPTIONS; CREDIBILITY; PRICE"/>
        <s v="TECHNOLOGICAL-CHANGE; DYNAMIC CAPABILITIES; PRODUCT DEVELOPMENT; COMPLEMENTARY ASSETS; DIGITAL PHOTOGRAPHY; MANAGEMENT; AMBIDEXTERITY; ATTENTION; FUTURE; DISCONTINUITIES"/>
        <s v="MODEL; MAINTENANCE; DELIVERY; REPAIR"/>
        <s v="INFORMATION; CITIZENS"/>
        <s v="COMMON AGRICULTURAL POLICY; CLIMATE-CHANGE; REGENERATIVE AGRICULTURE; FOOD; FUTURE; IMPACTS; EUROPE; CONSERVATION; CHALLENGES; EMISSIONS"/>
        <s v="ENVIRONMENTS; EMOTIONS; SKILLS"/>
        <s v="HOMO-ECONOMICUS"/>
        <s v="INTEGRATION; PROJECT; OPPORTUNITIES; TECHNOLOGIES; CAPABILITIES; MANAGEMENT; ANALYTICS; FRAMEWORK; INDUSTRY; DESIGN"/>
        <s v="MECHANICAL VENTILATION; SURGERY; PRESSURE"/>
        <s v="MARKET"/>
        <s v="SOCIAL MEDIA; P-VALUES"/>
        <s v="GOVERNANCE; COMMUNITY; PATTERNS; STRATEGY"/>
        <s v="KNOWLEDGE MANAGEMENT; DYNAMIC CAPABILITIES; INFORMATION-TECHNOLOGY; MARKET ORIENTATION; STRATEGY RESEARCH; CORPORATE ENTREPRENEURSHIP; ORGANIZATIONAL INNOVATION; ABSORPTIVE-CAPACITY; CORE CAPABILITIES; FIRM PERFORMANCE"/>
        <s v="ORGANIZATIONAL PERFORMANCE; CAPABILITY"/>
        <s v="SCIENCE; HEALTH"/>
        <s v="INNOVATION; SERVITIZATION; FIRMS"/>
        <s v="INDUSTRY 4.0 TECHNOLOGIES; CLOUD COMPUTING ADOPTION; BIG DATA ANALYTICS; DYNAMIC CAPABILITIES; MANAGEMENT-PRACTICES; FIRM PERFORMANCE; IMPLEMENTATION; DETERMINANTS; PERSPECTIVE; READINESS"/>
        <s v="INFORMATION-SYSTEMS; ENTREPRENEURSHIP; TECHNOLOGY; PERFORMANCE; PERSPECTIVE; CREATION; AGENDA; WEB; UPS"/>
        <s v="PERFORMANCE; MODEL; SWOT"/>
        <s v="MODELS; MANAGEMENT"/>
        <s v="INNOVATION; BUSINESS; FUTURE; ORGANIZATION; MANAGEMENT; MODEL"/>
        <s v="SERVITIZATION; INFORMATION; KNOWLEDGE; SYSTEMS"/>
        <s v="FUTURE; INTERNET; THINGS; IMPLEMENTATION; MODEL; DETERMINANTS; CHALLENGES; LOGISTICS; ANALYTICS; COMPANIES"/>
        <s v="PROTOCOL; METAANALYSIS; PERSPECTIVE; SYSTEM"/>
        <s v="PREEXPOSURE PROPHYLAXIS PREP; ADHERENCE BUILDING ITAB; ANTIRETROVIRAL PROPHYLAXIS; UNITED-STATES; HIV; KNOWLEDGE; ATTITUDES; AWARENESS; TRIAL; USERS"/>
        <s v="SOCIAL MEDIA; WAR; CONFLICT; CULTURE; IMAGES; POWER"/>
        <s v="BIG DATA"/>
        <s v="BIG DATA; KNOWLEDGE; INFORMATION; DEFINITION; PROTECTION; CREDIT"/>
        <s v="SOCIAL MEDIA; FAKE NEWS; ANXIETY; STRESS; POSTS"/>
        <s v="EHR; IMPLEMENTATION; SECURITY; ADOPTION; SYSTEMS; SCHEME; ISSUES"/>
        <s v="COMPETITIVE ADVANTAGE; VALUE CREATION; STRATEGY; ENTREPRENEURSHIP; PERSPECTIVE"/>
        <s v="SUPERIOR FINANCIAL PERFORMANCE; COMPETITIVE STRATEGY; INFORMATION-TECHNOLOGY; KNOWLEDGE; INNOVATION; DIFFERENTIATION; DESIGN; USER; ENTREPRENEURSHIP; IMPLEMENTATION"/>
        <s v="INITIAL TREATMENT CONTACT; HEALTH-RELATED STIGMA; MENTAL-DISORDERS; 1ST ONSET; 1ST-EPISODE PSYCHOSIS; UNTREATED ILLNESS; DEPRESSION; SCHIZOPHRENIA; DURATION; INTERNET"/>
        <s v="COVID-19; TWITTER"/>
        <s v="12 TIPS; TWEETORIALS; SCHOLARSHIP; GUIDELINES; PHYSICIAN; TWITTER; VIDEOS"/>
        <s v="SERVICE; INSIGHTS"/>
        <s v="ABSORPTIVE-CAPACITY; INNOVATION"/>
        <s v="CONSUMER-BRAND ENGAGEMENT; SOCIAL-MEDIA ENGAGEMENT; WORD-OF-MOUTH; BEHAVIOR; IMPACT; DYNAMICS; SATISFACTION; PERFORMANCE; RETENTION; SALES"/>
        <s v="INNOVATION"/>
        <s v="INFORMATION; TECHNOLOGY; ROMANIA"/>
        <s v="PRIVACY; ADOPTION; COMMERCE; TRUST"/>
        <s v="DYNAMIC CAPABILITIES; INTEGRATION; INNOVATION"/>
        <s v="MATURITY; THINKING; EDUCATION; BARRIERS"/>
        <s v="MENTAL-HEALTH; SOCIAL PHOBIA; MINI-SPIN; INTERVENTIONS; ADOLESCENTS; ANXIETY; SCALE; VALIDATION; DEPRESSION; DISORDER"/>
        <s v="ADOPTION; SYSTEMS"/>
        <s v="DYNAMIC CAPABILITIES; TRANSFORMATION; INNOVATION; TECHNOLOGY; HOTELS; FIELD"/>
        <s v="BIG DATA ANALYTICS; DYNAMIC CAPABILITIES; FIRM PERFORMANCE; SUPPLY CHAIN; RESOURCE; STRATEGY; SERVICE; PRODUCT; IMPACT; END"/>
        <s v="FASHION; CREATION"/>
        <s v="RESOURCE-BASED VIEW; RESEARCH-AND-DEVELOPMENT; COMPETITIVE ADVANTAGE; FIRM PERFORMANCE; INFORMATION-TECHNOLOGY; INNOVATION; PRODUCT; BREADTH; DEPTH; FLEXIBILITY"/>
        <s v="ATTENTION-DEFICIT/HYPERACTIVITY DISORDER; SPATIAL-FREQUENCY CHANNELS; GLOBAL PRECEDENCE; STIMULUS OVERSELECTIVITY; EXECUTIVE FUNCTION; VISUAL-ATTENTION; PERCEPTION; VISION; MOVEMENTS; INTERFERENCE"/>
        <s v="SCIENCE; REPRODUCIBILITY; TRANSPARENCY"/>
        <s v="DEMAND ELASTICITIES; MOBILITY; INVESTMENTS; POLICY; MODEL"/>
        <s v="INDUSTRY 4.0; DYNAMIC CAPABILITIES; PERFORMANCE; EVOLUTION; STRATEGY; ROLES; TRANSFORMATION; COLLABORATION; TECHNOLOGIES; INVOLVEMENT"/>
        <s v="DYNAMIC CAPABILITIES; KNOWLEDGE ACQUISITION; RETROSPECTIVE REPORTS; MARKET REENTRY; UPPSALA MODEL; BUSINESS; FIRMS; EXPLORATION; TECHNOLOGY; MANAGEMENT"/>
        <s v="SUPPLY CHAIN AGILITY; ORGANIZATIONAL AGILITY; INSTITUTIONAL THEORY; MANUFACTURING PERFORMANCE; INNOVATION CAPABILITY; DYNAMIC CAPABILITIES; GREEN PROCUREMENT; PLS-SEM; BUSINESS; PERSPECTIVE"/>
        <s v="NETNOGRAPHY"/>
        <s v="KNOWLEDGE TRANSLATION; SCIENCE"/>
        <s v="COMMUNITY"/>
        <s v="LINGUISTIC REPRESENTATION MODEL; FUZZY"/>
        <s v="USABILITY EVALUATION; PRIVACY; ADOPTION; AUTHENTICATION; CONSUMERS; SEM"/>
        <s v="ONLINE SOCIAL NETWORKS; STRATEGIES; INTERVENTIONS; INFORMATION; TECHNOLOGY; INSECURITY; BEHAVIORS; WEIGHT; APP"/>
        <s v="SUPPLY CHAIN GLITCHES; IMPACT; MARKETS"/>
        <s v="TRADE FAIRS; BUSINESS; IMPACT; TECHNOLOGY; STRATEGIES; INSIGHTS; SALES; PERFORMANCE; DEPENDENCE; DECISIONS"/>
        <s v="SOCIAL CONSTRUCTION; POLITICS"/>
        <s v="INSTITUTION-BASED VIEW; DYNAMIC CAPABILITIES; INDUSTRY 4.0; MANUFACTURING STRATEGY; AGILE; MANAGEMENT; FUTURE; TRANSFORMATION; KNOWLEDGE; COMPANIES"/>
        <s v="INTERNET ADDICTION; TIME; IMPACT; ONLINE; ENVIRONMENT; CONSUMERS; MUSIC; SCENT"/>
        <s v="MANAGEMENT; GOVERNMENT; IMPACTS"/>
        <s v="ENGLISH; ONLINE; SKILLS"/>
        <s v="PROCESS INTEGRATION; BIG DATA"/>
        <s v="SOCIAL MEDIA; MUSIC; RAP; INSTAGRAM; CULTURE; CAREERS; BRANDS; LABOR"/>
        <s v="STUDENTS; VIEWS"/>
        <s v="MARKET POWER; ALIGNMENT; BUSINESS; NETWORK; DESIGN; PERFORMANCE; SECURITY"/>
        <s v="PERFORMANCE EVALUATION; CARE ORGANIZATION; EFFICIENCY; STRATEGY; QUALITY; SUCCESS"/>
        <s v="ATTITUDES; ACHIEVEMENT; INTERNET"/>
        <s v="INFORMATION; TECHNOLOGY; ADOPTION"/>
        <s v="COVID-19 CLASSIFICATION; BLUETOOTH; LOCALIZATION; PROXIMITY; ACCURACY"/>
        <s v="BIG DATA; ANALYTICS"/>
        <s v="SOCIAL MEDIA; NEWS"/>
        <s v="BUSINESS MODELS; NEWS MEDIA; NEWSPAPERS; INNOVATION; ENTREPRENEURSHIP; FUTURE"/>
        <s v="MANAGEMENT"/>
        <s v="ACTIVISM; VIOLENCE"/>
        <s v="POLITICAL COMMUNICATION; PUBLIC SPHERES; TIME"/>
        <s v="CONSTRUCTION; INDEX"/>
        <s v="PREDICTIVE MAINTENANCE; INTELLIGENT; MANAGEMENT; FRAMEWORK; MACHINE; SYSTEMS; BARRIERS; MODELS"/>
        <s v="SELF-MANAGEMENT; COMMUNICATION; QUALITY; BEHAVIORS; FRAMEWORK; PEOPLE"/>
        <s v="LONG TAIL; COMPETITION; MARKET"/>
        <s v="COMPETITIVE ADVANTAGE; FIRM PERFORMANCE; CAPABILITIES; SMES; ICT; TECHNOLOGY; ADOPTION"/>
        <s v="SUSTAINABLE DEVELOPMENT; CIRCULAR ECONOMY; MODEL; INNOVATION; DIGITIZATION; TECHNOLOGIES; ATTRIBUTES; PREDICTION; EFFICIENCY; CONTEXT"/>
        <s v="VERIFICATION; VALIDATION; MANAGEMENT; INTERNET"/>
        <s v="SOCIAL MEDIA; TV"/>
        <s v="SCALE"/>
        <s v="POLITICS; MEDIA"/>
        <s v="STRATEGY TOOLS; GENERATION; INNOVATION; CAPABILITY; INDUSTRY; OPTIONS; ERA"/>
        <s v="EMPIRICAL-ANALYSIS; MARKETS; SOFTWARE; STRATEGY; QUALITY; US; EXTERNALITIES; PERFORMANCE; COMPETITION; INNOVATION"/>
        <s v="DISCOURSE; LEGITIMATION; MANAGEMENT; WORKPLACE"/>
        <s v="MEDIA; COMMUNICATION; NEWS"/>
        <s v="GAME"/>
        <s v="ANP-BASED SWOT; DECISION-MAKING; SUPPLIER SELECTION; RISK-ASSESSMENT; TOPSIS; FRAMEWORK; PROJECTS; MODEL"/>
        <s v="FORCE-FIELD; MOLECULAR SIMULATION; DYNAMICS SIMULATIONS; NEUTRON-SCATTERING; AQUEOUS-SOLUTIONS; DRIVING-FORCE; SOLVENT MODEL; WATER; ION; SOLVATION"/>
        <s v="TRANSACTION COST; INNOVATION; STRATEGY; MICROFOUNDATIONS; EXPLORATION; INSIGHTS; FIT"/>
        <s v="WEB-BASED SIMULATIONS; BIG DATA ANALYTICS; DYNAMIC CAPABILITIES; FLIGHT SIMULATORS; PROJECT PERFORMANCE; BUSINESS MODEL; INNOVATION; TECHNOLOGIES; SUSTAINABILITY; COMMUNICATION"/>
        <s v="SPECIAL-ISSUE"/>
        <s v="STRATEGIC GROUPS; BUSINESS MODELS; RESOURCE; DIVERSIFICATION; PERSPECTIVE; VIEW"/>
        <s v="HEALTH INFORMATION-SEEKING; SOCIAL NETWORKS; INTERNET; CHALLENGES; EXPERIENCE; COPD"/>
        <s v="DYNAMIC CAPABILITIES; PLS-SEM; TRANSFORMATION; FUTURE"/>
        <s v="MEDIUM-SIZED ENTERPRISES; MULTIPLE CORRESPONDENCE-ANALYSIS; SUPPLY CHAIN MANAGEMENT; SOCIAL NETWORK ANALYSIS; BIG DATA; KNOWLEDGE MANAGEMENT; TECHNOLOGY ADOPTION; SYSTEMATIC REVIEWS; CONJOINT-ANALYSIS; CRM ADOPTION"/>
        <s v="HEALTH COMMUNICATION; ONLINE NEWS; OF-MOUTH; ORGANIZATIONS; ATTENTION; RICHNESS"/>
        <s v="SOCIAL MEDIA; EXPERIENCE; INNOVATION; EQUITY; WORLD"/>
        <s v="MATURITY MODEL"/>
        <s v="INFORMATION-SYSTEMS STRATEGY; MEDIUM-SIZED ENTERPRISES; MARKET ORIENTATION; TECHNOLOGY ADOPTION; SMALL BUSINESSES; E-GOVERNMENT; AS-PRACTICE; ALIGNMENT; ENTREPRENEURIAL; MANAGEMENT"/>
        <s v="INTEGRATION QUALITY; PRODUCT DESIGN; EXPERIENCE; ADOPTION; AGENDA; FUTURE; NEEDS; APPS"/>
        <s v="RESOURCE-BASED THEORY; COMPETING VALUES; DYNAMIC THEORY; KNOWLEDGE; LEADERSHIP; INNOVATION; STRATEGY; CULTURE; ORGANIZATION; TECHNOLOGY"/>
        <s v="STUDENTS; ADHD"/>
        <s v="DESIGN SCIENCE RESEARCH; INFORMATION-SYSTEMS; CORPORATE ENTREPRENEURSHIP; DYNAMIC CAPABILITIES; FIRM PERFORMANCE; USER ACCEPTANCE; KNOWLEDGE; TECHNOLOGY; WORK; INNOVATION"/>
        <s v="INFORMATION-TECHNOLOGY; INNOVATION; SHADOW; ACCEPTANCE; GOVERNANCE"/>
        <s v="USER ENGAGEMENT; ACTIVATION; MOTIVATIONS; CONGRUENCE; NETWORKS; BASEBALL; USAGE"/>
        <s v="INFORMATION-TECHNOLOGY; ORGANIZATION DESIGN; ALIGNMENT; BUSINESS; CAPABILITIES; INNOVATION; INSIGHTS; AGILITY"/>
        <s v="QUALITY ATTRIBUTES; DEMAND; USERS"/>
        <s v="GENERATION Y; SOCIAL MEDIA; CONSUMER; ADDICTION; CONSUMPTION; DESIGN; EQUITY; WOMEN"/>
        <s v="SUPPLY CHAIN; THINGS IOT; SYSTEM; IDENTIFICATION; MAINTENANCE; INTERNET; FUTURE; ENTERPRISE; MANAGEMENT; FRAMEWORK"/>
        <s v="COGNITIVE DISTORTIONS; STATISTICAL POWER; OPTIMISTIC BIAS; BEHAVIOR; RISK; PREFERENCES; ATTRIBUTES; OUTCOMES; SYSTEMS; GAMES"/>
        <s v="INNOVATION; AGENDA; IMPACT; SMES"/>
        <s v="POLICY ENACTMENTS"/>
        <s v="ORGANIZATION-ENVIRONMENT FRAMEWORK; CLOUD COMPUTING ADOPTION; INFORMATION-TECHNOLOGY; DETERMINANTS; SYSTEMS; IDENTIFICATION; MODEL"/>
        <s v="SOCIAL MEDIA; E-MAIL; INTERNET; CANDIDATES; ELECTIONS; MESSAGES; FACEBOOK; WORDS"/>
        <s v="DEPRESSION; PARTICIPATE; RISK"/>
        <s v="GAY; HEALTH; CITY"/>
        <s v="TELECONSENT; TELEHEALTH; COVID-19"/>
        <s v="MECHANICAL METAMATERIALS; NACRE; SIMULATION; PRINCIPLES; OPTIMIZATION; COMPOSITES; ELASTICITY; HIERARCHY; BREAKDOWN; TI-6AL-4V"/>
        <s v="TWITTER; PREPRINTS"/>
        <s v="SOCIAL MEDIA; YOUNG-PEOPLE; IDENTITIES; DISCONNECTION; EXPERIENCES; CONNECTION; INTERNET; YOUTH"/>
        <s v="INFORMATION-TECHNOLOGY; CORPORATE-STRATEGY; CAPABILITY; OPTIONS; CONTEXT"/>
        <s v="KNOWLEDGE"/>
        <s v="DIGITAL TRANSFORMATION"/>
        <s v="EDUCATION; STUDENTS; CHOICE"/>
        <s v="BUSINESS MODEL; TECHNOLOGY; OEE; FUTURE; IMPACT"/>
        <s v="E-SERVICE QUALITY; E-COMMERCE; PURCHASE INTENTIONS; INFORMATION SEARCH; WEB SITES; ONLINE; TECHNOLOGY; ACCEPTANCE; MANAGEMENT; DESIGN"/>
        <s v="SOCIAL-INFLUENCE; USERS; PREDICTORS; MARKETS; SUCCESS; VALUES"/>
        <s v="DIGITAL COMPETENCE; INFORMATION; EDUCATION; LITERACY; REGION"/>
        <s v="COST-EFFECTIVENESS; DIABETES-MELLITUS; EARLY-DIAGNOSIS; PREVALENCE; PREVENTION; ADULTS; RISK; HYPERTENSION; OBESITY; COMORBIDITIES"/>
        <s v="INNOVATION; HERITAGE"/>
        <s v="PERCEIVED RISK; CUSTOMER REFERENCES; SOCIAL MEDIA; ADS; METAANALYSIS; STORIES; WORK"/>
        <s v="MUSEUMS"/>
        <s v="CELEBRITY ENDORSEMENTS; SOCIAL MEDIA; ATTITUDES; BLOGGERS"/>
        <s v="READINESS"/>
        <s v="IMPLEMENTATION; TECHNOLOGY; BEHAVIOR"/>
        <s v="LITERACY; OLDER"/>
        <s v="PARTIAL LEAST-SQUARES; PLS-SEM; CITIES; GOVERNANCE; INFORMATION; TECHNOLOGY; INDICATORS; MANAGEMENT; FRAMEWORK; VARIABLES"/>
        <s v="SOCIAL NETWORKS; CENTRALITY; ONLINE"/>
        <s v="FRAMEWORK"/>
        <s v="MIDDLE MANAGERS; MOBILE; TEACHERS"/>
        <s v="PRODUCT DESIGN"/>
        <s v="PHYSICAL-ACTIVITY; INTERVENTION; EXERCISE; PROGRAM; DIET"/>
        <s v="HOMEWORKERS USAGE; SHARING ECONOMY; MOBILE PHONES; BENEFITS"/>
        <s v="DYNAMIC CAPABILITIES; TECHNOLOGY; ANTECEDENTS; STRATEGY; PRODUCT"/>
        <s v="PARTICLE SWARM OPTIMIZATION; DIFFERENTIAL EVOLUTION; SMART TOURISM; ALGORITHM; DESIGN; ROUTE; INFORMATION; BEHAVIOR; SERVICE; GPS"/>
        <s v="INTERNET"/>
        <s v="PROGRAMS; TWITTER"/>
        <s v="PLS-SEM; INFORMATION-TECHNOLOGY; SMES ADOPTION; E-BUSINESS; PERFORMANCE; INNOVATION; DIFFUSION; TOURISM; SYSTEMS; MODELS"/>
        <s v="COMMUNICATION"/>
        <s v="BUSINESS MODEL; FUTURE; ORGANIZATION; PERSPECTIVE; TECHNOLOGY; INNOVATION; RESOURCES; INDUSTRY"/>
        <s v="INDUSTRY 4.0 TECHNOLOGIES; DYNAMIC CAPABILITIES; ABSORPTIVE-CAPACITY; MICROFOUNDATIONS; IMPLEMENTATION; EXPLORATION"/>
        <s v="REAL-WORLD; DOCUMENTATION SYSTEM; TECHNOLOGY; MANAGEMENT; THERAPY; IMPLEMENTATION; FINGOLIMOD; DISABILITY; LIFE"/>
        <s v="OPEN-INNOVATION; OPERATIONS-MANAGEMENT; EMPIRICAL-RESEARCH; FUTURE; STRATEGY"/>
        <s v="ENTERPRISE SOCIAL MEDIA; INSTITUTIONAL LOGICS; STRATEGIC ALIGNMENT; COMPETING LOGICS; BUSINESS VALUE; ORGANIZATIONS; IDENTITY; CAPABILITIES; PERSPECTIVE; TECHNOLOGY"/>
        <s v="RESEARCH AGENDA; CHALLENGES; DEMATEL; FUTURE; INTERNET; THINGS; MODEL; INITIATIVES; INFORMATION; COMPANIES"/>
        <s v="STRATEGIC ALLIANCES; FINANCIAL INNOVATION; DIGITAL INNOVATION; SERVICE; SERVITIZATION; DIGITIZATION; PERFORMANCE; BENEFITS; SCIENCE; BUY"/>
        <s v="FIRM PERFORMANCE; INFORMATION-TECHNOLOGY; COMPETITIVE ADVANTAGE; SOCIAL MEDIA; BUSINESS; CAPABILITIES; INNOVATION; TRANSFORMATION; STRATEGY; IDENTITY"/>
        <s v="COLLECTIVE INTELLIGENCE; INFORMATION-TECHNOLOGY; PRODUCTIVITY; MANAGEMENT; FRAMEWORK; BUSINESS; IMPACT; TEAMS"/>
        <s v="GAMEPLAY LOOP METHODOLOGY"/>
        <s v="COMPETITIVE ADVANTAGE; FUTURE; EDUCATION; INTERNET; THINGS"/>
        <s v="TASK CONFLICT; INFORMATION-TECHNOLOGY; DECISION-MAKING; COMPETITIVE ADVANTAGE; DYNAMIC CAPABILITIES; INTRAGROUP CONFLICT; FIRM PERFORMANCE; MEDIATING ROLE; AS-PRACTICE; SYSTEMS"/>
        <s v="MODULAR-MULTILEVEL-CONVERTER; SYSTEM; MODEL; INTERCONNECTION; SIMULATION"/>
        <s v="INTERNET; RIGHTS"/>
        <s v="GIRLS"/>
        <s v="INSTITUTIONAL WORK; SOCIAL-STRUCTURE; BUSINESS USE; CO-CREATION; CONSUMER; TECHNOLOGY; CONSUMPTION; MANAGEMENT; WEB; TRANSFORMATION"/>
        <s v="SOCIAL MEDIA"/>
        <s v="BIG DATA; MODELS"/>
        <s v="MATURITY; CAPABILITIES; TECHNOLOGY; CHALLENGES; READINESS; MODEL"/>
        <s v="SELF-TRACKING; INNOVATION; PATIENT"/>
        <s v="DISABILITIES"/>
        <s v="BRAND EQUITY; STUDENTS; UNIVERSITY; MODEL; PERFORMANCE; QUALITY; IMAGE"/>
        <s v="PUBLIC-POLICY; SOCIAL MEDIA; DISCOURSE; POLITICS"/>
        <s v="BIG DATA; ARTIFICIAL-INTELLIGENCE; INNOVATION; QUALITY"/>
        <s v="COGNITIVE THERAPY; ASSESSING COMPETENCE; SCALE; FRAMEWORK"/>
        <s v="SKILLS"/>
        <s v="POPULAR GEOPOLITICS; EMPIRICAL-EVIDENCE; COMPUTER GAMES"/>
        <s v="BUSINESS MODELS; INNOVATION; INFORMATION; TECHNOLOGY; RESOURCES; INTERNET"/>
        <s v="ENTRY; DIVERSIFICATION; COMPETITION; RESPONSES; NETWORKS; IMPACT; VIEW"/>
        <s v="RELIGION; PILGRIMAGE; FACEBOOK; FAITH; AGE; CONSTRUCTION; SANTIAGO; PARENTS"/>
        <s v="RESOURCE-BASED VIEW; DYNAMIC CAPABILITIES; COMPETITIVE ADVANTAGE"/>
        <s v="RESEARCH TRENDS; TECHNOLOGY; DECADES; IMPACT"/>
        <s v="CONSUMER INVOLVEMENT; RESPONSES; TELEVISION; UTILITARIAN; CHOICE; MODEL; WORKS; CONSUMPTION; SYNERGIES; EMOTIONS"/>
        <s v="COMPARATIVE ADVANTAGE; VALUE CHAINS; TRADE; CHINA; MODEL; RISE"/>
        <s v="SINGLE-ITEM MEASURES; CORPORATE SUSTAINABILITY; E-COMMERCE; PREDICTIVE-VALIDITY; FIRM PERFORMANCE; CAPABILITIES; INNOVATION; TRANSFORMATION; SERVICE; MANAGEMENT"/>
        <s v="WORD-OF-MOUTH; USER-GENERATED CONTENT; SOCIAL MEDIA; UNIT-ROOT; TIME-SERIES; SALES; FUTURE; ONLINE; MODEL; STATIONARITY"/>
        <s v="MICROLENS ARRAY; TECHNOLOGY"/>
        <s v="ENGLISH STRATEGY; REFLECTIONS; RESEARCHERS; PEOPLE; SELF; UK"/>
        <s v="ARTIFICIAL-INTELLIGENCE; BIG DATA; CARE; CHALLENGES; ADOPTION; SERVICES; IMPACT; ADULTS"/>
        <s v="CYBER-PHYSICAL SYSTEMS"/>
        <s v="SUPPLY CHAIN MANAGEMENT; MEDICAL DEVICE DEVELOPMENT; GREEN; PERFORMANCE; IMPACT; FLEXIBILITY; BARRIERS; RANKING; SUPPORT; SYSTEMS"/>
        <s v="MEDIA; SOLIDARITY; ADVOCACY; POLITICS; LIMITS; LABOR; FACE"/>
        <s v="DIGITAL TRANSFORMATION; ENTERPRISES; TECHNOLOGY; INTERNET; THINGS; FUTURE; FIRMS; PERFORMANCE; INNOVATION; RESOURCES"/>
        <s v="BIG DATA; MANAGEMENT"/>
        <s v="ELABORATION"/>
        <s v="EXPLORATORY FACTOR-ANALYSIS; STRATEGY; PERFORMANCE; INNOVATION; GUIDE"/>
        <s v="CARE; ARTHRITIS; LUPUS"/>
        <s v="ADVERTISING AGENCIES; DISCIPLINE; FUTURE"/>
        <s v="ANALYTICS"/>
        <s v="NEWS; EUROPE"/>
        <s v="INFORMATION-SYSTEMS STRATEGY; AS-PRACTICE; IMPLEMENTATION; TECHNOLOGY; CAPABILITIES; ETHNOGRAPHY; INNOVATION; CONTEXT; FIELD; VIEW"/>
        <s v="MEDICAL-EDUCATION; FLIPPED CLASSROOM; EMERGENCY-MEDICINE; SIMULATION; CURRICULUM; LECTURE; IMPACT; GAMIFICATION; SATISFACTION; EXPERIENCE"/>
        <s v="ELECTRONIC HEALTH RECORD; PATIENT-CENTERED COMMUNICATION; DECISION-SUPPORT-SYSTEMS; COST-EFFECTIVENESS; INFORMATION-TECHNOLOGY; CARE; PHYSICIANS; TIME; IMPLEMENTATION; EXPERIENCES"/>
        <s v="INFORMATION-TECHNOLOGY; STRATEGIC ALLIANCES; RELATIONAL GOVERNANCE; TRUST; INNOVATION; ROUTINES; EVOLUTION; DYNAMICS; AMBIDEXTERITY; PERFORMANCE"/>
        <s v="PRIVACY"/>
        <s v="FASHION BRANDS; SELF; FACEBOOK; CONSUMPTION; ENGAGEMENT; ATTITUDES; BEHAVIOR; MOTIVES; IMPACTS; TWITTER"/>
        <s v="MARKET ORIENTATION; MUSEUM VISITORS; TOURISM; INNOVATION; IMPACT"/>
        <s v="DOSE COMPUTED-TOMOGRAPHY; PRIMARY-CARE PROVIDERS; TRIAL; MANAGEMENT; KNOWLEDGE; ATTITUDES; RISK; TIME"/>
        <s v="ACCESS; TECHNOLOGY; INTERNET"/>
        <s v="EDUCATION"/>
        <s v="HYPERMEDIA"/>
        <s v="DELIBERATE LEARNING-MECHANISMS; BUSINESS MODEL; NETWORK; SERVITIZATION; CAPABILITIES; PERSPECTIVE; COMPANIES; GROWTH"/>
        <s v="MANAGEMENT; CITIES; PARTICIPATION; INFORMATION; SCIENCE; SYSTEMS"/>
        <s v="POLICY"/>
        <s v="INTERVENTIONS; PERFORMANCE; PROTECTION; INSURANCE; FRAMEWORK; ACCESS"/>
        <s v="RANDOMIZED CONTROLLED-TRIAL; MOBILE PHONE; IMPROVE ATTENDANCE; MHEALTH STRATEGIES; MESSAGING SERVICE; REMOTE AREAS; PRIMARY-CARE; TEXT; TOOL; SUPPORT"/>
        <s v="NSGA-II; PERFORMANCE; ALGORITHM; SELECTION; FUTURE; SYSTEM"/>
        <s v="MENTAL-HEALTH INTERVENTIONS; MEDICATION ADHERENCE; EXPRESSED EMOTION; RATING-SCALE; METAANALYSIS; PEOPLE; RELIABILITY; SYMPTOMS; VALIDITY; THERAPY"/>
        <s v="RESOURCE-BASED VIEW; BUSINESS STRATEGY; ADOPTION; IMPACT; TECHNOLOGY; SMES"/>
        <s v="TWITTER; CLINTON; AGE"/>
        <s v="SOCIAL MEDIA; GOVERNMENT"/>
        <s v="AFFORDANCES; ONLINE; COMMUNICATION; DELIBERATION; POWER"/>
        <s v="PARTICIPANT RECRUITMENT; CLINICAL-TRIALS; RISK-FACTORS; BRAZIL; PROGNOSIS; LESSONS; ISSUES; WOMEN"/>
        <s v="HIV-PREVENTION; DISEASE PREVENTION; PHYSICAL-ACTIVITY; REFUGEE CHILDREN; AFRICAN-AMERICAN; UNITED-STATES; BEHAVIORS; PROGRAM; INTERVENTION; ADOLESCENTS"/>
        <s v="MULTICHANNEL CUSTOMER MANAGEMENT; INFORMATION-SYSTEMS; SERVICE INNOVATION; BUSINESS STRATEGY; E-COMMERCE; FRAMEWORK; COMPETITION; TECHNOLOGY; PLATFORMS; ECONOMICS"/>
        <s v="PATIENT SAFETY; RECOMMENDATIONS; SYSTEMS; SUPPORT; CARE; AMIA"/>
        <s v="ONLINE; PARTICIPATION"/>
        <s v="BUSINESS STRATEGY; INFORMATION-TECHNOLOGY; EQUILIBRIUM-MODEL; ALIGNMENT; PERFORMANCE; SYSTEMS; PERSPECTIVE; MANAGEMENT; INSIGHTS; PARADOX"/>
        <s v="DECISION-SUPPORT-SYSTEMS; DATA ANALYTICS; PREDICTIVE ANALYTICS; BUSINESS ANALYTICS; DELPHI METHOD; DATA SCIENCE; OPERATIONS; INFORMATION; PERFORMANCE; FRAMEWORK"/>
        <s v="MEDIA; DEMOCRACY; ELECTION; POLITICS; PARTIES; IMPACT"/>
        <s v="MARKETING COMMUNICATIONS IMC"/>
        <s v="DIVIDE; GENDER; INFORMATION"/>
        <s v="INTERNET USE; POLITICAL-PARTICIPATION; DIGITAL MEDIA; ENGAGEMENT; METAANALYSIS; INFORMATION; PATTERNS; KLOUT; TIME"/>
        <s v="YOUTUBE; TV"/>
        <s v="RESUSCITATION COUNCIL GUIDELINES; HOSPITAL CARDIAC-ARREST; BASIC LIFE-SUPPORT; CARDIOPULMONARY-RESUSCITATION; FEEDBACK DEVICE; CPR; ASSOCIATION; PERFORMANCE; STATEMENT; OUTCOMES"/>
        <s v="CITIES; TECHNOLOGY; FUTURE"/>
        <s v="SINGLE-TOOTH REPLACEMENT; DENTAL IMPLANTS; EXTRACTION SOCKETS; LITHIUM DISILICATE; ZIRCONIA IMPLANT; CUSTOM-MADE; FOLLOW-UP; IN-VITRO; IMMEDIATE; TITANIUM"/>
        <s v="PUBLIC TRANSPORT; TRAVEL; TIMES"/>
        <s v="DYNAMICS"/>
        <s v="HIGHER-EDUCATION; GENDER-DIFFERENCES; SOCIAL MEDIA; RECRUITMENT; STRATEGIES; BRAND; INSTITUTIONS; FACEBOOK; BEHAVIOR; CHOICE"/>
        <s v="LAW"/>
        <s v="BIG DATA; SELF-TRACKING; DATA PROTECTION; WELFARE-REFORM; POLICY; PRIVACY; DISCOURSE; POLITICS; STORIES; NUDGE"/>
        <s v="MORAL SHOCKS; RIGHTS; ACTIVISM"/>
        <s v="INFORMATION-SYSTEMS; CONNECTED PRODUCTS; STRATEGY; SMART"/>
        <s v="SPERM MORPHOMETRY; DIFFERENTIATION"/>
        <s v="RESEARCH-AND-DEVELOPMENT; ABSORPTIVE-CAPACITY; PROCESS MANAGEMENT; CO-INNOVATION; NETWORKS; CREATION; ACQUISITION"/>
        <s v="INTERNET GOVERNANCE; MOBILIZATION; PRIVACY"/>
        <s v="TEACHER-EDUCATION; THINKING; FINLAND"/>
        <s v="CROSS-NATIONAL RESEARCH; SMART CITIES; ECONOMIC-DEVELOPMENT; E-GOVERNMENT; CITY; MANAGEMENT; UNIVERSITY; KNOWLEDGE; BUSINESS; INDUSTRY"/>
        <s v="DYNAMIC CAPABILITIES; SYSTEM DYNAMICS; MANAGEMENT; STAKEHOLDERS; PERSPECTIVE; CHALLENGES; SCIENCE"/>
        <s v="STRATEGIC CHOICE; SMART CITY; AUSTRALIA; POLITICS"/>
        <s v="REGENERATION"/>
        <s v="CONTEXT COLLAPSE; PRIVACY; INTERNET; FACEBOOK"/>
        <s v="NETWORKING; IDENTITY"/>
        <s v="NETWORKS"/>
        <s v="E-SATISFACTION; ONLINE; OWNERSHIP; CONSUMER; FIRMS"/>
        <s v="EXTREME-RIGHT; CONSTRUCTION; ONLINE; RACISM; OPPORTUNITIES; PREJUDICE; RACE"/>
        <s v="TWITTER"/>
        <s v="COLLECTIVE IDENTITY; SOCIAL MEDIA; MOVEMENTS; PROTEST"/>
        <s v="SOCIAL MEDIA; KNOWLEDGE CONTRIBUTION; SERVICE INNOVATION; DOMINANT LOGIC; SOFTWARE; ORGANIZATIONS; CAPABILITIES; ARCHITECTURE; GOVERNANCE; COCREATION"/>
        <s v="MARKETING TOOL; CO-CREATION; TOURISM; HOSPITALITY; EXPERIENCES; FACEBOOK"/>
        <s v="LOCAL E-GOVERNMENT; PARTICIPATION; GOVERNANCE; CITIES"/>
        <s v="HUMAN-RIGHTS NGOS; HUMANITARIAN; ORGANIZATIONS; JOURNALISM; SPACES; GATES; NEWS"/>
        <s v="ACUTE MYOCARDIAL-INFARCTION; AUTOMATED EXTERNAL DEFIBRILLATORS; ASSISTED CARDIOPULMONARY-RESUSCITATION; TISSUE-PLASMINOGEN ACTIVATOR; CARDIAC-ARREST; COMMUNITY CONSULTATION; LAY RESCUERS; ACUTE STROKE; PUBLIC DISCLOSURE; DATA-COLLECTION"/>
        <s v="WOMEN"/>
        <s v="FACILITY; SYSTEM"/>
        <s v="DELPHI TECHNIQUE; SOCIOECONOMIC-STATUS; TELEMEDICINE; COMMUNITY; MANAGEMENT; CARE; DEPRESSION; POLICY"/>
        <s v="STORY; SKILLS"/>
        <s v="CITIES; GEOGRAPHIES; POLICY"/>
        <s v="KNOWLEDGE; SPECIALIZATION; CREATION; VALLEY; EUROPE"/>
        <s v="SOCIALIZATION"/>
        <s v="LUXURY BRAND; EXPERIENCE; DESIGN; FUTURE"/>
        <s v="IMPLEMENTATION; ADHERENCE"/>
        <s v="OPPORTUNITY; CURRICULUM; STUDENTS"/>
        <s v="CITIES"/>
        <s v="SMART CITIES; INFORMATION; UNIVERSITY; INDUSTRY; CITY"/>
        <s v="ACTOR-NETWORKS; COMMUNICATION"/>
        <s v="REGIONAL-DEVELOPMENT; ECONOMIC-GEOGRAPHY; INNOVATION POLICY; KNOWLEDGE; CAPABILITIES; MANAGEMENT; DYNAMICS; GROWTH; LEVEL"/>
        <s v="ICT; TECHNOLOGY; EDUCATION; INTEGRATION; IMPACT"/>
        <s v="PUBLIC-HEALTH; SURGE CAPACITY; LESSONS; VACCINATION; CHALLENGES; KATRINA; IMPACT; SANDY"/>
        <s v="ONLINE NEWSROOMS; INNOVATION; INTERACTIVITY; ETHNOGRAPHY"/>
        <s v="INFORMATION-TECHNOLOGY; FUTURE; AGE"/>
        <s v="RAY SPECTROSCOPY; DETECTORS; CDTE; PERFORMANCE; GAMMA; CONSTRAINTS; PROGRESS; SYSTEM; FILTER"/>
        <s v="INJECTION; VISCOELASTICITY"/>
        <s v="RUPTURED INTRACRANIAL ANEURYSMS; DIGITAL-SUBTRACTION"/>
        <s v="INFORMATION-SOCIETY"/>
        <s v="BROAD-BAND; TECHNOLOGY; ACCESS; GOVERNMENT; FUTURE; CITIES; MODEL"/>
        <s v="SYSTEMS"/>
        <s v="MULTILITERACIES"/>
        <s v="EVOLVABLE HARDWARE; DESIGN; IMPLEMENTATION"/>
        <s v="CONSUMER CHOICE; PROTOCOL ANALYSIS; CLICKSTREAM DATA; DECISION-MAKING; PRIOR KNOWLEDGE; MODEL; ACQUISITION; LIKELIHOOD; INFERENCE; SEEKING"/>
        <s v="CLINICAL PRESENTATION; VENOUS DRAINAGE; CLASSIFICATION; MALFORMATIONS"/>
        <s v="CONVERTING ENZYME-INHIBITORS; NONDIABETIC RENAL-DISEASE; PROGRESSION; METAANALYSIS"/>
        <s v="RESOURCE-BASED VIEW; INFORMATION-TECHNOLOGY; COMPETITIVE ADVANTAGE; RELATIONAL VALUE; ALIGNMENT; FIRM; CAPABILITIES; KNOWLEDGE; INTERFIRM; SYSTEMS"/>
        <s v="PROPORTIONAL DELAY DIFFERENTIATION; FUZZY-LOGIC; SERVICE DIFFERENTIATION; ADMISSION CONTROL; FEEDBACK-CONTROL; QUALITY; OPTIMIZATION; MANAGEMENT; ALGORITHM; MODEL"/>
        <s v="INFORMATION-TECHNOLOGY; MARKET VALUE; INDUSTRY CONCENTRATION; PERFORMANCE; PRODUCTIVITY; CAPABILITIES; MUNIFICENCE; INVESTMENT; ORGANIZATIONS; UNCERTAINTY"/>
        <s v="INFORMATION; BELIEFS; WEB"/>
        <s v="TECHNOLOGY; VOCABULARY; LITERACY; STUDENTS; ENVIRONMENT; STRATEGIES; ENGLISH"/>
        <s v="E-GOVERNMENT; INTERNET"/>
        <s v="OUTPUT-FEEDBACK CONTROL; H-INFINITY CONTROL; DYNAMIC-SYSTEMS; STABILITY; DELAYS; STABILIZATION"/>
        <s v="ANTI-CONSUMPTION; IRON CAGE; PHONE; INNOVATION; KNOWLEDGE; STRATEGY; ADOPTION; FORMS"/>
        <s v="INDUCTION-MOTORS; TORQUE CONTROL; VERY-LOW; ZERO; FREQUENCY"/>
        <s v="TECHNOLOGY; ARCHITECTURE; EVOLUTION; INTERNET; CALL; FIRM"/>
        <s v="INFORMATION; TECHNOLOGY"/>
        <s v="JOINT-VENTURES; JAPANESE INVESTORS; CHOICE; PERFORMANCE; INFORMATION"/>
        <s v="TECHNOLOGY; INFORMATION; DEMOCRACY; EVOLUTION; BENEFITS; SERVICES; SYSTEMS; GENDER"/>
        <s v="E-GOVERNMENT"/>
        <s v="SELF-TEST; BIST; DAC"/>
        <s v="SELF-TEST"/>
        <s v="AUTOMATIC-GENERATION CONTROL; DYNAMIC SECURITY ASSESSMENT; ELECTRIC-POWER SYSTEMS"/>
        <s v="FREQUENCY"/>
        <m/>
      </sharedItems>
    </cacheField>
    <cacheField name="Abstract" numFmtId="0">
      <sharedItems containsBlank="1" longText="1"/>
    </cacheField>
    <cacheField name="Addresses" numFmtId="0">
      <sharedItems containsBlank="1" longText="1"/>
    </cacheField>
    <cacheField name="Affiliations" numFmtId="0">
      <sharedItems containsBlank="1" longText="1"/>
    </cacheField>
    <cacheField name="Reprint Addresses" numFmtId="0">
      <sharedItems containsBlank="1" longText="1"/>
    </cacheField>
    <cacheField name="Email Addresses" numFmtId="0">
      <sharedItems containsBlank="1" longText="1"/>
    </cacheField>
    <cacheField name="Researcher Ids" numFmtId="0">
      <sharedItems containsBlank="1" longText="1"/>
    </cacheField>
    <cacheField name="ORCIDs" numFmtId="0">
      <sharedItems containsBlank="1" longText="1"/>
    </cacheField>
    <cacheField name="Funding Orgs" numFmtId="0">
      <sharedItems containsBlank="1" longText="1"/>
    </cacheField>
    <cacheField name="Funding Name Preferred" numFmtId="0">
      <sharedItems containsBlank="1" longText="1"/>
    </cacheField>
    <cacheField name="Funding Text" numFmtId="0">
      <sharedItems containsBlank="1" longText="1"/>
    </cacheField>
    <cacheField name="Cited References" numFmtId="0">
      <sharedItems containsBlank="1"/>
    </cacheField>
    <cacheField name="Cited Reference Count" numFmtId="0">
      <sharedItems containsString="0" containsBlank="1" containsNumber="1" containsInteger="1" minValue="0" maxValue="254"/>
    </cacheField>
    <cacheField name="Times Cited, WoS Core" numFmtId="0">
      <sharedItems containsString="0" containsBlank="1" containsNumber="1" containsInteger="1" minValue="0" maxValue="1231"/>
    </cacheField>
    <cacheField name="Times Cited, All Databases" numFmtId="0">
      <sharedItems containsString="0" containsBlank="1" containsNumber="1" containsInteger="1" minValue="0" maxValue="1282"/>
    </cacheField>
    <cacheField name="180 Day Usage Count" numFmtId="0">
      <sharedItems containsString="0" containsBlank="1" containsNumber="1" containsInteger="1" minValue="0" maxValue="692"/>
    </cacheField>
    <cacheField name="Since 2013 Usage Count" numFmtId="0">
      <sharedItems containsString="0" containsBlank="1" containsNumber="1" containsInteger="1" minValue="0" maxValue="1522"/>
    </cacheField>
    <cacheField name="Publisher" numFmtId="0">
      <sharedItems containsBlank="1"/>
    </cacheField>
    <cacheField name="Publisher City" numFmtId="0">
      <sharedItems containsBlank="1"/>
    </cacheField>
    <cacheField name="Publisher Address" numFmtId="0">
      <sharedItems containsBlank="1"/>
    </cacheField>
    <cacheField name="ISSN" numFmtId="0">
      <sharedItems containsBlank="1"/>
    </cacheField>
    <cacheField name="eISSN" numFmtId="0">
      <sharedItems containsBlank="1"/>
    </cacheField>
    <cacheField name="ISBN" numFmtId="0">
      <sharedItems containsBlank="1"/>
    </cacheField>
    <cacheField name="Journal Abbreviation" numFmtId="0">
      <sharedItems containsBlank="1"/>
    </cacheField>
    <cacheField name="Journal ISO Abbreviation" numFmtId="0">
      <sharedItems containsBlank="1"/>
    </cacheField>
    <cacheField name="Publication Date" numFmtId="0">
      <sharedItems containsBlank="1"/>
    </cacheField>
    <cacheField name="Publication Year" numFmtId="0">
      <sharedItems containsString="0" containsBlank="1" containsNumber="1" containsInteger="1" minValue="1991" maxValue="2023" count="25">
        <n v="2023"/>
        <n v="2022"/>
        <n v="2021"/>
        <n v="2020"/>
        <n v="2019"/>
        <n v="2018"/>
        <n v="2017"/>
        <n v="2016"/>
        <n v="2015"/>
        <n v="2014"/>
        <n v="2013"/>
        <n v="2012"/>
        <n v="2011"/>
        <n v="2010"/>
        <n v="2009"/>
        <n v="2008"/>
        <n v="2007"/>
        <n v="2006"/>
        <n v="2005"/>
        <n v="2003"/>
        <n v="2001"/>
        <n v="2000"/>
        <n v="1995"/>
        <n v="1991"/>
        <m/>
      </sharedItems>
    </cacheField>
    <cacheField name="Volume" numFmtId="0">
      <sharedItems containsBlank="1" containsMixedTypes="1" containsNumber="1" containsInteger="1" minValue="3" maxValue="2674"/>
    </cacheField>
    <cacheField name="Issue" numFmtId="0">
      <sharedItems containsBlank="1" containsMixedTypes="1" containsNumber="1" containsInteger="1" minValue="1" maxValue="346"/>
    </cacheField>
    <cacheField name="Part Number" numFmtId="0">
      <sharedItems containsBlank="1"/>
    </cacheField>
    <cacheField name="Supplement" numFmtId="0">
      <sharedItems containsBlank="1" containsMixedTypes="1" containsNumber="1" containsInteger="1" minValue="1" maxValue="6"/>
    </cacheField>
    <cacheField name="Special Issue" numFmtId="0">
      <sharedItems containsBlank="1"/>
    </cacheField>
    <cacheField name="Meeting Abstract" numFmtId="0">
      <sharedItems containsBlank="1"/>
    </cacheField>
    <cacheField name="Start Page" numFmtId="0">
      <sharedItems containsBlank="1" containsMixedTypes="1" containsNumber="1" containsInteger="1" minValue="1" maxValue="98156"/>
    </cacheField>
    <cacheField name="End Page" numFmtId="0">
      <sharedItems containsBlank="1" containsMixedTypes="1" containsNumber="1" containsInteger="1" minValue="9" maxValue="98182"/>
    </cacheField>
    <cacheField name="Article Number" numFmtId="0">
      <sharedItems containsBlank="1" containsMixedTypes="1" containsNumber="1" containsInteger="1" minValue="1" maxValue="1.4761270211067162E+16"/>
    </cacheField>
    <cacheField name="DOI" numFmtId="0">
      <sharedItems containsBlank="1"/>
    </cacheField>
    <cacheField name="DOI Link" numFmtId="0">
      <sharedItems containsBlank="1"/>
    </cacheField>
    <cacheField name="Book DOI" numFmtId="0">
      <sharedItems containsBlank="1"/>
    </cacheField>
    <cacheField name="Early Access Date" numFmtId="0">
      <sharedItems containsBlank="1"/>
    </cacheField>
    <cacheField name="Number of Pages" numFmtId="0">
      <sharedItems containsString="0" containsBlank="1" containsNumber="1" containsInteger="1" minValue="1" maxValue="180"/>
    </cacheField>
    <cacheField name="WoS Categories" numFmtId="0">
      <sharedItems containsBlank="1" count="196">
        <s v="Computer Science, Interdisciplinary Applications; Engineering, Industrial"/>
        <s v="Oncology; Education, Scientific Disciplines; Public, Environmental &amp; Occupational Health"/>
        <s v="Business; Psychology, Applied"/>
        <s v="Medicine, Research &amp; Experimental"/>
        <s v="Green &amp; Sustainable Science &amp; Technology; Environmental Sciences; Environmental Studies"/>
        <s v="Engineering, Industrial; Engineering, Manufacturing; Operations Research &amp; Management Science"/>
        <s v="Business; Management"/>
        <s v="Biotechnology &amp; Applied Microbiology"/>
        <s v="Management"/>
        <s v="Business; Regional &amp; Urban Planning"/>
        <s v="Law"/>
        <s v="Computer Science, Artificial Intelligence; Computer Science, Cybernetics; Computer Science, Information Systems"/>
        <s v="Health Care Sciences &amp; Services; Public, Environmental &amp; Occupational Health"/>
        <s v="Remote Sensing"/>
        <s v="Business, Finance"/>
        <s v="Economics"/>
        <s v="Environmental Sciences"/>
        <s v="Computer Science, Artificial Intelligence"/>
        <s v="Communication; Sociology"/>
        <s v="Health Care Sciences &amp; Services"/>
        <s v="Medical Informatics"/>
        <s v="Business; Education &amp; Educational Research"/>
        <s v="Multidisciplinary Sciences"/>
        <s v="Computer Science, Cybernetics"/>
        <s v="Dentistry, Oral Surgery &amp; Medicine"/>
        <s v="Computer Science, Interdisciplinary Applications; Information Science &amp; Library Science; Management"/>
        <s v="Business; Environmental Studies"/>
        <s v="Public, Environmental &amp; Occupational Health; Infectious Diseases"/>
        <s v="Medicine, General &amp; Internal"/>
        <s v="Humanities, Multidisciplinary; Multidisciplinary Sciences"/>
        <s v="Health Care Sciences &amp; Services; Medicine, General &amp; Internal"/>
        <s v="Social Sciences, Interdisciplinary"/>
        <s v="International Relations"/>
        <s v="Business"/>
        <s v="Orthopedics"/>
        <s v="Political Science"/>
        <s v="Computer Science, Information Systems"/>
        <s v="Horticulture"/>
        <s v="Business; Development Studies"/>
        <s v="Education &amp; Educational Research"/>
        <s v="Health Care Sciences &amp; Services; Medical Informatics"/>
        <s v="Engineering, Electrical &amp; Electronic; Urban Studies"/>
        <s v="Public Administration"/>
        <s v="Substance Abuse"/>
        <s v="Public, Environmental &amp; Occupational Health"/>
        <s v="Psychology, Clinical; Psychiatry; Psychology, Multidisciplinary"/>
        <s v="Business; Development Studies; Management"/>
        <s v="Psychology, Multidisciplinary"/>
        <s v="Engineering, Civil"/>
        <s v="Immunology; Medicine, Research &amp; Experimental"/>
        <s v="Green &amp; Sustainable Science &amp; Technology; Engineering, Environmental; Environmental Sciences"/>
        <s v="Construction &amp; Building Technology; Engineering, Civil"/>
        <s v="Environmental Sciences; Public, Environmental &amp; Occupational Health"/>
        <s v="Engineering, Multidisciplinary"/>
        <s v="Computer Science, Information Systems; Engineering, Electrical &amp; Electronic; Telecommunications"/>
        <s v="Humanities, Multidisciplinary"/>
        <s v="Communication"/>
        <s v="Psychology, Social"/>
        <s v="Engineering, Industrial"/>
        <s v="Business; Economics; Management"/>
        <s v="Economics; International Relations; Law"/>
        <s v="Mathematics, Applied"/>
        <s v="Computer Science, Information Systems; Information Science &amp; Library Science; Management"/>
        <s v="Urban Studies"/>
        <s v="Engineering, Chemical"/>
        <s v="Area Studies"/>
        <s v="Information Science &amp; Library Science"/>
        <s v="Archaeology; Art; Chemistry, Analytical; Geosciences, Multidisciplinary; Materials Science, Multidisciplinary; Spectroscopy"/>
        <s v="Computer Science, Information Systems; Telecommunications"/>
        <s v="Agronomy; Plant Sciences"/>
        <s v="Communication; Information Science &amp; Library Science; Telecommunications"/>
        <s v="Anesthesiology; Critical Care Medicine"/>
        <s v="Industrial Relations &amp; Labor"/>
        <s v="Green &amp; Sustainable Science &amp; Technology"/>
        <s v="Hospitality, Leisure, Sport &amp; Tourism; Management"/>
        <s v="Information Science &amp; Library Science; Management"/>
        <s v="Engineering, Multidisciplinary; Mathematics, Interdisciplinary Applications"/>
        <s v="Rehabilitation"/>
        <s v="Immunology; Infectious Diseases"/>
        <s v="Computer Science, Interdisciplinary Applications; Engineering, Multidisciplinary; Materials Science, Multidisciplinary"/>
        <s v="Education, Special"/>
        <s v="Chemistry, Analytical; Engineering, Electrical &amp; Electronic; Instruments &amp; Instrumentation"/>
        <s v="Psychiatry"/>
        <s v="Immunology; Infectious Diseases; Microbiology"/>
        <s v="Mathematics, Interdisciplinary Applications; Multidisciplinary Sciences"/>
        <s v="Computer Science, Theory &amp; Methods"/>
        <s v="Development Studies"/>
        <s v="Humanities, Multidisciplinary; Social Sciences, Interdisciplinary"/>
        <s v="Hospitality, Leisure, Sport &amp; Tourism"/>
        <s v="Medicine, Research &amp; Experimental; Pharmacology &amp; Pharmacy"/>
        <s v="Computer Science, Information Systems; Engineering, Electrical &amp; Electronic; Physics, Applied"/>
        <s v="Management; Operations Research &amp; Management Science"/>
        <s v="Business; Engineering, Industrial; Management"/>
        <s v="Humanities, Multidisciplinary; Cultural Studies; Public Administration"/>
        <s v="Business; Education &amp; Educational Research; Management"/>
        <s v="Geochemistry &amp; Geophysics"/>
        <s v="Film, Radio, Television; History"/>
        <s v="Sociology"/>
        <s v="Business; Economics"/>
        <s v="Business, Finance; Economics"/>
        <s v="Humanities, Multidisciplinary; Management"/>
        <s v="Energy &amp; Fuels"/>
        <s v="Engineering, Manufacturing"/>
        <s v="Materials Science, Paper &amp; Wood"/>
        <s v="History &amp; Philosophy Of Science; Multidisciplinary Sciences"/>
        <s v="Business; Communication"/>
        <s v="Dentistry, Oral Surgery &amp; Medicine; Education, Scientific Disciplines"/>
        <s v="Transportation"/>
        <s v="Chemistry, Physical; Physics, Atomic, Molecular &amp; Chemical"/>
        <s v="Film, Radio, Television"/>
        <s v="Computer Science, Information Systems; Computer Science, Software Engineering; Telecommunications"/>
        <s v="Computer Science, Interdisciplinary Applications; Engineering, Manufacturing; Operations Research &amp; Management Science"/>
        <s v="Psychology, Clinical; Substance Abuse; Psychiatry"/>
        <s v="Business; Materials Science, Textiles"/>
        <s v="Operations Research &amp; Management Science"/>
        <s v="Humanities, Multidisciplinary; Cultural Studies; Social Sciences, Interdisciplinary"/>
        <s v="Theater"/>
        <s v="Pediatrics"/>
        <s v="Oncology"/>
        <s v="Nanoscience &amp; Nanotechnology; Materials Science, Multidisciplinary; Physics, Applied"/>
        <s v="Communication; Women's Studies"/>
        <s v="Communication; Information Science &amp; Library Science"/>
        <s v="Sport Sciences"/>
        <s v="Communication; Information Science &amp; Library Science; Social Sciences, Interdisciplinary"/>
        <s v="Anthropology; Sociology"/>
        <s v="Engineering, Electrical &amp; Electronic"/>
        <s v="Education &amp; Educational Research; Public, Environmental &amp; Occupational Health"/>
        <s v="Art; Education &amp; Educational Research"/>
        <s v="Environmental Studies; Hospitality, Leisure, Sport &amp; Tourism; Management"/>
        <s v="Biotechnology &amp; Applied Microbiology; Pharmacology &amp; Pharmacy"/>
        <s v="Social Issues; Social Sciences, Interdisciplinary"/>
        <s v="Social Issues"/>
        <s v="Engineering, Industrial; Engineering, Manufacturing; Management"/>
        <s v="Clinical Neurology; Neurosciences"/>
        <s v="Engineering, Civil; Transportation; Transportation Science &amp; Technology"/>
        <s v="Communication; Management; Political Science"/>
        <s v="International Relations; Political Science"/>
        <s v="Psychology, Clinical"/>
        <s v="Environmental Sciences; Environmental Studies; Geography; Regional &amp; Urban Planning; Urban Studies"/>
        <s v="Development Studies; Economics"/>
        <s v="Archaeology"/>
        <s v="Optics"/>
        <s v="Public, Environmental &amp; Occupational Health; Social Sciences, Biomedical; Sociology"/>
        <s v="Biotechnology &amp; Applied Microbiology; Multidisciplinary Sciences"/>
        <s v="Anthropology"/>
        <s v="Architecture"/>
        <s v="Otorhinolaryngology"/>
        <s v="Management; Sociology"/>
        <s v="Communication; Law"/>
        <s v="Art; Humanities, Multidisciplinary; Computer Science, Interdisciplinary Applications; Information Science &amp; Library Science"/>
        <s v="Computer Science, Artificial Intelligence; Computer Science, Theory &amp; Methods"/>
        <s v="Literature"/>
        <s v="Computer Science, Artificial Intelligence; Computer Science, Information Systems; Operations Research &amp; Management Science"/>
        <s v="Nursing"/>
        <s v="Architecture; Art; History"/>
        <s v="Computer Science, Information Systems; Information Science &amp; Library Science"/>
        <s v="Communication; Political Science"/>
        <s v="Art; Cultural Studies"/>
        <s v="Business; Computer Science, Information Systems; Computer Science, Interdisciplinary Applications"/>
        <s v="Music"/>
        <s v="Education, Scientific Disciplines; Pharmacology &amp; Pharmacy"/>
        <s v="Environmental Studies; Geography; Regional &amp; Urban Planning; Urban Studies"/>
        <s v="Economics; Urban Studies"/>
        <s v="Agricultural Economics &amp; Policy; Food Science &amp; Technology"/>
        <s v="Management; Public Administration"/>
        <s v="Regional &amp; Urban Planning"/>
        <s v="Cardiac &amp; Cardiovascular Systems; Peripheral Vascular Disease"/>
        <s v="Engineering, Electrical &amp; Electronic; Physics, Applied"/>
        <s v="Linguistics; Language &amp; Linguistics"/>
        <s v="Geography; Urban Studies"/>
        <s v="Health Care Sciences &amp; Services; Health Policy &amp; Services; Medicine, General &amp; Internal"/>
        <s v="Instruments &amp; Instrumentation; Nuclear Science &amp; Technology; Physics, Nuclear; Physics, Particles &amp; Fields"/>
        <s v="Engineering, Biomedical; Materials Science, Biomaterials"/>
        <s v="Biochemistry &amp; Molecular Biology; Biophysics; Cell Biology"/>
        <s v="Regional &amp; Urban Planning; Public Administration"/>
        <s v="Communication; Education &amp; Educational Research"/>
        <s v="Education &amp; Educational Research; Literary Theory &amp; Criticism"/>
        <s v="Computer Science, Artificial Intelligence; Computer Science, Interdisciplinary Applications"/>
        <s v="Clinical Neurology; Surgery"/>
        <s v="Urology &amp; Nephrology"/>
        <s v="Automation &amp; Control Systems"/>
        <s v="Education &amp; Educational Research; Education, Special"/>
        <s v="Computer Science, Interdisciplinary Applications; Public Administration"/>
        <s v="Computer Science, Information Systems; Computer Science, Interdisciplinary Applications; Information Science &amp; Library Science"/>
        <s v="Automation &amp; Control Systems; Engineering, Electrical &amp; Electronic; Instruments &amp; Instrumentation"/>
        <s v="Humanities, Multidisciplinary; Information Science &amp; Library Science"/>
        <s v="Computer Science, Information Systems; Operations Research &amp; Management Science"/>
        <s v="Health Care Sciences &amp; Services; Pharmacology &amp; Pharmacy"/>
        <s v="Sociology; Urban Studies"/>
        <s v="Engineering, Electrical &amp; Electronic; Nanoscience &amp; Nanotechnology"/>
        <s v="Electrochemistry; Materials Science, Coatings &amp; Films"/>
        <s v="Computer Science, Hardware &amp; Architecture; Engineering, Electrical &amp; Electronic"/>
        <s v="Computer Science, Hardware &amp; Architecture; Computer Science, Software Engineering; Computer Science, Theory &amp; Methods"/>
        <s v="Computer Science, Artificial Intelligence; Engineering, Electrical &amp; Electronic"/>
        <s v="Physics, Applied"/>
        <m/>
      </sharedItems>
    </cacheField>
    <cacheField name="Web of Science Index" numFmtId="0">
      <sharedItems containsBlank="1" count="15">
        <s v="Science Citation Index Expanded (SCI-EXPANDED)"/>
        <s v="Social Science Citation Index (SSCI)"/>
        <s v="Emerging Sources Citation Index (ESCI)"/>
        <s v="Science Citation Index Expanded (SCI-EXPANDED); Social Science Citation Index (SSCI)"/>
        <s v="Science Citation Index Expanded (SCI-EXPANDED); Arts &amp; Humanities Citation Index (A&amp;HCI)"/>
        <s v="Arts &amp; Humanities Citation Index (A&amp;HCI)"/>
        <s v="Social Science Citation Index (SSCI); Arts &amp; Humanities Citation Index (A&amp;HCI)"/>
        <s v="Book Citation Index – Social Sciences &amp; Humanities (BKCI-SSH)"/>
        <s v="Social Science Citation Index (SSCI); Conference Proceedings Citation Index - Social Science &amp; Humanities (CPCI-SSH)"/>
        <s v="Book Citation Index – Social Sciences &amp; Humanities (BKCI-SSH); Book Citation Index – Science (BKCI-S)"/>
        <s v="Book Citation Index – Science (BKCI-S)"/>
        <s v="Science Citation Index Expanded (SCI-EXPANDED); Social Science Citation Index (SSCI); Conference Proceedings Citation Index - Social Science &amp; Humanities (CPCI-SSH)"/>
        <s v="Science Citation Index Expanded (SCI-EXPANDED); Conference Proceedings Citation Index - Science (CPCI-S)"/>
        <s v="Conference Proceedings Citation Index - Science (CPCI-S); Science Citation Index Expanded (SCI-EXPANDED)"/>
        <m/>
      </sharedItems>
    </cacheField>
    <cacheField name="Research Areas" numFmtId="0">
      <sharedItems containsBlank="1"/>
    </cacheField>
    <cacheField name="IDS Number" numFmtId="0">
      <sharedItems containsBlank="1"/>
    </cacheField>
    <cacheField name="Pubmed Id" numFmtId="0">
      <sharedItems containsBlank="1" containsMixedTypes="1" containsNumber="1" containsInteger="1" minValue="11184976" maxValue="37875743"/>
    </cacheField>
    <cacheField name="Open Access Designations" numFmtId="0">
      <sharedItems containsBlank="1"/>
    </cacheField>
    <cacheField name="Highly Cited Status" numFmtId="0">
      <sharedItems containsBlank="1"/>
    </cacheField>
    <cacheField name="Hot Paper Status" numFmtId="0">
      <sharedItems containsBlank="1"/>
    </cacheField>
    <cacheField name="Date of Export" numFmtId="0">
      <sharedItems containsBlank="1"/>
    </cacheField>
    <cacheField name="UT (Unique WOS ID)" numFmtId="0">
      <sharedItems containsBlank="1"/>
    </cacheField>
    <cacheField name="Web of Science Record" numFmtId="0">
      <sharedItems containsBlank="1"/>
    </cacheField>
    <cacheField name="Rubrica" numFmtId="0">
      <sharedItems containsString="0" containsBlank="1" containsNumber="1" containsInteger="1" minValue="1"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4">
  <r>
    <s v="J"/>
    <s v="Yoo, YJ; Henfridsson, O; Lyytinen, K"/>
    <s v=""/>
    <s v=""/>
    <s v=""/>
    <s v="Yoo, Youngjin; Henfridsson, Ola; Lyytinen, Kalle"/>
    <s v=""/>
    <s v=""/>
    <s v="The New Organizing Logic of Digital Innovation: An Agenda for Information Systems Research"/>
    <s v="INFORMATION SYSTEMS RESEARCH"/>
    <s v=""/>
    <s v=""/>
    <s v="English"/>
    <x v="0"/>
    <s v=""/>
    <s v=""/>
    <s v=""/>
    <s v=""/>
    <s v=""/>
    <s v="digitization; digital innovation; product architecture; layered modular architecture; organizing logic; doubly distributed networks"/>
    <s v="TECHNOLOGY; ARCHITECTURE; EVOLUTION; INTERNET; CALL; FIRM"/>
    <s v="In this essay, we argue that pervasive digitization gives birth to a new type of product architecture: the layered modular architecture. The layered modular architecture extends the modular architecture of physical products by incorporating four loosely coupled layers of devices, networks, services, and contents created by digital technology. We posit that this new architecture instigates profound changes in the ways that firms organize for innovation in the future. We develop (1) a conceptual framework to describe the emerging organizing logic of digital innovation and (2) an information systems research agenda for digital strategy and the creation and management of corporate information technology infrastructures."/>
    <s v="[Yoo, Youngjin] Temple Univ, Ctr Design &amp; Innovat, Philadelphia, PA 19122 USA; [Henfridsson, Ola] Viktoria Inst Horselgangen 4, S-41756 Gothenburg, Sweden; [Henfridsson, Ola] Univ Oslo, Dept Informat, N-0316 Oslo, Norway; [Lyytinen, Kalle] Case Western Reserve Univ, Dept Informat Syst, Cleveland, OH 44106 USA"/>
    <s v="Pennsylvania Commonwealth System of Higher Education (PCSHE); Temple University; University of Oslo; Case Western Reserve University"/>
    <s v="Yoo, YJ (corresponding author), Temple Univ, Ctr Design &amp; Innovat, Philadelphia, PA 19122 USA."/>
    <s v="yxy23yoo@gmail.com; ola.henfridsson@viktoria.se; kjl13@case.edu"/>
    <s v="Yoo, Youngjin/ABI-7778-2020; Lyytinen, Kalle/O-8202-2017"/>
    <s v="Yoo, Youngjin/0000-0001-8548-3475; Lyytinen, Kalle/0000-0002-3352-5343; Henfridsson, Ola/0000-0003-1605-5180"/>
    <s v="Direct For Computer &amp; Info Scie &amp; Enginr; Office of Advanced Cyberinfrastructure (OAC) [0943157, 0943010] Funding Source: National Science Foundation"/>
    <s v="Direct For Computer &amp; Info Scie &amp; Enginr; Office of Advanced Cyberinfrastructure (OAC)(National Science Foundation (NSF)NSF - Directorate for Computer &amp; Information Science &amp; Engineering (CISE))"/>
    <s v=""/>
    <s v=""/>
    <n v="39"/>
    <n v="1231"/>
    <n v="1282"/>
    <n v="99"/>
    <n v="923"/>
    <s v="INFORMS"/>
    <s v="HANOVER"/>
    <s v="7240 PARKWAY DR, STE 310, HANOVER, MD 21076-1344 USA"/>
    <s v="1047-7047"/>
    <s v=""/>
    <s v=""/>
    <s v="INFORM SYST RES"/>
    <s v="Inf. Syst. Res."/>
    <s v="DEC"/>
    <n v="2010"/>
    <n v="21"/>
    <n v="4"/>
    <s v=""/>
    <s v=""/>
    <s v=""/>
    <s v=""/>
    <n v="724"/>
    <n v="735"/>
    <s v=""/>
    <s v="10.1287/isre.1100.0322"/>
    <s v="http://dx.doi.org/10.1287/isre.1100.0322"/>
    <s v=""/>
    <s v=""/>
    <n v="12"/>
    <s v="Information Science &amp; Library Science; Management"/>
    <x v="0"/>
    <s v="Information Science &amp; Library Science; Business &amp; Economics"/>
    <s v="695OZ"/>
    <s v=""/>
    <s v=""/>
    <s v=""/>
    <s v=""/>
    <s v="2023-11-15"/>
    <x v="0"/>
    <s v="View Full Record in Web of Science"/>
  </r>
  <r>
    <s v="J"/>
    <s v="Bharadwaj, A; El Sawy, OA; Pavlou, PA; Venkatraman, N"/>
    <s v=""/>
    <s v=""/>
    <s v=""/>
    <s v="Bharadwaj, Anandhi; El Sawy, Omar A.; Pavlou, Paul A.; Venkatraman, N."/>
    <s v=""/>
    <s v=""/>
    <s v="DIGITAL BUSINESS STRATEGY: TOWARD A NEXT GENERATION OF INSIGHTS"/>
    <s v="MIS QUARTERLY"/>
    <s v=""/>
    <s v=""/>
    <s v="English"/>
    <x v="0"/>
    <s v=""/>
    <s v=""/>
    <s v=""/>
    <s v=""/>
    <s v=""/>
    <s v="Digital business strategy; scope of digital business strategy; scale of digital business strategy; speed of digital business strategy; digital business strategy value creation and capture"/>
    <s v="RESOURCE-BASED VIEW; INFORMATION-TECHNOLOGY; COMPETITIVE ADVANTAGE; RELATIONAL VALUE; ALIGNMENT; FIRM; CAPABILITIES; KNOWLEDGE; INTERFIRM; SYSTEMS"/>
    <s v="Over the last three decades, the prevailing view of information technology strategy has been that it is a functional-level strategy that must be aligned with the firm's chosen business strategy. Even within this so-called alignment view, business strategy directed IT strategy. During the last decade, the business infrastructure has become digital with increased interconnections among products, processes, and services. Across many firms spanning different industries and sectors, digital technologies (viewed as combinations of information, computing, communication, and connectivity technologies) are fundamentally transforming business strategies, business processes, firm capabilities, products and services, and key interfirm relationships in extended business networks. Accordingly, we argue that the time is right to rethink the role of IT strategy, from that of a functional-level strategy-aligned but essentially always subordinate to business strategy-to one that reflects a fusion between IT strategy and business strategy. This fusion is herein termed digital business strategy. We identify four key themes to guide our thinking on digital business strategy and help provide a framework to define the next generation of insights. The four themes are (1) the scope of digital business strategy, (2) the scale of digital business strategy, (3) the speed of digital business strategy, and (4) the sources of business value creation and capture in digital business strategy. After elaborating on each of these four themes, we discuss the success metrics and potential performance implications from pursuing a digital business strategy. We also show how the papers in the special issue shed light on digital strategies and offer directions to advance insights and shape future research."/>
    <s v="[Bharadwaj, Anandhi] Emory Univ, Goizueta Business Sch, Atlanta, GA 30332 USA; [El Sawy, Omar A.] Univ So Calif, Marshall Sch Business, Los Angeles, CA 90089 USA; [Pavlou, Paul A.] Temple Univ, Fox Sch Business, Philadelphia, PA 19122 USA; [Venkatraman, N.] Boston Univ, Sch Management, Boston, MA 02215 USA"/>
    <s v="Emory University; University of Southern California; Pennsylvania Commonwealth System of Higher Education (PCSHE); Temple University; Boston University"/>
    <s v="Bharadwaj, A (corresponding author), Emory Univ, Goizueta Business Sch, Atlanta, GA 30332 USA."/>
    <s v="abharad@emory.edu; elsawy@marshall.usc.edu; pavlou@temple.edu; venkat@bu.edu"/>
    <s v="Pavlou, Paul A/D-3561-2014; Venkatraman, N. Venkat/AAB-2555-2019; El Sawy, Omar/ABG-7773-2021"/>
    <s v="Bharadwaj, Anandhi/0000-0002-5909-4983"/>
    <s v=""/>
    <s v=""/>
    <s v=""/>
    <s v=""/>
    <n v="55"/>
    <n v="1212"/>
    <n v="1244"/>
    <n v="186"/>
    <n v="1363"/>
    <s v="SOC INFORM MANAGE-MIS RES CENT"/>
    <s v="MINNEAPOLIS"/>
    <s v="UNIV MINNESOTA-SCH MANAGEMENT 271 19TH AVE SOUTH, MINNEAPOLIS, MN 55455 USA"/>
    <s v="0276-7783"/>
    <s v=""/>
    <s v=""/>
    <s v="MIS QUART"/>
    <s v="MIS Q."/>
    <s v="JUN"/>
    <n v="2013"/>
    <n v="37"/>
    <n v="2"/>
    <s v=""/>
    <s v=""/>
    <s v=""/>
    <s v=""/>
    <n v="471"/>
    <n v="482"/>
    <s v=""/>
    <s v="10.25300/MISQ/2013/37:2.3"/>
    <s v="http://dx.doi.org/10.25300/MISQ/2013/37:2.3"/>
    <s v=""/>
    <s v=""/>
    <n v="12"/>
    <s v="Computer Science, Information Systems; Information Science &amp; Library Science; Management"/>
    <x v="1"/>
    <s v="Computer Science; Information Science &amp; Library Science; Business &amp; Economics"/>
    <s v="290KI"/>
    <s v=""/>
    <s v="Bronze"/>
    <s v=""/>
    <s v=""/>
    <s v="2023-11-15"/>
    <x v="1"/>
    <s v="View Full Record in Web of Science"/>
  </r>
  <r>
    <s v="J"/>
    <s v="Horváth, D; Szabó, RZ"/>
    <s v=""/>
    <s v=""/>
    <s v=""/>
    <s v="Horvath, Dora; Szabo, Roland Zs."/>
    <s v=""/>
    <s v=""/>
    <s v="Driving forces and barriers of Industry 4.0: Do multinational and small and medium-sized companies have equal opportunities?"/>
    <s v="TECHNOLOGICAL FORECASTING AND SOCIAL CHANGE"/>
    <s v=""/>
    <s v=""/>
    <s v="English"/>
    <x v="0"/>
    <s v=""/>
    <s v=""/>
    <s v=""/>
    <s v=""/>
    <s v=""/>
    <s v="Industry 4.0; Digital strategy; Management functions; Lean; Qualitative; Supply chain"/>
    <s v="DIGITAL TRANSFORMATION; ENTERPRISES; TECHNOLOGY; INTERNET; THINGS; FUTURE; FIRMS; PERFORMANCE; INNOVATION; RESOURCES"/>
    <s v="The Fourth Industrial Revolution poses significant challenges to manufacturing companies from the technological, organizational and management points of view. This paper aims to explore how top executives interpret the concept of Industry 4.0, the driving forces for introducing new technologies and the main barriers to Industry 4.0. The authors applied a qualitative case study design involving 26 semi-structured interviews with leading members of firms, including chief digital officers and chief executive officers. Company websites and annual reports were also examined to increase the reliability and validity of the results. The authors found that management desire to increase control and enable real-time performance measurement is a significant driving force behind Industry 4.0, alongside production factors. Organizational resistance at both employee and middle management levels can significantly hinder the introduction of Industry 4.0 technologies, though these technologies can also transform management functions. Multinational enterprises have higher driving forces and lower barriers to industry 4.0 than small and medium-sized companies, but these smaller companies have good opportunities, too."/>
    <s v="[Horvath, Dora; Szabo, Roland Zs.] Corvinus Univ Budapest, Res Ctr Strateg &amp; Int Management, Fovam Sq 8, H-1093Y Budapest, Hungary"/>
    <s v=""/>
    <s v="Horváth, D (corresponding author), Corvinus Univ Budapest, Res Ctr Strateg &amp; Int Management, Fovam Sq 8, H-1093Y Budapest, Hungary."/>
    <s v="horvath.dora@uni-corvinus.hu; zsoltroland.szabo@uni-corvinus.hu"/>
    <s v="N'Dri, Amoin Bernadine/IWD-7811-2023; Roland, Szabó/AEP-0961-2022; Szabó, Roland Zs./AAZ-4482-2020"/>
    <s v="Roland, Szabó/0000-0002-7961-1298; Szabó, Roland Zs./0000-0002-7961-1298"/>
    <s v="European Union [EFOP-3.6.2.-16-2017-00007]"/>
    <s v="European Union(European Union (EU))"/>
    <s v="The publication was prepared within the Szechenyi 2020 program framework (EFOP-3.6.2.-16-2017-00007) under the European Union project titled: Aspects of developing an intelligent, sustainable and inclusive society: social, technological, innovation networks in employment and digital economy. We are grateful to Melissa Leffler, freelance language editor, for proofreading a draft of this paper."/>
    <s v=""/>
    <n v="119"/>
    <n v="435"/>
    <n v="444"/>
    <n v="64"/>
    <n v="472"/>
    <s v="ELSEVIER SCIENCE INC"/>
    <s v="NEW YORK"/>
    <s v="STE 800, 230 PARK AVE, NEW YORK, NY 10169 USA"/>
    <s v="0040-1625"/>
    <s v="1873-5509"/>
    <s v=""/>
    <s v="TECHNOL FORECAST SOC"/>
    <s v="Technol. Forecast. Soc. Chang."/>
    <s v="SEP"/>
    <n v="2019"/>
    <n v="146"/>
    <s v=""/>
    <s v=""/>
    <s v=""/>
    <s v=""/>
    <s v=""/>
    <n v="119"/>
    <n v="132"/>
    <s v=""/>
    <s v="10.1016/j.techfore.2019.05.021"/>
    <s v="http://dx.doi.org/10.1016/j.techfore.2019.05.021"/>
    <s v=""/>
    <s v=""/>
    <n v="14"/>
    <s v="Business; Regional &amp; Urban Planning"/>
    <x v="0"/>
    <s v="Business &amp; Economics; Public Administration"/>
    <s v="JR9FS"/>
    <s v=""/>
    <s v="Green Accepted, hybrid"/>
    <s v=""/>
    <s v=""/>
    <s v="2023-11-15"/>
    <x v="2"/>
    <s v="View Full Record in Web of Science"/>
  </r>
  <r>
    <s v="J"/>
    <s v="Dwivedi, YK; Hughes, DL; Coombs, C; Constantiou, I; Duan, YQ; Edwards, JS; Gupta, B; Lal, B; Misra, S; Prashant, P; Raman, R; Rana, NP; Sharma, SK; Upadhyay, N"/>
    <s v=""/>
    <s v=""/>
    <s v=""/>
    <s v="Dwivedi, Yogesh K.; Hughes, D. Laurie; Coombs, Crispin; Constantiou, Ioanna; Duan, Yanqing; Edwards, John S.; Gupta, Babita; Lal, Banita; Misra, Santosh; Prashant, Prakhar; Raman, Ramakrishnan; Rana, Nripendra P.; Sharma, Sujeet K.; Upadhyay, Nitin"/>
    <s v=""/>
    <s v=""/>
    <s v="Impact of COVID-19 pandemic on information management research and practice: Transforming education, work and life"/>
    <s v="INTERNATIONAL JOURNAL OF INFORMATION MANAGEMENT"/>
    <s v=""/>
    <s v=""/>
    <s v="English"/>
    <x v="0"/>
    <s v=""/>
    <s v=""/>
    <s v=""/>
    <s v=""/>
    <s v=""/>
    <s v="COVID-19; Digital life; Digital transformation; Digital world; Information management; Information systems; Information technology"/>
    <s v="HOMEWORKERS USAGE; SHARING ECONOMY; MOBILE PHONES; BENEFITS"/>
    <s v="The COVID-19 pandemic has forced many organisations to undergo significant transformation, rethinking key elements of their business processes and use of technology to maintain operations whilst adhering to a changing landscape of guidelines and new procedures. This study offers a collective insight to many of the key issues and underlying complexities affecting organisations and society from COVID-19, through an information systems and technological perspective. The views of 12 invited subject experts are collated and analysed where each articulate their individual perspectives relating to: online learning, digital strategy, artificial intelligence, information management, social interaction, cyber security, big data, blockchain, privacy, mobile technology and strategy through the lens of the current crisis and impact on these specific areas. The expert perspectives offer timely insight to the range of topics, identifying key issues and recommendations for theory and practice."/>
    <s v="[Dwivedi, Yogesh K.; Hughes, D. Laurie] Swansea Univ, Sch Management, Emerging Markets Res Ctr EMaRC, Bay Campus, Swansea, W Glam, Wales; [Coombs, Crispin] Loughborough Univ, Sch Business &amp; Econ, Loughborough, Leics, England; [Constantiou, Ioanna] Copenhagen Business Sch, Dept Digitalisat, Copenhagen, Denmark; [Duan, Yanqing] Univ Bedfordshire, Business &amp; Management Res Inst, Luton, Beds, England; [Edwards, John S.] Aston Business Sch, Operat &amp; Informat Management Dept, Birmingham, W Midlands, England; [Gupta, Babita] Calif State Univ, Monterey, CA USA; [Lal, Banita; Rana, Nripendra P.] Univ Bradford, Sch Management, Bradford, W Yorkshire, England; [Misra, Santosh] Govt Tamil Nadu, Tamil Nadu E Governance Agcy, Chennai, Tamil Nadu, India; [Prashant, Prakhar] Sabaps Corp, Woodland Hills, CA USA; [Raman, Ramakrishnan] Symbiosis Int Deemed Univ, Symbiosis Inst Business Management, Pune, Maharashtra, India; [Sharma, Sujeet K.] Indian Inst Management Tiruchirappalli, Informat Syst &amp; Analyt Area, Sooriyur, Tamil Nadu, India; [Upadhyay, Nitin] Goa Inst Management, Ctr Innovat Informat Technol &amp; Operat Management, Poriem, Goa, India"/>
    <s v="Swansea University; Loughborough University; Copenhagen Business School; University of Bedfordshire; Aston University; University of Bradford; Symbiosis International University; Symbiosis Institute of Business Management (SIBM) Pune; Indian Institute of Management (IIM System); Indian Institute of Management Tiruchirappalli; Goa Institute of Management"/>
    <s v="Rana, NP (corresponding author), Univ Bradford, Sch Management, Bradford, W Yorkshire, England."/>
    <s v="y.k.dwivedi@swansea.ac.uk; d.l.hughes@swansea.ac.uk; c.r.coombs@lboro.ac.uk; ic.digi@cbs.dk; yanqing.duan@beds.ac.uk; j.s.edwards@aston.ac.uk; bgupta@csumb.edu; B.lall@bradford.ac.uk; santoshmisra@gmail.com; sabapscorp@gmail.com; director@sibmpune.edu.in; n.p.rana@bradford.ac.uk; sujeet@iimtrichy.ac.in; nitin@gim.ac.in"/>
    <s v="Rana, Nripendra P./AAY-1576-2021; Rana, Nripendra P./ABA-4719-2020; Raman, Ramakrishnan/U-2170-2017; Dwivedi, Yogesh Kumar/A-5362-2008; Pune, SIBM/Z-5178-2019; Edwards, John Steven/AAC-9878-2020"/>
    <s v="Rana, Nripendra P./0000-0003-1105-8729; Raman, Ramakrishnan/0000-0003-3642-6989; Dwivedi, Yogesh Kumar/0000-0002-5547-9990; Edwards, John Steven/0000-0003-3979-017X; Upadhyay, Nitin/0000-0001-8301-8924; Constantiou, Ioanna/0000-0002-9761-1208"/>
    <s v=""/>
    <s v=""/>
    <s v=""/>
    <s v=""/>
    <n v="92"/>
    <n v="372"/>
    <n v="376"/>
    <n v="30"/>
    <n v="542"/>
    <s v="ELSEVIER SCI LTD"/>
    <s v="OXFORD"/>
    <s v="THE BOULEVARD, LANGFORD LANE, KIDLINGTON, OXFORD OX5 1GB, OXON, ENGLAND"/>
    <s v="0268-4012"/>
    <s v="1873-4707"/>
    <s v=""/>
    <s v="INT J INFORM MANAGE"/>
    <s v="Int. J. Inf. Manage."/>
    <s v="DEC"/>
    <n v="2020"/>
    <n v="55"/>
    <s v=""/>
    <s v=""/>
    <s v=""/>
    <s v=""/>
    <s v=""/>
    <s v=""/>
    <s v=""/>
    <n v="102211"/>
    <s v="10.1016/j.ijinfomgt.2020.102211"/>
    <s v="http://dx.doi.org/10.1016/j.ijinfomgt.2020.102211"/>
    <s v=""/>
    <s v=""/>
    <n v="20"/>
    <s v="Information Science &amp; Library Science"/>
    <x v="0"/>
    <s v="Information Science &amp; Library Science"/>
    <s v="OD0FF"/>
    <s v=""/>
    <s v="Green Submitted, Green Accepted, Green Published"/>
    <s v=""/>
    <s v=""/>
    <s v="2023-11-15"/>
    <x v="3"/>
    <s v="View Full Record in Web of Science"/>
  </r>
  <r>
    <s v="J"/>
    <s v="Raj, A; Dwivedi, G; Sharma, A; Jabbour, ABLD; Rajak, S"/>
    <s v=""/>
    <s v=""/>
    <s v=""/>
    <s v="Raj, Alok; Dwivedi, Gourav; Sharma, Ankit; Lopes de Sousa Jabbour, Ana Beatriz; Rajak, Sonu"/>
    <s v=""/>
    <s v=""/>
    <s v="Barriers to the adoption of industry 4.0 technologies in the manufacturing sector: An inter-country comparative perspective"/>
    <s v="INTERNATIONAL JOURNAL OF PRODUCTION ECONOMICS"/>
    <s v=""/>
    <s v=""/>
    <s v="English"/>
    <x v="0"/>
    <s v=""/>
    <s v=""/>
    <s v=""/>
    <s v=""/>
    <s v=""/>
    <s v="Industry 4.0; Barriers; Grey-DEMATEL; Developed economy; Developing economy"/>
    <s v="RESEARCH AGENDA; CHALLENGES; DEMATEL; FUTURE; INTERNET; THINGS; MODEL; INITIATIVES; INFORMATION; COMPANIES"/>
    <s v="This paper examines barriers to the implementation of Industry 4.0 technologies in the manufacturing sector in the context of both developed and developing economies. A comprehensive literature review, followed by discussions with industry experts, identifies 15 barriers, which are analyzed by means of a Grey Decision-Making Trial and Evaluation Laboratory (DEMATEL) approach. The 'lack of a digital strategy alongside resource scarcity' emerges as the most prominent barrier in both developed and developing economies. The influencing barriers identified suggest that improvements in standards and government regulation could facilitate the adoption of Industry 4.0 technologies in developing country case, whereas technological infrastructure is needed to promote the adoption of these technologies in developed country case. This study is one of the first to examine the implementation of Industry 4.0 in both developing and developed economies. This article highlights the difficulties in the diffusion of technological innovation resulting from a lack of coordinated national policies on Industry 4.0 in developing countries, which may prevent firms from fully experiencing the Industry 4.0 revolution. The results of this study may help decision makers and practitioners to address the barriers highlighted, paving the way for successful implementation of Industry 4.0 across the manufacturing sector."/>
    <s v="[Raj, Alok] Xavier Sch Management CH Area East, XLRI, Prod Operat &amp; Decis Sci, Jamshedpur 831001, Bihar, India; [Dwivedi, Gourav] Indian Inst Technol Delhi, Dept Management Studies, New Delhi 110016, India; [Sharma, Ankit] Indian Inst Management Lucknow, Operat Management Area, Off Sitapur Rd, Lucknow 226013, Uttar Pradesh, India; [Lopes de Sousa Jabbour, Ana Beatriz] Montpellier Business Sch Montpellier Res Manageme, 2300 Ave Moulins, F-34000 Montpellier, France; [Rajak, Sonu] Birla Inst Technol, Dept Prod Engn, Ranchi 835215, Bihar, India"/>
    <s v="XLRI -Xavier School of Management; Indian Institute of Technology System (IIT System); Indian Institute of Technology (IIT) - Delhi; Indian Institute of Management (IIM System); Indian Institute of Management Lucknow; Universite de Montpellier; Birla Institute of Technology Mesra"/>
    <s v="Raj, A (corresponding author), Xavier Sch Management CH Area East, XLRI, Prod Operat &amp; Decis Sci, Jamshedpur 831001, Bihar, India."/>
    <s v="alokraj@xlri.ac.in; gourav@dms.iitd.ac.in; fpm17014@iiml.ac.in; a.sousa-jabbour@montpellier-bs.com; sonu.production@gmail.com"/>
    <s v="Rajak, Sonu/AAE-8690-2021; Lopes de Sousa Jabbour, Ana Beatriz/B-8966-2012; Sharma, Ankit/W-2230-2018; Rajak, Sonu/AAC-8544-2022"/>
    <s v="Rajak, Sonu/0000-0002-4334-8010; Lopes de Sousa Jabbour, Ana Beatriz/0000-0001-6423-8868; Sharma, Ankit/0000-0003-1418-8991; Rajak, Sonu/0000-0002-4334-8010"/>
    <s v=""/>
    <s v=""/>
    <s v=""/>
    <s v=""/>
    <n v="66"/>
    <n v="349"/>
    <n v="352"/>
    <n v="46"/>
    <n v="295"/>
    <s v="ELSEVIER"/>
    <s v="AMSTERDAM"/>
    <s v="RADARWEG 29, 1043 NX AMSTERDAM, NETHERLANDS"/>
    <s v="0925-5273"/>
    <s v="1873-7579"/>
    <s v=""/>
    <s v="INT J PROD ECON"/>
    <s v="Int. J. Prod. Econ."/>
    <s v="JUN"/>
    <n v="2020"/>
    <n v="224"/>
    <s v=""/>
    <s v=""/>
    <s v=""/>
    <s v=""/>
    <s v=""/>
    <s v=""/>
    <s v=""/>
    <n v="107546"/>
    <s v="10.1016/j.ijpe.2019.107546"/>
    <s v="http://dx.doi.org/10.1016/j.ijpe.2019.107546"/>
    <s v=""/>
    <s v=""/>
    <n v="17"/>
    <s v="Engineering, Industrial; Engineering, Manufacturing; Operations Research &amp; Management Science"/>
    <x v="1"/>
    <s v="Engineering; Operations Research &amp; Management Science"/>
    <s v="LC4US"/>
    <s v=""/>
    <s v="Green Accepted"/>
    <s v=""/>
    <s v=""/>
    <s v="2023-11-15"/>
    <x v="4"/>
    <s v="View Full Record in Web of Science"/>
  </r>
  <r>
    <s v="J"/>
    <s v="Sebastian, IM; Ross, JW; Beath, C; Mocker, M; Moloney, KG; Fonstad, NO"/>
    <s v=""/>
    <s v=""/>
    <s v=""/>
    <s v="Sebastian, Ina M.; Ross, Jeanne W.; Beath, Cynthia; Mocker, Martin; Moloney, Kate G.; Fonstad, Nils O."/>
    <s v=""/>
    <s v=""/>
    <s v="How Big Old Companies Navigate Digital Transformation"/>
    <s v="MIS QUARTERLY EXECUTIVE"/>
    <s v=""/>
    <s v=""/>
    <s v="English"/>
    <x v="0"/>
    <s v=""/>
    <s v=""/>
    <s v=""/>
    <s v=""/>
    <s v=""/>
    <s v=""/>
    <s v="INFORMATION-SYSTEMS; CONNECTED PRODUCTS; STRATEGY; SMART"/>
    <s v="New digital technologies present both game-changing opportunities for-and existential threats to-companies whose success was built in the pre-digital economy. This article describes our findings from a study of 25 companies that were embarking on digital transformation journeys. We identified two digital strategies-customer engagement and digitized solutions-that provide direction for a digital transformation. Two technology-enabled assets are essential for executing those strategies: an operational backbone and a digital services platform. We describe how a big old company can combine these elements to navigate its digital transformation.(1, 2)"/>
    <s v="[Sebastian, Ina M.; Ross, Jeanne W.; Mocker, Martin; Moloney, Kate G.; Fonstad, Nils O.] MIT, Sloan Ctr Informat Syst Res, Cambridge, MA 02139 USA; [Beath, Cynthia] Univ Texas Austin, McCombs Sch Business, Austin, TX 78712 USA; [Mocker, Martin] Reutlingen Univ, Informat Syst, ESB Business Sch, Reutlingen, Germany"/>
    <s v="Massachusetts Institute of Technology (MIT); University of Texas System; University of Texas Austin"/>
    <s v="Sebastian, IM (corresponding author), MIT, Sloan Ctr Informat Syst Res, Cambridge, MA 02139 USA."/>
    <s v="isebasti@mit.edu; jross@mit.edu; cbeath@mail.utexas.edu; martin.mocker@reutlingen-university.de; nilsfonstad@mit.edu"/>
    <s v="Celestino, Leandro/HIR-4215-2022"/>
    <s v=""/>
    <s v=""/>
    <s v=""/>
    <s v=""/>
    <s v=""/>
    <n v="17"/>
    <n v="335"/>
    <n v="338"/>
    <n v="62"/>
    <n v="524"/>
    <s v="INDIANA UNIV, OPER &amp; DECISION TECHNOL DEPT"/>
    <s v="BLOOMINGTON"/>
    <s v="KELLEY SCH BUS, E 10 ST, BLOOMINGTON, IN 47405-1701 USA"/>
    <s v="1540-1960"/>
    <s v="1540-1979"/>
    <s v=""/>
    <s v="MIS Q EXEC"/>
    <s v="MIS Q. Exec."/>
    <s v="SEP"/>
    <n v="2017"/>
    <n v="16"/>
    <n v="3"/>
    <s v=""/>
    <s v=""/>
    <s v=""/>
    <s v=""/>
    <n v="197"/>
    <n v="213"/>
    <s v=""/>
    <s v=""/>
    <s v=""/>
    <s v=""/>
    <s v=""/>
    <n v="17"/>
    <s v="Information Science &amp; Library Science; Management"/>
    <x v="0"/>
    <s v="Information Science &amp; Library Science; Business &amp; Economics"/>
    <s v="FF6FR"/>
    <s v=""/>
    <s v=""/>
    <s v=""/>
    <s v=""/>
    <s v="2023-11-15"/>
    <x v="5"/>
    <s v="View Full Record in Web of Science"/>
  </r>
  <r>
    <s v="J"/>
    <s v="Helbig, N; Gil-García, JR; Ferro, E"/>
    <s v=""/>
    <s v=""/>
    <s v=""/>
    <s v="Helbig, Natalie; Gil-Garcia, J. Ramon; Ferro, Enrico"/>
    <s v=""/>
    <s v=""/>
    <s v="Understanding the complexity of electronic government: Implications from the digital divide literature"/>
    <s v="GOVERNMENT INFORMATION QUARTERLY"/>
    <s v=""/>
    <s v=""/>
    <s v="English"/>
    <x v="0"/>
    <s v=""/>
    <s v=""/>
    <s v=""/>
    <s v=""/>
    <s v=""/>
    <s v="Electronic government; Digital government; Digital divide; Public management; Inclusion policies; IT strategies; Theory development"/>
    <s v="TECHNOLOGY; INFORMATION; DEMOCRACY; EVOLUTION; BENEFITS; SERVICES; SYSTEMS; GENDER"/>
    <s v="Theoretically and practically E-Government and the digital divide are intertwined social phenomena. Using sophisticated information technologies (IT) in government has little social value if citizens are not able to use services or interact in political processes in meaningful ways. Similarly, understanding the development and use of IT in government without incorporating a demand perspective would potentially lead to partial explanations of a complex social reality. This article argues that studies about E-Government and the digital divide, which have been relatively disconnected research areas, have important parallels and potential intersections. These parallels may be useful in understanding E-Government projects and policies in a more comprehensive way and, consequently, for developing effective digital strategies. The paper reviews trajectories in E-Government and digital divide research and suggests potential implications drawn from the digital divide literature for E-Government research and practice, including model and theory development, understanding users, and some determinants of demand. (C) 2008 Published by Elsevier Inc."/>
    <s v="[Helbig, Natalie] SUNY Albany, Rockefeller Coll Publ Affairs &amp; Policy, Albany, NY 12222 USA; [Gil-Garcia, J. Ramon] Ctr Invest &amp; Docencia Econ, Dept Publ Adm, Mexico City, DF, Mexico; [Gil-Garcia, J. Ramon] CIDE, Data Ctr Appl Res Social Sci, Mexico City, DF, Mexico"/>
    <s v="State University of New York (SUNY) System; State University of New York (SUNY) Albany; Centro de Investigacion y Docencia Economicas A.C. (CIDE); Centro de Investigacion y Docencia Economicas A.C. (CIDE)"/>
    <s v="Helbig, N (corresponding author), SUNY Albany, Rockefeller Coll Publ Affairs &amp; Policy, Albany, NY 12222 USA."/>
    <s v="nh6739@albany.edu; joseramon.gil@cide.edu; ferro@ismb.it"/>
    <s v="Gil-Garcia, J. Ramon/A-9636-2009"/>
    <s v="Gil-Garcia, J. Ramon/0000-0002-1033-4974; Ferro, Enrico/0000-0002-4853-0444"/>
    <s v=""/>
    <s v=""/>
    <s v=""/>
    <s v=""/>
    <n v="80"/>
    <n v="241"/>
    <n v="247"/>
    <n v="19"/>
    <n v="205"/>
    <s v="ELSEVIER INC"/>
    <s v="SAN DIEGO"/>
    <s v="525 B STREET, STE 1900, SAN DIEGO, CA 92101-4495 USA"/>
    <s v="0740-624X"/>
    <s v="1872-9517"/>
    <s v=""/>
    <s v="GOV INFORM Q"/>
    <s v="Gov. Inf. Q."/>
    <s v="JAN"/>
    <n v="2009"/>
    <n v="26"/>
    <n v="1"/>
    <s v=""/>
    <s v=""/>
    <s v="SI"/>
    <s v=""/>
    <n v="89"/>
    <n v="97"/>
    <s v=""/>
    <s v="10.1016/j.giq.2008.05.004"/>
    <s v="http://dx.doi.org/10.1016/j.giq.2008.05.004"/>
    <s v=""/>
    <s v=""/>
    <n v="9"/>
    <s v="Information Science &amp; Library Science"/>
    <x v="0"/>
    <s v="Information Science &amp; Library Science"/>
    <s v="388OZ"/>
    <s v=""/>
    <s v="Green Submitted"/>
    <s v=""/>
    <s v=""/>
    <s v="2023-11-15"/>
    <x v="6"/>
    <s v="View Full Record in Web of Science"/>
  </r>
  <r>
    <s v="J"/>
    <s v="Yeow, A; Soh, C; Hansen, R"/>
    <s v=""/>
    <s v=""/>
    <s v=""/>
    <s v="Yeow, Adrian; Soh, Christina; Hansen, Rina"/>
    <s v=""/>
    <s v=""/>
    <s v="Aligning with new digital strategy: A dynamic capabilities approach"/>
    <s v="JOURNAL OF STRATEGIC INFORMATION SYSTEMS"/>
    <s v=""/>
    <s v=""/>
    <s v="English"/>
    <x v="0"/>
    <s v=""/>
    <s v=""/>
    <s v=""/>
    <s v=""/>
    <s v=""/>
    <s v="Aligning; Dynamic capabilities; Digital strategy; Tension; B2C ecommerce; IT Alignment"/>
    <s v="BUSINESS STRATEGY; INFORMATION-TECHNOLOGY; EQUILIBRIUM-MODEL; ALIGNMENT; PERFORMANCE; SYSTEMS; PERSPECTIVE; MANAGEMENT; INSIGHTS; PARADOX"/>
    <s v="Prior IS research has not fully addressed the aligning process in the highly dynamic context of digital strategy. To address this gap, we conduct a longitudinal analysis of a B2B company's journey to enact its B2C digital strategy, using the dynamic capabilities approach. We found that as an organization shifts towards a digital strategy, misalignments between the emergent strategy and resources give rise to tension. Our study resulted in the development of an aligning process model that is comprised of three phases (exploratory, building, and extending) and generalizable organizational aligning actions that form the organization's sensing, seizing, and transforming capacities. These aligning actions iteratively reconfigured organizational resources and refined strategy in order to respond to both changes in the environment and internal tensions. We also recognized that there are challenges to alignment, and conceptualized them as paradoxical tensions. This provided insights as to how such tensions are triggered and how they can be addressed. Finally, by applying the dynamic capabilities approach to aligning, we also show that alignment is not separate from such capabilities, but that aligning is enacted through the sensing, seizing and transforming capacities and their attendant aligning actions."/>
    <s v="[Yeow, Adrian] Singapore Univ Social Sci, Sch Business, 461 Clementi Rd, Singapore 599491, Singapore; [Soh, Christina] Nanyang Technol Univ, Nanyang Business Sch, Div Informat Technol &amp; Operat Management, 50 Nanyang Ave, Singapore 639798, Singapore; [Hansen, Rina] Copenhagen Business Sch, Dept Digitalizat, Howitzvej 60,3, DK-2000 Frederiksberg, Denmark"/>
    <s v="Singapore University of Social Sciences (SUSS); Nanyang Technological University &amp; National Institute of Education (NIE) Singapore; Nanyang Technological University; Copenhagen Business School"/>
    <s v="Yeow, A (corresponding author), Singapore Univ Social Sci, Sch Business, 461 Clementi Rd, Singapore 599491, Singapore."/>
    <s v="adrianyeowyk@suss.edu.sg; acsoh@ntu.edu.sg; rinahansen@hotmail.com"/>
    <s v="Yeow, Adrian/J-7274-2019"/>
    <s v="Yeow, Adrian/0000-0003-1355-8540"/>
    <s v=""/>
    <s v=""/>
    <s v=""/>
    <s v=""/>
    <n v="71"/>
    <n v="238"/>
    <n v="244"/>
    <n v="56"/>
    <n v="401"/>
    <s v="ELSEVIER"/>
    <s v="AMSTERDAM"/>
    <s v="RADARWEG 29, 1043 NX AMSTERDAM, NETHERLANDS"/>
    <s v="0963-8687"/>
    <s v="1873-1198"/>
    <s v=""/>
    <s v="J STRATEGIC INF SYST"/>
    <s v="J. Strateg. Inf. Syst."/>
    <s v="MAR"/>
    <n v="2018"/>
    <n v="27"/>
    <n v="1"/>
    <s v=""/>
    <s v=""/>
    <s v=""/>
    <s v=""/>
    <n v="43"/>
    <n v="58"/>
    <s v=""/>
    <s v="10.1016/j.jsis.2017.09.001"/>
    <s v="http://dx.doi.org/10.1016/j.jsis.2017.09.001"/>
    <s v=""/>
    <s v=""/>
    <n v="16"/>
    <s v="Computer Science, Information Systems; Information Science &amp; Library Science; Management"/>
    <x v="1"/>
    <s v="Computer Science; Information Science &amp; Library Science; Business &amp; Economics"/>
    <s v="GD5AV"/>
    <s v=""/>
    <s v=""/>
    <s v=""/>
    <s v=""/>
    <s v="2023-11-15"/>
    <x v="7"/>
    <s v="View Full Record in Web of Science"/>
  </r>
  <r>
    <s v="J"/>
    <s v="Perboli, G; Musso, S; Rosano, M"/>
    <s v=""/>
    <s v=""/>
    <s v=""/>
    <s v="Perboli, Guido; Musso, Stefano; Rosano, Mariangela"/>
    <s v=""/>
    <s v=""/>
    <s v="Blockchain in Logistics and Supply Chain: A Lean Approach for Designing Real-World Use Cases"/>
    <s v="IEEE ACCESS"/>
    <s v=""/>
    <s v=""/>
    <s v="English"/>
    <x v="0"/>
    <s v=""/>
    <s v=""/>
    <s v=""/>
    <s v=""/>
    <s v=""/>
    <s v="Blockchain; hyperledger; supply chain"/>
    <s v=""/>
    <s v="The Blockchain technology can be defined as a distributed ledger database for recording transactions between parties verifiably and permanently. Blockchain emerged as a leading technology layer for financial applications. Nevertheless, in the past years, the attention of researchers and practitioners moved to the application of the Blockchain technologies to other domains. Recently, it represents the backbone of a new digital supply chain. Thanks to its capability of ensuring data immutability and public accessibility of data streams, Blockchain can increase the efficiency, reliability, and transparency of the overall supply chain, and optimize the inbound processes. The literature concerning Blockchain in non-financial applications mainly focused on the technological part and the Business Process Modeling, lacking in terms of standard methodology for designing a strategy to develop and validate the overall Blockchain solution and integrate it in the Business Strategy. Thus, this paper aims to overcome this lack. First, we integrate the current literature filling the lack concerning the digital strategy, creating a standard methodology to design Blockchain technology use cases, which are not related to finance applications. Second, we present the results of a use case in the fresh food delivery, showing the critical aspects of implementing a Blockchain solution. Moreover, the paper discusses how the Blockchain will help in reducing the logistics costs and in optimizing the operations and the research challenges."/>
    <s v="[Perboli, Guido; Musso, Stefano; Rosano, Mariangela] Politecn Torino, DAUIN, I-10129 Turin, Italy; [Perboli, Guido; Musso, Stefano; Rosano, Mariangela] Politecn Torino, ICT City Logist &amp; Enterprises Ctr, I-10129 Turin, Italy; [Perboli, Guido] Ctr Interuniv Rech Reseaux Entreprise Logist &amp; Tr, Montreal, PQ H3T 1J4, Canada"/>
    <s v="Polytechnic University of Turin; Polytechnic University of Turin; Universite de Montreal"/>
    <s v="Rosano, M (corresponding author), Politecn Torino, DAUIN, I-10129 Turin, Italy.;Rosano, M (corresponding author), Politecn Torino, ICT City Logist &amp; Enterprises Ctr, I-10129 Turin, Italy."/>
    <s v="mariangela.rosano@polito.it"/>
    <s v="Musso, Stefano/AAW-5765-2021; Perboli, Guido/G-1049-2014; ROSANO, MARIANGELA/AAV-7150-2021"/>
    <s v="Perboli, Guido/0000-0001-6900-9917; ROSANO, MARIANGELA/0000-0002-6879-827X"/>
    <s v=""/>
    <s v=""/>
    <s v=""/>
    <s v=""/>
    <n v="38"/>
    <n v="235"/>
    <n v="238"/>
    <n v="18"/>
    <n v="249"/>
    <s v="IEEE-INST ELECTRICAL ELECTRONICS ENGINEERS INC"/>
    <s v="PISCATAWAY"/>
    <s v="445 HOES LANE, PISCATAWAY, NJ 08855-4141 USA"/>
    <s v="2169-3536"/>
    <s v=""/>
    <s v=""/>
    <s v="IEEE ACCESS"/>
    <s v="IEEE Access"/>
    <s v=""/>
    <n v="2018"/>
    <n v="6"/>
    <s v=""/>
    <s v=""/>
    <s v=""/>
    <s v=""/>
    <s v=""/>
    <n v="62018"/>
    <n v="62028"/>
    <s v=""/>
    <s v="10.1109/ACCESS.2018.2875782"/>
    <s v="http://dx.doi.org/10.1109/ACCESS.2018.2875782"/>
    <s v=""/>
    <s v=""/>
    <n v="11"/>
    <s v="Computer Science, Information Systems; Engineering, Electrical &amp; Electronic; Telecommunications"/>
    <x v="2"/>
    <s v="Computer Science; Engineering; Telecommunications"/>
    <s v="HA6DM"/>
    <s v=""/>
    <s v="Green Submitted, gold"/>
    <s v=""/>
    <s v=""/>
    <s v="2023-11-15"/>
    <x v="8"/>
    <s v="View Full Record in Web of Science"/>
  </r>
  <r>
    <s v="J"/>
    <s v="Bossetta, M"/>
    <s v=""/>
    <s v=""/>
    <s v=""/>
    <s v="Bossetta, Michael"/>
    <s v=""/>
    <s v=""/>
    <s v="The Digital Architectures of Social Media: Comparing Political Campaigning on Facebook, Twitter, Instagram, and Snapchat in the 2016 US Election"/>
    <s v="JOURNALISM &amp; MASS COMMUNICATION QUARTERLY"/>
    <s v=""/>
    <s v=""/>
    <s v="English"/>
    <x v="0"/>
    <s v=""/>
    <s v=""/>
    <s v=""/>
    <s v=""/>
    <s v=""/>
    <s v="political communication; affordances; primaries; digital marketing"/>
    <s v="AFFORDANCES; ONLINE; COMMUNICATION; DELIBERATION; POWER"/>
    <s v="The present study argues that political communication on social media is mediated by a platform's digital architecturethe technical protocols that enable, constrain, and shape user behavior in a virtual space. A framework for understanding digital architectures is introduced, and four platforms (Facebook, Twitter, Instagram, and Snapchat) are compared along the typology. Using the 2016 U.S. election as a case, interviews with three Republican digital strategists are combined with social media data to qualify the study's theoretical claim that a platform's network structure, functionality, algorithmic filtering, and datafication model affect political campaign strategy on social media."/>
    <s v="[Bossetta, Michael] Univ Copenhagen, Ctr European Polit, Dept Polit Sci, Copenhagen, Denmark"/>
    <s v="University of Copenhagen"/>
    <s v="Bossetta, M (corresponding author), Univ Copenhagen, Dept Polit Sci, Oster Farimagsgade 5, DK-1353 Copenhagen K, Denmark."/>
    <s v="mjb@ifs.ku.dk"/>
    <s v="Bossetta, Michael/AAC-6991-2021; 黄, 荣 昌/HGA-6762-2022"/>
    <s v="Bossetta, Michael/0000-0002-8611-5487;"/>
    <s v=""/>
    <s v=""/>
    <s v=""/>
    <s v=""/>
    <n v="63"/>
    <n v="213"/>
    <n v="220"/>
    <n v="23"/>
    <n v="174"/>
    <s v="SAGE PUBLICATIONS INC"/>
    <s v="THOUSAND OAKS"/>
    <s v="2455 TELLER RD, THOUSAND OAKS, CA 91320 USA"/>
    <s v="1077-6990"/>
    <s v="2161-430X"/>
    <s v=""/>
    <s v="J MASS COMMUN Q"/>
    <s v="Journal. Mass Commun. Q."/>
    <s v="JUN"/>
    <n v="2018"/>
    <n v="95"/>
    <n v="2"/>
    <s v=""/>
    <s v=""/>
    <s v=""/>
    <s v=""/>
    <n v="471"/>
    <n v="496"/>
    <s v=""/>
    <s v="10.1177/1077699018763307"/>
    <s v="http://dx.doi.org/10.1177/1077699018763307"/>
    <s v=""/>
    <s v=""/>
    <n v="26"/>
    <s v="Communication"/>
    <x v="0"/>
    <s v="Communication"/>
    <s v="GH9YN"/>
    <s v=""/>
    <s v="hybrid, Green Submitted, Green Published"/>
    <s v=""/>
    <s v=""/>
    <s v="2023-11-15"/>
    <x v="9"/>
    <s v="View Full Record in Web of Science"/>
  </r>
  <r>
    <s v="J"/>
    <s v="Chanias, S; Myers, MD; Hess, T"/>
    <s v=""/>
    <s v=""/>
    <s v=""/>
    <s v="Chanias, Simon; Myers, Michael D.; Hess, Thomas"/>
    <s v=""/>
    <s v=""/>
    <s v="Digital transformation strategy making in pre-digital organizations: The case of a financial services provider"/>
    <s v="JOURNAL OF STRATEGIC INFORMATION SYSTEMS"/>
    <s v=""/>
    <s v=""/>
    <s v="English"/>
    <x v="0"/>
    <s v=""/>
    <s v=""/>
    <s v=""/>
    <s v=""/>
    <s v=""/>
    <s v="Digital transformation strategy; IS strategizing; Interpretive case study; Financial services"/>
    <s v="INFORMATION-SYSTEMS STRATEGY; AS-PRACTICE; IMPLEMENTATION; TECHNOLOGY; CAPABILITIES; ETHNOGRAPHY; INNOVATION; CONTEXT; FIELD; VIEW"/>
    <s v="The formulation and implementation of a digital transformation strategy (DTS) has become a key concern for many pre-digital organizations across traditional industries, but how such a strategy can be developed remains an open question. We used interpretive in-depth case study research to study how a European financial services provider has formulated and implemented a DTS. By focusing on the underlying processes and strategizing activities, we show that digital strategy making not only represents a break with the conventions of upfront strategic information systems (IS) planning, but reveals a new extreme of emergent strategy making. Specifically, we conclude that a DTS is continuously in the making, with no foreseeable end. By building on theory from IS strategizing and strategy-as-practice literature, we theorize an integrated process/activity model that characterizes DTS formulation and implementation in pre-digital organizations. Our model shows that the crafting of a DTS is a highly dynamic process involving iterating between learning and doing."/>
    <s v="[Chanias, Simon; Hess, Thomas] Ludwig Maximilians Univ Munchen, Inst Informat Syst &amp; New Media, Ludwigstr 28, D-80539 Munich, Germany; [Myers, Michael D.] Univ Auckland, Business Sch, Dept Informat Syst &amp; Operat Management, Auckland 1010, New Zealand"/>
    <s v="University of Munich; University of Auckland"/>
    <s v="Myers, MD (corresponding author), Univ Auckland, Business Sch, Dept Informat Syst &amp; Operat Management, Auckland 1010, New Zealand."/>
    <s v="chanias@bwl.lmu.de; m.myers@auckland.ac.nz; thess@bwl.lmu.de"/>
    <s v="Hess, Thomas K/A-1774-2016; Myers, Michael David/F-9405-2010"/>
    <s v="Myers, Michael David/0000-0001-8525-6395; Hess, Thomas/0000-0003-3969-7477"/>
    <s v=""/>
    <s v=""/>
    <s v=""/>
    <s v=""/>
    <n v="73"/>
    <n v="209"/>
    <n v="220"/>
    <n v="64"/>
    <n v="501"/>
    <s v="ELSEVIER"/>
    <s v="AMSTERDAM"/>
    <s v="RADARWEG 29, 1043 NX AMSTERDAM, NETHERLANDS"/>
    <s v="0963-8687"/>
    <s v="1873-1198"/>
    <s v=""/>
    <s v="J STRATEGIC INF SYST"/>
    <s v="J. Strateg. Inf. Syst."/>
    <s v="MAR"/>
    <n v="2019"/>
    <n v="28"/>
    <n v="1"/>
    <s v=""/>
    <s v=""/>
    <s v=""/>
    <s v=""/>
    <n v="17"/>
    <n v="33"/>
    <s v=""/>
    <s v="10.1016/j.jsis.2018.11.003"/>
    <s v="http://dx.doi.org/10.1016/j.jsis.2018.11.003"/>
    <s v=""/>
    <s v=""/>
    <n v="17"/>
    <s v="Computer Science, Information Systems; Information Science &amp; Library Science; Management"/>
    <x v="1"/>
    <s v="Computer Science; Information Science &amp; Library Science; Business &amp; Economics"/>
    <s v="HR6ZV"/>
    <s v=""/>
    <s v=""/>
    <s v=""/>
    <s v=""/>
    <s v="2023-11-15"/>
    <x v="10"/>
    <s v="View Full Record in Web of Science"/>
  </r>
  <r>
    <s v="J"/>
    <s v="Mithas, S; Tafti, A; Mitchell, W"/>
    <s v=""/>
    <s v=""/>
    <s v=""/>
    <s v="Mithas, Sunil; Tafti, Ali; Mitchell, Will"/>
    <s v=""/>
    <s v=""/>
    <s v="HOW A FIRM'S COMPETITIVE ENVIRONMENT AND DIGITAL STRATEGIC POSTURE INFLUENCE DIGITAL BUSINESS STRATEGY"/>
    <s v="MIS QUARTERLY"/>
    <s v=""/>
    <s v=""/>
    <s v="English"/>
    <x v="0"/>
    <s v=""/>
    <s v=""/>
    <s v=""/>
    <s v=""/>
    <s v=""/>
    <s v="Digital business strategy; strategic posture; industry environment; industry turbulence; industry competition; industry growth; IT investments; IT strategy"/>
    <s v="INFORMATION-TECHNOLOGY; MARKET VALUE; INDUSTRY CONCENTRATION; PERFORMANCE; PRODUCTIVITY; CAPABILITIES; MUNIFICENCE; INVESTMENT; ORGANIZATIONS; UNCERTAINTY"/>
    <s v="In this paper, we examine how the competitive industry environment shapes the way that digital strategic posture (defined as a focal firm's degree of engagement in a particular class of digital business practices relative to the industry norm) influences firms' realized digital business strategy. We focus on two forms of digital strategy: general IT investment and IT outsourcing investment. Drawing from prior literature on determinants of IT activity and competitive dynamics, we argue that three elements of the industry environment determine whether digital strategic posture has an increasingly convergent or divergent influence on digital business strategy. By divergent influence, we mean an influence that leads to spending substantially more or less on a particular strategic activity than industry norms. We predict that a digital strategic posture (difference from the industry mean) has an increasingly divergent effect on digital business strategy under higher industry turbulence, while having an increasingly convergent effect on digital business strategy under higher industry concentration and higher industry growth. The study uses archival data for 400 U.S.-based firms from 1999 to 2006. Our findings imply that digital business strategy is not solely a matter of optimizing firm operations internally or of responding to one or two focal competitors, but also arises strikingly from awareness and responsiveness to the digital business competitive environment. Collectively, the findings provide insights on how strategic posture and industry environment influence firms' digital business strategy."/>
    <s v="[Mithas, Sunil] Univ Maryland, Robert H Smith Sch Business, College Pk, MD 20742 USA; [Tafti, Ali] Univ Illinois, Coll Business, Champaign, IL 61820 USA; [Mitchell, Will] Univ Toronto, Rotman Sch Management, Toronto, ON, Canada; [Mitchell, Will] Duke Univ, Durham, NC 27708 USA"/>
    <s v="University System of Maryland; University of Maryland College Park; University of Illinois System; University of Illinois Urbana-Champaign; University of Toronto; Duke University"/>
    <s v="Mithas, S (corresponding author), Univ Maryland, Robert H Smith Sch Business, Van Munching Hall, College Pk, MD 20742 USA."/>
    <s v="smithas@rhsmith.umd.edu; atafti@illinois.edu; william.mitchell@rotman.utoronto.ca"/>
    <s v="N'Dri, Amoin Bernadine/IWD-7811-2023"/>
    <s v="Mithas, Sunil/0000-0002-2182-6202"/>
    <s v=""/>
    <s v=""/>
    <s v=""/>
    <s v=""/>
    <n v="99"/>
    <n v="197"/>
    <n v="199"/>
    <n v="41"/>
    <n v="371"/>
    <s v="SOC INFORM MANAGE-MIS RES CENT"/>
    <s v="MINNEAPOLIS"/>
    <s v="UNIV MINNESOTA-SCH MANAGEMENT 271 19TH AVE SOUTH, MINNEAPOLIS, MN 55455 USA"/>
    <s v="0276-7783"/>
    <s v=""/>
    <s v=""/>
    <s v="MIS QUART"/>
    <s v="MIS Q."/>
    <s v="JUN"/>
    <n v="2013"/>
    <n v="37"/>
    <n v="2"/>
    <s v=""/>
    <s v=""/>
    <s v=""/>
    <s v=""/>
    <n v="511"/>
    <n v="536"/>
    <s v=""/>
    <s v="10.25300/MISQ/2013/37.2.09"/>
    <s v="http://dx.doi.org/10.25300/MISQ/2013/37.2.09"/>
    <s v=""/>
    <s v=""/>
    <n v="26"/>
    <s v="Computer Science, Information Systems; Information Science &amp; Library Science; Management"/>
    <x v="1"/>
    <s v="Computer Science; Information Science &amp; Library Science; Business &amp; Economics"/>
    <s v="290KI"/>
    <s v=""/>
    <s v=""/>
    <s v=""/>
    <s v=""/>
    <s v="2023-11-15"/>
    <x v="11"/>
    <s v="View Full Record in Web of Science"/>
  </r>
  <r>
    <s v="J"/>
    <s v="Correani, A; De Massis, A; Frattini, F; Petruzzelli, AM; Natalicchio, A"/>
    <s v=""/>
    <s v=""/>
    <s v=""/>
    <s v="Correani, Alessia; De Massis, Alfredo; Frattini, Federico; Petruzzelli, Antonio Messeni; Natalicchio, Angelo"/>
    <s v=""/>
    <s v=""/>
    <s v="Implementing a Digital Strategy: Learning from the Experience of Three Digital Transformation Projects"/>
    <s v="CALIFORNIA MANAGEMENT REVIEW"/>
    <s v=""/>
    <s v=""/>
    <s v="English"/>
    <x v="0"/>
    <s v=""/>
    <s v=""/>
    <s v=""/>
    <s v=""/>
    <s v=""/>
    <s v="digital transformation; digital strategy; strategy implementation"/>
    <s v="BUSINESS MODEL; FUTURE; ORGANIZATION; PERSPECTIVE; TECHNOLOGY; INNOVATION; RESOURCES; INDUSTRY"/>
    <s v="The rapid growth of digital technologies and the extraordinary amount of data that devices and applications collect each day are increasingly driving companies to radically transform the business architecture through which they create and appropriate value. However, companies may fail to extract value from digital transformation due to the disconnection between strategy formulation and strategy implementation. Through the analysis of three case studies of firms that digitally transformed their business - namely ABB, CNH Industrial, and Vodafone -, this article presents a framework than can help companies implement their digital transformation strategy and thereby renovate their business model."/>
    <s v="[Correani, Alessia] Microsoft Italy, Milan, Italy; [De Massis, Alfredo] Free Univ Bozen Bolzano, Bolzano, Italy; [De Massis, Alfredo] Univ Lancaster, Lancaster, England; [De Massis, Alfredo] Zhejiang Univ, Hangzhou, Peoples R China; [Frattini, Federico] Politecn Milan, Milan, Italy; [Petruzzelli, Antonio Messeni; Natalicchio, Angelo] Politecn Bari, Bari, Italy"/>
    <s v="Free University of Bozen-Bolzano; Lancaster University; Zhejiang University; Polytechnic University of Milan; Politecnico di Bari"/>
    <s v="Correani, A (corresponding author), Microsoft Italy, Milan, Italy."/>
    <s v=""/>
    <s v=""/>
    <s v="FRATTINI, FEDERICO/0000-0001-5100-3605"/>
    <s v=""/>
    <s v=""/>
    <s v=""/>
    <s v=""/>
    <n v="60"/>
    <n v="171"/>
    <n v="172"/>
    <n v="143"/>
    <n v="737"/>
    <s v="SAGE PUBLICATIONS INC"/>
    <s v="THOUSAND OAKS"/>
    <s v="2455 TELLER RD, THOUSAND OAKS, CA 91320 USA"/>
    <s v="0008-1256"/>
    <s v="2162-8564"/>
    <s v=""/>
    <s v="CALIF MANAGE REV"/>
    <s v="Calif. Manage. Rev."/>
    <s v="AUG"/>
    <n v="2020"/>
    <n v="62"/>
    <n v="4"/>
    <s v=""/>
    <s v=""/>
    <s v="SI"/>
    <s v=""/>
    <n v="37"/>
    <n v="56"/>
    <n v="8125620934864"/>
    <s v="10.1177/0008125620934864"/>
    <s v="http://dx.doi.org/10.1177/0008125620934864"/>
    <s v=""/>
    <s v="JUL 2020"/>
    <n v="20"/>
    <s v="Business; Management"/>
    <x v="0"/>
    <s v="Business &amp; Economics"/>
    <s v="NC6IO"/>
    <s v=""/>
    <s v="Green Accepted"/>
    <s v=""/>
    <s v=""/>
    <s v="2023-11-15"/>
    <x v="12"/>
    <s v="View Full Record in Web of Science"/>
  </r>
  <r>
    <s v="J"/>
    <s v="Eller, R; Alford, P; Kallmünzer, A; Peters, M"/>
    <s v=""/>
    <s v=""/>
    <s v=""/>
    <s v="Eller, Robert; Alford, Philip; Kallmunzer, Andreas; Peters, Mike"/>
    <s v=""/>
    <s v=""/>
    <s v="Antecedents, consequences, and challenges of small and medium-sized enterprise digitalization"/>
    <s v="JOURNAL OF BUSINESS RESEARCH"/>
    <s v=""/>
    <s v=""/>
    <s v="English"/>
    <x v="0"/>
    <s v=""/>
    <s v=""/>
    <s v=""/>
    <s v=""/>
    <s v=""/>
    <s v="SME digitalization; Financial performance; Employee skill; Digital strategy; Resource-based view; Digital identity"/>
    <s v="FIRM PERFORMANCE; INFORMATION-TECHNOLOGY; COMPETITIVE ADVANTAGE; SOCIAL MEDIA; BUSINESS; CAPABILITIES; INNOVATION; TRANSFORMATION; STRATEGY; IDENTITY"/>
    <s v="Small and medium-sized enterprises (SMEs) lag behind larger firms when it comes to digitalization. This has negative impacts on firm performance. Despite the economic importance of SMEs, little is known about the antecedents, consequences, and challenges of SME digitalization. We have set three objectives to address this knowledge gap. Drawing on the resource-based view, we first investigate the impact of three main SME resources on digitalization: information technology, employee skills, and digital strategy. Second, we assess the impact digitalization has on financial performance. We then investigate whether digitalization mediates the effect of resources on performance. The results of a survey of 193 SMEs demonstrate how digitalization can impact SME performance, with the three resources positively relating to digitalization. And in turn, digitalization significantly relates to performance, mediating the effect of information technology on performance. It however does not mediate the effect of digital strategy or employee skills on performance."/>
    <s v="[Eller, Robert; Peters, Mike] Univ Innsbruck, Karl Rahner Pl 3, A-6020 Innsbruck, Austria; [Alford, Philip] Univ Southampton, Southampton Business Sch, Univ Rd, Southampton SO17 1BJ, Hants, England; [Kallmunzer, Andreas] La Rochelle Business Sch CERIIM, 102 Rue Coureilles, F-17000 La Rochelle, France"/>
    <s v="University of Innsbruck; University of Southampton; Solent University"/>
    <s v="Eller, R (corresponding author), Univ Innsbruck, Dept Strateg Management Mkt &amp; Tourism, Karl Rahner Pl 3, A-6020 Innsbruck, Austria."/>
    <s v="robert.eller@uibk.ac.at; p.r.alford@soton.ac.uk; kallmuenzera@excelia-group.com; mike.peters@uibk.ac.at"/>
    <s v="Eller, Robert/ABB-2966-2021; Kallmuenzer, Andreas/J-2880-2019; Peters, Mike/K-3253-2019"/>
    <s v="Eller, Robert/0000-0003-2601-5182; Kallmuenzer, Andreas/0000-0002-8808-1743; Alford, Philip/0000-0003-1415-3748"/>
    <s v=""/>
    <s v=""/>
    <s v=""/>
    <s v=""/>
    <n v="87"/>
    <n v="166"/>
    <n v="171"/>
    <n v="166"/>
    <n v="718"/>
    <s v="ELSEVIER SCIENCE INC"/>
    <s v="NEW YORK"/>
    <s v="STE 800, 230 PARK AVE, NEW YORK, NY 10169 USA"/>
    <s v="0148-2963"/>
    <s v="1873-7978"/>
    <s v=""/>
    <s v="J BUS RES"/>
    <s v="J. Bus. Res."/>
    <s v="MAY"/>
    <n v="2020"/>
    <n v="112"/>
    <s v=""/>
    <s v=""/>
    <s v=""/>
    <s v=""/>
    <s v=""/>
    <n v="119"/>
    <n v="127"/>
    <s v=""/>
    <s v="10.1016/j.jbusres.2020.03.004"/>
    <s v="http://dx.doi.org/10.1016/j.jbusres.2020.03.004"/>
    <s v=""/>
    <s v=""/>
    <n v="9"/>
    <s v="Business"/>
    <x v="0"/>
    <s v="Business &amp; Economics"/>
    <s v="LF4MG"/>
    <s v=""/>
    <s v="Green Accepted"/>
    <s v=""/>
    <s v=""/>
    <s v="2023-11-15"/>
    <x v="13"/>
    <s v="View Full Record in Web of Science"/>
  </r>
  <r>
    <s v="J"/>
    <s v="Kreiss, D; McGregor, SC"/>
    <s v=""/>
    <s v=""/>
    <s v=""/>
    <s v="Kreiss, Daniel; McGregor, Shannon C."/>
    <s v=""/>
    <s v=""/>
    <s v="Technology Firms Shape Political Communication: The Work of Microsoft, Facebook, Twitter, and Google With Campaigns During the 2016 US Presidential Cycle"/>
    <s v="POLITICAL COMMUNICATION"/>
    <s v=""/>
    <s v=""/>
    <s v="English"/>
    <x v="0"/>
    <s v=""/>
    <s v=""/>
    <s v=""/>
    <s v=""/>
    <s v=""/>
    <s v="Facebook; 2016 US Presidential Election; digital politics; political campaigning; social media"/>
    <s v=""/>
    <s v="This article offers the first analysis of the role that technology companies, specifically Facebook, Twitter, Microsoft, and Google, play in shaping the political communication of electoral campaigns in the United States. We offer an empirical analysis of the work technology firms do around electoral politics through interviews with staffers at these firms and digital and social media directors of 2016U.S. presidential primary and general election campaigns, in addition to field observations at the 2016 Democratic National Convention. We find that technology firms are motivated to work in the political space for marketing, advertising revenue, and relationship-building in the service of lobbying efforts. To facilitate this, these firms have developed organizational structures and staffing patterns that accord with the partisan nature of American politics. Furthermore, Facebook, Twitter, and Google go beyond promoting their services and facilitating digital advertising buys, actively shaping campaign communication through their close collaboration with political staffers. We show how representatives at these firms serve as quasi-digital consultants to campaigns, shaping digital strategy, content, and execution. Given this, we argue that political communication scholars need to consider social media firms as more active agents in political processes than previously appreciated in the literature."/>
    <s v="[Kreiss, Daniel] Univ N Carolina, Sch Media &amp; Journalism, Carroll Hall,CB 3365, Chapel Hill, NC 27599 USA; [McGregor, Shannon C.] Univ Utah, Dept Commun, 255 Cent Campus Dr 2400, Salt Lake City, UT 84112 USA"/>
    <s v="University of North Carolina; University of North Carolina Chapel Hill; Utah System of Higher Education; University of Utah"/>
    <s v="Kreiss, D (corresponding author), Univ N Carolina, Sch Media &amp; Journalism, Carroll Hall,CB 3365, Chapel Hill, NC 27599 USA."/>
    <s v="dkreiss@email.unc.edu; shannon.c.mgregor@gmail.com"/>
    <s v="黄, 荣 昌/HGA-6762-2022; McGregor, Shannon C/AAO-1718-2020"/>
    <s v="McGregor, Shannon/0000-0002-3275-0397"/>
    <s v="Social Media Collective at Microsoft Research"/>
    <s v="Social Media Collective at Microsoft Research(Microsoft)"/>
    <s v="The authors would like to thank Sarah Flowers, Laura Meadows, Cara Schumann, and Shannon Zenner for their invaluable field research at the 2016 Democratic National Convention. Shannon C. McGregor also wishes to thank the Social Media Collective at Microsoft Research for their support in the early stages of this project."/>
    <s v=""/>
    <n v="38"/>
    <n v="131"/>
    <n v="134"/>
    <n v="17"/>
    <n v="177"/>
    <s v="TAYLOR &amp; FRANCIS INC"/>
    <s v="PHILADELPHIA"/>
    <s v="530 WALNUT STREET, STE 850, PHILADELPHIA, PA 19106 USA"/>
    <s v="1058-4609"/>
    <s v="1091-7675"/>
    <s v=""/>
    <s v="POLIT COMMUN"/>
    <s v="Polit. Commun."/>
    <s v=""/>
    <n v="2018"/>
    <n v="35"/>
    <n v="2"/>
    <s v=""/>
    <s v=""/>
    <s v=""/>
    <s v=""/>
    <n v="155"/>
    <n v="177"/>
    <s v=""/>
    <s v="10.1080/10584609.2017.1364814"/>
    <s v="http://dx.doi.org/10.1080/10584609.2017.1364814"/>
    <s v=""/>
    <s v=""/>
    <n v="23"/>
    <s v="Communication; Political Science"/>
    <x v="0"/>
    <s v="Communication; Government &amp; Law"/>
    <s v="FZ9AO"/>
    <s v=""/>
    <s v=""/>
    <s v=""/>
    <s v=""/>
    <s v="2023-11-15"/>
    <x v="14"/>
    <s v="View Full Record in Web of Science"/>
  </r>
  <r>
    <s v="J"/>
    <s v="Barrett, M; Oborn, E; Orlikowski, W"/>
    <s v=""/>
    <s v=""/>
    <s v=""/>
    <s v="Barrett, Michael; Oborn, Eivor; Orlikowski, Wanda"/>
    <s v=""/>
    <s v=""/>
    <s v="Creating Value in Online Communities: The Sociomaterial Configuring of Strategy, Platform, and Stakeholder Engagement"/>
    <s v="INFORMATION SYSTEMS RESEARCH"/>
    <s v=""/>
    <s v=""/>
    <s v="English"/>
    <x v="0"/>
    <s v=""/>
    <s v=""/>
    <s v=""/>
    <s v=""/>
    <s v=""/>
    <s v="digital; online communities; health IT; value; computer-mediated communication and collaboration"/>
    <s v="SOCIAL MEDIA; KNOWLEDGE CONTRIBUTION; SERVICE INNOVATION; DOMINANT LOGIC; SOFTWARE; ORGANIZATIONS; CAPABILITIES; ARCHITECTURE; GOVERNANCE; COCREATION"/>
    <s v="How is value created in an online community (OC) over time? We explored this question through a longitudinal field study of an OC in the healthcare arena. We found that multiple kinds of value were produced and changed over time as different participants engaged with the OC and its evolving technology in various ways. To explain our findings, we theorize OC value as performed through the ongoing sociomaterial configuring of strategies, digital platforms, and stakeholder engagement. We develop a process perspective to explain these dynamics and identify multiple different kinds of value being created by an OC over time: financial, epistemic, ethical, service, reputational, and platform. Our research points to the importance of expanding the notion of OC users to encompass a broader understanding of stakeholders. It further suggests that creating OC value increasingly requires going beyond a dyadic relationship between the OC and the firm to encompassing a more complex relationship involving a wider ecosystem of stakeholders."/>
    <s v="[Barrett, Michael] Univ Cambridge, Judge Business Sch, Cambridge CB2 1AG, England; [Oborn, Eivor] Univ Warwick, Warwick Business Sch, Coventry CV4 7AL, W Midlands, England; [Orlikowski, Wanda] MIT, Sloan Sch Management, Cambridge, MA 02142 USA"/>
    <s v="University of Cambridge; University of Warwick; Massachusetts Institute of Technology (MIT)"/>
    <s v="Barrett, M (corresponding author), Univ Cambridge, Judge Business Sch, Cambridge CB2 1AG, England."/>
    <s v="m.barrett@jbs.cam.ac.uk; eivor.oborn@wbs.ac.uk; wanda@mit.edu"/>
    <s v="Munshi, Aviva/JDC-3827-2023"/>
    <s v=""/>
    <s v="National Institute for Health Research (NIHR) Collaborations for Leadership in Applied Health Research and Care (CLAHRC) West Midlands; NIHR Cambridge; Peterborough CLAHRC"/>
    <s v="National Institute for Health Research (NIHR) Collaborations for Leadership in Applied Health Research and Care (CLAHRC) West Midlands(National Institutes of Health Research (NIHR)); NIHR Cambridge; Peterborough CLAHRC"/>
    <s v="The authors thank the members of SocialHealth, who kindly gave access and participated in this study. The authors are also grateful for the valuable guidance provided by the special issue editors, associate editor, and reviewers during the revision process. E. Oborn is supported by the National Institute for Health Research (NIHR) Collaborations for Leadership in Applied Health Research and Care (CLAHRC) West Midlands. This work was also supported in part by the NIHR Cambridge and Peterborough CLAHRC. This paper presents independent research, and the views expressed are those of the authors and not necessarily those of the National Health Service, the NIHR, or the Department of Health."/>
    <s v=""/>
    <n v="79"/>
    <n v="117"/>
    <n v="117"/>
    <n v="25"/>
    <n v="393"/>
    <s v="INFORMS"/>
    <s v="CATONSVILLE"/>
    <s v="5521 RESEARCH PARK DR, SUITE 200, CATONSVILLE, MD 21228 USA"/>
    <s v="1047-7047"/>
    <s v="1526-5536"/>
    <s v=""/>
    <s v="INFORM SYST RES"/>
    <s v="Inf. Syst. Res."/>
    <s v="DEC"/>
    <n v="2016"/>
    <n v="27"/>
    <n v="4"/>
    <s v=""/>
    <s v=""/>
    <s v=""/>
    <s v=""/>
    <n v="704"/>
    <n v="723"/>
    <s v=""/>
    <s v="10.1287/isre.2016.0648"/>
    <s v="http://dx.doi.org/10.1287/isre.2016.0648"/>
    <s v=""/>
    <s v=""/>
    <n v="20"/>
    <s v="Information Science &amp; Library Science; Management"/>
    <x v="0"/>
    <s v="Information Science &amp; Library Science; Business &amp; Economics"/>
    <s v="EG4LI"/>
    <s v=""/>
    <s v="Green Submitted, Green Published"/>
    <s v=""/>
    <s v=""/>
    <s v="2023-11-15"/>
    <x v="15"/>
    <s v="View Full Record in Web of Science"/>
  </r>
  <r>
    <s v="J"/>
    <s v="Bucci, S; Barrowclough, C; Ainsworth, J; Machin, M; Morris, R; Berry, K; Emsley, R; Lewis, S; Edge, D; Buchan, I; Haddock, G"/>
    <s v=""/>
    <s v=""/>
    <s v=""/>
    <s v="Bucci, Sandra; Barrowclough, Christine; Ainsworth, John; Machin, Matthew; Morris, Rohan; Berry, Katherine; Emsley, Richard; Lewis, Shon; Edge, Dawn; Buchan, Iain; Haddock, Gillian"/>
    <s v=""/>
    <s v=""/>
    <s v="Actissist: Proof-of-Concept Trial of a Theory-Driven Digital Intervention for Psychosis"/>
    <s v="SCHIZOPHRENIA BULLETIN"/>
    <s v=""/>
    <s v=""/>
    <s v="English"/>
    <x v="0"/>
    <s v=""/>
    <s v=""/>
    <s v=""/>
    <s v=""/>
    <s v=""/>
    <s v="psychosis; relapse; mHealth; digital intervention; randomized controlled trial; early psychosis"/>
    <s v="MENTAL-HEALTH INTERVENTIONS; MEDICATION ADHERENCE; EXPRESSED EMOTION; RATING-SCALE; METAANALYSIS; PEOPLE; RELIABILITY; SYMPTOMS; VALIDITY; THERAPY"/>
    <s v="Background: Timely access to intervention for psychosis is crucial yet problematic. As such, health care providers are forming digital strategies for addressing mental health challenges. A theory-driven digital intervention that monitors distressing experiences and provides real-time active management strategies could improve the speed and quality of recovery in psychosis, over and above conventional treatments. This study assesses the feasibility and acceptability of Actissist, a digital health intervention grounded in the cognitive model of psychosis that targets key early psychosis domains. Methods: A proof-of-concept, single, blind, randomized controlled trial of Actissist, compared to a symptom-monitoring control. Thirty-six early psychosis patients were randomized on a 2: 1 ratio to each arm of the trial. Actissist was delivered via a smartphone app over 12-weeks; clinical and functional assessment time-points were baseline, post-treatment and 22-weeks. Assessors' blind to treatment condition conducted the assessments. Acceptability was examined using qualitative methods. Results: Actissist was feasible (75% participants used Actissist at least once/day; uptake was high, 97% participants remained in the trial; high follow-up rates), acceptable (90% participants recommend Actissist), and safe (0 serious adverse events), with high levels of user satisfaction. Treatment effects were large on negative symptoms, general psychotic symptoms and mood. The addition of Actissist conferred benefit at post-treatment assessment over routine symptom-monitoring and treatment as usual. Conclusions: This is the first controlled proof-of-concept trial of a theory-driven digital health intervention for early psychosis. Actissist is feasible and acceptable to early psychosis patients, with a strong signal for treatment efficacy. Trial Registration: ISRCTN: 34966555."/>
    <s v="[Bucci, Sandra; Barrowclough, Christine; Morris, Rohan; Berry, Katherine; Lewis, Shon; Edge, Dawn; Haddock, Gillian] Univ Manchester, Manchester Acad Hlth Sci Ctr, Sch Hlth Sci, Div Psychol &amp; Mental Hlth, Manchester, Lancs, England; [Ainsworth, John; Machin, Matthew] Univ Manchester, Div Informat Imaging &amp; Data Sci, Manchester, Lancs, England; [Ainsworth, John; Machin, Matthew] Univ Manchester, Farr Inst Hlth Informat Res, Hlth eRes Ctr, Manchester, Lancs, England; [Emsley, Richard] Univ Manchester, Div Populat Hlth, Hlth Serv Res &amp; Primary Care, Manchester, Lancs, England; [Buchan, Iain] Microsoft Res, Cambridge, England"/>
    <s v="University of Manchester; University of Manchester; University of Manchester; University of Manchester; Microsoft"/>
    <s v="Bucci, S (corresponding author), Univ Manchester, Div Psychol &amp; Mental Hlth, 2nd Floor,Zochonis Bldg,Brunswick St, Manchester M13 9PL, Lancs, England."/>
    <s v="sandra.bucci@manchester.ac.uk"/>
    <s v="Morris, Rohan/AAA-7914-2019; Buchan, Iain E/H-5767-2013; Emsley, Richard/N-1342-2016"/>
    <s v="Buchan, Iain E/0000-0003-3392-1650; Emsley, Richard/0000-0002-1218-675X; Lewis, Shon/0000-0003-1861-4652; Ainsworth, John/0000-0002-2187-9195; Haddock, Professor Gillian/0000-0001-6234-5774; berry, katherine/0000-0002-7399-5462; Machin, Matthew/0000-0001-6600-9508"/>
    <s v="Medical Research Council Developmental Pathway Funding Scheme [MR/L005301/1]; University of Manchester; Greater Manchester Mental Health NHS Foundation Trust; Medical Research Council [MR/L005301/1] Funding Source: researchfish; MRC [MR/L005301/1, MR/P026664/1] Funding Source: UKRI"/>
    <s v="Medical Research Council Developmental Pathway Funding Scheme(UK Research &amp; Innovation (UKRI)Medical Research Council UK (MRC)); University of Manchester; Greater Manchester Mental Health NHS Foundation Trust; Medical Research Council(UK Research &amp; Innovation (UKRI)Medical Research Council UK (MRC)); MRC(UK Research &amp; Innovation (UKRI)Medical Research Council UK (MRC))"/>
    <s v="The work was supported by the Medical Research Council Developmental Pathway Funding Scheme (grant number MR/L005301/1) and was supported by the University of Manchester and Greater Manchester Mental Health NHS Foundation Trust."/>
    <s v=""/>
    <n v="43"/>
    <n v="96"/>
    <n v="96"/>
    <n v="0"/>
    <n v="12"/>
    <s v="OXFORD UNIV PRESS"/>
    <s v="OXFORD"/>
    <s v="GREAT CLARENDON ST, OXFORD OX2 6DP, ENGLAND"/>
    <s v="0586-7614"/>
    <s v="1745-1701"/>
    <s v=""/>
    <s v="SCHIZOPHRENIA BULL"/>
    <s v="Schizophr. Bull."/>
    <s v="SEP"/>
    <n v="2018"/>
    <n v="44"/>
    <n v="5"/>
    <s v=""/>
    <s v=""/>
    <s v=""/>
    <s v=""/>
    <n v="1070"/>
    <n v="1080"/>
    <s v=""/>
    <s v="10.1093/schbul/sby032"/>
    <s v="http://dx.doi.org/10.1093/schbul/sby032"/>
    <s v=""/>
    <s v=""/>
    <n v="11"/>
    <s v="Psychiatry"/>
    <x v="1"/>
    <s v="Psychiatry"/>
    <s v="GR8TN"/>
    <n v="29566206"/>
    <s v="Green Published, hybrid"/>
    <s v=""/>
    <s v=""/>
    <s v="2023-11-15"/>
    <x v="16"/>
    <s v="View Full Record in Web of Science"/>
  </r>
  <r>
    <s v="J"/>
    <s v="Adner, R; Puranam, P; Zhu, F"/>
    <s v=""/>
    <s v=""/>
    <s v=""/>
    <s v="Adner, Ron; Puranam, Phanish; Zhu, Feng"/>
    <s v=""/>
    <s v=""/>
    <s v="What Is Different About Digital Strategy? From Quantitative to Qualitative Change"/>
    <s v="STRATEGY SCIENCE"/>
    <s v=""/>
    <s v=""/>
    <s v="English"/>
    <x v="0"/>
    <s v=""/>
    <s v=""/>
    <s v=""/>
    <s v=""/>
    <s v=""/>
    <s v="digital transformation; digital technology; representation; connectivity; aggregation; firm strategy; digital strategy"/>
    <s v="ENTRY; DIVERSIFICATION; COMPETITION; RESPONSES; NETWORKS; IMPACT; VIEW"/>
    <s v="The recent attention paid to the challenge of digital transformation signals an inflection point in the impact of digital technology on the competitive landscape. We suggest that this transition can be understood as a shift from the quantitative advances that have historically characterized digital progress (e.g., Moore's law, Metcalf's law) to qualitative changes embodied in three core processes underlying modem digital transformation: representation, connectivity, and aggregation. We consider the implications for firm strategy and raise questions for future strategy research."/>
    <s v="[Adner, Ron] Dartmouth Coll, Tuck Sch Business, Hanover, NH 03755 USA; [Puranam, Phanish] INSEAD, Strategy &amp; Org Design, Singapore 138676, Singapore; [Zhu, Feng] Harvard Sch Business, Business Adm, Boston, MA 02163 USA"/>
    <s v="Dartmouth College; INSEAD Business School; Harvard University"/>
    <s v="Adner, R (corresponding author), Dartmouth Coll, Tuck Sch Business, Hanover, NH 03755 USA."/>
    <s v="ron.adner@dartmouth.edu; phanish.puranam@insead.edu; fzhu@hbs.edu"/>
    <s v=""/>
    <s v="Puranam, Phanish/0000-0002-0032-8538; Adner, Ron/0000-0003-1238-2248; Zhu, Feng/0000-0002-3034-6876"/>
    <s v=""/>
    <s v=""/>
    <s v=""/>
    <s v=""/>
    <n v="63"/>
    <n v="90"/>
    <n v="93"/>
    <n v="27"/>
    <n v="138"/>
    <s v="INFORMS"/>
    <s v="CATONSVILLE"/>
    <s v="5521 RESEARCH PARK DR, SUITE 200, CATONSVILLE, MD 21228 USA"/>
    <s v="2333-2050"/>
    <s v="2333-2077"/>
    <s v=""/>
    <s v="STRATEG SCI"/>
    <s v="Strateg. Sci."/>
    <s v="DEC"/>
    <n v="2019"/>
    <n v="4"/>
    <n v="4"/>
    <s v=""/>
    <s v=""/>
    <s v="SI"/>
    <s v=""/>
    <n v="253"/>
    <n v="261"/>
    <s v=""/>
    <s v="10.1287/stsc.2019.0099"/>
    <s v="http://dx.doi.org/10.1287/stsc.2019.0099"/>
    <s v=""/>
    <s v=""/>
    <n v="9"/>
    <s v="Management"/>
    <x v="3"/>
    <s v="Business &amp; Economics"/>
    <s v="JX0IB"/>
    <s v=""/>
    <s v="Bronze"/>
    <s v=""/>
    <s v=""/>
    <s v="2023-11-15"/>
    <x v="17"/>
    <s v="View Full Record in Web of Science"/>
  </r>
  <r>
    <s v="J"/>
    <s v="Barns, S; Cosgrave, E; Acuto, M; Mcneill, D"/>
    <s v=""/>
    <s v=""/>
    <s v=""/>
    <s v="Barns, Sarah; Cosgrave, Ellie; Acuto, Michele; Mcneill, Donald"/>
    <s v=""/>
    <s v=""/>
    <s v="Digital Infrastructures and Urban Governance"/>
    <s v="URBAN POLICY AND RESEARCH"/>
    <s v=""/>
    <s v=""/>
    <s v="English"/>
    <x v="0"/>
    <s v=""/>
    <s v=""/>
    <s v=""/>
    <s v=""/>
    <s v=""/>
    <s v="Smart cities; digital infrastructure; public sector information; regional development; broadband; urban governance; smart cities; digital strategy; open data; policy mobility"/>
    <s v="STRATEGIC CHOICE; SMART CITY; AUSTRALIA; POLITICS"/>
    <s v="The urban built environment is underpinned by an increasingly complex digital infrastructure, which is posing a variety of unpredictable and unprecedented challenges for urban governance. The paper discusses how the new hard digital infrastructures such as broadband are accompanied by the need to understand the governance of public sector information; and in turn how this relates to the emergence of smart city strategies. The paper is illustrated using empirical examples drawn from Australian digital infrastructure development, with reference to the international landscape of smart city developments. It argues that there is a significant mismatch between the often small scale, bounded capabilities of municipal government, and the operational expertise and scope of technology firms."/>
    <s v="[Barns, Sarah; Mcneill, Donald] Univ Western Sydney, Inst Culture &amp; Soc, Penrith, NSW, Australia; [Cosgrave, Ellie; Acuto, Michele] UCL, Dept Sci Technol Engn &amp; Publ Policy, London, England"/>
    <s v="Western Sydney University; University of London; University College London"/>
    <s v="Barns, S (corresponding author), Univ Western Sydney, Inst Culture &amp; Soc, Penrith, NSW, Australia."/>
    <s v="s.barns@uws.edu.au"/>
    <s v=""/>
    <s v="Acuto, Michele/0000-0003-4320-0531; Barns, Sarah/0000-0002-0087-7166; MCNEILL, DONALD/0000-0002-7672-6110"/>
    <s v="Urban Studies Foundation Post-doctoral Fellowship Scheme; Australian Research Council"/>
    <s v="Urban Studies Foundation Post-doctoral Fellowship Scheme; Australian Research Council(Australian Research Council)"/>
    <s v="The support of the Urban Studies Foundation Post-doctoral Fellowship Scheme (Barns) and Australian Research Council Future Fellowship scheme (McNeill) is gratefully acknowledged."/>
    <s v=""/>
    <n v="41"/>
    <n v="81"/>
    <n v="85"/>
    <n v="31"/>
    <n v="186"/>
    <s v="ROUTLEDGE JOURNALS, TAYLOR &amp; FRANCIS LTD"/>
    <s v="ABINGDON"/>
    <s v="2-4 PARK SQUARE, MILTON PARK, ABINGDON OX14 4RN, OXON, ENGLAND"/>
    <s v="0811-1146"/>
    <s v="1476-7244"/>
    <s v=""/>
    <s v="URBAN POLICY RES"/>
    <s v="Urban Policy Res."/>
    <s v=""/>
    <n v="2017"/>
    <n v="35"/>
    <n v="1"/>
    <s v=""/>
    <s v=""/>
    <s v="SI"/>
    <s v=""/>
    <n v="20"/>
    <n v="31"/>
    <s v=""/>
    <s v="10.1080/08111146.2016.1235032"/>
    <s v="http://dx.doi.org/10.1080/08111146.2016.1235032"/>
    <s v=""/>
    <s v=""/>
    <n v="12"/>
    <s v="Environmental Studies; Geography; Regional &amp; Urban Planning; Urban Studies"/>
    <x v="0"/>
    <s v="Environmental Sciences &amp; Ecology; Geography; Public Administration; Urban Studies"/>
    <s v="EQ4GM"/>
    <s v=""/>
    <s v="Green Submitted"/>
    <s v=""/>
    <s v=""/>
    <s v="2023-11-15"/>
    <x v="18"/>
    <s v="View Full Record in Web of Science"/>
  </r>
  <r>
    <s v="J"/>
    <s v="El Said, GR"/>
    <s v=""/>
    <s v=""/>
    <s v=""/>
    <s v="El Said, Ghada Refaat"/>
    <s v=""/>
    <s v=""/>
    <s v="How Did the COVID-19 Pandemic Affect Higher Education Learning Experience? An Empirical Investigation of Learners' Academic Performance at a University in a Developing Country"/>
    <s v="ADVANCES IN HUMAN-COMPUTER INTERACTION"/>
    <s v=""/>
    <s v=""/>
    <s v="English"/>
    <x v="0"/>
    <s v=""/>
    <s v=""/>
    <s v=""/>
    <s v=""/>
    <s v=""/>
    <s v=""/>
    <s v=""/>
    <s v="COVID-19 has dramatically reshaped the way global education is delivered. Millions of learners were affected by educational institution closures due to the pandemic, which resulted in the largest online movement in the history of education. With this sudden shift away from classrooms in many parts of the globe, universities had to rapidly shift to virtual and digital strategies. Many believe that the adoption of online distance learning will persist after pandemic. A new hybrid model of education is expected to emerge, and, given the digital divide, new shifts in education approaches could widen equality gaps. This is one of the first empirical studies investigating the effect of the sudden shift from face-to-face to online distance learning due to COVID-19 lockdown at one of the universities in Egypt. Comparison of grades was made between 376 business students who completed a face-to-face course in spring 2019 and 372 students who completed the same course but fully online via distance learning mode in spring 2020 during the lockdown. T-test was conducted to compare grades of quizzes, course work, and final exam for the two groups. Chi-square test was used to compare grade distribution for both groups. The effect of gender, credit hours, age, and CGPA was assessed. The results suggested that there was no statistically significant difference in students' grades. In addition, the unplanned and rapid move to online distance learning at the time of pandemic did not result in a poor learning experience as was expected. The study also included a survey of 435 students and interviews with a sample of professors about their learning and teaching experience during the lockdown. The results of this study provide specific recommendations for universities, instructors, and higher education portal designers about future application of online distance learning. Since Egypt decided to make the shift to online distant learning in all future higher education plans, the results of this research would be especially vital for universities in Egypt and other developing countries. If administered correctly, this shift could lead to a larger learner population, more cost efficiencies, and more university revenue."/>
    <s v="[El Said, Ghada Refaat] Future Univ Egypt FUE, Dept Management Informat Syst, 90th St,Fifth Settlement, New Cairo, Egypt"/>
    <s v="Egyptian Knowledge Bank (EKB); Future University in Egypt"/>
    <s v="El Said, GR (corresponding author), Future Univ Egypt FUE, Dept Management Informat Syst, 90th St,Fifth Settlement, New Cairo, Egypt."/>
    <s v="ghada.refaat@fue.edu.eg"/>
    <s v=""/>
    <s v="El Said, Ghada Refaat/0000-0001-9624-5229"/>
    <s v=""/>
    <s v=""/>
    <s v=""/>
    <s v=""/>
    <n v="24"/>
    <n v="79"/>
    <n v="79"/>
    <n v="3"/>
    <n v="23"/>
    <s v="HINDAWI LTD"/>
    <s v="LONDON"/>
    <s v="ADAM HOUSE, 3RD FLR, 1 FITZROY SQ, LONDON, W1T 5HF, ENGLAND"/>
    <s v="1687-5893"/>
    <s v="1687-5907"/>
    <s v=""/>
    <s v="ADV HUM-COMPUT INTER"/>
    <s v="Adv. Hum-Comput. Interact."/>
    <s v="FEB 10"/>
    <n v="2021"/>
    <n v="2021"/>
    <s v=""/>
    <s v=""/>
    <s v=""/>
    <s v=""/>
    <s v=""/>
    <s v=""/>
    <s v=""/>
    <n v="6649524"/>
    <s v="10.1155/2021/6649524"/>
    <s v="http://dx.doi.org/10.1155/2021/6649524"/>
    <s v=""/>
    <s v=""/>
    <n v="10"/>
    <s v="Computer Science, Artificial Intelligence"/>
    <x v="3"/>
    <s v="Computer Science"/>
    <s v="QM0EH"/>
    <s v=""/>
    <s v="gold"/>
    <s v=""/>
    <s v=""/>
    <s v="2023-11-15"/>
    <x v="19"/>
    <s v="View Full Record in Web of Science"/>
  </r>
  <r>
    <s v="J"/>
    <s v="Li, LX"/>
    <s v=""/>
    <s v=""/>
    <s v=""/>
    <s v="Li, Lixu"/>
    <s v=""/>
    <s v=""/>
    <s v="Digital transformation and sustainable performance: The moderating role of market turbulence"/>
    <s v="INDUSTRIAL MARKETING MANAGEMENT"/>
    <s v=""/>
    <s v=""/>
    <s v="English"/>
    <x v="0"/>
    <s v=""/>
    <s v=""/>
    <s v=""/>
    <s v=""/>
    <s v=""/>
    <s v="Digital transformation; Market turbulence; Economic performance; Environmental performance; China"/>
    <s v="BIG DATA ANALYTICS; DYNAMIC CAPABILITIES; FIRM PERFORMANCE; SUPPLY CHAIN; RESOURCE; STRATEGY; SERVICE; PRODUCT; IMPACT; END"/>
    <s v="As digital technologies disrupt one sector after another, many companies are actively embracing digital transformation. However, the relationship between digital transformation and sustainable performance remains unclear. To fill this gap, based on an integrated perspective of dynamic capability and organizational inertia, this study examines the curvilinear relationships between digital transformation and economic and environmental dimensions of sustainable performance. Survey data from 223 Chinese companies articulate that although digital transformation fosters economic performance at an accelerating rate, it depicts an inverse U-shaped relationship with environmental performance. More interestingly, the accelerating rate of digital transformation on economic performance is quicker under low market turbulence. In contrast, when market turbulence is high, higher digital transformation is associated with worse environmental performance. This study contributes to the literature by providing new theoretical explanations for the inconsistent relationship between digital transformation and sustainable performance. This study also assists companies in re-evaluating their digital strategies."/>
    <s v="[Li, Lixu] Xian Univ Technol, Sch Econ &amp; Management, Xian 710054, Peoples R China"/>
    <s v="Xi'an University of Technology"/>
    <s v="Li, LX (corresponding author), Xian Univ Technol, Sch Econ &amp; Management, Xian 710054, Peoples R China."/>
    <s v="li.lixu@foxmail.com"/>
    <s v=""/>
    <s v="Li, Lixu/0000-0002-1927-0604"/>
    <s v=""/>
    <s v=""/>
    <s v=""/>
    <s v=""/>
    <n v="74"/>
    <n v="74"/>
    <n v="74"/>
    <n v="341"/>
    <n v="905"/>
    <s v="ELSEVIER SCIENCE INC"/>
    <s v="NEW YORK"/>
    <s v="STE 800, 230 PARK AVE, NEW YORK, NY 10169 USA"/>
    <s v="0019-8501"/>
    <s v="1873-2062"/>
    <s v=""/>
    <s v="IND MARKET MANAG"/>
    <s v="Ind. Mark. Manage."/>
    <s v="JUL"/>
    <n v="2022"/>
    <n v="104"/>
    <s v=""/>
    <s v=""/>
    <s v=""/>
    <s v=""/>
    <s v=""/>
    <n v="28"/>
    <n v="37"/>
    <s v=""/>
    <s v="10.1016/j.indmarman.2022.04.007"/>
    <s v="http://dx.doi.org/10.1016/j.indmarman.2022.04.007"/>
    <s v=""/>
    <s v="APR 2022"/>
    <n v="10"/>
    <s v="Business; Management"/>
    <x v="0"/>
    <s v="Business &amp; Economics"/>
    <s v="1E2DQ"/>
    <s v=""/>
    <s v=""/>
    <s v=""/>
    <s v=""/>
    <s v="2023-11-15"/>
    <x v="20"/>
    <s v="View Full Record in Web of Science"/>
  </r>
  <r>
    <s v="J"/>
    <s v="Rumsfeld, JS; Brooks, SC; Aufderheide, TP; Leary, M; Bradley, SM; Nkonde-Price, C; Schwamm, LH; Jessup, M; Ferrer, JME; Merchant, RM"/>
    <s v=""/>
    <s v=""/>
    <s v=""/>
    <s v="Rumsfeld, John S.; Brooks, Steven C.; Aufderheide, Tom P.; Leary, Marion; Bradley, Steven M.; Nkonde-Price, Chileshe; Schwamm, Lee H.; Jessup, Mariell; Ferrer, Jose Maria E.; Merchant, Raina M."/>
    <s v=""/>
    <s v="Amer Heart Assoc Emergency Cardiov; Council Cardiopulm Critical Care P; Council Quality Care Outcomes Res; Council Cardiovasc Stroke Nursing; Council Epidemiology Prevention"/>
    <s v="Use of Mobile Devices, Social Media, and Crowdsourcing as Digital Strategies to Improve Emergency Cardiovascular Care A Scientific Statement From the American Heart Association"/>
    <s v="CIRCULATION"/>
    <s v=""/>
    <s v=""/>
    <s v="English"/>
    <x v="0"/>
    <s v=""/>
    <s v=""/>
    <s v=""/>
    <s v=""/>
    <s v=""/>
    <s v="AHA Scientific Statements; cardiac arrest; crowdsourcing; emergency cardiovascular care; heart attack; mhealth; mobile health; myocardial infarction; social media; stroke"/>
    <s v="ACUTE MYOCARDIAL-INFARCTION; AUTOMATED EXTERNAL DEFIBRILLATORS; ASSISTED CARDIOPULMONARY-RESUSCITATION; TISSUE-PLASMINOGEN ACTIVATOR; CARDIAC-ARREST; COMMUNITY CONSULTATION; LAY RESCUERS; ACUTE STROKE; PUBLIC DISCLOSURE; DATA-COLLECTION"/>
    <s v=""/>
    <s v=""/>
    <s v=""/>
    <s v=""/>
    <s v=""/>
    <s v="Brooks, Steven/ABC-8078-2021; Bradley, Steven/AID-7839-2022; Brooks, Steven/N-4317-2015"/>
    <s v="Brooks, Steven/0000-0002-4592-4974; Jessup, Mariell/0000-0002-3010-0112; Leary, Marion/0000-0002-4815-4223"/>
    <s v=""/>
    <s v=""/>
    <s v=""/>
    <s v=""/>
    <n v="147"/>
    <n v="72"/>
    <n v="74"/>
    <n v="0"/>
    <n v="32"/>
    <s v="LIPPINCOTT WILLIAMS &amp; WILKINS"/>
    <s v="PHILADELPHIA"/>
    <s v="TWO COMMERCE SQ, 2001 MARKET ST, PHILADELPHIA, PA 19103 USA"/>
    <s v="0009-7322"/>
    <s v="1524-4539"/>
    <s v=""/>
    <s v="CIRCULATION"/>
    <s v="Circulation"/>
    <s v="AUG 23"/>
    <n v="2016"/>
    <n v="134"/>
    <n v="8"/>
    <s v=""/>
    <s v=""/>
    <s v=""/>
    <s v=""/>
    <s v="E87"/>
    <s v="E108"/>
    <s v=""/>
    <s v="10.1161/CIR.0000000000000428"/>
    <s v="http://dx.doi.org/10.1161/CIR.0000000000000428"/>
    <s v=""/>
    <s v=""/>
    <n v="22"/>
    <s v="Cardiac &amp; Cardiovascular Systems; Peripheral Vascular Disease"/>
    <x v="1"/>
    <s v="Cardiovascular System &amp; Cardiology"/>
    <s v="DU5XK"/>
    <n v="27334603"/>
    <s v="Bronze"/>
    <s v=""/>
    <s v=""/>
    <s v="2023-11-15"/>
    <x v="21"/>
    <s v="View Full Record in Web of Science"/>
  </r>
  <r>
    <s v="J"/>
    <s v="AlNuaimi, BK; Singh, SK; Ren, S; Budhwar, P; Vorobyev, D"/>
    <s v=""/>
    <s v=""/>
    <s v=""/>
    <s v="AlNuaimi, Bader K.; Singh, Sanjay Kumar; Ren, Shuang; Budhwar, Pawan; Vorobyev, Dmitriy"/>
    <s v=""/>
    <s v=""/>
    <s v="Mastering digital transformation: The nexus between leadership, agility, and digital strategy"/>
    <s v="JOURNAL OF BUSINESS RESEARCH"/>
    <s v=""/>
    <s v=""/>
    <s v="English"/>
    <x v="0"/>
    <s v=""/>
    <s v=""/>
    <s v=""/>
    <s v=""/>
    <s v=""/>
    <s v="Digital transformation; Organizational agility; Leadership; Digital strategy; Institutional theory; COVID-19"/>
    <s v="SUPPLY CHAIN AGILITY; ORGANIZATIONAL AGILITY; INSTITUTIONAL THEORY; MANUFACTURING PERFORMANCE; INNOVATION CAPABILITY; DYNAMIC CAPABILITIES; GREEN PROCUREMENT; PLS-SEM; BUSINESS; PERSPECTIVE"/>
    <s v="Drawing upon new institutional theory, we developed and tested a model on how digital transformational leadership and organizational agility influence digital transformation with digital strategy as a moderator. We found that digital transformational leadership and organizational agility positively influence digital transformation, and digital transformational leadership influences organizational agility. The finding of our study also indicates organizational agility to mediate the relationship between digital transformational leadership and digital transformation. Our findings offer an advanced understanding of the impact of transformational leadership and organizational agility on digital transformation and the role of digital strategy. Our study's findings address critical questions about how leadership style and promoting organizational agility in the public sector can enhance digital transformation."/>
    <s v="[AlNuaimi, Bader K.] Abu Dhabi Univ, Coll Business, Abu Dhabi, U Arab Emirates; [Singh, Sanjay Kumar] Maynooth Univ, Sch Business, Maynooth, Ireland; [Ren, Shuang] Deakin Business Sch, Melbourne, Australia; [Budhwar, Pawan] Aston Business Sch, Birmingham, England; [Vorobyev, Dmitriy] PRIGO Univ, Havirov, Czech Republic"/>
    <s v="Abu Dhabi University; Deakin University; Aston University; PRIGO University"/>
    <s v="Singh, SK (corresponding author), Maynooth Univ, Sch Business, Maynooth, Ireland."/>
    <s v="1063826@students.adu.ac.ae; sanjay.singh@mu.ie; shuang.ren@deakin.edu.au; p.s.budhwar@aston.ac.uk; dmitriy.vorobyev@prigo.cz"/>
    <s v="SINGH, SANJAY KUMAR/M-8813-2013; Singh, Srishti/JCO-3741-2023; Singh, Sanjay Prithviraj/IQV-1492-2023; Vorobyev, Dmitriy/A-6975-2018"/>
    <s v="SINGH, SANJAY KUMAR/0000-0001-7651-5009; Singh, Sanjay Prithviraj/0000-0001-5043-8762; Vorobyev, Dmitriy/0000-0002-2230-182X; Ren, Shuang/0000-0002-8768-8447"/>
    <s v=""/>
    <s v=""/>
    <s v=""/>
    <s v=""/>
    <n v="157"/>
    <n v="70"/>
    <n v="71"/>
    <n v="692"/>
    <n v="1522"/>
    <s v="ELSEVIER SCIENCE INC"/>
    <s v="NEW YORK"/>
    <s v="STE 800, 230 PARK AVE, NEW YORK, NY 10169 USA"/>
    <s v="0148-2963"/>
    <s v="1873-7978"/>
    <s v=""/>
    <s v="J BUS RES"/>
    <s v="J. Bus. Res."/>
    <s v="JUN"/>
    <n v="2022"/>
    <n v="145"/>
    <s v=""/>
    <s v=""/>
    <s v=""/>
    <s v=""/>
    <s v=""/>
    <n v="636"/>
    <n v="648"/>
    <s v=""/>
    <s v="10.1016/j.jbusres.2022.03.038"/>
    <s v="http://dx.doi.org/10.1016/j.jbusres.2022.03.038"/>
    <s v=""/>
    <s v="MAR 2022"/>
    <n v="13"/>
    <s v="Business"/>
    <x v="0"/>
    <s v="Business &amp; Economics"/>
    <s v="1L3NN"/>
    <s v=""/>
    <s v="hybrid, Green Published"/>
    <s v=""/>
    <s v=""/>
    <s v="2023-11-15"/>
    <x v="22"/>
    <s v="View Full Record in Web of Science"/>
  </r>
  <r>
    <s v="J"/>
    <s v="Barns, S"/>
    <s v=""/>
    <s v=""/>
    <s v=""/>
    <s v="Barns, Sarah"/>
    <s v=""/>
    <s v=""/>
    <s v="Mine your data: open data, digital strategies and entrepreneurial governance by code"/>
    <s v="URBAN GEOGRAPHY"/>
    <s v=""/>
    <s v=""/>
    <s v="English"/>
    <x v="0"/>
    <s v=""/>
    <s v=""/>
    <s v=""/>
    <s v=""/>
    <s v=""/>
    <s v="Smart cities; open data; urban entrepreneurialism; policy mobility"/>
    <s v="CITIES; GEOGRAPHIES; POLICY"/>
    <s v="Investment in the release of open data has become increasingly central to the implementation of smart city programs by governments around the world. Though originally arising out of a push towards open government and the pursuit of more transparent decision-making by public authorities at multiple scales, open data programs have more recently been adopted by municipal governments to support entrepreneurial goals of enhanced competitive positioning and attracting investment. As urban scholars now subject the smart city project to critical scrutiny for its role in advancing urban entrepreneurialism, this article considers the relevance of the open data agenda as it shapes wider understandings of the smart city. In particular, I address the collection of policy practices, aspirations, stakeholders and entrepreneurs active in framing the opportunities and values of open data for urban governments. Both the momentum of support for open data, along with a recent shift in the rhetorical aspirations of the open data movement away from the values of openness and transparency and towards a more confined focus on value generation, raise important critical questions for urban geographers concerned with the nature of urban governance in an age of big data."/>
    <s v="[Barns, Sarah] Univ Western Sydney, Inst Culture &amp; Soc, Bldg EM,Parramatta Campus,Locked Bag 1797, Penrith, NSW 2751, Australia"/>
    <s v="Western Sydney University"/>
    <s v="Barns, S (corresponding author), Univ Western Sydney, Inst Culture &amp; Soc, Bldg EM,Parramatta Campus,Locked Bag 1797, Penrith, NSW 2751, Australia."/>
    <s v="s.barns@westernsydney.edu.au"/>
    <s v=""/>
    <s v="Barns, Sarah/0000-0002-0087-7166"/>
    <s v="Urban Studies Foundation Postdoctoral Research Fellowship Programme"/>
    <s v="Urban Studies Foundation Postdoctoral Research Fellowship Programme"/>
    <s v="This research was supported by the Urban Studies Foundation Postdoctoral Research Fellowship Programme."/>
    <s v=""/>
    <n v="70"/>
    <n v="69"/>
    <n v="71"/>
    <n v="2"/>
    <n v="77"/>
    <s v="ROUTLEDGE JOURNALS, TAYLOR &amp; FRANCIS LTD"/>
    <s v="ABINGDON"/>
    <s v="2-4 PARK SQUARE, MILTON PARK, ABINGDON OX14 4RN, OXON, ENGLAND"/>
    <s v="0272-3638"/>
    <s v="1938-2847"/>
    <s v=""/>
    <s v="URBAN GEOGR"/>
    <s v="Urban Geogr."/>
    <s v=""/>
    <n v="2016"/>
    <n v="37"/>
    <n v="4"/>
    <s v=""/>
    <s v=""/>
    <s v=""/>
    <s v=""/>
    <n v="554"/>
    <n v="571"/>
    <s v=""/>
    <s v="10.1080/02723638.2016.1139876"/>
    <s v="http://dx.doi.org/10.1080/02723638.2016.1139876"/>
    <s v=""/>
    <s v=""/>
    <n v="18"/>
    <s v="Geography; Urban Studies"/>
    <x v="0"/>
    <s v="Geography; Urban Studies"/>
    <s v="DR2VP"/>
    <s v=""/>
    <s v=""/>
    <s v=""/>
    <s v=""/>
    <s v="2023-11-15"/>
    <x v="23"/>
    <s v="View Full Record in Web of Science"/>
  </r>
  <r>
    <s v="J"/>
    <s v="Manita, R; Elommal, N; Baudier, P; Hikkerova, L"/>
    <s v=""/>
    <s v=""/>
    <s v=""/>
    <s v="Manita, Riadh; Elommal, Najoua; Baudier, Patricia; Hikkerova, Lubica"/>
    <s v=""/>
    <s v=""/>
    <s v="The digital transformation of external audit and its impact on corporate governance"/>
    <s v="TECHNOLOGICAL FORECASTING AND SOCIAL CHANGE"/>
    <s v=""/>
    <s v=""/>
    <s v="English"/>
    <x v="0"/>
    <s v=""/>
    <s v=""/>
    <s v=""/>
    <s v=""/>
    <s v=""/>
    <s v="Audit; Digitalization; Big Data; Artificial Intelligence; Audit process"/>
    <s v="BIG DATA; ARTIFICIAL-INTELLIGENCE; INNOVATION; QUALITY"/>
    <s v="The literature demonstrates the growing interest of digitalization in organizations. The purpose of this paper is to study the influence of digitalization on audit's business and to understand how it can improve the role of audit as a governance mechanism. A qualitative approach was conducted by interviewing auditors from the five largest auditing firms in France. This paper demonstrates that digital technology is impacting at five key levels audit firms especially the audit role as a governance mechanism. Digitalization will improve the audit relevance (1) allowing audit firms to extend their offers by proposing new services (2). It will also improve the audit quality mainly by analysing all data's customer (3). Finally, with the digitalization a new auditor profile emerges (4), enabling the culture of innovation within audit firms (5). Thus, the firm governance will be improved but the managers 'discretionary power will be limited. This research highlights the importance of implementing digital strategies to provide regulators with the necessary modifications that need to occur for audit standards, It should enable Business School and universities to adapt their training programs according to the audit firms' expectations."/>
    <s v="[Manita, Riadh] NEOMA Business Sch, 1 Rue Marechal Juin, F-76130 Mont St Aignan, France; [Elommal, Najoua] Ecole Management Leonard de Vinci, 12 Ave Leonard de Vinci, F-92916 Paris, France; [Baudier, Patricia] EM Normandie, 64 Rue Ranelagh, F-75016 Paris, France; [Hikkerova, Lubica] IPAG Business Sch, 184 Blvd St Germain, F-75006 Paris, France"/>
    <s v="NEOMA Business School; IPAG Business School"/>
    <s v="Hikkerova, L (corresponding author), IPAG Business Sch, 184 Blvd St Germain, F-75006 Paris, France."/>
    <s v="Riadh.manita@neoma-bs.fr; najoua.elommal_manita@devinci.fr; pbaudier@em-normandie.fr; lubicahikkerova@gmail.com"/>
    <s v=""/>
    <s v="BAUDIER, PATRICIA/0000-0001-9881-4560"/>
    <s v=""/>
    <s v=""/>
    <s v=""/>
    <s v=""/>
    <n v="64"/>
    <n v="68"/>
    <n v="71"/>
    <n v="37"/>
    <n v="121"/>
    <s v="ELSEVIER SCIENCE INC"/>
    <s v="NEW YORK"/>
    <s v="STE 800, 230 PARK AVE, NEW YORK, NY 10169 USA"/>
    <s v="0040-1625"/>
    <s v="1873-5509"/>
    <s v=""/>
    <s v="TECHNOL FORECAST SOC"/>
    <s v="Technol. Forecast. Soc. Chang."/>
    <s v="JAN"/>
    <n v="2020"/>
    <n v="150"/>
    <s v=""/>
    <s v=""/>
    <s v=""/>
    <s v=""/>
    <s v=""/>
    <s v=""/>
    <s v=""/>
    <n v="119751"/>
    <s v="10.1016/j.techfore.2019.119751"/>
    <s v="http://dx.doi.org/10.1016/j.techfore.2019.119751"/>
    <s v=""/>
    <s v=""/>
    <n v="10"/>
    <s v="Business; Regional &amp; Urban Planning"/>
    <x v="0"/>
    <s v="Business &amp; Economics; Public Administration"/>
    <s v="JW8VM"/>
    <s v=""/>
    <s v=""/>
    <s v=""/>
    <s v=""/>
    <s v="2023-11-15"/>
    <x v="24"/>
    <s v="View Full Record in Web of Science"/>
  </r>
  <r>
    <s v="J"/>
    <s v="Ukko, J; Nasiri, M; Saunila, M; Rantala, T"/>
    <s v=""/>
    <s v=""/>
    <s v=""/>
    <s v="Ukko, Juhani; Nasiri, Mina; Saunila, Minna; Rantala, Tero"/>
    <s v=""/>
    <s v=""/>
    <s v="Sustainability strategy as a moderator in the relationship between digital business strategy and financial performance"/>
    <s v="JOURNAL OF CLEANER PRODUCTION"/>
    <s v=""/>
    <s v=""/>
    <s v="English"/>
    <x v="0"/>
    <s v=""/>
    <s v=""/>
    <s v=""/>
    <s v=""/>
    <s v=""/>
    <s v="Sustainable development; Sustainability strategy; Digital strategy; Digital transformation; Technology transformation; Managerial capabilities; Financial performance"/>
    <s v="SINGLE-ITEM MEASURES; CORPORATE SUSTAINABILITY; E-COMMERCE; PREDICTIVE-VALIDITY; FIRM PERFORMANCE; CAPABILITIES; INNOVATION; TRANSFORMATION; SERVICE; MANAGEMENT"/>
    <s v="This paper empirically examines the role of a sustainability strategy in the relation between a digital business strategy and financial performance. By classifying two capabilities (managerial capability and operational capability) that are needed to realize a digital business strategy, this study suggests that a sustainability strategy serves as a promoter in the relation between managerial capability and financial performance but inhibits the relation between operational capability and financial performance. Using a structured survey questionnaire, the data was collected from 280 small and medium-sized enterprises (SMEs), which operate in both the service and manufacturing industries in Finland. Four developed hypotheses were tested using the regression analysis to find the relationship between digital business strategy, sustainability strategy and financial performance. The findings suggest that a sustainability strategy serves as a promoter in the relation between managerial capability and financial performance but inhibits the relation between operational capability and financial performance. (C) 2019 The Authors. Published by Elsevier Ltd."/>
    <s v="[Ukko, Juhani; Nasiri, Mina; Saunila, Minna; Rantala, Tero] LUT Univ, Sch Engn Sci, Dept Ind Engn &amp; Management, Saimaankatu 11, FI-15140 Lahti, Finland"/>
    <s v=""/>
    <s v="Ukko, J (corresponding author), LUT Univ, Sch Engn Sci, Dept Ind Engn &amp; Management, Saimaankatu 11, FI-15140 Lahti, Finland."/>
    <s v="juhani.ukko@lut.fi; mina.nasiri@lut.fi; minna.saunila@lut.fi; tero.rantala@lut.fi"/>
    <s v="Rantala, Tero/T-4440-2019"/>
    <s v="Rantala, Tero/0000-0001-6451-5546; Nasiri, Mina/0000-0003-2353-7487"/>
    <s v=""/>
    <s v=""/>
    <s v=""/>
    <s v=""/>
    <n v="73"/>
    <n v="68"/>
    <n v="69"/>
    <n v="28"/>
    <n v="195"/>
    <s v="ELSEVIER SCI LTD"/>
    <s v="OXFORD"/>
    <s v="THE BOULEVARD, LANGFORD LANE, KIDLINGTON, OXFORD OX5 1GB, OXON, ENGLAND"/>
    <s v="0959-6526"/>
    <s v="1879-1786"/>
    <s v=""/>
    <s v="J CLEAN PROD"/>
    <s v="J. Clean Prod."/>
    <s v="NOV 1"/>
    <n v="2019"/>
    <n v="236"/>
    <s v=""/>
    <s v=""/>
    <s v=""/>
    <s v=""/>
    <s v=""/>
    <s v=""/>
    <s v=""/>
    <n v="117626"/>
    <s v="10.1016/j.jclepro.2019.117626"/>
    <s v="http://dx.doi.org/10.1016/j.jclepro.2019.117626"/>
    <s v=""/>
    <s v=""/>
    <n v="9"/>
    <s v="Green &amp; Sustainable Science &amp; Technology; Engineering, Environmental; Environmental Sciences"/>
    <x v="1"/>
    <s v="Science &amp; Technology - Other Topics; Engineering; Environmental Sciences &amp; Ecology"/>
    <s v="IU2MH"/>
    <s v=""/>
    <s v="hybrid"/>
    <s v=""/>
    <s v=""/>
    <s v="2023-11-15"/>
    <x v="25"/>
    <s v="View Full Record in Web of Science"/>
  </r>
  <r>
    <s v="J"/>
    <s v="Kohli, R; Johnson, S"/>
    <s v=""/>
    <s v=""/>
    <s v=""/>
    <s v="Kohli, Rajiv; Johnson, Shawn"/>
    <s v=""/>
    <s v=""/>
    <s v="DIGITAL TRANSFORMATION IN LATECOMER INDUSTRIES: CIO AND CEO LEADERSHIP LESSONS FROM ENCANA OIL &amp; GAS (USA) INC."/>
    <s v="MIS QUARTERLY EXECUTIVE"/>
    <s v=""/>
    <s v=""/>
    <s v="English"/>
    <x v="0"/>
    <s v=""/>
    <s v=""/>
    <s v=""/>
    <s v=""/>
    <s v=""/>
    <s v=""/>
    <s v=""/>
    <s v="Unlike digitally savvy banking and retail industries, oil and natural gas businesses are latecomers to digitization. With large capital investments in complex industrial operations, firms in latecomer industries are seeking ways to cut costs and become responsive to market demands. Executives in oil and natural gas companies are facing unprecedented pressure to cut costs due to market turbulence and need advice on how to undertake digitization; organizational changes needed; who should lead the digitization effort; and the role of the chief information officer (CIO) in executing a digital strategy. We address these issues by drawing on the experience of Encana Oil &amp; Gas (USA) Inc. High fixed costs and declining gas prices required Encana to synchronize production with volatile demand for natural gas. To gain supply chain visibility, Encana's CIO and business leaders jointly targeted operational processes to embed digital technologies to capture, integrate and deliver information, established new Information Systems (IS) governance policies and redesigned the IS organizational structure. Together, these actions strengthened Encana's agility to respond to price and demand volatility. In doing so, Encana has become a frontrunner in a latecomer industry."/>
    <s v="[Kohli, Rajiv] Coll William &amp; Mary, Williamsburg, VA 23187 USA"/>
    <s v="William &amp; Mary"/>
    <s v="Kohli, R (corresponding author), Coll William &amp; Mary, Williamsburg, VA 23187 USA."/>
    <s v="rajiv.kohli@mason.wm.edu; shawn.johnson@encana.com"/>
    <s v=""/>
    <s v=""/>
    <s v=""/>
    <s v=""/>
    <s v=""/>
    <s v=""/>
    <n v="15"/>
    <n v="66"/>
    <n v="66"/>
    <n v="9"/>
    <n v="195"/>
    <s v="INDIANA UNIV, OPER &amp; DECISION TECHNOL DEPT"/>
    <s v="BLOOMINGTON"/>
    <s v="KELLEY SCH BUS, E 10 ST, BLOOMINGTON, IN 47405-1701 USA"/>
    <s v="1540-1960"/>
    <s v=""/>
    <s v=""/>
    <s v="MIS Q EXEC"/>
    <s v="MIS Q. Exec."/>
    <s v="DEC"/>
    <n v="2011"/>
    <n v="10"/>
    <n v="4"/>
    <s v=""/>
    <s v=""/>
    <s v=""/>
    <s v=""/>
    <n v="141"/>
    <n v="156"/>
    <s v=""/>
    <s v=""/>
    <s v=""/>
    <s v=""/>
    <s v=""/>
    <n v="16"/>
    <s v="Information Science &amp; Library Science; Management"/>
    <x v="0"/>
    <s v="Information Science &amp; Library Science; Business &amp; Economics"/>
    <s v="863LN"/>
    <s v=""/>
    <s v=""/>
    <s v=""/>
    <s v=""/>
    <s v="2023-11-15"/>
    <x v="26"/>
    <s v="View Full Record in Web of Science"/>
  </r>
  <r>
    <s v="J"/>
    <s v="Matthyssens, P"/>
    <s v=""/>
    <s v=""/>
    <s v=""/>
    <s v="Matthyssens, Paul"/>
    <s v=""/>
    <s v=""/>
    <s v="Reconceptualizing value innovation for Industry 4.0 and the Industrial Internet of Things"/>
    <s v="JOURNAL OF BUSINESS &amp; INDUSTRIAL MARKETING"/>
    <s v=""/>
    <s v=""/>
    <s v="English"/>
    <x v="0"/>
    <s v=""/>
    <s v=""/>
    <s v=""/>
    <s v=""/>
    <s v=""/>
    <s v="Value innovation; IoT; Industry 4.0; Strategy innovation"/>
    <s v="DELIBERATE LEARNING-MECHANISMS; BUSINESS MODEL; NETWORK; SERVITIZATION; CAPABILITIES; PERSPECTIVE; COMPANIES; GROWTH"/>
    <s v="Purpose - Starting from the foundations of value innovation, this paper aims to give an idea of the key drivers and barriers - internal and external to the company - and to provide insight into proven capabilities underscoring the ability to create a flow of new value initiatives. These thoughts are then confronted with the present challenges of Industry 4.0 and the Industrial Internet of Things (IIoT). The confrontation leads to the identification of five capabilities for future-proof value innovation. Design/methodology/approach - Literature review based upon the work of the author with more than two decades of experience within value innovation research is included. The review is supplemented with recent literature and an overview of the challenges of Industry 4.0/IIoT, which leads into a confrontation of the present status of value innovation with future requirements. Findings - Value innovation remains important specifically for established companies facing path-breaking digital disruption of their existing business models provoked by Industry 4.0 and IIoT. Five key capabilities are suggested to rejuvenate value innovation and prepare it for the Industry 4.0 challenge: capabilities for designing, adapting and marketing product service systems; capabilities for blending digital strategy and processes with value offerings; capabilities for designing and mobilizing ecosystems and integrating these into a value-based IIoT platform; capabilities for combining and integrating technological and value innovation approaches; and capabilities for linking value creation to value capturing. Research limitations/implications - This paper is more of a viewpoint than an empirically based paper presenting new research findings. It is based on expert judgment and confrontation with extant literature. The outlook indicating five key capabilities needs further empirical corroboration. Practical implications - The overview of barriers and the toolkit for value innovation (Figure 1) and the five capabilities for future value innovation are expected to be managerially relevant. Originality/value - The paper highlights the concept of value innovation, as discussed over the past decades, and links it to recent challenges and opportunities imposed by Industry 4.0 and the IIoT. The concept of value or strategic innovation is still valid but needs a re-conceptualization in view of these developments. The paper provides five capabilities business marketers should develop to perform value innovation in an Industry 4.0 environment."/>
    <s v="[Matthyssens, Paul] Univ Antwerp, Antwerp Management Sch, Dept Management, Antwerp, Belgium"/>
    <s v="University of Antwerp"/>
    <s v="Matthyssens, P (corresponding author), Univ Antwerp, Antwerp Management Sch, Dept Management, Antwerp, Belgium."/>
    <s v="paul.matthyssens@ams.ac.be"/>
    <s v=""/>
    <s v="Matthyssens, Paul/0000-0002-9138-7911"/>
    <s v=""/>
    <s v=""/>
    <s v=""/>
    <s v=""/>
    <n v="46"/>
    <n v="64"/>
    <n v="64"/>
    <n v="7"/>
    <n v="102"/>
    <s v="EMERALD GROUP PUBLISHING LTD"/>
    <s v="BINGLEY"/>
    <s v="HOWARD HOUSE, WAGON LANE, BINGLEY BD16 1WA, W YORKSHIRE, ENGLAND"/>
    <s v="0885-8624"/>
    <s v="2052-1189"/>
    <s v=""/>
    <s v="J BUS IND MARK"/>
    <s v="J. Bus. Ind. Mark."/>
    <s v=""/>
    <n v="2019"/>
    <n v="34"/>
    <n v="6"/>
    <s v=""/>
    <s v=""/>
    <s v=""/>
    <s v=""/>
    <n v="1203"/>
    <n v="1209"/>
    <s v=""/>
    <s v="10.1108/JBIM-11-2018-0348"/>
    <s v="http://dx.doi.org/10.1108/JBIM-11-2018-0348"/>
    <s v=""/>
    <s v=""/>
    <n v="7"/>
    <s v="Business"/>
    <x v="0"/>
    <s v="Business &amp; Economics"/>
    <s v="JE1ON"/>
    <s v=""/>
    <s v="Green Accepted"/>
    <s v=""/>
    <s v=""/>
    <s v="2023-11-15"/>
    <x v="27"/>
    <s v="View Full Record in Web of Science"/>
  </r>
  <r>
    <s v="J"/>
    <s v="Hornuf, L; Klus, MF; Lohwasser, TS; Schwienbacher, A"/>
    <s v=""/>
    <s v=""/>
    <s v=""/>
    <s v="Hornuf, Lars; Klus, Milan F.; Lohwasser, Todor S.; Schwienbacher, Armin"/>
    <s v=""/>
    <s v=""/>
    <s v="How do banks interact with fintech startups?"/>
    <s v="SMALL BUSINESS ECONOMICS"/>
    <s v=""/>
    <s v=""/>
    <s v="English"/>
    <x v="0"/>
    <s v=""/>
    <s v=""/>
    <s v=""/>
    <s v=""/>
    <s v=""/>
    <s v="Fintech; Strategic alliance; Make; buy; or ally; Entrepreneurial finance; Banks"/>
    <s v="STRATEGIC ALLIANCES; FINANCIAL INNOVATION; DIGITAL INNOVATION; SERVICE; SERVITIZATION; DIGITIZATION; PERFORMANCE; BENEFITS; SCIENCE; BUY"/>
    <s v="The increasing pervasiveness of technology-driven firms that offer financial services has led to growing pressure on traditional banks to modernize their core business activities and services. Many banks tackle the challenges of digitalization by cooperating with startup firms that offer technology-driven financial services and novel service packages (fintechs). In this article, we examine which banks typically collaborate with fintechs, how intensely they do so, and which form of alliance they prefer. Using hand-collected data covering the largest banks from Canada, France, Germany, and the United Kingdom, we provide detailed evidence on the different forms of alliances occurring in practice. We show that banks are significantly more likely to form alliances with fintechs when they pursue a well-defined digital strategy and/or employ a chief digital officer. Moreover, in line with incomplete contract theory, we find that banks more frequently invest in small fintechs but often build product-related collaborations with larger fintechs."/>
    <s v="[Hornuf, Lars] Univ Bremen, Bremen, Germany; [Hornuf, Lars] Max Planck Inst Innovat &amp; Competit, Munich, Germany; [Hornuf, Lars] CESifo, Munich, Germany; [Klus, Milan F.; Lohwasser, Todor S.] Univ Munster, Munster, Germany; [Schwienbacher, Armin] Univ Cote dAzur, SKEMA Business Sch, Euralille, France"/>
    <s v="University of Bremen; Ifo Institut; University of Munster; SKEMA Business School; Universite Cote d'Azur"/>
    <s v="Hornuf, L (corresponding author), Univ Bremen, Bremen, Germany."/>
    <s v="hornuf@uni-bremen.de"/>
    <s v="Hornuf, Lars/AAF-7986-2020"/>
    <s v="Hornuf, Lars/0000-0002-0576-7759"/>
    <s v="Projekt DEAL"/>
    <s v="Projekt DEAL"/>
    <s v="Open Access funding provided by Projekt DEAL."/>
    <s v=""/>
    <n v="52"/>
    <n v="63"/>
    <n v="64"/>
    <n v="24"/>
    <n v="165"/>
    <s v="SPRINGER"/>
    <s v="DORDRECHT"/>
    <s v="VAN GODEWIJCKSTRAAT 30, 3311 GZ DORDRECHT, NETHERLANDS"/>
    <s v="0921-898X"/>
    <s v="1573-0913"/>
    <s v=""/>
    <s v="SMALL BUS ECON"/>
    <s v="Small Bus. Econ. Group"/>
    <s v="OCT"/>
    <n v="2021"/>
    <n v="57"/>
    <n v="3"/>
    <s v=""/>
    <s v=""/>
    <s v=""/>
    <s v=""/>
    <n v="1505"/>
    <n v="1526"/>
    <s v=""/>
    <s v="10.1007/s11187-020-00359-3"/>
    <s v="http://dx.doi.org/10.1007/s11187-020-00359-3"/>
    <s v=""/>
    <s v="MAY 2020"/>
    <n v="22"/>
    <s v="Business; Economics; Management"/>
    <x v="0"/>
    <s v="Business &amp; Economics"/>
    <s v="WB9MM"/>
    <s v=""/>
    <s v="hybrid, Green Submitted"/>
    <s v=""/>
    <s v=""/>
    <s v="2023-11-15"/>
    <x v="28"/>
    <s v="View Full Record in Web of Science"/>
  </r>
  <r>
    <s v="J"/>
    <s v="Porfírio, JA; Carrilho, T; Felício, JA; Jardim, J"/>
    <s v=""/>
    <s v=""/>
    <s v=""/>
    <s v="Porfirio, Jose Antonio; Carrilho, Tiago; Felicio, Jose Augusto; Jardim, Jacinto"/>
    <s v=""/>
    <s v=""/>
    <s v="Leadership characteristics and digital transformation"/>
    <s v="JOURNAL OF BUSINESS RESEARCH"/>
    <s v=""/>
    <s v=""/>
    <s v="English"/>
    <x v="0"/>
    <s v=""/>
    <s v=""/>
    <s v=""/>
    <s v=""/>
    <s v=""/>
    <s v="Leadership; Digital transformation; Corporate strategy; Business strategy; Digital strategy"/>
    <s v="INFORMATION-TECHNOLOGY; CORPORATE-STRATEGY; CAPABILITY; OPTIONS; CONTEXT"/>
    <s v="Digital transformation (DT) is essential for all companies and industries, depending crucially on systems, IT, strategy, and people. In this research, we analyse how firms' characteristics, associated with management characteristics, promote DT in Portuguese companies. The model considers the relationship between digital strategy and corporate and business strategy, according to firm and management characteristics. We use a multilevel analysis, applying fsQCA to data obtained from 47 Portuguese firms. The results represent an important step forward in the knowledge of the conditions to promote higher stages of DT, especially regarding leadership and management associated with certain firms' characteristics. The conclusions support the crucial role of leadership and especially the importance of managers' coherence towards companies' mission to promote more advanced stages of DT. At the same time, it contributes to develop knowledge about the best possible combination of firms' and management characteristics to promote DT."/>
    <s v="[Porfirio, Jose Antonio; Carrilho, Tiago] Univ Aberta, Social Sci &amp; Management Dept, Lisbon, Portugal; [Felicio, Jose Augusto] ISEG Lisbon Sch Econ &amp; Management, Lisbon, Portugal; [Jardim, Jacinto] Univ Aberta, Catedra Infante D Henrique Estudos Insulares, Lisbon, Portugal"/>
    <s v="Universidade Aberta; Universidade Aberta"/>
    <s v="Porfírio, JA (corresponding author), Univ Aberta, Social Sci &amp; Management Dept, Lisbon, Portugal."/>
    <s v="Jose.Porfirio@uab.pt; Tiago.Mendes@uab.pt; jaufeli@netcabo.pt; Jacinto.Jardiim@uab.pt"/>
    <s v="Jardim, Jacinto/AAH-9791-2020; Porfírio, José A/I-3940-2012"/>
    <s v="Jardim, Jacinto/0000-0002-0600-3128; Porfírio, José A/0000-0001-9551-9531; Carrilho, Tiago/0000-0001-8258-8546; FELICIO, J. AUGUSTO/0000-0001-5862-1094"/>
    <s v="FCT - Fundacao para a Ciencia e Tecnologia (Portugal) [UIDB/04521/2020]"/>
    <s v="FCT - Fundacao para a Ciencia e Tecnologia (Portugal)(Fundacao para a Ciencia e a Tecnologia (FCT))"/>
    <s v="We gratefully acknowledge: financial support from FCT - Fundacao para a Ciencia e Tecnologia (Portugal); national funding through research grant UIDB/04521/2020."/>
    <s v=""/>
    <n v="50"/>
    <n v="60"/>
    <n v="62"/>
    <n v="100"/>
    <n v="587"/>
    <s v="ELSEVIER SCIENCE INC"/>
    <s v="NEW YORK"/>
    <s v="STE 800, 230 PARK AVE, NEW YORK, NY 10169 USA"/>
    <s v="0148-2963"/>
    <s v="1873-7978"/>
    <s v=""/>
    <s v="J BUS RES"/>
    <s v="J. Bus. Res."/>
    <s v="JAN"/>
    <n v="2021"/>
    <n v="124"/>
    <s v=""/>
    <s v=""/>
    <s v=""/>
    <s v=""/>
    <s v=""/>
    <n v="610"/>
    <n v="619"/>
    <s v=""/>
    <s v="10.1016/j.jbusres.2020.10.058"/>
    <s v="http://dx.doi.org/10.1016/j.jbusres.2020.10.058"/>
    <s v=""/>
    <s v="JAN 2021"/>
    <n v="10"/>
    <s v="Business"/>
    <x v="0"/>
    <s v="Business &amp; Economics"/>
    <s v="PP1DI"/>
    <s v=""/>
    <s v="Green Published"/>
    <s v=""/>
    <s v=""/>
    <s v="2023-11-15"/>
    <x v="29"/>
    <s v="View Full Record in Web of Science"/>
  </r>
  <r>
    <s v="S"/>
    <s v="Dameri, RP"/>
    <s v=""/>
    <s v="Dameri, RP; RosenthalSabroux, C"/>
    <s v=""/>
    <s v="Dameri, Renata Paola"/>
    <s v=""/>
    <s v=""/>
    <s v="Comparing Smart and Digital City: Initiatives and Strategies in Amsterdam and Genoa. Are They Digital and/or Smart?"/>
    <s v="SMART CITY: HOW TO CREATE PUBLIC AND ECONOMIC VALUE WITH HIGH TECHNOLOGY IN URBAN SPACE"/>
    <s v="Progress in IS"/>
    <s v=""/>
    <s v="English"/>
    <x v="1"/>
    <s v=""/>
    <s v=""/>
    <s v=""/>
    <s v=""/>
    <s v=""/>
    <s v="Smart city; Digital city; Digital agenda; Case study"/>
    <s v="SYSTEMS"/>
    <s v="The objective of this research is to investigate the relations between Smart city and Digital city concepts and strategies. The author examines the international literature about these topics, comparing smart city and digital city definitions, components and goals. This survey shows that a clear definition of both smart city and digital city still lacks and that these two topics are often overlapped or confused. The same thing happens in empirical implementation of smart and/or digital strategies in cities. The research methodology includes the study and comparison of two important empirical implementations of Smart/Digital strategies in Europe: Amsterdam and Genoa. The results show that smart city and digital city are not the same, even if they are strictly linked each other and sometimes merged in common initiatives. Moreover, this empirical research highlights the key role of players, programs and governance in realizing smart/digital cities really effective for a best quality of life in the urban space."/>
    <s v="Univ Genoa, Dept Econ, Genoa, Italy"/>
    <s v="University of Genoa"/>
    <s v="Dameri, RP (corresponding author), Univ Genoa, Dept Econ, Genoa, Italy."/>
    <s v="dameri@economia.unige.it"/>
    <s v="DAMERI, RENATA/AAD-6635-2021"/>
    <s v=""/>
    <s v=""/>
    <s v=""/>
    <s v=""/>
    <s v=""/>
    <n v="33"/>
    <n v="60"/>
    <n v="60"/>
    <n v="4"/>
    <n v="31"/>
    <s v="SPRINGER-VERLAG BERLIN"/>
    <s v="BERLIN"/>
    <s v="HEIDELBERGER PLATZ 3, D-14197 BERLIN, GERMANY"/>
    <s v="2196-8705"/>
    <s v="2196-8713"/>
    <s v="978-3-319-06160-3; 978-3-319-06159-7"/>
    <s v="PROGR IS"/>
    <s v=""/>
    <s v=""/>
    <n v="2014"/>
    <s v=""/>
    <s v=""/>
    <s v=""/>
    <s v=""/>
    <s v=""/>
    <s v=""/>
    <n v="45"/>
    <n v="88"/>
    <s v=""/>
    <s v="10.1007/978-3-319-06160-3_3"/>
    <s v="http://dx.doi.org/10.1007/978-3-319-06160-3_3"/>
    <s v="10.1007/978-3-319-06160-3"/>
    <s v=""/>
    <n v="44"/>
    <s v="Regional &amp; Urban Planning; Public Administration"/>
    <x v="4"/>
    <s v="Public Administration"/>
    <s v="BB4ZX"/>
    <s v=""/>
    <s v=""/>
    <s v=""/>
    <s v=""/>
    <s v="2023-11-15"/>
    <x v="30"/>
    <s v="View Full Record in Web of Science"/>
  </r>
  <r>
    <s v="J"/>
    <s v="Dutta, G; Kumar, R; Sindhwani, R; Singh, RK"/>
    <s v=""/>
    <s v=""/>
    <s v=""/>
    <s v="Dutta, Gautam; Kumar, Ravinder; Sindhwani, Rahul; Singh, Rajesh Kumar"/>
    <s v=""/>
    <s v=""/>
    <s v="Digital transformation priorities of India's discrete manufacturing SMEs - a conceptual study in perspective of Industry 4.0"/>
    <s v="COMPETITIVENESS REVIEW"/>
    <s v=""/>
    <s v=""/>
    <s v="English"/>
    <x v="0"/>
    <s v=""/>
    <s v=""/>
    <s v=""/>
    <s v=""/>
    <s v=""/>
    <s v="Integration; SME; Manufacturing; Industry 4; 0; Digitalization; IoT; Digital; Transformation; Performance; Design"/>
    <s v="BIG DATA; MODELS"/>
    <s v="Purpose Manufacturing excellence is critical to our nation's economy. Indian Government's National Manufacturing Policy, drafted in 2011, is being revamped to include the aspects of Industry 4.0. Initiatives, both led and assisted by government and industries, are being launched to catalyze and transform India's manufacturing competencies. This paper aims to study the functional areas which can potentially leverage Industry 4.0 technologies and help India's manufacturing establishments to transform. It does so in context of the aspirations of India's small and medium discrete manufacturing establishments (SMME) towards adopting digital technologies for the identified functional areas. The study draws its context from the relevant literature review intended to examine the academic articles published until the end of September 2018, followed by a maturity assessment survey of Indian SMMEs to establish priority areas Design/methodology/approach The literature survey has been complemented with a maturity survey of more than 250 of Indian SMMEs to establish adoption gaps by comparing proficiency and sophistication of their present status and proposed adoption aspirations by 2020. The assessment of the organizational aspirations and gap areas identified is expected to indicate which of the Industry 4.0 elements can be adopted by them. Findings The maturity survey undertaken throws up several insights - Indian SMME community's self-assessment indicates operational measurements followed by manufacturing and design interventions as the aspired transformation cycle. The survey indicates that manufacturers would like to make changes to their design and manufacturing strategies based on performance metrics; therefore, they need to first capture real-time machine data, analyze and then incorporate the resulting improvements in manufacturing and design decisions in that order. Social implications Digitalization is expected to foster lean and therefore support sustainability initiatives. Digitalization is expected to help create new, alternative sources of employment which are more relevant to emerging times and foster unlearning the past and relearning of new skills. This emerging diversity of engineering applications resulting from digitalization is expected to also support the larger and poorer agricultural community of India and help the sector to become more efficient and productive, which in turn will reduce economic alienation of a large section of Indian society. Originality/value Industry 4.0 has been identified as the transformational initiative for India's manufacturing competitiveness. Indian manufacturing sector needs to urgently implement the digital technologies and improve their performance and remain relevant in this dynamic market. This research will help guide them to frame their respective digital strategies and be successful. This research will help government and industry influencers to plan and execute their interventions."/>
    <s v="[Dutta, Gautam; Kumar, Ravinder; Sindhwani, Rahul] Amity Univ, Dept Mech Engn, Noida, India; [Singh, Rajesh Kumar] Management Dev Inst, Dept Operat Res, Gurgaon, India"/>
    <s v="Amity University Noida; Management Development Institute (MDI)"/>
    <s v="Dutta, G (corresponding author), Amity Univ, Dept Mech Engn, Noida, India."/>
    <s v="dutta.gautam4@gmail.com; rkumar19@amity.edu; rsindhwani@amity.edu; rajesh.singh@mdi.ac.in"/>
    <s v="Sindhwani, Dr. Rahul/AAO-8022-2020"/>
    <s v="Sindhwani, Dr. Rahul/0000-0001-9361-309X; Dutta, Gautam/0000-0003-2981-6073; Kumar, Prof. (Dr.) Ravinder/0000-0003-4255-4303"/>
    <s v=""/>
    <s v=""/>
    <s v=""/>
    <s v=""/>
    <n v="47"/>
    <n v="59"/>
    <n v="60"/>
    <n v="6"/>
    <n v="142"/>
    <s v="EMERALD GROUP PUBLISHING LTD"/>
    <s v="BINGLEY"/>
    <s v="HOWARD HOUSE, WAGON LANE, BINGLEY BD16 1WA, W YORKSHIRE, ENGLAND"/>
    <s v="1059-5422"/>
    <s v="2051-3143"/>
    <s v=""/>
    <s v="COMPET REV"/>
    <s v="Compet. Rev."/>
    <s v="JAN 13"/>
    <n v="2020"/>
    <n v="30"/>
    <n v="3"/>
    <s v=""/>
    <s v=""/>
    <s v=""/>
    <s v=""/>
    <n v="289"/>
    <n v="314"/>
    <s v=""/>
    <s v="10.1108/CR-03-2019-0031"/>
    <s v="http://dx.doi.org/10.1108/CR-03-2019-0031"/>
    <s v=""/>
    <s v="JAN 2020"/>
    <n v="26"/>
    <s v="Business"/>
    <x v="3"/>
    <s v="Business &amp; Economics"/>
    <s v="LN1PM"/>
    <s v=""/>
    <s v=""/>
    <s v=""/>
    <s v=""/>
    <s v="2023-11-15"/>
    <x v="31"/>
    <s v="View Full Record in Web of Science"/>
  </r>
  <r>
    <s v="J"/>
    <s v="Vieira, VA; de Almeida, MIS; Agnihotri, R; da Silva, NSDC; Arunachalam, S"/>
    <s v=""/>
    <s v=""/>
    <s v=""/>
    <s v="Vieira, Valter Afonso; Severo de Almeida, Marcos Inacio; Agnihotri, Raj; De Arruda Correa da Silva, Noga Simoes; Arunachalam, S."/>
    <s v=""/>
    <s v=""/>
    <s v="In pursuit of an effective B2B digital marketing strategy in an emerging market"/>
    <s v="JOURNAL OF THE ACADEMY OF MARKETING SCIENCE"/>
    <s v=""/>
    <s v=""/>
    <s v="English"/>
    <x v="0"/>
    <s v=""/>
    <s v=""/>
    <s v=""/>
    <s v=""/>
    <s v=""/>
    <s v="Digital echoverse; Digital B2B; Digital media elasticities; Emerging markets; Vector autoregression; Inbound marketing; Paid media; Owned media; Earned social media; Sales; Customer acquisition"/>
    <s v="WORD-OF-MOUTH; USER-GENERATED CONTENT; SOCIAL MEDIA; UNIT-ROOT; TIME-SERIES; SALES; FUTURE; ONLINE; MODEL; STATIONARITY"/>
    <s v="In business markets, firms operating in developing economies deal with burgeoning use of the internet, new electronic purchase methods, and a wide range of social media and online sales platforms. However, marketers are unclear about the pattern of influence of firm-initiated (i.e., paid media, owned media, and digital inbound marketing) and market-initiated (i.e., earned social media and organic search) digital communications on B2B sales and customer acquisition. We develop and test a model of digital echoverse in an emerging market B2B context, using vector autoregressive modeling to analyze a unique 132-week dataset from a Brazilian hub firm operating in the marketplace. We find empirical evidence supporting our conceptual framework in emerging markets. Underscoring the importance of a market development approach for emerging markets, the findings show that owned media and digital inbound marketing play a bigger role in influencing customer acquisition. Impressions generated through earned social media complement owned media, but not paid media. These insights highlight the notion that while sources of digital echoverse may remain the same across countries, its components exert a particular pattern of influence in an emerging market context. This is expected to encourage managers to rethink their digital strategies for B2B customer acquisition and sales enhancement while operating in emerging markets."/>
    <s v="[Vieira, Valter Afonso; De Arruda Correa da Silva, Noga Simoes] Maringa State Univ PPA UEM, Coll Business Adm, Av Colombo 5-790, BR-87053070 Maringa, Parana, Brazil; [Severo de Almeida, Marcos Inacio] Univ Fed Goias, Fac Business Adm Accounting Sci &amp; Econ Sci FACE, R Samambaia S-N,Campus Samambaia, BR-74001970 Goiania, Go, Brazil; [Agnihotri, Raj] Iowa State Univ, Ivy Coll Business, Ames, IA USA; [Arunachalam, S.] Indian Sch Business, Hyderabad 500111, Telangana, India"/>
    <s v="Universidade Federal de Goias; Iowa State University; Indian School of Business (ISB)"/>
    <s v="Vieira, VA (corresponding author), Maringa State Univ PPA UEM, Coll Business Adm, Av Colombo 5-790, BR-87053070 Maringa, Parana, Brazil."/>
    <s v="valterafonsovieira@gmail.com; misevero@yahoo.com.br; raj2@iastate.edu; noga.simoes@gmail.com; S_Arunachalam@isb.edu"/>
    <s v="Vieira, Valter/AAN-1888-2020; de Almeida, Marcos I.S./D-9239-2018; Agnihotri, Raj/AAN-9991-2021; S, Arunachalam/F-9249-2015"/>
    <s v="de Almeida, Marcos I.S./0000-0001-9493-0644; S, Arunachalam/0000-0003-4110-9531; Agnihotri, Raj/0000-0002-2008-5908"/>
    <s v=""/>
    <s v=""/>
    <s v=""/>
    <s v=""/>
    <n v="89"/>
    <n v="57"/>
    <n v="58"/>
    <n v="20"/>
    <n v="193"/>
    <s v="SPRINGER"/>
    <s v="NEW YORK"/>
    <s v="ONE NEW YORK PLAZA, SUITE 4600, NEW YORK, NY, UNITED STATES"/>
    <s v="0092-0703"/>
    <s v="1552-7824"/>
    <s v=""/>
    <s v="J ACAD MARKET SCI"/>
    <s v="J. Acad. Mark. Sci."/>
    <s v="NOV"/>
    <n v="2019"/>
    <n v="47"/>
    <n v="6"/>
    <s v=""/>
    <s v=""/>
    <s v="SI"/>
    <s v=""/>
    <n v="1085"/>
    <n v="1108"/>
    <s v=""/>
    <s v="10.1007/s11747-019-00687-1"/>
    <s v="http://dx.doi.org/10.1007/s11747-019-00687-1"/>
    <s v=""/>
    <s v=""/>
    <n v="24"/>
    <s v="Business"/>
    <x v="0"/>
    <s v="Business &amp; Economics"/>
    <s v="JL2FB"/>
    <s v=""/>
    <s v=""/>
    <s v=""/>
    <s v=""/>
    <s v="2023-11-15"/>
    <x v="32"/>
    <s v="View Full Record in Web of Science"/>
  </r>
  <r>
    <s v="J"/>
    <s v="Brinch, M; Stentoft, J; Jensen, JK; Rajkumar, C"/>
    <s v=""/>
    <s v=""/>
    <s v=""/>
    <s v="Brinch, Morten; Stentoft, Jan; Jensen, Jesper Kronborg; Rajkumar, Christopher"/>
    <s v=""/>
    <s v=""/>
    <s v="Practitioners understanding of big data and its applications in supply chain management"/>
    <s v="INTERNATIONAL JOURNAL OF LOGISTICS MANAGEMENT"/>
    <s v=""/>
    <s v=""/>
    <s v="English"/>
    <x v="0"/>
    <s v=""/>
    <s v=""/>
    <s v=""/>
    <s v=""/>
    <s v=""/>
    <s v="Supply chain management; Big data; Decision making; Information technology; Mixed method; Business processes; Digital strategy; Applications"/>
    <s v="DECISION-SUPPORT-SYSTEMS; DATA ANALYTICS; PREDICTIVE ANALYTICS; BUSINESS ANALYTICS; DELPHI METHOD; DATA SCIENCE; OPERATIONS; INFORMATION; PERFORMANCE; FRAMEWORK"/>
    <s v="Purpose Big data poses as a valuable opportunity to further improve decision making in supply chain management (SCM). However, the understanding and application of big data seem rather elusive and only partially explored. The purpose of this paper is to create further guidance in understanding big data and to explore applications from a business process perspective. Design/methodology/approach This paper is based on a sequential mixed-method. First, a Delphi study was designed to gain insights regarding the terminology of big data and to identify and rank applications of big data in SCM using an adjusted supply chain operations reference (SCOR) process framework. This was followed by a questionnaire-survey among supply chain executives to elucidate the Delphi study findings and to assess the practical use of big data. Findings First, big data terminology seems to be more about data collection than of data management and data utilization. Second, the application of big data is most applicable for logistics, service and planning processes than of sourcing, manufacturing and return. Third, supply chain executives seem to have a slow adoption of big data. Research limitations/implications The Delphi study is explorative by nature and the questionnaire-survey rather small in scale; therefore, findings have limited generalizability. Practical implications The findings can help supply chain managers gain a clearer understanding of the domain of big data and guide them in where to deploy big data initiatives. Originality/value This study is the first to assess big data in the SCOR process framework and to rank applications of big data as a mean to guide the SCM community to where big data is most beneficial."/>
    <s v="[Brinch, Morten; Stentoft, Jan; Rajkumar, Christopher] Univ Southern Denmark, Dept Entrepreneurship &amp; Relationship Management, Kolding, Denmark; [Jensen, Jesper Kronborg] Energinet Dk, Dept Market Anal &amp; Design, Fredericia, Denmark"/>
    <s v="University of Southern Denmark"/>
    <s v="Brinch, M (corresponding author), Univ Southern Denmark, Dept Entrepreneurship &amp; Relationship Management, Kolding, Denmark."/>
    <s v="mobr@sam.sdu.dk"/>
    <s v="Brinch, Morten/H-2333-2017"/>
    <s v="Brinch, Morten/0000-0001-9497-9966"/>
    <s v=""/>
    <s v=""/>
    <s v=""/>
    <s v=""/>
    <n v="78"/>
    <n v="56"/>
    <n v="57"/>
    <n v="7"/>
    <n v="101"/>
    <s v="EMERALD GROUP PUBLISHING LTD"/>
    <s v="BINGLEY"/>
    <s v="HOWARD HOUSE, WAGON LANE, BINGLEY BD16 1WA, W YORKSHIRE, ENGLAND"/>
    <s v="0957-4093"/>
    <s v="1758-6550"/>
    <s v=""/>
    <s v="INT J LOGIST MANAG"/>
    <s v="Int. J. Logist. Manag."/>
    <s v=""/>
    <n v="2018"/>
    <n v="29"/>
    <n v="2"/>
    <s v=""/>
    <s v=""/>
    <s v="SI"/>
    <s v=""/>
    <n v="555"/>
    <n v="574"/>
    <s v=""/>
    <s v="10.1108/IJLM-05-2017-0115"/>
    <s v="http://dx.doi.org/10.1108/IJLM-05-2017-0115"/>
    <s v=""/>
    <s v=""/>
    <n v="20"/>
    <s v="Management"/>
    <x v="0"/>
    <s v="Business &amp; Economics"/>
    <s v="GH8EC"/>
    <s v=""/>
    <s v="Green Submitted"/>
    <s v=""/>
    <s v=""/>
    <s v="2023-11-15"/>
    <x v="33"/>
    <s v="View Full Record in Web of Science"/>
  </r>
  <r>
    <s v="J"/>
    <s v="Peter, MK; Kraft, C; Lindeque, J"/>
    <s v=""/>
    <s v=""/>
    <s v=""/>
    <s v="Peter, Marc K.; Kraft, Corin; Lindeque, Johan"/>
    <s v=""/>
    <s v=""/>
    <s v="Strategic action fields of digital transformation An exploration of the strategic action fields of Swiss SMEs and large enterprises"/>
    <s v="JOURNAL OF STRATEGY AND MANAGEMENT"/>
    <s v=""/>
    <s v=""/>
    <s v="English"/>
    <x v="0"/>
    <s v=""/>
    <s v=""/>
    <s v=""/>
    <s v=""/>
    <s v=""/>
    <s v="Business strategy; Digital transformation; Digitalization; Digital strategy; Digital business development; Strategic action fields"/>
    <s v="MATURITY; CAPABILITIES; TECHNOLOGY; CHALLENGES; READINESS; MODEL"/>
    <s v="Purpose The purpose of this paper is to capture the collective understanding of digital transformation (DT) across Swiss businesses and establish a reference framework based on the strategic action field (SAF) theory. Design/methodology/approach A number of Swiss associations provided their databases for an online survey. The large sample includes 2,590 participants from 1,854 organisations and delivered over 4,200 descriptions of DT, categorised into seven SAFs. A cross tabulation of SAF combinations by firm size identified 127 possible SAF combinations which constitute the common understanding of DT. Findings The data set allowed the identification of SAFs and the conceptualisation of DT based on a shared understanding. Drivers of digital transformation are: process engineering, new technologies and digital business development, supported by digital leadership and culture, the cloud and data, customer centricity and digital marketing. Originality/value For the first time, the shared understanding of DT in Swiss businesses - based on SAFs - has allowed a conceptualisation of DT in order to provide guidance to businesses managers and employees."/>
    <s v="[Peter, Marc K.; Kraft, Corin; Lindeque, Johan] Univ Appl Sci &amp; Arts Northwestern Switzerland FHN, Sch Business, Olten, Switzerland"/>
    <s v="FHNW University of Applied Sciences &amp; Arts Northwestern Switzerland"/>
    <s v="Peter, MK (corresponding author), Univ Appl Sci &amp; Arts Northwestern Switzerland FHN, Sch Business, Olten, Switzerland."/>
    <s v="marc.peter@fhnw.ch; corin.kraft@fhnw.ch; Johan.Lindeque@fhnw.ch"/>
    <s v="Lindeque, Johan P/G-5211-2013"/>
    <s v="Lindeque, Johan P/0000-0002-8303-2715; Peter, Marc/0000-0002-2897-0389"/>
    <s v=""/>
    <s v=""/>
    <s v=""/>
    <s v=""/>
    <n v="84"/>
    <n v="55"/>
    <n v="56"/>
    <n v="7"/>
    <n v="102"/>
    <s v="EMERALD GROUP PUBLISHING LTD"/>
    <s v="BINGLEY"/>
    <s v="HOWARD HOUSE, WAGON LANE, BINGLEY BD16 1WA, W YORKSHIRE, ENGLAND"/>
    <s v="1755-425X"/>
    <s v=""/>
    <s v=""/>
    <s v="J STRATEGY MANAG"/>
    <s v="J. Strategy Manag."/>
    <s v="FEB 17"/>
    <n v="2020"/>
    <n v="13"/>
    <n v="1"/>
    <s v=""/>
    <s v=""/>
    <s v=""/>
    <s v=""/>
    <n v="160"/>
    <n v="180"/>
    <s v=""/>
    <s v="10.1108/JSMA-05-2019-0070"/>
    <s v="http://dx.doi.org/10.1108/JSMA-05-2019-0070"/>
    <s v=""/>
    <s v="JAN 2020"/>
    <n v="21"/>
    <s v="Management"/>
    <x v="3"/>
    <s v="Business &amp; Economics"/>
    <s v="KO3KM"/>
    <s v=""/>
    <s v="hybrid"/>
    <s v=""/>
    <s v=""/>
    <s v="2023-11-15"/>
    <x v="34"/>
    <s v="View Full Record in Web of Science"/>
  </r>
  <r>
    <s v="J"/>
    <s v="Piskorski, MJ"/>
    <s v=""/>
    <s v=""/>
    <s v=""/>
    <s v="Piskorski, Mikolaj Jan"/>
    <s v=""/>
    <s v=""/>
    <s v="Social Strategies That Work"/>
    <s v="HARVARD BUSINESS REVIEW"/>
    <s v=""/>
    <s v=""/>
    <s v="English"/>
    <x v="0"/>
    <s v=""/>
    <s v=""/>
    <s v=""/>
    <s v=""/>
    <s v=""/>
    <s v=""/>
    <s v=""/>
    <s v="Although most companies have collected lots of friends and followers on social platforms such as Facebook, few have succeeded in generating profits there. That's because they merely port their digital strategies into social environments by broadcasting their commercial messages or seeking customer feedback. To succeed on social platforms, says Harvard Business School's Piskorski, businesses need to devise social strategies that are consistent with users' expectations and behavior in these venues namely, people want to connect with other people, not with companies. The author defines successful social strategies as those that reduce costs or increase customers' willingness to pay by helping people establish or strengthen relationships through doing free work on a company's behalf. Citing successes at Zynga, eBay, American Express, and Yelp, Piskorski shows that social strategies can generate profits by helping people connect in exchange for tasks that benefit the company such as customer acquisition, marketing, and content creation. He lays out a systematic way to build a social strategy and shows how a major credit card company he advised used the method to roll out its own strategy."/>
    <s v="Harvard Univ, Sch Business, Strategy Unit, Cambridge, MA 02138 USA"/>
    <s v="Harvard University"/>
    <s v="Piskorski, MJ (corresponding author), Harvard Univ, Sch Business, Strategy Unit, Cambridge, MA 02138 USA."/>
    <s v=""/>
    <s v=""/>
    <s v="Bernard, Jean-Luc/0009-0001-4768-7108"/>
    <s v=""/>
    <s v=""/>
    <s v=""/>
    <s v=""/>
    <n v="0"/>
    <n v="55"/>
    <n v="58"/>
    <n v="0"/>
    <n v="48"/>
    <s v="HARVARD BUSINESS SCHOOL PUBLISHING CORPORATION"/>
    <s v="WATERTOWN"/>
    <s v="300 NORTH BEACON STREET, WATERTOWN, MA 02472 USA"/>
    <s v="0017-8012"/>
    <s v=""/>
    <s v=""/>
    <s v="HARVARD BUS REV"/>
    <s v="Harv. Bus. Rev."/>
    <s v="NOV"/>
    <n v="2011"/>
    <n v="89"/>
    <n v="11"/>
    <s v=""/>
    <s v=""/>
    <s v=""/>
    <s v=""/>
    <n v="116"/>
    <s v="+"/>
    <s v=""/>
    <s v=""/>
    <s v=""/>
    <s v=""/>
    <s v=""/>
    <n v="8"/>
    <s v="Business; Management"/>
    <x v="0"/>
    <s v="Business &amp; Economics"/>
    <s v="838OT"/>
    <n v="22111430"/>
    <s v=""/>
    <s v=""/>
    <s v=""/>
    <s v="2023-11-15"/>
    <x v="35"/>
    <s v="View Full Record in Web of Science"/>
  </r>
  <r>
    <s v="J"/>
    <s v="Ross, JW; Sebastian, IM; Beath, CM"/>
    <s v=""/>
    <s v=""/>
    <s v=""/>
    <s v="Ross, Jeanne W.; Sebastian, Ina M.; Beath, Cynthia M."/>
    <s v=""/>
    <s v=""/>
    <s v="How to Develop a Great Digital Strategy"/>
    <s v="MIT SLOAN MANAGEMENT REVIEW"/>
    <s v=""/>
    <s v=""/>
    <s v="English"/>
    <x v="0"/>
    <s v=""/>
    <s v=""/>
    <s v=""/>
    <s v=""/>
    <s v=""/>
    <s v=""/>
    <s v=""/>
    <s v=""/>
    <s v="[Ross, Jeanne W.; Sebastian, Ina M.] MIT, Ctr Informat Syst Res, Cambridge, MA 02139 USA; [Beath, Cynthia M.] Univ Texas Austin, McCombs Sch Business, Austin, TX 78712 USA"/>
    <s v="Massachusetts Institute of Technology (MIT); University of Texas System; University of Texas Austin"/>
    <s v="Ross, JW (corresponding author), MIT, Ctr Informat Syst Res, Cambridge, MA 02139 USA."/>
    <s v="smrfeedback@mit.edu"/>
    <s v="Reinert, Leon/ADP-6076-2022"/>
    <s v=""/>
    <s v=""/>
    <s v=""/>
    <s v=""/>
    <s v=""/>
    <n v="0"/>
    <n v="52"/>
    <n v="52"/>
    <n v="3"/>
    <n v="122"/>
    <s v="SLOAN MANAGEMENT REVIEW ASSOC, MIT SLOAN SCHOOL MANAGEMENT"/>
    <s v="CAMBRIDGE"/>
    <s v="77 MASSACHUSETTS AVE, E60-100, CAMBRIDGE, MA 02139-4307 USA"/>
    <s v="1532-9194"/>
    <s v=""/>
    <s v=""/>
    <s v="MIT SLOAN MANAGE REV"/>
    <s v="MIT Sloan Manage. Rev."/>
    <s v="WIN"/>
    <n v="2017"/>
    <n v="58"/>
    <n v="2"/>
    <s v=""/>
    <s v=""/>
    <s v=""/>
    <s v=""/>
    <n v="7"/>
    <n v="9"/>
    <s v=""/>
    <s v=""/>
    <s v=""/>
    <s v=""/>
    <s v=""/>
    <n v="3"/>
    <s v="Business; Management"/>
    <x v="0"/>
    <s v="Business &amp; Economics"/>
    <s v="EE8IT"/>
    <s v=""/>
    <s v=""/>
    <s v=""/>
    <s v=""/>
    <s v="2023-11-15"/>
    <x v="36"/>
    <s v="View Full Record in Web of Science"/>
  </r>
  <r>
    <s v="J"/>
    <s v="Ritala, P; Baiyere, A; Hughes, M; Kraus, S"/>
    <s v=""/>
    <s v=""/>
    <s v=""/>
    <s v="Ritala, Paavo; Baiyere, Abayomi; Hughes, Mathew; Kraus, Sascha"/>
    <s v=""/>
    <s v=""/>
    <s v="Digital strategy implementation: The role of individual entrepreneurial orientation and relational capital"/>
    <s v="TECHNOLOGICAL FORECASTING AND SOCIAL CHANGE"/>
    <s v=""/>
    <s v=""/>
    <s v="English"/>
    <x v="0"/>
    <s v=""/>
    <s v=""/>
    <s v=""/>
    <s v=""/>
    <s v=""/>
    <s v="Digital strategy; Individual entrepreneurial orientation; Proactiveness; Risk-taking; Innovativeness; Relational capital; Performance"/>
    <s v="DESIGN SCIENCE RESEARCH; INFORMATION-SYSTEMS; CORPORATE ENTREPRENEURSHIP; DYNAMIC CAPABILITIES; FIRM PERFORMANCE; USER ACCEPTANCE; KNOWLEDGE; TECHNOLOGY; WORK; INNOVATION"/>
    <s v="In transformational strategy contexts such as digitalization, the entrepreneurial behavior of the firm's employees is crucial. This study examines the role of employees' individual-level entrepreneurial orientation (IEO) in terms of proactiveness, risk-taking, and innovativeness, and their relational capital within the organization, on their performance in achieving organizations' digital strategy goals. We hypothesize that all IEO dimensions are positively associated with employees' digital strategy performance and that relational capital positively moderates the effect of proactiveness and risk-taking but negatively moderates the effect of innovativeness. The results of an intra-organizational survey of 166 employees at a medium-sized Northern European manufacturing firm provide partial support for our hypotheses. As part of the empirical design, we introduce a four-dimensional scale for organizational and individual digital strategy performance (Digital - Management, Infrastructure, Networking, and development - MIND). With this scale, we contrast the informants' self-assessment of their individual performance against their assessment of the overall organizational performance. Our study is one of the first to investigate IEO in a digital strategy context and provides implications for harnessing employees' entrepreneurial and innovative potential in digital transformation."/>
    <s v="[Ritala, Paavo] LUT Univ, Sch Business &amp; Management, Lappeenranta, Finland; [Baiyere, Abayomi] Copenhagen Business Sch, Dept Digitalizat, Copenhagen, Denmark; [Baiyere, Abayomi] Univ Turku, Informat Syst Sci, Turku, Finland; [Hughes, Mathew] Loughborough Univ, Sch Business &amp; Econ, Loughborough LE11 3TU, Leics, England; [Kraus, Sascha] Free Univ Bozen Bolzano, Fac Econ &amp; Management, Piazza Univ 1, I-39100 Bolzano, Italy"/>
    <s v="Lappeenranta-Lahti University of Technology LUT; Copenhagen Business School; University of Turku; Loughborough University; Free University of Bozen-Bolzano"/>
    <s v="Ritala, P (corresponding author), LUT Univ, Sch Business &amp; Management, Lappeenranta, Finland."/>
    <s v="ritala@lut.fi; aba.digi@cbs.dk; m.hughes2@lboro.ac.uk; sascha.kraus@zfke.de"/>
    <s v=""/>
    <s v="Ritala, Paavo/0000-0002-8525-4610; Hughes, Mathew/0000-0001-6859-558X"/>
    <s v="PoDoCo - Post Docs in Companies"/>
    <s v="PoDoCo - Post Docs in Companies"/>
    <s v="We want to thank PoDoCo -Post Docs in Companies -for financial support regarding this research. We also want to thank Hannu Salmela, Matti Mantymaki, and Milla Wirren for their support."/>
    <s v=""/>
    <n v="146"/>
    <n v="49"/>
    <n v="49"/>
    <n v="41"/>
    <n v="254"/>
    <s v="ELSEVIER SCIENCE INC"/>
    <s v="NEW YORK"/>
    <s v="STE 800, 230 PARK AVE, NEW YORK, NY 10169 USA"/>
    <s v="0040-1625"/>
    <s v="1873-5509"/>
    <s v=""/>
    <s v="TECHNOL FORECAST SOC"/>
    <s v="Technol. Forecast. Soc. Chang."/>
    <s v="OCT"/>
    <n v="2021"/>
    <n v="171"/>
    <s v=""/>
    <s v=""/>
    <s v=""/>
    <s v=""/>
    <s v=""/>
    <s v=""/>
    <s v=""/>
    <n v="120961"/>
    <s v="10.1016/j.techfore.2021.120961"/>
    <s v="http://dx.doi.org/10.1016/j.techfore.2021.120961"/>
    <s v=""/>
    <s v="JUN 2021"/>
    <n v="15"/>
    <s v="Business; Regional &amp; Urban Planning"/>
    <x v="0"/>
    <s v="Business &amp; Economics; Public Administration"/>
    <s v="TU7XL"/>
    <s v=""/>
    <s v="Green Published, hybrid"/>
    <s v=""/>
    <s v=""/>
    <s v="2023-11-15"/>
    <x v="37"/>
    <s v="View Full Record in Web of Science"/>
  </r>
  <r>
    <s v="J"/>
    <s v="Chester, J; Montgomery, KC"/>
    <s v=""/>
    <s v=""/>
    <s v=""/>
    <s v="Chester, Jeff; Montgomery, Kathryn C."/>
    <s v=""/>
    <s v=""/>
    <s v="The role of digital marketing in political campaigns"/>
    <s v="INTERNET POLICY REVIEW"/>
    <s v=""/>
    <s v=""/>
    <s v="English"/>
    <x v="0"/>
    <s v=""/>
    <s v=""/>
    <s v=""/>
    <s v=""/>
    <s v=""/>
    <s v="Elections; Advertising; Privacy; Analytics; Profiling"/>
    <s v="LAW"/>
    <s v="Computational politics-the application of digital targeted-marketing technologies to election campaigns in the US and elsewhere-are now raising the same concerns for democratic discourse and governance that they have long raised for consumer privacy and welfare in the commercial marketplace. This paper examines the digital strategies and technologies of today's political operations, explaining how they were employed during the most recent US election cycle, and exploring the implications of their continued use in the civic context. The paper concludes with a discussion of recent policy proposals designed to increase transparency and accountability in digital politics."/>
    <s v="[Chester, Jeff] Ctr Digital Democracy, Washington, DC 20006 USA; [Montgomery, Kathryn C.] Amer Univ, Sch Commun, Washington, DC 20016 USA"/>
    <s v="American University"/>
    <s v="Chester, J (corresponding author), Ctr Digital Democracy, Washington, DC 20006 USA."/>
    <s v=""/>
    <s v=""/>
    <s v=""/>
    <s v=""/>
    <s v=""/>
    <s v=""/>
    <s v=""/>
    <n v="97"/>
    <n v="47"/>
    <n v="48"/>
    <n v="1"/>
    <n v="26"/>
    <s v="ALEXANDER VON HUMBOLDT INST INTERNET &amp; SOC"/>
    <s v="BERLIN"/>
    <s v="OBERWALLSTRASSE 9, BERLIN, 10117, GERMANY"/>
    <s v="2197-6775"/>
    <s v=""/>
    <s v=""/>
    <s v="INTERNET POLICY REV"/>
    <s v="Internet Policy Rev."/>
    <s v="DEC"/>
    <n v="2017"/>
    <n v="6"/>
    <n v="4"/>
    <s v=""/>
    <s v=""/>
    <s v="SI"/>
    <s v=""/>
    <s v=""/>
    <s v=""/>
    <s v=""/>
    <s v="10.14763/2017.4.773"/>
    <s v="http://dx.doi.org/10.14763/2017.4.773"/>
    <s v=""/>
    <s v=""/>
    <n v="20"/>
    <s v="Communication; Law"/>
    <x v="3"/>
    <s v="Communication; Government &amp; Law"/>
    <s v="FV4WY"/>
    <s v=""/>
    <s v="gold, Green Submitted"/>
    <s v=""/>
    <s v=""/>
    <s v="2023-11-15"/>
    <x v="38"/>
    <s v="View Full Record in Web of Science"/>
  </r>
  <r>
    <s v="J"/>
    <s v="Xie, XM; Han, YH; Anderson, A; Ribeiro-Navarrete, S"/>
    <s v=""/>
    <s v=""/>
    <s v=""/>
    <s v="Xie, Xuemei; Han, Yuhang; Anderson, Alistair; Ribeiro-Navarrete, Samuel"/>
    <s v=""/>
    <s v=""/>
    <s v="Digital platforms and SMEs' business model innovation: Exploring the mediating mechanisms of capability reconfiguration"/>
    <s v="INTERNATIONAL JOURNAL OF INFORMATION MANAGEMENT"/>
    <s v=""/>
    <s v=""/>
    <s v="English"/>
    <x v="0"/>
    <s v=""/>
    <s v=""/>
    <s v=""/>
    <s v=""/>
    <s v=""/>
    <s v="Digital platforms; Business model innovation; Capability reconfiguration; Dynamic capability; SMEs"/>
    <s v="INDUSTRY 4.0; DYNAMIC CAPABILITIES; PERFORMANCE; EVOLUTION; STRATEGY; ROLES; TRANSFORMATION; COLLABORATION; TECHNOLOGIES; INVOLVEMENT"/>
    <s v="In our digital era, many small and medium-sized enterprises (SMEs) face the challenge of relying on digital platforms to enhance their business model innovation. Prior research on this subject has mainly focused on the interaction between SMEs and their partners through their use of digital platforms. Meanwhile, how SMEs reconfigure their capabilities to promote business model innovation by adopting digital platforms has remained an under-researched area. To address this gap, we establish a conceptual framework to explain how digital platforms affect SMEs' business model innovation through capability reconfiguration, and we then test this conceptual framework empirically by using a sample of 325 manufacturing SMEs in China. We find that digital platforms positively affect both business model innovation and the capability reconfiguration of SMEs. We also find that both evolutionary capability reconfiguration and substitutional capability reconfiguration mediate the relationship between digital platforms and SMEs' business model innovation. These findings contribute theoretically to the research on digital platforms and SMEs while also providing important managerial implications for policymakers and SMEs to help firms implement digital strategies."/>
    <s v="[Xie, Xuemei; Han, Yuhang] Tongji Univ, Sch Econ &amp; Management, Shanghai 200092, Peoples R China; [Anderson, Alistair] Lancaster Univ Management Sch, Lancaster, England; [Ribeiro-Navarrete, Samuel] ES Business &amp; Mkt Sch, Madrid, Spain"/>
    <s v="Tongji University"/>
    <s v="Han, YH (corresponding author), Tongji Univ, Sch Econ &amp; Management, Shanghai 200092, Peoples R China."/>
    <s v="hanyuhang@tongji.edu.cn"/>
    <s v="Ribeiro-Navarrete, Samuel/GXW-2229-2022; Xie, X.M./ABQ-6831-2022; Han, Yuhang/HGB-0213-2022; Ribeiro-Navarrete, Samuel/CAG-7783-2022"/>
    <s v="HAN, Yuhang/0000-0002-7688-619X; Ribeiro-Navarrete, Samuel/0000-0003-1046-5322"/>
    <s v="National Natural Science Foundation of China [71922016, 71772118]; Major Project of National Social Science Fund of China [20ZD059]; Fundamental Research Funds for the Central Universities [22120220119]"/>
    <s v="National Natural Science Foundation of China(National Natural Science Foundation of China (NSFC)); Major Project of National Social Science Fund of China; Fundamental Research Funds for the Central Universities(Fundamental Research Funds for the Central Universities)"/>
    <s v="This research was supported by the National Natural Science Foundation of China (Grant number: 71922016; 71772118) , Major Project of National Social Science Fund of China (Grant number: 20&amp;ZD059) , and the Fundamental Research Funds for the Central Universities (Grant number: 22120220119) ."/>
    <s v=""/>
    <n v="107"/>
    <n v="38"/>
    <n v="38"/>
    <n v="187"/>
    <n v="605"/>
    <s v="ELSEVIER SCI LTD"/>
    <s v="OXFORD"/>
    <s v="THE BOULEVARD, LANGFORD LANE, KIDLINGTON, OXFORD OX5 1GB, OXON, ENGLAND"/>
    <s v="0268-4012"/>
    <s v="1873-4707"/>
    <s v=""/>
    <s v="INT J INFORM MANAGE"/>
    <s v="Int. J. Inf. Manage."/>
    <s v="AUG"/>
    <n v="2022"/>
    <n v="65"/>
    <s v=""/>
    <s v=""/>
    <s v=""/>
    <s v=""/>
    <s v=""/>
    <s v=""/>
    <s v=""/>
    <n v="102513"/>
    <s v="10.1016/j.ijinfomgt.2022.102513"/>
    <s v="http://dx.doi.org/10.1016/j.ijinfomgt.2022.102513"/>
    <s v=""/>
    <s v="MAR 2022"/>
    <n v="13"/>
    <s v="Information Science &amp; Library Science"/>
    <x v="0"/>
    <s v="Information Science &amp; Library Science"/>
    <s v="0Z7YM"/>
    <s v=""/>
    <s v=""/>
    <s v=""/>
    <s v=""/>
    <s v="2023-11-15"/>
    <x v="39"/>
    <s v="View Full Record in Web of Science"/>
  </r>
  <r>
    <s v="J"/>
    <s v="Proksch, D; Rosin, AF; Stubner, S; Pinkwart, A"/>
    <s v=""/>
    <s v=""/>
    <s v=""/>
    <s v="Proksch, Dorian; Rosin, Anna Frieda; Stubner, Stephan; Pinkwart, Andreas"/>
    <s v=""/>
    <s v=""/>
    <s v="The influence of a digital strategy on the digitalization of new ventures: The mediating effect of digital capabilities and a digital culture"/>
    <s v="JOURNAL OF SMALL BUSINESS MANAGEMENT"/>
    <s v=""/>
    <s v=""/>
    <s v="English"/>
    <x v="2"/>
    <s v=""/>
    <s v=""/>
    <s v=""/>
    <s v=""/>
    <s v=""/>
    <s v="Digital entrepreneurship; digital new ventures; digital strategy"/>
    <s v=""/>
    <s v="A higher degree of digitalization in new ventures' product/service offerings and their processes can lead to a faster time to market and the ability to rapidly scale. Hence, it has the possibility to significantly impact the performance. To increase the degree of digitalization in new ventures, they can implement a digital strategy. Currently there is no evidence if this measure has a strong impact on the degree of digitalization. We therefore empirically investigate the influence of a digital strategy on the degree of digitalization in new ventures' products/services and processes. We analyzed 102 new ventures using SEM. Building on the contingency theory, we show that only having a digital strategy is insufficient to achieve a high degree of digitalization. The digitalization of products/services is partially mediated by digital IT capabilities, and the effect of digital strategy on process digitalization is partially mediated by digital IT capabilities and a digital culture."/>
    <s v="[Proksch, Dorian; Pinkwart, Andreas] HHL Leipzig Grad Sch Management, Stiftungsfond Deutsch Bank Chair Innovat Manageme, Leipzig, Germany; [Proksch, Dorian] Univ Twente, Fac Behav Management &amp; Social Studies, Res Grp Entrepreneurship &amp; Technol Management ETM, Enschede, Netherlands; [Rosin, Anna Frieda; Stubner, Stephan] HHL Leipzig Grad Sch Management, Porsche Chair Strateg Management &amp; Digital Entrep, Leipzig, Germany"/>
    <s v="HHL Leipzig Graduate School of Management; University of Twente; HHL Leipzig Graduate School of Management"/>
    <s v="Proksch, D (corresponding author), Fac Behav Management &amp; Social Studies, RA2109,POB 217, NL-7500 AE Enschede, Netherlands."/>
    <s v="d.e.proksch@utwente.nl"/>
    <s v=""/>
    <s v="Proksch, Dorian/0000-0002-8252-3248"/>
    <s v=""/>
    <s v=""/>
    <s v=""/>
    <s v=""/>
    <n v="110"/>
    <n v="38"/>
    <n v="39"/>
    <n v="53"/>
    <n v="394"/>
    <s v="TAYLOR &amp; FRANCIS INC"/>
    <s v="PHILADELPHIA"/>
    <s v="530 WALNUT STREET, STE 850, PHILADELPHIA, PA 19106 USA"/>
    <s v="0047-2778"/>
    <s v="1540-627X"/>
    <s v=""/>
    <s v="J SMALL BUS MANAGE"/>
    <s v="J. Small Bus. Manag."/>
    <s v="2021 MAR 18"/>
    <n v="2021"/>
    <s v=""/>
    <s v=""/>
    <s v=""/>
    <s v=""/>
    <s v=""/>
    <s v=""/>
    <s v=""/>
    <s v=""/>
    <s v=""/>
    <s v="10.1080/00472778.2021.1883036"/>
    <s v="http://dx.doi.org/10.1080/00472778.2021.1883036"/>
    <s v=""/>
    <s v="MAR 2021"/>
    <n v="29"/>
    <s v="Management"/>
    <x v="0"/>
    <s v="Business &amp; Economics"/>
    <s v="QX5YO"/>
    <s v=""/>
    <s v="Green Published"/>
    <s v=""/>
    <s v=""/>
    <s v="2023-11-15"/>
    <x v="40"/>
    <s v="View Full Record in Web of Science"/>
  </r>
  <r>
    <s v="J"/>
    <s v="Straker, K; Wrigley, C; Rosemann, M"/>
    <s v=""/>
    <s v=""/>
    <s v=""/>
    <s v="Straker, Karla; Wrigley, Cara; Rosemann, Michael"/>
    <s v=""/>
    <s v=""/>
    <s v="Typologies and touchpoints: designing multi-channel digital strategies"/>
    <s v="JOURNAL OF RESEARCH IN INTERACTIVE MARKETING"/>
    <s v=""/>
    <s v=""/>
    <s v="English"/>
    <x v="0"/>
    <s v=""/>
    <s v=""/>
    <s v=""/>
    <s v=""/>
    <s v=""/>
    <s v="Hierarchical relations; Channel management; Channels; Digital channels; Establishing typology; Industry relationship model"/>
    <s v="INFORMATION-TECHNOLOGY; FUTURE; AGE"/>
    <s v="Purpose - This study aims to gain a clearer understanding of digital channel design. The emergence of new technologies has revolutionised the way companies interact and engage with customers. The driver for this research was the suggestion that practitioners feel they do not possess the skills to understand and exploit new digital channel opportunities. To gain a clearer understanding of digital channel design, this paper addresses the research question: What digital channels do companies from a wide range of industries and sectors use? Design/methodology/approach - A content analysis of 100 international companies was conducted with multiple data sources to form a typology of digital touchpoints. The appropriateness of a digital channel typology for this study was for developing rigorous and useful concepts for clarifying and refining the meaning of digital channels. Findings - This study identifies what digital channels companies globally currently employ and explores the related needs across industries. A total of 34 digital touchpoints and 4 typologies of digital channels were identified across 16 industries. This research helps to identify the relationship between digital channels and enabling the connections with industry. Research limitations/implications - The findings contribute to the growing research area of digital channels. The typology of digital channels is a useful starting point for developing a systematic, theory-based study for enabling the development of broader, comprehensive theories of digital channels. Practical implications - Typologies and touchpoints are outlined in relation to industry, company objectives and customer needs to allow businesses to seize opportunities and optimise performance through individual touchpoints. A digital channel model as a key outcome of this research guides practitioners on what touchpoint to implement through an interrelated understanding of industry, company and customer needs. Originality/value - This is the first paper to explore a range of industries in relation to their use of digital channels using a unique content analysis. Contributions include clarifying and refining digital channel meaning; identifying and refining the hierarchical relations among digital channels (typologies); and establishing typology and industry relationship model."/>
    <s v="[Straker, Karla] Queensland Univ Technol, Sch Design, Brisbane, Qld 4001, Australia; [Wrigley, Cara] Queensland Univ Technol, Sch Design, Sch Informat Syst, Brisbane, Qld 4001, Australia; [Rosemann, Michael] Queensland Univ Technol, Sch Informat Syst, Brisbane, Qld 4001, Australia"/>
    <s v="Queensland University of Technology (QUT); Queensland University of Technology (QUT); Queensland University of Technology (QUT)"/>
    <s v="Straker, K (corresponding author), Queensland Univ Technol, Sch Design, Brisbane, Qld 4001, Australia."/>
    <s v="k.straker@qut.edu.au"/>
    <s v="Rosemann, Michael/I-9823-2012; Straker, Karla/AAM-3797-2021"/>
    <s v="Wrigley, Cara/0000-0001-7349-8469; Straker, Karla/0000-0002-6520-4173; Rosemann, Michael/0000-0003-3303-2896"/>
    <s v=""/>
    <s v=""/>
    <s v=""/>
    <s v=""/>
    <n v="37"/>
    <n v="37"/>
    <n v="37"/>
    <n v="1"/>
    <n v="38"/>
    <s v="EMERALD GROUP PUBLISHING LTD"/>
    <s v="BINGLEY"/>
    <s v="HOWARD HOUSE, WAGON LANE, BINGLEY BD16 1WA, W YORKSHIRE, ENGLAND"/>
    <s v="2040-7122"/>
    <s v="2040-7130"/>
    <s v=""/>
    <s v="J RES INTERACT MARK"/>
    <s v="J. Res. Interact. Mark."/>
    <s v=""/>
    <n v="2015"/>
    <n v="9"/>
    <n v="2"/>
    <s v=""/>
    <s v=""/>
    <s v="SI"/>
    <s v=""/>
    <n v="110"/>
    <n v="128"/>
    <s v=""/>
    <s v="10.1108/JRIM-06-2014-0039"/>
    <s v="http://dx.doi.org/10.1108/JRIM-06-2014-0039"/>
    <s v=""/>
    <s v=""/>
    <n v="19"/>
    <s v="Business"/>
    <x v="3"/>
    <s v="Business &amp; Economics"/>
    <s v="CM9TF"/>
    <s v=""/>
    <s v=""/>
    <s v=""/>
    <s v=""/>
    <s v="2023-11-15"/>
    <x v="41"/>
    <s v="View Full Record in Web of Science"/>
  </r>
  <r>
    <s v="J"/>
    <s v="DJUKANOVIC, M; NEVICEVIC, M; SOBAJIC, DJ; PAO, YP"/>
    <s v=""/>
    <s v=""/>
    <s v=""/>
    <s v="DJUKANOVIC, M; NEVICEVIC, M; SOBAJIC, DJ; PAO, YP"/>
    <s v=""/>
    <s v=""/>
    <s v="CONCEPTUAL DEVELOPMENT OF OPTIMAL LOAD FREQUENCY CONTROL USING ARTIFICIAL NEURAL NETWORKS AND FUZZY SET-THEORY"/>
    <s v="ENGINEERING INTELLIGENT SYSTEMS FOR ELECTRICAL ENGINEERING AND COMMUNICATIONS"/>
    <s v=""/>
    <s v=""/>
    <s v="English"/>
    <x v="0"/>
    <s v=""/>
    <s v=""/>
    <s v=""/>
    <s v=""/>
    <s v=""/>
    <s v="OPTIMAL LOAD FREQUENCY CONTROL; ARTIFICIAL NEURAL NETWORKS; FUZZY SET THEORY"/>
    <s v="AUTOMATIC-GENERATION CONTROL; DYNAMIC SECURITY ASSESSMENT; ELECTRIC-POWER SYSTEMS"/>
    <s v="Design of a new adaptive optimal load frequency control (LFC) system using an artificial neural network (ANN) and its performance irt a computer simulation of the two-area load frequency control problem is demonstrated In order to achieve minimization of the excursions of area control errors (ACEs), their integrals and control vectors about the steady stare values over a wide range of operating conditions, it is desirable to adapt elements of the feedback matrix K. The control system design is based on the pattern recognition principle and ill implementation on the parallel distributed computational architecture of artificial neural networks. A comparison between neural-net based LFC and fuzzy logic based LFC is presented. The fuzzy logic controller based on a set of fuzzy logic operations that are performed on controller inputs, provides a means of converting a linguistic control strategy based on expert knowledge into an efficient control strategy. Digital simulations of two-area power system dynamic response subject to a disturbance of a step load change under different oper ating conditions are performed and the comparisons of conventional integral control, stare space optimal control and neural-net based optimal control are presented, The effectiveness of the proposed fuzzy logic controller is illustrated through the comparison of dynamic performances obtained using fuzzy controller and the state-space optimal controller."/>
    <s v="JUGEL,BELGRADE,YUGOSLAVIA; ELECT POWER RES INST,PALO ALTO,CA 94304; CASE WESTERN RESERVE UNIV,DEPT ELECT ENGN &amp; COMP SCI,CLEVELAND,OH 44106; AI WARE INC,CLEVELAND,OH 44106"/>
    <s v="Electric Power Research Institute (EPRI); Case Western Reserve University"/>
    <s v="DJUKANOVIC, M (corresponding author), ELECT ENGN INST NIKOLA TESLA,BELGRADE,YUGOSLAVIA."/>
    <s v=""/>
    <s v=""/>
    <s v=""/>
    <s v=""/>
    <s v=""/>
    <s v=""/>
    <s v=""/>
    <n v="26"/>
    <n v="37"/>
    <n v="37"/>
    <n v="0"/>
    <n v="0"/>
    <s v="C R L PUBLISHING LTD"/>
    <s v="MARKET HARBOROUGH"/>
    <s v="PO BOX 31, MARKET HARBOROUGH, LEICS, ENGLAND LE16 9RQ"/>
    <s v="0969-1170"/>
    <s v=""/>
    <s v=""/>
    <s v="ENG INTELL SYST ELEC"/>
    <s v="Eng. Intell. Syst. Elect. Eng. Commun."/>
    <s v="JUN"/>
    <n v="1995"/>
    <n v="3"/>
    <n v="2"/>
    <s v=""/>
    <s v=""/>
    <s v=""/>
    <s v=""/>
    <n v="95"/>
    <n v="108"/>
    <s v=""/>
    <s v=""/>
    <s v=""/>
    <s v=""/>
    <s v=""/>
    <n v="14"/>
    <s v="Computer Science, Artificial Intelligence; Engineering, Electrical &amp; Electronic"/>
    <x v="2"/>
    <s v="Computer Science; Engineering"/>
    <s v="RE970"/>
    <s v=""/>
    <s v=""/>
    <s v=""/>
    <s v=""/>
    <s v="2023-11-15"/>
    <x v="42"/>
    <s v="View Full Record in Web of Science"/>
  </r>
  <r>
    <s v="J"/>
    <s v="Mikalef, P; Lemmer, K; Schaefer, C; Ylinen, M; Fjortoft, SO; Torvatn, HY; Gupta, M; Niehaves, B"/>
    <s v=""/>
    <s v=""/>
    <s v=""/>
    <s v="Mikalef, Patrick; Lemmer, Kristina; Schaefer, Cindy; Ylinen, Maija; Fjortoft, Siw Olsen; Torvatn, Hans Yngvar; Gupta, Manjul; Niehaves, Bjoern"/>
    <s v=""/>
    <s v=""/>
    <s v="Enabling AI capabilities in government agencies: A study of determinants for European municipalities"/>
    <s v="GOVERNMENT INFORMATION QUARTERLY"/>
    <s v=""/>
    <s v=""/>
    <s v="English"/>
    <x v="0"/>
    <s v=""/>
    <s v=""/>
    <s v=""/>
    <s v=""/>
    <s v=""/>
    <s v="Artificial intelligence; Public organizations; AI capabilities; TOE framework"/>
    <s v="BIG DATA ANALYTICS; ARTIFICIAL-INTELLIGENCE; FIRM PERFORMANCE; PLS-SEM; INFORMATION-TECHNOLOGY; USER ACCEPTANCE; ADOPTION; CHALLENGES; MODEL; SERVICES"/>
    <s v="Artificial Intelligence (AI) is gradually becoming an integral part of the digital strategy of organizations. Yet, the use of AI in public organizations in still lagging significantly compared to private organizations. Prior literature looking into aspects that facilitate adoption and use of AI has concentrated on challenges concerning technical aspects of AI technologies, providing little insight regarding the organizational deployment of AI, particularly in public organizations. Building on this gap, this study seeks to examine what aspects enable public organizations to develop AI capabilities. To answer this question, we built an integrated and extended model from the Technology-Organization-Environment framework (TOE) and asked high-level technology managers from municipalities in Europe about factors that influence their development of AI capabilities. We collected data from 91 municipalities from three European countries (i.e., Germany, Norway, and Finland) and analyzed responses by means of structural equation modeling. Our findings indicate that five factors - i.e. perceived financial costs, organizational innovativeness, perceived governmental pressure, government incentives, regulatory support have an impact on the development of AI capabilities. We also find that perceived citizen pressure and perceived value of AI solutions are not important determinants of AI capability formation. Our findings bear the potential to stimulate a more reflected adoption of AI supporting managers in public organizations to develop AI capabilities."/>
    <s v="[Mikalef, Patrick; Fjortoft, Siw Olsen; Torvatn, Hans Yngvar] SINTEF Digital, Dept Technol Management, SP Andersens Vei 3, N-7032 Trondheim, Norway; [Lemmer, Kristina; Schaefer, Cindy; Niehaves, Bjoern] Univ Siegen, Inst Business &amp; Informat Syst Engn, Siegen, Germany; [Ylinen, Maija] Tampere Univ Technol, Dept Ind Management, Tampere, Finland; [Gupta, Manjul] Florida Int Univ, Coll Business, Dept Informat Syst &amp; Business Analyt, Miami, FL 33199 USA"/>
    <s v="SINTEF; Universitat Siegen; Tampere University; State University System of Florida; Florida International University"/>
    <s v="Mikalef, P (corresponding author), SINTEF Digital, Dept Technol Management, SP Andersens Vei 3, N-7032 Trondheim, Norway."/>
    <s v="patrick.mikalef@sintef.no"/>
    <s v="Mikalef, Patrick/GVU-5020-2022"/>
    <s v="Mikalef, Patrick/0000-0002-6788-2277; Ylinen, Maija Tuulikki/0000-0001-6331-7847"/>
    <s v="Slovenian Research Agency [P5-0410]"/>
    <s v="Slovenian Research Agency(Slovenian Research Agency - Slovenia)"/>
    <s v="The authors acknowledge the financial support from the Slovenian Research Agency (research core funding No. P5-0410)."/>
    <s v=""/>
    <n v="94"/>
    <n v="35"/>
    <n v="35"/>
    <n v="57"/>
    <n v="114"/>
    <s v="ELSEVIER INC"/>
    <s v="SAN DIEGO"/>
    <s v="525 B STREET, STE 1900, SAN DIEGO, CA 92101-4495 USA"/>
    <s v="0740-624X"/>
    <s v="1872-9517"/>
    <s v=""/>
    <s v="GOV INFORM Q"/>
    <s v="Gov. Inf. Q."/>
    <s v="OCT"/>
    <n v="2022"/>
    <n v="39"/>
    <n v="4"/>
    <s v=""/>
    <s v=""/>
    <s v=""/>
    <s v=""/>
    <s v=""/>
    <s v=""/>
    <n v="101596"/>
    <s v="10.1016/j.giq.2021.101596"/>
    <s v="http://dx.doi.org/10.1016/j.giq.2021.101596"/>
    <s v=""/>
    <s v="SEP 2022"/>
    <n v="15"/>
    <s v="Information Science &amp; Library Science"/>
    <x v="0"/>
    <s v="Information Science &amp; Library Science"/>
    <s v="6M4NR"/>
    <s v=""/>
    <s v="hybrid"/>
    <s v=""/>
    <s v=""/>
    <s v="2023-11-15"/>
    <x v="43"/>
    <s v="View Full Record in Web of Science"/>
  </r>
  <r>
    <s v="J"/>
    <s v="Davis, JL"/>
    <s v=""/>
    <s v=""/>
    <s v=""/>
    <s v="Davis, Jenny L."/>
    <s v=""/>
    <s v=""/>
    <s v="Curation: a theoretical treatment"/>
    <s v="INFORMATION COMMUNICATION &amp; SOCIETY"/>
    <s v=""/>
    <s v=""/>
    <s v="English"/>
    <x v="0"/>
    <s v=""/>
    <s v=""/>
    <s v=""/>
    <s v=""/>
    <s v=""/>
    <s v="Identity; curation; production; consumption; digital media; social media"/>
    <s v="CONTEXT COLLAPSE; PRIVACY; INTERNET; FACEBOOK"/>
    <s v="Curation is a key mechanism of sociality in a digital era. With an abundance of information, sifting, sorting, selecting, hiding, and standing out become laborious tasks. While researchers have diligently documented people's curatorial strategies, digital curation remains undertheorized in its own right. I therefore theorize digital curation by disentangling productive curation from consumptive curation, addressing how people curate content that they share, and that which they consume. I embed these agentic curatorial practices within structural bounds, both social and technological. In doing so, I offer a basic theoretical model that captures a dynamic relationship between individual curators, their social networks, and technological design."/>
    <s v="[Davis, Jenny L.] James Madison Univ, Dept Sociol, Harrisonburg, VA 22807 USA"/>
    <s v="James Madison University"/>
    <s v="Davis, JL (corresponding author), James Madison Univ, Dept Sociol, Harrisonburg, VA 22807 USA."/>
    <s v="davis5jl@jmu.edu"/>
    <s v="Davis, Jenny L/P-1898-2017"/>
    <s v="Davis, Jenny L/0000-0003-0952-5842"/>
    <s v=""/>
    <s v=""/>
    <s v=""/>
    <s v=""/>
    <n v="45"/>
    <n v="35"/>
    <n v="35"/>
    <n v="1"/>
    <n v="42"/>
    <s v="ROUTLEDGE JOURNALS, TAYLOR &amp; FRANCIS LTD"/>
    <s v="ABINGDON"/>
    <s v="2-4 PARK SQUARE, MILTON PARK, ABINGDON OX14 4RN, OXON, ENGLAND"/>
    <s v="1369-118X"/>
    <s v="1468-4462"/>
    <s v=""/>
    <s v="INFORM COMMUN SOC"/>
    <s v="Info. Commun. Soc."/>
    <s v=""/>
    <n v="2017"/>
    <n v="20"/>
    <n v="5"/>
    <s v=""/>
    <s v=""/>
    <s v=""/>
    <s v=""/>
    <n v="770"/>
    <n v="783"/>
    <s v=""/>
    <s v="10.1080/1369118X.2016.1203972"/>
    <s v="http://dx.doi.org/10.1080/1369118X.2016.1203972"/>
    <s v=""/>
    <s v=""/>
    <n v="14"/>
    <s v="Communication; Sociology"/>
    <x v="0"/>
    <s v="Communication; Sociology"/>
    <s v="EO6UJ"/>
    <s v=""/>
    <s v=""/>
    <s v=""/>
    <s v=""/>
    <s v="2023-11-15"/>
    <x v="44"/>
    <s v="View Full Record in Web of Science"/>
  </r>
  <r>
    <s v="J"/>
    <s v="Ellström, D; Holtstrom, J; Berg, E; Johansson, C"/>
    <s v=""/>
    <s v=""/>
    <s v=""/>
    <s v="Ellstrom, Daniel; Holtstrom, Johan; Berg, Emma; Johansson, Cecilia"/>
    <s v=""/>
    <s v=""/>
    <s v="Dynamic capabilities for digital transformation"/>
    <s v="JOURNAL OF STRATEGY AND MANAGEMENT"/>
    <s v=""/>
    <s v=""/>
    <s v="English"/>
    <x v="0"/>
    <s v=""/>
    <s v=""/>
    <s v=""/>
    <s v=""/>
    <s v=""/>
    <s v="Digital transformation; Dynamic capabilities; Routines; Digitalization; Qualitative research; Innovation; Technology"/>
    <s v="TRANSACTION COST; INNOVATION; STRATEGY; MICROFOUNDATIONS; EXPLORATION; INSIGHTS; FIT"/>
    <s v="Purpose The purpose of this paper is to identify sensing, seizing and reconfiguring routines of dynamic capabilities that enable digital transformation in firms. Design/methodology/approach A qualitative approach is used. Representatives from a firm going through digital transformations are interviewed, and focus groups have been carried out with a consultancy firm experienced in giving advice to firms going through digital transformation. Findings Six routines identified as relevant specifically for digital transformation are identified. These are cross-industrial digital sensing, inside-out digital infrastructure sensing, digital strategy development, determination of enterprise boundaries, decomposition of digital transformation into specified projects and creation of a unified digital infrastructure. Practical implications The authors provide direction for managers on how to approach digital transformation. In relation to previous research, the authors provide more specific guidance regarding how to reconfigure the organization in digital transformation. Originality/value The paper uses a novel context for digital transformation and complements the very few studies available using dynamic capabilities to understand digital transformation."/>
    <s v="[Ellstrom, Daniel; Holtstrom, Johan; Berg, Emma; Johansson, Cecilia] Linkoping Univ, Dept Management &amp; Engn, Linkoping, Sweden"/>
    <s v="Linkoping University"/>
    <s v="Ellström, D (corresponding author), Linkoping Univ, Dept Management &amp; Engn, Linkoping, Sweden."/>
    <s v="daniel.ellstrom@liu.se"/>
    <s v="Celestino, Leandro/HIR-4215-2022"/>
    <s v=""/>
    <s v=""/>
    <s v=""/>
    <s v=""/>
    <s v=""/>
    <n v="55"/>
    <n v="34"/>
    <n v="34"/>
    <n v="104"/>
    <n v="507"/>
    <s v="EMERALD GROUP PUBLISHING LTD"/>
    <s v="BINGLEY"/>
    <s v="HOWARD HOUSE, WAGON LANE, BINGLEY BD16 1WA, W YORKSHIRE, ENGLAND"/>
    <s v="1755-425X"/>
    <s v=""/>
    <s v=""/>
    <s v="J STRATEGY MANAG"/>
    <s v="J. Strategy Manag."/>
    <s v="APR 19"/>
    <n v="2022"/>
    <n v="15"/>
    <n v="2"/>
    <s v=""/>
    <s v=""/>
    <s v=""/>
    <s v=""/>
    <n v="272"/>
    <n v="286"/>
    <s v=""/>
    <s v="10.1108/JSMA-04-2021-0089"/>
    <s v="http://dx.doi.org/10.1108/JSMA-04-2021-0089"/>
    <s v=""/>
    <s v="SEP 2021"/>
    <n v="15"/>
    <s v="Management"/>
    <x v="3"/>
    <s v="Business &amp; Economics"/>
    <s v="0N8HA"/>
    <s v=""/>
    <s v="hybrid"/>
    <s v=""/>
    <s v=""/>
    <s v="2023-11-15"/>
    <x v="45"/>
    <s v="View Full Record in Web of Science"/>
  </r>
  <r>
    <s v="J"/>
    <s v="Chu, SC; Kamal, S; Kim, Y"/>
    <s v=""/>
    <s v=""/>
    <s v=""/>
    <s v="Chu, Shu-Chuan; Kamal, Sara; Kim, Yoojung"/>
    <s v=""/>
    <s v=""/>
    <s v="Re-examining of consumers' responses toward social media advertising and purchase intention toward luxury products from 2013 to 2018: A retrospective commentary"/>
    <s v="JOURNAL OF GLOBAL FASHION MARKETING"/>
    <s v=""/>
    <s v=""/>
    <s v="English"/>
    <x v="0"/>
    <s v=""/>
    <s v=""/>
    <s v=""/>
    <s v=""/>
    <s v=""/>
    <s v="Social media advertising; luxury products; beliefs; attitudes; behaviors; purchase intention"/>
    <s v="FASHION BRANDS; SELF; FACEBOOK; CONSUMPTION; ENGAGEMENT; ATTITUDES; BEHAVIOR; MOTIVES; IMPACTS; TWITTER"/>
    <s v="The purpose of this retrospective commentary is to re-examine what we know about consumers' response toward social media advertising and purchase intention toward luxury products, as well as review how researchers have cited this article. This commentary is organized as follows. First, it discusses the unique contributions of our article that causes its high impact in the literature. Second, it examines the topic of social media and luxury brands from today's perspective. Third, we offer our interpretation of the use in the literature of our study and categorize the literature into three areas: luxury brand marketing and consumer engagement in social media; beliefs, attitudes, and behavioral responses toward social media advertising; and the state of knowledge on luxury brands and fashion advertising. Lastly, this commentary offers ideas in luxury brand advertising and marketing research and new trends in luxury brand digital strategies through social media."/>
    <s v="[Chu, Shu-Chuan] DePaul Univ, Coll Commun, Publ Relat &amp; Advertising, Chicago, IL 60604 USA; [Kim, Yoojung] Konkuk Univ, Coll Liberal Arts, Dept Media &amp; Commun, 120 Neungdong Ro, Seoul 05029, South Korea"/>
    <s v="DePaul University; Konkuk University"/>
    <s v="Kim, Y (corresponding author), Konkuk Univ, Coll Liberal Arts, Dept Media &amp; Commun, 120 Neungdong Ro, Seoul 05029, South Korea."/>
    <s v="ykim@konkuk.ac.kr"/>
    <s v=""/>
    <s v=""/>
    <s v=""/>
    <s v=""/>
    <s v=""/>
    <s v=""/>
    <n v="46"/>
    <n v="34"/>
    <n v="34"/>
    <n v="5"/>
    <n v="59"/>
    <s v="ROUTLEDGE JOURNALS, TAYLOR &amp; FRANCIS LTD"/>
    <s v="ABINGDON"/>
    <s v="2-4 PARK SQUARE, MILTON PARK, ABINGDON OX14 4RN, OXON, ENGLAND"/>
    <s v="2093-2685"/>
    <s v="2325-4483"/>
    <s v=""/>
    <s v="J GLOB FASH MARK"/>
    <s v="J. Glob. Fash. Mark."/>
    <s v=""/>
    <n v="2019"/>
    <n v="10"/>
    <n v="1"/>
    <s v=""/>
    <s v=""/>
    <s v=""/>
    <s v=""/>
    <n v="81"/>
    <n v="92"/>
    <s v=""/>
    <s v="10.1080/20932685.2018.1550008"/>
    <s v="http://dx.doi.org/10.1080/20932685.2018.1550008"/>
    <s v=""/>
    <s v=""/>
    <n v="12"/>
    <s v="Business"/>
    <x v="3"/>
    <s v="Business &amp; Economics"/>
    <s v="IB5BO"/>
    <s v=""/>
    <s v=""/>
    <s v=""/>
    <s v=""/>
    <s v="2023-11-15"/>
    <x v="46"/>
    <s v="View Full Record in Web of Science"/>
  </r>
  <r>
    <s v="J"/>
    <s v="Straker, K; Wrigley, C"/>
    <s v=""/>
    <s v=""/>
    <s v=""/>
    <s v="Straker, Karla; Wrigley, Cara"/>
    <s v=""/>
    <s v=""/>
    <s v="Emotionally engaging customers in the digital age: the case study of Burberry love"/>
    <s v="JOURNAL OF FASHION MARKETING AND MANAGEMENT"/>
    <s v=""/>
    <s v=""/>
    <s v="English"/>
    <x v="0"/>
    <s v=""/>
    <s v=""/>
    <s v=""/>
    <s v=""/>
    <s v=""/>
    <s v="Digital channels; Customer relationships; Design and emotion; Digital behaviour"/>
    <s v="LUXURY BRAND; EXPERIENCE; DESIGN; FUTURE"/>
    <s v="Purpose - The purpose of this paper is to investigate how companies can design digital channels to evoke desired emotions. Design/methodology/approach - The successful business case of retailer Burberry has been examined to understand the strategy and customer engagement of digital channels implemented by decoding the emotional intensions. Findings - Results illustrate that the ability to create engaging interactions via digital channels with customers has a significant impact on growth, revenue and brand advocacy. Findings from this study provide a new empirical support for the proposition that emotions can be utilised to guide company digital strategy for building digital channel relationships with customers. Originality/value - This is the first study to examine the relationship between digital channels, emotion and customer responses to digital engagements. The inclusion of an emerging theory model is outlined to explain the successful process of reformulating business strategy through a dynamic and creative process of intersecting emotion, strategy and digital channels."/>
    <s v="[Straker, Karla; Wrigley, Cara] Queensland Univ Technol, Sch Design, Brisbane, Qld, Australia"/>
    <s v="Queensland University of Technology (QUT)"/>
    <s v="Straker, K (corresponding author), Queensland Univ Technol, Sch Design, Brisbane, Qld, Australia."/>
    <s v="k.straker@qut.edu.au"/>
    <s v="Straker, Karla/AAM-3797-2021"/>
    <s v="Wrigley, Cara/0000-0001-7349-8469; Straker, Karla/0000-0002-6520-4173"/>
    <s v=""/>
    <s v=""/>
    <s v=""/>
    <s v=""/>
    <n v="65"/>
    <n v="34"/>
    <n v="34"/>
    <n v="5"/>
    <n v="67"/>
    <s v="EMERALD GROUP PUBLISHING LTD"/>
    <s v="BINGLEY"/>
    <s v="HOWARD HOUSE, WAGON LANE, BINGLEY BD16 1WA, W YORKSHIRE, ENGLAND"/>
    <s v="1361-2026"/>
    <s v="1758-7433"/>
    <s v=""/>
    <s v="J FASH MARK MANAG"/>
    <s v="J. Fash. Mark. Manag."/>
    <s v=""/>
    <n v="2016"/>
    <n v="20"/>
    <n v="3"/>
    <s v=""/>
    <s v=""/>
    <s v=""/>
    <s v=""/>
    <n v="276"/>
    <n v="299"/>
    <s v=""/>
    <s v="10.1108/JFMM-10-2015-0077"/>
    <s v="http://dx.doi.org/10.1108/JFMM-10-2015-0077"/>
    <s v=""/>
    <s v=""/>
    <n v="24"/>
    <s v="Business; Management"/>
    <x v="0"/>
    <s v="Business &amp; Economics"/>
    <s v="DT4GW"/>
    <s v=""/>
    <s v="Green Published"/>
    <s v=""/>
    <s v=""/>
    <s v="2023-11-15"/>
    <x v="47"/>
    <s v="View Full Record in Web of Science"/>
  </r>
  <r>
    <s v="J"/>
    <s v="Busca, L; Bertrandias, L"/>
    <s v=""/>
    <s v=""/>
    <s v=""/>
    <s v="Busca, Laurent; Bertrandias, Laurent"/>
    <s v=""/>
    <s v=""/>
    <s v="A Framework for Digital Marketing Research: Investigating the Four Cultural Eras of Digital Marketing"/>
    <s v="JOURNAL OF INTERACTIVE MARKETING"/>
    <s v=""/>
    <s v=""/>
    <s v="English"/>
    <x v="0"/>
    <s v=""/>
    <s v=""/>
    <s v=""/>
    <s v=""/>
    <s v=""/>
    <s v="Digital marketing; Historical method; Digital cultures; Institutional theory; Practice theory; Cultural framework; Prospective"/>
    <s v="INSTITUTIONAL WORK; SOCIAL-STRUCTURE; BUSINESS USE; CO-CREATION; CONSUMER; TECHNOLOGY; CONSUMPTION; MANAGEMENT; WEB; TRANSFORMATION"/>
    <s v="The digital marketing discipline is facing growing fragmentation; the proliferation of different subareas of research impedes the accumulation of knowledge. This fragmentation seems logically tied to the inherent complexity of the Internet, itself resulting from 50 years of evolution. Thus, our aim is to provide an integrative framework for research in digital marketing derived from the historical analysis of the Internet. Using practice theory and institutional theory, we outline a new type of institutional work: imprinting work. We apply this framework to the analysis of historical secondary sources. We find four cultural repertoires on the Internet (collaborative systems, traditional market systems, co-creation systems, and prosumption market systems) and describe the dynamics of imprinting work leading to their creation, showing how new systems are created by appropriating and assimilating existing cultural repertoires. We contribute to the digital marketing literature by providing a cultural framework and a theory explaining the dynamics of the creation of four cultural repertoires. Moreover, we outline three paths of potential evolution of the digital landscape. Our framework may help managers make sense of their digital strategy and navigate the various Internet systems. (C) 2019"/>
    <s v="[Busca, Laurent] Univ Montpellier, MRM, Montpellier, France; [Bertrandias, Laurent] TBS Business Sch, Toulouse, France"/>
    <s v="Universite de Montpellier"/>
    <s v="Busca, L (corresponding author), Univ Montpellier, MRM, Montpellier, France."/>
    <s v="laurent.busca@umontpellier.fr; l.bertrandias@tbs-education.fr"/>
    <s v=""/>
    <s v="Busca, Laurent/0000-0003-4436-4933"/>
    <s v=""/>
    <s v=""/>
    <s v=""/>
    <s v=""/>
    <n v="183"/>
    <n v="33"/>
    <n v="34"/>
    <n v="38"/>
    <n v="217"/>
    <s v="SAGE PUBLICATIONS INC"/>
    <s v="THOUSAND OAKS"/>
    <s v="2455 TELLER RD, THOUSAND OAKS, CA 91320 USA"/>
    <s v="1094-9968"/>
    <s v="1520-6653"/>
    <s v=""/>
    <s v="J INTERACT MARK"/>
    <s v="J. Interact. Mark."/>
    <s v="FEB"/>
    <n v="2020"/>
    <n v="49"/>
    <s v=""/>
    <s v=""/>
    <s v=""/>
    <s v=""/>
    <s v=""/>
    <n v="1"/>
    <n v="19"/>
    <s v=""/>
    <s v="10.1016/j.intmar.2019.08.002"/>
    <s v="http://dx.doi.org/10.1016/j.intmar.2019.08.002"/>
    <s v=""/>
    <s v=""/>
    <n v="19"/>
    <s v="Business"/>
    <x v="0"/>
    <s v="Business &amp; Economics"/>
    <s v="KM6AS"/>
    <s v=""/>
    <s v="Green Submitted"/>
    <s v=""/>
    <s v=""/>
    <s v="2023-11-15"/>
    <x v="48"/>
    <s v="View Full Record in Web of Science"/>
  </r>
  <r>
    <s v="J"/>
    <s v="Zhang, Y; Luo, J; Xiong, Z; Liu, H; Wang, L; Gu, YY; Lu, ZF; Li, JH; Huang, JP"/>
    <s v=""/>
    <s v=""/>
    <s v=""/>
    <s v="Zhang, Ying; Luo, Jun; Xiong, Zheng; Liu, Hua; Wang, Li; Gu, Yingying; Lu, Zifeng; Li, Jinhuan; Huang, Jipeng"/>
    <s v=""/>
    <s v=""/>
    <s v="User-defined microstructures array fabricated by DMD based multistep lithography with dose modulation"/>
    <s v="OPTICS EXPRESS"/>
    <s v=""/>
    <s v=""/>
    <s v="English"/>
    <x v="0"/>
    <s v=""/>
    <s v=""/>
    <s v=""/>
    <s v=""/>
    <s v=""/>
    <s v=""/>
    <s v="MICROLENS ARRAY; TECHNOLOGY"/>
    <s v="A flexible and efficient strategy, digital micromirror devices (DMD) based multistep lithography (DMSL), is proposed to fabricate arrays of user-defined microstructures. Through the combination of dose modulation, flexible pattern generation of DMD, and high-resolution step movement of piezoelectrical stage (PZS), this method enables prototyping a board range of 2D lattices with periodic/nonperiodic spatial distribution and arbitrary shapes and the critical feature size is down to 600 nm. We further explore the use of DMSL to fabricate microlens array by combining with the thermal reflowing process. The square shape and hexagonal shape microlens with customized distribution are realized and characterized. The results indicate that the proposed DMSL can be a significant role in the microfabrication techniques for manufacturing functional microstructures array. (C) 2019 Optical Society of America under the terms of the OSA Open Access Publishing Agreement"/>
    <s v="[Zhang, Ying; Luo, Jun; Liu, Hua; Lu, Zifeng; Li, Jinhuan; Huang, Jipeng] Northeast Normal Univ, Coll Phys, Demonstrat Ctr Expt Phys Educ, Changchun 130024, Jilin, Peoples R China; [Xiong, Zheng] Syracuse Univ, Dept Biomed Engn &amp; Chem Engn, Syracuse, NY 13244 USA; [Wang, Li; Gu, Yingying] Beijing Inst Control Engn, Lab Space Optoelect Measurement &amp; Percept, Beijing, Peoples R China; [Liu, Hua] Chinese Acad Sci, Changchun Inst Opt Fine Mech &amp; Phys, State Key Lab Appl Opt, Changchun 130033, Jilin, Peoples R China"/>
    <s v="Northeast Normal University - China; Syracuse University; Chinese Academy of Sciences; Changchun Institute of Optics, Fine Mechanics &amp; Physics, CAS"/>
    <s v="Liu, H (corresponding author), Northeast Normal Univ, Coll Phys, Demonstrat Ctr Expt Phys Educ, Changchun 130024, Jilin, Peoples R China.;Liu, H (corresponding author), Chinese Acad Sci, Changchun Inst Opt Fine Mech &amp; Phys, State Key Lab Appl Opt, Changchun 130033, Jilin, Peoples R China."/>
    <s v="liuhua_rain@aliyun.com"/>
    <s v="hua, liu/GXV-5211-2022"/>
    <s v=""/>
    <s v="National Natural Science Foundation of China [61875036]; Jilin Scientific and Technological Development Program [20190302049GX]"/>
    <s v="National Natural Science Foundation of China(National Natural Science Foundation of China (NSFC)); Jilin Scientific and Technological Development Program"/>
    <s v="National Natural Science Foundation of China (No. 61875036); Jilin Scientific and Technological Development Program (20190302049GX)."/>
    <s v=""/>
    <n v="24"/>
    <n v="33"/>
    <n v="34"/>
    <n v="2"/>
    <n v="15"/>
    <s v="OPTICAL SOC AMER"/>
    <s v="WASHINGTON"/>
    <s v="2010 MASSACHUSETTS AVE NW, WASHINGTON, DC 20036 USA"/>
    <s v="1094-4087"/>
    <s v=""/>
    <s v=""/>
    <s v="OPT EXPRESS"/>
    <s v="Opt. Express"/>
    <s v="OCT 28"/>
    <n v="2019"/>
    <n v="27"/>
    <n v="22"/>
    <s v=""/>
    <s v=""/>
    <s v=""/>
    <s v=""/>
    <n v="31956"/>
    <n v="31966"/>
    <s v=""/>
    <s v="10.1364/OE.27.031956"/>
    <s v="http://dx.doi.org/10.1364/OE.27.031956"/>
    <s v=""/>
    <s v=""/>
    <n v="11"/>
    <s v="Optics"/>
    <x v="2"/>
    <s v="Optics"/>
    <s v="JH8CL"/>
    <n v="31684417"/>
    <s v="gold"/>
    <s v=""/>
    <s v=""/>
    <s v="2023-11-15"/>
    <x v="49"/>
    <s v="View Full Record in Web of Science"/>
  </r>
  <r>
    <s v="J"/>
    <s v="Pesce, D; Neirotti, P; Paolucci, E"/>
    <s v=""/>
    <s v=""/>
    <s v=""/>
    <s v="Pesce, Danilo; Neirotti, Paolo; Paolucci, Emilio"/>
    <s v=""/>
    <s v=""/>
    <s v="When culture meets digital platforms: value creation and stakeholders' alignment in big data use"/>
    <s v="CURRENT ISSUES IN TOURISM"/>
    <s v=""/>
    <s v=""/>
    <s v="English"/>
    <x v="0"/>
    <s v=""/>
    <s v=""/>
    <s v=""/>
    <s v=""/>
    <s v=""/>
    <s v="Value creation; big data; digitization; digital transformation; digital platforms; stakeholders' interests; Google Arts &amp; Culture; Europeana"/>
    <s v="ANALYTICS"/>
    <s v="Research on big data has highlighted that a crucial element to create value from data is the capability of aligning different stakeholders' interests. However, it has not yet been investigated empirically how this process of alignment can be realized. We conduct a multiple case study on the two leading platforms involved in the online dissemination of cultural heritage - Europeana and Google Arts &amp; Culture. Our findings reveal that a platform overtakes a rival one when it turns on multiple drivers of value creation in such a way that the drivers contribute to realigning the interests expressed by the stakeholders whose strategic objectives and beliefs were formerly divergent - or simply unrelated - to each other. This capability of realigning different stakeholders' interests is independent of the level of industry-specific knowledge that the platform orchestrator has. The dynamics we document imply that Google has assumed a system integration role in the cultural ecosystem. This generates new trade-offs for museums in the way they generate value for the tourism industry. The paper enriches our understanding of what strategies digital platforms adopt to create value in big data contexts and provides a base to continue the investigation on other ecosystems driven by big data."/>
    <s v="[Pesce, Danilo; Neirotti, Paolo; Paolucci, Emilio] Politecn Torino, Dept Management &amp; Prod Engn, Turin, Italy"/>
    <s v="Polytechnic University of Turin"/>
    <s v="Pesce, D (corresponding author), Politecn Torino, Dept Management &amp; Prod Engn, Turin, Italy."/>
    <s v="danilo.pesce@polito.it"/>
    <s v="Paolucci, Emilio/AFD-5843-2022; Pesce, Danilo/B-6390-2018"/>
    <s v="Paolucci, Emilio/0000-0003-1249-8179; Pesce, Danilo/0000-0002-3405-8396"/>
    <s v="'Ministero dell'Istruzione, dell'Universita e della Ricerca' Award [TESUN-83486178370409, CAP.1694TIT.232ART.6]"/>
    <s v="'Ministero dell'Istruzione, dell'Universita e della Ricerca' Award"/>
    <s v="This work has been partially supported by 'Ministero dell'Istruzione, dell'Universita e della Ricerca' Award 'TESUN-83486178370409 finanziamento dipartimenti di eccellenza CAP.1694TIT.232ART.6'."/>
    <s v=""/>
    <n v="32"/>
    <n v="33"/>
    <n v="33"/>
    <n v="21"/>
    <n v="126"/>
    <s v="ROUTLEDGE JOURNALS, TAYLOR &amp; FRANCIS LTD"/>
    <s v="ABINGDON"/>
    <s v="2-4 PARK SQUARE, MILTON PARK, ABINGDON OX14 4RN, OXON, ENGLAND"/>
    <s v="1368-3500"/>
    <s v="1747-7603"/>
    <s v=""/>
    <s v="CURR ISSUES TOUR"/>
    <s v="Curr. Issues Tour."/>
    <s v="SEP 14"/>
    <n v="2019"/>
    <n v="22"/>
    <n v="15"/>
    <s v=""/>
    <s v=""/>
    <s v=""/>
    <s v=""/>
    <n v="1883"/>
    <n v="1903"/>
    <s v=""/>
    <s v="10.1080/13683500.2019.1591354"/>
    <s v="http://dx.doi.org/10.1080/13683500.2019.1591354"/>
    <s v=""/>
    <s v="MAR 2019"/>
    <n v="21"/>
    <s v="Hospitality, Leisure, Sport &amp; Tourism"/>
    <x v="0"/>
    <s v="Social Sciences - Other Topics"/>
    <s v="IM6KX"/>
    <s v=""/>
    <s v="Green Accepted"/>
    <s v=""/>
    <s v=""/>
    <s v="2023-11-15"/>
    <x v="50"/>
    <s v="View Full Record in Web of Science"/>
  </r>
  <r>
    <s v="J"/>
    <s v="Appolloni, A; Colasanti, N; Fantauzzi, C; Fiorani, G; Frondizi, R"/>
    <s v=""/>
    <s v=""/>
    <s v=""/>
    <s v="Appolloni, Andrea; Colasanti, Nathalie; Fantauzzi, Chiara; Fiorani, Gloria; Frondizi, Rocco"/>
    <s v=""/>
    <s v=""/>
    <s v="Distance Learning as a Resilience Strategy during Covid-19: An Analysis of the Italian Context"/>
    <s v="SUSTAINABILITY"/>
    <s v=""/>
    <s v=""/>
    <s v="English"/>
    <x v="0"/>
    <s v=""/>
    <s v=""/>
    <s v=""/>
    <s v=""/>
    <s v=""/>
    <s v="higher education; digitalization; distance learning; Covid-19 outbreak; resilience"/>
    <s v=""/>
    <s v="The purpose of this paper is to analyze the strategic model of distance learning adopted by Italian higher education, showing how the health emergency due to Covid-19 has transformed it from an optional for traditional universities to the only means to ensure public health protection and continuity in education programs. Comparing two situations (before and during the pandemic), the aim is to identify best practices that, even after the end of the emergency, can be adopted by Italian higher education institutions to boost their digital supply and compete in an international context. After a general context analysis, aimed to underline benefits and risks connected to the development of distance learning, the case of the Italian higher education system has been analyzed. Data were collected through a documentary analysis, looking at what Italian higher education institutions disclosed through their official websites and documents: every form of communication about digital strategy was taken into account. Then, they were analyzed qualitatively, in order to individuate which platforms have been combined to ensure quality in education provided. Research findings demonstrate the resilience of the Italian higher education, able to react and to re-organize itself in only one week: the results of the pandemic may be a stronger university, able to combine quality in education with the potential of technological devices and to compete at the international level. Distance learning represents a complex field, still characterized by separated understandings and in a context where limited attention has been dedicated to its development for what concerns the Italian context, the choice to examine it represents the originality of this paper."/>
    <s v="[Appolloni, Andrea; Colasanti, Nathalie; Fantauzzi, Chiara; Fiorani, Gloria; Frondizi, Rocco] Univ Roma Tor Vergata, Dept Management &amp; Law, I-00133 Rome, Italy; [Appolloni, Andrea] Natl Res Council CNR, Inst Res Innovat &amp; Serv Dev IRISS, I-80134 Naples, Italy"/>
    <s v="University of Rome Tor Vergata; Consiglio Nazionale delle Ricerche (CNR); Istituto di Ricerca su Innovazione e Servizi per lo Sviluppo (IRISS-CNR)"/>
    <s v="Appolloni, A (corresponding author), Univ Roma Tor Vergata, Dept Management &amp; Law, I-00133 Rome, Italy.;Appolloni, A (corresponding author), Natl Res Council CNR, Inst Res Innovat &amp; Serv Dev IRISS, I-80134 Naples, Italy."/>
    <s v="andrea.appolloni@uniroma2.it; nathalie.colasanti@uniroma2.it; chiara.fantauzzi@uniroma2.it; gloria.fiorani@uniroma2.it; rocco.frondizi@uniroma2.it"/>
    <s v="Appolloni, Andrea/L-3607-2014; Frondizi, Rocco/ABH-3850-2020; Fantauzzi, Chiara/HTR-6656-2023"/>
    <s v="Appolloni, Andrea/0000-0001-5741-398X; Frondizi, Rocco/0000-0002-9913-349X;"/>
    <s v="University of Rome Tor Vergata, Department of Management and Law; MARIS Master Program in Reporting Innovation Sustainability"/>
    <s v="University of Rome Tor Vergata, Department of Management and Law; MARIS Master Program in Reporting Innovation Sustainability"/>
    <s v="This research was supported and funded by the University of Rome Tor Vergata, Department of Management and Law by the research project named Sustainable Development and by the MARIS Master Program in Reporting Innovation Sustainability."/>
    <s v=""/>
    <n v="50"/>
    <n v="32"/>
    <n v="33"/>
    <n v="2"/>
    <n v="18"/>
    <s v="MDPI"/>
    <s v="BASEL"/>
    <s v="ST ALBAN-ANLAGE 66, CH-4052 BASEL, SWITZERLAND"/>
    <s v=""/>
    <s v="2071-1050"/>
    <s v=""/>
    <s v="SUSTAINABILITY-BASEL"/>
    <s v="Sustainability"/>
    <s v="FEB"/>
    <n v="2021"/>
    <n v="13"/>
    <n v="3"/>
    <s v=""/>
    <s v=""/>
    <s v=""/>
    <s v=""/>
    <s v=""/>
    <s v=""/>
    <n v="1388"/>
    <s v="10.3390/su13031388"/>
    <s v="http://dx.doi.org/10.3390/su13031388"/>
    <s v=""/>
    <s v=""/>
    <n v="12"/>
    <s v="Green &amp; Sustainable Science &amp; Technology; Environmental Sciences; Environmental Studies"/>
    <x v="1"/>
    <s v="Science &amp; Technology - Other Topics; Environmental Sciences &amp; Ecology"/>
    <s v="QD6KT"/>
    <s v=""/>
    <s v="gold, Green Published"/>
    <s v=""/>
    <s v=""/>
    <s v="2023-11-15"/>
    <x v="51"/>
    <s v="View Full Record in Web of Science"/>
  </r>
  <r>
    <s v="J"/>
    <s v="Goldstein, K; Briggs, M; Oleynik, V; Cullen, M; Jones, J; Newman, E; Narva, A"/>
    <s v=""/>
    <s v=""/>
    <s v=""/>
    <s v="Goldstein, Karen; Briggs, Michael; Oleynik, Veronica; Cullen, Mac; Jones, Jewel; Newman, Eileen; Narva, Andrew"/>
    <s v=""/>
    <s v=""/>
    <s v="Using Digital Media to Promote Kidney Disease Education"/>
    <s v="ADVANCES IN CHRONIC KIDNEY DISEASE"/>
    <s v=""/>
    <s v=""/>
    <s v="English"/>
    <x v="0"/>
    <s v=""/>
    <s v=""/>
    <s v=""/>
    <s v=""/>
    <s v=""/>
    <s v="Kidney disease; Health education; Internet; Social media; Health-care providers"/>
    <s v="CONVERTING ENZYME-INHIBITORS; NONDIABETIC RENAL-DISEASE; PROGRESSION; METAANALYSIS"/>
    <s v="Health-care providers and patients increasingly turn to the Internet-websites as well as social media platforms-for health-related information and support. Informed by research on audience behaviors and preferences related to digital health information, the National Kidney Disease Education Program (NKDEP) developed a comprehensive and user-friendly digital ecosystem featuring content and platforms relevant for each audience. NKDEP's analysis of website metrics and social media conversation mapping related to CKD revealed gaps and opportunities, informing the development of a digital strategy to position NKDEP as a trustworthy digital source for evidence-based kidney disease information. NKDEP launched a redesigned website (www.nkdep.nih.gov) with enhanced content for multiple audiences as well as a complementary social media presence on Twitter and Facebook serving to drive traffic to the website as well as actively engage target audiences in conversations about kidney disease. The results included improved website metrics and increasing social media engagement among consumers and health-care providers. NKDEP will continue to monitor trends, explore new directions, and work to improve communication across digital platforms. Published by Elsevier Inc. on behalf of the National Kidney Foundation, Inc."/>
    <s v="[Goldstein, Karen; Briggs, Michael; Oleynik, Veronica; Cullen, Mac; Jones, Jewel; Newman, Eileen; Narva, Andrew] Natl Kidney Dis Educ Program, Bethesda, MD 20892 USA"/>
    <s v=""/>
    <s v="Narva, A (corresponding author), Natl Kidney Dis Educ Program, 2 Democracy Plaza,Room 644,MSC 5458, Bethesda, MD 20892 USA."/>
    <s v="narvaa@niddk.nih.gov"/>
    <s v=""/>
    <s v=""/>
    <s v="Intramural NIH HHS [Z99 DK999999] Funding Source: Medline"/>
    <s v="Intramural NIH HHS(United States Department of Health &amp; Human ServicesNational Institutes of Health (NIH) - USA)"/>
    <s v=""/>
    <s v=""/>
    <n v="14"/>
    <n v="32"/>
    <n v="33"/>
    <n v="2"/>
    <n v="27"/>
    <s v="W B SAUNDERS CO-ELSEVIER INC"/>
    <s v="PHILADELPHIA"/>
    <s v="1600 JOHN F KENNEDY BOULEVARD, STE 1800, PHILADELPHIA, PA 19103-2899 USA"/>
    <s v="1548-5595"/>
    <s v=""/>
    <s v=""/>
    <s v="ADV CHRONIC KIDNEY D"/>
    <s v="Adv. Chronic Kidney Dis."/>
    <s v="JUL"/>
    <n v="2013"/>
    <n v="20"/>
    <n v="4"/>
    <s v=""/>
    <s v=""/>
    <s v=""/>
    <s v=""/>
    <n v="364"/>
    <n v="369"/>
    <s v=""/>
    <s v="10.1053/j.ackd.2013.04.001"/>
    <s v="http://dx.doi.org/10.1053/j.ackd.2013.04.001"/>
    <s v=""/>
    <s v=""/>
    <n v="6"/>
    <s v="Urology &amp; Nephrology"/>
    <x v="1"/>
    <s v="Urology &amp; Nephrology"/>
    <s v="178RE"/>
    <n v="23809289"/>
    <s v="Bronze, Green Accepted"/>
    <s v=""/>
    <s v=""/>
    <s v="2023-11-15"/>
    <x v="52"/>
    <s v="View Full Record in Web of Science"/>
  </r>
  <r>
    <s v="J"/>
    <s v="Wang, HC; Feng, JZ; Zhang, H; Li, X"/>
    <s v=""/>
    <s v=""/>
    <s v=""/>
    <s v="Wang, Hecheng; Feng, Junzheng; Zhang, Hui; Li, Xin"/>
    <s v=""/>
    <s v=""/>
    <s v="The effect of digital transformation strategy on performance The moderating role of cognitive conflict"/>
    <s v="INTERNATIONAL JOURNAL OF CONFLICT MANAGEMENT"/>
    <s v=""/>
    <s v=""/>
    <s v="English"/>
    <x v="0"/>
    <s v=""/>
    <s v=""/>
    <s v=""/>
    <s v=""/>
    <s v=""/>
    <s v="Cognitive conflict; Digital transformation strategy; Long-term financial performance; Short-term financial performance"/>
    <s v="TASK CONFLICT; INFORMATION-TECHNOLOGY; DECISION-MAKING; COMPETITIVE ADVANTAGE; DYNAMIC CAPABILITIES; INTRAGROUP CONFLICT; FIRM PERFORMANCE; MEDIATING ROLE; AS-PRACTICE; SYSTEMS"/>
    <s v="Purpose The purpose of this study is to verify whether digital transformation strategy (DTS) could improve the organizational performance and provide a comprehensive analysis for enterprises on the necessity of implementing digital transformation in the context of China and draw on the perspectives of Skewed conflict, minority dissent theory and too-much-of-a-good-thing. This study investigates the curvilinear moderating role of cognitive conflict between DTS and performance. Design/methodology/approach An empirical investigation was used to collect a large sample data of Chinese enterprises' digital transformation. A multiple linear regression analysis with SPSS was used to test the proposed hypotheses such as the inverted U-shaped moderating effect of the cognitive conflict. Findings In the Chinese context, DTS has a positive relationship on the short- and long-term financial performance. Moreover, this relationship was moderated by cognitive conflict such that the relationship between DTS and short-term financial performance could be further enhanced under the moderate cognitive conflict; however, the relationship between DTS and long-term financial performance was considerably influenced for higher cognitive conflict. Originality/value Based on the co-evolution of the information technology/information system (IT/IS) and business strategy, this study clarified the relationships among DTS, digital strategy and business and information technology strategies. By focusing on corporate strategy, this study further examined the effect of digital transformation on both short- and long-term financial performance. To further reveal the micro-psychological mechanisms underlying the effect of DTS on organizational performance, this study confirmed the inverted U-shaped moderating effect of the top management team's cognitive conflict. Therefore, this research provides a new theoretical perspective for future research in the field of IT/IS, DTS and digital strategy."/>
    <s v="[Wang, Hecheng; Feng, Junzheng; Zhang, Hui; Li, Xin] Hangzhou Dianzi Univ, Sch Management, Hangzhou, Peoples R China"/>
    <s v="Hangzhou Dianzi University"/>
    <s v="Feng, JZ (corresponding author), Hangzhou Dianzi Univ, Sch Management, Hangzhou, Peoples R China."/>
    <s v="wanghecheng@hdu.edu.cn; firefly0810@hdu.edu.cn; zhanghui816@126.com; firefly0810@126.com"/>
    <s v=""/>
    <s v=""/>
    <s v="Humanity and Social Science Youth foundation of Ministry of Education of China [18YJC790028]; Chinese National Funding of Social Sciences [19BGJ014, 17BJY072]; National Natural Science Foundation of China [71372170]; Youth key Project of the Major Humanities and Social Sciences Program in Zhejiang Colleges and Universities [2018QN017]"/>
    <s v="Humanity and Social Science Youth foundation of Ministry of Education of China; Chinese National Funding of Social Sciences; National Natural Science Foundation of China(National Natural Science Foundation of China (NSFC)); Youth key Project of the Major Humanities and Social Sciences Program in Zhejiang Colleges and Universities"/>
    <s v="The authors appreciate the anonymous reviewers' constructive comments and suggestions and would like to thank Prof. Steven Si for his deep insights and kind support. This research is supported by Humanity and Social Science Youth foundation of Ministry of Education of China (Project Number: 18YJC790028), Chinese National Funding of Social Sciences (Project Number: 19BGJ014, 17BJY072), National Natural Science Foundation of China (Project Number: 71372170), The Youth key Project of the Major Humanities and Social Sciences Program in Zhejiang Colleges and Universities (Project Number: 2018QN017)."/>
    <s v=""/>
    <n v="96"/>
    <n v="31"/>
    <n v="32"/>
    <n v="40"/>
    <n v="362"/>
    <s v="EMERALD GROUP PUBLISHING LTD"/>
    <s v="BINGLEY"/>
    <s v="HOWARD HOUSE, WAGON LANE, BINGLEY BD16 1WA, W YORKSHIRE, ENGLAND"/>
    <s v="1044-4068"/>
    <s v="1758-8545"/>
    <s v=""/>
    <s v="INT J CONFL MANAGE"/>
    <s v="Int. J. Confl. Manage."/>
    <s v="APR 1"/>
    <n v="2020"/>
    <n v="31"/>
    <n v="3"/>
    <s v=""/>
    <s v=""/>
    <s v="SI"/>
    <s v=""/>
    <n v="441"/>
    <n v="462"/>
    <s v=""/>
    <s v="10.1108/IJCMA-09-2019-0166"/>
    <s v="http://dx.doi.org/10.1108/IJCMA-09-2019-0166"/>
    <s v=""/>
    <s v="APR 2020"/>
    <n v="22"/>
    <s v="Communication; Management; Political Science"/>
    <x v="0"/>
    <s v="Communication; Business &amp; Economics; Government &amp; Law"/>
    <s v="LU5ED"/>
    <s v=""/>
    <s v=""/>
    <s v=""/>
    <s v=""/>
    <s v="2023-11-15"/>
    <x v="53"/>
    <s v="View Full Record in Web of Science"/>
  </r>
  <r>
    <s v="J"/>
    <s v="Gerardi, G; Abbene, L"/>
    <s v=""/>
    <s v=""/>
    <s v=""/>
    <s v="Gerardi, G.; Abbene, L."/>
    <s v=""/>
    <s v=""/>
    <s v="A digital approach for real time high-rate high-resolution radiation measurements"/>
    <s v="NUCLEAR INSTRUMENTS &amp; METHODS IN PHYSICS RESEARCH SECTION A-ACCELERATORS SPECTROMETERS DETECTORS AND ASSOCIATED EQUIPMENT"/>
    <s v=""/>
    <s v=""/>
    <s v="English"/>
    <x v="0"/>
    <s v=""/>
    <s v=""/>
    <s v=""/>
    <s v=""/>
    <s v=""/>
    <s v="Digital pulse processing; Pulse height analysis; Pulse shape analysis; Real time processing; Dead time correction; Energy resolved photon counting"/>
    <s v="RAY SPECTROSCOPY; DETECTORS; CDTE; PERFORMANCE; GAMMA; CONSTRAINTS; PROGRESS; SYSTEM; FILTER"/>
    <s v="Modern spectrometers are currently developed by using digital pulse processing (DPP) systems, showing several advantages over traditional analog electronics. The aim of this work is to present digital strategies, in a time domain, for the development of real time high-rate high-resolution spectrometers. We propose a digital method, based on the single delay line (SDL) shaping technique, able to perform multi-parameter analysis with high performance even at high photon counting rates. A robust pulse shape and height analysis (PSHA), applied on single isolated time windows of the detector output waveforms, is presented. The potentialities of the proposed strategy are highlighted through both theoretical and experimental approaches. To strengthen our approach, the implementation of the method on a real-time system together with some experimental results are presented. X-ray spectra measurements with a semiconductor detector are performed both at low and high photon counting rates (up to 1.1 Mcps). (C) 2014 Elsevier B.V. All rights reserved."/>
    <s v="[Gerardi, G.; Abbene, L.] Univ Palermo, Dipartimento Fis &amp; Chim, I-90128 Palermo, Italy"/>
    <s v="University of Palermo"/>
    <s v="Abbene, L (corresponding author), Univ Palermo, Dipartimento Fis &amp; Chim, Edificio 18, I-90128 Palermo, Italy."/>
    <s v="leonardo.abbene@unipa.it"/>
    <s v=""/>
    <s v="ABBENE, Leonardo/0000-0001-9633-6606"/>
    <s v="Italian Ministry for Education, University and Research (MIUR) [2012WM9MEP]"/>
    <s v="Italian Ministry for Education, University and Research (MIUR)(Ministry of Education, Universities and Research (MIUR))"/>
    <s v="This work was supported by the Italian Ministry for Education, University and Research (MIUR) under PRIN Project No. 2012WM9MEP."/>
    <s v=""/>
    <n v="42"/>
    <n v="31"/>
    <n v="32"/>
    <n v="1"/>
    <n v="19"/>
    <s v="ELSEVIER"/>
    <s v="AMSTERDAM"/>
    <s v="RADARWEG 29, 1043 NX AMSTERDAM, NETHERLANDS"/>
    <s v="0168-9002"/>
    <s v="1872-9576"/>
    <s v=""/>
    <s v="NUCL INSTRUM METH A"/>
    <s v="Nucl. Instrum. Methods Phys. Res. Sect. A-Accel. Spectrom. Dect. Assoc. Equip."/>
    <s v="DEC 21"/>
    <n v="2014"/>
    <n v="768"/>
    <s v=""/>
    <s v=""/>
    <s v=""/>
    <s v=""/>
    <s v=""/>
    <n v="46"/>
    <n v="54"/>
    <s v=""/>
    <s v="10.1016/j.nima.2014.09.047"/>
    <s v="http://dx.doi.org/10.1016/j.nima.2014.09.047"/>
    <s v=""/>
    <s v=""/>
    <n v="9"/>
    <s v="Instruments &amp; Instrumentation; Nuclear Science &amp; Technology; Physics, Nuclear; Physics, Particles &amp; Fields"/>
    <x v="2"/>
    <s v="Instruments &amp; Instrumentation; Nuclear Science &amp; Technology; Physics"/>
    <s v="AT5PU"/>
    <s v=""/>
    <s v="Green Published"/>
    <s v=""/>
    <s v=""/>
    <s v="2023-11-15"/>
    <x v="54"/>
    <s v="View Full Record in Web of Science"/>
  </r>
  <r>
    <s v="J"/>
    <s v="Frishammar, J; Cenamor, J; Cavalli-Björkman, H; Hernell, E; Carlsson, J"/>
    <s v=""/>
    <s v=""/>
    <s v=""/>
    <s v="Frishammar, Johan; Cenamor, Javier; Cavalli-Bjorkman, Harald; Hernell, Emma; Carlsson, Johan"/>
    <s v=""/>
    <s v=""/>
    <s v="Digital strategies for two-sided markets: A case study of shopping malls"/>
    <s v="DECISION SUPPORT SYSTEMS"/>
    <s v=""/>
    <s v=""/>
    <s v="English"/>
    <x v="0"/>
    <s v=""/>
    <s v=""/>
    <s v=""/>
    <s v=""/>
    <s v=""/>
    <s v="Digitalization; Two-sided market; Omnichannel strategies; Shopping mall; Retailing; Interpretative case study"/>
    <s v="MULTICHANNEL CUSTOMER MANAGEMENT; INFORMATION-SYSTEMS; SERVICE INNOVATION; BUSINESS STRATEGY; E-COMMERCE; FRAMEWORK; COMPETITION; TECHNOLOGY; PLATFORMS; ECONOMICS"/>
    <s v="Digitalization is fundamentally changing the retailing ecosystem for shopping malls as digital and analogue elements get increasingly intertwined. We conceptualize shopping malls as two-sided markets whose primary function is connecting shoppers and retailers. By means of an interpretative case study, the article then presents an omnichannel strategy typology for how shopping malls can meet the evolving digitalization challenge. We identify three generic strategies labeled digital awaiter, digital data gatherer, and digital embracer. The paper provides implications for research in omnichannel strategies, digitalization, and two-sided markets by explicating different strategies that involve physical and digital resources, and different ecosystem agents, i.e., retailers and shoppers. It also provides insights for other organizations beyond retailing and which operate under a two-sided market regime. (C) 2018 Elsevier B.V. All rights reserved."/>
    <s v="[Frishammar, Johan] Lulea Univ Technol, Entrepreneurship &amp; Innovat, SE-97187 Lulea, Sweden; [Cenamor, Javier] Lund Univ, Sch Econ &amp; Management, Dept Business Adm, S-22007 Lund, Sweden; [Cavalli-Bjorkman, Harald] Re Newcell AB, Cardellgatan 1, SE-11436 Stockholm, Sweden; [Hernell, Emma] HUI Res, SE-10329 Stockholm, Sweden; [Carlsson, Johan] EVRY Sweden AB, Olof Asklunds Gata 10, S-42130 Vastra Frolunda, Sweden"/>
    <s v="Lulea University of Technology; Lund University"/>
    <s v="Frishammar, J (corresponding author), Lulea Univ Technol, Entrepreneurship &amp; Innovat, SE-97187 Lulea, Sweden."/>
    <s v="Johan.Frishammar@ltu.se; javier.cenamor@fek.lu.se; harald.cavalli-bjorkman@renewcell.com; emma.hernell@hui.se; johan.carlsson@evry.com"/>
    <s v=""/>
    <s v="CENAMOR, JAVIER/0000-0002-7432-3713"/>
    <s v="Swedish Governmental Agency for Innovation Systems (VINNOVA)"/>
    <s v="Swedish Governmental Agency for Innovation Systems (VINNOVA)(Vinnova)"/>
    <s v="The authors are grateful for comments provided by James Marsden, Christy Cheung, Yang Chen, Chee-Wee Tan and two anonymous reviewers. The research was funded by the Swedish Governmental Agency for Innovation Systems (VINNOVA)."/>
    <s v=""/>
    <n v="81"/>
    <n v="30"/>
    <n v="31"/>
    <n v="13"/>
    <n v="146"/>
    <s v="ELSEVIER SCIENCE BV"/>
    <s v="AMSTERDAM"/>
    <s v="PO BOX 211, 1000 AE AMSTERDAM, NETHERLANDS"/>
    <s v="0167-9236"/>
    <s v="1873-5797"/>
    <s v=""/>
    <s v="DECIS SUPPORT SYST"/>
    <s v="Decis. Support Syst."/>
    <s v="APR"/>
    <n v="2018"/>
    <n v="108"/>
    <s v=""/>
    <s v=""/>
    <s v=""/>
    <s v=""/>
    <s v=""/>
    <n v="34"/>
    <n v="44"/>
    <s v=""/>
    <s v="10.1016/j.dss.2018.02.003"/>
    <s v="http://dx.doi.org/10.1016/j.dss.2018.02.003"/>
    <s v=""/>
    <s v=""/>
    <n v="11"/>
    <s v="Computer Science, Artificial Intelligence; Computer Science, Information Systems; Operations Research &amp; Management Science"/>
    <x v="1"/>
    <s v="Computer Science; Operations Research &amp; Management Science"/>
    <s v="GG9IS"/>
    <s v=""/>
    <s v=""/>
    <s v=""/>
    <s v=""/>
    <s v="2023-11-15"/>
    <x v="55"/>
    <s v="View Full Record in Web of Science"/>
  </r>
  <r>
    <s v="J"/>
    <s v="Staggers, N; Elias, BL; Makar, E; Alexander, GL"/>
    <s v=""/>
    <s v=""/>
    <s v=""/>
    <s v="Staggers, Nancy; Elias, Beth L.; Makar, Ellen; Alexander, Gregory L."/>
    <s v=""/>
    <s v=""/>
    <s v="The Imperative of Solving Nurses' Usability Problems With Health Information Technology"/>
    <s v="JOURNAL OF NURSING ADMINISTRATION"/>
    <s v=""/>
    <s v=""/>
    <s v="English"/>
    <x v="0"/>
    <s v=""/>
    <s v=""/>
    <s v=""/>
    <s v=""/>
    <s v=""/>
    <s v=""/>
    <s v="PATIENT SAFETY; RECOMMENDATIONS; SYSTEMS; SUPPORT; CARE; AMIA"/>
    <s v="BACKGROUND Health information technology (IT) usability issues are a key concern for nurse executives and nurses. OBJECTIVES The aims of this study are to understand usability pain points faced by nurses regarding the use of health IT, identify their impact and importance, discuss responsibilities, and develop possible solutions to improve the health IT-user experience for nurses. METHODS Twenty-seven experts were interviewed including nursing leaders, informaticists, executives, engineers, researchers, and human factors experts across acute care, long-term care, and vendor settings. Semistructured questions guided the interviews, and content analysis was used to identify themes. RESULTS Four themes emerged: 1) user experience pain points, 2) importance of the issues, 3) the responsibility gap, and 4) acting on usability issues. CONCLUSION Nurses continue to endure significant health IT-usability issues that negatively impact patients, nurses, and healthcare organizations. Solutions include enhancing the voice of nursing at the national and local levels, creating a digital strategy for nursing, providing incentives to improve usability in health IT, and accelerating the understanding of nurses' work intended to inform and translate nurses' work into health IT design."/>
    <s v="[Staggers, Nancy] Univ Utah, Summit Hlth Informat, Salt Lake City, UT USA; [Staggers, Nancy] Univ Utah, Dept Biomed Informat, Salt Lake City, UT USA; Univ Utah, Coll Nursing, Salt Lake City, UT 84112 USA; [Elias, Beth L.] Virginia Commonwealth Univ, Sch Nursing, 1100 E Leigh St, Richmond, VA 23298 USA; [Makar, Ellen] INOVA Fairfax Hosp, Profess Practice, Falls Church, VA USA; [Alexander, Gregory L.] Univ Missouri Sinclair, Sch Nursing, Columbia, MO USA"/>
    <s v="Utah System of Higher Education; University of Utah; Utah System of Higher Education; University of Utah; Utah System of Higher Education; University of Utah; Virginia Commonwealth University; Inova Fairfax Hospital; University of Missouri System; University of Missouri Columbia"/>
    <s v="Elias, BL (corresponding author), Virginia Commonwealth Univ, Sch Nursing, 1100 E Leigh St, Richmond, VA 23298 USA."/>
    <s v="belias@vcu.edu"/>
    <s v=""/>
    <s v=""/>
    <s v=""/>
    <s v=""/>
    <s v=""/>
    <s v=""/>
    <n v="26"/>
    <n v="30"/>
    <n v="30"/>
    <n v="0"/>
    <n v="5"/>
    <s v="LIPPINCOTT WILLIAMS &amp; WILKINS"/>
    <s v="PHILADELPHIA"/>
    <s v="TWO COMMERCE SQ, 2001 MARKET ST, PHILADELPHIA, PA 19103 USA"/>
    <s v="0002-0443"/>
    <s v="1539-0721"/>
    <s v=""/>
    <s v="J NURS ADMIN"/>
    <s v="J. Nurs. Adm."/>
    <s v="APR"/>
    <n v="2018"/>
    <n v="48"/>
    <n v="4"/>
    <s v=""/>
    <s v=""/>
    <s v=""/>
    <s v=""/>
    <n v="191"/>
    <n v="196"/>
    <s v=""/>
    <s v="10.1097/NNA.0000000000000598"/>
    <s v="http://dx.doi.org/10.1097/NNA.0000000000000598"/>
    <s v=""/>
    <s v=""/>
    <n v="6"/>
    <s v="Nursing"/>
    <x v="1"/>
    <s v="Nursing"/>
    <s v="GE4IF"/>
    <n v="29570144"/>
    <s v=""/>
    <s v=""/>
    <s v=""/>
    <s v="2023-11-15"/>
    <x v="56"/>
    <s v="View Full Record in Web of Science"/>
  </r>
  <r>
    <s v="J"/>
    <s v="Morales-Caporal, R; Pacas, M"/>
    <s v=""/>
    <s v=""/>
    <s v=""/>
    <s v="Morales-Caporal, Roberto; Pacas, Mario"/>
    <s v=""/>
    <s v=""/>
    <s v="Suppression of Saturation Effects in a Sensorless Predictive Controlled Synchronous Reluctance Machine Based on Voltage Space Phasor Injections"/>
    <s v="IEEE TRANSACTIONS ON INDUSTRIAL ELECTRONICS"/>
    <s v=""/>
    <s v=""/>
    <s v="English"/>
    <x v="0"/>
    <s v=""/>
    <s v=""/>
    <s v=""/>
    <s v=""/>
    <s v=""/>
    <s v="Cross saturation; predictive control; sensorless control; synchronous reluctance machine (SynRM); torque control"/>
    <s v="INDUCTION-MOTORS; TORQUE CONTROL; VERY-LOW; ZERO; FREQUENCY"/>
    <s v="This paper presents a digital strategy to suppress magnetic-and cross-saturation effects in a sensorless predictive direct-torque-controlled synchronous reluctance machine (SynRM). In SynRMs, the angular position of the rotor can be estimated by using inductance variations due to geometrical effects of the rotor. However, magnetic-and cross-saturation effects lead to large errors on the estimated angular position, particularly when the magnetization level and torque load change. This error deteriorates the performance of the electrical drive when the estimated position of the rotor is used instead of the measured one in a sensorless control scheme. In this paper, it is shown how saturation effects can be readily alleviated by using a digitally implemented quadrature phase-locked loop observer, together with linear regression, so that easy digital implementation, stable operation, and null parametric dependence can be achieved. The experimental results at very low and zero speeds verify the effectiveness of the proposed sensorless control scheme."/>
    <s v="[Morales-Caporal, Roberto] Technol Inst Apizaco, Postgrad Studies &amp; Res Div, Apizaco 90300, Mexico; [Pacas, Mario] Univ Siegen, Inst Power Elect &amp; Elect Drives, D-57068 Siegen, Germany"/>
    <s v="Universitat Siegen"/>
    <s v="Morales-Caporal, R (corresponding author), Technol Inst Apizaco, Postgrad Studies &amp; Res Div, Apizaco 90300, Mexico."/>
    <s v="rmcaporal@ieee.org; jmpacas@ieee.org"/>
    <s v="Morales Caporal, Roberto/AGJ-8245-2022"/>
    <s v="Morales-Caporal, Roberto/0000-0002-6115-0454"/>
    <s v="PROMEP [ITAPI-PTC-002]"/>
    <s v="PROMEP"/>
    <s v="Manuscript received February 11, 2010; revised June 3, 2010; accepted August 4, 2010. Date of publication September 27, 2010; date of current version June 15, 2011. This work was supported by the PROMEP under Grant ITAPI-PTC-002."/>
    <s v=""/>
    <n v="31"/>
    <n v="30"/>
    <n v="31"/>
    <n v="0"/>
    <n v="9"/>
    <s v="IEEE-INST ELECTRICAL ELECTRONICS ENGINEERS INC"/>
    <s v="PISCATAWAY"/>
    <s v="445 HOES LANE, PISCATAWAY, NJ 08855-4141 USA"/>
    <s v="0278-0046"/>
    <s v="1557-9948"/>
    <s v=""/>
    <s v="IEEE T IND ELECTRON"/>
    <s v="IEEE Trans. Ind. Electron."/>
    <s v="JUL"/>
    <n v="2011"/>
    <n v="58"/>
    <n v="7"/>
    <s v=""/>
    <s v=""/>
    <s v=""/>
    <s v=""/>
    <n v="2809"/>
    <n v="2817"/>
    <s v=""/>
    <s v="10.1109/TIE.2010.2080652"/>
    <s v="http://dx.doi.org/10.1109/TIE.2010.2080652"/>
    <s v=""/>
    <s v=""/>
    <n v="9"/>
    <s v="Automation &amp; Control Systems; Engineering, Electrical &amp; Electronic; Instruments &amp; Instrumentation"/>
    <x v="2"/>
    <s v="Automation &amp; Control Systems; Engineering; Instruments &amp; Instrumentation"/>
    <s v="806SU"/>
    <s v=""/>
    <s v=""/>
    <s v=""/>
    <s v=""/>
    <s v="2023-11-15"/>
    <x v="57"/>
    <s v="View Full Record in Web of Science"/>
  </r>
  <r>
    <s v="J"/>
    <s v="Zheng, WM; Liao, ZX; Lin, ZB"/>
    <s v=""/>
    <s v=""/>
    <s v=""/>
    <s v="Zheng, Weimin; Liao, Zhixue; Lin, Zhibin"/>
    <s v=""/>
    <s v=""/>
    <s v="Navigating through the complex transport system: A heuristic approach for city tourism recommendation"/>
    <s v="TOURISM MANAGEMENT"/>
    <s v=""/>
    <s v=""/>
    <s v="English"/>
    <x v="0"/>
    <s v=""/>
    <s v=""/>
    <s v=""/>
    <s v=""/>
    <s v=""/>
    <s v="Tourism recommendation system; Smart tourism; City tourism; Transport mode choice; Multi-objective optimization; Nondominated sorting heuristic approach"/>
    <s v="PARTICLE SWARM OPTIMIZATION; DIFFERENTIAL EVOLUTION; SMART TOURISM; ALGORITHM; DESIGN; ROUTE; INFORMATION; BEHAVIOR; SERVICE; GPS"/>
    <s v="The fast development of machine learning and artificial intelligence has led to a great improvement of the smart tourism recommendation system, however many problems associated with the choice of transport modes in city tourism have yet to be solved. This research attempts to address this issue by proposing a model of customized day itineraries with consideration of transport mode choice. With improved particle swarm optimization and differential evolution algorithm, a nondominated sorting heuristic approach was devised. A case study was carried out in Chengdu, China to examine the performance of our approach. The results show that compared with extant methods, our approach achieves better performance. In addition, our approach can create more sensible, multifarious, and customized itineraries than previous methods. Tourism organizations and mobile map app providers could integrate our proposed model into their existing smart service systems, as part of their e-business or digital strategy for enhancing tourist experience."/>
    <s v="[Zheng, Weimin] Xiamen Univ, Sch Management, 422 South Siming Rd, Xiamen 361005, Peoples R China; [Liao, Zhixue] Southwestern Univ Finance &amp; Econ, Sch Business Adm, 555 Liutai Ave, Chengdu 611130, Peoples R China; [Lin, Zhibin] Univ Durham, Business Sch, Mill Hill Lane, Durham DH1 3LB, England"/>
    <s v="Xiamen University; Southwestern University of Finance &amp; Economics - China; Durham University"/>
    <s v="Liao, ZX (corresponding author), Southwestern Univ Finance &amp; Econ, Sch Business Adm, 555 Liutai Ave, Chengdu 611130, Peoples R China."/>
    <s v="liaozhixue@swufe.edu.cn"/>
    <s v="WU, ZHEN/GRN-7688-2022; zheng, wei/IQT-9639-2023; Lin, Zhibin/ACD-8628-2022; Lin, Zhibin/R-7541-2018"/>
    <s v="WU, ZHEN/0000-0001-8719-057X; Lin, Zhibin/0000-0001-5575-2216; Lin, Zhibin/0000-0001-5575-2216"/>
    <s v="National Natural Science Foundation of China [71971179, 71701167, 71601164, 71671152]; Humanities and Social Science Projects of the Ministry of Education of China [17YJC630078]"/>
    <s v="National Natural Science Foundation of China(National Natural Science Foundation of China (NSFC)); Humanities and Social Science Projects of the Ministry of Education of China(Ministry of Education, China)"/>
    <s v="This research received grants from the National Natural Science Foundation of China (No.71971179, No.71701167, No.71601164, No.71671152) and Humanities and Social Science Projects of the Ministry of Education of China (No.17YJC630078)."/>
    <s v=""/>
    <n v="60"/>
    <n v="29"/>
    <n v="29"/>
    <n v="23"/>
    <n v="210"/>
    <s v="ELSEVIER SCI LTD"/>
    <s v="OXFORD"/>
    <s v="THE BOULEVARD, LANGFORD LANE, KIDLINGTON, OXFORD OX5 1GB, OXON, ENGLAND"/>
    <s v="0261-5177"/>
    <s v="1879-3193"/>
    <s v=""/>
    <s v="TOURISM MANAGE"/>
    <s v="Tourism Manage."/>
    <s v="DEC"/>
    <n v="2020"/>
    <n v="81"/>
    <s v=""/>
    <s v=""/>
    <s v=""/>
    <s v=""/>
    <s v=""/>
    <s v=""/>
    <s v=""/>
    <n v="104162"/>
    <s v="10.1016/j.tourman.2020.104162"/>
    <s v="http://dx.doi.org/10.1016/j.tourman.2020.104162"/>
    <s v=""/>
    <s v=""/>
    <n v="14"/>
    <s v="Environmental Studies; Hospitality, Leisure, Sport &amp; Tourism; Management"/>
    <x v="0"/>
    <s v="Environmental Sciences &amp; Ecology; Social Sciences - Other Topics; Business &amp; Economics"/>
    <s v="MM4UO"/>
    <s v=""/>
    <s v="Green Accepted"/>
    <s v=""/>
    <s v=""/>
    <s v="2023-11-15"/>
    <x v="58"/>
    <s v="View Full Record in Web of Science"/>
  </r>
  <r>
    <s v="J"/>
    <s v="Thurman, N; Fletcher, R"/>
    <s v=""/>
    <s v=""/>
    <s v=""/>
    <s v="Thurman, Neil; Fletcher, Richard"/>
    <s v=""/>
    <s v=""/>
    <s v="Has Digital Distribution Rejuvenated Readership? Revisiting the age demographics of newspaper consumption"/>
    <s v="JOURNALISM STUDIES"/>
    <s v=""/>
    <s v=""/>
    <s v="English"/>
    <x v="0"/>
    <s v=""/>
    <s v=""/>
    <s v=""/>
    <s v=""/>
    <s v=""/>
    <s v="age; attention; audience measurement; cohort effects; demography; newspaper consumption; online editions; time spent"/>
    <s v="NEWS; EUROPE"/>
    <s v="Newspapers' democratic functions have not been fully assumed by the media capturing the revenues newspapers used to enjoy. It is, therefore, important to understand the determinants of newspaper use. Earlier studies found age to be the principal determinant, but did not account for newspapers' online editions. This article investigates to what extent digital distribution has disrupted previously observed cohort effects, bringing younger audiences back to newspaper content. The annual time spent with UK newspapers by their younger, middle-aged, and older British audiences was calculated for 1999/2000-before, or just after, newspapers started to go online-and for 2016, when digital distribution had come of age. The results show (1) the time spent with newspaper brands fell by 40 per cent, even as online platforms made access easier and cheaper; (2) the proportional decrease in time spent was greatest for the youngest age group and smallest for the oldest; and (3) there are important variations between individual newspaper brands, a result, we propose, of differences in their multiplatform strategies. Digital distribution has, therefore, had little impact on previously observed cohort effects but has enabled changes in media use that have shaped the attention given to newspapers and will continue to do so."/>
    <s v="[Thurman, Neil] Ludwig Maximilians Univ Munchen, Dept Commun Studies &amp; Media Res, Munich, Germany; [Thurman, Neil] City Univ London, London, England; [Fletcher, Richard] Univ Oxford, Reuters Inst Study Journalism, Oxford, England"/>
    <s v="University of Munich; City University London; University of Oxford"/>
    <s v="Thurman, N (corresponding author), Ludwig Maximilians Univ Munchen, Dept Commun Studies &amp; Media Res, Munich, Germany.;Thurman, N (corresponding author), City Univ London, London, England."/>
    <s v="neil.thurman@ifkw.lmu.de; richard.fletcher@politics.ox.ac.uk"/>
    <s v="Fletcher, Richard/V-4402-2019"/>
    <s v="Fletcher, Richard/0000-0002-5496-2112; Thurman, Neil/0000-0003-3909-9565"/>
    <s v="Volkswagen Foundation [A110823/88171]; Google UK as part of the Digital News Initiative [CTR00220]; Digital News Report [CTR00150]"/>
    <s v="Volkswagen Foundation(Volkswagen); Google UK as part of the Digital News Initiative(Google Incorporated); Digital News Report"/>
    <s v="The research was supported by a research grant from the Volkswagen Foundation (A110823/88171), with additional support from Google UK as part of the Digital News Initiative (CTR00220), and the Digital News Report (CTR00150)."/>
    <s v=""/>
    <n v="45"/>
    <n v="28"/>
    <n v="29"/>
    <n v="1"/>
    <n v="9"/>
    <s v="ROUTLEDGE JOURNALS, TAYLOR &amp; FRANCIS LTD"/>
    <s v="ABINGDON"/>
    <s v="2-4 PARK SQUARE, MILTON PARK, ABINGDON OX14 4RN, OXON, ENGLAND"/>
    <s v="1461-670X"/>
    <s v="1469-9699"/>
    <s v=""/>
    <s v="JOURNALISM STUD"/>
    <s v="Journal. Stud."/>
    <s v="MAR 12"/>
    <n v="2019"/>
    <n v="20"/>
    <n v="4"/>
    <s v=""/>
    <s v=""/>
    <s v=""/>
    <s v=""/>
    <n v="542"/>
    <n v="562"/>
    <s v=""/>
    <s v="10.1080/1461670X.2017.1397532"/>
    <s v="http://dx.doi.org/10.1080/1461670X.2017.1397532"/>
    <s v=""/>
    <s v=""/>
    <n v="21"/>
    <s v="Communication"/>
    <x v="0"/>
    <s v="Communication"/>
    <s v="HN8PQ"/>
    <s v=""/>
    <s v="hybrid, Green Accepted"/>
    <s v=""/>
    <s v=""/>
    <s v="2023-11-15"/>
    <x v="59"/>
    <s v="View Full Record in Web of Science"/>
  </r>
  <r>
    <s v="J"/>
    <s v="Rodgers, S"/>
    <s v=""/>
    <s v=""/>
    <s v=""/>
    <s v="Rodgers, Scott"/>
    <s v=""/>
    <s v=""/>
    <s v="Foreign objects? Web content management systems, journalistic cultures and the ontology of software"/>
    <s v="JOURNALISM"/>
    <s v=""/>
    <s v=""/>
    <s v="English"/>
    <x v="0"/>
    <s v=""/>
    <s v=""/>
    <s v=""/>
    <s v=""/>
    <s v=""/>
    <s v="Actor-network theory; computation; digital media; newspapers; organizational theory; phenomenology; practice theory; site ontology; software; web content management systems"/>
    <s v="ONLINE NEWSROOMS; INNOVATION; INTERACTIVITY; ETHNOGRAPHY"/>
    <s v="Research on digital' journalism has focused largely on online news, with comparatively less interest in the longer-term implications of software and computational technologies. Drawing upon a 6-year study of the Toronto Star, this article provides an account of TOPS, an in-house web content management system which served as the backbone of thestar.com for 6 years. For some, TOPS was a successful software innovation, while for others, a strategic digital property'. But for most journalists, it was slow, deficient in functionality, aesthetically unappealing and cumbersome. Although several organizational factors can explain TOPS' obstinacy, I argue for particular attention to the complex ontology of software. Based on an outline of this ontology, I suggest software be taken seriously as an object of journalism, which implies acknowledging its partial autonomy from human use or authorization, accounting for its ability to mutate indefinitely and analysing its capacity to encourage forms of computational thinking'."/>
    <s v="[Rodgers, Scott] Univ London, London WC1H 0PD, England"/>
    <s v="University of London"/>
    <s v="Rodgers, S (corresponding author), Univ London, Dept Film Media &amp; Cultural Studies, 43 Gordon Sq, London WC1H 0PD, England."/>
    <s v="s.rodgers@bbk.ac.uk"/>
    <s v=""/>
    <s v="Rodgers, Scott/0000-0002-1544-8743"/>
    <s v=""/>
    <s v=""/>
    <s v=""/>
    <s v=""/>
    <n v="42"/>
    <n v="28"/>
    <n v="28"/>
    <n v="1"/>
    <n v="42"/>
    <s v="SAGE PUBLICATIONS INC"/>
    <s v="THOUSAND OAKS"/>
    <s v="2455 TELLER RD, THOUSAND OAKS, CA 91320 USA"/>
    <s v="1464-8849"/>
    <s v="1741-3001"/>
    <s v=""/>
    <s v="JOURNALISM"/>
    <s v="Journalism"/>
    <s v="JAN"/>
    <n v="2015"/>
    <n v="16"/>
    <n v="1"/>
    <s v=""/>
    <s v=""/>
    <s v="SI"/>
    <s v=""/>
    <n v="10"/>
    <n v="26"/>
    <s v=""/>
    <s v="10.1177/1464884914545729"/>
    <s v="http://dx.doi.org/10.1177/1464884914545729"/>
    <s v=""/>
    <s v=""/>
    <n v="17"/>
    <s v="Communication"/>
    <x v="0"/>
    <s v="Communication"/>
    <s v="AX3EK"/>
    <s v=""/>
    <s v="Green Accepted"/>
    <s v=""/>
    <s v=""/>
    <s v="2023-11-15"/>
    <x v="60"/>
    <s v="View Full Record in Web of Science"/>
  </r>
  <r>
    <s v="J"/>
    <s v="Knudsen, KE; Willman, C; Winn, R"/>
    <s v=""/>
    <s v=""/>
    <s v=""/>
    <s v="Knudsen, Karen E.; Willman, Cheryl; Winn, Robert"/>
    <s v=""/>
    <s v=""/>
    <s v="Optimizing the Use of Telemedicine in Oncology Care: Postpandemic Opportunities"/>
    <s v="CLINICAL CANCER RESEARCH"/>
    <s v=""/>
    <s v=""/>
    <s v="English"/>
    <x v="0"/>
    <s v=""/>
    <s v=""/>
    <s v=""/>
    <s v=""/>
    <s v=""/>
    <s v=""/>
    <s v="TELECONSENT; TELEHEALTH; COVID-19"/>
    <s v="Utilization of telehealth as part of the cancer care delivery continuum dramatically escalated in response to the COVID-19 pandemic at major cancer centers across the globe. The rapid shift toward telehealth visits for nontreatment cancer care provided immediate benefit through reducing unnecessary risk of exposure, overcoming transportation barriers faced by both patients and caregivers, and fast-tracking care transformation. As such, delineating the impact of telehealth on access, health equity, quality, and outcomes will be essential for refining the use of digital strategies and telehealth toward optimizing cancer care. Herein, experiences to date with telehealth usage for oncology care are reviewed, and priorities are outlined for postpandemic opportunities to improve the lives of patients with cancer through telemedicine."/>
    <s v="[Knudsen, Karen E.] Jefferson Hlth, Sidney Kimmel Canc Ctr, 233 S 10th St,Bluemle BLSB 1050, Philadelphia, PA 19107 USA; [Knudsen, Karen E.] Thomas Jefferson Univ, Philadelphia, PA 19107 USA; [Willman, Cheryl] Univ New Mexico, Comprehens Canc Ctr, Albuquerque, NM 87131 USA; [Winn, Robert] Virginia Commonwealth Univ, Massey Canc Ctr, Richmond, VA USA"/>
    <s v="Jefferson University; Jefferson University; University of New Mexico; Virginia Commonwealth University"/>
    <s v="Knudsen, KE (corresponding author), Jefferson Hlth, Sidney Kimmel Canc Ctr, 233 S 10th St,Bluemle BLSB 1050, Philadelphia, PA 19107 USA."/>
    <s v="karen.knudsen@jefferson.edu"/>
    <s v=""/>
    <s v="Winn, Robert A/0000-0001-5948-9291"/>
    <s v="NCI [P30 CA05560]"/>
    <s v="NCI(United States Department of Health &amp; Human ServicesNational Institutes of Health (NIH) - USANIH National Cancer Institute (NCI))"/>
    <s v="The authors would like to thank the oncology and telehealth teams at our respective institutions who have worked tirelessly to ensure rapid access to continued cancer care during the ongoing global pandemic. Particular appreciation is also extended to Drs. A.M. Lopez, A. Chapman, J. Hollander, and A. Leader in addition to V. Cisk, J. Palidora, and A. Khariton (Sidney Kimmel Cancer Center at Jefferson Health) for expert leadership and ongoing discussions regarding telehealth refinement. This work was funded, in part, by a supplement award to the Cancer Center Support grant P30 CA05560 (to principal investigator, K.E. Knudsen) provided by the NCI."/>
    <s v=""/>
    <n v="26"/>
    <n v="27"/>
    <n v="27"/>
    <n v="1"/>
    <n v="6"/>
    <s v="AMER ASSOC CANCER RESEARCH"/>
    <s v="PHILADELPHIA"/>
    <s v="615 CHESTNUT ST, 17TH FLOOR, PHILADELPHIA, PA 19106-4404 USA"/>
    <s v="1078-0432"/>
    <s v="1557-3265"/>
    <s v=""/>
    <s v="CLIN CANCER RES"/>
    <s v="Clin. Cancer Res."/>
    <s v="FEB 15"/>
    <n v="2021"/>
    <n v="27"/>
    <n v="4"/>
    <s v=""/>
    <s v=""/>
    <s v=""/>
    <s v=""/>
    <n v="933"/>
    <n v="936"/>
    <s v=""/>
    <s v="10.1158/1078-0432.CCR-20-3758"/>
    <s v="http://dx.doi.org/10.1158/1078-0432.CCR-20-3758"/>
    <s v=""/>
    <s v=""/>
    <n v="4"/>
    <s v="Oncology"/>
    <x v="2"/>
    <s v="Oncology"/>
    <s v="QK1VB"/>
    <n v="33229457"/>
    <s v="Green Accepted, Bronze"/>
    <s v=""/>
    <s v=""/>
    <s v="2023-11-15"/>
    <x v="61"/>
    <s v="View Full Record in Web of Science"/>
  </r>
  <r>
    <s v="J"/>
    <s v="Munro, M"/>
    <s v=""/>
    <s v=""/>
    <s v=""/>
    <s v="Munro, Morag"/>
    <s v=""/>
    <s v=""/>
    <s v="The complicity of digital technologies in the marketisation of UK higher education: exploring the implications of a critical discourse analysis of thirteen national digital teaching and learning strategies"/>
    <s v="INTERNATIONAL JOURNAL OF EDUCATIONAL TECHNOLOGY IN HIGHER EDUCATION"/>
    <s v=""/>
    <s v=""/>
    <s v="English"/>
    <x v="0"/>
    <s v=""/>
    <s v=""/>
    <s v=""/>
    <s v=""/>
    <s v=""/>
    <s v="Digital technologies; Higher education policy and strategy; Marketisation of HE; Neoliberalism; Critical discourse analysis"/>
    <s v="ONLINE; PARTICIPATION"/>
    <s v="National strategies play a crucial role in framing how digital technologies are enacted in Higher Education (HE). This paper draws on some of the findings of a Critical Discourse Analysis (CDA) of thirteen digital teaching and learning strategies issued by government departments and non-departmental public bodies in the UK between 2003 and 2013. It demonstrates that, across the strategies, digital technologies are depicted as tools for advancing the marketisation of UK HE. Rather ironically, the strategies are also fraught with contradictions and paradoxes with respect to the claimed relationships between digital technologies, learning, and markets. I argue that this problematic portrayal of digital technologies makes them complicit in the neoliberal erosion of UK HE."/>
    <s v="[Munro, Morag] Maynooth Univ, Ctr Teaching &amp; Learning, Maynooth, Kildare, Ireland"/>
    <s v="Maynooth University"/>
    <s v="Munro, M (corresponding author), Maynooth Univ, Ctr Teaching &amp; Learning, Maynooth, Kildare, Ireland."/>
    <s v="morag.munro@mu.ie"/>
    <s v=""/>
    <s v=""/>
    <s v=""/>
    <s v=""/>
    <s v=""/>
    <s v=""/>
    <n v="136"/>
    <n v="27"/>
    <n v="29"/>
    <n v="4"/>
    <n v="21"/>
    <s v="SPRINGER"/>
    <s v="NEW YORK"/>
    <s v="ONE NEW YORK PLAZA, SUITE 4600, NEW YORK, NY, UNITED STATES"/>
    <s v="2365-9440"/>
    <s v=""/>
    <s v=""/>
    <s v="INT J EDUC TECHNOL H"/>
    <s v="Int. J. Educ. Technol. High. Educ."/>
    <s v="MAR 29"/>
    <n v="2018"/>
    <n v="15"/>
    <s v=""/>
    <s v=""/>
    <s v=""/>
    <s v=""/>
    <s v=""/>
    <s v=""/>
    <s v=""/>
    <n v="11"/>
    <s v="10.1186/s41239-018-0093-2"/>
    <s v="http://dx.doi.org/10.1186/s41239-018-0093-2"/>
    <s v=""/>
    <s v=""/>
    <n v="20"/>
    <s v="Education &amp; Educational Research"/>
    <x v="0"/>
    <s v="Education &amp; Educational Research"/>
    <s v="GB3NK"/>
    <s v=""/>
    <s v="Green Accepted, gold"/>
    <s v=""/>
    <s v=""/>
    <s v="2023-11-15"/>
    <x v="62"/>
    <s v="View Full Record in Web of Science"/>
  </r>
  <r>
    <s v="J"/>
    <s v="Azaïs, F; Bertrand, Y; Renovell, M; Ivanov, A; Tabatabaei, S"/>
    <s v=""/>
    <s v=""/>
    <s v=""/>
    <s v="Azaïs, F; Bertrand, Y; Renovell, M; Ivanov, A; Tabatabaei, S"/>
    <s v=""/>
    <s v=""/>
    <s v="An all-digital DFT scheme for testing catastrophic faults in PLLs"/>
    <s v="IEEE DESIGN &amp; TEST OF COMPUTERS"/>
    <s v=""/>
    <s v=""/>
    <s v="English"/>
    <x v="0"/>
    <s v=""/>
    <s v=""/>
    <s v=""/>
    <s v=""/>
    <s v=""/>
    <s v=""/>
    <s v=""/>
    <s v="Traditional functional testing of mixed-signal ICs is slow and requires costly, dedicated test equipment. The authors update the standard PLL architecture to allow simple digital testing. The all-digital strategy yields catastrophic fault coverage as high as that of the classical functional test, plus it is fast, extremely simple to implement and requires only standard digital test equipment."/>
    <s v="Univ Montpellier, CNRS, Microelect Dept, LIRMM, F-34392 Montpellier, France; Univ British Columbia, Dept Elect &amp; Comp Engn, Vancouver, BC V5Z 1M9, Canada"/>
    <s v="Centre National de la Recherche Scientifique (CNRS); Universite Paul-Valery; Universite Perpignan Via Domitia; Universite de Montpellier; University of British Columbia"/>
    <s v=""/>
    <s v="azais@lirmm.fr"/>
    <s v=""/>
    <s v=""/>
    <s v=""/>
    <s v=""/>
    <s v=""/>
    <s v=""/>
    <n v="12"/>
    <n v="27"/>
    <n v="28"/>
    <n v="0"/>
    <n v="1"/>
    <s v="IEEE COMPUTER SOC"/>
    <s v="LOS ALAMITOS"/>
    <s v="10662 LOS VAQUEROS CIRCLE, PO BOX 3014, LOS ALAMITOS, CA 90720-1314 USA"/>
    <s v="0740-7475"/>
    <s v="1558-1918"/>
    <s v=""/>
    <s v="IEEE DES TEST COMPUT"/>
    <s v="IEEE Des. Test Comput."/>
    <s v="JAN-FEB"/>
    <n v="2003"/>
    <n v="20"/>
    <n v="1"/>
    <s v=""/>
    <s v=""/>
    <s v=""/>
    <s v=""/>
    <n v="60"/>
    <n v="67"/>
    <s v=""/>
    <s v="10.1109/MDT.2003.1173054"/>
    <s v="http://dx.doi.org/10.1109/MDT.2003.1173054"/>
    <s v=""/>
    <s v=""/>
    <n v="8"/>
    <s v="Computer Science, Hardware &amp; Architecture; Engineering, Electrical &amp; Electronic"/>
    <x v="2"/>
    <s v="Computer Science; Engineering"/>
    <s v="634HG"/>
    <s v=""/>
    <s v=""/>
    <s v=""/>
    <s v=""/>
    <s v="2023-11-15"/>
    <x v="63"/>
    <s v="View Full Record in Web of Science"/>
  </r>
  <r>
    <s v="J"/>
    <s v="Zheng, R; Li, Z; Na, S"/>
    <s v=""/>
    <s v=""/>
    <s v=""/>
    <s v="Zheng, Run; Li, Zhuyuan; Na, Sanggyun"/>
    <s v=""/>
    <s v=""/>
    <s v="How customer engagement in the live-streaming affects purchase intention and customer acquisition, E-tailer?s perspective"/>
    <s v="JOURNAL OF RETAILING AND CONSUMER SERVICES"/>
    <s v=""/>
    <s v=""/>
    <s v="English"/>
    <x v="0"/>
    <s v=""/>
    <s v=""/>
    <s v=""/>
    <s v=""/>
    <s v=""/>
    <s v="Retailing; Live streaming; Customer engagement; E-tailers; Purchase intention; Customer acquisition"/>
    <s v="CONSUMER-BRAND ENGAGEMENT; SOCIAL-MEDIA ENGAGEMENT; WORD-OF-MOUTH; BEHAVIOR; IMPACT; DYNAMICS; SATISFACTION; PERFORMANCE; RETENTION; SALES"/>
    <s v="In the emerging retail market, e-tailers operating in developing economies have to cope with the rapid use of the Internet, new electronic purchasing methods and online selling platforms. However, e-tailers do not understand the effect patterns in which customer engagement on purchase intention and customer acquisition. From e-tailers' perspective, this study explores how customer engagement behaviors are related to both purchase intention and customer acquisition. We obtained live streaming data in the mature e-tail live streaming market environment and found empirical evidence supporting the conceptual framework through regression model analysis. The analysis results show that the specific indicators of the customer engagement are not all positively related to customer purchase intention and customer acquisition, and it is worth noting that the influence of like behavior on customer acquisition is no statistical significance. This is expected to encourage e-tailers to rethink their focus on customer acquisition and sales enhancement digital strategies as they operate in emerging markets."/>
    <s v="[Zheng, Run; Li, Zhuyuan; Na, Sanggyun] Wonkwang Univ, Coll Business Adm, 460 Iksandae Ro, Iksan 54538, South Korea"/>
    <s v="Wonkwang University"/>
    <s v="Li, Z (corresponding author), Wonkwang Univ, Coll Business Adm, 460 Iksandae Ro, Iksan 54538, South Korea."/>
    <s v="runzheng290@gmail.com; lzyazr520@gmail.com; nsghy@wku.ac.kr"/>
    <s v="zhuyuan, li/IUN-4515-2023"/>
    <s v="Li, Zhuyuan/0000-0003-4640-5129"/>
    <s v="Wonkwang University"/>
    <s v="Wonkwang University"/>
    <s v="This paper was supported by Wonkwang University in 2022."/>
    <s v=""/>
    <n v="94"/>
    <n v="26"/>
    <n v="26"/>
    <n v="40"/>
    <n v="194"/>
    <s v="ELSEVIER SCI LTD"/>
    <s v="OXFORD"/>
    <s v="THE BOULEVARD, LANGFORD LANE, KIDLINGTON, OXFORD OX5 1GB, OXON, ENGLAND"/>
    <s v="0969-6989"/>
    <s v="1873-1384"/>
    <s v=""/>
    <s v="J RETAIL CONSUM SERV"/>
    <s v="J. Retail. Consum. Serv."/>
    <s v="SEP"/>
    <n v="2022"/>
    <n v="68"/>
    <s v=""/>
    <s v=""/>
    <s v=""/>
    <s v=""/>
    <s v=""/>
    <s v=""/>
    <s v=""/>
    <n v="103015"/>
    <s v="10.1016/j.jretconser.2022.103015"/>
    <s v="http://dx.doi.org/10.1016/j.jretconser.2022.103015"/>
    <s v=""/>
    <s v="MAY 2022"/>
    <n v="10"/>
    <s v="Business"/>
    <x v="0"/>
    <s v="Business &amp; Economics"/>
    <s v="1Q3ON"/>
    <s v=""/>
    <s v=""/>
    <s v=""/>
    <s v=""/>
    <s v="2023-11-15"/>
    <x v="64"/>
    <s v="View Full Record in Web of Science"/>
  </r>
  <r>
    <s v="J"/>
    <s v="Büyüközkan, G; Havle, CA; Feyzioglu, O"/>
    <s v=""/>
    <s v=""/>
    <s v=""/>
    <s v="Buyukozkan, Gulcin; Havle, Celal Alpay; Feyzioglu, Orhan"/>
    <s v=""/>
    <s v=""/>
    <s v="An integrated SWOT based fuzzy AHP and fuzzy MARCOS methodology for digital transformation strategy analysis in airline industry"/>
    <s v="JOURNAL OF AIR TRANSPORT MANAGEMENT"/>
    <s v=""/>
    <s v=""/>
    <s v="English"/>
    <x v="0"/>
    <s v=""/>
    <s v=""/>
    <s v=""/>
    <s v=""/>
    <s v=""/>
    <s v="Airline industry; Digital transformation; SWOT Analysis; Fuzzy AHP; Fuzzy MARCOS"/>
    <s v="ANP-BASED SWOT; DECISION-MAKING; SUPPLIER SELECTION; RISK-ASSESSMENT; TOPSIS; FRAMEWORK; PROJECTS; MODEL"/>
    <s v="Driven by business strategies, digital transformation (DT) facilitates dramatic change in air passenger behavior. This study aims to determine and analyze different DT strategies (DTSs) with the help of an integrated SWOTbased fuzzy AHP-MARCOS methodology that is proposed for the first time in the literature for this purpose. This methodology is validated with a case study concerning the airline industry in Turkey. The weights of the SWOT factors are determined with the fuzzy AHP method. The fuzzy MARCOS approach is used to select the most suitable DTS. The most appropriate strategy is obtained as focusing on differentiated digital customer experience and service quality by the adaptation of business models to DT to provide benefits."/>
    <s v="[Buyukozkan, Gulcin; Havle, Celal Alpay; Feyzioglu, Orhan] Galatasaray Univ, Dept Ind Engn, TR-34349 Istanbul, Turkey; [Havle, Celal Alpay] Ozyegin Univ, Dept Profess Flight, Fac Aviat &amp; Aeronaut Sci, Istanbul, Turkey"/>
    <s v="Galatasaray University; Ozyegin University"/>
    <s v="Büyüközkan, G (corresponding author), Galatasaray Univ, Dept Ind Engn, TR-34349 Istanbul, Turkey."/>
    <s v="gbuyukozkan@gsu.edu.tr; celal.alpay.havle@gmail.com; ofeyzioglu@gsu.edu.tr"/>
    <s v="Feyzioglu, Orhan/AAG-5351-2019"/>
    <s v="Feyzioglu, Orhan/0000-0002-8919-191X"/>
    <s v=""/>
    <s v=""/>
    <s v=""/>
    <s v=""/>
    <n v="81"/>
    <n v="26"/>
    <n v="26"/>
    <n v="6"/>
    <n v="49"/>
    <s v="ELSEVIER SCI LTD"/>
    <s v="OXFORD"/>
    <s v="THE BOULEVARD, LANGFORD LANE, KIDLINGTON, OXFORD OX5 1GB, OXON, ENGLAND"/>
    <s v="0969-6997"/>
    <s v="1873-2089"/>
    <s v=""/>
    <s v="J AIR TRANSP MANAG"/>
    <s v="J. Air Transp. Manag."/>
    <s v="OCT"/>
    <n v="2021"/>
    <n v="97"/>
    <s v=""/>
    <s v=""/>
    <s v=""/>
    <s v=""/>
    <s v=""/>
    <s v=""/>
    <s v=""/>
    <n v="102142"/>
    <s v="10.1016/j.jairtraman.2021.102142"/>
    <s v="http://dx.doi.org/10.1016/j.jairtraman.2021.102142"/>
    <s v=""/>
    <s v="SEP 2021"/>
    <n v="17"/>
    <s v="Transportation"/>
    <x v="0"/>
    <s v="Transportation"/>
    <s v="WN7LM"/>
    <s v=""/>
    <s v=""/>
    <s v=""/>
    <s v=""/>
    <s v="2023-11-15"/>
    <x v="65"/>
    <s v="View Full Record in Web of Science"/>
  </r>
  <r>
    <s v="J"/>
    <s v="Radanliev, P; De Roure, D; Burnap, P; Santos, O"/>
    <s v=""/>
    <s v=""/>
    <s v=""/>
    <s v="Radanliev, Petar; De Roure, David; Burnap, Pete; Santos, Omar"/>
    <s v=""/>
    <s v=""/>
    <s v="Epistemological Equation for Analysing Uncontrollable States in Complex Systems: Quantifying Cyber Risks from the Internet of Things"/>
    <s v="REVIEW OF SOCIONETWORK STRATEGIES"/>
    <s v=""/>
    <s v=""/>
    <s v="English"/>
    <x v="0"/>
    <s v=""/>
    <s v=""/>
    <s v=""/>
    <s v=""/>
    <s v=""/>
    <s v="Epistemological analysis; Internet of Things; Risk transformation roadmap; Cyber risk regulations; Empirical analysis; Cyber risk self-assessment; Cyber risk target state"/>
    <s v=""/>
    <s v="The Internet-of-Things (IoT) triggers data protection questions and new types of cyber risks. Cyber risk regulations for the IoT, however, are still in their infancy. This is concerning, because companies integrating IoT devices and services need to perform a self-assessment of its IoT cyber security posture. At present, there are no self-assessment methods for quantifying IoT cyber risk posture. It is considered that IoT represent a complex system with too many uncontrollable risk states for quantitative risk assessment. To enable quantitative risk assessment of uncontrollable risk states in complex and coupled IoT systems, a new epistemological equation is designed and tested though comparative and empirical analysis. The comparative analysis is conducted on national digital strategies, followed by an empirical analysis of cyber risk assessment approaches. The results from the analysis present the current and a target state for IoT systems, followed by a transformation roadmap, describing how IoT systems can achieve the target state with a new epistemological analysis model. The new epistemological analysis approach enables the assessment of uncontrollable risk states in complex IoT systems-which begin to resemble artificial intelligence-and can be used for a quantitative self-assessment of IoT cyber risk posture."/>
    <s v="[Radanliev, Petar; De Roure, David] Univ Oxford, Dept Engn Sci, Oxford eRes Ctr, Oxford, England; [Burnap, Pete] Cardiff Univ, Sch Comp Sci &amp; Informat, Cardiff, Wales; [Santos, Omar] Cisco Res Ctr, Durham, NC USA"/>
    <s v="University of Oxford; Cardiff University; Cisco Systems Inc"/>
    <s v="Radanliev, P (corresponding author), Univ Oxford, Dept Engn Sci, Oxford eRes Ctr, Oxford, England."/>
    <s v="petar.radanliev@oerc.ox.ac.uk"/>
    <s v="Radanliev, Petar/L-7509-2015"/>
    <s v="Radanliev, Petar/0000-0001-5629-6857"/>
    <s v="EPSRC [EP/S035362/1]; Cisco Research Centre [CG1525381]; EPSRC [EP/S035362/1] Funding Source: UKRI"/>
    <s v="EPSRC(UK Research &amp; Innovation (UKRI)Engineering &amp; Physical Sciences Research Council (EPSRC)); Cisco Research Centre; EPSRC(UK Research &amp; Innovation (UKRI)Engineering &amp; Physical Sciences Research Council (EPSRC))"/>
    <s v="This work was funded by the EPSRC [Grant Number: EP/S035362/1] and by the Cisco Research Centre [Grant Number CG1525381]. Earlier versions of this work from the combined working papers and project reports prepared for the PETRAS National Centre of Excellence and the Cisco Research Centre can be found in a pre-print online."/>
    <s v=""/>
    <n v="58"/>
    <n v="26"/>
    <n v="26"/>
    <n v="2"/>
    <n v="6"/>
    <s v="SPRINGER JAPAN KK"/>
    <s v="TOKYO"/>
    <s v="SHIROYAMA TRUST TOWER 5F, 4-3-1 TORANOMON, MINATO-KU, TOKYO, 105-6005, JAPAN"/>
    <s v="2523-3173"/>
    <s v="1867-3236"/>
    <s v=""/>
    <s v="REV SOCIONETWORK STR"/>
    <s v="Rev. Socionetwork Strateg."/>
    <s v="DEC"/>
    <n v="2021"/>
    <n v="15"/>
    <n v="2"/>
    <s v=""/>
    <s v=""/>
    <s v="SI"/>
    <s v=""/>
    <n v="381"/>
    <n v="411"/>
    <s v=""/>
    <s v="10.1007/s12626-021-00086-5"/>
    <s v="http://dx.doi.org/10.1007/s12626-021-00086-5"/>
    <s v=""/>
    <s v="JUL 2021"/>
    <n v="31"/>
    <s v="Computer Science, Information Systems"/>
    <x v="3"/>
    <s v="Computer Science"/>
    <s v="WX8WK"/>
    <n v="35506054"/>
    <s v="Green Published, Green Submitted, hybrid"/>
    <s v=""/>
    <s v=""/>
    <s v="2023-11-15"/>
    <x v="66"/>
    <s v="View Full Record in Web of Science"/>
  </r>
  <r>
    <s v="J"/>
    <s v="Pateli, A; Mylonas, N; Spyrou, A"/>
    <s v=""/>
    <s v=""/>
    <s v=""/>
    <s v="Pateli, Adamantia; Mylonas, Naoum; Spyrou, Aggeliki"/>
    <s v=""/>
    <s v=""/>
    <s v="Organizational Adoption of Social Media in the Hospitality Industry: An Integrated Approach Based on DIT and TOE Frameworks"/>
    <s v="SUSTAINABILITY"/>
    <s v=""/>
    <s v=""/>
    <s v="English"/>
    <x v="0"/>
    <s v=""/>
    <s v=""/>
    <s v=""/>
    <s v=""/>
    <s v=""/>
    <s v="social media adoption; diffusion of innovation theory; TOE; hospitality industry"/>
    <s v="PLS-SEM; INFORMATION-TECHNOLOGY; SMES ADOPTION; E-BUSINESS; PERFORMANCE; INNOVATION; DIFFUSION; TOURISM; SYSTEMS; MODELS"/>
    <s v="The importance of the organizational adoption of social media is increasingly raised in hospitality literature because of the recognition of Web 2.0 technologies as a significant tool for improving customer information searching and experience, as well as for enriching firm digital strategy. The present study seeks to empirically explore the determinant factors that affect a hospitality firm's decision to adopt social media by following a theoretical approach that integrates the Diffusion of Innovation Theory (DIT) with the Technology-Organization-Environment (TOE) framework. Using survey data from 106 hospitality firms operating in Greece, and by applying structural equation modelling (SEM), we identify seven factors that influence the adoption of organizational social media adoption. These factors are grouped into three categories: Technological, organizational, and environmental. Out of the three groups of factors, technological features are considered as the most important ones in terms of their predicting power. Theoretical and practical implications of our findings are discussed."/>
    <s v="[Pateli, Adamantia; Spyrou, Aggeliki] Ionian Univ, Dept Informat, Tsirigoti Sq 7, Corfu 49100, Greece; [Mylonas, Naoum] Ionian Univ, Dept Tourism, P Vraila Armeni 4, Corfu 49132, Greece"/>
    <s v="Ionian University; Ionian University"/>
    <s v="Mylonas, N (corresponding author), Ionian Univ, Dept Tourism, P Vraila Armeni 4, Corfu 49132, Greece."/>
    <s v="pateli@ionio.gr; nmylonas@ionio.gr; c15spyr@ionio.gr"/>
    <s v="Pateli, Adamantia/AAM-3196-2021; Mylonas, Naoum/AAD-8214-2019"/>
    <s v="Pateli, Adamantia/0000-0001-8649-1303; Mylonas, Naoum/0000-0002-4286-8022"/>
    <s v=""/>
    <s v=""/>
    <s v=""/>
    <s v=""/>
    <n v="110"/>
    <n v="26"/>
    <n v="26"/>
    <n v="8"/>
    <n v="49"/>
    <s v="MDPI"/>
    <s v="BASEL"/>
    <s v="ST ALBAN-ANLAGE 66, CH-4052 BASEL, SWITZERLAND"/>
    <s v=""/>
    <s v="2071-1050"/>
    <s v=""/>
    <s v="SUSTAINABILITY-BASEL"/>
    <s v="Sustainability"/>
    <s v="SEP"/>
    <n v="2020"/>
    <n v="12"/>
    <n v="17"/>
    <s v=""/>
    <s v=""/>
    <s v=""/>
    <s v=""/>
    <s v=""/>
    <s v=""/>
    <n v="7132"/>
    <s v="10.3390/su12177132"/>
    <s v="http://dx.doi.org/10.3390/su12177132"/>
    <s v=""/>
    <s v=""/>
    <n v="20"/>
    <s v="Green &amp; Sustainable Science &amp; Technology; Environmental Sciences; Environmental Studies"/>
    <x v="1"/>
    <s v="Science &amp; Technology - Other Topics; Environmental Sciences &amp; Ecology"/>
    <s v="NP7XZ"/>
    <s v=""/>
    <s v="gold, Green Published"/>
    <s v=""/>
    <s v=""/>
    <s v="2023-11-15"/>
    <x v="67"/>
    <s v="View Full Record in Web of Science"/>
  </r>
  <r>
    <s v="J"/>
    <s v="Demeter, K; Losonci, D; Nagy, J"/>
    <s v=""/>
    <s v=""/>
    <s v=""/>
    <s v="Demeter, Krisztina; Losonci, David; Nagy, Judit"/>
    <s v=""/>
    <s v=""/>
    <s v="Road to digital manufacturing - a longitudinal case-based analysis"/>
    <s v="JOURNAL OF MANUFACTURING TECHNOLOGY MANAGEMENT"/>
    <s v=""/>
    <s v=""/>
    <s v="English"/>
    <x v="0"/>
    <s v=""/>
    <s v=""/>
    <s v=""/>
    <s v=""/>
    <s v=""/>
    <s v="Industry 4; 0; Digitalization; Case study; Automotive industry"/>
    <s v="INDUSTRY 4.0 TECHNOLOGIES; DYNAMIC CAPABILITIES; ABSORPTIVE-CAPACITY; MICROFOUNDATIONS; IMPLEMENTATION; EXPLORATION"/>
    <s v="Purpose The authors' main objective is to examine the resource alteration underlying the digital manufacturing transformation. The authors rely on the adaptation aspect of dynamic capabilities (DC) theory and their analysis shows how and why a factory adapts its resources and capabilities during digital transformation. Design/methodology/approach To grasp the change, the authors apply the longitudinal case study method within a revelatory case setting. The digital transformation is detailed from the perspective of a subsidiary that has played a key role in the division's digital transformation. Findings Analysing the revealed four stages of the transformation through the lenses of the DC components of adaptation (sensing capability, absorptive capacity, integrative capability, relational capability), this study suggests a sequence with unbalanced characteristics. Each stage starts with sensing capability, each component appears during each stage and each stage is dominated by a different component. Relying on the path dependency concept, the authors also present that the interplay between lean as an old resource stock and digital manufacturing as a new resource stock is rather a necessity, especially at the beginning of the transformation (at a corporation that pursues lean for years). Practical implications Digital strategy development is rather an intermediate element of the transformation, since committed personnel (or maybe their network) start bottom-up and coordinate initiatives as they sense the opportunities in the environment. Top managers should rely on their accumulated knowledge and involve them into the transfer coalition in the top-down phase of digitalization. The authors' case also underlines that starting to experiment with novel technologies requires a solid (and usually expensive) technological and human basis. Finally, process improvement focussed developments at a high-performing factory might be just enough to deal with ever-demanding customer expectations. Originality/value This study is among the firsts in operations management that relies on the DC theory to follow up the digital transformation of a factory. A further valuable contribution is that the adaptation process is examined in a longitudinal case study."/>
    <s v="[Demeter, Krisztina; Losonci, David; Nagy, Judit] Corvinus Univ Budapest, Dept Logist &amp; Supply Chain Management, Budapest, Hungary"/>
    <s v="Corvinus University Budapest"/>
    <s v="Demeter, K (corresponding author), Corvinus Univ Budapest, Dept Logist &amp; Supply Chain Management, Budapest, Hungary."/>
    <s v="krisztina.demeter@uni-corvinus.hu; david.losonci@uni-corvinus.hu; judit.nagy@uni-corvinus.hu"/>
    <s v="Nagy, Judit/AAE-3341-2022; Nagy, Judit/HZL-6228-2023; Losonci, Dávid/A-7808-2013; Demeter, Krisztina/B-1310-2013"/>
    <s v="Nagy, Judit/0000-0001-8275-1550; Nagy, Judit/0000-0001-8275-1550; Losonci, Dávid/0000-0003-0073-7849; Demeter, Krisztina/0000-0002-5967-8540"/>
    <s v="project Aspects on the development of intelligent, sustainable and inclusive society: social, technological, innovation networks in employment and digital economy [EFOP-3.6.2-16-2017-00007]; EU; European Social Fund"/>
    <s v="project Aspects on the development of intelligent, sustainable and inclusive society: social, technological, innovation networks in employment and digital economy; EU(European Union (EU)); European Social Fund(European Social Fund (ESF))"/>
    <s v="This research was supported by the project Aspects on the development of intelligent, sustainable and inclusive society: social, technological, innovation networks in employment and digital economy (EFOP-3.6.2-16-2017-00007). The project has been supported by the EU, co-financed by the European Social Fund and the budget of Hungary."/>
    <s v=""/>
    <n v="58"/>
    <n v="26"/>
    <n v="26"/>
    <n v="23"/>
    <n v="172"/>
    <s v="EMERALD GROUP PUBLISHING LTD"/>
    <s v="BINGLEY"/>
    <s v="HOWARD HOUSE, WAGON LANE, BINGLEY BD16 1WA, W YORKSHIRE, ENGLAND"/>
    <s v="1741-038X"/>
    <s v="1758-7786"/>
    <s v=""/>
    <s v="J MANUF TECHNOL MANA"/>
    <s v="J. Manuf. Technol. Manag."/>
    <s v="MAR 25"/>
    <n v="2021"/>
    <n v="32"/>
    <n v="3"/>
    <s v=""/>
    <s v=""/>
    <s v="SI"/>
    <s v=""/>
    <n v="820"/>
    <n v="839"/>
    <s v=""/>
    <s v="10.1108/JMTM-06-2019-0226"/>
    <s v="http://dx.doi.org/10.1108/JMTM-06-2019-0226"/>
    <s v=""/>
    <s v="JUN 2020"/>
    <n v="20"/>
    <s v="Engineering, Industrial; Engineering, Manufacturing; Management"/>
    <x v="1"/>
    <s v="Engineering; Business &amp; Economics"/>
    <s v="RC5QC"/>
    <s v=""/>
    <s v=""/>
    <s v=""/>
    <s v=""/>
    <s v="2023-11-15"/>
    <x v="68"/>
    <s v="View Full Record in Web of Science"/>
  </r>
  <r>
    <s v="J"/>
    <s v="Xiao, JH"/>
    <s v=""/>
    <s v=""/>
    <s v=""/>
    <s v="Xiao, Junhong"/>
    <s v=""/>
    <s v=""/>
    <s v="Digital transformation in higher education: critiquing the five-year development plans (2016-2020) of 75 Chinese universities"/>
    <s v="DISTANCE EDUCATION"/>
    <s v=""/>
    <s v=""/>
    <s v="English"/>
    <x v="0"/>
    <s v=""/>
    <s v=""/>
    <s v=""/>
    <s v=""/>
    <s v=""/>
    <s v="China; digital transformation; digital strategy; higher education; institutional development plan; national policy"/>
    <s v="RESEARCH TRENDS; TECHNOLOGY; DECADES; IMPACT"/>
    <s v="This study examined how the role of digitalization is framed in the strategic development plans of 75 top universities in China. Findings show that digitalization as perceived by these universities features instrumentality (e-campus construction and application) and modernization (sustaining and efficiency innovations in teaching and learning), a situation also seen in other countries. On the other hand, there seems to be not enough incentive for them to use digital technologies to serve a wider community and to build technology-enhanced research capacity. There is also scanty evidence of open, flexible, distributed, and disaggregated learning encouraged in these plans. Finally, unique to Chinese higher education institutions are the goals of building a positive online ethos and developing political and ideological education via digital means. Influence of national policies and strategies on institutional digital strategies is also discussed."/>
    <s v="[Xiao, Junhong] Shantou Radio &amp; Televis Univ, Dept Foreign Languages, 8 Leshan Rd, Shantou 515041, Guangdong, Peoples R China"/>
    <s v=""/>
    <s v="Xiao, JH (corresponding author), Shantou Radio &amp; Televis Univ, Dept Foreign Languages, 8 Leshan Rd, Shantou 515041, Guangdong, Peoples R China."/>
    <s v="frankxjh@gmail.com"/>
    <s v="Xiao, Junhong/AAF-5715-2020"/>
    <s v="Xiao, Junhong/0000-0002-5316-2957"/>
    <s v=""/>
    <s v=""/>
    <s v=""/>
    <s v=""/>
    <n v="77"/>
    <n v="26"/>
    <n v="27"/>
    <n v="5"/>
    <n v="95"/>
    <s v="ROUTLEDGE JOURNALS, TAYLOR &amp; FRANCIS LTD"/>
    <s v="ABINGDON"/>
    <s v="2-4 PARK SQUARE, MILTON PARK, ABINGDON OX14 4RN, OXON, ENGLAND"/>
    <s v="0158-7919"/>
    <s v="1475-0198"/>
    <s v=""/>
    <s v="DISTANCE EDUC"/>
    <s v="Distance Educ."/>
    <s v=""/>
    <n v="2019"/>
    <n v="40"/>
    <n v="4"/>
    <s v=""/>
    <s v=""/>
    <s v=""/>
    <s v=""/>
    <n v="515"/>
    <n v="533"/>
    <s v=""/>
    <s v="10.1080/01587919.2019.1680272"/>
    <s v="http://dx.doi.org/10.1080/01587919.2019.1680272"/>
    <s v=""/>
    <s v="NOV 2019"/>
    <n v="19"/>
    <s v="Education &amp; Educational Research"/>
    <x v="0"/>
    <s v="Education &amp; Educational Research"/>
    <s v="MA9OZ"/>
    <s v=""/>
    <s v=""/>
    <s v=""/>
    <s v=""/>
    <s v="2023-11-15"/>
    <x v="69"/>
    <s v="View Full Record in Web of Science"/>
  </r>
  <r>
    <s v="J"/>
    <s v="Scupola, A; Mergel, I"/>
    <s v=""/>
    <s v=""/>
    <s v=""/>
    <s v="Scupola, Ada; Mergel, Ines"/>
    <s v=""/>
    <s v=""/>
    <s v="Co-production in digital transformation of public administration and public value creation: The case of Denmark"/>
    <s v="GOVERNMENT INFORMATION QUARTERLY"/>
    <s v=""/>
    <s v=""/>
    <s v="English"/>
    <x v="0"/>
    <s v=""/>
    <s v=""/>
    <s v=""/>
    <s v=""/>
    <s v=""/>
    <s v="Digital transformation; Public value; Co-production; Public service delivery; Public administration; Digital strategy; Digital policy"/>
    <s v="MANAGEMENT; GOVERNMENT; IMPACTS"/>
    <s v="Public administrations are investing in the digital transformation of their citizen-oriented services and internal administrative processes. They are using co-production approaches and include different types of stakeholders into these transformative processes to increase service quality and generate public value. In this study, we investigate how these co-production approaches are implemented in both digital strategy formulation and implementation in Denmark. We identify four different types of public value: citizen, economic, administrative and societal public value."/>
    <s v="[Scupola, Ada] Roskilde Univ, Dept Social Sci &amp; Business, Univ Svej 1, DK-4000 Roskilde, Denmark; [Mergel, Ines] Univ Konstanz, Dept Polit &amp; Publ Adm, Univ Str 10, D-78464 Constance, Germany"/>
    <s v="Roskilde University; University of Konstanz"/>
    <s v="Scupola, A (corresponding author), Roskilde Univ, Dept Social Sci &amp; Business, Univ Svej 1, DK-4000 Roskilde, Denmark."/>
    <s v="ada@ruc.dk; ines.mergel@uni-konstanz.de"/>
    <s v=""/>
    <s v="Scupola, Ada/0000-0002-3537-7639"/>
    <s v="European Union [770356]"/>
    <s v="European Union(European Union (EU))"/>
    <s v="This project has received funding from the European Union's Horizon 2020 research and innovation programme under grant agreement No 770356. This publication reflects the views only of the authors, and the Agency cannot be held responsible for any use, which may be made of the information contained therein."/>
    <s v=""/>
    <n v="69"/>
    <n v="25"/>
    <n v="26"/>
    <n v="48"/>
    <n v="182"/>
    <s v="ELSEVIER INC"/>
    <s v="SAN DIEGO"/>
    <s v="525 B STREET, STE 1900, SAN DIEGO, CA 92101-4495 USA"/>
    <s v="0740-624X"/>
    <s v="1872-9517"/>
    <s v=""/>
    <s v="GOV INFORM Q"/>
    <s v="Gov. Inf. Q."/>
    <s v="JAN"/>
    <n v="2022"/>
    <n v="39"/>
    <n v="1"/>
    <s v=""/>
    <s v=""/>
    <s v=""/>
    <s v=""/>
    <s v=""/>
    <s v=""/>
    <n v="101650"/>
    <s v="10.1016/j.giq.2021.101650"/>
    <s v="http://dx.doi.org/10.1016/j.giq.2021.101650"/>
    <s v=""/>
    <s v="JAN 2022"/>
    <n v="11"/>
    <s v="Information Science &amp; Library Science"/>
    <x v="0"/>
    <s v="Information Science &amp; Library Science"/>
    <s v="YG9BV"/>
    <s v=""/>
    <s v="Green Published, hybrid"/>
    <s v=""/>
    <s v=""/>
    <s v="2023-11-15"/>
    <x v="70"/>
    <s v="View Full Record in Web of Science"/>
  </r>
  <r>
    <s v="J"/>
    <s v="McIntyre, DP; Srinivasan, A; Chintakananda, A"/>
    <s v=""/>
    <s v=""/>
    <s v=""/>
    <s v="McIntyre, David P.; Srinivasan, Arati; Chintakananda, Asda"/>
    <s v=""/>
    <s v=""/>
    <s v="The persistence of platforms: The role of network, platform, and complementor attributes"/>
    <s v="LONG RANGE PLANNING"/>
    <s v=""/>
    <s v=""/>
    <s v="English"/>
    <x v="0"/>
    <s v=""/>
    <s v=""/>
    <s v=""/>
    <s v=""/>
    <s v=""/>
    <s v="Platforms; Digital strategy; Network effects; Complements"/>
    <s v="EMPIRICAL-ANALYSIS; MARKETS; SOFTWARE; STRATEGY; QUALITY; US; EXTERNALITIES; PERFORMANCE; COMPETITION; INNOVATION"/>
    <s v="Existing research on digital platforms emphasizes the contexts that enable such platforms - and their sponsoring firms -to emerge and achieve market dominance. However, this body of research has not sufficiently addressed the ability of certain platform sponsors to persist over time, despite the existence of competing platforms or new entrants. Drawing upon research on network effects, competitive dynamics, and complementor interaction, we develop propositions highlighting the role of network, platform, and complementor attributes that facilitate or hinder the persistence of a technology-based platform in the market. In doing so, we conceptualize platform dominance as part of a dynamic process, rather than a static outcome as often characterized by previous literature. Our propositions advance research on digital platform strategy and user networks by examining the factors that enhance the continued viability of a platform, and generates a number of important directions for future research on technology management, innovation, and strategy, as well as for managerial practice in platform-mediated markets."/>
    <s v="[McIntyre, David P.; Srinivasan, Arati] Providence Coll, Dept Management, 1 Cunningham Sq, Providence, RI 02918 USA; [Chintakananda, Asda] Natl Inst Dev Adm, 118 Moo 3,Serithai Road, Bangkok 10240, Thailand"/>
    <s v="Providence College; National Institute of Development Administration - Thailand"/>
    <s v="McIntyre, DP (corresponding author), Providence Coll, Dept Management, 1 Cunningham Sq, Providence, RI 02918 USA."/>
    <s v="dmcinty2@providence.edu; asriniva@providence.edu; asda.chi@nida.ac.th"/>
    <s v=""/>
    <s v=""/>
    <s v=""/>
    <s v=""/>
    <s v=""/>
    <s v=""/>
    <n v="93"/>
    <n v="25"/>
    <n v="26"/>
    <n v="24"/>
    <n v="105"/>
    <s v="ELSEVIER SCI LTD"/>
    <s v="OXFORD"/>
    <s v="THE BOULEVARD, LANGFORD LANE, KIDLINGTON, OXFORD OX5 1GB, OXON, ENGLAND"/>
    <s v="0024-6301"/>
    <s v="1873-1872"/>
    <s v=""/>
    <s v="LONG RANGE PLANN"/>
    <s v="Long Range Plan."/>
    <s v="OCT"/>
    <n v="2021"/>
    <n v="54"/>
    <n v="5"/>
    <s v=""/>
    <s v=""/>
    <s v="SI"/>
    <s v=""/>
    <s v=""/>
    <s v=""/>
    <n v="101987"/>
    <s v="10.1016/j.lrp.2020.101987"/>
    <s v="http://dx.doi.org/10.1016/j.lrp.2020.101987"/>
    <s v=""/>
    <s v="OCT 2021"/>
    <n v="12"/>
    <s v="Business; Development Studies; Management"/>
    <x v="0"/>
    <s v="Business &amp; Economics; Development Studies"/>
    <s v="WF7JD"/>
    <s v=""/>
    <s v=""/>
    <s v=""/>
    <s v=""/>
    <s v="2023-11-15"/>
    <x v="71"/>
    <s v="View Full Record in Web of Science"/>
  </r>
  <r>
    <s v="J"/>
    <s v="Javornik, A; Duffy, K; Rokka, J; Scholz, J; Nobbs, K; Motala, A; Goldenberg, A"/>
    <s v=""/>
    <s v=""/>
    <s v=""/>
    <s v="Javornik, Ana; Duffy, Katherine; Rokka, Joonas; Scholz, Joachim; Nobbs, Karinna; Motala, Anisa; Goldenberg, Adriana"/>
    <s v=""/>
    <s v=""/>
    <s v="Strategic approaches to augmented reality deployment by luxury brands"/>
    <s v="JOURNAL OF BUSINESS RESEARCH"/>
    <s v=""/>
    <s v=""/>
    <s v="English"/>
    <x v="0"/>
    <s v=""/>
    <s v=""/>
    <s v=""/>
    <s v=""/>
    <s v=""/>
    <s v="Luxury brand; Augmented reality; Brand equity; Customer journey; Brand experience; Strategic approaches"/>
    <s v="SOCIAL MEDIA; EXPERIENCE; INNOVATION; EQUITY; WORLD"/>
    <s v="Luxury brands' pioneering digital strategies now incorporate augmented reality (AR), which offers new opportunities thanks to AR unique characteristics. Luxury brands differ from other brands in their specific attributes, such as authenticity, exclusivity, hedonism, and aesthetic expression. This research investigates how AR characteristics can support luxury brands by drawing on illustrative cases of AR deployment by luxury brands and indepth interviews with executives and senior managers. Specifically, it identifies how luxury brands deploy AR through four distinct strategic approaches focused on: ephemeral elevation; auratic amplification; bespoke personalization; and effortless continuation. The study contributes to literature on digital technologies and luxury brands by offering, first, a focused analysis of how AR uniquely conveys luxury attributes, and second, by conceptualizing how AR enables brands to enhance customer journeys and brand experiences through four strategic approaches. Finally, it provides managerial guidance on how luxury brands can effectively deploy AR to build brand equity."/>
    <s v="[Javornik, Ana] Univ Bristol, Sch Management, Queens Ave, Bristol BS8 1TU, Avon, England; [Duffy, Katherine] Univ Glasgow, Adam Smith Business Sch, Gilbert Scott Bldg, Glasgow G12 8QQ, Lanark, Scotland; [Rokka, Joonas] EMLYON Business Sch, Lifestyle Res Ctr, 23 Ave Guy Collongue, F-69130 Ecully, France; [Scholz, Joachim] Brock Univ, Goodman Sch Business, St Catharines, ON L2S 3A1, Canada; [Nobbs, Karinna] ESCP Europe, 527 Finchley Rd, London NW3 7BG, England; [Motala, Anisa; Goldenberg, Adriana] Holition, Thavies Inn House,3-4 Holborn Circus, London EC1N 2PL, England"/>
    <s v="University of Bristol; University of Glasgow; EMLYON Business School; Brock University; heSam Universite; ESCP Business School"/>
    <s v="Javornik, A (corresponding author), Univ Bristol, Sch Management, Queens Ave, Bristol BS8 1TU, Avon, England."/>
    <s v="ana.javornik@bristol.ac.uk; katherine.duffy@glasgow.ac.uk; rokka@em-lyon.com; jscholz@brocku.ca; knobbs@escpeurope.eu; anisa.motala@holition.com; adriana.goldenberg@holition.com"/>
    <s v=""/>
    <s v="Javornik, Ana/0000-0002-3230-6405"/>
    <s v="Adam Smith Business School - University of Glasgow; Newcastle University Business School"/>
    <s v="Adam Smith Business School - University of Glasgow; Newcastle University Business School"/>
    <s v="The authors wish to thank the agency Holition, especially Dr Ana Maria Moutinho and Jonathan Chippindale, CEO, for their invaluable support of this study. They also gratefully acknowledge the support from Adam Smith Business School - University of Glasgow and Newcastle University Business School. The authors are very grateful to the managers and experts who took part in the interviews and shared their insights. The authors thank the participants of the 5th International AR&amp;VR 2019 conference for their feedback on the earlier version of this research. Finally, many thanks to the reviewers and the guest editors for their comments and guidance during the review process."/>
    <s v=""/>
    <n v="58"/>
    <n v="25"/>
    <n v="25"/>
    <n v="16"/>
    <n v="63"/>
    <s v="ELSEVIER SCIENCE INC"/>
    <s v="NEW YORK"/>
    <s v="STE 800, 230 PARK AVE, NEW YORK, NY 10169 USA"/>
    <s v="0148-2963"/>
    <s v="1873-7978"/>
    <s v=""/>
    <s v="J BUS RES"/>
    <s v="J. Bus. Res."/>
    <s v="NOV"/>
    <n v="2021"/>
    <n v="136"/>
    <s v=""/>
    <s v=""/>
    <s v=""/>
    <s v=""/>
    <s v=""/>
    <n v="284"/>
    <n v="292"/>
    <s v=""/>
    <s v="10.1016/j.jbusres.2021.07.040"/>
    <s v="http://dx.doi.org/10.1016/j.jbusres.2021.07.040"/>
    <s v=""/>
    <s v="AUG 2021"/>
    <n v="9"/>
    <s v="Business"/>
    <x v="0"/>
    <s v="Business &amp; Economics"/>
    <s v="WE2ZL"/>
    <s v=""/>
    <s v="Green Accepted"/>
    <s v=""/>
    <s v=""/>
    <s v="2023-11-15"/>
    <x v="72"/>
    <s v="View Full Record in Web of Science"/>
  </r>
  <r>
    <s v="J"/>
    <s v="Ribeiro, SPM"/>
    <s v=""/>
    <s v=""/>
    <s v=""/>
    <s v="Ribeiro, Sandra P. M."/>
    <s v=""/>
    <s v=""/>
    <s v="Developing intercultural awareness using digital storytelling"/>
    <s v="LANGUAGE AND INTERCULTURAL COMMUNICATION"/>
    <s v=""/>
    <s v=""/>
    <s v="English"/>
    <x v="0"/>
    <s v=""/>
    <s v=""/>
    <s v=""/>
    <s v=""/>
    <s v=""/>
    <s v="Digital storytelling; HE; intercultural awareness; student engagement; technology-enhanced learning"/>
    <s v="STORY; SKILLS"/>
    <s v="Higher Education mirrors the shifting nature of society and work. Mobility may provide unparalleled learning opportunities for all stakeholders; however, in order to live and work in plural societies as socially responsible and intercultural knowledgeable citizens, intercultural awareness and intercultural communication skills need to be mastered. In parallel, the relevance of a digital agenda and the studies that attest to the positive student engagement brought about by the inclusion of information and communication technologies (ICT) across all grade levels push educators to seek and incorporate technology-based learning and teaching strategies. Digital Storytelling was implemented in an undergraduate degree in Business Communication, where students discuss and reflect on key issues in Intercultural Communication. Our case study draws on the qualitative analysis of a questionnaire, which intended to understand student perceptions regarding an assignment where they are asked to create Digital Stories and consider on the their own reflection process regarding intercultural differences and communicating across cultures. Our analysis of the 140 questionnaires revealed that Digital Storytelling was able to engage students in a serious and productive debate revolving around technology-enhanced learning and cultural differences, empowering them to construct new personal and group meanings and improve their intercultural awareness. O Ensino Superior reflete a natureza inconstante da sociedade e do trabalho. A mobilidade pode proporcionar oportunidades de aprendizagem inigualaveis para todos, no entanto, a fim de viver e trabalhar em sociedades plurais como cidadAos conhecedores e socialmente responsaveis, e necessario adquirirem uma maior consciencia intercultural. Ao mesmo tempo, a relevancia da Agenda Digital, e os estudos que destacam os resultados positivos que derivam da inclusAo das TIC no ensino servem de impeto para os professores incorporarem estrategias de ensino base tecnologica. Digital Storytelling foi implementado na Licenciatura em ComunicacAo Empresarial, onde os alunos tem a oportunidade de se debrucarem sobre questoes relacionadas com a ComunicacAo Intercultural. O nosso estudo de caso baseia-se na analise qualitativa de um questionario, que destina-se a compreender as percepcoes dos alunos em relacAo a uma trabalho em que tem de criar narrativas digitais e analisar o sobre o seu proprio processo de reflexAo sobre as diferencas interculturais e a comunicacAo entre culturas. Uma analise a 140 inqueritos por questionario revelou que o trabalho que incluia Digital Storytelling foi capaz de motivar e envolver os alunos em torno de um debate, consciente e inconsciente, sobre a integracAo das TIC no ensino superior e as diferencas culturais de forma a capacita-los para a construcAo de novos significados individuais e de grupo e melhorar a sua consciencia intercultural."/>
    <s v="[Ribeiro, Sandra P. M.] Polytech Porto, CEI CICE, Sch Accounting &amp; Adm Oporto, Sao Mamede de Infesta, Portugal"/>
    <s v="Instituto Politecnico do Porto"/>
    <s v="Ribeiro, SPM (corresponding author), Polytech Porto, CEI CICE, Sch Accounting &amp; Adm Oporto, Sao Mamede de Infesta, Portugal."/>
    <s v="sribeiro@iscap.ipp.pt"/>
    <s v="Ribeiro, Sandra Patrícia Marques/AAC-1057-2022; Ribeiro, Sandra/IVH-4691-2023"/>
    <s v="Ribeiro, Sandra Patrícia Marques/0000-0002-6767-0151; Ribeiro, Sandra/0000-0002-6767-0151"/>
    <s v=""/>
    <s v=""/>
    <s v=""/>
    <s v=""/>
    <n v="63"/>
    <n v="25"/>
    <n v="25"/>
    <n v="3"/>
    <n v="87"/>
    <s v="ROUTLEDGE JOURNALS, TAYLOR &amp; FRANCIS LTD"/>
    <s v="ABINGDON"/>
    <s v="4 PARK SQUARE, MILTON PARK, ABINGDON OX14 4RN, OXFORDSHIRE, ENGLAND"/>
    <s v="1470-8477"/>
    <s v="1747-759X"/>
    <s v=""/>
    <s v="LANG INTERCULT COMM"/>
    <s v="Lang. Intercult. Commun."/>
    <s v="JAN 2"/>
    <n v="2016"/>
    <n v="16"/>
    <n v="1"/>
    <s v=""/>
    <s v=""/>
    <s v="SI"/>
    <s v=""/>
    <n v="69"/>
    <n v="82"/>
    <s v=""/>
    <s v="10.1080/14708477.2015.1113752"/>
    <s v="http://dx.doi.org/10.1080/14708477.2015.1113752"/>
    <s v=""/>
    <s v=""/>
    <n v="14"/>
    <s v="Linguistics; Language &amp; Linguistics"/>
    <x v="5"/>
    <s v="Linguistics"/>
    <s v="DD4EE"/>
    <s v=""/>
    <s v="Green Submitted"/>
    <s v=""/>
    <s v=""/>
    <s v="2023-11-15"/>
    <x v="73"/>
    <s v="View Full Record in Web of Science"/>
  </r>
  <r>
    <s v="J"/>
    <s v="Kontu, H; Vecchi, A"/>
    <s v=""/>
    <s v=""/>
    <s v=""/>
    <s v="Kontu, Hanna; Vecchi, Alessandra"/>
    <s v=""/>
    <s v=""/>
    <s v="Why all that noise - assessing the strategic value of social media for fashion brands"/>
    <s v="JOURNAL OF GLOBAL FASHION MARKETING"/>
    <s v=""/>
    <s v=""/>
    <s v="English"/>
    <x v="0"/>
    <s v=""/>
    <s v=""/>
    <s v=""/>
    <s v=""/>
    <s v=""/>
    <s v="fashion; strategic marketing; digital strategy; social media; Facebook"/>
    <s v=""/>
    <s v="The importance of social media is evident, as millions of people use it to connect with others, share content and discuss different topics. Although it is clear that social media is powerful and ubiquitous, many fashion brands have been reluctant or unable to develop strategies and allocate resources to effectively engage with the new media. Adopting an exploratory approach, our study provides a critical assessment of the use of social media by three international fashion brands, in order to identify its potential as a strategic marketing tool."/>
    <s v="[Kontu, Hanna; Vecchi, Alessandra] Univ Arts, London Coll Fash, London, England"/>
    <s v="University of Arts London"/>
    <s v="Kontu, H (corresponding author), Univ Arts, London Coll Fash, London, England."/>
    <s v="h.kontu@fashion.arts.ac.uk"/>
    <s v=""/>
    <s v="vecchi, alessandra/0000-0003-3449-7927"/>
    <s v=""/>
    <s v=""/>
    <s v=""/>
    <s v=""/>
    <n v="57"/>
    <n v="25"/>
    <n v="25"/>
    <n v="0"/>
    <n v="16"/>
    <s v="ROUTLEDGE JOURNALS, TAYLOR &amp; FRANCIS LTD"/>
    <s v="ABINGDON"/>
    <s v="2-4 PARK SQUARE, MILTON PARK, ABINGDON OX14 4RN, OXON, ENGLAND"/>
    <s v="2093-2685"/>
    <s v="2325-4483"/>
    <s v=""/>
    <s v="J GLOB FASH MARK"/>
    <s v="J. Glob. Fash. Mark."/>
    <s v=""/>
    <n v="2014"/>
    <n v="5"/>
    <n v="3"/>
    <s v=""/>
    <s v=""/>
    <s v="SI"/>
    <s v=""/>
    <n v="235"/>
    <n v="250"/>
    <s v=""/>
    <s v="10.1080/20932685.2014.912443"/>
    <s v="http://dx.doi.org/10.1080/20932685.2014.912443"/>
    <s v=""/>
    <s v=""/>
    <n v="16"/>
    <s v="Business"/>
    <x v="3"/>
    <s v="Business &amp; Economics"/>
    <s v="VA1YA"/>
    <s v=""/>
    <s v=""/>
    <s v=""/>
    <s v=""/>
    <s v="2023-11-15"/>
    <x v="74"/>
    <s v="View Full Record in Web of Science"/>
  </r>
  <r>
    <s v="J"/>
    <s v="Komninos, N"/>
    <s v=""/>
    <s v=""/>
    <s v=""/>
    <s v="Komninos, Nicos"/>
    <s v=""/>
    <s v=""/>
    <s v="Smart environments and smart growth: connecting innovation strategies and digital growth strategies"/>
    <s v="INTERNATIONAL JOURNAL OF KNOWLEDGE-BASED DEVELOPMENT"/>
    <s v=""/>
    <s v=""/>
    <s v="English"/>
    <x v="0"/>
    <s v=""/>
    <s v=""/>
    <s v=""/>
    <s v=""/>
    <s v=""/>
    <s v="innovation strategy; smart specialisation; digital strategy; digital innovation; innovation system; cyber-physical system; co-design"/>
    <s v="KNOWLEDGE; SPECIALIZATION; CREATION; VALLEY; EUROPE"/>
    <s v="This paper discusses the interface between innovation systems and digital systems. It is based on a literature review that examines how innovation and smart environments converge from the bottom up, and how innovation strategies and digital strategies are connected and shape a common set of objectives and actions for growth. Following an introduction which looks at the current outlook for growth, we focus on digital drivers of growth as outlined in various strands of the literature. We discuss the digital disruption of business practices, the use of digital tools and smart environments for innovation and new product development, the rise of cyber-physical infrastructures, and systems of innovation. We also examine how various types of innovation and digital strategies contribute to smart growth. In conclusion, we portray connectors and bridges between innovation and digital strategies, such as sector-specific smart environments, innovation over platforms, and digital solutions for collaborative product development."/>
    <s v="[Komninos, Nicos] Aristotle Univ Thessaloniki, URENIO Res, Thessaloniki 54124, Greece"/>
    <s v="Aristotle University of Thessaloniki"/>
    <s v="Komninos, N (corresponding author), Aristotle Univ Thessaloniki, URENIO Res, Thessaloniki 54124, Greece."/>
    <s v="komninos@urenio.org"/>
    <s v="Komninos, Nicos/ABW-3374-2022"/>
    <s v="Komninos, Nicos/0000-0002-4656-1263"/>
    <s v=""/>
    <s v=""/>
    <s v=""/>
    <s v=""/>
    <n v="93"/>
    <n v="24"/>
    <n v="24"/>
    <n v="0"/>
    <n v="26"/>
    <s v="INDERSCIENCE ENTERPRISES LTD"/>
    <s v="GENEVA"/>
    <s v="WORLD TRADE CENTER BLDG, 29 ROUTE DE PRE-BOIS, CASE POSTALE 856, CH-1215 GENEVA, SWITZERLAND"/>
    <s v="2040-4468"/>
    <s v="2040-4476"/>
    <s v=""/>
    <s v="INT J KNOWL-BASED DE"/>
    <s v="Int. J. Knowl.-Based Dev."/>
    <s v=""/>
    <n v="2016"/>
    <n v="7"/>
    <n v="3"/>
    <s v=""/>
    <s v=""/>
    <s v=""/>
    <s v=""/>
    <n v="240"/>
    <n v="263"/>
    <s v=""/>
    <s v="10.1504/IJKBD.2016.078536"/>
    <s v="http://dx.doi.org/10.1504/IJKBD.2016.078536"/>
    <s v=""/>
    <s v=""/>
    <n v="24"/>
    <s v="Urban Studies"/>
    <x v="3"/>
    <s v="Urban Studies"/>
    <s v="VD6RV"/>
    <s v=""/>
    <s v=""/>
    <s v=""/>
    <s v=""/>
    <s v="2023-11-15"/>
    <x v="75"/>
    <s v="View Full Record in Web of Science"/>
  </r>
  <r>
    <s v="J"/>
    <s v="Phelps, LW; Ackerman, JM"/>
    <s v=""/>
    <s v=""/>
    <s v=""/>
    <s v="Phelps, Louise Wetherbee; Ackerman, John M."/>
    <s v=""/>
    <s v=""/>
    <s v="Making the Case for Disciplinarity in Rhetoric, Composition, and Writing Studies: The Visibility Project"/>
    <s v="COLLEGE COMPOSITION AND COMMUNICATION"/>
    <s v=""/>
    <s v=""/>
    <s v="English"/>
    <x v="0"/>
    <s v=""/>
    <s v=""/>
    <s v=""/>
    <s v=""/>
    <s v=""/>
    <s v=""/>
    <s v=""/>
    <s v="In the Visibility Project, professional organizations have worked to gain recognition for the disciplinarity of writing and rhetoric studies through representation of the field in the information codes and databases of higher education. We report success in two important cases: recognition as an emerging field in the National Research Council's taxonomy of research disciplines; and the assignment of a code series to rhetoric and composition/writing studies in the federal Classification of Instructional Programs (CIP). We analyze the rhetorical strategies and implications of each case and call for continuing efforts to develop and implement a digital strategy for handling data about the field and its representation in information networks."/>
    <s v="[Phelps, Louise Wetherbee] Syracuse Univ, Syracuse, NY 13244 USA; [Ackerman, John M.] Univ Colorado, Boulder, CO 80309 USA"/>
    <s v="Syracuse University; University of Colorado System; University of Colorado Boulder"/>
    <s v="Phelps, LW (corresponding author), Old Dominion Univ, Norfolk, VA 23529 USA."/>
    <s v=""/>
    <s v=""/>
    <s v=""/>
    <s v=""/>
    <s v=""/>
    <s v=""/>
    <s v=""/>
    <n v="20"/>
    <n v="24"/>
    <n v="25"/>
    <n v="0"/>
    <n v="4"/>
    <s v="NATL COUNCIL TEACHERS ENGLISH"/>
    <s v="URBANA"/>
    <s v="1111 KENYON RD, URBANA, IL 61801 USA"/>
    <s v="0010-096X"/>
    <s v=""/>
    <s v=""/>
    <s v="COLL COMPOS COMMUN"/>
    <s v="Coll. Compost. Commun."/>
    <s v="SEP"/>
    <n v="2010"/>
    <n v="62"/>
    <n v="1"/>
    <s v=""/>
    <s v=""/>
    <s v=""/>
    <s v=""/>
    <n v="180"/>
    <n v="215"/>
    <s v=""/>
    <s v=""/>
    <s v=""/>
    <s v=""/>
    <s v=""/>
    <n v="36"/>
    <s v="Literature"/>
    <x v="6"/>
    <s v="Literature"/>
    <s v="651QI"/>
    <s v=""/>
    <s v=""/>
    <s v=""/>
    <s v=""/>
    <s v="2023-11-15"/>
    <x v="76"/>
    <s v="View Full Record in Web of Science"/>
  </r>
  <r>
    <s v="J"/>
    <s v="Rich, E; Miah, A; Lewis, S"/>
    <s v=""/>
    <s v=""/>
    <s v=""/>
    <s v="Rich, Emma; Miah, Andy; Lewis, Sarah"/>
    <s v=""/>
    <s v=""/>
    <s v="Is digital health care more equitable? The framing of health inequalities within England's digital health policy 2010-2017"/>
    <s v="SOCIOLOGY OF HEALTH &amp; ILLNESS"/>
    <s v=""/>
    <s v=""/>
    <s v="English"/>
    <x v="0"/>
    <s v=""/>
    <s v=""/>
    <s v=""/>
    <s v=""/>
    <s v=""/>
    <s v="E-health; Health Policy; Healthism; Internet; Social determinants of health; Youth"/>
    <s v="ENGLISH STRATEGY; REFLECTIONS; RESEARCHERS; PEOPLE; SELF; UK"/>
    <s v="Informed by a discourse analysis, this article examines the framing of equity within the UK's digital health policies between 2010 and 2017, focusing on England's development of NHS Digital and its situation within the UK Government's wider digital strategy. Analysis of significant policy documents reveals three interrelated discourses that are engaged within England's digital health policies: equity as a neoliberal imaginary of digital efficiency and empowerment; digital health as a pathway towards democratising health care through data-sharing, co-creation and collaboration; and finally, digital health as a route towards extending citizen autonomy through their access to data systems. It advances knowledge of the relationship between digital health policy and health inequalities. Revealing that while inclusion remains a priority area for policymakers, equity is being constituted in ways that reflect broader discourses of neoliberalism, empowerment and the turn to the market for technological solutionism, which may potentially exacerbate health inequalities."/>
    <s v="[Rich, Emma; Lewis, Sarah] Univ Bath, Dept Hlth, Bath, Avon, England; [Miah, Andy] Univ Salford, Sch Environm &amp; Life Sci, Salford, Lancs, England"/>
    <s v="University of Bath; University of Salford"/>
    <s v="Rich, E (corresponding author), Univ Bath, Dept Educ, Bath, Avon, England."/>
    <s v="E.Rich@bath.ac.uk"/>
    <s v="Miah, Andy/C-1467-2015"/>
    <s v="Miah, Andy/0000-0003-0137-674X"/>
    <s v="Wellcome Trust: 'The digital health generation: The impact of 'healthy lifestyle' technologies on young people's learning, identities and health practices' [203254/Z/16/Z]; Wellcome Trust [203254/Z/16/Z] Funding Source: Wellcome Trust"/>
    <s v="Wellcome Trust: 'The digital health generation: The impact of 'healthy lifestyle' technologies on young people's learning, identities and health practices'(Wellcome Trust); Wellcome Trust(Wellcome Trust)"/>
    <s v="This work was supported by a grant from the Wellcome Trust: 'The digital health generation: The impact of 'healthy lifestyle' technologies on young people's learning, identities and health practices' reference number: 203254/Z/16/Z."/>
    <s v=""/>
    <n v="66"/>
    <n v="23"/>
    <n v="23"/>
    <n v="6"/>
    <n v="45"/>
    <s v="WILEY"/>
    <s v="HOBOKEN"/>
    <s v="111 RIVER ST, HOBOKEN 07030-5774, NJ USA"/>
    <s v="0141-9889"/>
    <s v="1467-9566"/>
    <s v=""/>
    <s v="SOCIOL HEALTH ILL"/>
    <s v="Sociol. Health Ill."/>
    <s v="OCT"/>
    <n v="2019"/>
    <n v="41"/>
    <s v=""/>
    <s v=""/>
    <n v="1"/>
    <s v="SI"/>
    <s v=""/>
    <n v="31"/>
    <n v="49"/>
    <s v=""/>
    <s v="10.1111/1467-9566.12980"/>
    <s v="http://dx.doi.org/10.1111/1467-9566.12980"/>
    <s v=""/>
    <s v=""/>
    <n v="19"/>
    <s v="Public, Environmental &amp; Occupational Health; Social Sciences, Biomedical; Sociology"/>
    <x v="0"/>
    <s v="Public, Environmental &amp; Occupational Health; Biomedical Social Sciences; Sociology"/>
    <s v="JD2GJ"/>
    <n v="31599987"/>
    <s v="hybrid, Green Published"/>
    <s v=""/>
    <s v=""/>
    <s v="2023-11-15"/>
    <x v="77"/>
    <s v="View Full Record in Web of Science"/>
  </r>
  <r>
    <s v="J"/>
    <s v="Orton, M; Agarwal, S; Muhoza, P; Vasudevan, L; Vu, A"/>
    <s v=""/>
    <s v=""/>
    <s v=""/>
    <s v="Orton, Maeghan; Agarwal, Smisha; Muhoza, Pierre; Vasudevan, Lavanya; Vu, Alexander"/>
    <s v=""/>
    <s v=""/>
    <s v="Strengthening Delivery of Health Services Using Digital Devices"/>
    <s v="GLOBAL HEALTH-SCIENCE AND PRACTICE"/>
    <s v=""/>
    <s v=""/>
    <s v="English"/>
    <x v="0"/>
    <s v=""/>
    <s v=""/>
    <s v=""/>
    <s v=""/>
    <s v=""/>
    <s v=""/>
    <s v="RANDOMIZED CONTROLLED-TRIAL; MOBILE PHONE; IMPROVE ATTENDANCE; MHEALTH STRATEGIES; MESSAGING SERVICE; REMOTE AREAS; PRIMARY-CARE; TEXT; TOOL; SUPPORT"/>
    <s v="Background: Delivery of high-quality efficient health services is a cornerstone of the global agenda to achieve universal health coverage. According to the World Health Organization, health service delivery is considered good when equitable access to a comprehensive range of high-quality health services is ensured within an integrated and person-centered continuum of care. However, good health service delivery can be challenging in low-resource settings. In this review, we summarize and discuss key advances in health service delivery, particularly in the context of using digital health strategies for mitigating human resource constraints. Methods: The review updates the foundational systematic review conducted by Agarwal et al. in 2015. We used PubMed, EMBASE, and CINAHL to find relevant English-language peer-reviewed articles published 2018. Our search strategy for MEDLINE was based on MeSH (medical subject headings) terms and text words of key articles that we identified a priori. Our search identified 92 articles. After screening, we selected 24 articles for abstract review, of which only 6 met the eligibility criteria and were ultimately included in this review. Results: Despite encouraging advances in the evidence base on digital strategies for health service delivery, the current body of evidence is still quite limited in 3 main areas: the effectiveness of interventions on health outcomes, improvement in health system efficiencies for service delivery, and the human capacity required to implement and support digital health strategies at scale. Two particular areas, digital health-enhanced referral coordination and mobile clinical decision support systems, demonstrate considerable potential to improve the quality and comprehensiveness of care received by patients, but they require a greater level of standardization and an expanded scope of health worker engagement across the health system in order to scale them up effectively. Conclusions: Additional research is urgently needed to inform the effectiveness of interventions on health outcomes, improvement in health system efficiencies, and cost-effectiveness of service delivery. In particular, more documentation and research on ways to standardize and engage health workers in digital referral and clinical decision support systems can provide the foundation needed to scale these promising approaches in low- and middle-income settings."/>
    <s v="[Orton, Maeghan] WHO, Dept Reprod Hlth &amp; Res, Geneva, Switzerland; [Agarwal, Smisha] Johns Hopkins Global Digital Hlth Initiat, Baltimore, MD USA; [Muhoza, Pierre; Vu, Alexander] Johns Hopkins Bloomberg Sch Publ Hlth, Baltimore, MD USA; [Vasudevan, Lavanya] Duke Univ, Sch Med, Dept Community &amp; Family Med, Durham, NC 27710 USA; [Vasudevan, Lavanya] Duke Global Hlth Inst, Ctr Hlth Policy &amp; Inequal Res, Durham, NC 27710 USA; [Vu, Alexander] Johns Hopkins Sch Med, Baltimore, MD USA; [Vu, Alexander] Amer Univ Beirut, Sch Med, Beirut, Lebanon"/>
    <s v="World Health Organization; Johns Hopkins University; Johns Hopkins Bloomberg School of Public Health; Duke University; Duke University; Johns Hopkins University; Johns Hopkins Medicine; American University of Beirut"/>
    <s v="Vasudevan, L (corresponding author), Duke Univ, Sch Med, Dept Community &amp; Family Med, Durham, NC 27710 USA.;Vasudevan, L (corresponding author), Duke Global Hlth Inst, Ctr Hlth Policy &amp; Inequal Res, Durham, NC 27710 USA."/>
    <s v="Lavanya.vasude@gmail.com"/>
    <s v="Vasudevan, Lavanya/AAI-9590-2021"/>
    <s v="Vasudevan, Lavanya/0000-0003-2900-6070; Agarwal, Smisha/0000-0002-7407-0066"/>
    <s v="Aetna Foundation; World Health Organization; Johns Hopkins University Global mHealth Initiative; National Center for Advancing Translational Sciences of the National Institutes of Health [1KL2TR002554]"/>
    <s v="Aetna Foundation; World Health Organization(World Health Organization); Johns Hopkins University Global mHealth Initiative; National Center for Advancing Translational Sciences of the National Institutes of Health(United States Department of Health &amp; Human ServicesNational Institutes of Health (NIH) - USANIH National Center for Advancing Translational Sciences (NCATS))"/>
    <s v="This work was made possible by a grant from the Aetna Foundation, with support from the World Health Organization and The Johns Hopkins University Global mHealth Initiative. In addition, Vasudevan's effort on this publication was supported in part by the National Center for Advancing Translational Sciences of the National Institutes of Health under Award Number 1KL2TR002554."/>
    <s v=""/>
    <n v="69"/>
    <n v="23"/>
    <n v="26"/>
    <n v="0"/>
    <n v="4"/>
    <s v="JOHNS HOPKINS CENTER COMMUNICATION PROGRAMS-CCP"/>
    <s v="BALTIMORE"/>
    <s v="KNOWLEDGE SUCCESS PROJECT, 111 MARKET PLACE, STE 310, BALTIMORE, MD, UNITED STATES"/>
    <s v="2169-575X"/>
    <s v=""/>
    <s v=""/>
    <s v="GLOB HEALTH-SCI PRAC"/>
    <s v="Glob. Health"/>
    <s v="OCT 10"/>
    <n v="2018"/>
    <n v="6"/>
    <s v=""/>
    <s v=""/>
    <n v="1"/>
    <s v=""/>
    <s v=""/>
    <s v="S61"/>
    <s v="S71"/>
    <s v=""/>
    <s v="10.9745/GHSP-D-18-00229"/>
    <s v="http://dx.doi.org/10.9745/GHSP-D-18-00229"/>
    <s v=""/>
    <s v=""/>
    <n v="11"/>
    <s v="Public, Environmental &amp; Occupational Health"/>
    <x v="1"/>
    <s v="Public, Environmental &amp; Occupational Health"/>
    <s v="HU0TY"/>
    <n v="30305340"/>
    <s v="Green Published, gold"/>
    <s v=""/>
    <s v=""/>
    <s v="2023-11-15"/>
    <x v="78"/>
    <s v="View Full Record in Web of Science"/>
  </r>
  <r>
    <s v="J"/>
    <s v="Pérez, EG"/>
    <s v=""/>
    <s v=""/>
    <s v=""/>
    <s v="Guerrero Perez, Enrique"/>
    <s v=""/>
    <s v=""/>
    <s v="Millennials' abandonment of linear television"/>
    <s v="REVISTA LATINA DE COMUNICACION SOCIAL"/>
    <s v=""/>
    <s v=""/>
    <s v="Spanish"/>
    <x v="0"/>
    <s v=""/>
    <s v=""/>
    <s v=""/>
    <s v=""/>
    <s v=""/>
    <s v="Television; Internet; audiences; audiovisual media consumption; millennials"/>
    <s v="YOUTUBE; TV"/>
    <s v="Introduction. Television is undergoing a historical transformation due to its convergence with the Internet and the disruptiveness of technological innovation. Methods. This article analyses the evolution of linear television consumption by the so-called millennial generation, in comparison to the general audience, and how it is affected by online viewing. This research also addresses millennials' audience profile and affinity in relation to the main commercial television channels in Spain. To this end, quantitative and qualitative instruments are used: Kantar Media viewership data and an original online survey about audiovisual consumption habits applied to a representative sample of Spanish Internet users and, on the other hand, semi-structured interviews with the digital strategists of the major private television companies and a multichannel network. Results and conclusions. The results confirm the leak of young audiences -and the associated revenues- and their move towards more personalised and interactive audiovisual entertainment services. In response to this, television operators are implementing new multi-platform strategies that affect their core business and even their own identity."/>
    <s v="[Guerrero Perez, Enrique] Univ Navarra, Pamplona, Spain"/>
    <s v="University of Navarra"/>
    <s v="Pérez, EG (corresponding author), Univ Navarra, Pamplona, Spain."/>
    <s v="eguerrero@unav.es"/>
    <s v="Guerrero, Enrique/I-7038-2016"/>
    <s v="Guerrero, Enrique/0000-0001-7693-8669"/>
    <s v=""/>
    <s v=""/>
    <s v=""/>
    <s v=""/>
    <n v="31"/>
    <n v="23"/>
    <n v="23"/>
    <n v="3"/>
    <n v="24"/>
    <s v="LABORATORIO TECNOLOGIAS INFORMACION &amp; NUEVOS ANALISIS COMUNICACION SOCIAL"/>
    <s v="TENERIFE"/>
    <s v="PIRAMIDE CAMPUS GUAJARA, LA LAGUNA, TENERIFE, 38200, SPAIN"/>
    <s v="1138-5820"/>
    <s v=""/>
    <s v=""/>
    <s v="REV LAT COMUN SOC"/>
    <s v="Rev. Lat. Comun. Soc."/>
    <s v=""/>
    <n v="2018"/>
    <n v="73"/>
    <n v="12"/>
    <s v=""/>
    <s v=""/>
    <s v=""/>
    <s v=""/>
    <n v="1231"/>
    <n v="1246"/>
    <s v=""/>
    <s v="10.4185/RLCS-2018-1304"/>
    <s v="http://dx.doi.org/10.4185/RLCS-2018-1304"/>
    <s v=""/>
    <s v=""/>
    <n v="16"/>
    <s v="Communication"/>
    <x v="3"/>
    <s v="Communication"/>
    <s v="HL4ML"/>
    <s v=""/>
    <s v="Green Submitted"/>
    <s v=""/>
    <s v=""/>
    <s v="2023-11-15"/>
    <x v="79"/>
    <s v="View Full Record in Web of Science"/>
  </r>
  <r>
    <s v="J"/>
    <s v="Noehrer, L; Gilmore, A; Jay, C; Yehudi, Y"/>
    <s v=""/>
    <s v=""/>
    <s v=""/>
    <s v="Noehrer, Lukas; Gilmore, Abigail; Jay, Caroline; Yehudi, Yo"/>
    <s v=""/>
    <s v=""/>
    <s v="The impact of COVID-19 on digital data practices in museums and art galleries in the UK and the US"/>
    <s v="HUMANITIES &amp; SOCIAL SCIENCES COMMUNICATIONS"/>
    <s v=""/>
    <s v=""/>
    <s v="English"/>
    <x v="0"/>
    <s v=""/>
    <s v=""/>
    <s v=""/>
    <s v=""/>
    <s v=""/>
    <s v=""/>
    <s v=""/>
    <s v="The first quarter of 2020 heralded the beginning of an uncertain future for museums and galleries as the COVID-19 pandemic hit and the only means to stay 'open' was to turn towards the digital. In this paper, we investigate how the physical closure of museum buildings due to lockdown restrictions caused shockwaves within their digital strategies and changed their data practices potentially for good. We review the impact of COVID-19 on the museum sector, based on literature and desk research, with a focus on the implications for three museums and art galleries in the United Kingdom and the United States, and their mission, objectives, and digital data practices. We then present an analysis of ten qualitative interviews with expert witnesses working in the sector, representing different roles and types of institutions, undertaken between April and October 2020. Our research finds that digital engagement with museum content and practices around data in institutions have changed and that digital methods for organising and accessing collections for both staff and the general public have become more important. We present evidence that strategic preparedness influenced how well institutions were able to transition during closure and that metrics data became pivotal in understanding this novel situation. Increased engagement online changed traditional audience profiles, challenging museums to find ways of accommodating new forms of engagement in order to survive and thrive in the post-pandemic environment."/>
    <s v="[Noehrer, Lukas; Gilmore, Abigail; Jay, Caroline; Yehudi, Yo] Univ Manchester, Manchester, Lancs, England"/>
    <s v="University of Manchester"/>
    <s v="Noehrer, L (corresponding author), Univ Manchester, Manchester, Lancs, England."/>
    <s v="lukas.noehrer@manchester.ac.uk"/>
    <s v="Noehrer, Lukas/AHB-1229-2022; Gilmore, Abigail/JMB-2510-2023"/>
    <s v="Noehrer, Lukas/0000-0002-9167-0397; Gilmore, Abigail/0000-0003-0596-6667; Yehudi, Yo/0000-0003-2705-1724; Jay, Caroline/0000-0002-6080-1382"/>
    <s v="UK Engineering and Physical Sciences Research Council (EPSRC) [EP/R513131/1]; AHRC/UKRI COVID-19: Impacts on the Cultural Industries and Implications for Policy [AH/V00994X/1]; AHRC Centre of Excellence for Policy and Evidence in the Creative Industries [AH/S001298/1]; AHRC [AH/V00994X/1, AH/S012893/1] Funding Source: UKRI"/>
    <s v="UK Engineering and Physical Sciences Research Council (EPSRC)(UK Research &amp; Innovation (UKRI)Engineering &amp; Physical Sciences Research Council (EPSRC)); AHRC/UKRI COVID-19: Impacts on the Cultural Industries and Implications for Policy; AHRC Centre of Excellence for Policy and Evidence in the Creative Industries; AHRC(UK Research &amp; Innovation (UKRI)Arts &amp; Humanities Research Council (AHRC))"/>
    <s v="This work was supported by the UK Engineering and Physical Sciences Research Council (EPSRC) grant EP/R513131/1 for the University of Manchester and we further acknowledge funding for Gilmore from AHRC/UKRI COVID-19: Impacts on the Cultural Industries and Implications for Policy (AH/V00994X/1) and AHRC Centre of Excellence for Policy and Evidence in the Creative Industries (AH/S001298/1). We would also like to thank our participants for their time in participating in this study."/>
    <s v=""/>
    <n v="47"/>
    <n v="22"/>
    <n v="22"/>
    <n v="1"/>
    <n v="19"/>
    <s v="SPRINGERNATURE"/>
    <s v="LONDON"/>
    <s v="CAMPUS, 4 CRINAN ST, LONDON, N1 9XW, ENGLAND"/>
    <s v=""/>
    <s v="2662-9992"/>
    <s v=""/>
    <s v="HUM SOC SCI COMMUN"/>
    <s v="Hum. Soc. Sci. Commun."/>
    <s v="OCT 15"/>
    <n v="2021"/>
    <n v="8"/>
    <n v="1"/>
    <s v=""/>
    <s v=""/>
    <s v=""/>
    <s v=""/>
    <s v=""/>
    <s v=""/>
    <n v="236"/>
    <s v="10.1057/s41599-021-00921-8"/>
    <s v="http://dx.doi.org/10.1057/s41599-021-00921-8"/>
    <s v=""/>
    <s v=""/>
    <n v="10"/>
    <s v="Humanities, Multidisciplinary; Social Sciences, Interdisciplinary"/>
    <x v="5"/>
    <s v="Arts &amp; Humanities - Other Topics; Social Sciences - Other Topics"/>
    <s v="WH3LU"/>
    <s v=""/>
    <s v="gold, Green Submitted"/>
    <s v=""/>
    <s v=""/>
    <s v="2023-11-15"/>
    <x v="80"/>
    <s v="View Full Record in Web of Science"/>
  </r>
  <r>
    <s v="J"/>
    <s v="Rane, SB; Narvel, YAM; Bhandarkar, BM"/>
    <s v=""/>
    <s v=""/>
    <s v=""/>
    <s v="Rane, Santosh B.; Narvel, Yahya Abdul Majid; Bhandarkar, Bhaskar M."/>
    <s v=""/>
    <s v=""/>
    <s v="Developing strategies to improve agility in the project procurement management (PPM) process Perspective of business intelligence (BI)"/>
    <s v="BUSINESS PROCESS MANAGEMENT JOURNAL"/>
    <s v=""/>
    <s v=""/>
    <s v="English"/>
    <x v="0"/>
    <s v=""/>
    <s v=""/>
    <s v=""/>
    <s v=""/>
    <s v=""/>
    <s v="Delphi; Agility; Business intelligence; Interpretive structural modelling; MICMAC; Project procurement management"/>
    <s v="SUPPLY CHAIN MANAGEMENT; MEDICAL DEVICE DEVELOPMENT; GREEN; PERFORMANCE; IMPACT; FLEXIBILITY; BARRIERS; RANKING; SUPPORT; SYSTEMS"/>
    <s v="Purpose The ability of an organization to observe varying demands and efficiently meet them can be described as agility. Project procurement management (PPM) in the past was stable as things did not change very often and were very predictable. Due to hyper-competition, less predictable market and exponential innovation, the existing PPM becomes very unstable which marks the requirement of an agile model to manage procurement projects effectively. The paper aims to discuss this issue. Design/methodology/approach For achieving the improvements, various barriers to improving agility in PPM were identified from the literature and experts' review, followed by obtaining quantified impacts of identified barriers from the experts using the Delphi technique. Finally, interpretive structural modeling along with Matrice d' Impacts Croises Multiplication Applique an Classement analysis was used to analyze the interactions among barriers to prioritize and strategize their mitigation. Findings As per the analysis, the lack of top management alignment and commitment, lack of digital strategy, lack of new technology competencies and inefficiencies of financial factors were the most critical barriers that would come across while improving agility in PPM for any organization. Industries should have a stable, well-established and supportive top management that has a vision for digital transformation along with upgrading the companies' technology layer for automating most of the manual processes to have intelligent decision-making capability. Originality/value Industries need to be agile in their operations for being more competitive and responsive to the market. PPM being the most critical part of the entire value chain needs to be agile in the first place. The strategies developed as an output of this research can be utilized by industries for improving agility in their business processes."/>
    <s v="[Rane, Santosh B.; Narvel, Yahya Abdul Majid] Sardar Patel Coll Engn, Dept Mech Engn, Mumbai, Maharashtra, India; [Narvel, Yahya Abdul Majid] Larsen &amp; Toubro Infotech Ltd, Digital Solut, Oracle Practice, Mumbai, Maharashtra, India; [Bhandarkar, Bhaskar M.] Indian Inst Ind Engn, Mumbai, Maharashtra, India"/>
    <s v=""/>
    <s v="Narvel, YAM (corresponding author), Sardar Patel Coll Engn, Dept Mech Engn, Mumbai, Maharashtra, India.;Narvel, YAM (corresponding author), Larsen &amp; Toubro Infotech Ltd, Digital Solut, Oracle Practice, Mumbai, Maharashtra, India."/>
    <s v="yahyanarvel@gmail.com"/>
    <s v="Rane, Santosh Bhagawat/AAQ-5960-2021"/>
    <s v="Rane, Santosh Bhagawat/0000-0003-0636-2048"/>
    <s v=""/>
    <s v=""/>
    <s v=""/>
    <s v=""/>
    <n v="116"/>
    <n v="22"/>
    <n v="22"/>
    <n v="7"/>
    <n v="88"/>
    <s v="EMERALD GROUP PUBLISHING LTD"/>
    <s v="BINGLEY"/>
    <s v="HOWARD HOUSE, WAGON LANE, BINGLEY BD16 1WA, W YORKSHIRE, ENGLAND"/>
    <s v="1463-7154"/>
    <s v="1758-4116"/>
    <s v=""/>
    <s v="BUS PROCESS MANAG J"/>
    <s v="Bus. Process. Manag. J."/>
    <s v="SEP 2"/>
    <n v="2019"/>
    <n v="26"/>
    <n v="1"/>
    <s v=""/>
    <s v=""/>
    <s v=""/>
    <s v=""/>
    <n v="257"/>
    <n v="286"/>
    <s v=""/>
    <s v="10.1108/BPMJ-07-2017-0196"/>
    <s v="http://dx.doi.org/10.1108/BPMJ-07-2017-0196"/>
    <s v=""/>
    <s v=""/>
    <n v="30"/>
    <s v="Business; Management"/>
    <x v="0"/>
    <s v="Business &amp; Economics"/>
    <s v="KC8BT"/>
    <s v=""/>
    <s v=""/>
    <s v=""/>
    <s v=""/>
    <s v="2023-11-15"/>
    <x v="81"/>
    <s v="View Full Record in Web of Science"/>
  </r>
  <r>
    <s v="J"/>
    <s v="Zhou, N; Zhang, SX; Chen, JE; Han, XT"/>
    <s v=""/>
    <s v=""/>
    <s v=""/>
    <s v="Zhou, Ning; Zhang, Sixuan; Chen, Jing (Elaine); Han, Xiaoting"/>
    <s v=""/>
    <s v=""/>
    <s v="The role of information technologies (ITs) in firms' resource orchestration process: A case analysis of China's Huangshan 168"/>
    <s v="INTERNATIONAL JOURNAL OF INFORMATION MANAGEMENT"/>
    <s v=""/>
    <s v=""/>
    <s v="English"/>
    <x v="0"/>
    <s v=""/>
    <s v=""/>
    <s v=""/>
    <s v=""/>
    <s v=""/>
    <s v="Resource orchestration process; Information technologies; Low-tech industries"/>
    <s v=""/>
    <s v="This case analysis considers how digital disruption is reaching beyond technology to engulf traditionally considered low-tech industries and influence conventionally viewed non-digital businesses. For incumbent firms in these low-tech industries, the disruption brings not only plenty of opportunities but also numerous threats. Firms that quickly embrace the digital era by profoundly changing their incumbent strategies, systems, operational habits, and business models have great chances to outperform their competitors and succeed within this dynamic environment. One digital strategy that might be adopted by incumbent firms in the low-tech industries to seize the opportunities brought by digital disruption is to integrate their resource orchestration actions with advanced information technologies (ITs). Given the strong connection between firms' resource orchestration actions and their competitive advantages, as well as the increasingly vital role of ITs in contemporary business operations, it is an imperative to investigate the impacts of ITs on the resource orchestration processes of modern enterprises. Additionally, for incumbent firms operating in the low-tech industries, integrating their resource management with modern ITs might help them effectively identify and accumulate unique resources, develop their capabilities, and create value through continuous reconfiguration of resources. Therefore, low-tech firms that strive to adopt modern information technologies in their resource orchestration process are more likely to achieve improved organizational performance and competitive advantages than their competitors."/>
    <s v="[Zhou, Ning; Zhang, Sixuan; Chen, Jing (Elaine); Han, Xiaoting] Beihang Univ, Sch Econ &amp; Management, 37 Xueyuan Rd, Beijing 100191, Peoples R China"/>
    <s v="Beihang University"/>
    <s v="Zhang, SX (corresponding author), Beihang Univ, Sch Econ &amp; Management, 37 Xueyuan Rd, Beijing 100191, Peoples R China."/>
    <s v="zning80@buaa.edu.cn; sixuan.zhang@gmail.com; jechen@buaa.edu.cn; hanxiaoting@buaa.edu.cn"/>
    <s v=""/>
    <s v="Chen, Jing (Elaine)/0000-0002-3140-1881; Han, Xiaoting/0000-0002-7328-4716"/>
    <s v=""/>
    <s v=""/>
    <s v=""/>
    <s v=""/>
    <n v="5"/>
    <n v="22"/>
    <n v="23"/>
    <n v="6"/>
    <n v="68"/>
    <s v="ELSEVIER SCI LTD"/>
    <s v="OXFORD"/>
    <s v="THE BOULEVARD, LANGFORD LANE, KIDLINGTON, OXFORD OX5 1GB, OXON, ENGLAND"/>
    <s v="0268-4012"/>
    <s v="1873-4707"/>
    <s v=""/>
    <s v="INT J INFORM MANAGE"/>
    <s v="Int. J. Inf. Manage."/>
    <s v="DEC"/>
    <n v="2017"/>
    <n v="37"/>
    <n v="6"/>
    <s v=""/>
    <s v=""/>
    <s v=""/>
    <s v=""/>
    <n v="713"/>
    <n v="715"/>
    <s v=""/>
    <s v="10.1016/j.ijinfomgt.2017.05.002"/>
    <s v="http://dx.doi.org/10.1016/j.ijinfomgt.2017.05.002"/>
    <s v=""/>
    <s v=""/>
    <n v="3"/>
    <s v="Information Science &amp; Library Science"/>
    <x v="0"/>
    <s v="Information Science &amp; Library Science"/>
    <s v="FK6XS"/>
    <s v=""/>
    <s v=""/>
    <s v=""/>
    <s v=""/>
    <s v="2023-11-15"/>
    <x v="82"/>
    <s v="View Full Record in Web of Science"/>
  </r>
  <r>
    <s v="J"/>
    <s v="Schallmo, D; Williams, CA; Lohse, J"/>
    <s v=""/>
    <s v=""/>
    <s v=""/>
    <s v="Schallmo, Daniel; Williams, Christopher A.; Lohse, Jochen"/>
    <s v=""/>
    <s v=""/>
    <s v="DIGITAL STRATEGY - INTEGRATED APPROACH AND GENERIC OPTIONS"/>
    <s v="INTERNATIONAL JOURNAL OF INNOVATION MANAGEMENT"/>
    <s v=""/>
    <s v=""/>
    <s v="English"/>
    <x v="0"/>
    <s v=""/>
    <s v=""/>
    <s v=""/>
    <s v=""/>
    <s v=""/>
    <s v="Digital strategy; digital transformation; digital transformation strategy; digitisation; business model"/>
    <s v="RESOURCE-BASED VIEW; DYNAMIC CAPABILITIES; COMPETITIVE ADVANTAGE"/>
    <s v="The purpose of this paper is to develop an integrated approach for a digital strategy including generic options. Our research is based on our previous contribution in which we have analysed and compared existing approaches on digital strategy. We expanded this research by conducting 13 semi-structured interviews to gain insights from experts on digital strategy (researchers and consultants). We also analysed 10 case studies collected using semi-structured interviews with company representatives. Our findings show that digital strategy, although still in its infancy, is currently a significant topic across several industries. The paper offers an integrated approach for the development of a digital strategy which consists of six phases: external strategic analysis, strategic forecasting, internal strategic analysis, strategic principle, strategic options and strategy formulation. Within the integrated approach we also deliver four generic digital strategies: product provider, service provider, product platform operator and service platform operator."/>
    <s v="[Schallmo, Daniel] Neu Ulm Univ Appl Sci, Wileystr 1, D-89231 Neu Ulm, Germany; [Williams, Christopher A.] Johannes Kepler Univ Linz, Altenbergerstr 69, A-4040 Linz, Austria; [Lohse, Jochen] Hoppe Marine GmbH, Kieler Str 318, D-22525 Hamburg, Germany"/>
    <s v="Johannes Kepler University Linz"/>
    <s v="Schallmo, D (corresponding author), Neu Ulm Univ Appl Sci, Wileystr 1, D-89231 Neu Ulm, Germany."/>
    <s v="daniel.schallmo@hs-neu-ulm.de; chrs.a.williams@gmail.com; jochen.lohse.mba16a@nordakademie.org"/>
    <s v="Williams, Christopher/GQQ-9115-2022"/>
    <s v="Schallmo, Daniel/0000-0002-4221-001X"/>
    <s v=""/>
    <s v=""/>
    <s v=""/>
    <s v=""/>
    <n v="71"/>
    <n v="21"/>
    <n v="21"/>
    <n v="10"/>
    <n v="100"/>
    <s v="WORLD SCIENTIFIC PUBL CO PTE LTD"/>
    <s v="SINGAPORE"/>
    <s v="5 TOH TUCK LINK, SINGAPORE 596224, SINGAPORE"/>
    <s v="1363-9196"/>
    <s v="1757-5877"/>
    <s v=""/>
    <s v="INT J INNOV MANAG"/>
    <s v="Int. J. Innov. Manag."/>
    <s v="DEC"/>
    <n v="2019"/>
    <n v="23"/>
    <n v="8"/>
    <s v=""/>
    <s v=""/>
    <s v="SI"/>
    <s v=""/>
    <s v=""/>
    <s v=""/>
    <n v="1940005"/>
    <s v="10.1142/S136391961940005X"/>
    <s v="http://dx.doi.org/10.1142/S136391961940005X"/>
    <s v=""/>
    <s v=""/>
    <n v="24"/>
    <s v="Management"/>
    <x v="3"/>
    <s v="Business &amp; Economics"/>
    <s v="KB2KV"/>
    <s v=""/>
    <s v=""/>
    <s v=""/>
    <s v=""/>
    <s v="2023-11-15"/>
    <x v="83"/>
    <s v="View Full Record in Web of Science"/>
  </r>
  <r>
    <s v="J"/>
    <s v="Nayak, B; Bhattacharyya, SS; Krishnamoorthy, B"/>
    <s v=""/>
    <s v=""/>
    <s v=""/>
    <s v="Nayak, Bishwajit; Bhattacharyya, Som Sekhar; Krishnamoorthy, Bala"/>
    <s v=""/>
    <s v=""/>
    <s v="Application of digital technologies in health insurance for social good of bottom of pyramid customers in India"/>
    <s v="INTERNATIONAL JOURNAL OF SOCIOLOGY AND SOCIAL POLICY"/>
    <s v=""/>
    <s v=""/>
    <s v="English"/>
    <x v="0"/>
    <s v=""/>
    <s v=""/>
    <s v=""/>
    <s v=""/>
    <s v=""/>
    <s v="Bottom of pyramid; Risk management; Digital technology; Social policy; Social health insurance"/>
    <s v="ARTIFICIAL-INTELLIGENCE; BIG DATA; CARE; CHALLENGES; ADOPTION; SERVICES; IMPACT; ADULTS"/>
    <s v="Purpose Social health insurance framework of any country is the national identifier of the country's policy for taking care of its population which cannot access or afford quality healthcare. The purpose of this paper is to highlight the strategic imperatives of digital technology for the inclusive social health models for the BoP customers. Design/methodology/approach A qualitative exploratory study using in-depth personal interviews with 53 Indian health insurance CXOs was conducted with a semi-structured questionnaire. Using MaxQDA software, the interview transcripts were analyzed by means of thematic content analysis technique and patterns identified based on the expert opinions. Findings A framework for the strategic imperatives of digital technology in social health insurance emerged from the study highlighting three key themes for technology implementation in the social health insurance sector - analytics for risk management, cost optimization for operations and enhancement of customer experience. The study results provide key insights about how insurers can enhance the coverage of BoP population by leveraging technology. Social implications - The framework would help health insurers and policymakers to select strategic choices related to technology that would enable creation of inclusive health insurance models for BoP customers. Originality/value The absence of specific studies highlighting the strategic digital imperatives in social health insurance creates a unique value proposition for this framework which can help health insurers in developing a convergence in their risk management and customer delight objectives and assist the government in the formulation of a sustainable social health insurance framework."/>
    <s v="[Nayak, Bishwajit; Krishnamoorthy, Bala] Narsee Monjee Inst Management Studies Univ, Sch Business Management, Mumbai, Maharashtra, India; [Bhattacharyya, Som Sekhar] Natl Inst Ind Engn, Dept Strateg Management, Mumbai, Maharashtra, India"/>
    <s v="SVKM's NMIMS (Deemed to be University); National Institute of Industrial Engineering (NITIE)"/>
    <s v="Nayak, B (corresponding author), Narsee Monjee Inst Management Studies Univ, Sch Business Management, Mumbai, Maharashtra, India."/>
    <s v="bnayak0107@gmail.com"/>
    <s v="Nayak, Bishwajit/G-5193-2018; Bhattacharyya, Som Sekhar/AAJ-5749-2020"/>
    <s v="Bhattacharyya, Som Sekhar/0000-0003-3259-0319"/>
    <s v=""/>
    <s v=""/>
    <s v=""/>
    <s v=""/>
    <n v="110"/>
    <n v="21"/>
    <n v="22"/>
    <n v="1"/>
    <n v="18"/>
    <s v="EMERALD GROUP PUBLISHING LTD"/>
    <s v="BINGLEY"/>
    <s v="HOWARD HOUSE, WAGON LANE, BINGLEY BD16 1WA, W YORKSHIRE, ENGLAND"/>
    <s v="0144-333X"/>
    <s v="1758-6720"/>
    <s v=""/>
    <s v="INT J SOCIOL SOC POL"/>
    <s v="Int. J. Sociol. Soc. Policy"/>
    <s v="SEP 9"/>
    <n v="2019"/>
    <n v="39"/>
    <s v="9-10"/>
    <s v=""/>
    <s v=""/>
    <s v=""/>
    <s v=""/>
    <n v="752"/>
    <n v="772"/>
    <s v=""/>
    <s v="10.1108/IJSSP-05-2019-0095"/>
    <s v="http://dx.doi.org/10.1108/IJSSP-05-2019-0095"/>
    <s v=""/>
    <s v=""/>
    <n v="21"/>
    <s v="Sociology"/>
    <x v="3"/>
    <s v="Sociology"/>
    <s v="JO2XV"/>
    <s v=""/>
    <s v=""/>
    <s v=""/>
    <s v=""/>
    <s v="2023-11-15"/>
    <x v="84"/>
    <s v="View Full Record in Web of Science"/>
  </r>
  <r>
    <s v="J"/>
    <s v="Trzaska, R; Sulich, A; Organa, M; Niemczyk, J; Jasinski, B"/>
    <s v=""/>
    <s v=""/>
    <s v=""/>
    <s v="Trzaska, Rafal; Sulich, Adam; Organa, Michal; Niemczyk, Jerzy; Jasinski, Bartosz"/>
    <s v=""/>
    <s v=""/>
    <s v="Digitalization Business Strategies in Energy Sector: Solving Problems with Uncertainty under Industry 4.0 Conditions"/>
    <s v="ENERGIES"/>
    <s v=""/>
    <s v=""/>
    <s v="English"/>
    <x v="0"/>
    <s v=""/>
    <s v=""/>
    <s v=""/>
    <s v=""/>
    <s v=""/>
    <s v="business models; digital revolution; energy sector transformation; Hellwig's method; Industry 4; 0; literature review; strategic management"/>
    <s v="SUSTAINABLE DEVELOPMENT; CIRCULAR ECONOMY; MODEL; INNOVATION; DIGITIZATION; TECHNOLOGIES; ATTRIBUTES; PREDICTION; EFFICIENCY; CONTEXT"/>
    <s v="Digital transformation is a concept based on the use of digitalization and digitization. Digitalization leads to change of business models and provides a competitive advantage also in the energy sector. The process of change towards a digital business requires a specific strategy type, aimed to solve problems with uncertainty caused by Industry 4.0 implementation. This paper aims to propose a theoretical model combining different digitalization strategies and business models. Their theoretical foundations were discussed in the literature review part and related empirical research questions were attempted to be answered by the reference method analysis. The quantitative method of analysis was based on the secondary data from Eurostat for all EU member states and backed the theoretical part in terms of ICT variables. The novelty of this research is based on Hellwig's reference method used in management sciences and the presented managerial implications. The discussed challenges of the energy sector are related to the digital strategy implementation, relationships between digital transformation and business models, and solutions for such issues as strategy communication and new roles for managers, who should become digital leaders in the energy sector organizations. The main consequence of the proposed model in this study, for the energy sector companies' managers, is that uncertainty in modern energy sector organizations is more related to employees and their technical skills than implemented ICT itself."/>
    <s v="[Trzaska, Rafal; Organa, Michal; Niemczyk, Jerzy; Jasinski, Bartosz] Wroclaw Univ Econ &amp; Business, Dept Strategy &amp; Management Methods, Fac Management, Ul Komandorska 118-120, PL-53345 Wroclaw, Poland; [Sulich, Adam] Wroclaw Univ Econ &amp; Business, Dept Adv Res Management, Fac Management, Ul Komandorska 118-120, PL-53345 Wroclaw, Poland"/>
    <s v="Wroclaw University of Economics &amp; Business; Wroclaw University of Economics &amp; Business"/>
    <s v="Trzaska, R (corresponding author), Wroclaw Univ Econ &amp; Business, Dept Strategy &amp; Management Methods, Fac Management, Ul Komandorska 118-120, PL-53345 Wroclaw, Poland.;Sulich, A (corresponding author), Wroclaw Univ Econ &amp; Business, Dept Adv Res Management, Fac Management, Ul Komandorska 118-120, PL-53345 Wroclaw, Poland."/>
    <s v="adam.sulich@ue.wroc.pl; jerzy.niemczyk@ue.wroc.pl"/>
    <s v="Niemczyk, Jerzy/R-5727-2018; Sulich, Adam/M-7935-2019"/>
    <s v="Niemczyk, Jerzy/0000-0002-0766-3929; Sulich, Adam/0000-0001-8841-9102"/>
    <s v="National Science Centre in Poland [2019/33/N/HS4/02957]; Ministry of Science and Higher Education in Poland [015/RID/2018/19]"/>
    <s v="National Science Centre in Poland(National Science Centre, Poland); Ministry of Science and Higher Education in Poland(Ministry of Science and Higher Education, Poland)"/>
    <s v="(A.S.) The project is financed by the National Science Centre in Poland under the program Business Ecosystem of the Environmental Goods and Services Sector in Poland, implemented in 2020-2022; project number 2019/33/N/HS4/02957; total funding amount PLN 120,900.00. (A.S., R.T, M.O., B.J, and J.N.) The project is financed by the Ministry of Science and Higher Education in Poland under the program Regional Initiative of Excellence 2019-2022; project number 015/RID/2018/19; total funding amount PLN 10,721,040.00."/>
    <s v=""/>
    <n v="151"/>
    <n v="20"/>
    <n v="20"/>
    <n v="8"/>
    <n v="57"/>
    <s v="MDPI"/>
    <s v="BASEL"/>
    <s v="ST ALBAN-ANLAGE 66, CH-4052 BASEL, SWITZERLAND"/>
    <s v=""/>
    <s v="1996-1073"/>
    <s v=""/>
    <s v="ENERGIES"/>
    <s v="Energies"/>
    <s v="DEC"/>
    <n v="2021"/>
    <n v="14"/>
    <n v="23"/>
    <s v=""/>
    <s v=""/>
    <s v=""/>
    <s v=""/>
    <s v=""/>
    <s v=""/>
    <n v="7997"/>
    <s v="10.3390/en14237997"/>
    <s v="http://dx.doi.org/10.3390/en14237997"/>
    <s v=""/>
    <s v=""/>
    <n v="21"/>
    <s v="Energy &amp; Fuels"/>
    <x v="1"/>
    <s v="Energy &amp; Fuels"/>
    <s v="XW2IJ"/>
    <s v=""/>
    <s v="gold"/>
    <s v=""/>
    <s v=""/>
    <s v="2023-11-15"/>
    <x v="85"/>
    <s v="View Full Record in Web of Science"/>
  </r>
  <r>
    <s v="J"/>
    <s v="Shahi, C; Sinha, M"/>
    <s v=""/>
    <s v=""/>
    <s v=""/>
    <s v="Shahi, Chinmay; Sinha, Manish"/>
    <s v=""/>
    <s v=""/>
    <s v="Digital transformation: challenges faced by organizations and their potential solutions"/>
    <s v="INTERNATIONAL JOURNAL OF INNOVATION SCIENCE"/>
    <s v=""/>
    <s v=""/>
    <s v="English"/>
    <x v="0"/>
    <s v=""/>
    <s v=""/>
    <s v=""/>
    <s v=""/>
    <s v=""/>
    <s v="Change management; Technology; Digital transformation; Digital strategy"/>
    <s v=""/>
    <s v="Purpose Digital transformation is the way forward for all businesses. The technology is advancing at a rapid pace and the companies need to adapt to the change, not just to take advantage of the enormous opportunities it provides but even to stay relevant in this volatility, uncertainty, complexity, and ambiguity world. This study aims to define the concept of digital transformation and what it means in today's business scenario. It helps to understand the different stages of digital maturity, identify the barriers in adopting different technologies and provide solutions to overcome those challenges. Design/methodology/approach This is a qualitative study in which opinions of the digital transformation experts were collected using a qualitative questionnaire. Natural language processing (NLP) and text mining techniques were applied along with a thorough analysis of the text to generate the results. Findings The study was able to uncover - what it means to be digitally transformed, different challenges an organization faces during the digital transformation journey and their potential solutions. Originality/value The existing literature on the topic is scattered and does not provide a roadmap for a company to adopt digital transformation. This study aims to fill up the gap and cover various aspects of the whole transformation process. The uniqueness of the study lies in the use of NLP techniques to perform text analytics on the data."/>
    <s v="[Shahi, Chinmay; Sinha, Manish] SIU SCMHRD, Pune, Maharashtra, India"/>
    <s v="Symbiosis International University; Symbiosis Centre for Management &amp; Human Resource Development (SCMHRD)"/>
    <s v="Shahi, C (corresponding author), SIU SCMHRD, Pune, Maharashtra, India."/>
    <s v="chinmay_shahi@scmhrd.edu"/>
    <s v=""/>
    <s v="SINHA, MANISH/0000-0002-2116-0877"/>
    <s v=""/>
    <s v=""/>
    <s v=""/>
    <s v=""/>
    <n v="44"/>
    <n v="20"/>
    <n v="20"/>
    <n v="9"/>
    <n v="140"/>
    <s v="EMERALD GROUP PUBLISHING LTD"/>
    <s v="BINGLEY"/>
    <s v="HOWARD HOUSE, WAGON LANE, BINGLEY BD16 1WA, W YORKSHIRE, ENGLAND"/>
    <s v="1757-2223"/>
    <s v="1757-2231"/>
    <s v=""/>
    <s v="INT J INOV SCI"/>
    <s v="Int. J. Innov. Sci."/>
    <s v="JAN 21"/>
    <n v="2021"/>
    <n v="13"/>
    <n v="1"/>
    <s v=""/>
    <s v=""/>
    <s v=""/>
    <s v=""/>
    <n v="17"/>
    <n v="33"/>
    <s v=""/>
    <s v="10.1108/IJIS-09-2020-0157"/>
    <s v="http://dx.doi.org/10.1108/IJIS-09-2020-0157"/>
    <s v=""/>
    <s v="DEC 2020"/>
    <n v="17"/>
    <s v="Business"/>
    <x v="3"/>
    <s v="Business &amp; Economics"/>
    <s v="PZ7RI"/>
    <s v=""/>
    <s v=""/>
    <s v=""/>
    <s v=""/>
    <s v="2023-11-15"/>
    <x v="86"/>
    <s v="View Full Record in Web of Science"/>
  </r>
  <r>
    <s v="J"/>
    <s v="Foster, C; Azmeh, S"/>
    <s v=""/>
    <s v=""/>
    <s v=""/>
    <s v="Foster, Christopher; Azmeh, Shamel"/>
    <s v=""/>
    <s v=""/>
    <s v="Latecomer Economies and National Digital Policy: An Industrial Policy Perspective"/>
    <s v="JOURNAL OF DEVELOPMENT STUDIES"/>
    <s v=""/>
    <s v=""/>
    <s v="English"/>
    <x v="2"/>
    <s v=""/>
    <s v=""/>
    <s v=""/>
    <s v=""/>
    <s v=""/>
    <s v=""/>
    <s v="COMPARATIVE ADVANTAGE; VALUE CHAINS; TRADE; CHINA; MODEL; RISE"/>
    <s v="The global economy is experiencing digital transformation with impacts felt in developing countries. Digital firms and capabilities, however, remain concentrated in advanced economies. These processes indicate an emerging source of global economic inequality and a widening of the technological gap. Recently, there has been a growth in interventionist digital policy in developing and emerging economies but research has so far made a limited analysis of how this might fulfil economic objectives and support technological catch-up. In this paper, we examine this growth of national digital policies and highlight how industrial policy objectives are important drivers of digital strategies. Examining a number of cases based on an extensive analysis of national digital policies, with a focus on China, we illustrate that these policies often aim at facilitating global integration and linkages. However, our analysis shows that, under certain conditions, more interventionist approaches can be vital in countering structural challenges. Challenges include the power of digital platforms, limitations of domestic digital firms, and limited ability to leverage digitalisation for broad-based national development."/>
    <s v="[Foster, Christopher; Azmeh, Shamel] Univ Manchester, Global Dev Inst, Manchester, Lancs, England"/>
    <s v="University of Manchester"/>
    <s v="Foster, C (corresponding author), Univ Manchester, Arthur Lewis Bldg,Oxford Rd, Manchester M13 9PL, Lancs, England."/>
    <s v="christopher.foster-2@manchester.ac.uk"/>
    <s v=""/>
    <s v="Foster, Christopher/0000-0001-7827-2485"/>
    <s v="Sheffield Institute of International Development (SIID); Information School, University of Sheffield"/>
    <s v="Sheffield Institute of International Development (SIID); Information School, University of Sheffield"/>
    <s v="The paper was supported by small grants from The Sheffield Institute of International Development (SIID) and the Information School, University of Sheffield. The authors would like to thank research assistant Yaming Fu for her work on compiling, collating and translating Chinese digital policy material used in this paper. Additional thanks to Jaime Echavarri-Valdez for insightful comments and inputs on early drafts of this paper."/>
    <s v=""/>
    <n v="90"/>
    <n v="20"/>
    <n v="21"/>
    <n v="14"/>
    <n v="129"/>
    <s v="ROUTLEDGE JOURNALS, TAYLOR &amp; FRANCIS LTD"/>
    <s v="ABINGDON"/>
    <s v="2-4 PARK SQUARE, MILTON PARK, ABINGDON OX14 4RN, OXON, ENGLAND"/>
    <s v="0022-0388"/>
    <s v="1743-9140"/>
    <s v=""/>
    <s v="J DEV STUD"/>
    <s v="J. Dev. Stud."/>
    <s v="2019 NOV 2"/>
    <n v="2019"/>
    <s v=""/>
    <s v=""/>
    <s v=""/>
    <s v=""/>
    <s v=""/>
    <s v=""/>
    <s v=""/>
    <s v=""/>
    <s v=""/>
    <s v="10.1080/00220388.2019.1677886"/>
    <s v="http://dx.doi.org/10.1080/00220388.2019.1677886"/>
    <s v=""/>
    <s v="NOV 2019"/>
    <n v="16"/>
    <s v="Development Studies; Economics"/>
    <x v="0"/>
    <s v="Development Studies; Business &amp; Economics"/>
    <s v="JK5SL"/>
    <s v=""/>
    <s v="hybrid"/>
    <s v=""/>
    <s v=""/>
    <s v="2023-11-15"/>
    <x v="87"/>
    <s v="View Full Record in Web of Science"/>
  </r>
  <r>
    <s v="J"/>
    <s v="Powers, M"/>
    <s v=""/>
    <s v=""/>
    <s v=""/>
    <s v="Powers, Matthew"/>
    <s v=""/>
    <s v=""/>
    <s v="NGO Publicity and Reinforcing Path Dependencies: Explaining the Persistence of Media-Centered Publicity Strategies"/>
    <s v="INTERNATIONAL JOURNAL OF PRESS-POLITICS"/>
    <s v=""/>
    <s v=""/>
    <s v="English"/>
    <x v="0"/>
    <s v=""/>
    <s v=""/>
    <s v=""/>
    <s v=""/>
    <s v=""/>
    <s v="advocacy; civil society; global news; new institutionalism"/>
    <s v="HUMAN-RIGHTS NGOS; HUMANITARIAN; ORGANIZATIONS; JOURNALISM; SPACES; GATES; NEWS"/>
    <s v="Previous research finds that nongovernmental organization (NGO) publicity strategiesdespite digital technologiescontinue to focus heavily on garnering coverage in the mainstream news media. Drawing on theories of path dependence and interviews with NGO professionals, this paper identifies three factors that explain why this should be so. First, donors continue to value media coverage as a platform to learn about advocacy groups, as well as a mechanism for measuring their impact on political discourse. Second, political officials still value media coverage as a way to learn about advocacy demands. Third, NGOs occupy a position that is socially proximate to journalism, which leads the former to see the latter as an ally in the pursuit of publicity. Together, these factors confirm and extend the new institutional concept of path dependence by demonstrating how path dependence in one field (philanthropy, politics) can reinforce path dependence in another (NGO). These reinforcing path dependencies in turn interact with established mechanisms of institutional production (start-up costs, feedback effects, knowledge accumulation) to explain why NGOs continue to persist in media-centered publicity strategies despite new technological possibilities."/>
    <s v="[Powers, Matthew] Univ Washington, Dept Commun, Box 353740, Seattle, WA 98195 USA"/>
    <s v="University of Washington; University of Washington Seattle"/>
    <s v="Powers, M (corresponding author), Univ Washington, Dept Commun, Box 353740, Seattle, WA 98195 USA."/>
    <s v="powers.mj@gmail.com"/>
    <s v=""/>
    <s v=""/>
    <s v=""/>
    <s v=""/>
    <s v=""/>
    <s v=""/>
    <n v="40"/>
    <n v="20"/>
    <n v="20"/>
    <n v="0"/>
    <n v="40"/>
    <s v="SAGE PUBLICATIONS INC"/>
    <s v="THOUSAND OAKS"/>
    <s v="2455 TELLER RD, THOUSAND OAKS, CA 91320 USA"/>
    <s v="1940-1612"/>
    <s v="1940-1620"/>
    <s v=""/>
    <s v="INT J PRESS/POLIT"/>
    <s v="Int. J. Press-Polit."/>
    <s v="OCT"/>
    <n v="2016"/>
    <n v="21"/>
    <n v="4"/>
    <s v=""/>
    <s v=""/>
    <s v=""/>
    <s v=""/>
    <n v="490"/>
    <n v="507"/>
    <s v=""/>
    <s v="10.1177/1940161216658373"/>
    <s v="http://dx.doi.org/10.1177/1940161216658373"/>
    <s v=""/>
    <s v=""/>
    <n v="18"/>
    <s v="Communication; Political Science"/>
    <x v="0"/>
    <s v="Communication; Government &amp; Law"/>
    <s v="DW1GE"/>
    <s v=""/>
    <s v=""/>
    <s v=""/>
    <s v=""/>
    <s v="2023-11-15"/>
    <x v="88"/>
    <s v="View Full Record in Web of Science"/>
  </r>
  <r>
    <s v="J"/>
    <s v="Senna, PP; Ferreira, LMDF; Barros, AC; Roca, JB; Magalhaes, V"/>
    <s v=""/>
    <s v=""/>
    <s v=""/>
    <s v="Senna, Pedro P.; Ferreira, Luis Miguel D. F.; Barros, Ana C.; Roca, Jaime Bonnin; Magalhaes, Vanessa"/>
    <s v=""/>
    <s v=""/>
    <s v="Prioritizing barriers for the adoption of Industry 4.0 technologies"/>
    <s v="COMPUTERS &amp; INDUSTRIAL ENGINEERING"/>
    <s v=""/>
    <s v=""/>
    <s v="English"/>
    <x v="0"/>
    <s v=""/>
    <s v=""/>
    <s v=""/>
    <s v=""/>
    <s v=""/>
    <s v="Industry 4; 0; Barriers; Technology adoption; Interpretive structural modelling"/>
    <s v="FUTURE; INTERNET; THINGS; IMPLEMENTATION; MODEL; DETERMINANTS; CHALLENGES; LOGISTICS; ANALYTICS; COMPANIES"/>
    <s v="While Industry 4.0 promises large technological improvements, firms face multiple challenges in its adoption. Current literature has made significant efforts to identify the barriers which are common to most companies but fails to identify their interrelationships and their implications for practitioners. We use interpretive structural modelling (ISM) methodology to identify these barriers and their interrelationships, combined with matrix impact of cross multiplication applied to classification (MICMAC) analysis to identify the root barriers, in the context of the Portuguese manufacturing industry. We categorize these barriers using the Technology -Organization-Environment framework. We conclude that barriers related to standardization and lack of off -the-shelf solutions are considered root barriers. Our results differ from other studies that regard barriers related to legal and contractual uncertainty with the highest driving power and lowest dependence power. Also, we find that organizational barriers have the highest dependency and lowest driving power, contradicting studies on the topic. We provide recommendations for managers and policymakers in three areas: Standardization Dissemination, Infrastructure Development, and Digital Strategy."/>
    <s v="[Senna, Pedro P.] Univ Porto, Fac Engn, Rua Dr Roberto Frias, P-4200465 Porto, Portugal; [Senna, Pedro P.; Barros, Ana C.] Campus FEUP, Ctr Enterprise Syst Engn, INESC TEC, Rua Dr Roberto Frias, P-4200465 Porto, Portugal; [Ferreira, Luis Miguel D. F.; Magalhaes, Vanessa] Univ Coimbra, Dept Mech Engn, CEMMPRE, Coimbra, Portugal; [Roca, Jaime Bonnin] Eindhoven Univ Technol, Dept Ind Engn &amp; Innovat Sci, Eindhoven, Netherlands; [Senna, Pedro P.] Campus FEUP, INESC TEC, Rua Dr Roberto Frias S-N, P-4200465 Porto, Portugal"/>
    <s v="Universidade do Porto; Universidade do Porto; INESC TEC; Universidade de Coimbra; Eindhoven University of Technology; Universidade do Porto; INESC TEC"/>
    <s v="Senna, PP (corresponding author), Campus FEUP, INESC TEC, Rua Dr Roberto Frias S-N, P-4200465 Porto, Portugal."/>
    <s v="pedro.senna@inesctec.pt; luis.ferreira@dem.uc.pt; abarros2222@gmail.com; j.bonnin.roca@tue.nl; vanessa.magalhaes@dem.uc.pt"/>
    <s v="Magalhães, Vanessa Sofia Melo/GZL-2926-2022; Roca, Jaime/AAK-3477-2021; Senna, Pedro Pinho/GRS-5705-2022; Ferreira, Luis/H-3046-2016"/>
    <s v="Magalhães, Vanessa Sofia Melo/0000-0002-5265-8555; Roca, Jaime/0000-0003-4244-0357; Senna, Pedro Pinho/0000-0002-4025-5716; Ferreira, Luis/0000-0003-0459-0020"/>
    <s v="FEDER funds; National Funds, National Funds through the Portuguese funding agency"/>
    <s v="FEDER funds(European Union (EU)); National Funds, National Funds through the Portuguese funding agency"/>
    <s v="This research is supported by FEDER funds through the program COMPETE - Programa Operacional Factores de Competitividade. This work was financed by National Funds through the Portuguese funding agency, FCT - Fundacao para a Ciencia e a Tecnologia, within project UIDB/50014/2020."/>
    <s v=""/>
    <n v="90"/>
    <n v="19"/>
    <n v="19"/>
    <n v="6"/>
    <n v="12"/>
    <s v="PERGAMON-ELSEVIER SCIENCE LTD"/>
    <s v="OXFORD"/>
    <s v="THE BOULEVARD, LANGFORD LANE, KIDLINGTON, OXFORD OX5 1GB, ENGLAND"/>
    <s v="0360-8352"/>
    <s v="1879-0550"/>
    <s v=""/>
    <s v="COMPUT IND ENG"/>
    <s v="Comput. Ind. Eng."/>
    <s v="SEP"/>
    <n v="2022"/>
    <n v="171"/>
    <s v=""/>
    <s v=""/>
    <s v=""/>
    <s v=""/>
    <s v=""/>
    <s v=""/>
    <s v=""/>
    <n v="108428"/>
    <s v="10.1016/j.cie.2022.108428"/>
    <s v="http://dx.doi.org/10.1016/j.cie.2022.108428"/>
    <s v=""/>
    <s v="JUL 2022"/>
    <n v="12"/>
    <s v="Computer Science, Interdisciplinary Applications; Engineering, Industrial"/>
    <x v="2"/>
    <s v="Computer Science; Engineering"/>
    <s v="3R4TL"/>
    <s v=""/>
    <s v="Green Published, hybrid"/>
    <s v=""/>
    <s v=""/>
    <s v="2023-11-15"/>
    <x v="89"/>
    <s v="View Full Record in Web of Science"/>
  </r>
  <r>
    <s v="J"/>
    <s v="Gajdzik, B; Wolniak, R"/>
    <s v=""/>
    <s v=""/>
    <s v=""/>
    <s v="Gajdzik, Bozena; Wolniak, Radoslaw"/>
    <s v=""/>
    <s v=""/>
    <s v="Digitalisation and Innovation in the Steel Industry in Poland-Selected Tools of ICT in an Analysis of Statistical Data and a Case Study"/>
    <s v="ENERGIES"/>
    <s v=""/>
    <s v=""/>
    <s v="English"/>
    <x v="0"/>
    <s v=""/>
    <s v=""/>
    <s v=""/>
    <s v=""/>
    <s v=""/>
    <s v="Industry 4; 0; steel industry; digitalisation"/>
    <s v="SUPPLY CHAIN; THINGS IOT; SYSTEM; IDENTIFICATION; MAINTENANCE; INTERNET; FUTURE; ENTERPRISE; MANAGEMENT; FRAMEWORK"/>
    <s v="Digital technologies enable companies to build cyber-physical systems (CPS) in Industry 4.0. In the increasingly popular concept of Industry 4.0, an important research topic is the application of digital technology in industry, and in particular in specific industry sectors. The aim of this paper is to present the tools used in the steel industry in Poland on its way to the full digitalisation that is needed for the development of Industry 4.0. The paper consists of two parts: a literature review and a practical analysis. The paper provides the background information about digitalisation using digital tools in the steel industry in Poland. The paper was prepared based on secondary information and statistical data. The object of the research is the Polish steel sector. This study assumes that digitalisation is the main area of innovation in the steel industry. The digitalisation determines the creation of new or modified products, processes, techniques and expansion of the company's infrastructure; therefore, the data on digital technology were supplemented with data on the innovativeness of the Polish steel sector. The results of this study provide managers with valuable information to understand the importance of full digitalisation and the need to focus on digital strategies. Such insights can be used to improve companies' processing capabilities and produce better products, which is key to innovation."/>
    <s v="[Gajdzik, Bozena] Silesian Tech Univ, Dept Ind Informat, PL-40019 Katowice, Poland; [Wolniak, Radoslaw] Silesian Tech Univ, Dept Management &amp; Org, PL-41800 Zabrze, Poland"/>
    <s v="Silesian University of Technology; Silesian University of Technology"/>
    <s v="Gajdzik, B (corresponding author), Silesian Tech Univ, Dept Ind Informat, PL-40019 Katowice, Poland."/>
    <s v="bozena.gajdzik@polsl.pl; radoslaw.wolniak@polsl.pl"/>
    <s v="Gajdzik, Bozena/S-8265-2018; Wolniak, Radoslaw/P-7146-2017"/>
    <s v="Gajdzik, Bozena/0000-0002-0408-1691; Wolniak, Radoslaw/0000-0003-0317-9811"/>
    <s v="Department of Industrial Informatics, Silesian University of Technology [11/990/BK_21/0080]"/>
    <s v="Department of Industrial Informatics, Silesian University of Technology"/>
    <s v="Department of Industrial Informatics, Silesian University of Technology supported this work as a part of Statutory Research 11/990/BK_21/0080."/>
    <s v=""/>
    <n v="133"/>
    <n v="19"/>
    <n v="19"/>
    <n v="5"/>
    <n v="21"/>
    <s v="MDPI"/>
    <s v="BASEL"/>
    <s v="ST ALBAN-ANLAGE 66, CH-4052 BASEL, SWITZERLAND"/>
    <s v=""/>
    <s v="1996-1073"/>
    <s v=""/>
    <s v="ENERGIES"/>
    <s v="Energies"/>
    <s v="JUN"/>
    <n v="2021"/>
    <n v="14"/>
    <n v="11"/>
    <s v=""/>
    <s v=""/>
    <s v=""/>
    <s v=""/>
    <s v=""/>
    <s v=""/>
    <n v="3034"/>
    <s v="10.3390/en14113034"/>
    <s v="http://dx.doi.org/10.3390/en14113034"/>
    <s v=""/>
    <s v=""/>
    <n v="25"/>
    <s v="Energy &amp; Fuels"/>
    <x v="2"/>
    <s v="Energy &amp; Fuels"/>
    <s v="SP7LD"/>
    <s v=""/>
    <s v="gold"/>
    <s v=""/>
    <s v=""/>
    <s v="2023-11-15"/>
    <x v="90"/>
    <s v="View Full Record in Web of Science"/>
  </r>
  <r>
    <s v="J"/>
    <s v="Stewart, K; Kammer-Kerwick, M; Auchter, A; Koh, HE; Dunn, ME; Cunningham, I"/>
    <s v=""/>
    <s v=""/>
    <s v=""/>
    <s v="Stewart, Kristin; Kammer-Kerwick, Matt; Auchter, Allison; Koh, Hyeseung Elizabeth; Dunn, Mary Elizabeth; Cunningham, Isabella"/>
    <s v=""/>
    <s v=""/>
    <s v="Examining digital video advertising (DVA) effectiveness The role of product category, product involvement, and device"/>
    <s v="EUROPEAN JOURNAL OF MARKETING"/>
    <s v=""/>
    <s v=""/>
    <s v="English"/>
    <x v="0"/>
    <s v=""/>
    <s v=""/>
    <s v=""/>
    <s v=""/>
    <s v=""/>
    <s v="Experimental design; Product involvement; Device type; Digital video advertising; Search intentions"/>
    <s v="CONSUMER INVOLVEMENT; RESPONSES; TELEVISION; UTILITARIAN; CHOICE; MODEL; WORKS; CONSUMPTION; SYNERGIES; EMOTIONS"/>
    <s v="Purpose Marketers are increasing their use of digital strategies and prioritizing digital tactics, although the effectiveness digital video advertising (DVA) has not been examined empirically. The purpose of this research is to suggest that it is useful for advertisers to consider theories of the past to understand the link between product, advertising format and message processing. Design/methodology/approach To examine DVA effectiveness, this study utilized a 2-product type (utilitarian vs hedonic) x 2-product involvement (low vs high) x 2-platform (laptop vs mobile) mixed-design. Participants were recruited from a research company, who invited members of their panel to participate in an online experiment. Findings DVA for hedonic products resulted in stronger attitudes toward the ad and brand, and intentions to purchase. DVA for low involvement products resulted in stronger purchase intentions and likelihood to opt-in for more information. Moreover, there was an interaction between product category and involvement across all five measures of DVA effectiveness. Originality/value As technology continues to develop and marketers continue to pursue growing numbers of consumers through digital means and on mobile devices, understanding how device type influences advertising effectiveness is important for media strategy, message placement and marketing metrics. This research takes one step in that direction."/>
    <s v="[Stewart, Kristin] Calif State Univ, Dept Mkt, San Marcos, CA 92096 USA; [Kammer-Kerwick, Matt] Univ Texas Austin, IC2 Inst, Bur Business Res, Austin, TX 78712 USA; [Auchter, Allison] Univ Calif San Diego, Sch Med, La Jolla, CA 92093 USA; [Koh, Hyeseung Elizabeth; Dunn, Mary Elizabeth; Cunningham, Isabella] Univ Texas Austin, Stan Richards Sch Advertising &amp; PR, Austin, TX 78712 USA"/>
    <s v="California State University System; California State University San Marcos; University of Texas System; University of Texas Austin; University of California System; University of California San Diego; University of Texas System; University of Texas Austin"/>
    <s v="Stewart, K (corresponding author), Calif State Univ, Dept Mkt, San Marcos, CA 92096 USA."/>
    <s v="kstewart@csusm.edu; mattkk@ic2.utexas.edu; auchter@utexas.edu; kohhye@utexas.edu; marydunn.utexas@gmail.com; isabella.cunningham@austin.utexas.edu"/>
    <s v="Koh, Hye Seung/IUN-3409-2023; Stewart, Kristin/IQW-2548-2023"/>
    <s v="Koh, Hye Seung/0000-0003-4160-6984; Kammer-Kerwick, Matt/0000-0001-8848-3438"/>
    <s v="IC2 Institute at The University of Texas at Austin"/>
    <s v="IC2 Institute at The University of Texas at Austin"/>
    <s v="The authors wish to acknowledge the IC2 Institute at The University of Texas at Austin for providing the funding for this research. The authors would also like to thank the anonymous reviewers of this manuscript. Their feedback has greatly improved the organization and readability of this paper."/>
    <s v=""/>
    <n v="83"/>
    <n v="19"/>
    <n v="19"/>
    <n v="11"/>
    <n v="125"/>
    <s v="EMERALD GROUP PUBLISHING LTD"/>
    <s v="BINGLEY"/>
    <s v="HOWARD HOUSE, WAGON LANE, BINGLEY BD16 1WA, W YORKSHIRE, ENGLAND"/>
    <s v="0309-0566"/>
    <s v="1758-7123"/>
    <s v=""/>
    <s v="EUR J MARKETING"/>
    <s v="Eur. J. Market."/>
    <s v="NOV 11"/>
    <n v="2019"/>
    <n v="53"/>
    <n v="11"/>
    <s v=""/>
    <s v=""/>
    <s v=""/>
    <s v=""/>
    <n v="2451"/>
    <n v="2479"/>
    <s v=""/>
    <s v="10.1108/EJM-11-2016-0619"/>
    <s v="http://dx.doi.org/10.1108/EJM-11-2016-0619"/>
    <s v=""/>
    <s v=""/>
    <n v="29"/>
    <s v="Business"/>
    <x v="0"/>
    <s v="Business &amp; Economics"/>
    <s v="IZ4ED"/>
    <s v=""/>
    <s v=""/>
    <s v=""/>
    <s v=""/>
    <s v="2023-11-15"/>
    <x v="91"/>
    <s v="View Full Record in Web of Science"/>
  </r>
  <r>
    <s v="J"/>
    <s v="Scheepers, R; Lacity, MC; Willcocks, LP"/>
    <s v=""/>
    <s v=""/>
    <s v=""/>
    <s v="Scheepers, Rens; Lacity, Mary C.; Willcocks, Leslie P."/>
    <s v=""/>
    <s v=""/>
    <s v="Cognitive Automation as Part of Deakin University's Digital Strategy"/>
    <s v="MIS QUARTERLY EXECUTIVE"/>
    <s v=""/>
    <s v=""/>
    <s v="English"/>
    <x v="0"/>
    <s v=""/>
    <s v=""/>
    <s v=""/>
    <s v=""/>
    <s v=""/>
    <s v=""/>
    <s v=""/>
    <s v="Interest is growing in using cognitive automation (CA) tools to handle customer enquiries, but there is a dearth of cases that illustrate best practice. We describe the CA journey of Deakin University, an early adopter of CA technology. Deakin, an Australian university, is using IBM Watson (an example of a question-and-answer CA application) to automate the answering of questions from students (the university's customers). We identify the value gained from Deakin's CA investment and provide key lessons and practices that other enterprises can use when deploying CA tools."/>
    <s v="[Scheepers, Rens] Deakin Univ, Chair Informat Syst, Geelong, Vic, Australia; [Lacity, Mary C.] Univ Missouri St Louis, St Louis, MO USA; [Willcocks, Leslie P.] London Sch Econ &amp; Polit Sci, Outsourcing Unit, Technol Work &amp; Globalizat, London, England"/>
    <s v="Deakin University; University of Missouri System; University of Missouri Saint Louis; University of London; London School Economics &amp; Political Science"/>
    <s v="Scheepers, R (corresponding author), Deakin Univ, Chair Informat Syst, Geelong, Vic, Australia."/>
    <s v="rens.scheepers@deakin.edu.au; Mary.Lacity@umsl.edu; willcockslp@aol.com"/>
    <s v=""/>
    <s v="Scheepers, Rens/0000-0003-2791-6513"/>
    <s v=""/>
    <s v=""/>
    <s v=""/>
    <s v=""/>
    <n v="28"/>
    <n v="19"/>
    <n v="19"/>
    <n v="0"/>
    <n v="9"/>
    <s v="INDIANA UNIV, OPER &amp; DECISION TECHNOL DEPT"/>
    <s v="BLOOMINGTON"/>
    <s v="KELLEY SCH BUS, E 10 ST, BLOOMINGTON, IN 47405-1701 USA"/>
    <s v="1540-1960"/>
    <s v="1540-1979"/>
    <s v=""/>
    <s v="MIS Q EXEC"/>
    <s v="MIS Q. Exec."/>
    <s v="JUN"/>
    <n v="2018"/>
    <n v="17"/>
    <n v="2"/>
    <s v=""/>
    <s v=""/>
    <s v=""/>
    <s v=""/>
    <n v="89"/>
    <n v="107"/>
    <s v=""/>
    <s v=""/>
    <s v=""/>
    <s v=""/>
    <s v=""/>
    <n v="19"/>
    <s v="Information Science &amp; Library Science; Management"/>
    <x v="0"/>
    <s v="Information Science &amp; Library Science; Business &amp; Economics"/>
    <s v="GJ6PG"/>
    <s v=""/>
    <s v=""/>
    <s v=""/>
    <s v=""/>
    <s v="2023-11-15"/>
    <x v="92"/>
    <s v="View Full Record in Web of Science"/>
  </r>
  <r>
    <s v="J"/>
    <s v="Sánchez, MA"/>
    <s v=""/>
    <s v=""/>
    <s v=""/>
    <s v="Analia Sanchez, Marisa"/>
    <s v=""/>
    <s v=""/>
    <s v="A FRAMEWORK TO ASSESS ORGANIZATIONAL READINESS FOR THE DIGITAL TRANSFORMATION"/>
    <s v="DIMENSION EMPRESARIAL"/>
    <s v=""/>
    <s v=""/>
    <s v="English"/>
    <x v="0"/>
    <s v=""/>
    <s v=""/>
    <s v=""/>
    <s v=""/>
    <s v=""/>
    <s v="Digital transformation; digital strategy; The Five Competitive Forces Model; Value Chain Analysis; System Dynamics"/>
    <s v="DYNAMIC CAPABILITIES; SYSTEM DYNAMICS; MANAGEMENT; STAKEHOLDERS; PERSPECTIVE; CHALLENGES; SCIENCE"/>
    <s v="The digital transformation puts to the test the sustainability of traditional business models. The aim of this research work is to formulate a framework that explains resources, capabilities and management choices necessary to respond to the new environment. The proposal based on literature review of both theoretical and empirical research. The framework abstracts complexity to isolate a few key variables. Its specification based on system dynamics since it naturally models forces of change in a complex system so that their influences can be better understood."/>
    <s v="[Analia Sanchez, Marisa] Univ Nacl Sur Argentina, Bahia Blanca, Argentina"/>
    <s v=""/>
    <s v="Sánchez, MA (corresponding author), Univ Nacl Sur Argentina, Bahia Blanca, Argentina."/>
    <s v="mas@uns.edu"/>
    <s v="Sanchez, Marisa A/M-6135-2014"/>
    <s v="Sanchez, Marisa A/0000-0002-8291-0491"/>
    <s v=""/>
    <s v=""/>
    <s v=""/>
    <s v=""/>
    <n v="44"/>
    <n v="19"/>
    <n v="21"/>
    <n v="1"/>
    <n v="109"/>
    <s v="UNIV AUTONOMA CARIBE-UAC"/>
    <s v="ATLANTICO"/>
    <s v="CL 90, BARRANQUILLA, ATLANTICO, 00000, COLOMBIA"/>
    <s v="1692-8563"/>
    <s v="2322-956X"/>
    <s v=""/>
    <s v="DIMENS EMPRESARIAL"/>
    <s v="Dimens. Empresarial"/>
    <s v=""/>
    <n v="2017"/>
    <n v="15"/>
    <n v="2"/>
    <s v=""/>
    <s v=""/>
    <s v=""/>
    <s v=""/>
    <n v="27"/>
    <n v="40"/>
    <s v=""/>
    <s v="10.15665/rde.v15i2.976"/>
    <s v="http://dx.doi.org/10.15665/rde.v15i2.976"/>
    <s v=""/>
    <s v=""/>
    <n v="14"/>
    <s v="Economics"/>
    <x v="3"/>
    <s v="Business &amp; Economics"/>
    <s v="FP1NE"/>
    <s v=""/>
    <s v="gold, Green Submitted"/>
    <s v=""/>
    <s v=""/>
    <s v="2023-11-15"/>
    <x v="93"/>
    <s v="View Full Record in Web of Science"/>
  </r>
  <r>
    <s v="J"/>
    <s v="Siokas, G; Tsakanikas, A; Siokas, E"/>
    <s v=""/>
    <s v=""/>
    <s v=""/>
    <s v="Siokas, Georgios; Tsakanikas, Aggelos; Siokas, Evangelos"/>
    <s v=""/>
    <s v=""/>
    <s v="Implementing smart city strategies in Greece: Appetite for success"/>
    <s v="CITIES"/>
    <s v=""/>
    <s v=""/>
    <s v="English"/>
    <x v="0"/>
    <s v=""/>
    <s v=""/>
    <s v=""/>
    <s v=""/>
    <s v=""/>
    <s v="Smart city; Smart urban policy; Digital tools; City planning; Smart strategy"/>
    <s v="PARTIAL LEAST-SQUARES; PLS-SEM; CITIES; GOVERNANCE; INFORMATION; TECHNOLOGY; INDICATORS; MANAGEMENT; FRAMEWORK; VARIABLES"/>
    <s v="This research paper aims at reviewing the effect of specific internal procedures undertaken in the boundaries of a municipality during the adaptation process of a Smart City strategy. By using a unique, tailor-made questionnaire and advance statistical techniques, we try to identify which factors turn to be crucial in implementing successful smart strategies. The paper maps, evaluates and analyses the strategic actions of the Greek Municipalities from an internal and external perspective of a public authority. Results show most local authorities try to formulate a coherent framework to efficiently utilize available resources and enhance productivity and quality of the services provided. Even though the majority of cities have embedded in their digital strategies various forms of smart projects, a rather partial implementation of relevant initiatives in their day-to-day operations is noticed. The challenges and prerequisites for an effective implementation of smart strategies have been explored. Furthermore, we assess their design, which may mitigate risks and lead to higher returns, at the earliest possible stage. This allows us to map the crucial factors that may open their appetite for a successful strategy towards a smarter future."/>
    <s v="[Siokas, Georgios; Tsakanikas, Aggelos; Siokas, Evangelos] Natl Tech Univ Athens, Sch Chem Engn, Lab Ind &amp; Energy Econ, Zografou Campus,9 Iroon Polytech Str, Zografos 15780, Greece"/>
    <s v="National Technical University of Athens"/>
    <s v="Siokas, G (corresponding author), Natl Tech Univ Athens, Sch Chem Engn, Lab Ind &amp; Energy Econ, Zografou Campus,9 Iroon Polytech Str, Zografos 15780, Greece."/>
    <s v="geosiok@mail.ntua.gr"/>
    <s v="Siokas, Georgios/HHN-5102-2022"/>
    <s v="Siokas, Georgios/0000-0002-7017-874X"/>
    <s v=""/>
    <s v=""/>
    <s v=""/>
    <s v=""/>
    <n v="81"/>
    <n v="18"/>
    <n v="18"/>
    <n v="1"/>
    <n v="13"/>
    <s v="ELSEVIER SCI LTD"/>
    <s v="OXFORD"/>
    <s v="THE BOULEVARD, LANGFORD LANE, KIDLINGTON, OXFORD OX5 1GB, OXON, ENGLAND"/>
    <s v="0264-2751"/>
    <s v="1873-6084"/>
    <s v=""/>
    <s v="CITIES"/>
    <s v="Cities"/>
    <s v="JAN"/>
    <n v="2021"/>
    <n v="108"/>
    <s v=""/>
    <s v=""/>
    <s v=""/>
    <s v=""/>
    <s v=""/>
    <s v=""/>
    <s v=""/>
    <n v="102938"/>
    <s v="10.1016/j.cities.2020.102938"/>
    <s v="http://dx.doi.org/10.1016/j.cities.2020.102938"/>
    <s v=""/>
    <s v=""/>
    <n v="13"/>
    <s v="Urban Studies"/>
    <x v="0"/>
    <s v="Urban Studies"/>
    <s v="PD0TE"/>
    <s v=""/>
    <s v=""/>
    <s v=""/>
    <s v=""/>
    <s v="2023-11-15"/>
    <x v="94"/>
    <s v="View Full Record in Web of Science"/>
  </r>
  <r>
    <s v="J"/>
    <s v="Kudyba, S; Fjermestad, J; Davenport, T"/>
    <s v=""/>
    <s v=""/>
    <s v=""/>
    <s v="Kudyba, Stephan; Fjermestad, Jerry; Davenport, Thomas"/>
    <s v=""/>
    <s v=""/>
    <s v="A research model for identifying factors that drive effective decision-making and the future of work"/>
    <s v="JOURNAL OF INTELLECTUAL CAPITAL"/>
    <s v=""/>
    <s v=""/>
    <s v="English"/>
    <x v="0"/>
    <s v=""/>
    <s v=""/>
    <s v=""/>
    <s v=""/>
    <s v=""/>
    <s v="Collective intelligence; Cognitive technologies; Digital strategies; Knowledge systems"/>
    <s v="COLLECTIVE INTELLIGENCE; INFORMATION-TECHNOLOGY; PRODUCTIVITY; MANAGEMENT; FRAMEWORK; BUSINESS; IMPACT; TEAMS"/>
    <s v="Purpose The evolving digital transformations of organizational processes involve vast complexities. Factors such as labor resources at the individual and team levels that integrate and utilize information resources and evolving technologies to achieve collective intelligence are essential to this process. In order to better understand evolving demands of labor resources, existing research regarding worker/technology interactions for firm performance must be implemented and adapted to the changing market. This paper provides a conceptual research model enabling organizations to better understand the integration of worker/team attributes with collaboration modes, information resources and augmented technologies that yield effective collective intelligence for decision-making. Design/methodology/approach This manuscript includes a literature review on worker/team attributes interfacing with various technology platforms and the creation of collective intelligence. It then reviews complementary research including leadership elements for organizational outcomes and introduces more current work involving a digital transformation. The literature review provides the underpinnings for a conceptual model that incorporates essential elements for the creation of collective intelligence for decision-making and adds factors that are relevant for digital transformations. These elements include augmented technologies including cognitive technologies, collaborative platforms and worker attributes (skills, social sensitivity, leadership) all of which illustrate components of intellectual capital. Findings The paper summarizes key findings of existing research in worker/team interactions with technology platforms on organizational performance and provides an applied, conceptual research model incorporating these findings, along with new elements in the digital era for better identifying new worker requirements. Originality/value The value of this work is the introduction of an applied conceptual model based on established literature findings that includes new technologies (e.g. cognitive technologies), collaboration modes and worker/team attributes to address the requirements of the evolving knowledge worker in the digital era. It provides a framework to better understand more optimal resource allocations for the creation of collective intelligence and integrates the model components within an intellectual capital framework."/>
    <s v="[Kudyba, Stephan; Fjermestad, Jerry] NJIT, Newark, NJ 07102 USA; [Davenport, Thomas] Babson Coll, Wellesley, MA USA"/>
    <s v="New Jersey Institute of Technology; Babson College"/>
    <s v="Kudyba, S (corresponding author), NJIT, Newark, NJ 07102 USA."/>
    <s v="Stephan.P.Kudyba@njit.edu; fjermestad@yahoo.com; TDavenport@babson.edu"/>
    <s v=""/>
    <s v=""/>
    <s v=""/>
    <s v=""/>
    <s v=""/>
    <s v=""/>
    <n v="57"/>
    <n v="18"/>
    <n v="18"/>
    <n v="1"/>
    <n v="56"/>
    <s v="EMERALD GROUP PUBLISHING LTD"/>
    <s v="BINGLEY"/>
    <s v="HOWARD HOUSE, WAGON LANE, BINGLEY BD16 1WA, W YORKSHIRE, ENGLAND"/>
    <s v="1469-1930"/>
    <s v="1758-7468"/>
    <s v=""/>
    <s v="J INTELLECT CAP"/>
    <s v="J. Intellect. Cap."/>
    <s v="NOV 9"/>
    <n v="2020"/>
    <n v="21"/>
    <n v="6"/>
    <s v=""/>
    <s v=""/>
    <s v=""/>
    <s v=""/>
    <n v="835"/>
    <n v="851"/>
    <s v=""/>
    <s v="10.1108/JIC-05-2019-0130"/>
    <s v="http://dx.doi.org/10.1108/JIC-05-2019-0130"/>
    <s v=""/>
    <s v="APR 2020"/>
    <n v="17"/>
    <s v="Business; Management"/>
    <x v="0"/>
    <s v="Business &amp; Economics"/>
    <s v="NW7SA"/>
    <s v=""/>
    <s v=""/>
    <s v=""/>
    <s v=""/>
    <s v="2023-11-15"/>
    <x v="95"/>
    <s v="View Full Record in Web of Science"/>
  </r>
  <r>
    <s v="J"/>
    <s v="Mhlungu, NSM; Chen, JYJ; Alkema, P"/>
    <s v=""/>
    <s v=""/>
    <s v=""/>
    <s v="Mhlungu, Ntandoyethu S. M.; Chen, Jeff Y. J.; Alkema, Peter"/>
    <s v=""/>
    <s v=""/>
    <s v="The underlying factors of a successful organisational digital transformation"/>
    <s v="SOUTH AFRICAN JOURNAL OF INFORMATION MANAGEMENT"/>
    <s v=""/>
    <s v=""/>
    <s v="English"/>
    <x v="0"/>
    <s v=""/>
    <s v=""/>
    <s v=""/>
    <s v=""/>
    <s v=""/>
    <s v="Digital transformation; organisational transformation; innovation; digital strategy; organisational digital transformation assessement"/>
    <s v="EXPLORATORY FACTOR-ANALYSIS; STRATEGY; PERFORMANCE; INNOVATION; GUIDE"/>
    <s v="Background: Organisational digital transformation (ODT) is a field of growing interest in practice and academia. Further, a disparity between how information technology (IT) leaders and non-IT leaders perceive the factors leading to successful ODT initiatives has been cited. A set of empirically tested ODT assessment instruments will enhance leaders' decision-making when implementing ODT initiatives. Objectives: This research attempts to: (1) identify the key internal factors of successful ODT initiatives; and (2) confirm whether there is, as has been suggested, a difference between the way IT managers and non-IT managers perceive these factors. Method: A questionnaire consisting of 36 potential underlying factors was formulated, based on the existing literature and additional insights. A prescreening process ensured each survey participant met the selection criteria. From a total of 95 participants who completed the survey, 45 were IT executives and 50 were non-IT executives. Quantitative analyses were conducted to identify the key underlying factors and ascertain whether IT and non-IT leaders hold differing perceptions of these factors. Results: Factor analysis identified four categories of factors of a successful ODT initiative: (1) customer centricity, (2) governance, (3) innovation and (4) resource attainment. Further, the analysis revealed that IT and non-IT managers hold similar perceptions on the key factors affecting the overall ODT success. Conclusion: This research provides empirical evidence that paves the way towards a reliable ODT assessment instrument and refutes claims that IT and non-IT leaders hold contrasting views on these factors."/>
    <s v="[Mhlungu, Ntandoyethu S. M.; Chen, Jeff Y. J.] Univ Pretoria, Gordon Inst Business Sci, Johannesburg, South Africa; [Alkema, Peter] First Natl Bank, Business Banking Div, Johannesburg, South Africa"/>
    <s v="University of Pretoria"/>
    <s v="Chen, JYJ (corresponding author), Univ Pretoria, Gordon Inst Business Sci, Johannesburg, South Africa."/>
    <s v="chenj@gibs.co.za"/>
    <s v=""/>
    <s v="Mhlungu, Ntandoyethu/0000-0002-1491-049X"/>
    <s v=""/>
    <s v=""/>
    <s v=""/>
    <s v=""/>
    <n v="44"/>
    <n v="18"/>
    <n v="18"/>
    <n v="12"/>
    <n v="72"/>
    <s v="AOSIS"/>
    <s v="Durbanville"/>
    <s v="Postnet Suite 110, Private Bag x 19, Durbanville, SOUTH AFRICA"/>
    <s v="2078-1865"/>
    <s v="1560-683X"/>
    <s v=""/>
    <s v="S AFR J INFORM MANAG"/>
    <s v="S. Afr. J. Inform. Manag."/>
    <s v="APR 30"/>
    <n v="2019"/>
    <n v="21"/>
    <n v="1"/>
    <s v=""/>
    <s v=""/>
    <s v=""/>
    <s v=""/>
    <s v=""/>
    <s v=""/>
    <s v="a995"/>
    <s v="10.4102/sajim.v21i1.995"/>
    <s v="http://dx.doi.org/10.4102/sajim.v21i1.995"/>
    <s v=""/>
    <s v=""/>
    <n v="10"/>
    <s v="Information Science &amp; Library Science"/>
    <x v="3"/>
    <s v="Information Science &amp; Library Science"/>
    <s v="HX6XO"/>
    <s v=""/>
    <s v="gold, Green Submitted"/>
    <s v=""/>
    <s v=""/>
    <s v="2023-11-15"/>
    <x v="96"/>
    <s v="View Full Record in Web of Science"/>
  </r>
  <r>
    <s v="J"/>
    <s v="Kontic, L; Vidicki, D"/>
    <s v=""/>
    <s v=""/>
    <s v=""/>
    <s v="Kontic, Ljiljana; Vidicki, Dorde"/>
    <s v=""/>
    <s v=""/>
    <s v="Strategy for Digital Organization: Testing a Measurement Tool for Digital Transformation"/>
    <s v="STRATEGIC MANAGEMENT"/>
    <s v=""/>
    <s v=""/>
    <s v="English"/>
    <x v="0"/>
    <s v=""/>
    <s v=""/>
    <s v=""/>
    <s v=""/>
    <s v=""/>
    <s v="Digital organization; strategy; digital dexterity; transformation; organizational culture"/>
    <s v=""/>
    <s v="Proactive leadership and investment are the key factors that determine a company's potential to become a digital organization. Based on the analysis of relevant literature, we will introduce a four-stage model. The companies are progressing through stalling, initiating, engaging and self-reinforcement stage. The main research question is: How to assess an organization's readiness for digital transformation? The main aim of this study is to propose the digital strategy based on four critical dimensions such as digital-first mindset, digital practices, empowered talent and data access and collaboration tools. The questionnaire comprised 32 questions to assess organization's position across aforementioned dimensions. Regarding different characteristics of national culture, the construct validity of research methodology developed in one society will be investigated for a Serbian sample. The sample consisted of 30 managers in one company. The research findings revealed possible practical implementation of an adapted questionnaire used by MIT Centre for Digital Business and Capgemini Consulting. The findings add to the existing literature on digital strategies in cross-cultural organizational contexts. The research findings revealed that an analyzed company redesigned organization as well as investment significantly in technology. The practical implementation and study limitation are suggested too."/>
    <s v="[Kontic, Ljiljana] Union Univ Novi Sad, Fac Legal &amp; Business Studies Dr Lazar Vrkatic, Novi Sad, Serbia; [Vidicki, Dorde] Govt Vojvodina Novi Sad, Novi Sad, Serbia"/>
    <s v=""/>
    <s v="Kontic, L (corresponding author), Fac Legal &amp; Business Studies Dr Lazar Vrkatic, Bulevar Oslobodenja 76, Novi Sad 21000, Serbia."/>
    <s v="ljiljana.kontic@yahoo.com"/>
    <s v="Kontic, Ljiljana/GPX-1477-2022"/>
    <s v=""/>
    <s v=""/>
    <s v=""/>
    <s v=""/>
    <s v=""/>
    <n v="16"/>
    <n v="18"/>
    <n v="19"/>
    <n v="24"/>
    <n v="187"/>
    <s v="UNIV NOVI SAD, FAC ECONOMICS SUBOTICA"/>
    <s v="SUBOTICA"/>
    <s v="SEGEDINSKI PUT 9-11, SUBOTICA, 24000, SERBIA"/>
    <s v="1821-3448"/>
    <s v="2334-6191"/>
    <s v=""/>
    <s v="STRATEG MANAG"/>
    <s v="Strateg. Manag."/>
    <s v=""/>
    <n v="2018"/>
    <n v="23"/>
    <n v="1"/>
    <s v=""/>
    <s v=""/>
    <s v=""/>
    <s v=""/>
    <n v="29"/>
    <n v="35"/>
    <s v=""/>
    <s v="10.5937/StraMan1801029K"/>
    <s v="http://dx.doi.org/10.5937/StraMan1801029K"/>
    <s v=""/>
    <s v=""/>
    <n v="7"/>
    <s v="Management"/>
    <x v="3"/>
    <s v="Business &amp; Economics"/>
    <s v="GC9GI"/>
    <s v=""/>
    <s v="Green Submitted, gold"/>
    <s v=""/>
    <s v=""/>
    <s v="2023-11-15"/>
    <x v="97"/>
    <s v="View Full Record in Web of Science"/>
  </r>
  <r>
    <s v="J"/>
    <s v="Flew, T"/>
    <s v=""/>
    <s v=""/>
    <s v=""/>
    <s v="Flew, Terry"/>
    <s v=""/>
    <s v=""/>
    <s v="Rethinking Public Service Media and Citizenship: Digital Strategies for News and Current Affairs at Australia's Special Broadcasting Service"/>
    <s v="INTERNATIONAL JOURNAL OF COMMUNICATION"/>
    <s v=""/>
    <s v=""/>
    <s v="English"/>
    <x v="0"/>
    <s v=""/>
    <s v=""/>
    <s v=""/>
    <s v=""/>
    <s v=""/>
    <s v=""/>
    <s v=""/>
    <s v="This article considers the concept of media citizenship in relation to the digital strategies of the Special Broadcasting Service (SBS). At SBS, Australia's multicultural public broadcaster, there is a critical appraisal of its strategies to harness user-created content (UCC) and social media to promote greater audience participation through its news and current affairs Web sites. The article looks at the opportunities and challenges that user-created content presents for public service media organizations as they consolidate multiplatform service delivery. Also analyzed are the implications of radio and television broadcasters' moves to develop online services. It is proposed that case study methodologies enable an understanding of media citizenship to be developed that maintains a focus on the interaction between delivery technologies, organizational structures and cultures, and program content that is essential for understanding the changing focus of 21st-century public service media."/>
    <s v="Queensland Univ Technol, Brisbane, Qld 4001, Australia"/>
    <s v="Queensland University of Technology (QUT)"/>
    <s v="Flew, T (corresponding author), Queensland Univ Technol, Brisbane, Qld 4001, Australia."/>
    <s v="t.flew@qut.edu.au"/>
    <s v="Flew, Terry/I-9738-2012"/>
    <s v="Flew, Terry/0000-0003-4485-9338"/>
    <s v=""/>
    <s v=""/>
    <s v=""/>
    <s v=""/>
    <n v="54"/>
    <n v="18"/>
    <n v="18"/>
    <n v="0"/>
    <n v="13"/>
    <s v="USC ANNENBERG PRESS"/>
    <s v="LOS ANGELES"/>
    <s v="UNIV SOUTHERN CALIFORNIA, KERCKHOFF HALL, 734 W ADAMS BLVD, MC7725, LOS ANGELES, CA 90089 USA"/>
    <s v="1932-8036"/>
    <s v=""/>
    <s v=""/>
    <s v="INT J COMMUN-US"/>
    <s v="Int. J. Commun."/>
    <s v=""/>
    <n v="2011"/>
    <n v="5"/>
    <s v=""/>
    <s v=""/>
    <s v=""/>
    <s v=""/>
    <s v=""/>
    <n v="215"/>
    <n v="232"/>
    <s v=""/>
    <s v=""/>
    <s v=""/>
    <s v=""/>
    <s v=""/>
    <n v="18"/>
    <s v="Communication"/>
    <x v="0"/>
    <s v="Communication"/>
    <s v="877ZN"/>
    <s v=""/>
    <s v=""/>
    <s v=""/>
    <s v=""/>
    <s v="2023-11-15"/>
    <x v="98"/>
    <s v="View Full Record in Web of Science"/>
  </r>
  <r>
    <s v="J"/>
    <s v="Yu, HL; Fletcher, M; Buck, T"/>
    <s v=""/>
    <s v=""/>
    <s v=""/>
    <s v="Yu, Honglan; Fletcher, Margaret; Buck, Trevor"/>
    <s v=""/>
    <s v=""/>
    <s v="Managing digital transformation during re-internationalization: Trajectories and implications for performance"/>
    <s v="JOURNAL OF INTERNATIONAL MANAGEMENT"/>
    <s v=""/>
    <s v=""/>
    <s v="English"/>
    <x v="0"/>
    <s v=""/>
    <s v=""/>
    <s v=""/>
    <s v=""/>
    <s v=""/>
    <s v="Re-internationalization; Digital transformation; Internationalized SMEs; International performance"/>
    <s v="DYNAMIC CAPABILITIES; KNOWLEDGE ACQUISITION; RETROSPECTIVE REPORTS; MARKET REENTRY; UPPSALA MODEL; BUSINESS; FIRMS; EXPLORATION; TECHNOLOGY; MANAGEMENT"/>
    <s v="This paper contributes to our theoretical understanding of how SMEs digitally transform during re-internationalization. We conducted qualitative, multiple-case studies into reinternationalization processes across 11 Chinese international SMEs. Using inductive data analysis, we identify two types of digital transformation, operational and strategic, and trajectories during re-internationalization. The complexity of digital transformation in re-internationalization is delineated by the intricate tensions between strategic digital transformation and new product development. Firm re-internationalization performance can plausibly be differentiated by how these tensions are managed."/>
    <s v="[Yu, Honglan] Univ Huddersfield, Huddersfield Business Sch, Huddersfield HD1 3DH, W Yorkshire, England; [Fletcher, Margaret; Buck, Trevor] Univ Glasgow, Adam Smith Business Sch, Gilbert Scott Bldg, Glasgow G12 8QQ, Lanark, Scotland"/>
    <s v="University of Huddersfield; University of Glasgow"/>
    <s v="Yu, HL (corresponding author), Univ Huddersfield, Huddersfield Business Sch, Huddersfield HD1 3DH, W Yorkshire, England."/>
    <s v="H.Yu2@hud.ac.uk; Margaret.Fletcher@glasgow.ac.uk; Trevor.Buck@glasgow.ac.uk"/>
    <s v="Fletcher, Margaret/HNQ-5888-2023; N'Dri, Amoin Bernadine/IWD-7811-2023"/>
    <s v="Yu, Honglan/0000-0002-1492-4250"/>
    <s v=""/>
    <s v=""/>
    <s v=""/>
    <s v=""/>
    <n v="132"/>
    <n v="17"/>
    <n v="17"/>
    <n v="29"/>
    <n v="152"/>
    <s v="ELSEVIER"/>
    <s v="AMSTERDAM"/>
    <s v="RADARWEG 29, 1043 NX AMSTERDAM, NETHERLANDS"/>
    <s v="1075-4253"/>
    <s v="1873-0620"/>
    <s v=""/>
    <s v="J INT MANAG"/>
    <s v="J. Int. Manag."/>
    <s v="DEC"/>
    <n v="2022"/>
    <n v="28"/>
    <n v="4"/>
    <s v=""/>
    <s v=""/>
    <s v=""/>
    <s v=""/>
    <s v=""/>
    <s v=""/>
    <n v="100947"/>
    <s v="10.1016/j.intman.2022.100947"/>
    <s v="http://dx.doi.org/10.1016/j.intman.2022.100947"/>
    <s v=""/>
    <s v="MAR 2022"/>
    <n v="22"/>
    <s v="Management"/>
    <x v="0"/>
    <s v="Business &amp; Economics"/>
    <s v="1C4UL"/>
    <s v=""/>
    <s v="hybrid, Green Accepted"/>
    <s v=""/>
    <s v=""/>
    <s v="2023-11-15"/>
    <x v="99"/>
    <s v="View Full Record in Web of Science"/>
  </r>
  <r>
    <s v="J"/>
    <s v="Ding, DF; Zhang, RL"/>
    <s v=""/>
    <s v=""/>
    <s v=""/>
    <s v="Ding, Difeng; Zhang, Ruilian"/>
    <s v=""/>
    <s v=""/>
    <s v="China's COVID-19 Control Strategy and Its Impact on the Global Pandemic"/>
    <s v="FRONTIERS IN PUBLIC HEALTH"/>
    <s v=""/>
    <s v=""/>
    <s v="English"/>
    <x v="0"/>
    <s v=""/>
    <s v=""/>
    <s v=""/>
    <s v=""/>
    <s v=""/>
    <s v="COVID-19; control strategy; challenges; equity; global pandemic"/>
    <s v="HEALTH-CARE"/>
    <s v="Public health crises are challenging for governments and health systems, and coronavirus disease 2019 (COVID-19) has presented huge challenges to humans worldwide. In the context of COVID-19 in China, we explore China's control strategies and challenges. Our analysis examines seven strategies: digital technology pandemic prevention, zero-case policy, all-staff nucleic acid testing, all-staff vaccinations, the long-term quarantine system, and the official accountability system. Additionally, it considers three challenges: repeated pandemic waves, increased downward pressure on the economy and social exhaustion. We identify the causes of these challenges, including social and natural factors, and the controls put in place. We contend that China's control strategies slowed the spread of the global pandemic and that Chinese vaccines have promoted global vaccine equity."/>
    <s v="[Ding, Difeng] Hohai Univ, Sch Marxism, Nanjing, Peoples R China; [Zhang, Ruilian] Univ Queensland, Sustainable Minerals Inst, Brisbane, Qld, Australia"/>
    <s v="Hohai University; University of Queensland"/>
    <s v="Zhang, RL (corresponding author), Univ Queensland, Sustainable Minerals Inst, Brisbane, Qld, Australia."/>
    <s v="ruilian.zhang@uq.edu.au"/>
    <s v="Zhang, Ruilian/N-4087-2017"/>
    <s v="Zhang, Ruilian/0000-0001-5064-1226"/>
    <s v=""/>
    <s v=""/>
    <s v=""/>
    <s v=""/>
    <n v="45"/>
    <n v="17"/>
    <n v="18"/>
    <n v="6"/>
    <n v="49"/>
    <s v="FRONTIERS MEDIA SA"/>
    <s v="LAUSANNE"/>
    <s v="AVENUE DU TRIBUNAL FEDERAL 34, LAUSANNE, CH-1015, SWITZERLAND"/>
    <s v=""/>
    <s v="2296-2565"/>
    <s v=""/>
    <s v="FRONT PUBLIC HEALTH"/>
    <s v="Front. Public Health"/>
    <s v="MAR 14"/>
    <n v="2022"/>
    <n v="10"/>
    <s v=""/>
    <s v=""/>
    <s v=""/>
    <s v=""/>
    <s v=""/>
    <s v=""/>
    <s v=""/>
    <n v="857003"/>
    <s v="10.3389/fpubh.2022.857003"/>
    <s v="http://dx.doi.org/10.3389/fpubh.2022.857003"/>
    <s v=""/>
    <s v=""/>
    <n v="10"/>
    <s v="Public, Environmental &amp; Occupational Health"/>
    <x v="1"/>
    <s v="Public, Environmental &amp; Occupational Health"/>
    <s v="0H1RG"/>
    <n v="35359767"/>
    <s v="gold, Green Published"/>
    <s v=""/>
    <s v=""/>
    <s v="2023-11-15"/>
    <x v="100"/>
    <s v="View Full Record in Web of Science"/>
  </r>
  <r>
    <s v="J"/>
    <s v="McCarthy, P; Sammon, D; Alhassan, I"/>
    <s v=""/>
    <s v=""/>
    <s v=""/>
    <s v="McCarthy, Patrick; Sammon, David; Alhassan, Ibrahim"/>
    <s v=""/>
    <s v=""/>
    <s v="Digital Transformation Leadership Characteristics: a Literature Analysis"/>
    <s v="JOURNAL OF DECISION SYSTEMS"/>
    <s v=""/>
    <s v=""/>
    <s v="English"/>
    <x v="0"/>
    <s v=""/>
    <s v=""/>
    <s v=""/>
    <s v=""/>
    <s v=""/>
    <s v="Digital transformation; leadership; open coding; literature analysis; taxonomy; c-suite"/>
    <s v=""/>
    <s v="Digital Transformation has generated much research and curiosity recently, with the COVID-19 global pandemic accelerating its pace across all industry sectors. Current literature has not adequately provided a comprehensive understanding of Digital Transformation Leadership (DTL). The objective of this research is to explore the characteristics of DTL by undertaking a comprehensive review of Information Systems literature using a systematic procedure of identifying and coding 87 research papers, resulting in 600 coded excerpts, capturing the 'who' and 'what' of DTL. Our analysis identifies eight DTL characteristics, namely: digital strategist, digital culturalist, digital architect, customer centrist, organisational agilist, data advocate, business process optimiser and digital workplace landscaper. We discuss mapping the DTL characteristics to c-suite roles, presenting a taxonomy from the literature, of interest to both academics and practitioners. This research raises the awareness of the concept of DTL characteristics, especially amongst those in positions of leadership and decision making authority."/>
    <s v="[McCarthy, Patrick] Munster Technol Univ Cork, Dept Comp Sci, Munster, Ireland; [Sammon, David] Cork Univ, Business Sch, Univ Coll Cork, Dept Business Informat Syst, Cork, Ireland; [Alhassan, Ibrahim] Saudi Elect Univ, E Commerce Dept, Riyadh, Saudi Arabia"/>
    <s v="University College Cork; Saudi Electronic University"/>
    <s v="McCarthy, P (corresponding author), Cork Univ, Business Sch, Univ Coll Cork, Cork, Ireland."/>
    <s v="pat.mccarthy@cit.ie"/>
    <s v=""/>
    <s v="Sammon, David/0000-0001-6138-0105; Alhassan, Ibrahim/0000-0002-3118-0855"/>
    <s v=""/>
    <s v=""/>
    <s v=""/>
    <s v=""/>
    <n v="89"/>
    <n v="17"/>
    <n v="17"/>
    <n v="14"/>
    <n v="97"/>
    <s v="TAYLOR &amp; FRANCIS LTD"/>
    <s v="ABINGDON"/>
    <s v="2-4 PARK SQUARE, MILTON PARK, ABINGDON OR14 4RN, OXON, ENGLAND"/>
    <s v="1246-0125"/>
    <s v="2116-7052"/>
    <s v=""/>
    <s v="J DECIS SYST"/>
    <s v="J. Decis. Syst."/>
    <s v="DEC 21"/>
    <n v="2022"/>
    <n v="32"/>
    <n v="1"/>
    <s v=""/>
    <s v=""/>
    <s v=""/>
    <s v=""/>
    <n v="79"/>
    <n v="109"/>
    <s v=""/>
    <s v="10.1080/12460125.2021.1908934"/>
    <s v="http://dx.doi.org/10.1080/12460125.2021.1908934"/>
    <s v=""/>
    <s v="APR 2021"/>
    <n v="31"/>
    <s v="Operations Research &amp; Management Science"/>
    <x v="3"/>
    <s v="Operations Research &amp; Management Science"/>
    <s v="N7XG5"/>
    <s v=""/>
    <s v=""/>
    <s v=""/>
    <s v=""/>
    <s v="2023-11-15"/>
    <x v="101"/>
    <s v="View Full Record in Web of Science"/>
  </r>
  <r>
    <s v="J"/>
    <s v="Meessen, B"/>
    <s v=""/>
    <s v=""/>
    <s v=""/>
    <s v="Meessen, Bruno"/>
    <s v=""/>
    <s v=""/>
    <s v="The Role of Digital Strategies in Financing Health Care for Universal Health Coverage in Low- and Middle-Income Countries"/>
    <s v="GLOBAL HEALTH-SCIENCE AND PRACTICE"/>
    <s v=""/>
    <s v=""/>
    <s v="English"/>
    <x v="0"/>
    <s v=""/>
    <s v=""/>
    <s v=""/>
    <s v=""/>
    <s v=""/>
    <s v=""/>
    <s v="INTERVENTIONS; PERFORMANCE; PROTECTION; INSURANCE; FRAMEWORK; ACCESS"/>
    <s v="Countries finance health care using a combination of 3 main functions: raising resources for health, pooling resources, and purchasing health services. In this paper, we examine how digital health technologies can be used to enhance these health financing functions in low- and middle-income countries and can thus contribute to progress toward universal health coverage. We illustrate our points by presenting some recent innovations in digital technologies for financing health care, identifying their contributions and their limits. Some examples include a mobile-health wallet application used in Kenya that encourages households to put money aside for future health expenses; an online software platform developed by a startup in Tanzania in partnership with a private insurance provider to give individuals and families the opportunity to choose among different health coverage options; and digital maps by a number of start-ups that bring together data on health facility locations and capacity, including equipment, staff, and types of services offered. We also sketch an agenda for future research and action for digital strategies for health financing. The development and adoption of effective solutions that align well with the universal health coverage agenda will require strong partnerships between stakeholders and enough proactive stewardship by authorities."/>
    <s v="[Meessen, Bruno] Inst Trop Med, Antwerp, Belgium"/>
    <s v="Institute of Tropical Medicine (ITM)"/>
    <s v="Meessen, B (corresponding author), Inst Trop Med, Antwerp, Belgium."/>
    <s v="bmeessen@itg.be"/>
    <s v="owoyele, babajide/AAD-7054-2020"/>
    <s v="owoyele, babajide/0000-0002-3688-5248; Meessen, Bruno/0000-0002-0359-8621"/>
    <s v="Aetna Foundation; World Health Organization; Johns Hopkins University Global mHealth Initiative"/>
    <s v="Aetna Foundation; World Health Organization(World Health Organization); Johns Hopkins University Global mHealth Initiative"/>
    <s v="This work was made possible by a grant from the Aetna Foundation, with support from the World Health Organization and The Johns Hopkins University Global mHealth Initiative."/>
    <s v=""/>
    <n v="47"/>
    <n v="17"/>
    <n v="17"/>
    <n v="7"/>
    <n v="33"/>
    <s v="US AGENCY INT DEVELOPMENT-USAID"/>
    <s v="BALTIMORE"/>
    <s v="US AGENCY INT DEVELOPMENT-USAID, BALTIMORE, MD 00000 USA"/>
    <s v="2169-575X"/>
    <s v=""/>
    <s v=""/>
    <s v="GLOB HEALTH-SCI PRAC"/>
    <s v="Glob. Health"/>
    <s v="OCT 10"/>
    <n v="2018"/>
    <n v="6"/>
    <s v=""/>
    <s v=""/>
    <n v="1"/>
    <s v=""/>
    <s v=""/>
    <s v="S29"/>
    <s v="S40"/>
    <s v=""/>
    <s v="10.9745/GHSP-D-18-00271"/>
    <s v="http://dx.doi.org/10.9745/GHSP-D-18-00271"/>
    <s v=""/>
    <s v=""/>
    <n v="12"/>
    <s v="Public, Environmental &amp; Occupational Health"/>
    <x v="1"/>
    <s v="Public, Environmental &amp; Occupational Health"/>
    <s v="HU0TY"/>
    <n v="30305337"/>
    <s v="Green Published, gold"/>
    <s v=""/>
    <s v=""/>
    <s v="2023-11-15"/>
    <x v="102"/>
    <s v="View Full Record in Web of Science"/>
  </r>
  <r>
    <s v="J"/>
    <s v="Rodríguez-Andrés, R"/>
    <s v=""/>
    <s v=""/>
    <s v=""/>
    <s v="Rodriguez-Andres, Roberto"/>
    <s v=""/>
    <s v=""/>
    <s v="Trump 2016: ?President Elected Thanks to Social Media?"/>
    <s v="PALABRA CLAVE"/>
    <s v=""/>
    <s v=""/>
    <s v="English"/>
    <x v="0"/>
    <s v=""/>
    <s v=""/>
    <s v=""/>
    <s v=""/>
    <s v=""/>
    <s v="Social media; Internet; Twitter; Facebook; Trump; political communication"/>
    <s v="TWITTER; CLINTON; AGE"/>
    <s v="The Internet and social media, particularly Twitter and Facebook, have been identified as one of the factors that contributed to Donald Trump's triumph in the United States presidential elections of 2016. In this paper, we describe how the Republican candidate used social media and what his digital strategies were, after directly monitoring the campaign and reviewing journalistic information, as well as the analysis of the academic research carried out so far. Based on this review, it is possible to conclude that social media played a significant role in these elections, expanding its power of influence as compared to the previous elections of 2008 and 2012, when Obama used them extensively, and which Trump used better than Hillary Clinton to move his priority audience, to discourage his rival's audience, and to send his messages, thus making it an important part of his victory. It is also concluded, however, that it is wrong to say that social themselves were the main reason for the Republican candidate's success, as there are other substantial reasons to his triumph which are linked to the socio-political context in which these elections took place."/>
    <s v="[Rodriguez-Andres, Roberto] Univ Pontificia Comilla, Madrid, Spain"/>
    <s v="Comillas Pontifical University"/>
    <s v="Rodríguez-Andrés, R (corresponding author), Univ Pontificia Comilla, Madrid, Spain."/>
    <s v="rrodrigueza@comillas.edu"/>
    <s v="Rodríguez-Andrés, Roberto/AAA-9002-2019; ANDRÉS, Roberto RODRÍGUEZ/A-1346-2014"/>
    <s v="Rodríguez-Andrés, Roberto/0000-0003-4262-8237; ANDRÉS, Roberto RODRÍGUEZ/0000-0003-4262-8237"/>
    <s v=""/>
    <s v=""/>
    <s v=""/>
    <s v=""/>
    <n v="81"/>
    <n v="17"/>
    <n v="18"/>
    <n v="0"/>
    <n v="57"/>
    <s v="UNIV SABANA, FAC COMUNICACION"/>
    <s v="CUNDINAMARCA"/>
    <s v="CAMPUS PUENTE COMUN, KM 7, AUTOPISTA NORTE BOGOTA CHIA, CUNDINAMARCA, 00000, COLOMBIA"/>
    <s v="0122-8285"/>
    <s v="2027-534X"/>
    <s v=""/>
    <s v="PALABRA CLAVE"/>
    <s v="Palabra Clave"/>
    <s v="SEP"/>
    <n v="2018"/>
    <n v="21"/>
    <n v="3"/>
    <s v=""/>
    <s v=""/>
    <s v=""/>
    <s v=""/>
    <n v="831"/>
    <n v="859"/>
    <s v=""/>
    <s v="10.5294/pacla.2018.21.3.8"/>
    <s v="http://dx.doi.org/10.5294/pacla.2018.21.3.8"/>
    <s v=""/>
    <s v=""/>
    <n v="29"/>
    <s v="Communication"/>
    <x v="3"/>
    <s v="Communication"/>
    <s v="GK6HE"/>
    <s v=""/>
    <s v="Green Submitted, gold, Green Published"/>
    <s v=""/>
    <s v=""/>
    <s v="2023-11-15"/>
    <x v="103"/>
    <s v="View Full Record in Web of Science"/>
  </r>
  <r>
    <s v="J"/>
    <s v="Pettersson, K; Sakki, I"/>
    <s v=""/>
    <s v=""/>
    <s v=""/>
    <s v="Pettersson, Katarina; Sakki, Inari"/>
    <s v=""/>
    <s v=""/>
    <s v="Pray for the fatherland! Discursive and digital strategies at play in nationalist political blogging"/>
    <s v="QUALITATIVE RESEARCH IN PSYCHOLOGY"/>
    <s v=""/>
    <s v=""/>
    <s v="English"/>
    <x v="0"/>
    <s v=""/>
    <s v=""/>
    <s v=""/>
    <s v=""/>
    <s v=""/>
    <s v="Nationalism; persuasion; political blogs; political communication; qualitative research"/>
    <s v="EXTREME-RIGHT; CONSTRUCTION; ONLINE; RACISM; OPPORTUNITIES; PREJUDICE; RACE"/>
    <s v="Political blogs have come to constitute important channels for expressing nationalist and anti-immigration political views. The new forms that this rhetoric may take, comprising an intricate intermingling of verbal, digital, (audio-)visual, and communicative elements, present challenges for qualitative research. In this article we propose a way for analysing this new nationalist political discourse from a qualitative social psychological perspective. The suggested approach combines analytical procedures form critical discursive and rhetorical psychology with social semiotic and rhetorical studies of images, completed with analytical tools and concepts from narrative psychology and research into online political communication. Using two empirical examples of nationalist and anti-immigration political blog-entries written during the 2015 refugee crisis, we show this approach enables the researcher to adequately study how such political messages are conveyed through the multitude of elements provided by the blogs. In so doing, our ultimate goal is to contribute to the analytical capacity of qualitative social psychological research into contemporary political communication and persuasion."/>
    <s v="[Pettersson, Katarina; Sakki, Inari] Univ Helsinki, Dept Social Res, Social Psychol, Helsinki, Finland"/>
    <s v="University of Helsinki"/>
    <s v="Pettersson, K (corresponding author), Univ Helsinki, Dept Social Res, POB 54, FIN-00014 Helsinki, Finland."/>
    <s v="katarina.pettersson@helsinki.fi"/>
    <s v=""/>
    <s v="Pettersson, Katarina/0000-0001-8336-9505"/>
    <s v="Kulttuurin ja Yhteiskunnan Tutkimuksen Toimikunta, Suomen Akatemia [252141]; Academy of Finland (AKA) [252141] Funding Source: Academy of Finland (AKA)"/>
    <s v="Kulttuurin ja Yhteiskunnan Tutkimuksen Toimikunta, Suomen Akatemia; Academy of Finland (AKA)(Research Council of Finland)"/>
    <s v="The authors received funding from Kulttuurin ja Yhteiskunnan Tutkimuksen Toimikunta, Suomen Akatemia, grant number 252141."/>
    <s v=""/>
    <n v="93"/>
    <n v="17"/>
    <n v="17"/>
    <n v="0"/>
    <n v="14"/>
    <s v="ROUTLEDGE JOURNALS, TAYLOR &amp; FRANCIS LTD"/>
    <s v="ABINGDON"/>
    <s v="2-4 PARK SQUARE, MILTON PARK, ABINGDON OX14 4RN, OXON, ENGLAND"/>
    <s v="1478-0887"/>
    <s v="1478-0895"/>
    <s v=""/>
    <s v="QUAL RES PSYCHOL"/>
    <s v="Qual. Res. Psychol."/>
    <s v=""/>
    <n v="2017"/>
    <n v="14"/>
    <n v="3"/>
    <s v=""/>
    <s v=""/>
    <s v=""/>
    <s v=""/>
    <n v="315"/>
    <n v="349"/>
    <s v=""/>
    <s v="10.1080/14780887.2017.1290177"/>
    <s v="http://dx.doi.org/10.1080/14780887.2017.1290177"/>
    <s v=""/>
    <s v=""/>
    <n v="35"/>
    <s v="Psychology, Multidisciplinary"/>
    <x v="0"/>
    <s v="Psychology"/>
    <s v="EY4BB"/>
    <s v=""/>
    <s v="Green Published, hybrid"/>
    <s v=""/>
    <s v=""/>
    <s v="2023-11-15"/>
    <x v="104"/>
    <s v="View Full Record in Web of Science"/>
  </r>
  <r>
    <s v="J"/>
    <s v="Yarbro, J; McKnight, K; Elliott, S; Kurz, A; Wardlow, L"/>
    <s v=""/>
    <s v=""/>
    <s v=""/>
    <s v="Yarbro, Jessica; McKnight, Katherine; Elliott, Stephen; Kurz, Alexander; Wardlow, Liane"/>
    <s v=""/>
    <s v=""/>
    <s v="Digital Instructional Strategies and Their Role in Classroom Learning"/>
    <s v="JOURNAL OF RESEARCH ON TECHNOLOGY IN EDUCATION"/>
    <s v=""/>
    <s v=""/>
    <s v="English"/>
    <x v="0"/>
    <s v=""/>
    <s v=""/>
    <s v=""/>
    <s v=""/>
    <s v=""/>
    <s v="digital instructional strategy; digital instructional tactic; opportunity to learn"/>
    <s v="OPPORTUNITY; CURRICULUM; STUDENTS"/>
    <s v="Research that examines technology use in the context of daily classroom practices is needed to support the effective digital conversion of classrooms. In this study, 65 seventh-through 10th-grade Mathematics and English Language Arts teachers from six districts across six states logged information about digital strategies they incorporated into their lessons to teach specific academic content standards. We describe six major digital instructional strategies and 16 related instructional tactics that teachers used over the course of a year, and analyze how these strategies relate to opportunity to learn. We found teachers tended to use technology for a variety of strategies with varying degrees of frequency. Technology use was usually viewed as central or essential to instruction. Relationships between technology use and opportunity to learn differed between specific strategies and by subject. A discussion of the study limitations and future research needs is provided."/>
    <s v="[Yarbro, Jessica] George Mason Univ, Dept Psychol, MS 3F5, Fairfax, VA 22030 USA; [McKnight, Katherine] Pearsons Res &amp; Innovat Network, Res, Fairfax, VA USA; [Elliott, Stephen; Kurz, Alexander] Arizona State Univ, T Denny Sanford Sch Social &amp; Family Dynam, Tempe, AZ 85287 USA; [Elliott, Stephen] Australian Catholic Univ, Sydney, NSW, Australia; [Wardlow, Liane] Pearsons Res &amp; Innovat Network, Fairfax, VA USA"/>
    <s v="George Mason University; Arizona State University; Arizona State University-Tempe; Australian Catholic University"/>
    <s v="Yarbro, J (corresponding author), George Mason Univ, Dept Psychol, MS 3F5, Fairfax, VA 22030 USA."/>
    <s v="jyarbro@masonlive.gmu.edu"/>
    <s v=""/>
    <s v="McKnight, Katherine/0000-0002-8760-7408; Kurz, Alexander/0000-0001-6490-025X; , Liane/0000-0002-4111-5280"/>
    <s v=""/>
    <s v=""/>
    <s v=""/>
    <s v=""/>
    <n v="32"/>
    <n v="17"/>
    <n v="18"/>
    <n v="1"/>
    <n v="3"/>
    <s v="ROUTLEDGE JOURNALS, TAYLOR &amp; FRANCIS LTD"/>
    <s v="ABINGDON"/>
    <s v="2-4 PARK SQUARE, MILTON PARK, ABINGDON OX14 4RN, OXON, ENGLAND"/>
    <s v="1539-1523"/>
    <s v="1945-0818"/>
    <s v=""/>
    <s v="J RES TECHNOL EDUC"/>
    <s v="J. Res. Technol. Educ."/>
    <s v=""/>
    <n v="2016"/>
    <n v="48"/>
    <n v="4"/>
    <s v=""/>
    <s v=""/>
    <s v=""/>
    <s v=""/>
    <n v="274"/>
    <n v="289"/>
    <s v=""/>
    <s v="10.1080/15391523.2016.1212632"/>
    <s v="http://dx.doi.org/10.1080/15391523.2016.1212632"/>
    <s v=""/>
    <s v=""/>
    <n v="16"/>
    <s v="Education &amp; Educational Research"/>
    <x v="3"/>
    <s v="Education &amp; Educational Research"/>
    <s v="FD7EF"/>
    <s v=""/>
    <s v=""/>
    <s v=""/>
    <s v=""/>
    <s v="2023-11-15"/>
    <x v="105"/>
    <s v="View Full Record in Web of Science"/>
  </r>
  <r>
    <s v="J"/>
    <s v="Xu, JW; Yu, YB; Zhang, M; Zhang, JZ"/>
    <s v=""/>
    <s v=""/>
    <s v=""/>
    <s v="Xu, Jiawei; Yu, Yubing; Zhang, Min; Zhang, Justin Zuopeng"/>
    <s v=""/>
    <s v=""/>
    <s v="Impacts of digital transformation on eco-innovation and sustainable performance: Evidence from Chinese manufacturing companies"/>
    <s v="JOURNAL OF CLEANER PRODUCTION"/>
    <s v=""/>
    <s v=""/>
    <s v="English"/>
    <x v="0"/>
    <s v=""/>
    <s v=""/>
    <s v=""/>
    <s v=""/>
    <s v=""/>
    <s v="Digital transformation; Eco-innovation; Sustainable performance; Manufacturers"/>
    <s v="INFORMATION-TECHNOLOGY; MEDIATING ROLE; CAPABILITY; MANAGEMENT; FLEXIBILITY"/>
    <s v="Companies actively seek digital transformation to achieve sustainable development in a volatile and uncertain environment. This study investigates the effects of digital transformation (digital strategy and capability) on eco-innovation (eco-process, eco-product, and eco-management innovation) and sustainable performance. The par-tial least squares structural equation modeling is employed for assessing the model using data collected from 210 manufacturing companies in China. We find that digital strategy and digital capability significantly improve eco-process, eco-product and eco-management innovation. Eco-process, eco-product and eco-management innova-tion also improve sustainable performance. Meanwhile, eco-innovation partially mediates the positive rela-tionship between digital transformation and sustainable performance. The results not only enrich the theoretical framework of digital transformation and sustainability but also provide guidelines for achieving sustainable development by implementing digital transformation and eco-innovation."/>
    <s v="[Xu, Jiawei; Yu, Yubing] Zhejiang Wanli Univ, Sch Logist &amp; Ecommerce, Ningbo, Peoples R China; [Zhang, Min] Queens Univ Belfast, Queens Management Sch, Belfast, North Ireland; [Zhang, Justin Zuopeng] Univ North Florida, Coggin Coll Business, Jacksonville, FL USA"/>
    <s v="Zhejiang Wanli University; Queens University Belfast; State University System of Florida; University of North Florida"/>
    <s v="Yu, YB (corresponding author), Zhejiang Wanli Univ, Sch Logist &amp; Ecommerce, Ningbo, Peoples R China."/>
    <s v="jiaweixu2022@126.com; yubing@zwu.edu.cn; m.zhang@qub.ac.uk; justin.zhang@unf.edu"/>
    <s v="Zhang, Justin/M-9298-2019; Yu, Yubing/N-4482-2019"/>
    <s v="Zhang, Justin/0000-0002-4074-9505; Yu, Yubing/0000-0002-0763-9718; Xu, Jiawei/0000-0003-1229-8070; zhang, min/0000-0002-7955-1467"/>
    <s v="Zhejiang Provincial Soft ScienceResearch Project [2022C35087]; Zhejiang Provincial Philosophyand Social Sciences Planning Project [23NDJC245YB]"/>
    <s v="Zhejiang Provincial Soft ScienceResearch Project; Zhejiang Provincial Philosophyand Social Sciences Planning Project"/>
    <s v="Acknowledgments This research was supported by Zhejiang Provincial Soft ScienceResearch Project (# 2022C35087) and Zhejiang Provincial Philosophyand Social Sciences Planning Project (# 23NDJC245YB) , China."/>
    <s v=""/>
    <n v="75"/>
    <n v="16"/>
    <n v="16"/>
    <n v="130"/>
    <n v="146"/>
    <s v="ELSEVIER SCI LTD"/>
    <s v="OXFORD"/>
    <s v="THE BOULEVARD, LANGFORD LANE, KIDLINGTON, OXFORD OX5 1GB, OXON, ENGLAND"/>
    <s v="0959-6526"/>
    <s v="1879-1786"/>
    <s v=""/>
    <s v="J CLEAN PROD"/>
    <s v="J. Clean Prod."/>
    <s v="MAR 20"/>
    <n v="2023"/>
    <n v="393"/>
    <s v=""/>
    <s v=""/>
    <s v=""/>
    <s v=""/>
    <s v=""/>
    <s v=""/>
    <s v=""/>
    <n v="136278"/>
    <s v="10.1016/j.jclepro.2023.136278"/>
    <s v="http://dx.doi.org/10.1016/j.jclepro.2023.136278"/>
    <s v=""/>
    <s v="FEB 2023"/>
    <n v="12"/>
    <s v="Green &amp; Sustainable Science &amp; Technology; Engineering, Environmental; Environmental Sciences"/>
    <x v="2"/>
    <s v="Science &amp; Technology - Other Topics; Engineering; Environmental Sciences &amp; Ecology"/>
    <s v="D1ES6"/>
    <s v=""/>
    <s v=""/>
    <s v=""/>
    <s v=""/>
    <s v="2023-11-15"/>
    <x v="106"/>
    <s v="View Full Record in Web of Science"/>
  </r>
  <r>
    <s v="J"/>
    <s v="Fernandez-Vidal, J; Perotti, FA; Gonzalez, R; Gasco, J"/>
    <s v=""/>
    <s v=""/>
    <s v=""/>
    <s v="Fernandez-Vidal, Jorge; Perotti, Francesco Antonio; Gonzalez, Reyes; Gasco, Jose"/>
    <s v=""/>
    <s v=""/>
    <s v="Managing digital transformation: The view from the top"/>
    <s v="JOURNAL OF BUSINESS RESEARCH"/>
    <s v=""/>
    <s v=""/>
    <s v="English"/>
    <x v="0"/>
    <s v=""/>
    <s v=""/>
    <s v=""/>
    <s v=""/>
    <s v=""/>
    <s v="Digital Transformation; Corporate Transformation; Corporate strategy; Digital strategy; Talent management"/>
    <s v="INNOVATION; BUSINESS; FUTURE; ORGANIZATION; MANAGEMENT; MODEL"/>
    <s v="Digital Transformation is upending businesses everywhere. While there is ample research on this topic, there is a clear gap when it comes to understanding the changing talent management role of senior executives in digital transformation processes and the demands of individual employees. This article relies on 23 in-depth interviews with senior managers who are leading all or some of the digital transformation efforts of their respective or-ganizations. Our research, using a grounded theory approach, identifies four key activities (and 37 sub-activities or themes) stemming from the new managerial needs and talent management practices arising from DT pro-cesses. We branded these key activities Drive business change, Master fluid &amp; loose organizational structures, Master Talent Complexity, and Prioritize learning. This paper aims to provide an overview into the thinking and managerial practices of senior executives in a digital transformation context and complements the limited number of studies that examine the intersection between managerial actions and digital transformation. It also provides a conceptual framework that captures the key managerial demands arising from digital transformation processes and identifies key actions made by senior executives as part of these processes, which can be leveraged by both scholars and practitioners alike."/>
    <s v="[Fernandez-Vidal, Jorge] IE Business Sch, Dept Strategy, Alicante, Spain; [Fernandez-Vidal, Jorge] Univ Alicante, Alicante, Spain; [Perotti, Francesco Antonio] Univ Turin, Dept Management, Turin, Italy; [Gonzalez, Reyes; Gasco, Jose] Univ Alicante, Dept Management, Alicante, Spain"/>
    <s v="IE University; Universitat d'Alacant; University of Turin; Universitat d'Alacant"/>
    <s v="Fernandez-Vidal, J (corresponding author), IE Business Sch, Dept Strategy, Alicante, Spain.;Fernandez-Vidal, J (corresponding author), Univ Alicante, Alicante, Spain."/>
    <s v="jfernandezv@faculty.ie.edu; francescoantonio.perotti@unito.it; mr.gonzalez@ua.es; jl.gasco@ua.es"/>
    <s v="Gascó, José L/L-1794-2014; Celestino, Leandro/HIR-4215-2022; Fernandez Vidal, Jorge/HIZ-5766-2022; Gonzalez-Ramirez, Reyes/L-1893-2014"/>
    <s v="Gascó, José L/0000-0003-2461-7702; Gonzalez-Ramirez, Reyes/0000-0002-9758-7957; Perotti, Francesco Antonio/0000-0002-4719-7774"/>
    <s v=""/>
    <s v=""/>
    <s v=""/>
    <s v=""/>
    <n v="120"/>
    <n v="16"/>
    <n v="16"/>
    <n v="66"/>
    <n v="260"/>
    <s v="ELSEVIER SCIENCE INC"/>
    <s v="NEW YORK"/>
    <s v="STE 800, 230 PARK AVE, NEW YORK, NY 10169 USA"/>
    <s v="0148-2963"/>
    <s v="1873-7978"/>
    <s v=""/>
    <s v="J BUS RES"/>
    <s v="J. Bus. Res."/>
    <s v="NOV"/>
    <n v="2022"/>
    <n v="152"/>
    <s v=""/>
    <s v=""/>
    <s v=""/>
    <s v=""/>
    <s v=""/>
    <n v="29"/>
    <n v="41"/>
    <s v=""/>
    <s v="10.1016/j.jbusres.2022.07.020"/>
    <s v="http://dx.doi.org/10.1016/j.jbusres.2022.07.020"/>
    <s v=""/>
    <s v="JUL 2022"/>
    <n v="13"/>
    <s v="Business"/>
    <x v="0"/>
    <s v="Business &amp; Economics"/>
    <s v="3P9HG"/>
    <s v=""/>
    <s v="hybrid"/>
    <s v=""/>
    <s v=""/>
    <s v="2023-11-15"/>
    <x v="107"/>
    <s v="View Full Record in Web of Science"/>
  </r>
  <r>
    <s v="J"/>
    <s v="Ko, A; Fehér, P; Kovacs, T; Mitev, A; Szabó, Z"/>
    <s v=""/>
    <s v=""/>
    <s v=""/>
    <s v="Ko, Andrea; Feher, Peter; Kovacs, Tibor; Mitev, Ariel; Szabo, Zoltan"/>
    <s v=""/>
    <s v=""/>
    <s v="Influencing factors of digital transformation: management or IT is the driving force?"/>
    <s v="INTERNATIONAL JOURNAL OF INNOVATION SCIENCE"/>
    <s v=""/>
    <s v=""/>
    <s v="English"/>
    <x v="0"/>
    <s v=""/>
    <s v=""/>
    <s v=""/>
    <s v=""/>
    <s v=""/>
    <s v="Structural equation modeling; Digital transformation; Management commitment; Digital innovation; Digital strategy; Role of IT department"/>
    <s v="INFORMATION-TECHNOLOGY; INNOVATION; SHADOW; ACCEPTANCE; GOVERNANCE"/>
    <s v="Purpose - This research aims to discuss the success of digital transformation focusing on the role of IT and management commitment in digitalization together with sectorial relevance as influencing factors. According to the literature, these dimensions are key elements of digitalization, and there is no consensus on their decisiveness. The authors measure the success of digital transformation with the digital innovation. The research is part of ongoing work, in which the IT-related practice of Hungarian organizations has been explored on an annual basis since 2009. Design/methodology/approach - The research methodology is a combined one; both qualitative and quantitative methods were applied including surveying digital transformation literature, interviews with key representatives of Hungarian organizations, developing a survey to collect quantitative data, data collection and processing with PLS-SEM. Findings - The results revealed that the digital innovations are strongly determined by business, management commitment and, to a far lesser extent, by strategy. In the case of digital transformation, the role of IT departments and the services they provide are less relevant. Research limitations/implications - The most important limitation of the research is the size and composition of the sample. Results do not present the situation of a specific industrial sector. Originality/value - Digital technologies influence and disrupt practically every industry; the development of information and communication technology has changed economies all over the world. Decisive factors of digital transformations are widely researched, but there is no consensus about them. This research contributes to understanding the role of IT department and their services in this process together with leadership, sectorial relevance as influencing factors."/>
    <s v="[Ko, Andrea; Feher, Peter; Kovacs, Tibor; Mitev, Ariel; Szabo, Zoltan] Corvinus Univ Budapest, Budapest, Hungary"/>
    <s v="Corvinus University Budapest"/>
    <s v="Ko, A (corresponding author), Corvinus Univ Budapest, Budapest, Hungary."/>
    <s v="andrea.ko@uni-corvinus.hu"/>
    <s v="Mitev, Ariel/ACP-3192-2022; Kovacs, Tibor/ABD-2662-2020"/>
    <s v="Mitev, Ariel/0000-0002-9986-3513; Kovacs, Tibor/0000-0002-7408-998X; Szabo, Zoltan/0000-0001-9466-1448; Ko, Andrea/0000-0003-0023-1143"/>
    <s v="European Union [EFOP-3.6.1-16-2016-00013]"/>
    <s v="European Union(European Union (EU))"/>
    <s v="This publication was written within the Szechenyi 2020 programme framework (EFOP-3.6.1-16-2016-00013) under the European Union project titled: Institutional developments for intelligent specialization at the Szekesfehervar Campus of Corvinus University of Budapest."/>
    <s v=""/>
    <n v="82"/>
    <n v="16"/>
    <n v="16"/>
    <n v="24"/>
    <n v="124"/>
    <s v="EMERALD GROUP PUBLISHING LTD"/>
    <s v="BINGLEY"/>
    <s v="HOWARD HOUSE, WAGON LANE, BINGLEY BD16 1WA, W YORKSHIRE, ENGLAND"/>
    <s v="1757-2223"/>
    <s v="1757-2231"/>
    <s v=""/>
    <s v="INT J INOV SCI"/>
    <s v="Int. J. Innov. Sci."/>
    <s v="JAN 7"/>
    <n v="2022"/>
    <n v="14"/>
    <n v="1"/>
    <s v=""/>
    <s v=""/>
    <s v=""/>
    <s v=""/>
    <n v="1"/>
    <n v="20"/>
    <s v=""/>
    <s v="10.1108/IJIS-01-2021-0007"/>
    <s v="http://dx.doi.org/10.1108/IJIS-01-2021-0007"/>
    <s v=""/>
    <s v="JUN 2021"/>
    <n v="20"/>
    <s v="Business"/>
    <x v="3"/>
    <s v="Business &amp; Economics"/>
    <s v="YC5MA"/>
    <s v=""/>
    <s v=""/>
    <s v=""/>
    <s v=""/>
    <s v="2023-11-15"/>
    <x v="108"/>
    <s v="View Full Record in Web of Science"/>
  </r>
  <r>
    <s v="J"/>
    <s v="Hutchinson, J"/>
    <s v=""/>
    <s v=""/>
    <s v=""/>
    <s v="Hutchinson, Jonathon"/>
    <s v=""/>
    <s v=""/>
    <s v="Micro-platformization for digital activism on social media"/>
    <s v="INFORMATION COMMUNICATION &amp; SOCIETY"/>
    <s v=""/>
    <s v=""/>
    <s v="English"/>
    <x v="0"/>
    <s v=""/>
    <s v=""/>
    <s v=""/>
    <s v=""/>
    <s v=""/>
    <s v="Digital activism; YouTube; micro-platformization; influencers; MCNs"/>
    <s v=""/>
    <s v="Social media emerged with a broad understanding that egalitarian practices would become the standard approach to publishing and distributing content. In recent times we have seen this flat hierarchical approach fade as commercial stakeholders, platform providers and content publishers continue to design and practice exclusionary processes to ensure their work is visible. This current practice limits the capacity for all voices to be heard, prompting the question how can digital activism remain visible in a media-saturated social media environment? This paper draws on a content analysis of the most popular YouTube users in Australia to illustrate the absence of digital activism within its visual culture. It maps the process of fragmented platformization, called here micro-platformization, to highlight the content production and publishing strategies digital activists should adopt. While successful commercial YouTube practitioners adhere closely to the principles of social media logics (Van Dijck, J., &amp; Poell, T. (2014). Understanding Social Media Logic. Media and Communication, 1(1), 2-14), this paper argues that stakeholders engaging in the practice of digital activism need to adopt similar strategies to their commercial counterparts. By including strategies that reflect the successful practices of social media logics, digital activism can not only become visible across social media spaces, but also engage public discourse on civic matters and public affairs."/>
    <s v="[Hutchinson, Jonathon] Univ Sydney, Dept Media &amp; Commun, Room N233,John Woolley Bldg A20,Manning Rd, Sydney, NSW 2006, Australia"/>
    <s v="University of Sydney"/>
    <s v="Hutchinson, J (corresponding author), Univ Sydney, Dept Media &amp; Commun, Room N233,John Woolley Bldg A20,Manning Rd, Sydney, NSW 2006, Australia."/>
    <s v="jonathon.hutchinson@sydney.edu.au"/>
    <s v="Hutchinson, Jonathon/P-7182-2017"/>
    <s v="Hutchinson, Jonathon/0000-0001-7349-1662"/>
    <s v="Sydney Social Science and Humanities Advanced Research Centre (SSSHARC) under the Launch Fellowship Scheme"/>
    <s v="Sydney Social Science and Humanities Advanced Research Centre (SSSHARC) under the Launch Fellowship Scheme"/>
    <s v="This research was made possible by funding from the Sydney Social Science and Humanities Advanced Research Centre (SSSHARC) under the Launch Fellowship Scheme."/>
    <s v=""/>
    <n v="29"/>
    <n v="16"/>
    <n v="16"/>
    <n v="8"/>
    <n v="24"/>
    <s v="ROUTLEDGE JOURNALS, TAYLOR &amp; FRANCIS LTD"/>
    <s v="ABINGDON"/>
    <s v="2-4 PARK SQUARE, MILTON PARK, ABINGDON OX14 4RN, OXON, ENGLAND"/>
    <s v="1369-118X"/>
    <s v="1468-4462"/>
    <s v=""/>
    <s v="INFORM COMMUN SOC"/>
    <s v="Info. Commun. Soc."/>
    <s v="JAN 2"/>
    <n v="2021"/>
    <n v="24"/>
    <n v="1"/>
    <s v=""/>
    <s v=""/>
    <s v=""/>
    <s v=""/>
    <n v="35"/>
    <n v="51"/>
    <s v=""/>
    <s v="10.1080/1369118X.2019.1629612"/>
    <s v="http://dx.doi.org/10.1080/1369118X.2019.1629612"/>
    <s v=""/>
    <s v=""/>
    <n v="17"/>
    <s v="Communication; Sociology"/>
    <x v="0"/>
    <s v="Communication; Sociology"/>
    <s v="ZV7EK"/>
    <s v=""/>
    <s v=""/>
    <s v=""/>
    <s v=""/>
    <s v="2023-11-15"/>
    <x v="109"/>
    <s v="View Full Record in Web of Science"/>
  </r>
  <r>
    <s v="J"/>
    <s v="Vila, TD; González, EA; Vila, NA; Brea, JAF"/>
    <s v=""/>
    <s v=""/>
    <s v=""/>
    <s v="Dominguez Vila, Trinidad; Alen Gonzalez, Elisa; Araujo Vila, Noelia; Fraiz Brea, Jose Antonio"/>
    <s v=""/>
    <s v=""/>
    <s v="Indicators of Website Features in the User Experience of E-Tourism Search and Metasearch Engines"/>
    <s v="JOURNAL OF THEORETICAL AND APPLIED ELECTRONIC COMMERCE RESEARCH"/>
    <s v=""/>
    <s v=""/>
    <s v="English"/>
    <x v="0"/>
    <s v=""/>
    <s v=""/>
    <s v=""/>
    <s v=""/>
    <s v=""/>
    <s v="User experience; E-commerce; Tourism search and metasearch engines; GAM"/>
    <s v="E-SERVICE QUALITY; E-COMMERCE; PURCHASE INTENTIONS; INFORMATION SEARCH; WEB SITES; ONLINE; TECHNOLOGY; ACCEPTANCE; MANAGEMENT; DESIGN"/>
    <s v="The continuous growth of e-commerce, combined with new trends in the tourism sector, creates an imperative to conduct analyses and establish suitable models for improving the experience of users who seek tourism products online, using search and metasearch engines. However, few studies analyze web design variables and their impacts on the user experience. Therefore, the present study aims to investigate the influence of content, usability, functionality, and branding for determining user experiences with search engines and metasearch engines dedicated to tourism. The methodology used in this research followed a mixed approach to fulfill the proposed dual perspective, that is, to collect data from websites and evaluate the user experience. To determine the variables to be modeled, the authors use a General Additive Model. Main results reveal two determinant factors that enhance the user experience: usability and branding. With this foundation, this study proposes basic premises of the digital strategy that tourism platforms should follow. As implications for the tourism sector, suggest that e-commerce search and metasearch engines in the tourism industry should devote substantial efforts to implementing interactivity, memorability, personalization, privacy, and security."/>
    <s v="[Dominguez Vila, Trinidad; Alen Gonzalez, Elisa; Araujo Vila, Noelia; Fraiz Brea, Jose Antonio] Univ Vigo, Fac Business Sci &amp; Tourism, Orense, Spain"/>
    <s v="Universidade de Vigo"/>
    <s v="Vila, TD (corresponding author), Univ Vigo, Fac Business Sci &amp; Tourism, Orense, Spain."/>
    <s v="trinidad@uvigo.es; alen@uvigo.es; naraujo@uvigo.es; jafraiz@uvigo.es"/>
    <s v="FRAIZ BREA, JOSE ANTONIO/G-4431-2015; Alen, Elisa/K-6037-2014"/>
    <s v="FRAIZ BREA, JOSE ANTONIO/0000-0002-3190-6492; Alen, Elisa/0000-0002-6304-7805"/>
    <s v=""/>
    <s v=""/>
    <s v=""/>
    <s v=""/>
    <n v="145"/>
    <n v="16"/>
    <n v="16"/>
    <n v="6"/>
    <n v="200"/>
    <s v="MDPI"/>
    <s v="BASEL"/>
    <s v="ST ALBAN-ANLAGE 66, CH-4052 BASEL, SWITZERLAND"/>
    <s v="0718-1876"/>
    <s v=""/>
    <s v=""/>
    <s v="J THEOR APPL EL COMM"/>
    <s v="J. Theor. Appl. Electron. Commer. Res."/>
    <s v="JAN"/>
    <n v="2021"/>
    <n v="16"/>
    <n v="1"/>
    <s v=""/>
    <s v=""/>
    <s v=""/>
    <s v=""/>
    <n v="18"/>
    <n v="36"/>
    <s v=""/>
    <s v="10.4067/S0718-18762021000100103"/>
    <s v="http://dx.doi.org/10.4067/S0718-18762021000100103"/>
    <s v=""/>
    <s v=""/>
    <n v="19"/>
    <s v="Business"/>
    <x v="0"/>
    <s v="Business &amp; Economics"/>
    <s v="LS5VJ"/>
    <s v=""/>
    <s v="gold"/>
    <s v=""/>
    <s v=""/>
    <s v="2023-11-15"/>
    <x v="110"/>
    <s v="View Full Record in Web of Science"/>
  </r>
  <r>
    <s v="J"/>
    <s v="Ziemssen, T; Kern, R; Voigt, I; Haase, R"/>
    <s v=""/>
    <s v=""/>
    <s v=""/>
    <s v="Ziemssen, Tjalf; Kern, Raimar; Voigt, Isabel; Haase, Rocco"/>
    <s v=""/>
    <s v=""/>
    <s v="Data Collection in Multiple Sclerosis: The MSDS Approach"/>
    <s v="FRONTIERS IN NEUROLOGY"/>
    <s v=""/>
    <s v=""/>
    <s v="English"/>
    <x v="0"/>
    <s v=""/>
    <s v=""/>
    <s v=""/>
    <s v=""/>
    <s v=""/>
    <s v="multiple sclerosis; documentation; digital patient management; post-authorization safety study; MSDS3D"/>
    <s v="REAL-WORLD; DOCUMENTATION SYSTEM; TECHNOLOGY; MANAGEMENT; THERAPY; IMPLEMENTATION; FINGOLIMOD; DISABILITY; LIFE"/>
    <s v="Multiple sclerosis (MS) is a frequent chronic inflammatory disease of the central nervous system that affects patients over decades. As the monitoring and treatment of MS become more personalized and complex, the individual assessment and collection of different parameters ranging from clinical assessments via laboratory and imaging data to patient-reported data become increasingly important for innovative patient management in MS. These aspects predestine electronic data processing for use in MS documentation. Such technologies enable the rapid exchange of health information between patients, practitioners, and caregivers, regardless of time and location. In this perspective paper, we present our digital strategy from Dresden, where we are developing the Multiple Sclerosis Documentation System (MSDS) into an eHealth platform that can be used for multiple purposes. Various use cases are presented that implement this software platform and offer an important perspective for the innovative digital patient management in the future. A holistic patient management of the MS, electronically supported by clinical pathways, will have an important impact on other areas of patient care, such as neurorehabilitation."/>
    <s v="[Ziemssen, Tjalf; Voigt, Isabel; Haase, Rocco] Univ Hosp Carl Gustav Carus, Ctr Clin Neurosci, Dresden, Germany; [Kern, Raimar] MedicalSyn GmbH, Stuttgart, Germany"/>
    <s v="Technische Universitat Dresden; Carl Gustav Carus University Hospital"/>
    <s v="Ziemssen, T (corresponding author), Univ Hosp Carl Gustav Carus, Ctr Clin Neurosci, Dresden, Germany."/>
    <s v="tjalf.ziemssen@uniklinikum-dresden.de"/>
    <s v="Ziemssen, Focke/B-9564-2009"/>
    <s v="Ziemssen, Focke/0000-0002-3873-0581; Voigt, Isabel/0000-0003-0097-8589; Haase, Rocco/0000-0003-2465-4909"/>
    <s v="Hertie Foundation; Novartis; Teva; Merck; Roche; Sanofi; Biogen"/>
    <s v="Hertie Foundation; Novartis(Novartis); Teva(Teva Pharmaceutical Industries); Merck(Merck &amp; Company); Roche(Roche Holding); Sanofi; Biogen(Biogen)"/>
    <s v="The MSDS3D module development was supported by the Hertie Foundation, Novartis, Teva, Roche, Sanofi, Biogen, and Merck."/>
    <s v=""/>
    <n v="88"/>
    <n v="16"/>
    <n v="16"/>
    <n v="0"/>
    <n v="4"/>
    <s v="FRONTIERS MEDIA SA"/>
    <s v="LAUSANNE"/>
    <s v="AVENUE DU TRIBUNAL FEDERAL 34, LAUSANNE, CH-1015, SWITZERLAND"/>
    <s v="1664-2295"/>
    <s v=""/>
    <s v=""/>
    <s v="FRONT NEUROL"/>
    <s v="Front. Neurol."/>
    <s v="JUN 16"/>
    <n v="2020"/>
    <n v="11"/>
    <s v=""/>
    <s v=""/>
    <s v=""/>
    <s v=""/>
    <s v=""/>
    <s v=""/>
    <s v=""/>
    <n v="445"/>
    <s v="10.3389/fneur.2020.00445"/>
    <s v="http://dx.doi.org/10.3389/fneur.2020.00445"/>
    <s v=""/>
    <s v=""/>
    <n v="7"/>
    <s v="Clinical Neurology; Neurosciences"/>
    <x v="2"/>
    <s v="Neurosciences &amp; Neurology"/>
    <s v="MG5QU"/>
    <n v="32612566"/>
    <s v="Green Published, gold"/>
    <s v=""/>
    <s v=""/>
    <s v="2023-11-15"/>
    <x v="111"/>
    <s v="View Full Record in Web of Science"/>
  </r>
  <r>
    <s v="J"/>
    <s v="Jin, J; Ma, L; Ye, XW"/>
    <s v=""/>
    <s v=""/>
    <s v=""/>
    <s v="Jin, Jun; Ma, Lei; Ye, Xinwei"/>
    <s v=""/>
    <s v=""/>
    <s v="Digital transformation strategies for existed firms: from the perspectives of data ownership and key value propositions"/>
    <s v="ASIAN JOURNAL OF TECHNOLOGY INNOVATION"/>
    <s v=""/>
    <s v=""/>
    <s v="English"/>
    <x v="0"/>
    <s v=""/>
    <s v=""/>
    <s v=""/>
    <s v=""/>
    <s v=""/>
    <s v="Digital transformation; key value propositions; data ownership; existed firms; emerging economies"/>
    <s v="BUSINESS MODELS; INNOVATION; INFORMATION; TECHNOLOGY; RESOURCES; INTERNET"/>
    <s v="The diffusion and embeddedness of cyber technology and big data technology is recognized as an opportunity and infrastructure for firms to innovate and transform. But which digital strategies existed firms in manufacturing and other traditional industries can make is still a question under research. The paper pursues to answer this question from the perspectives of data ownership and key value propositions. From the dimension of data ownership and key value propositions, this research proposes a research framework to guide the analyses of digital transformation strategy. The four firms are used to identify five types of digital strategies, namely new product strategy, new value-added service strategy, customized strategy, product embedded in the platform, and platform service / product strategy based on the framework of digital transformation strategy decision. This research suggests that a firm can select the suitable strategy considering his key value proposition and ownership of data which the firm could use. The research contributes to the research and practices on the digitalization strategy and the digital transformation of firms, especially those in emerging economies."/>
    <s v="[Jin, Jun] Zhejiang Univ, Sch Management, Hangzhou, Zhejiang, Peoples R China; [Ma, Lei] Nanjing Univ Sci &amp; Technol, Sch Publ Affairs, Xiaolingwei St 200, Nanjing 210094, Jiangsu, Peoples R China; [Ye, Xinwei] Nanjing Univ Sci &amp; Technol, Sch Econ &amp; Management, Nanjing, Jiangsu, Peoples R China"/>
    <s v="Zhejiang University; Nanjing University of Science &amp; Technology; Nanjing University of Science &amp; Technology"/>
    <s v="Ma, L (corresponding author), Nanjing Univ Sci &amp; Technol, Sch Publ Affairs, Xiaolingwei St 200, Nanjing 210094, Jiangsu, Peoples R China."/>
    <s v="maryma208@sina.com"/>
    <s v="Jin, Jun/AAQ-3236-2021"/>
    <s v="Jin, Jun/0000-0003-2350-7069"/>
    <s v="National Natural Science Foundation of China [71672172, U1509221]"/>
    <s v="National Natural Science Foundation of China(National Natural Science Foundation of China (NSFC))"/>
    <s v="This work was supported by National Natural Science Foundation of China [grant number 71672172, U1509221]."/>
    <s v=""/>
    <n v="46"/>
    <n v="16"/>
    <n v="17"/>
    <n v="17"/>
    <n v="214"/>
    <s v="ROUTLEDGE JOURNALS, TAYLOR &amp; FRANCIS LTD"/>
    <s v="ABINGDON"/>
    <s v="2-4 PARK SQUARE, MILTON PARK, ABINGDON OX14 4RN, OXON, ENGLAND"/>
    <s v="1976-1597"/>
    <s v="2158-6721"/>
    <s v=""/>
    <s v="ASIAN J TECHNOL INNO"/>
    <s v="Asian J. Technol. Innov."/>
    <s v="JAN 2"/>
    <n v="2020"/>
    <n v="28"/>
    <n v="1"/>
    <s v=""/>
    <s v=""/>
    <s v=""/>
    <s v=""/>
    <n v="77"/>
    <n v="93"/>
    <s v=""/>
    <s v="10.1080/19761597.2019.1700384"/>
    <s v="http://dx.doi.org/10.1080/19761597.2019.1700384"/>
    <s v=""/>
    <s v="DEC 2019"/>
    <n v="17"/>
    <s v="Business; Economics"/>
    <x v="0"/>
    <s v="Business &amp; Economics"/>
    <s v="KW3HT"/>
    <s v=""/>
    <s v="Bronze"/>
    <s v=""/>
    <s v=""/>
    <s v="2023-11-15"/>
    <x v="112"/>
    <s v="View Full Record in Web of Science"/>
  </r>
  <r>
    <s v="J"/>
    <s v="De Bernardi, P; Bertello, A; Shams, SMR"/>
    <s v=""/>
    <s v=""/>
    <s v=""/>
    <s v="De Bernardi, Paola; Bertello, Alberto; Shams, S. M. Riad"/>
    <s v=""/>
    <s v=""/>
    <s v="LOGICS HINDERING DIGITAL TRANSFORMATION IN CULTURAL HERITAGE STRATEGIC MANAGEMENT: AN EXPLORATORY CASE STUDY"/>
    <s v="TOURISM ANALYSIS"/>
    <s v=""/>
    <s v=""/>
    <s v="English"/>
    <x v="0"/>
    <s v=""/>
    <s v=""/>
    <s v=""/>
    <s v=""/>
    <s v=""/>
    <s v="Museum digitalization; Organizational transformation; Cultural strategic management; Cultural tourism; Digital strategy"/>
    <s v="MARKET ORIENTATION; MUSEUM VISITORS; TOURISM; INNOVATION; IMPACT"/>
    <s v="Museums play an important role in tourist flows, especially in cities that are famous for their cultural heritage. To valorize their role, these cultural institutions should open themselves to visitors as vectors of social, educational, and entertainment values. In particular, museums need to reinvent how they transmit information about their collections and how they engage visitors, keeping in mind the opportunities triggered by digitalization. Digital technologies could in fact be a powerful tool to assist in adopting a visitor-oriented approach and to stimulate a two-way communication. This article aims to analyze the extent of digitalization that should be integrated in museums' communication strategies, and to recognize the logics hindering digital transformation in cultural heritage strategic management. We developed an exploratory case study, focused on museums in Turin, Italy, gathering online data through institutional reports, museum websites, and social media, as well as onsite data mainly from semistructured interviews with museum managers. The research shows that most of the interviewees understand the strategic role of digitalization for museum development; however, the level of digital readiness remains low. Alongside the well-known systemic financial deficit of cultural institutions, there are other critical factors that hinder the integration of digitalization processes in the cultural heritage management. Common barriers include the presence of institutional pressures, and the lack of organizational and managerial coordination between different departments and functions that should be involved in the development of digital strategies and their integration in the strategic planning systems of museums. This research offers insights to tackle these challenges, allowing museums to compete in the international context of the cultural and heritage tourism."/>
    <s v="[De Bernardi, Paola; Bertello, Alberto] Univ Turin, Dept Management, Cso Unione Soviet 218 Bis, I-10134 Turin, Italy; [Shams, S. M. Riad] Ural Fed Univ, Dept Int Econ &amp; Management, Ekaterinburg, Russia"/>
    <s v="University of Turin; Ural Federal University"/>
    <s v="De Bernardi, P (corresponding author), Univ Turin, Dept Management, Cso Unione Soviet 218 Bis, I-10134 Turin, Italy."/>
    <s v="paola.debernardi@unito.it"/>
    <s v="Baldissera, Annalisa/AHD-6334-2022; DE BERNARDI, Paola/AAE-7105-2019; DE BERNARDI, PAOLA/I-4807-2018"/>
    <s v="DE BERNARDI, Paola/0000-0002-6776-6735; DE BERNARDI, PAOLA/0000-0002-6776-6735"/>
    <s v=""/>
    <s v=""/>
    <s v=""/>
    <s v=""/>
    <n v="63"/>
    <n v="16"/>
    <n v="16"/>
    <n v="12"/>
    <n v="76"/>
    <s v="COGNIZANT COMMUNICATION CORP"/>
    <s v="PUTNAM VALLEY"/>
    <s v="18 PEEKSKILL HOLLOW RD, PO BOX 37, PUTNAM VALLEY, NY 10579 USA"/>
    <s v="1083-5423"/>
    <s v="1943-3999"/>
    <s v=""/>
    <s v="TOUR ANAL"/>
    <s v="Tour. Anal."/>
    <s v=""/>
    <n v="2019"/>
    <n v="24"/>
    <n v="3"/>
    <s v=""/>
    <s v=""/>
    <s v=""/>
    <s v=""/>
    <n v="315"/>
    <n v="327"/>
    <s v=""/>
    <s v="10.3727/108354219X15511864843876"/>
    <s v="http://dx.doi.org/10.3727/108354219X15511864843876"/>
    <s v=""/>
    <s v=""/>
    <n v="13"/>
    <s v="Hospitality, Leisure, Sport &amp; Tourism"/>
    <x v="3"/>
    <s v="Social Sciences - Other Topics"/>
    <s v="IK8UQ"/>
    <s v=""/>
    <s v="Green Accepted, Green Published"/>
    <s v=""/>
    <s v=""/>
    <s v="2023-11-15"/>
    <x v="113"/>
    <s v="View Full Record in Web of Science"/>
  </r>
  <r>
    <s v="J"/>
    <s v="Dharod, A; Bellinger, C; Foley, K; Case, LD; Miller, D"/>
    <s v=""/>
    <s v=""/>
    <s v=""/>
    <s v="Dharod, Ajay; Bellinger, Christina; Foley, Kristie; Case, L. Doug; Miller, David"/>
    <s v=""/>
    <s v=""/>
    <s v="The Reach and Feasibility of an Interactive Lung Cancer Screening Decision Aid Delivered by Patient Portal"/>
    <s v="APPLIED CLINICAL INFORMATICS"/>
    <s v=""/>
    <s v=""/>
    <s v="English"/>
    <x v="0"/>
    <s v=""/>
    <s v=""/>
    <s v=""/>
    <s v=""/>
    <s v=""/>
    <s v="electronic health records; eligibility determination; decision support techniques; patient portals; cancer early detection"/>
    <s v="DOSE COMPUTED-TOMOGRAPHY; PRIMARY-CARE PROVIDERS; TRIAL; MANAGEMENT; KNOWLEDGE; ATTITUDES; RISK; TIME"/>
    <s v="Objective Health systems could adopt population-level approaches to screening by identifying potential screening candidates from the electronic health record and reaching out to them via the patient portal. However, whether patients would read or act on sent information is unknown. We examined the feasibility of this digital health outreach strategy. Methods We conducted a single-arm pragmatic trial in a large academic health system. An electronic health record algorithm identified primary care patients who were potentially eligible for lung cancer screening (LCS). Identified patients were sent a patient portal invitation to visit a LCS interactive Web site which assessed screening eligibility and included a decision aid. The primary outcome was screening completion. Secondary outcomes included the proportion of patients who read the invitation, visited the interactive Web site, and completed the interactive Web site. Results We sent portal invitations to 1,000 patients. Almost all patients (86%, 862/1,000) read the invitation, 404 (40%) patients visited the interactive Web site, and 349 patients (35%) completed it. Of the 99 patients who were confirmed screening eligible by the Web site, 81 made a screening decision (30% wanted screening, 44% unsure, 26% declined screening), and 22 patients had a chest computed tomography completed. Conclusion The digital outreach strategy reached the majority of patient portal users. While the study focused on LCS, this digital outreach approach could be generalized to other health needs. Given the broad reach and potential low cost of this digital strategy, future research should investigate best practices for implementing the system."/>
    <s v="[Dharod, Ajay; Miller, David] Wake Forest Univ, Wake Forest Sch Med, Sect Gen Internal Med, Dept Internal Med, Winston Salem, NC 27109 USA; [Dharod, Ajay; Foley, Kristie; Miller, David] Wake Forest Univ, Wake Forest Sch Med, Dept Implementat Sci, Winston Salem, NC 27109 USA; [Bellinger, Christina] Wake Forest Univ, Wake Forest Sch Med, Dept Internal Med, Sect Pulm Crit Care Allergy &amp; Immunol, Winston Salem, NC 27109 USA; [Case, L. Doug] Wake Forest Univ, Wake Forest Sch Med, Dept Biostat Sci, Winston Salem, NC 27109 USA"/>
    <s v="Wake Forest University; Wake Forest University; Wake Forest University; Wake Forest University"/>
    <s v="Dharod, A (corresponding author), Wake Forest Sch Med, Sect Gen Internal Med, Dept Internal Med, 1 Med Ctr Blvd, Winston Salem, NC 27157 USA."/>
    <s v="adharod@wakehealth.edu"/>
    <s v=""/>
    <s v=""/>
    <s v="Wake Forest University Comprehensive Cancer Center [NCI CCSG P30CA012197]; Wake Forest Clinical and Translational Science Institute [NCATS UL1TR001420]"/>
    <s v="Wake Forest University Comprehensive Cancer Center; Wake Forest Clinical and Translational Science Institute"/>
    <s v="This study received funding from the Wake Forest University Comprehensive Cancer Center (NCI CCSG P30CA012197) and the Wake Forest Clinical and Translational Science Institute (NCATS UL1TR001420)."/>
    <s v=""/>
    <n v="44"/>
    <n v="16"/>
    <n v="16"/>
    <n v="0"/>
    <n v="6"/>
    <s v="GEORG THIEME VERLAG KG"/>
    <s v="STUTTGART"/>
    <s v="RUDIGERSTR 14, D-70469 STUTTGART, GERMANY"/>
    <s v="1869-0327"/>
    <s v=""/>
    <s v=""/>
    <s v="APPL CLIN INFORM"/>
    <s v="Appl. Clin. Inform."/>
    <s v="JAN"/>
    <n v="2019"/>
    <n v="10"/>
    <n v="1"/>
    <s v=""/>
    <s v=""/>
    <s v=""/>
    <s v=""/>
    <n v="19"/>
    <n v="27"/>
    <s v=""/>
    <s v="10.1055/s-0038-1676807"/>
    <s v="http://dx.doi.org/10.1055/s-0038-1676807"/>
    <s v=""/>
    <s v=""/>
    <n v="9"/>
    <s v="Medical Informatics"/>
    <x v="1"/>
    <s v="Medical Informatics"/>
    <s v="HG8BA"/>
    <n v="30625501"/>
    <s v="Green Published, Bronze"/>
    <s v=""/>
    <s v=""/>
    <s v="2023-11-15"/>
    <x v="114"/>
    <s v="View Full Record in Web of Science"/>
  </r>
  <r>
    <s v="J"/>
    <s v="Sánchez, MA; Zuntini, JI"/>
    <s v=""/>
    <s v=""/>
    <s v=""/>
    <s v="Analia Sanchez, Marisa; Zuntini, Juana I."/>
    <s v=""/>
    <s v=""/>
    <s v="Organizational readiness for the digital transformation: a case study research"/>
    <s v="REVISTA GESTAO &amp; TECNOLOGIA-JOURNAL OF MANAGEMENT AND TECHNOLOGY"/>
    <s v=""/>
    <s v=""/>
    <s v="English"/>
    <x v="0"/>
    <s v=""/>
    <s v=""/>
    <s v=""/>
    <s v=""/>
    <s v=""/>
    <s v="Digital transformation; digital strategy; The Five Competitive Forces Model; Value Chain Analysis; Dynamic capabilities; Ecosystem theory"/>
    <s v="BIG DATA; MANAGEMENT"/>
    <s v="The world is changing profoundly and it has gone from the industrial age to the era of intelligent and connected products with consequences both in organizations and society. The aim of this research work is to formulate a framework that explains resources, capabilities and management choices necessary to respond to the new environment. The scope is on small and medium sized established companies. The research methodology is based on literature review and an in-depth case study based on three enterprises. The framework describes (a) external forces in the context of emergent technologies; (b) adequate strategies arising from a value chain analysis; (c) resources and capabilities of critical importance. The framework contributes to the comprehension of how small and medium size companies respond to the digital transformation process."/>
    <s v="[Analia Sanchez, Marisa] Univ Nacl Sur, Dept Management Sci, Grad &amp; Postgrad Courses, Bahia Blanca, Buenos Aires, Argentina; [Zuntini, Juana I.] Univ Nacl Sur, Dept Management Sci, Bahia Blanca, Buenos Aires, Argentina"/>
    <s v="National University of the South; National University of the South"/>
    <s v="Sánchez, MA (corresponding author), Univ Nacl Sur, Dept Management Sci, Grad &amp; Postgrad Courses, Bahia Blanca, Buenos Aires, Argentina."/>
    <s v="mas@uns.edu.ar; jzuntini@uns.edu.ar"/>
    <s v="Sanchez, Marisa A/M-6135-2014"/>
    <s v="Sanchez, Marisa A/0000-0002-8291-0491"/>
    <s v=""/>
    <s v=""/>
    <s v=""/>
    <s v=""/>
    <n v="33"/>
    <n v="16"/>
    <n v="16"/>
    <n v="3"/>
    <n v="104"/>
    <s v="FUNDACAO PEDRO LEOPOLDO"/>
    <s v="PEDRO LEOPOLDO"/>
    <s v="AV LINCOLN DIOGO VIANA 830, PEDRO LEOPOLDO, MG 33600-000, BRAZIL"/>
    <s v="1677-9479"/>
    <s v="2177-6652"/>
    <s v=""/>
    <s v="REV GEST TECNOL"/>
    <s v="Rev. Gest. Tecnol."/>
    <s v="MAY-AUG"/>
    <n v="2018"/>
    <n v="18"/>
    <n v="2"/>
    <s v=""/>
    <s v=""/>
    <s v=""/>
    <s v=""/>
    <n v="70"/>
    <n v="99"/>
    <s v=""/>
    <s v="10.20397/2177-6652/2018.v18i2.1316"/>
    <s v="http://dx.doi.org/10.20397/2177-6652/2018.v18i2.1316"/>
    <s v=""/>
    <s v=""/>
    <n v="30"/>
    <s v="Management"/>
    <x v="3"/>
    <s v="Business &amp; Economics"/>
    <s v="GL9EM"/>
    <s v=""/>
    <s v="Green Published, gold"/>
    <s v=""/>
    <s v=""/>
    <s v="2023-11-15"/>
    <x v="115"/>
    <s v="View Full Record in Web of Science"/>
  </r>
  <r>
    <s v="J"/>
    <s v="Iaia, L; Scorrano, P; Fait, M; Cavallo, F"/>
    <s v=""/>
    <s v=""/>
    <s v=""/>
    <s v="Iaia, Lea; Scorrano, Paola; Fait, Monica; Cavallo, Federica"/>
    <s v=""/>
    <s v=""/>
    <s v="Wine, family businesses and web: marketing strategies to compete effectively"/>
    <s v="BRITISH FOOD JOURNAL"/>
    <s v=""/>
    <s v=""/>
    <s v="English"/>
    <x v="0"/>
    <s v=""/>
    <s v=""/>
    <s v=""/>
    <s v=""/>
    <s v=""/>
    <s v="Family firms; Wine industry; Website; Online strategies; Web communication"/>
    <s v="E-SATISFACTION; ONLINE; OWNERSHIP; CONSUMER; FIRMS"/>
    <s v="Purpose - The purpose of this paper is to deepen the web marketing strategies used by wine family businesses (FBs) with the aim to identify the role assigned to websites, the online models and the competitive strategies implemented through them. Design/methodology/approach - In order to examine the content and structure of the information found on the website of selected FBs, an ad hoc analysis model was designed and validated with the support of marketing and industry experts through an inspecting focus group (Mich, 2007). Findings - The subsequent observation of the websites of the businesses studied showed that family-run Italian wineries use their websites mainly to present information about the business and as a relational tool through edutainment activities; FBs yet neglect the potential of e-commerce. Research limitations/implications - The study highlights the importance and the attention that FBs, among others, should dedicate to the role of web communications within their communications strategy. Although this path has allowed the traits essential to launch effective online communications for FBs, the small number of businesses surveyed (ten) does not permit a theoretical generalisation of the results. Thus, we expect to integrate the information obtained from this preliminary study with in-depth interviews with the digital strategists for the companies examined or by increasing the number of FBs studied. Originality/value - The paper provides an evaluation model to effectively organise the websites' contents; wine businesses should consider and customise these essential elements with the brand's specific details."/>
    <s v="[Iaia, Lea; Scorrano, Paola; Fait, Monica; Cavallo, Federica] Univ Salento, Dept Management Econ Math &amp; Stat, Lecce, Italy"/>
    <s v="University of Salento"/>
    <s v="Scorrano, P (corresponding author), Univ Salento, Dept Management Econ Math &amp; Stat, Lecce, Italy."/>
    <s v="paola.scorrano@unisalento.it"/>
    <s v="Fait, Monica/AAA-4283-2020; Iaia, Lea/R-4911-2019; scorrano, paola/N-6534-2015"/>
    <s v="Fait, Monica/0000-0003-2448-3839; Iaia, Lea/0000-0003-4650-1233; scorrano, paola/0000-0002-7964-9931"/>
    <s v=""/>
    <s v=""/>
    <s v=""/>
    <s v=""/>
    <n v="64"/>
    <n v="16"/>
    <n v="17"/>
    <n v="3"/>
    <n v="32"/>
    <s v="EMERALD GROUP PUBLISHING LTD"/>
    <s v="BINGLEY"/>
    <s v="HOWARD HOUSE, WAGON LANE, BINGLEY BD16 1WA, W YORKSHIRE, ENGLAND"/>
    <s v="0007-070X"/>
    <s v="1758-4108"/>
    <s v=""/>
    <s v="BRIT FOOD J"/>
    <s v="Br. Food J."/>
    <s v=""/>
    <n v="2017"/>
    <n v="119"/>
    <n v="11"/>
    <s v=""/>
    <s v=""/>
    <s v="SI"/>
    <s v=""/>
    <n v="2294"/>
    <n v="2308"/>
    <s v=""/>
    <s v="10.1108/BFJ-02-2017-0110"/>
    <s v="http://dx.doi.org/10.1108/BFJ-02-2017-0110"/>
    <s v=""/>
    <s v=""/>
    <n v="15"/>
    <s v="Agricultural Economics &amp; Policy; Food Science &amp; Technology"/>
    <x v="1"/>
    <s v="Agriculture; Food Science &amp; Technology"/>
    <s v="FN6KC"/>
    <s v=""/>
    <s v=""/>
    <s v=""/>
    <s v=""/>
    <s v="2023-11-15"/>
    <x v="116"/>
    <s v="View Full Record in Web of Science"/>
  </r>
  <r>
    <s v="J"/>
    <s v="Han, BR; Sun, TS; Chu, LY; Wu, LX"/>
    <s v=""/>
    <s v=""/>
    <s v=""/>
    <s v="Han, Brian Rongqing; Sun, Tianshu; Chu, Leon Yang; Wu, Lixia"/>
    <s v=""/>
    <s v=""/>
    <s v="COVID-19 and E-Commerce Operations: Evidence from Alibaba"/>
    <s v="M&amp;SOM-MANUFACTURING &amp; SERVICE OPERATIONS MANAGEMENT"/>
    <s v=""/>
    <s v=""/>
    <s v="English"/>
    <x v="0"/>
    <s v=""/>
    <s v=""/>
    <s v=""/>
    <s v=""/>
    <s v=""/>
    <s v="e-commerce; COVID-19; containment measures; digital resilience; logistics"/>
    <s v="SUPPLY CHAIN GLITCHES; IMPACT; MARKETS"/>
    <s v="Problem definition: This paper investigates the impact of COVID-19 on e-commerce sales and the underlying operational driver. Academic/practical relevance: As COVID-19 continues to disrupt offline retail, anecdotal evidence suggests a rapid growth of e-commerce. However, the pandemic may also significantly decrease offline logistics capacity, which in turn decreases e-commerce sales. Then, how does e-commerce respond to COVID-19, and what are the corresponding opportunities and challenges? Methodology: We leverage e-commerce sales data from Alibaba and construct a city-day panel across three years, representing sales for all buyers and sellers on the platform across 339 cities in mainland China. We develop three identification strategies to estimate the overall impact of COVID-19 (based on a year-on-year comparison), the impact of COVID-19 intensity (based on the different number of cases across cities), and the impact of corresponding containment measures (leveraging policy changes of checkpoint, partial shutdown, and complete shutdown measures across cities). Results: We provide two key findings. First, across different identification strategies, we observe a common drop and recovery pattern, which illustrates the digital resilience of e-commerce during the pandemic. For example, we estimate an overall decrease of 22% in e-commerce sales during the period of the Wuhan shutdown (January 23-April 7, 2020). However, it recovers in most cities within five weeks. Second, we identify a key operational driver-logistics capacity-that significantly explains the decline and recovery of e-commerce sales during and after the outbreak. Managerial implications: We provide important evidence on how e-commerce responds to and recovers from COVID-19, contrary to the common perception. The evidence in the recovery phase can also inform platforms and policymakers to design digital strategies and invest in logistics infrastructure."/>
    <s v="[Han, Brian Rongqing] Univ Illinois, Gies Coll Business, Champaign, IL 61820 USA; [Sun, Tianshu] Univ Southern Calif, Marshall Sch Business, Los Angeles, CA 90089 USA; [Chu, Leon Yang] Cheung Kong Grad Sch Business, Beijing 100006, Peoples R China; [Wu, Lixia] Alibaba Grp Inc, Hangzhou 311121, Peoples R China"/>
    <s v="University of Illinois System; University of Illinois Urbana-Champaign; University of Southern California; Alibaba Group"/>
    <s v="Han, BR (corresponding author), Univ Illinois, Gies Coll Business, Champaign, IL 61820 USA."/>
    <s v="brianhan@illinois.edu; tianshus@marshall.usc.edu; yzhu@ckgsb.edu.cn; wallace.wulx@cainiao.com"/>
    <s v=""/>
    <s v="Han, Brian/0000-0002-7730-7401"/>
    <s v=""/>
    <s v=""/>
    <s v=""/>
    <s v=""/>
    <n v="79"/>
    <n v="15"/>
    <n v="15"/>
    <n v="15"/>
    <n v="173"/>
    <s v="INFORMS"/>
    <s v="CATONSVILLE"/>
    <s v="5521 RESEARCH PARK DR, SUITE 200, CATONSVILLE, MD 21228 USA"/>
    <s v="1523-4614"/>
    <s v="1526-5498"/>
    <s v=""/>
    <s v="M&amp;SOM-MANUF SERV OP"/>
    <s v="M&amp;SOM-Manuf. Serv. Oper. Manag."/>
    <s v="MAY-JUN"/>
    <n v="2022"/>
    <n v="24"/>
    <n v="3"/>
    <s v=""/>
    <s v=""/>
    <s v=""/>
    <s v=""/>
    <n v="1388"/>
    <n v="1405"/>
    <s v=""/>
    <s v="10.1287/msom.2021.1075"/>
    <s v="http://dx.doi.org/10.1287/msom.2021.1075"/>
    <s v=""/>
    <s v="JAN 2022"/>
    <n v="18"/>
    <s v="Management; Operations Research &amp; Management Science"/>
    <x v="1"/>
    <s v="Business &amp; Economics; Operations Research &amp; Management Science"/>
    <s v="8N3KE"/>
    <s v=""/>
    <s v=""/>
    <s v=""/>
    <s v=""/>
    <s v="2023-11-15"/>
    <x v="117"/>
    <s v="View Full Record in Web of Science"/>
  </r>
  <r>
    <s v="J"/>
    <s v="Ho, WR; Tsolakis, N; Dawes, T; Dora, M; Kumar, M"/>
    <s v=""/>
    <s v=""/>
    <s v=""/>
    <s v="Ho, Wan Ri; Tsolakis, Naoum; Dawes, Tom; Dora, Manoj; Kumar, Mukesh"/>
    <s v=""/>
    <s v=""/>
    <s v="A Digital Strategy Development Framework for Supply Chains"/>
    <s v="IEEE TRANSACTIONS ON ENGINEERING MANAGEMENT"/>
    <s v=""/>
    <s v=""/>
    <s v="English"/>
    <x v="0"/>
    <s v=""/>
    <s v=""/>
    <s v=""/>
    <s v=""/>
    <s v=""/>
    <s v="Supply chains; Manufacturing; Companies; Decision making; Robots; Real-time systems; Bibliographies; Digital strategy development; digital supply chain strategy typologies; strategic management; supply chain digitalization criteria; supply chain management"/>
    <s v="INSTITUTION-BASED VIEW; DYNAMIC CAPABILITIES; INDUSTRY 4.0; MANUFACTURING STRATEGY; AGILE; MANAGEMENT; FUTURE; TRANSFORMATION; KNOWLEDGE; COMPANIES"/>
    <s v="Digitalization has provoked rapid changes in the operational landscape, thus requiring prompt decision-making across end-to-end supply chains. Notwithstanding the fact that technology is the epicenter of digital transformation, more often than not, organizations fail to effectively adopt innovative applications, harness their full potential, and realize growth and competitiveness. Therefore, this article argues that a unique strategy formulation process is required to embrace digitalization in manufacturing supply chains. However, within the context of manufacturing networks, strategy formulation approaches are limited. To this end, this article adopts a case study approach to extract tacit knowledge across 12 multinational companies within the theoretical boundaries of corporate strategy development. Research findings and a theoretically derived framework demonstrate that there are three typologies of digital strategy development for manufacturing supply chains, namely: 1) top-down; 2) bottom-up; and 3) mixed. Every identified typology is supplemented with three determinant criteria for digital supply chain strategy formulation, i.e., number of suppliers, market demand, and product types. Noteworthy, the aforementioned strategies are context-dependent. This article contributes to the operations management field by formulating a novel strategy development framework for digital supply chains. The proposed framework, synthesized via strategic management theoretical views and primary evidence, can provide a reference point as companies chart their current and future digital supply chain strategy state."/>
    <s v="[Ho, Wan Ri; Tsolakis, Naoum; Dawes, Tom; Kumar, Mukesh] Univ Cambridge, Inst Mfg, Dept Engn, Cambridge CB3 0FS, England; [Ho, Wan Ri] Swiss Fed Inst Technol, Dept Management Technol &amp; Econ, CH-8092 Zurich, Switzerland; [Dawes, Tom] Valuechain, Warrington WA4 4FS, Cheshire, England; [Dora, Manoj] Brunel Univ London, Brunel Business Sch, Uxbridge UB8 3PH, Middx, England"/>
    <s v="University of Cambridge; Swiss Federal Institutes of Technology Domain; ETH Zurich; Brunel University"/>
    <s v="Tsolakis, N (corresponding author), Univ Cambridge, Inst Mfg, Dept Engn, Cambridge CB3 0FS, England."/>
    <s v="who@ethz.ch; nt377@cam.ac.uk; tbd24@cam.ac.uk; manoj.dora@brunel.ac.uk; mk501@cam.ac.uk"/>
    <s v="Kumar, Mukesh/A-9178-2012; N'Dri, Amoin Bernadine/IWD-7811-2023; Tsolakis, Naoum/AAQ-9163-2021"/>
    <s v="Kumar, Mukesh/0000-0002-1961-5078; Tsolakis, Naoum/0000-0003-2042-7047; Dora, Manoj/0000-0003-4730-8144"/>
    <s v="Industrial Resilience Research Group at the University of Cambridge"/>
    <s v="Industrial Resilience Research Group at the University of Cambridge"/>
    <s v="This work was supported by the Industrial Resilience Research Group at the University of Cambridge. Review of this manuscript was arranged by Department Editor F. CEBI. (Corresponding author: Naoum Tsolakis.)"/>
    <s v=""/>
    <n v="88"/>
    <n v="15"/>
    <n v="15"/>
    <n v="53"/>
    <n v="204"/>
    <s v="IEEE-INST ELECTRICAL ELECTRONICS ENGINEERS INC"/>
    <s v="PISCATAWAY"/>
    <s v="445 HOES LANE, PISCATAWAY, NJ 08855-4141 USA"/>
    <s v="0018-9391"/>
    <s v="1558-0040"/>
    <s v=""/>
    <s v="IEEE T ENG MANAGE"/>
    <s v="IEEE Trans. Eng. Manage."/>
    <s v="JUL"/>
    <n v="2023"/>
    <n v="70"/>
    <n v="7"/>
    <s v=""/>
    <s v=""/>
    <s v=""/>
    <s v=""/>
    <n v="2493"/>
    <n v="2506"/>
    <s v=""/>
    <s v="10.1109/TEM.2021.3131605"/>
    <s v="http://dx.doi.org/10.1109/TEM.2021.3131605"/>
    <s v=""/>
    <s v="JAN 2022"/>
    <n v="14"/>
    <s v="Business; Engineering, Industrial; Management"/>
    <x v="1"/>
    <s v="Business &amp; Economics; Engineering"/>
    <s v="I6YE0"/>
    <s v=""/>
    <s v="Green Published"/>
    <s v=""/>
    <s v=""/>
    <s v="2023-11-15"/>
    <x v="118"/>
    <s v="View Full Record in Web of Science"/>
  </r>
  <r>
    <s v="J"/>
    <s v="Saura, JR; Palacios-Marqués, D; Ribeiro-Soriano, D"/>
    <s v=""/>
    <s v=""/>
    <s v=""/>
    <s v="Saura, Jose Ramon; Palacios-Marques, Daniel; Ribeiro-Soriano, Domingo"/>
    <s v=""/>
    <s v=""/>
    <s v="Digital marketing in SMEs via data-driven strategies: Reviewing the current state of research"/>
    <s v="JOURNAL OF SMALL BUSINESS MANAGEMENT"/>
    <s v=""/>
    <s v=""/>
    <s v="English"/>
    <x v="0"/>
    <s v=""/>
    <s v=""/>
    <s v=""/>
    <s v=""/>
    <s v=""/>
    <s v="SMEs; entrepreneurial marketing; data sciences; digital marketing; multiple correspondence analysis"/>
    <s v="MEDIUM-SIZED ENTERPRISES; MULTIPLE CORRESPONDENCE-ANALYSIS; SUPPLY CHAIN MANAGEMENT; SOCIAL NETWORK ANALYSIS; BIG DATA; KNOWLEDGE MANAGEMENT; TECHNOLOGY ADOPTION; SYSTEMATIC REVIEWS; CONJOINT-ANALYSIS; CRM ADOPTION"/>
    <s v="The development of the Internet and the implementation of traditional marketing strategies have given rise to the emergence of digital marketing strategies exploited both by SMEs and large companies. These companies combine data sciences with digital marketing strategies to sell products, generate brand awareness, or access new markets. The present study aims to understand the role and use of data science by SMEs in their online marketing performance. The research method used in this study is a systematic literature review. The data were analyzed using multiple correspondence analysis (MCA) in the programming language R. Based on the results, we identify a total of seven state-of-the-art uses of data science in digital marketing used by SMEs in their online marketing strategies that are graphically represented and analyzed. In addition, four future lines of research are proposed and discussed to understand the direction of the next steps that SMEs should take to successfully develop their digital strategies. Finally, the review concludes with a discussion of the theoretical and practical implications of our findings for further research on the influence and use of data sciences in SMEs' online marketing performance."/>
    <s v="[Saura, Jose Ramon] Rey Juan Carlos Univ, Dept Business Econ, Paseo Artilleros S-N, Madrid 28032, Spain; [Palacios-Marques, Daniel] Univ Politecn Valencia, Dept Business Org, Valencia, Spain; [Ribeiro-Soriano, Domingo] Univ Alcala, Dept Econ &amp; Business, Alcala De Henares, Spain"/>
    <s v="Universidad Rey Juan Carlos; Universitat Politecnica de Valencia; Universidad de Alcala"/>
    <s v="Saura, JR (corresponding author), Rey Juan Carlos Univ, Dept Business Econ, Paseo Artilleros S-N, Madrid 28032, Spain."/>
    <s v="joseramon.saura@urjc.es"/>
    <s v="Ribeiro-Soriano, Domingo/G-5798-2015; Saura, José Ramón/L-2861-2018"/>
    <s v="Ribeiro-Soriano, Domingo/0000-0003-3222-9101; Saura, José Ramón/0000-0002-9457-7745"/>
    <s v="Ministry of Science, Innovation and Universities; European Regional Development Fund [RTI2018-096295-B-C22]"/>
    <s v="Ministry of Science, Innovation and Universities; European Regional Development Fund(European Union (EU))"/>
    <s v="In gratitude to the Ministry of Science, Innovation and Universities and the European Regional Development Fund: RTI2018-096295-B-C22."/>
    <s v=""/>
    <n v="146"/>
    <n v="15"/>
    <n v="15"/>
    <n v="21"/>
    <n v="120"/>
    <s v="TAYLOR &amp; FRANCIS INC"/>
    <s v="PHILADELPHIA"/>
    <s v="530 WALNUT STREET, STE 850, PHILADELPHIA, PA 19106 USA"/>
    <s v="0047-2778"/>
    <s v="1540-627X"/>
    <s v=""/>
    <s v="J SMALL BUS MANAGE"/>
    <s v="J. Small Bus. Manag."/>
    <s v="MAY 4"/>
    <n v="2023"/>
    <n v="61"/>
    <n v="3"/>
    <s v=""/>
    <s v=""/>
    <s v="SI"/>
    <s v=""/>
    <n v="1278"/>
    <n v="1313"/>
    <s v=""/>
    <s v="10.1080/00472778.2021.1955127"/>
    <s v="http://dx.doi.org/10.1080/00472778.2021.1955127"/>
    <s v=""/>
    <s v="AUG 2021"/>
    <n v="36"/>
    <s v="Management"/>
    <x v="0"/>
    <s v="Business &amp; Economics"/>
    <s v="F9DI3"/>
    <s v=""/>
    <s v=""/>
    <s v=""/>
    <s v=""/>
    <s v="2023-11-15"/>
    <x v="119"/>
    <s v="View Full Record in Web of Science"/>
  </r>
  <r>
    <s v="J"/>
    <s v="Canhoto, AI; Quinton, S; Pera, R; Molinillo, S; Simkin, L"/>
    <s v=""/>
    <s v=""/>
    <s v=""/>
    <s v="Canhoto, Ana Isabel; Quinton, Sarah; Pera, Rebecca; Molinillo, Sebastin; Simkin, Lyndon"/>
    <s v=""/>
    <s v=""/>
    <s v="Digital strategy aligning in SMEs: A dynamic capabilities perspective"/>
    <s v="JOURNAL OF STRATEGIC INFORMATION SYSTEMS"/>
    <s v=""/>
    <s v=""/>
    <s v="English"/>
    <x v="0"/>
    <s v=""/>
    <s v=""/>
    <s v=""/>
    <s v=""/>
    <s v=""/>
    <s v="Digital strategy aligning; SMEs; Europe; Dynamic capabilities; Five-phase model"/>
    <s v="INFORMATION-SYSTEMS STRATEGY; MEDIUM-SIZED ENTERPRISES; MARKET ORIENTATION; TECHNOLOGY ADOPTION; SMALL BUSINESSES; E-GOVERNMENT; AS-PRACTICE; ALIGNMENT; ENTREPRENEURIAL; MANAGEMENT"/>
    <s v="Digital strategy alignment is a dominant concern for today's managers and information systems researchers. Yet research in this area remains fragmented, particularly on the digital strategy alignment of small and medium-sized enterprises (SMEs), which is concerning owing to their value to European economies. Employing dynamic capabilities as an analytical lens, we investigate how 43 British, Irish, Italian, and Spanish SMEs, across five industry sectors, enact digital aligning. We identify a model of digital alignment comprising five phases, which we term passive acceptance, connection, immersion, fusion, and transformation, as well as the specific combinations of sensing, seizing, and reorganizing capabilities associated with each phase. Our model provides a holistic, practice-based perspective and highlights the role of micro-behaviors and leadership in SMEs implementing digital strategy."/>
    <s v="[Canhoto, Ana Isabel] Brunel Univ London, Kingston Lane, Uxbridge UB8 3PH, Middx, England; [Quinton, Sarah] Oxford Brookes Univ, Oxford, England; [Pera, Rebecca] Univ Piemonte Orientale, Vercelli, Italy; [Molinillo, Sebastin] Univ Malaga, Malaga, Spain; [Simkin, Lyndon] Coventry Univ, Coventry, W Midlands, England"/>
    <s v="Brunel University; Oxford Brookes University; University of Eastern Piedmont Amedeo Avogadro; Universidad de Malaga; Coventry University"/>
    <s v="Canhoto, AI (corresponding author), Brunel Univ London, Kingston Lane, Uxbridge UB8 3PH, Middx, England."/>
    <s v="Ana.Canhoto@brunel.ac.uk"/>
    <s v="Molinillo, Sebastian/I-2420-2015; Canhoto, Ana Isabel/M-1980-2017"/>
    <s v="Molinillo, Sebastian/0000-0001-9132-5190; Canhoto, Ana Isabel/0000-0002-1623-611X"/>
    <s v="Oxford Brookes University, UK [0012-15/48]"/>
    <s v="Oxford Brookes University, UK"/>
    <s v="This research received funding from Oxford Brookes University, UK, internal small grants award number 0012-15/48."/>
    <s v=""/>
    <n v="101"/>
    <n v="15"/>
    <n v="15"/>
    <n v="52"/>
    <n v="262"/>
    <s v="ELSEVIER"/>
    <s v="AMSTERDAM"/>
    <s v="RADARWEG 29, 1043 NX AMSTERDAM, NETHERLANDS"/>
    <s v="0963-8687"/>
    <s v="1873-1198"/>
    <s v=""/>
    <s v="J STRATEGIC INF SYST"/>
    <s v="J. Strateg. Inf. Syst."/>
    <s v="SEP"/>
    <n v="2021"/>
    <n v="30"/>
    <n v="3"/>
    <s v=""/>
    <s v=""/>
    <s v=""/>
    <s v=""/>
    <s v=""/>
    <s v=""/>
    <n v="101682"/>
    <s v="10.1016/j.jsis.2021.101682"/>
    <s v="http://dx.doi.org/10.1016/j.jsis.2021.101682"/>
    <s v=""/>
    <s v="JUL 2021"/>
    <n v="17"/>
    <s v="Computer Science, Information Systems; Information Science &amp; Library Science; Management"/>
    <x v="1"/>
    <s v="Computer Science; Information Science &amp; Library Science; Business &amp; Economics"/>
    <s v="UR5LG"/>
    <s v=""/>
    <s v="Green Submitted, Green Published, Green Accepted"/>
    <s v=""/>
    <s v=""/>
    <s v="2023-11-15"/>
    <x v="120"/>
    <s v="View Full Record in Web of Science"/>
  </r>
  <r>
    <s v="J"/>
    <s v="Fumagalli, LAW; Rezende, DA; Guimaraes, TA"/>
    <s v=""/>
    <s v=""/>
    <s v=""/>
    <s v="Fumagalli, Luis Andre Wernecke; Rezende, Denis Alcides; Guimaraes, Thiago Andre"/>
    <s v=""/>
    <s v=""/>
    <s v="Challenges for public transportation: Consequences and possible alternatives for the Covid-19 pandemic through strategic digital city application"/>
    <s v="JOURNAL OF URBAN MANAGEMENT"/>
    <s v=""/>
    <s v=""/>
    <s v="English"/>
    <x v="0"/>
    <s v=""/>
    <s v=""/>
    <s v=""/>
    <s v=""/>
    <s v=""/>
    <s v="COVID-19; Public transportation; Strategic digital city; Bus"/>
    <s v="QUALITY ATTRIBUTES; DEMAND; USERS"/>
    <s v="Public transport was already one of the biggest issues for all municipalities where people are highly concentrated at the same space at the same time. With COVID-19 pandemic and social distancing consequences, mass transportation is actually the main barrier for students and workers dependents of transport to go back to their daily routines with comfort and safety. Thus, the objective is to determine a demand control able to equalize the number of passengers in each car, respecting the COVID-19 social distancing protocols. The number of passengers in each time-ofday range were combined in four different models that included independent variables related to passenger's behavior indicating that almost 90% of all passengers are following a very strict and straight daily routine that can be coordinated and scheduled creating enough time space one from the other to avoid undesirable concentrations inside buses and bus stops. In conclusion, a very accurate urban management tool can arise from the study and may be able to solve not only the pandemic issues but also to improve local public services efficiency, to attract private investments and to improve citizen's quality of life."/>
    <s v="[Fumagalli, Luis Andre Wernecke; Rezende, Denis Alcides] Pontificia Univ Catolica Parana PUCPR, R Imaculada Conceicao 1155, BR-80215901 Curitiba, PR, Brazil; [Fumagalli, Luis Andre Wernecke] FAE Business Sch FAE, Av Visconde Guarapuava 3263, BR-80010100 Curitiba, PR, Brazil; [Rezende, Denis Alcides] Depaul Univ, Sch Publ Serv, Chicago, IL 60604 USA; [Rezende, Denis Alcides] USP Univ, Sao Paulo, Brazil; [Rezende, Denis Alcides] UFSC Univ, Informat Technol &amp; Publ Private Strateg Planning, Florianopolis, SC, Brazil; [Rezende, Denis Alcides] UFPR Univ, Informat Technol, Curitiba, Parana, Brazil; [Guimaraes, Thiago Andre] Fed Univ Parana UFPR, Res Grp Technol Appl Optimizat GTAO, Av Prefeito Lothario Meissner 632, Curitiba, Parana, Brazil; [Guimaraes, Thiago Andre] UFPR Univ, Dept Gen &amp; Appl Adm DAGA, Curitiba, Parana, Brazil; [Guimaraes, Thiago Andre] Univ Laval, Ctr Interuniv Rech Reseaux Entreprise Logist &amp; Tr, Fed Inst Educ Sci &amp; Technol Parana IFPR, Quebec City, PQ, Canada; [Guimaraes, Thiago Andre] UFPR, Operat Res Grad Program Numer Methods Engn, Area Concentrat Math Programming, Curitiba, Parana, Brazil"/>
    <s v="DePaul University; Universidade Federal do Parana; Laval University; Universite de Montreal; Universidade Federal do Parana"/>
    <s v="Fumagalli, LAW (corresponding author), FAE Business Sch FAE, Av Visconde Guarapuava 3263, BR-80010 Curitiba, Parana, Brazil."/>
    <s v="luis.fumagalli@fae.edu; denis.rezende@pucpr.br; thiagoandre@ufpr.br"/>
    <s v="Rezende, Denis Alcides/AAR-2488-2021; Fumagalli, Luis André Wernecke/C-7061-2013; Guimaraes, Thiago Andre/JCN-8842-2023"/>
    <s v="Rezende, Denis Alcides/0000-0002-3327-0424; Fumagalli, Luis André Wernecke/0000-0002-1406-5230;"/>
    <s v=""/>
    <s v=""/>
    <s v=""/>
    <s v=""/>
    <n v="35"/>
    <n v="15"/>
    <n v="16"/>
    <n v="2"/>
    <n v="14"/>
    <s v="ELSEVIER"/>
    <s v="AMSTERDAM"/>
    <s v="RADARWEG 29, 1043 NX AMSTERDAM, NETHERLANDS"/>
    <s v="2226-5856"/>
    <s v="2589-0360"/>
    <s v=""/>
    <s v="J URBAN MANAG"/>
    <s v="J. Urban Manag."/>
    <s v="JUN"/>
    <n v="2021"/>
    <n v="10"/>
    <n v="2"/>
    <s v=""/>
    <s v=""/>
    <s v="SI"/>
    <s v=""/>
    <n v="97"/>
    <n v="109"/>
    <s v=""/>
    <s v="10.1016/j.jum.2021.04.002"/>
    <s v="http://dx.doi.org/10.1016/j.jum.2021.04.002"/>
    <s v=""/>
    <s v="JUN 2021"/>
    <n v="13"/>
    <s v="Urban Studies"/>
    <x v="3"/>
    <s v="Urban Studies"/>
    <s v="SP9UW"/>
    <s v=""/>
    <s v="gold, Green Published"/>
    <s v=""/>
    <s v=""/>
    <s v="2023-11-15"/>
    <x v="121"/>
    <s v="View Full Record in Web of Science"/>
  </r>
  <r>
    <s v="J"/>
    <s v="Mikheev, A; Serkina, Y; Vasyaev, A"/>
    <s v=""/>
    <s v=""/>
    <s v=""/>
    <s v="Mikheev, Alexey; Serkina, Yana; Vasyaev, Alexander"/>
    <s v=""/>
    <s v=""/>
    <s v="RETRACTED: Current trends in the digital transformation of higher education institutions in Russia (Retracted article. See APR, 2023)"/>
    <s v="EDUCATION AND INFORMATION TECHNOLOGIES"/>
    <s v=""/>
    <s v=""/>
    <s v="English"/>
    <x v="3"/>
    <s v=""/>
    <s v=""/>
    <s v=""/>
    <s v=""/>
    <s v=""/>
    <s v="Digital transformation; Digitalization; Higher education; Digital technologies; Social institutions"/>
    <s v=""/>
    <s v="This research aimed to analyze the current trends in the digital transformation of educational institutions. The investigation lasted from November 2019 to May 2020 and was based on three higher educational institutions (HEIs) in the Russian Federation: Belgorod State University, Moscow State Institute of International Relations, and Kutafin Moscow State Law University. The number of respondents enrolled was 420 people. In an attempt to bring together views and experiences of different actors of the educational sector, three individual online surveys were conducted among administrative staff, teachers, and students of mentioned educational institutions. All respondents were provided with questionnaires aimed at identifying current trends in educational paradigm transformation and studying the extent to which digital strategies are applied in the process of HEIs' development. The detailed analysis of survey outcomes allowed indicating positive and negative trends in digitalization of educational processes from the perspective of university administrative staff, teachers, and students. Positive trends were: ensuring the availability of higher education through the implementation of full-fledged distance learning courses; enhancing the students' experience through the introduction of innovative teaching methods; providing open access to educational resources and research results; opportunity to participate in global open science initiatives; and reduction of higher education cost to ensure its accessibility and mass scale. The barriers to the digital transformation of the educational sphere were: lack of funds for the implementation of a comprehensive digital transformation strategy; resistance to changes on the part of the staff; and a low level of confidence in technological solutions used in teaching practice. As a result, the conducted investigation uncovered the essence of digital transformation in the institutional structures of the higher education sector. However, given that digitalization is a complex process affecting most spheres of socio-economic interaction, consideration of only positive and negative digital transformation trends is insufficient to thoroughly analyze global digital shifts and the formation of national vectors for digital society development."/>
    <s v="[Mikheev, Alexey] MGIMO Univ, Dept Publ Adm, Moscow, Russia; [Serkina, Yana] Belgorod State Natl Res Univ, Dept Management &amp; Mkt, Belgorod, Russia; [Vasyaev, Alexander] Moscow State Law Univ, Dept Advocacy, Moscow, Russia"/>
    <s v="MGIMO University; Belgorod State University; Kutafin Moscow State Law University"/>
    <s v="Mikheev, A (corresponding author), MGIMO Univ, Dept Publ Adm, Moscow, Russia."/>
    <s v="mikheevalex87@rambler.ru"/>
    <s v="Serkina, Yana/O-4544-2017; Mikheev, Alexey/AAR-8829-2021"/>
    <s v="Serkina, Yana/0000-0002-5106-7104; Mikheev, Alexey/0000-0002-9875-8172"/>
    <s v=""/>
    <s v=""/>
    <s v=""/>
    <s v=""/>
    <n v="28"/>
    <n v="15"/>
    <n v="16"/>
    <n v="10"/>
    <n v="128"/>
    <s v="SPRINGER"/>
    <s v="NEW YORK"/>
    <s v="ONE NEW YORK PLAZA, SUITE 4600, NEW YORK, NY, UNITED STATES"/>
    <s v="1360-2357"/>
    <s v="1573-7608"/>
    <s v=""/>
    <s v="EDUC INF TECHNOL"/>
    <s v="Educ. Inf. Technol."/>
    <s v="JUL"/>
    <n v="2021"/>
    <n v="26"/>
    <n v="4"/>
    <s v=""/>
    <s v=""/>
    <s v=""/>
    <s v=""/>
    <n v="4537"/>
    <n v="4551"/>
    <s v=""/>
    <s v="10.1007/s10639-021-10467-6"/>
    <s v="http://dx.doi.org/10.1007/s10639-021-10467-6"/>
    <s v=""/>
    <s v="MAR 2021"/>
    <n v="15"/>
    <s v="Education &amp; Educational Research"/>
    <x v="0"/>
    <s v="Education &amp; Educational Research"/>
    <s v="TL6AD"/>
    <s v=""/>
    <s v="Green Submitted"/>
    <s v=""/>
    <s v=""/>
    <s v="2023-11-15"/>
    <x v="122"/>
    <s v="View Full Record in Web of Science"/>
  </r>
  <r>
    <s v="J"/>
    <s v="Punín, MI; Martínez, A; Rencoret, N"/>
    <s v=""/>
    <s v=""/>
    <s v=""/>
    <s v="Isabel Punin, M.; Martinez, Alison; Rencoret, Nathaly"/>
    <s v=""/>
    <s v=""/>
    <s v="Digital Media in Ecuador - Future Perspectives"/>
    <s v="COMUNICAR"/>
    <s v=""/>
    <s v=""/>
    <s v="Spanish"/>
    <x v="0"/>
    <s v=""/>
    <s v=""/>
    <s v=""/>
    <s v=""/>
    <s v=""/>
    <s v="Communication; digital media; digital trend; development; access; Internet; journalism"/>
    <s v=""/>
    <s v="The advances in technology, especially in the field of communication, cause mass media to constantly evolve- and thus not to perish. Indeed, this occurs in situations that are marked by a series of media transformations and changes that have affected journalism as a profession and mass media as a process. The studies that have resulted from these changes have been positive and negative. This paper analyses the digital media panorama in Ecuador, the characteristics of journalism culture and the specific usage of web content. It describes the trends of the main digital media in the country, which have been selected for a case study. The article takes as a core reference 'ten digital trends in media communication' proposed by Cerezo-Gilarranz - a specialist in digital strategies. We then focus on the deficiencies of Ecuadorian mass media, which is mainly due to a lack of control over technological environments and the scarcity of links between business and journalism projects that have technological and innovative support, such as the usage of social networks and others. The final result is a detailed guide to the weaknesses and strengths of each digital medium that has been studied. Furthermore, this work highlights reliable trends so that the selected media can orientate towards digital environments. This is achieved by making use of technological tools for creating business and service opportunities."/>
    <s v="[Isabel Punin, M.] Univ Tecn Particular Loja, TC Dept Ciencias Comunicac, Loja, Ecuador; [Martinez, Alison; Rencoret, Nathaly] Univ Tecn Particular Loja, Dept Ciencias Comunicac, Loja, Ecuador"/>
    <s v="Universidad Tecnica Particular de Loja; Universidad Tecnica Particular de Loja"/>
    <s v="Punín, MI (corresponding author), Univ Tecn Particular Loja, TC Dept Ciencias Comunicac, Loja, Ecuador."/>
    <s v="mipunin@utpl.edu.ec; acmartinez1@utpl.edu.ec; natieangelik@utpl.edu.ec"/>
    <s v="Punín, M.I/F-1970-2019"/>
    <s v="Punín, M.I/0000-0001-5052-824X"/>
    <s v=""/>
    <s v=""/>
    <s v=""/>
    <s v=""/>
    <n v="30"/>
    <n v="15"/>
    <n v="17"/>
    <n v="3"/>
    <n v="18"/>
    <s v="GRUPO COMUNICAR"/>
    <s v="HUELVA"/>
    <s v="APDO CORREOS 527, HUELVA, 21080, SPAIN"/>
    <s v="1134-3478"/>
    <s v="1988-3293"/>
    <s v=""/>
    <s v="COMUNICAR"/>
    <s v="Comunicar"/>
    <s v="JAN 1"/>
    <n v="2014"/>
    <n v="21"/>
    <n v="42"/>
    <s v=""/>
    <s v=""/>
    <s v=""/>
    <s v=""/>
    <n v="199"/>
    <n v="207"/>
    <s v=""/>
    <s v="10.3916/C42-2014-20"/>
    <s v="http://dx.doi.org/10.3916/C42-2014-20"/>
    <s v=""/>
    <s v=""/>
    <n v="9"/>
    <s v="Communication; Education &amp; Educational Research"/>
    <x v="0"/>
    <s v="Communication; Education &amp; Educational Research"/>
    <s v="281XU"/>
    <s v=""/>
    <s v="Green Accepted, Green Submitted, gold"/>
    <s v=""/>
    <s v=""/>
    <s v="2023-11-15"/>
    <x v="123"/>
    <s v="View Full Record in Web of Science"/>
  </r>
  <r>
    <s v="J"/>
    <s v="Beijer, TR; van Dijk, EJ; de Vries, J; Vermeer, SE; Prokop, M; Meijer, FJA"/>
    <s v=""/>
    <s v=""/>
    <s v=""/>
    <s v="Beijer, Tim R.; van Dijk, Ewoud J.; de Vries, Joost; Vermeer, Sarah E.; Prokop, Mathias; Meijer, Frederick J. A."/>
    <s v=""/>
    <s v=""/>
    <s v="4D-CT angiography differentiating arteriovenous fistula subtypes"/>
    <s v="CLINICAL NEUROLOGY AND NEUROSURGERY"/>
    <s v=""/>
    <s v=""/>
    <s v="English"/>
    <x v="0"/>
    <s v=""/>
    <s v=""/>
    <s v=""/>
    <s v=""/>
    <s v=""/>
    <s v="Dural arteriovenous fistula; 4D CTA; Brain; Neurovascular; Neuroimaging"/>
    <s v="CLINICAL PRESENTATION; VENOUS DRAINAGE; CLASSIFICATION; MALFORMATIONS"/>
    <s v="Objective and methods: In the diagnostic work-up of patients suspected of a dural arteriovenous fistula (dAVF), imaging has a key role in order to diagnose the dAVF, assess its bleeding risk and choose optimal treatment strategy. Digital subtraction angiography (DSA) is the gold standard for the most detailed image of a dAVF. Nowadays four-dimensional CT angiography (4D-CTA) could possibly be an additional first-line tool in the work-up of a patient suspected of a dAVF. We describe three cases clinically suspected of a dAVF which had a diagnostic work-up with 4D-CTA as well as DSA. We evaluated the angioarchitecture of the dAVF both on 4D-CTA and DSA, with emphasis on the patterns of venous drainage as this is important in assessing the bleeding risk of a dAVF. Results and conclusion: 4D-CTA identified the dAVF, revealed its angioarchitecture and correctly differentiated different patterns of venous drainage (Borden type I, II and III) as confirmed on DSA. Although DSA has the advantage of higher spatial and temporal resolution, 4D-CTA seems to be a new useful non-invasive tool in the diagnostic work-up of a patient suspected of a dAVF. (C) 2012 Elsevier B.V. All rights reserved."/>
    <s v="[Beijer, Tim R.; van Dijk, Ewoud J.] Radboud Univ Nijmegen, Med Ctr, Dept Neurol, NL-6500 HB Nijmegen, Netherlands; [de Vries, Joost] Radboud Univ Nijmegen, Med Ctr, Dept Neurosurg, NL-6500 HB Nijmegen, Netherlands; [Vermeer, Sarah E.] Rijnstate Med Ctr, Dept Neurol, Arnhem, Netherlands; [Prokop, Mathias; Meijer, Frederick J. A.] Radboud Univ Nijmegen, Med Ctr, Dept Radiol, NL-6500 HB Nijmegen, Netherlands"/>
    <s v="Radboud University Nijmegen; Radboud University Nijmegen; Rijnstate Hospital; Radboud University Nijmegen"/>
    <s v="Meijer, FJA (corresponding author), Radboud Univ Nijmegen, Med Ctr, Dept Radiol, Postbus 9101, NL-6500 HB Nijmegen, Netherlands."/>
    <s v="f.meijer@rad.umcn.nl"/>
    <s v="van Dijk, Ewoud J/J-7951-2012; Vries, J./L-4731-2015; Meijer, Frederick J.A./L-4516-2015; Prokop, W. Mathias/H-8081-2014"/>
    <s v="Meijer, Frederick J.A./0000-0001-5921-639X; Prokop, W. Mathias/0000-0001-8157-8055"/>
    <s v=""/>
    <s v=""/>
    <s v=""/>
    <s v=""/>
    <n v="11"/>
    <n v="15"/>
    <n v="15"/>
    <n v="0"/>
    <n v="2"/>
    <s v="ELSEVIER SCIENCE BV"/>
    <s v="AMSTERDAM"/>
    <s v="PO BOX 211, 1000 AE AMSTERDAM, NETHERLANDS"/>
    <s v="0303-8467"/>
    <s v=""/>
    <s v=""/>
    <s v="CLIN NEUROL NEUROSUR"/>
    <s v="Clin. Neurol. Neurosurg."/>
    <s v="AUG"/>
    <n v="2013"/>
    <n v="115"/>
    <n v="8"/>
    <s v=""/>
    <s v=""/>
    <s v=""/>
    <s v=""/>
    <n v="1313"/>
    <n v="1316"/>
    <s v=""/>
    <s v="10.1016/j.clineuro.2012.12.015"/>
    <s v="http://dx.doi.org/10.1016/j.clineuro.2012.12.015"/>
    <s v=""/>
    <s v=""/>
    <n v="4"/>
    <s v="Clinical Neurology; Surgery"/>
    <x v="2"/>
    <s v="Neurosciences &amp; Neurology; Surgery"/>
    <s v="198NJ"/>
    <n v="23298975"/>
    <s v=""/>
    <s v=""/>
    <s v=""/>
    <s v="2023-11-15"/>
    <x v="124"/>
    <s v="View Full Record in Web of Science"/>
  </r>
  <r>
    <s v="J"/>
    <s v="Dennis, EE; Warley, S; Sheridan, J"/>
    <s v=""/>
    <s v=""/>
    <s v=""/>
    <s v="Dennis, Everette E.; Warley, Stephen; Sheridan, James"/>
    <s v=""/>
    <s v=""/>
    <s v="Doing Digital: An Assessment of the Top 25 U.S. Media Companies and their Digital Strategies"/>
    <s v="JOURNAL OF MEDIA BUSINESS STUDIES"/>
    <s v=""/>
    <s v=""/>
    <s v="English"/>
    <x v="0"/>
    <s v=""/>
    <s v=""/>
    <s v=""/>
    <s v=""/>
    <s v=""/>
    <s v="technology; digital strategy; leadership; company organization"/>
    <s v=""/>
    <s v="This study examines how major U.S. media companies are developing their digital strategies in the context of earlier work on convergence. Through rare interviews with media leaders and other sources, the ways that media corporations have coped with digital innovation following the dot-com crash are explored, including its delivery and the styles of leadership. The authors posit that media firms fall into three categories: leaders, learners and laggards."/>
    <s v="[Dennis, Everette E.; Warley, Stephen; Sheridan, James] Fordham Univ, Grad Sch Business, Bronx, NY 10458 USA"/>
    <s v="Fordham University"/>
    <s v="Dennis, EE (corresponding author), Fordham Univ, Grad Sch Business, Bronx, NY 10458 USA."/>
    <s v=""/>
    <s v=""/>
    <s v=""/>
    <s v=""/>
    <s v=""/>
    <s v=""/>
    <s v=""/>
    <n v="8"/>
    <n v="15"/>
    <n v="15"/>
    <n v="0"/>
    <n v="1"/>
    <s v="ROUTLEDGE JOURNALS, TAYLOR &amp; FRANCIS LTD"/>
    <s v="ABINGDON"/>
    <s v="2-4 PARK SQUARE, MILTON PARK, ABINGDON OX14 4RN, OXON, ENGLAND"/>
    <s v="1652-2354"/>
    <s v="2376-2977"/>
    <s v=""/>
    <s v="J MEDIA RES STUD"/>
    <s v="J. Media Res. Stud."/>
    <s v=""/>
    <n v="2006"/>
    <n v="3"/>
    <n v="1"/>
    <s v=""/>
    <s v=""/>
    <s v=""/>
    <s v=""/>
    <n v="33"/>
    <n v="51"/>
    <s v=""/>
    <s v="10.1080/16522354.2006.11073438"/>
    <s v="http://dx.doi.org/10.1080/16522354.2006.11073438"/>
    <s v=""/>
    <s v=""/>
    <n v="19"/>
    <s v="Business"/>
    <x v="3"/>
    <s v="Business &amp; Economics"/>
    <s v="VA1XM"/>
    <s v=""/>
    <s v=""/>
    <s v=""/>
    <s v=""/>
    <s v="2023-11-15"/>
    <x v="125"/>
    <s v="View Full Record in Web of Science"/>
  </r>
  <r>
    <s v="J"/>
    <s v="Hu, LL"/>
    <s v=""/>
    <s v=""/>
    <s v=""/>
    <s v="Hu, Lala"/>
    <s v=""/>
    <s v=""/>
    <s v="The PPE industry in Italy during COVID-19: supply chain disruption and the adoption of digital and social media in B2B firms"/>
    <s v="JOURNAL OF BUSINESS &amp; INDUSTRIAL MARKETING"/>
    <s v=""/>
    <s v=""/>
    <s v="English"/>
    <x v="0"/>
    <s v=""/>
    <s v=""/>
    <s v=""/>
    <s v=""/>
    <s v=""/>
    <s v="Supply chain; B2B; Social media; Disruption; COVID-19; PPE"/>
    <s v="TRADE FAIRS; BUSINESS; IMPACT; TECHNOLOGY; STRATEGIES; INSIGHTS; SALES; PERFORMANCE; DEPENDENCE; DECISIONS"/>
    <s v="Purpose The purpose of this paper is to analyze how the personal protective equipment (PPE) industry managed supply chain and business relationships disrupted by the COVID-19 pandemic, and the adoption of digital and social media during the period of crisis management. Design/methodology/approach The methodology used is qualitative based on 14 interviews with 11 PPE firms operating in Italy, the first Western country that implemented a national lockdown during the COVID-19 outbreak in 2020. Findings Findings suggest that although most PPE companies in Italy have been slow in implementing digital transformation, digital technologies and communication enhanced existing assets and capabilities creating new customer value during the COVID-19 outbreak. The pandemic has increased the relevance of social media as an effective tool in the business-to-business (B2B) context to provide updated information and training, as well as to reinforce and personalize business relationships, weakened by the lack of physical contacts during the lockdown. Moreover, highly interdependent buyer-supplier relations can increase supply chain resilience to disruptions in mutually dependent relationships/partnerships. Research limitations/implications By analyzing the main issues encountered during the pandemic and the digital strategies adopted by PPE companies, this study seeks to extend B2B literature on supply chain disruption management and digitalization. The limitations refer to the study's generalizability as a limited number of firms are analyzed. Practical implications Implications for B2B companies and policymakers are provided with the extent of managing supply chain disruptions during emergency situations such as COVID-19 pandemic, when collaboration between different actors involved become essential. Originality/value No previous studies have analyzed how PPE firms used digital and social media in managing disruption in supply chain and business relationships. Therefore, the present study contributes to extend the B2B literature by analyzing the related effects during the COVID-19 pandemic."/>
    <s v="[Hu, Lala] Univ Cattolica Sacro Cuore, Milan, Italy"/>
    <s v="Catholic University of the Sacred Heart"/>
    <s v="Hu, LL (corresponding author), Univ Cattolica Sacro Cuore, Milan, Italy."/>
    <s v="lala.hu@unicatt.it"/>
    <s v=""/>
    <s v="Hu, Lala/0000-0001-5492-3706"/>
    <s v=""/>
    <s v=""/>
    <s v=""/>
    <s v=""/>
    <n v="61"/>
    <n v="14"/>
    <n v="14"/>
    <n v="8"/>
    <n v="47"/>
    <s v="EMERALD GROUP PUBLISHING LTD"/>
    <s v="BINGLEY"/>
    <s v="HOWARD HOUSE, WAGON LANE, BINGLEY BD16 1WA, W YORKSHIRE, ENGLAND"/>
    <s v="0885-8624"/>
    <s v="2052-1189"/>
    <s v=""/>
    <s v="J BUS IND MARK"/>
    <s v="J. Bus. Ind. Mark."/>
    <s v="OCT 21"/>
    <n v="2022"/>
    <n v="37"/>
    <n v="10"/>
    <s v=""/>
    <s v=""/>
    <s v="SI"/>
    <s v=""/>
    <n v="2050"/>
    <n v="2063"/>
    <s v=""/>
    <s v="10.1108/JBIM-01-2021-0005"/>
    <s v="http://dx.doi.org/10.1108/JBIM-01-2021-0005"/>
    <s v=""/>
    <s v="JAN 2022"/>
    <n v="14"/>
    <s v="Business"/>
    <x v="0"/>
    <s v="Business &amp; Economics"/>
    <s v="5L3YB"/>
    <s v=""/>
    <s v=""/>
    <s v=""/>
    <s v=""/>
    <s v="2023-11-15"/>
    <x v="126"/>
    <s v="View Full Record in Web of Science"/>
  </r>
  <r>
    <s v="J"/>
    <s v="Leao, P; da Silva, MM"/>
    <s v=""/>
    <s v=""/>
    <s v=""/>
    <s v="Leao, Pedro; da Silva, Miguel Mira"/>
    <s v=""/>
    <s v=""/>
    <s v="Impacts of digital transformation on firms' competitive advantages: A systematic literature review"/>
    <s v="STRATEGIC CHANGE-BRIEFINGS IN ENTREPRENEURIAL FINANCE"/>
    <s v=""/>
    <s v=""/>
    <s v="English"/>
    <x v="0"/>
    <s v=""/>
    <s v=""/>
    <s v=""/>
    <s v=""/>
    <s v=""/>
    <s v="competitive advantage; digital strategy; digital transformation; global value chains; impact"/>
    <s v="STRATEGIC GROUPS; BUSINESS MODELS; RESOURCE; DIVERSIFICATION; PERSPECTIVE; VIEW"/>
    <s v="Digital transformation impacts firms' competitiveness mainly on innovation, efficiency, cost reduction, and impacts global value chains on specialization, geographic scope, governance, and upgrading. According to literature, the impacts of digital transformation over firms' competitiveness, while presenting a more prominent role over more classical advantages, present a majority of positively signed impact directions, being, on average, beneficial to the firms that implement such transformations. Industrial processes' digitalization links global value chains' four main dimensions by increasing the firm's focus on more specific value chain activities (specialization) and international expansion opportunities (geographic scope) activity. In parallel, industrial digital transformation is also motivating firms to expand into upstream activities across the value chains (upgrading) and impacting significantly at GVCs' strategy (governance) due to the emergence of digital platforms, disrupting former competitive settings into new networked extended business ecosystems."/>
    <s v="[Leao, Pedro] Univ Lisbon, AESE Business Sch, Lisbon, Portugal; [da Silva, Miguel Mira] Univ Lisbon, INOV, Lisbon, Portugal"/>
    <s v="Universidade de Lisboa; Universidade de Lisboa; INOV INESC Inovacao"/>
    <s v="Leao, P (corresponding author), Av Rovisco Pais 1, P-1049001 Lisbon, Portugal."/>
    <s v="pedro.leao@tecnico.ulisboa.pt"/>
    <s v="Mira da Silva, Miguel/A-2892-2009; Mira da Silva, Miguel/ABA-4774-2021"/>
    <s v="Mira da Silva, Miguel/0000-0002-0489-4465; Mira da Silva, Miguel/0000-0002-0489-4465"/>
    <s v=""/>
    <s v=""/>
    <s v=""/>
    <s v=""/>
    <n v="71"/>
    <n v="14"/>
    <n v="14"/>
    <n v="32"/>
    <n v="164"/>
    <s v="JOHN WILEY &amp; SONS LTD"/>
    <s v="CHICHESTER"/>
    <s v="THE ATRIUM, SOUTHERN GATE, CHICHESTER PO19 8SQ, W SUSSEX, ENGLAND"/>
    <s v="1086-1718"/>
    <s v="1099-1697"/>
    <s v=""/>
    <s v="STRATEG CHANG"/>
    <s v="Strateg. Chang."/>
    <s v="SEP"/>
    <n v="2021"/>
    <n v="30"/>
    <n v="5"/>
    <s v=""/>
    <s v=""/>
    <s v="SI"/>
    <s v=""/>
    <n v="421"/>
    <n v="441"/>
    <s v=""/>
    <s v="10.1002/jsc.2459"/>
    <s v="http://dx.doi.org/10.1002/jsc.2459"/>
    <s v=""/>
    <s v=""/>
    <n v="21"/>
    <s v="Business, Finance"/>
    <x v="3"/>
    <s v="Business &amp; Economics"/>
    <s v="UL2RU"/>
    <s v=""/>
    <s v=""/>
    <s v=""/>
    <s v=""/>
    <s v="2023-11-15"/>
    <x v="127"/>
    <s v="View Full Record in Web of Science"/>
  </r>
  <r>
    <s v="J"/>
    <s v="Delgado, F"/>
    <s v=""/>
    <s v=""/>
    <s v=""/>
    <s v="Delgado, Francisco"/>
    <s v=""/>
    <s v=""/>
    <s v="Teaching Physics for Computer Science Students in Higher Education During the COVID-19 Pandemic: A Fully Internet-Supported Course"/>
    <s v="FUTURE INTERNET"/>
    <s v=""/>
    <s v=""/>
    <s v="English"/>
    <x v="0"/>
    <s v=""/>
    <s v=""/>
    <s v=""/>
    <s v=""/>
    <s v=""/>
    <s v="blended learning; mobile learning; COVID-19; physics education; performance learning; educational innovation; higher education"/>
    <s v=""/>
    <s v="The COVID-19 pandemic has modified and diversified the ways that students receive education. During confinements, complex courses integrating previous knowledge must be carefully designed and implemented to effectively replace the elements present in face-to-face learning to improve the students' experience. This work assesses the implementation of a digital-learning physics course for computer science students in a skill-based education program in higher education. The assessment was useful for the institution to evaluate if the digital strategy implemented in the course fulfilled the original premises and objectives. The analyses performed provide useful knowledge of theoretical and operational actions applied in this methodology that could be adapted to similar courses for the younger generations in this university. COVID-19 confinement will continue in Mexico in 2021. This assessment resulted in a positive evaluation of the digital strategy being followed, which can be continued while the contingency lasts. Three teachers came together to design math, physics, and computational sciences content for various sections of a physics course. The analysis was developed and implemented according to an institutional digital delivery model for the COVID-19 pandemic. Elements related to attendance, digital access, performance distribution by gender, activity types, and the course learning sections were considered. The analysis was performed with some techniques found in the literature for small groups, complemented when necessary by standard statistical tests to discern meaningful trends. A primary goal was to assess skill-based learning in the course delivered digitally due to the COVID-19 confinement. Furthermore, additional issues concerning the learning dynamics were searched, reported, and analyzed. Finally, the outcomes of an institutional exit survey collecting students' opinions supported certain observed behaviors. The analysis produced meaningful evidence that the course's skill-based development was well supported by the digital delivery during the confinement. Furthermore, differences in the students' performances in the various course content sections proved statistically significant and are discussed in this work."/>
    <s v="[Delgado, Francisco] Tecnol Monterrey, Sch Engn &amp; Sci, Atizapan 52926, Mexico"/>
    <s v="Tecnologico de Monterrey"/>
    <s v="Delgado, F (corresponding author), Tecnol Monterrey, Sch Engn &amp; Sci, Atizapan 52926, Mexico."/>
    <s v="fdelgado@tec.mx"/>
    <s v="Delgado, Francisco/A-7728-2015"/>
    <s v="Delgado, Francisco/0000-0002-9809-6746"/>
    <s v="Writing Lab, Institute for the Future of Education, Tecnologico de Monterrey, Mexico"/>
    <s v="Writing Lab, Institute for the Future of Education, Tecnologico de Monterrey, Mexico"/>
    <s v="I am grateful to my students for their dedication during the COVID-19 crisis from October to November 2020. Thanks, particularly, because their participation contributed to in-depth knowledge about blended learning, which was proved successfully during a critical era for humankind. Special thanks to Lourdes Quezada and Mario Estrada for the exemplary collaboration as a team teaching for the block being referred in the current report. The author acknowledges the technical and economical support of Writing Lab, Institute for the Future of Education, Tecnologico de Monterrey, Mexico, in the production of this work."/>
    <s v=""/>
    <n v="51"/>
    <n v="14"/>
    <n v="14"/>
    <n v="0"/>
    <n v="15"/>
    <s v="MDPI"/>
    <s v="BASEL"/>
    <s v="ST ALBAN-ANLAGE 66, CH-4052 BASEL, SWITZERLAND"/>
    <s v=""/>
    <s v="1999-5903"/>
    <s v=""/>
    <s v="FUTURE INTERNET"/>
    <s v="Future Internet"/>
    <s v="FEB"/>
    <n v="2021"/>
    <n v="13"/>
    <n v="2"/>
    <s v=""/>
    <s v=""/>
    <s v=""/>
    <s v=""/>
    <s v=""/>
    <s v=""/>
    <n v="35"/>
    <s v="10.3390/fi13020035"/>
    <s v="http://dx.doi.org/10.3390/fi13020035"/>
    <s v=""/>
    <s v=""/>
    <n v="24"/>
    <s v="Computer Science, Information Systems"/>
    <x v="3"/>
    <s v="Computer Science"/>
    <s v="QN6GV"/>
    <s v=""/>
    <s v="gold"/>
    <s v=""/>
    <s v=""/>
    <s v="2023-11-15"/>
    <x v="128"/>
    <s v="View Full Record in Web of Science"/>
  </r>
  <r>
    <s v="J"/>
    <s v="Hall, N; Schmitz, HP; Dedmon, JM"/>
    <s v=""/>
    <s v=""/>
    <s v=""/>
    <s v="Hall, Nina; Schmitz, Hans Peter; Dedmon, J. Michael"/>
    <s v=""/>
    <s v=""/>
    <s v="Transnational Advocacy and NGOs in the Digital Era: New Forms of Networked Power"/>
    <s v="INTERNATIONAL STUDIES QUARTERLY"/>
    <s v=""/>
    <s v=""/>
    <s v="English"/>
    <x v="0"/>
    <s v=""/>
    <s v=""/>
    <s v=""/>
    <s v=""/>
    <s v=""/>
    <s v=""/>
    <s v="INTERNET; RIGHTS"/>
    <s v="International relations (IR) scholars have recognized the importance of technology in enabling nongovernmental organizations (NGOs) to build transnational networks and enhance their influence. However, IR scholars have typically focused on elite networks across NGOs, states, and international organizations. This article considers how digital technologies generate new types of networked power between NGOs and their members. Digital tools allow for fast feedback from supporters, rapid surges in mobilization, and more decentralized campaigns. Importantly, in the digital era, NGOs must decide not only which digital platforms to use, but also whether to devolve decision-making to their supporters. Two questions arise: First, do NGO staff or supporters primarily define and produce advocacy content? Second, is the goal of digital activism to broaden or intensify participation? Answers to these questions generate four digital strategies: proselytizing, testing, conversing, and facilitating. These strategies change advocacy practices, but only facilitating strategies open up new forms of networked power based on supporter-to-supporter connections. Digital strategies have profound ramifications for individual organizations, the nature of the advocacy sector, and its power in relation to states, corporations, and other nonstate actors. Digital adoption patterns shape how NGOs choose campaigns, how they legitimate their claims, and what strategies they rely on."/>
    <s v="[Hall, Nina] Johns Hopkins Univ, Baltimore, MD 21218 USA; [Schmitz, Hans Peter] Univ San Diego, San Diego, CA 92110 USA; [Dedmon, J. Michael] Syracuse Univ, Polit Sci, Syracuse, NY 13244 USA"/>
    <s v="Johns Hopkins University; University of San Diego; Syracuse University"/>
    <s v="Hall, N (corresponding author), Johns Hopkins Univ, Baltimore, MD 21218 USA."/>
    <s v=""/>
    <s v="Hall, Nina/AAQ-2987-2020; Schmitz, Hans Peter/AAL-6100-2020; Schmitz, Hans Peter/AEF-9711-2022"/>
    <s v="Hall, Nina/0000-0002-6318-9029; Schmitz, Hans Peter/0000-0002-8343-7755; Schmitz, Hans Peter/0000-0002-8343-7755; Dedmon, J. Michael/0000-0002-8467-2765"/>
    <s v=""/>
    <s v=""/>
    <s v=""/>
    <s v=""/>
    <n v="67"/>
    <n v="14"/>
    <n v="14"/>
    <n v="3"/>
    <n v="15"/>
    <s v="OXFORD UNIV PRESS"/>
    <s v="OXFORD"/>
    <s v="GREAT CLARENDON ST, OXFORD OX2 6DP, ENGLAND"/>
    <s v="0020-8833"/>
    <s v="1468-2478"/>
    <s v=""/>
    <s v="INT STUD QUART"/>
    <s v="Int. Stud. Q."/>
    <s v="MAR"/>
    <n v="2020"/>
    <n v="64"/>
    <n v="1"/>
    <s v=""/>
    <s v=""/>
    <s v=""/>
    <s v=""/>
    <n v="159"/>
    <n v="167"/>
    <s v=""/>
    <s v="10.1093/isq/sqz052"/>
    <s v="http://dx.doi.org/10.1093/isq/sqz052"/>
    <s v=""/>
    <s v=""/>
    <n v="9"/>
    <s v="International Relations; Political Science"/>
    <x v="0"/>
    <s v="International Relations; Government &amp; Law"/>
    <s v="LS5PT"/>
    <s v=""/>
    <s v="Bronze"/>
    <s v=""/>
    <s v=""/>
    <s v="2023-11-15"/>
    <x v="129"/>
    <s v="View Full Record in Web of Science"/>
  </r>
  <r>
    <s v="J"/>
    <s v="Schubert, O; Beuer, F; Güth, JF; Nold, E; Edelhoff, D; Metz, I"/>
    <s v=""/>
    <s v=""/>
    <s v=""/>
    <s v="Schubert, O.; Beuer, F.; Gueth, J-F; Nold, E.; Edelhoff, D.; Metz, I"/>
    <s v=""/>
    <s v=""/>
    <s v="Two digital strategies in modern implantology - root-analogue implants and the digital one-abutment/one-time concept"/>
    <s v="INTERNATIONAL JOURNAL OF COMPUTERIZED DENTISTRY"/>
    <s v=""/>
    <s v=""/>
    <s v="English"/>
    <x v="0"/>
    <s v=""/>
    <s v=""/>
    <s v=""/>
    <s v=""/>
    <s v=""/>
    <s v="computer-aided design/computer-aided manufacturing (CAD/CAM); custom-made implant; cone beam computed tomography (CBCT); guided surgery; immediate implantation; intraoral scanning (IOS); root-analogue implant (RAI); one-abutment/one-time; three-dimensional (3D) diagnosis"/>
    <s v="SINGLE-TOOTH REPLACEMENT; DENTAL IMPLANTS; EXTRACTION SOCKETS; LITHIUM DISILICATE; ZIRCONIA IMPLANT; CUSTOM-MADE; FOLLOW-UP; IN-VITRO; IMMEDIATE; TITANIUM"/>
    <s v="The irreversible trend toward digitization in dentistry and dental technology has resulted in technical progress and continuous changes to conventional workflows. In particular, implantology and prosthetics have benefited from a multitude of interesting new possibilities. Three-dimensional (3D) computed radiography and digital surface scanning can be invaluable in terms of backward planning and making implant surgery and denture fabrication more predictable. In this context, two digital implant-prosthetic treatment strategies are presented that allow for an efficient digital workflow while ensuring a minimally invasive surgical procedure. By means of digital intraoperative scanning of the implant position, the digital one-abutment/one-time concept allows for the insertion of computer-aided design/computer-aided manufacturing (CAD/CAM)-manufactured single crowns instantly after uncovering the implant. The second approach uses 3D radiographic data to preoperatively manufacture a one-piece root-analogue implant (RAI) and insert it immediately after tooth extraction. Both ideas promise some advantages in terms of quality and preservation of periimplant tissues as well as a noticeable reduction in overall treatment time."/>
    <s v="[Schubert, O.; Gueth, J-F; Nold, E.; Edelhoff, D.; Metz, I] LMU Munchen, Klinikum Univ Munchen, Poliklin Zahnarztliche Prothet, Goethestr 70, D-80336 Munich, Germany; [Beuer, F.] Charite Univ Med Berlin, Ctr Zahn Mund &amp; Kieferheilkunde, Abt Zahnarztliche Prothet Funkt Lehre &amp; Alterszah, Berlin, Germany"/>
    <s v="University of Munich; Free University of Berlin; Humboldt University of Berlin; Charite Universitatsmedizin Berlin"/>
    <s v="Schubert, O (corresponding author), LMU Munchen, Klinikum Univ Munchen, Poliklin Zahnarztliche Prothet, Goethestr 70, D-80336 Munich, Germany."/>
    <s v="oliver.schubert@med.uni-muenchen.de"/>
    <s v=""/>
    <s v="Beuer, Florian/0000-0003-0246-790X"/>
    <s v=""/>
    <s v=""/>
    <s v=""/>
    <s v=""/>
    <n v="55"/>
    <n v="14"/>
    <n v="14"/>
    <n v="1"/>
    <n v="7"/>
    <s v="QUINTESSENCE PUBLISHING CO INC"/>
    <s v="HANOVER PARK"/>
    <s v="4350 CHANDLER DRIVE, HANOVER PARK, IL 60133 USA"/>
    <s v="1463-4201"/>
    <s v=""/>
    <s v=""/>
    <s v="INT J COMPUT DENT"/>
    <s v="Int. J. Comput. Dent."/>
    <s v=""/>
    <n v="2018"/>
    <n v="21"/>
    <n v="2"/>
    <s v=""/>
    <s v=""/>
    <s v=""/>
    <s v=""/>
    <n v="115"/>
    <n v="131"/>
    <s v=""/>
    <s v=""/>
    <s v=""/>
    <s v=""/>
    <s v=""/>
    <n v="17"/>
    <s v="Dentistry, Oral Surgery &amp; Medicine"/>
    <x v="2"/>
    <s v="Dentistry, Oral Surgery &amp; Medicine"/>
    <s v="GY0PQ"/>
    <n v="29967904"/>
    <s v=""/>
    <s v=""/>
    <s v=""/>
    <s v="2023-11-15"/>
    <x v="130"/>
    <s v="View Full Record in Web of Science"/>
  </r>
  <r>
    <s v="J"/>
    <s v="Hestres, LE"/>
    <s v=""/>
    <s v=""/>
    <s v=""/>
    <s v="Hestres, Luis E."/>
    <s v=""/>
    <s v=""/>
    <s v="Tools Beyond Control: Social Media and the Work of Advocacy Organizations"/>
    <s v="SOCIAL MEDIA + SOCIETY"/>
    <s v=""/>
    <s v=""/>
    <s v="English"/>
    <x v="0"/>
    <s v=""/>
    <s v=""/>
    <s v=""/>
    <s v=""/>
    <s v=""/>
    <s v="Internet governance; private information intermediaries; advocacy organizations; social media; Facebook; Twitter; activism"/>
    <s v="INTERNET GOVERNANCE; MOBILIZATION; PRIVACY"/>
    <s v="Advocacy organizations rely on social media services, such as Facebook and Twitter, to engage their supporters. These services increasingly influence how citizens and advocacy organizations engage politically online through the technical features and policies they choose to implement-a phenomenon that can sometimes disrupt the work of advocates. Interviews with digital strategists at several US advocacy organizations revealed low levels of awareness of this phenomenon, despite its potential impact on their work; substantial dependence on these services for advocacy work; and a shared sense of necessity to embrace these tools, despite their potential downsides. Implications for the scholarship and practice of Internet governance and digitally mediated advocacy are discussed."/>
    <s v="[Hestres, Luis E.] Univ Texas San Antonio, One UTSA Circle, San Antonio, TX 78249 USA"/>
    <s v="University of Texas System; University of Texas at San Antonio (UTSA)"/>
    <s v="Hestres, LE (corresponding author), Univ Texas San Antonio, One UTSA Circle, San Antonio, TX 78249 USA."/>
    <s v="luis.hestres@utsa.edu"/>
    <s v="Hestres, Luis/M-7249-2019"/>
    <s v=""/>
    <s v=""/>
    <s v=""/>
    <s v=""/>
    <s v=""/>
    <n v="63"/>
    <n v="14"/>
    <n v="14"/>
    <n v="1"/>
    <n v="7"/>
    <s v="SAGE PUBLICATIONS LTD"/>
    <s v="LONDON"/>
    <s v="1 OLIVERS YARD, 55 CITY ROAD, LONDON EC1Y 1SP, ENGLAND"/>
    <s v="2056-3051"/>
    <s v=""/>
    <s v=""/>
    <s v="SOC MEDIA SOC"/>
    <s v="Soc. Med. Soc."/>
    <s v="APR-JUN"/>
    <n v="2017"/>
    <n v="3"/>
    <n v="2"/>
    <s v=""/>
    <s v=""/>
    <s v=""/>
    <s v=""/>
    <s v=""/>
    <s v=""/>
    <n v="2056305117714230"/>
    <s v="10.1177/2056305117714237"/>
    <s v="http://dx.doi.org/10.1177/2056305117714237"/>
    <s v=""/>
    <s v=""/>
    <n v="11"/>
    <s v="Communication"/>
    <x v="0"/>
    <s v="Communication"/>
    <s v="GS3DW"/>
    <s v=""/>
    <s v="gold"/>
    <s v=""/>
    <s v=""/>
    <s v="2023-11-15"/>
    <x v="131"/>
    <s v="View Full Record in Web of Science"/>
  </r>
  <r>
    <s v="J"/>
    <s v="Alizadeh, T"/>
    <s v=""/>
    <s v=""/>
    <s v=""/>
    <s v="Alizadeh, Tooran"/>
    <s v=""/>
    <s v=""/>
    <s v="A policy analysis of digital strategies: Brisbane vs. Vancouver"/>
    <s v="INTERNATIONAL JOURNAL OF KNOWLEDGE-BASED DEVELOPMENT"/>
    <s v=""/>
    <s v=""/>
    <s v="English"/>
    <x v="0"/>
    <s v=""/>
    <s v=""/>
    <s v=""/>
    <s v=""/>
    <s v=""/>
    <s v="digital strategy; Australia; Canada; economic development; policy analysis"/>
    <s v="REGIONAL-DEVELOPMENT; ECONOMIC-GEOGRAPHY; INNOVATION POLICY; KNOWLEDGE; CAPABILITIES; MANAGEMENT; DYNAMICS; GROWTH; LEVEL"/>
    <s v="A growing number of cities around the world have now realised the need to strategically capitalise on the rapidly growing digital economy. In mid-2013, cities of Brisbane, Australia and Vancouver, Canada both released their 'Digital Strategy' documents to strengthen their economy by enhancing digital connections amongst citizens, business, and the whole city as a digital organisation. The paper critically investigates the digital strategies developed for the two cities to understand how they utilise the potentials of the digital economy in their respected cities and regions. The results identify fundamental differences in the two documents' core focus that firstly define different roles for the digital strategies in Brisbane vs. Vancouver, and secondly could highly affect the implications of the strategies for the two cities' overall economic development. Nevertheless, both Vancouver and Brisbane are still in the early days of implementing their digital strategies, and the paper has to be understood as a prelude to further empirical investigation."/>
    <s v="[Alizadeh, Tooran] Griffith Univ, Griffith Sch Environm, Nathan Campus,170 Kessels Rd, Brisbane, Qld 4111, Australia"/>
    <s v="Griffith University"/>
    <s v="Alizadeh, T (corresponding author), Griffith Univ, Griffith Sch Environm, Nathan Campus,170 Kessels Rd, Brisbane, Qld 4111, Australia."/>
    <s v="t.alizadeh@griffith.edu.au"/>
    <s v="Alizadeh, Tooran/AAX-2371-2020"/>
    <s v="Alizadeh, Tooran/0000-0001-5424-3348"/>
    <s v=""/>
    <s v=""/>
    <s v=""/>
    <s v=""/>
    <n v="75"/>
    <n v="14"/>
    <n v="14"/>
    <n v="1"/>
    <n v="10"/>
    <s v="INDERSCIENCE ENTERPRISES LTD"/>
    <s v="GENEVA"/>
    <s v="WORLD TRADE CENTER BLDG, 29 ROUTE DE PRE-BOIS, CASE POSTALE 856, CH-1215 GENEVA, SWITZERLAND"/>
    <s v="2040-4468"/>
    <s v="2040-4476"/>
    <s v=""/>
    <s v="INT J KNOWL-BASED DE"/>
    <s v="Int. J. Knowl.-Based Dev."/>
    <s v=""/>
    <n v="2015"/>
    <n v="6"/>
    <n v="2"/>
    <s v=""/>
    <s v=""/>
    <s v=""/>
    <s v=""/>
    <n v="85"/>
    <n v="130"/>
    <s v=""/>
    <s v="10.1504/IJKBD.2015.071469"/>
    <s v="http://dx.doi.org/10.1504/IJKBD.2015.071469"/>
    <s v=""/>
    <s v=""/>
    <n v="46"/>
    <s v="Urban Studies"/>
    <x v="3"/>
    <s v="Urban Studies"/>
    <s v="VD6RJ"/>
    <s v=""/>
    <s v=""/>
    <s v=""/>
    <s v=""/>
    <s v="2023-11-15"/>
    <x v="132"/>
    <s v="View Full Record in Web of Science"/>
  </r>
  <r>
    <s v="J"/>
    <s v="Rendina, HJ; Talan, AJ; Tavella, NF; Matos, JL; Jimenez, RH; Jones, SS; Salfas, B; Westmoreland, D"/>
    <s v=""/>
    <s v=""/>
    <s v=""/>
    <s v="Rendina, H. Jonathon; Talan, Ali J.; Tavella, Nicola F.; Matos, Jonathan Lopez; Jimenez, Ruben H.; Jones, S. Scott; Salfas, Brian; Westmoreland, Drew"/>
    <s v=""/>
    <s v=""/>
    <s v="Leveraging Technology to Blend Large-Scale Epidemiologic Surveillance With Social and Behavioral Science Methods: Successes, Challenges, and Lessons Learned Implementing the UNITE Longitudinal Cohort Study of HIV Risk Factors Among Sexual Minority Men in the United States"/>
    <s v="AMERICAN JOURNAL OF EPIDEMIOLOGY"/>
    <s v=""/>
    <s v=""/>
    <s v="English"/>
    <x v="0"/>
    <s v=""/>
    <s v=""/>
    <s v=""/>
    <s v=""/>
    <s v=""/>
    <s v="cohort methods; digital technology; HIV prevention; home-based testing; sexual minority men"/>
    <s v="GAY; HEALTH; CITY"/>
    <s v="The use of digital technologies to conduct large-scale research with limited interaction (i.e., no in-person contact) and objective endpoints (i.e., biological testing) has significant potential for the field of epidemiology, but limited research to date has been published on the successes and challenges of such approaches. We analyzed data from a cohort study of sexual minority men across the United States, collected using digital strategies during a 10-month period from 2017 to 2018. Overall, 113,874 individuals were screened, of whom 26,000 were invited to the study, 10,691 joined the study, and 7,957 completed all enrollment steps, including return of a human immunodeficiency virus-negative sample. We examined group differences in completion of the steps towards enrollment to inform future research and found significant differences according to several factors, including age and race. This study adds to prior work to provide further proof-of-concept for this limited-interaction, technology-mediated methodology, highlighting some of its strengths and challenges, including rapid access to more diverse populations but also potential for bias due to differential enrollment. This method has strong promise, and future implementation research is needed to better understand the roles of burden, privacy, access, and compensation, to enhance representativeness and generalizability of the data generated."/>
    <s v="[Rendina, H. Jonathon; Talan, Ali J.; Tavella, Nicola F.; Matos, Jonathan Lopez; Jimenez, Ruben H.; Jones, S. Scott; Salfas, Brian] CUNY Hunter Coll, Dept Psychol, 695 Pk Ave, New York, NY 10065 USA; [Rendina, H. Jonathon; Matos, Jonathan Lopez] CUNY, Grad Ctr, Hlth Psychol &amp; Clin Sci PhD Program, New York, NY USA; [Westmoreland, Drew] CUNY, Grad Sch Publ Hlth &amp; Hlth Policy, New York, NY 10021 USA"/>
    <s v="City University of New York (CUNY) System; Hunter College (CUNY); City University of New York (CUNY) System; City University of New York (CUNY) System"/>
    <s v="Rendina, HJ (corresponding author), CUNY Hunter Coll, Dept Psychol, 695 Pk Ave, New York, NY 10065 USA."/>
    <s v="hrendina@hunter.cuny.edu"/>
    <s v="Westmoreland, Drew A./GMX-2667-2022; Westmoreland, Drew A./GZG-4428-2022"/>
    <s v="Westmoreland, Drew A./0000-0003-4085-7941;"/>
    <s v="Eunice Kennedy Shriver National Institute of Child Health and Human Development [UG3-AI133674]; National Institute on Drug Abuse [UG3-AI133674]; National Institute of Allergy and Infectious Diseases [UG3-AI133674]; National Institute of Mental Health [UG3-AI133674]"/>
    <s v="Eunice Kennedy Shriver National Institute of Child Health and Human Development(United States Department of Health &amp; Human ServicesNational Institutes of Health (NIH) - USANIH Eunice Kennedy Shriver National Institute of Child Health &amp; Human Development (NICHD)); National Institute on Drug Abuse(United States Department of Health &amp; Human ServicesNational Institutes of Health (NIH) - USANIH National Institute on Drug Abuse (NIDA)); National Institute of Allergy and Infectious Diseases(United States Department of Health &amp; Human ServicesNational Institutes of Health (NIH) - USANIH National Institute of Allergy &amp; Infectious Diseases (NIAID)); National Institute of Mental Health(United States Department of Health &amp; Human ServicesNational Institutes of Health (NIH) - USANIH National Institute of Mental Health (NIMH))"/>
    <s v="This study was supported by a grant jointly awarded by the National Institute of Allergy and Infectious Diseases, National Institute of Mental Health, Eunice Kennedy Shriver National Institute of Child Health and Human Development, and National Institute on Drug Abuse (grant UG3-AI133674, PI: H.J.R.)."/>
    <s v=""/>
    <n v="36"/>
    <n v="13"/>
    <n v="13"/>
    <n v="0"/>
    <n v="2"/>
    <s v="OXFORD UNIV PRESS INC"/>
    <s v="CARY"/>
    <s v="JOURNALS DEPT, 2001 EVANS RD, CARY, NC 27513 USA"/>
    <s v="0002-9262"/>
    <s v="1476-6256"/>
    <s v=""/>
    <s v="AM J EPIDEMIOL"/>
    <s v="Am. J. Epidemiol."/>
    <s v="APR"/>
    <n v="2021"/>
    <n v="190"/>
    <n v="4"/>
    <s v=""/>
    <s v=""/>
    <s v=""/>
    <s v=""/>
    <n v="681"/>
    <n v="695"/>
    <s v=""/>
    <s v="10.1093/aje/kwaa226"/>
    <s v="http://dx.doi.org/10.1093/aje/kwaa226"/>
    <s v=""/>
    <s v=""/>
    <n v="15"/>
    <s v="Public, Environmental &amp; Occupational Health"/>
    <x v="1"/>
    <s v="Public, Environmental &amp; Occupational Health"/>
    <s v="RT5KA"/>
    <n v="33057684"/>
    <s v="Green Published, hybrid"/>
    <s v=""/>
    <s v=""/>
    <s v="2023-11-15"/>
    <x v="133"/>
    <s v="View Full Record in Web of Science"/>
  </r>
  <r>
    <s v="J"/>
    <s v="Saura, JR; Palos-Sanchez, P; Herráez, BR"/>
    <s v=""/>
    <s v=""/>
    <s v=""/>
    <s v="Ramon Saura, Jose; Palos-Sanchez, Pedro; Rodriguez Herraez, Beatriz"/>
    <s v=""/>
    <s v=""/>
    <s v="Digital Marketing for Sustainable Growth: Business Models and Online Campaigns Using Sustainable Strategies"/>
    <s v="SUSTAINABILITY"/>
    <s v=""/>
    <s v=""/>
    <s v="English"/>
    <x v="0"/>
    <s v=""/>
    <s v=""/>
    <s v=""/>
    <s v=""/>
    <s v=""/>
    <s v="sustainable digital marketing strategies; sustainable business models; sustainable management; social network analysis for sustainability"/>
    <s v="SOCIAL MEDIA"/>
    <s v="In recent years, digital marketing has transformed the way in which companies communicate with their customers around the world. The increase in the use of social networks and how users communicate with companies on the Internet has given rise to new business models based on the bidirectionality of communication between companies and Internet users. Digital marketing, new business models, online advertising campaigns, and other digital strategies have gathered user opinions and comments through this new online channel. In this way, companies have started to see the digital ecosystem as not only their present, but also as their future. From this long-term perspective, companies are concerned about sustainability and the growth of their business models. There are new business models on the Internet that support social causes, new platforms aimed at supporting social and sustainable projects, and digital advertising campaigns promoting sustainability. The overarching aim of this Special Issue was to analyze the development of these new strategies as well as their influence on the sustainability of digital marketing strategies. Therefore, we aimed to analyze how companies adopt these new technologies in a digital environment that is increasingly concerned with the sustainability of business models and actions on the Internet."/>
    <s v="[Ramon Saura, Jose; Rodriguez Herraez, Beatriz] Rey Juan Carlos Univ, Dept Business Econ, Fac Social Sci &amp; Law, Paseo Artilleros S-N, Madrid 28032, Spain; [Palos-Sanchez, Pedro] Univ Seville, Dept Financial Econ &amp; Operat Management, Seville 41018, Spain"/>
    <s v="Universidad Rey Juan Carlos; University of Sevilla"/>
    <s v="Saura, JR (corresponding author), Rey Juan Carlos Univ, Dept Business Econ, Fac Social Sci &amp; Law, Paseo Artilleros S-N, Madrid 28032, Spain."/>
    <s v="joseramon.saura@urjc.es; ppalos@us.es; beatriz.rodriguez@urjc.es"/>
    <s v="Palos-Sanchez, Pedro R./A-8952-2017; Saura, José Ramón/L-2861-2018; Rodriguez, Beatriz/CAG-0904-2022"/>
    <s v="Palos-Sanchez, Pedro R./0000-0001-9966-0698; Saura, José Ramón/0000-0002-9457-7745; Rodriguez, Beatriz/0000-0003-4880-4596"/>
    <s v=""/>
    <s v=""/>
    <s v=""/>
    <s v=""/>
    <n v="22"/>
    <n v="13"/>
    <n v="13"/>
    <n v="24"/>
    <n v="104"/>
    <s v="MDPI"/>
    <s v="BASEL"/>
    <s v="ST ALBAN-ANLAGE 66, CH-4052 BASEL, SWITZERLAND"/>
    <s v=""/>
    <s v="2071-1050"/>
    <s v=""/>
    <s v="SUSTAINABILITY-BASEL"/>
    <s v="Sustainability"/>
    <s v="FEB"/>
    <n v="2020"/>
    <n v="12"/>
    <n v="3"/>
    <s v=""/>
    <s v=""/>
    <s v=""/>
    <s v=""/>
    <s v=""/>
    <s v=""/>
    <n v="1003"/>
    <s v="10.3390/su12031003"/>
    <s v="http://dx.doi.org/10.3390/su12031003"/>
    <s v=""/>
    <s v=""/>
    <n v="5"/>
    <s v="Green &amp; Sustainable Science &amp; Technology; Environmental Sciences; Environmental Studies"/>
    <x v="1"/>
    <s v="Science &amp; Technology - Other Topics; Environmental Sciences &amp; Ecology"/>
    <s v="KT6PA"/>
    <s v=""/>
    <s v="gold, Green Published"/>
    <s v=""/>
    <s v=""/>
    <s v="2023-11-15"/>
    <x v="134"/>
    <s v="View Full Record in Web of Science"/>
  </r>
  <r>
    <s v="J"/>
    <s v="Nixon, B"/>
    <s v=""/>
    <s v=""/>
    <s v=""/>
    <s v="Nixon, Brice"/>
    <s v=""/>
    <s v=""/>
    <s v="The business of news in the attention economy: Audience labor and MediaNews Group's efforts to capitalize on news consumption"/>
    <s v="JOURNALISM"/>
    <s v=""/>
    <s v=""/>
    <s v="English"/>
    <x v="0"/>
    <s v=""/>
    <s v=""/>
    <s v=""/>
    <s v=""/>
    <s v=""/>
    <s v="Attention economy; audience labor; Digital First Media; digital news; exploitation; MediaNews Group; news consumption; newspaper industry; political economy of news"/>
    <s v=""/>
    <s v="This article analyzes the business of news in the early 21st century through a case study of the US newspaper company MediaNews Group. It examines the company's efforts over the past decade to create sources of revenue while the US newspaper industry faced a growing financial crisis. This article argues it is necessary to rethink the political economy of news to see that power over news consumption is the foundation of the business of news. The concepts of an attention economy and audience labor are used to reframe the process of capitalizing on news as, fundamentally, a process of gaining power over attention in order to treat it as an exploitable form of audience labor and thereby generate revenue from news consumers or advertisers. This article then presents a study of the strategies for generating revenue used by MediaNews Group from 2006 to 2016, focusing on its clusters of newspapers in California. Ownership consolidation was the company's key strategy until its debt and the industry's crisis forced it into bankruptcy. The company then pursued a series of digital strategies: digital advertising, paywalls, mobile distribution, citizen journalism, copyright infringement lawsuits, and Google Consumer Surveys. None proved profitable enough, and in 2016, the company returned to ownership consolidation. MediaNews Group's efforts over the past decade demonstrate the inescapable truth that power over attention is the key to the business of news: Capitalizing on news requires power over news consumption as a form of attention that can be exploited as news audience labor."/>
    <s v="[Nixon, Brice] Univ Penn, Annenberg Sch Commun, 3620 Walnut St, Philadelphia, PA 19104 USA"/>
    <s v="University of Pennsylvania"/>
    <s v="Nixon, B (corresponding author), Univ Penn, Annenberg Sch Commun, 3620 Walnut St, Philadelphia, PA 19104 USA."/>
    <s v="bln222@nyu.edu"/>
    <s v=""/>
    <s v=""/>
    <s v=""/>
    <s v=""/>
    <s v=""/>
    <s v=""/>
    <n v="65"/>
    <n v="13"/>
    <n v="14"/>
    <n v="5"/>
    <n v="31"/>
    <s v="SAGE PUBLICATIONS INC"/>
    <s v="THOUSAND OAKS"/>
    <s v="2455 TELLER RD, THOUSAND OAKS, CA 91320 USA"/>
    <s v="1464-8849"/>
    <s v="1741-3001"/>
    <s v=""/>
    <s v="JOURNALISM"/>
    <s v="Journalism"/>
    <s v="JAN"/>
    <n v="2020"/>
    <n v="21"/>
    <n v="1"/>
    <s v=""/>
    <s v=""/>
    <s v=""/>
    <s v=""/>
    <n v="73"/>
    <n v="94"/>
    <s v=""/>
    <s v="10.1177/1464884917719145"/>
    <s v="http://dx.doi.org/10.1177/1464884917719145"/>
    <s v=""/>
    <s v=""/>
    <n v="22"/>
    <s v="Communication"/>
    <x v="0"/>
    <s v="Communication"/>
    <s v="KB1BI"/>
    <s v=""/>
    <s v=""/>
    <s v=""/>
    <s v=""/>
    <s v="2023-11-15"/>
    <x v="135"/>
    <s v="View Full Record in Web of Science"/>
  </r>
  <r>
    <s v="J"/>
    <s v="Alizadeh, T; Sipe, N"/>
    <s v=""/>
    <s v=""/>
    <s v=""/>
    <s v="Alizadeh, Tooran; Sipe, Neil"/>
    <s v=""/>
    <s v=""/>
    <s v="Brisbane's digital strategy: an economic strategy for the digital age?"/>
    <s v="AUSTRALIAN PLANNER"/>
    <s v=""/>
    <s v=""/>
    <s v="English"/>
    <x v="0"/>
    <s v=""/>
    <s v=""/>
    <s v=""/>
    <s v=""/>
    <s v=""/>
    <s v="smart city; business strategy; economic strategy; third wave; digital strategy; triple helix"/>
    <s v="SMART CITIES; INFORMATION; UNIVERSITY; INDUSTRY; CITY"/>
    <s v="A growing number of cities around the world have now realised the need to use digital technology to capitalise on the rapidly growing digitally driven economy. In mid-2013 Brisbane, Australia released its 'Digital Strategy' document to strengthen its economy through improved productivity for local businesses. The article is based on a combination of policy analysis and empirical data gathered through interviewing a sample of stakeholders involved in the strategy development process. It aims to understand how Brisbane intends on using the potentials of the digital economy. The results raise questions around the role defined for the digital economy in the future and shed light on the 'smart city' concept as a plausible digital-enabled direction for cities and regions with reference to the third wave of economic development, and the Triple (Quadruple) Helix of knowledge development. The lessons learned here may be applicable to any city interested in playing a proactive and productive role in the new economy."/>
    <s v="[Alizadeh, Tooran] Griffith Univ, Urban Res Program, Nathan, Qld 4111, Australia; [Sipe, Neil] Univ Queensland, Sch Geog Planning &amp; Environm Management, St Lucia, Qld, Australia"/>
    <s v="Griffith University; University of Queensland"/>
    <s v="Alizadeh, T (corresponding author), Griffith Univ, Urban Res Program, Nathan, Qld 4111, Australia."/>
    <s v="t.alizadeh@griffith.edu.au"/>
    <s v="Alizadeh, Tooran/AAX-2371-2020; Sipe, Neil G./A-4052-2009"/>
    <s v="Sipe, Neil G./0000-0002-3228-3768; Alizadeh, Tooran/0000-0001-5424-3348"/>
    <s v=""/>
    <s v=""/>
    <s v=""/>
    <s v=""/>
    <n v="48"/>
    <n v="13"/>
    <n v="13"/>
    <n v="1"/>
    <n v="18"/>
    <s v="ROUTLEDGE JOURNALS, TAYLOR &amp; FRANCIS LTD"/>
    <s v="ABINGDON"/>
    <s v="2-4 PARK SQUARE, MILTON PARK, ABINGDON OX14 4RN, OXON, ENGLAND"/>
    <s v="0729-3682"/>
    <s v="2150-6841"/>
    <s v=""/>
    <s v="AUST PLAN"/>
    <s v="Aust. Plan."/>
    <s v="JAN 2"/>
    <n v="2015"/>
    <n v="52"/>
    <n v="1"/>
    <s v=""/>
    <s v=""/>
    <s v=""/>
    <s v=""/>
    <n v="35"/>
    <n v="41"/>
    <s v=""/>
    <s v="10.1080/07293682.2015.1019753"/>
    <s v="http://dx.doi.org/10.1080/07293682.2015.1019753"/>
    <s v=""/>
    <s v=""/>
    <n v="7"/>
    <s v="Regional &amp; Urban Planning"/>
    <x v="3"/>
    <s v="Public Administration"/>
    <s v="CH8HS"/>
    <s v=""/>
    <s v="Green Published"/>
    <s v=""/>
    <s v=""/>
    <s v="2023-11-15"/>
    <x v="136"/>
    <s v="View Full Record in Web of Science"/>
  </r>
  <r>
    <s v="J"/>
    <s v="Reggi, L; Scicchitano, S"/>
    <s v=""/>
    <s v=""/>
    <s v=""/>
    <s v="Reggi, Luigi; Scicchitano, Sergio"/>
    <s v=""/>
    <s v=""/>
    <s v="Are EU regional digital strategies evidence-based? An analysis of the allocation of 2007-13 Structural Funds"/>
    <s v="TELECOMMUNICATIONS POLICY"/>
    <s v=""/>
    <s v=""/>
    <s v="English"/>
    <x v="0"/>
    <s v=""/>
    <s v=""/>
    <s v=""/>
    <s v=""/>
    <s v=""/>
    <s v="Information Society; Digital Agenda; Regional Policy; Cohesion Policy; Structural Funds; e-Services; e-Government; Cluster analysis"/>
    <s v="INFORMATION-SOCIETY"/>
    <s v="The ambitious goals of the European Digital Agenda need active involvement by regional innovation systems. Effective regional digital strategies should be both consistent with the European framework and based on available evidence on the needs and opportunities of local contexts. Such evidence should be used to balance the different components of the Information Society development (e.g. eServices vs. infrastructures; ICT supply and demand), so as to ensure that they can all unleash their full potential. Therefore, EU regions should spend more money to overcome regional weaknesses than to improve existing assets. In this paper we explore the different strategies of the EU's lagging regions through the analysis of the allocation of 2007-13 Structural Funds. Then, we verify whether such strategies respond to territorial conditions by comparing strategic choices made with the actual characteristics of local contexts. Results show that EU regions tend to invest more resources in those aspects in which they already demonstrate good relative performances. Possible causes of this unbalanced strategic approach are discussed, including the lack of sound analysis of the regional context and the path dependence of policy choices. (C) 2013 Elsevier Ltd. All rights reserved."/>
    <s v="[Reggi, Luigi; Scicchitano, Sergio] Minist Econ Dev, Dept Dev &amp; Econ Cohes, Rome, Italy; [Reggi, Luigi; Scicchitano, Sergio] Univ Urbino, DESP, EIBURS TAIPS Team, I-61029 Urbino, Italy"/>
    <s v="University of Urbino"/>
    <s v="Reggi, L (corresponding author), Minist Econ Dev, Dept Dev &amp; Econ Cohes, Rome, Italy."/>
    <s v="luigi.reggi@gmail.com; luigi.reggi@tesoro.it"/>
    <s v="Scicchitano, Sergio/X-8492-2018"/>
    <s v="Scicchitano, Sergio/0000-0003-1015-7629"/>
    <s v="Eiburs - EIB University Research Sponsorship Programme; EU Cohesion Policy"/>
    <s v="Eiburs - EIB University Research Sponsorship Programme; EU Cohesion Policy"/>
    <s v="This paper is part of the research project Technology Adoption and Innovation in Public Services (TAIPS). The project is carried out by the Department of Economics, Society and Politics (DESP), University of Urbino, Italy, and funded by Eiburs - EIB University Research Sponsorship Programme.; The authors would like to thank Pasquale D'Alessandro and the European Commission - DG Regional Policy for providing the dataset on the financial resources programmed by the EU Cohesion Policy. The authors are also grateful to participants at Regional Innovation and Competitiveness Policy Workshop, 15th November 2012, University of Cambridge and to Davide Arduini, Annaflavia Bianchi, Marco Biagetti, Marco Marini, Maurizio Franzini, Harald Gruber, Dimitri Tartan, Antonello Zanfei, who provided valuable suggestions and comments to a previous version of this paper."/>
    <s v=""/>
    <n v="28"/>
    <n v="13"/>
    <n v="13"/>
    <n v="0"/>
    <n v="20"/>
    <s v="ELSEVIER SCI LTD"/>
    <s v="OXFORD"/>
    <s v="THE BOULEVARD, LANGFORD LANE, KIDLINGTON, OXFORD OX5 1GB, OXON, ENGLAND"/>
    <s v="0308-5961"/>
    <s v="1879-3258"/>
    <s v=""/>
    <s v="TELECOMMUN POLICY"/>
    <s v="Telecommun. Policy"/>
    <s v="JUN-JUL"/>
    <n v="2014"/>
    <n v="38"/>
    <s v="5-6"/>
    <s v=""/>
    <s v=""/>
    <s v="SI"/>
    <s v=""/>
    <n v="530"/>
    <n v="538"/>
    <s v=""/>
    <s v="10.1016/j.telpol.2013.12.007"/>
    <s v="http://dx.doi.org/10.1016/j.telpol.2013.12.007"/>
    <s v=""/>
    <s v=""/>
    <n v="9"/>
    <s v="Communication; Information Science &amp; Library Science; Telecommunications"/>
    <x v="1"/>
    <s v="Communication; Information Science &amp; Library Science; Telecommunications"/>
    <s v="AL0NF"/>
    <s v=""/>
    <s v=""/>
    <s v=""/>
    <s v=""/>
    <s v="2023-11-15"/>
    <x v="137"/>
    <s v="View Full Record in Web of Science"/>
  </r>
  <r>
    <s v="J"/>
    <s v="Blikstad-Balas, M; Hvistendahl, R"/>
    <s v=""/>
    <s v=""/>
    <s v=""/>
    <s v="Blikstad-Balas, Marte; Hvistendahl, Rita"/>
    <s v=""/>
    <s v=""/>
    <s v="Students' Digital Strategies and Shortcuts-Searching for Answers on Wikipedia as a Core Literacy Practice in Upper Secondary School"/>
    <s v="NORDIC JOURNAL OF DIGITAL LITERACY"/>
    <s v=""/>
    <s v=""/>
    <s v="English"/>
    <x v="0"/>
    <s v=""/>
    <s v=""/>
    <s v=""/>
    <s v=""/>
    <s v=""/>
    <s v="Assessment; Digital literacy; School tasks; Wikipedia"/>
    <s v="INFORMATION; BELIEFS; WEB"/>
    <s v="When the classroom is connected to the Internet, the number of possible sources of information is almost infinite. Nevertheless, students tend to systematically favor the online encyclopedia Wikipedia as a source for knowledge. The present study combines quantitative and qualitative data to investigate the role Wikipedia plays in the literacy practices of students working on school tasks. It also discusses how different tasks lead to different strategies."/>
    <s v="[Blikstad-Balas, Marte; Hvistendahl, Rita] Univ Oslo, Dept Educ &amp; Sch Res, Fac Educ Sci, Oslo, Norway"/>
    <s v="University of Oslo"/>
    <s v="Blikstad-Balas, M (corresponding author), Univ Oslo, Dept Educ &amp; Sch Res, Fac Educ Sci, Oslo, Norway."/>
    <s v="marte.blikstad-balas@ils.uio.no; r.e.hvistendahl@ils.uio.no"/>
    <s v=""/>
    <s v=""/>
    <s v=""/>
    <s v=""/>
    <s v=""/>
    <s v=""/>
    <n v="46"/>
    <n v="13"/>
    <n v="13"/>
    <n v="0"/>
    <n v="0"/>
    <s v="UNIVERSITETSFORLAGET AS"/>
    <s v="OSLO"/>
    <s v="SEHESTEDS GATE 3, PO BOX 508, OSLO, 0105, NORWAY"/>
    <s v="0809-6724"/>
    <s v="1891-943X"/>
    <s v=""/>
    <s v="NORD J DIGIT LIT"/>
    <s v="Nord. J. Digit. Lit."/>
    <s v=""/>
    <n v="2013"/>
    <n v="8"/>
    <s v="1-2"/>
    <s v=""/>
    <s v=""/>
    <s v=""/>
    <s v=""/>
    <n v="32"/>
    <n v="48"/>
    <s v=""/>
    <s v=""/>
    <s v=""/>
    <s v=""/>
    <s v=""/>
    <n v="17"/>
    <s v="Education &amp; Educational Research"/>
    <x v="3"/>
    <s v="Education &amp; Educational Research"/>
    <s v="VD1IA"/>
    <s v=""/>
    <s v=""/>
    <s v=""/>
    <s v=""/>
    <s v="2023-11-15"/>
    <x v="138"/>
    <s v="View Full Record in Web of Science"/>
  </r>
  <r>
    <s v="J"/>
    <s v="Ning, Y; Li, LX; Xu, SX; Yang, SL"/>
    <s v=""/>
    <s v=""/>
    <s v=""/>
    <s v="Ning, Yu; Li, Lixu; Xu, Su Xiu; Yang, Shuili"/>
    <s v=""/>
    <s v=""/>
    <s v="How do digital technologies improve supply chain resilience in the COVID-19 pandemic? Evidence from Chinese manufacturing firms"/>
    <s v="FRONTIERS OF ENGINEERING MANAGEMENT"/>
    <s v=""/>
    <s v=""/>
    <s v="English"/>
    <x v="0"/>
    <s v=""/>
    <s v=""/>
    <s v=""/>
    <s v=""/>
    <s v=""/>
    <s v="digital technologies; supply chain resilience; information processing theory; COVID-19; China"/>
    <s v="BIG DATA; PERFORMANCE; INTERNET; AGILITY; DESIGN; IMPACT; TRACEABILITY; CAPABILITIES; ANALYTICS; PRODUCTS"/>
    <s v="Digital technologies (DTs) can assist businesses in coping with supply chain (SC) disruptions caused by unpredictability, such as pandemics. However, the current knowledge of the relationship between DTs and supply chain resilience (SCR) is insufficient. This study draws on information processing theory to develop a serial mediation model to address this deficiency. We analyze a sample set consisting of 264 Chinese manufacturers. The empirical results reveal that digital supply chain platforms (DSCPs), as well as supply chain traceability (SCT) and supply chain agility (SCA), fully mediate the favorable association between DTs and SCR. Specifically, the four significant indirect paths indicated that firms can improve SCR only if they use DTs to directly or indirectly improve SCT and SCA (through DSCPs). Our study contributes to the literature on resilience by examining the possible mechanism of mediation through which DTs influence SCR. The findings also offer essential insights for firms to modify their digital strategies and thrive in a turbulent environment."/>
    <s v="[Ning, Yu] South China Univ Technol, Sch Business Adm, Guangzhou 510641, Peoples R China; [Li, Lixu; Yang, Shuili] Xian Univ Technol, Sch Econ &amp; Management, Xian 710054, Peoples R China; [Xu, Su Xiu] Beijing Inst Technol, Sch Management &amp; Econ, Beijing 100081, Peoples R China"/>
    <s v="South China University of Technology; Xi'an University of Technology; Beijing Institute of Technology"/>
    <s v="Li, LX (corresponding author), Xian Univ Technol, Sch Econ &amp; Management, Xian 710054, Peoples R China."/>
    <s v="li.lixu@foxmail.com"/>
    <s v=""/>
    <s v="Li, Lixu/0000-0002-1927-0604"/>
    <s v="Key Project of the National Social Science Foundation of China [21AJY020]"/>
    <s v="Key Project of the National Social Science Foundation of China(National Office of Philosophy and Social Sciences)"/>
    <s v="This work was funded by the Key Project of the National Social Science Foundation of China (Grant No. 21AJY020)."/>
    <s v=""/>
    <n v="80"/>
    <n v="12"/>
    <n v="12"/>
    <n v="27"/>
    <n v="42"/>
    <s v="HIGHER EDUCATION PRESS"/>
    <s v="BEIJING"/>
    <s v="CHAOYANG DIST, 4, HUIXINDONGJIE, FUSHENG BLDG, BEIJING 100029, PEOPLES R CHINA"/>
    <s v="2095-7513"/>
    <s v="2096-0255"/>
    <s v=""/>
    <s v="FRONT ENG MANAG"/>
    <s v="Front. Eng. Manag."/>
    <s v="MAR"/>
    <n v="2023"/>
    <n v="10"/>
    <n v="1"/>
    <s v=""/>
    <s v=""/>
    <s v=""/>
    <s v=""/>
    <n v="39"/>
    <n v="50"/>
    <s v=""/>
    <s v="10.1007/s42524-022-0230-4"/>
    <s v="http://dx.doi.org/10.1007/s42524-022-0230-4"/>
    <s v=""/>
    <s v="DEC 2022"/>
    <n v="12"/>
    <s v="Engineering, Industrial"/>
    <x v="3"/>
    <s v="Engineering"/>
    <s v="9Z1OH"/>
    <s v=""/>
    <s v="Bronze"/>
    <s v=""/>
    <s v=""/>
    <s v="2023-11-15"/>
    <x v="139"/>
    <s v="View Full Record in Web of Science"/>
  </r>
  <r>
    <s v="J"/>
    <s v="Gull, H; Saeed, S; Iqbal, SZ; Bamarouf, YA; Alqahtani, MA; Alabbad, DA; Saqib, M; Al Qahtani, SH; Alamer, A"/>
    <s v=""/>
    <s v=""/>
    <s v=""/>
    <s v="Gull, Hina; Saeed, Saqib; Iqbal, Sardar Zafar; Bamarouf, Yasser A.; Alqahtani, Mohammed A.; Alabbad, Dina A.; Saqib, Madeeha; Al Qahtani, Saeed Hussein; Alamer, Albandary"/>
    <s v=""/>
    <s v=""/>
    <s v="An Empirical Study of Mobile Commerce and Customers Security Perception in Saudi Arabia"/>
    <s v="ELECTRONICS"/>
    <s v=""/>
    <s v=""/>
    <s v="English"/>
    <x v="0"/>
    <s v=""/>
    <s v=""/>
    <s v=""/>
    <s v=""/>
    <s v=""/>
    <s v="mobile commerce; security; digital strategy; digital transformation; user security"/>
    <s v="USABILITY EVALUATION; PRIVACY; ADOPTION; AUTHENTICATION; CONSUMERS; SEM"/>
    <s v="Digital transformation of businesses has seen tremendous growth recently, moreover, COVID-19 has increased online shopping. However, it is important for businesses that customers' online shopping experience is secure and joyful. In this paper, customers' security perception regarding some leading mobile commerce applications in Saudi Arabia is explored. Our survey questions focused on three aspects, namely: Consumer rating, trustworthiness, and credit card security. The results highlight that consumers perceive that mobile commerce applications in Saudi Arabia need further improvement in security. In this work, a model to improve customers' security perception in Saudi Arabia is presented. This model can be generalized to other geographical regions as well. The model outlines different actions for practitioners and policymakers that help in improving security infrastructure, authentication mechanisms, and trustworthiness."/>
    <s v="[Gull, Hina; Iqbal, Sardar Zafar; Bamarouf, Yasser A.; Alqahtani, Mohammed A.; Saqib, Madeeha; Al Qahtani, Saeed Hussein; Alamer, Albandary] Imam Abdulrahman Bin Faisal Univ, Coll Comp Sci &amp; Informat Technol, Dept Comp Informat Syst, POB 1982, Dammam 31441, Saudi Arabia; [Saeed, Saqib] Imam Abdulrahman Bin Faisal Univ, Coll Comp Sci &amp; Informat Technol, Dept Comp Informat Syst, Saudi Aramco Cybersecur Chair, POB 1982, Dammam 31441, Saudi Arabia; [Alabbad, Dina A.] Imam Abdulrahman Bin Faisal Univ, Coll Comp Sci &amp; Informat Technol, Dept Comp Engn, POB 1982, Dammam 31441, Saudi Arabia"/>
    <s v="Imam Abdulrahman Bin Faisal University; Imam Abdulrahman Bin Faisal University; Imam Abdulrahman Bin Faisal University"/>
    <s v="Saqib, M (corresponding author), Imam Abdulrahman Bin Faisal Univ, Coll Comp Sci &amp; Informat Technol, Dept Comp Informat Syst, POB 1982, Dammam 31441, Saudi Arabia."/>
    <s v="hgull@iau.edu.sa; sbsaed@iau.edu.sa; saiqbal@iau.edu.sa; yabamarouf@iau.edu.sa; maqhtani@iau.edu.sa; daalabbad@iau.edu.sa; mssaeed@iau.edu.sa; shaqahtani@iau.edu.sa; amalamer@iau.edu.sa"/>
    <s v="Alamer, Albandary/GYA-4905-2022; Saeed, Saqib/E-4381-2014; Alabbad, Dina/GYU-5534-2022; Saqib, Madeeha/GYA-2663-2022"/>
    <s v="Alamer, Albandary/0000-0002-5994-2321; Saeed, Saqib/0000-0001-7136-3480; Alabbad, Dina/0000-0001-7624-8924; Saqib, Madeeha/0000-0003-4856-8095; Gull, Hina/0000-0002-6685-5189; Al Qahtani, Saeed Hussein/0000-0002-7424-6420; Alqahtani, Dr. Mohammed/0000-0002-5158-3344"/>
    <s v=""/>
    <s v=""/>
    <s v=""/>
    <s v=""/>
    <n v="68"/>
    <n v="12"/>
    <n v="12"/>
    <n v="0"/>
    <n v="18"/>
    <s v="MDPI"/>
    <s v="BASEL"/>
    <s v="ST ALBAN-ANLAGE 66, CH-4052 BASEL, SWITZERLAND"/>
    <s v=""/>
    <s v="2079-9292"/>
    <s v=""/>
    <s v="ELECTRONICS-SWITZ"/>
    <s v="Electronics"/>
    <s v="FEB"/>
    <n v="2022"/>
    <n v="11"/>
    <n v="3"/>
    <s v=""/>
    <s v=""/>
    <s v=""/>
    <s v=""/>
    <s v=""/>
    <s v=""/>
    <n v="293"/>
    <s v="10.3390/electronics11030293"/>
    <s v="http://dx.doi.org/10.3390/electronics11030293"/>
    <s v=""/>
    <s v=""/>
    <n v="20"/>
    <s v="Computer Science, Information Systems; Engineering, Electrical &amp; Electronic; Physics, Applied"/>
    <x v="1"/>
    <s v="Computer Science; Engineering; Physics"/>
    <s v="ZA2UI"/>
    <s v=""/>
    <s v="gold"/>
    <s v=""/>
    <s v=""/>
    <s v="2023-11-15"/>
    <x v="140"/>
    <s v="View Full Record in Web of Science"/>
  </r>
  <r>
    <s v="J"/>
    <s v="Fernandez-Vidal, J; Gonzalez, R; Gasco, J; Llopis, J"/>
    <s v=""/>
    <s v=""/>
    <s v=""/>
    <s v="Fernandez-Vidal, Jorge; Gonzalez, Reyes; Gasco, Jose; Llopis, Juan"/>
    <s v=""/>
    <s v=""/>
    <s v="Digitalization and corporate transformation: The case of European oil &amp; gas firms"/>
    <s v="TECHNOLOGICAL FORECASTING AND SOCIAL CHANGE"/>
    <s v=""/>
    <s v=""/>
    <s v="English"/>
    <x v="0"/>
    <s v=""/>
    <s v=""/>
    <s v=""/>
    <s v=""/>
    <s v=""/>
    <s v="Digital transformation; Business transformation; Digital strategy; Corporate strategy; Energy sector"/>
    <s v="STRATEGY TOOLS; GENERATION; INNOVATION; CAPABILITY; INDUSTRY; OPTIONS; ERA"/>
    <s v="Digital technologies have had a tremendous impact on the world and have forced companies to adapt their business models, strategies and management practices. There is a scarcity of research about digital transformation in the energy sector, so this paper aims to analyze this phenomenon in the Oil &amp; Gas sector through a comparative case analysis of eight market leading European Oil &amp; Gas companies. To ensure an adequate methodological approach, the authors have applied Eisenhardt's framework to build theories from case study research. This article relies on multiple data collection methods. 26 interviews with 18 senior executives from the sample energy firms and two global consulting firms were completed in two separate phases. To complement these interviews, information and data were collected from a range of public sources, such as newspapers, video interviews, business magazines and analyst reports, as well as public information from the eight companies under analysis, such as annual and financial reports, company presentations, regulatory filings and announcements and company news. Our research highlights several transformational moves in the firms under study that bring substantial new capabilities and allow them to achieve market-leading positions in new and digitally native business areas -although modest in size. The sample firms mainly opt for combinations of small transformational strategies to achieve their large transformation goals. However, in many organizations, digital and business transformation initiatives suffer from poor governance and are typically just a collection of unconnected activities, piecemeal strategies and pilot projects. Developing a coherent transformation strategy, with the right structure and governance, remains a challenge for most organizations. This paper, leveraging the collective learnings from the eight companies studied, aims to help decision-makers with a conceptual guideline to select the most appropriate strategic tools when undergoing a transformation, based on four dimensions that are of high relevance across multiple strategic environments."/>
    <s v="[Fernandez-Vidal, Jorge] Univ Alicante, Fac Econ, Alicante 03690, Spain; [Gonzalez, Reyes; Gasco, Jose; Llopis, Juan] Univ Alicante, Business Management, Alicante, Spain; [Gasco, Jose] Univ Alicante, Res Inst Tourism, Alicante, Spain"/>
    <s v="Universitat d'Alacant; Universitat d'Alacant; Universitat d'Alacant"/>
    <s v="Gonzalez, R (corresponding author), Univ Alicante, Fac Econ, Alicante 03690, Spain."/>
    <s v="mr.gonzalez@ua.es"/>
    <s v="Gascó, José L/L-1794-2014; Fernandez Vidal, Jorge/HIZ-5766-2022; Gonzalez-Ramirez, Reyes/L-1893-2014"/>
    <s v="Gascó, José L/0000-0003-2461-7702; Gonzalez-Ramirez, Reyes/0000-0002-9758-7957"/>
    <s v=""/>
    <s v=""/>
    <s v=""/>
    <s v=""/>
    <n v="127"/>
    <n v="12"/>
    <n v="12"/>
    <n v="20"/>
    <n v="127"/>
    <s v="ELSEVIER SCIENCE INC"/>
    <s v="NEW YORK"/>
    <s v="STE 800, 230 PARK AVE, NEW YORK, NY 10169 USA"/>
    <s v="0040-1625"/>
    <s v="1873-5509"/>
    <s v=""/>
    <s v="TECHNOL FORECAST SOC"/>
    <s v="Technol. Forecast. Soc. Chang."/>
    <s v="JAN"/>
    <n v="2022"/>
    <n v="174"/>
    <s v=""/>
    <s v=""/>
    <s v=""/>
    <s v=""/>
    <s v=""/>
    <s v=""/>
    <s v=""/>
    <n v="121293"/>
    <s v="10.1016/j.techfore.2021.121293"/>
    <s v="http://dx.doi.org/10.1016/j.techfore.2021.121293"/>
    <s v=""/>
    <s v="OCT 2021"/>
    <n v="13"/>
    <s v="Business; Regional &amp; Urban Planning"/>
    <x v="0"/>
    <s v="Business &amp; Economics; Public Administration"/>
    <s v="WY6EE"/>
    <s v=""/>
    <s v="Green Submitted"/>
    <s v=""/>
    <s v=""/>
    <s v="2023-11-15"/>
    <x v="141"/>
    <s v="View Full Record in Web of Science"/>
  </r>
  <r>
    <s v="J"/>
    <s v="Yu, JT; Moon, T"/>
    <s v=""/>
    <s v=""/>
    <s v=""/>
    <s v="Yu, Jiatong; Moon, Taesoo"/>
    <s v=""/>
    <s v=""/>
    <s v="Impact of Digital Strategic Orientation on Organizational Performance through Digital Competence"/>
    <s v="SUSTAINABILITY"/>
    <s v=""/>
    <s v=""/>
    <s v="English"/>
    <x v="0"/>
    <s v=""/>
    <s v=""/>
    <s v=""/>
    <s v=""/>
    <s v=""/>
    <s v="customer orientation; competitor orientation; technology orientation; digital infrastructure; digital integration; digital management; organizational performance"/>
    <s v="DYNAMIC CAPABILITIES; PLS-SEM; TRANSFORMATION; FUTURE"/>
    <s v="In the era of the digital economy, enterprises need a comprehensive digital transformation of strategy, business, organization, competence, and operation. However, being limited themselves to the development of digital technology, previous studies mainly focused on the development and application of digital technology, single case studies, and multi-case studies of digital transformation. Few researchers systematically studied the digital transformation mechanism at the organizational level. Therefore, this study explored the relationship between a strategic orientation and organizational performance though digital competence at the organizational level. To accomplish the task, this study basically constructed the dimensions of digital competence according to core competence theory. Digital competence contains three hub-factors: digital infrastructure, digital integration, and digital management. This study collected 160 questionnaires from Chinese enterprises and analyzed the data using SmartPLS 3. This study analyzed the positive relationship between digital strategic orientation, digital competence, and organization performance. This study identified the importance of digital competence through the empirical analysis of enterprises that are undergoing digital transformation or had completed a digital transformation. Therefore, enterprises need to pay attention to the impact of digital competence on organizational performance. Digital competence is a reshaping of corporate resources when facing a turbulent digital environment. Moreover, digital competence can ultimately achieve value delivery through the improvement of enterprise organizational performance."/>
    <s v="[Yu, Jiatong] China Jiliang Univ, Coll Econ &amp; Management, Hangzhou 310018, Peoples R China; [Moon, Taesoo] Dongguk Univ, Sch Management, Gyeongju 38066, South Korea"/>
    <s v="China Jiliang University; Dongguk University"/>
    <s v="Moon, T (corresponding author), Dongguk Univ, Sch Management, Gyeongju 38066, South Korea."/>
    <s v="yjt@cjlu.edu.cn; tsmoon@dongguk.ac.kr"/>
    <s v=""/>
    <s v=""/>
    <s v=""/>
    <s v=""/>
    <s v=""/>
    <s v=""/>
    <n v="43"/>
    <n v="12"/>
    <n v="12"/>
    <n v="50"/>
    <n v="320"/>
    <s v="MDPI"/>
    <s v="BASEL"/>
    <s v="ST ALBAN-ANLAGE 66, CH-4052 BASEL, SWITZERLAND"/>
    <s v=""/>
    <s v="2071-1050"/>
    <s v=""/>
    <s v="SUSTAINABILITY-BASEL"/>
    <s v="Sustainability"/>
    <s v="SEP"/>
    <n v="2021"/>
    <n v="13"/>
    <n v="17"/>
    <s v=""/>
    <s v=""/>
    <s v=""/>
    <s v=""/>
    <s v=""/>
    <s v=""/>
    <n v="9766"/>
    <s v="10.3390/su13179766"/>
    <s v="http://dx.doi.org/10.3390/su13179766"/>
    <s v=""/>
    <s v=""/>
    <n v="15"/>
    <s v="Green &amp; Sustainable Science &amp; Technology; Environmental Sciences; Environmental Studies"/>
    <x v="1"/>
    <s v="Science &amp; Technology - Other Topics; Environmental Sciences &amp; Ecology"/>
    <s v="UO1OK"/>
    <s v=""/>
    <s v="gold"/>
    <s v=""/>
    <s v=""/>
    <s v="2023-11-15"/>
    <x v="142"/>
    <s v="View Full Record in Web of Science"/>
  </r>
  <r>
    <s v="J"/>
    <s v="Tan, YH; Reddy, SK"/>
    <s v=""/>
    <s v=""/>
    <s v=""/>
    <s v="Tan, Yee Heng; Reddy, Srinivas K."/>
    <s v=""/>
    <s v=""/>
    <s v="Crowdfunding digital platforms: Backer networks and their impact on project outcomes"/>
    <s v="SOCIAL NETWORKS"/>
    <s v=""/>
    <s v=""/>
    <s v="English"/>
    <x v="0"/>
    <s v=""/>
    <s v=""/>
    <s v=""/>
    <s v=""/>
    <s v=""/>
    <s v="Crowdfunding; Social networks; Digital strategy; Social influence"/>
    <s v="SOCIAL NETWORKS; CENTRALITY; ONLINE"/>
    <s v="Crowdfunding platforms serve to connect project creators and backers. Previous research has explored several project and platform determinants that impact crowdfunding outcomes. However, there has been limited research on these determinants at an individual level. Our paper addresses how backers may influence the outcomes of projects in crowdfunding platforms. We explore several methods commonly used in the industry to identify influence and show that centrality measures through a backer affiliation network best exemplifies in-fluence. Using data from Kickstarter, we construct a weighted backer network based on 52,678 common projects backed by 11,134 backers. Controlling for digital media mentions and project quality, we find evidence that backers in central positions within the network have a positive impact on multiple project outcomes such as the project success rates, amount of funds raised, speed of reaching the crowdfunding goal as well as the number of backers contributing to the project. These findings are replicated and reinforced by using data from a different crowdfunding platform using the entire backer network based on 1095 projects backed by 87,896 backers. Several robustness tests are used to validate these results."/>
    <s v="[Tan, Yee Heng] Tokyo Int Univ, Inst Int Strategy, 1-13-1 Matoba Kita, Kawagoe, Saitama 3501197, Japan; [Reddy, Srinivas K.] Singapore Management Univ, Lee Kong Chian Sch Business, 50 Stamford Rd, Singapore 178899, Singapore"/>
    <s v="Singapore Management University"/>
    <s v="Tan, YH (corresponding author), Tokyo Int Univ, Inst Int Strategy, 1-13-1 Matoba Kita, Kawagoe, Saitama 3501197, Japan."/>
    <s v="yhtan@tiu.ac.jp; sreddy@smu.edu.sg"/>
    <s v=""/>
    <s v=""/>
    <s v="SMU's Centre for Marketing Excellence"/>
    <s v="SMU's Centre for Marketing Excellence"/>
    <s v="The authors are grateful to the editor and two anonymous reviewers for their helpful comments on previous versions of this article. The authors also acknowledge support provided by SMU's Centre for Marketing Excellence for this research."/>
    <s v=""/>
    <n v="41"/>
    <n v="12"/>
    <n v="12"/>
    <n v="1"/>
    <n v="29"/>
    <s v="ELSEVIER"/>
    <s v="AMSTERDAM"/>
    <s v="RADARWEG 29, 1043 NX AMSTERDAM, NETHERLANDS"/>
    <s v="0378-8733"/>
    <s v="1879-2111"/>
    <s v=""/>
    <s v="SOC NETWORKS"/>
    <s v="Soc. Networks"/>
    <s v="JAN"/>
    <n v="2021"/>
    <n v="64"/>
    <s v=""/>
    <s v=""/>
    <s v=""/>
    <s v=""/>
    <s v=""/>
    <n v="158"/>
    <n v="172"/>
    <s v=""/>
    <s v="10.1016/j.socnet.2020.09.005"/>
    <s v="http://dx.doi.org/10.1016/j.socnet.2020.09.005"/>
    <s v=""/>
    <s v=""/>
    <n v="15"/>
    <s v="Anthropology; Sociology"/>
    <x v="0"/>
    <s v="Anthropology; Sociology"/>
    <s v="OU4MZ"/>
    <s v=""/>
    <s v="Green Published"/>
    <s v=""/>
    <s v=""/>
    <s v="2023-11-15"/>
    <x v="143"/>
    <s v="View Full Record in Web of Science"/>
  </r>
  <r>
    <s v="J"/>
    <s v="van Tonder, C; Schachtebeck, C; Nieuwenhuizen, C; Bossink, B"/>
    <s v=""/>
    <s v=""/>
    <s v=""/>
    <s v="van Tonder, Chante; Schachtebeck, Chris; Nieuwenhuizen, Cecile; Bossink, Bart"/>
    <s v=""/>
    <s v=""/>
    <s v="A FRAMEWORK FOR DIGITAL TRANSFORMATION AND BUSINESS MODEL INNOVATION"/>
    <s v="MANAGEMENT-JOURNAL OF CONTEMPORARY MANAGEMENT ISSUES"/>
    <s v=""/>
    <s v=""/>
    <s v="English"/>
    <x v="0"/>
    <s v=""/>
    <s v=""/>
    <s v=""/>
    <s v=""/>
    <s v=""/>
    <s v="digitalisation; digital transformation; business model innovation"/>
    <s v="DYNAMIC CAPABILITIES; TECHNOLOGY; ANTECEDENTS; STRATEGY; PRODUCT"/>
    <s v="With the advent of the Fourth Industrial Revolution, businesses are adapting to the use of digitalisation which requires the digital transformation of their existing business models. However, there is limited empirical research on this phenomenon. The purpose of this study is twofold: (i) to develop a framework for businesses to digitally transform their business models and (ii) to examine literature in order to identify and analyse the constructs underlying the three concepts of Digitalisation, Digital Transformation and Business Model Innovation. The study is qualitative in nature and is based on a narrative review. Relevant articles were identified by using international bibliographic databases and scrutinised using thematic analysis. The findings reveal that the first two constructs require digital capabilities and a digital strategy. The third construct requires digital transformation in the realm of customercentricity, resources, processes and profit. A set of propositions was formulated and the commonalities were mapped. Based upon this map, a conceptual framework was developed. The findings will assist in the development of future instruments that can guide businesses to digitally transform existing business model elements. This study aims to fill the gap on how business model innovation should be pursued through digital transformation by developing a conceptual framework."/>
    <s v="[van Tonder, Chante; Schachtebeck, Chris; Nieuwenhuizen, Cecile] Univ Johannesburg, Dept Business Management, Johannesburg, South Africa; [Bossink, Bart] Vrije Univ, Dept Sci Business &amp; Innovat, Amsterdam, Netherlands"/>
    <s v="University of Johannesburg; Vrije Universiteit Amsterdam"/>
    <s v="van Tonder, C (corresponding author), Univ Johannesburg, Dept Business Management, Johannesburg, South Africa."/>
    <s v="chantevt@uj.ac.za; cschachtebeck@uj.ac.za; cecilen@uj.ac.za; b.a.g.bossink@vu.nl"/>
    <s v="Schachtebeck, Chris/AAE-5048-2021"/>
    <s v="Botha, Chante/0000-0002-1155-416X; Bossink, Bart/0000-0001-9809-5121; Schachtebeck, Chris/0000-0002-9133-2590"/>
    <s v=""/>
    <s v=""/>
    <s v=""/>
    <s v=""/>
    <n v="68"/>
    <n v="12"/>
    <n v="13"/>
    <n v="24"/>
    <n v="192"/>
    <s v="UNIV SPLIT, FAC ECONOMICS"/>
    <s v="SPLIT"/>
    <s v="MATICE HRVATSKE 31, SPLIT, 21000, CROATIA"/>
    <s v="1331-0194"/>
    <s v="1846-3363"/>
    <s v=""/>
    <s v="MANAG-J CONTEMP MANA"/>
    <s v="Manag.-J. Contemp. Manag. Issues"/>
    <s v="DEC"/>
    <n v="2020"/>
    <n v="25"/>
    <n v="2"/>
    <s v=""/>
    <s v=""/>
    <s v=""/>
    <s v=""/>
    <n v="111"/>
    <n v="132"/>
    <s v=""/>
    <s v="10.30924/mjcmi.25.2.6"/>
    <s v="http://dx.doi.org/10.30924/mjcmi.25.2.6"/>
    <s v=""/>
    <s v=""/>
    <n v="22"/>
    <s v="Management"/>
    <x v="3"/>
    <s v="Business &amp; Economics"/>
    <s v="PK8JS"/>
    <s v=""/>
    <s v="gold"/>
    <s v=""/>
    <s v=""/>
    <s v="2023-11-15"/>
    <x v="144"/>
    <s v="View Full Record in Web of Science"/>
  </r>
  <r>
    <s v="J"/>
    <s v="Flores, CC; Rezende, DA"/>
    <s v=""/>
    <s v=""/>
    <s v=""/>
    <s v="Flores, Carla C.; Rezende, Denis A."/>
    <s v=""/>
    <s v=""/>
    <s v="Twitter information for contributing to the strategic digital city: Towards citizens as co-managers"/>
    <s v="TELEMATICS AND INFORMATICS"/>
    <s v=""/>
    <s v=""/>
    <s v="English"/>
    <x v="0"/>
    <s v=""/>
    <s v=""/>
    <s v=""/>
    <s v=""/>
    <s v=""/>
    <s v="Twitter; Strategic digital city; Citizen participation; Information technology; Information quality attributes"/>
    <s v="SOCIAL MEDIA; GOVERNMENT"/>
    <s v="Actions towards an effective city management require a focus on citizens, and it is a role of local governments to search for ways to provide their participation in the decision-making process. Among other information technology resources, local governments use social platforms thus facing the challenge of extracting and classifying information for strategic use. The objective of this study is to analyze Twitter information to contribute to the strategic digital city. The research methodology used was a case study of a Brazilian city. Twitter was analyzed, and the information assessed according to its characteristics, source, nature, quality, intelligence and organizational level. Results reveal Twitter allows communication, rudiments of public services and exchange and sharing information on municipal themes inherent to strategic digital cities. Information has quality and intelligence to serve the strategic level of government. The conclusion confirms that Twitter enhances transparency and strengthens bonds between local government and citizens."/>
    <s v="[Flores, Carla C.; Rezende, Denis A.] Pontificia Univ Catolica Parana PUCPR, Postgrad Program Urban Management &amp; Publ Adm, Curitiba, Parana, Brazil"/>
    <s v="Pontificia Universidade Catolica do Parana"/>
    <s v="Flores, CC (corresponding author), Pontificia Univ Catolica Parana PUCPR, Postgrad Program Urban Management &amp; Publ Adm, Curitiba, Parana, Brazil."/>
    <s v="carla@copta.com.br; denis.rezende@pucpr.br"/>
    <s v="Rezende, Denis Alcides/AAR-2488-2021"/>
    <s v="Rezende, Denis Alcides/0000-0002-3327-0424"/>
    <s v="CNPq-Brazil; FA-Parana"/>
    <s v="CNPq-Brazil(Conselho Nacional de Desenvolvimento Cientifico e Tecnologico (CNPQ)); FA-Parana"/>
    <s v="This work was supported by CNPq-Brazil (research fellow) and FA-Parana."/>
    <s v=""/>
    <n v="70"/>
    <n v="12"/>
    <n v="13"/>
    <n v="2"/>
    <n v="32"/>
    <s v="ELSEVIER SCIENCE BV"/>
    <s v="AMSTERDAM"/>
    <s v="PO BOX 211, 1000 AE AMSTERDAM, NETHERLANDS"/>
    <s v="0736-5853"/>
    <s v=""/>
    <s v=""/>
    <s v="TELEMAT INFORM"/>
    <s v="Telemat. Inform."/>
    <s v="AUG"/>
    <n v="2018"/>
    <n v="35"/>
    <n v="5"/>
    <s v=""/>
    <s v=""/>
    <s v=""/>
    <s v=""/>
    <n v="1082"/>
    <n v="1096"/>
    <s v=""/>
    <s v="10.1016/j.tele.2018.01.005"/>
    <s v="http://dx.doi.org/10.1016/j.tele.2018.01.005"/>
    <s v=""/>
    <s v=""/>
    <n v="15"/>
    <s v="Information Science &amp; Library Science"/>
    <x v="0"/>
    <s v="Information Science &amp; Library Science"/>
    <s v="GM8LQ"/>
    <s v=""/>
    <s v=""/>
    <s v=""/>
    <s v=""/>
    <s v="2023-11-15"/>
    <x v="145"/>
    <s v="View Full Record in Web of Science"/>
  </r>
  <r>
    <s v="J"/>
    <s v="Andrade, EL; Evans, WD; Barrett, ND; Cleary, SD; Edberg, MC; Alvayero, RD; Kierstead, EC; Beltran, A"/>
    <s v=""/>
    <s v=""/>
    <s v=""/>
    <s v="Andrade, E. L.; Evans, W. D.; Barrett, N. D.; Cleary, S. D.; Edberg, M. C.; Alvayero, R. D.; Kierstead, E. C.; Beltran, A."/>
    <s v=""/>
    <s v=""/>
    <s v="Development of the place-based Adelante social marketing campaign for prevention of substance use, sexual risk and violence among Latino immigrant youth"/>
    <s v="HEALTH EDUCATION RESEARCH"/>
    <s v=""/>
    <s v=""/>
    <s v="English"/>
    <x v="0"/>
    <s v=""/>
    <s v=""/>
    <s v=""/>
    <s v=""/>
    <s v=""/>
    <s v=""/>
    <s v="HIV-PREVENTION; DISEASE PREVENTION; PHYSICAL-ACTIVITY; REFUGEE CHILDREN; AFRICAN-AMERICAN; UNITED-STATES; BEHAVIORS; PROGRAM; INTERVENTION; ADOLESCENTS"/>
    <s v="Immigrant Latino youth represent a high-risk subgroup that should be targeted with health promotion efforts. However, there are considerable barriers to engagement in health-related programming. Little is known about the engagement possibilities of social marketing campaigns and digital strategies for traditionally 'hard-to-reach' immigrants, underscoring the importance of testing these techniques with immigrant Latino adolescents. We developed and piloted a place-based social marketing campaign in coordination with the branded, Positive Youth Development-based (PYD) Adelante intervention targeting risk factors for co-occurring youth substance abuse, sexual risk and violence. Building on prior research, we conducted a four-phase formative research process, and planned the Adelante social marketing campaign based on findings from one group interview and ongoing consultation with Adelante staff (n = 8) and four focus groups with youth (n = 35). Participants identified four overarching campaign themes, and suggested portrayal of resilient, proud youth who achieved goals despite adversity. Youth guided selection of campaign features and engagement strategies, including message/visual content, stylistic elements, and a mixed language approach. We developed a 12-month campaign to be delivered via print ads, multi-platform social media promotion, contests, youth-generated videos, blog posts, and text-messaging. We describe the process and outcome of campaign development and make recommendations for future campaigns."/>
    <s v="[Andrade, E. L.; Evans, W. D.; Barrett, N. D.; Edberg, M. C.; Kierstead, E. C.; Beltran, A.] George Washington Univ, Dept Prevent &amp; Community Hlth, Washington, DC 20052 USA; [Cleary, S. D.] George Washington Univ, Dept Epidemiol &amp; Biostat, Washington, DC 20052 USA; [Alvayero, R. D.] Maryland Multicultural Youth Ctr, 8700 Georgia Ave,Suite 500, Silver Spring, MD 20910 USA"/>
    <s v="George Washington University; George Washington University"/>
    <s v="Andrade, EL (corresponding author), George Washington Univ, Dept Prevent &amp; Community Hlth, Washington, DC 20052 USA."/>
    <s v="elandrade@gwu.edu"/>
    <s v="Cleary, Sean D/B-5596-2012"/>
    <s v="Kierstead, Elexis/0000-0002-8502-0451; Andrade, Elizabeth/0000-0001-7652-1337"/>
    <s v="National Institute of Minority Health and Health Disparities [1P20MD006898-01]"/>
    <s v="National Institute of Minority Health and Health Disparities(United States Department of Health &amp; Human ServicesNational Institutes of Health (NIH) - USANIH National Institute on Minority Health &amp; Health Disparities (NIMHD))"/>
    <s v="National Institute of Minority Health and Health Disparities [Grant number 1P20MD006898-01]."/>
    <s v=""/>
    <n v="63"/>
    <n v="12"/>
    <n v="12"/>
    <n v="0"/>
    <n v="36"/>
    <s v="OXFORD UNIV PRESS"/>
    <s v="OXFORD"/>
    <s v="GREAT CLARENDON ST, OXFORD OX2 6DP, ENGLAND"/>
    <s v="0268-1153"/>
    <s v="1465-3648"/>
    <s v=""/>
    <s v="HEALTH EDUC RES"/>
    <s v="Health Educ. Res."/>
    <s v="APR"/>
    <n v="2018"/>
    <n v="33"/>
    <n v="2"/>
    <s v=""/>
    <s v=""/>
    <s v=""/>
    <s v=""/>
    <n v="125"/>
    <n v="144"/>
    <s v=""/>
    <s v="10.1093/her/cyx076"/>
    <s v="http://dx.doi.org/10.1093/her/cyx076"/>
    <s v=""/>
    <s v=""/>
    <n v="20"/>
    <s v="Education &amp; Educational Research; Public, Environmental &amp; Occupational Health"/>
    <x v="0"/>
    <s v="Education &amp; Educational Research; Public, Environmental &amp; Occupational Health"/>
    <s v="GA9KI"/>
    <n v="29329436"/>
    <s v="Green Published, Bronze"/>
    <s v=""/>
    <s v=""/>
    <s v="2023-11-15"/>
    <x v="146"/>
    <s v="View Full Record in Web of Science"/>
  </r>
  <r>
    <s v="J"/>
    <s v="Stone, M; Aravopoulou, E"/>
    <s v=""/>
    <s v=""/>
    <s v=""/>
    <s v="Stone, Merlin; Aravopoulou, Eleni"/>
    <s v=""/>
    <s v=""/>
    <s v="Improving journeys by opening data: the case of Transport for London (TfL)"/>
    <s v="BOTTOM LINE"/>
    <s v=""/>
    <s v=""/>
    <s v="English"/>
    <x v="0"/>
    <s v=""/>
    <s v=""/>
    <s v=""/>
    <s v=""/>
    <s v=""/>
    <s v="Public transport; Customer information; Open data; Customer benefits; App development; Cloud hosting"/>
    <s v="PUBLIC TRANSPORT; TRAVEL; TIMES"/>
    <s v="Purpose This case study describes how one of the world's largest public transport operations, Transport for London (TfL), transformed the real-time availability of information for its customers and staff through the open data approach, and what the results of this transformation were. The purpose of this paper is therefore to show what is required for an open data approach to work. Design/methodology/approach This case study is based mainly on interviews at TfL and data supplied by TfL directly to the researchers. It analyses as far as possible the reported facts of the case to identify the processes required for open data and the benefits thereof. Findings The main finding is that achieving an open data approach in public transport is helped by having a clear commitment to the idea that the data belong to the public and that third parties should be allowed to use and repurpose the information, by having a strong digital strategy, and by creating strong partnerships with data management organisations that can support the delivery of high volumes of information. Research limitations/implications This research is based upon a single case study, albeit over an extensive period, so the findings cannot be applied simply to other situations, other than as evidence of what is possible. However, similar processes could be applied in other situations as a heuristic approach to open data strategy implementation. Practical implications The case study shows how open data can be used to create commercial and non-commercial customer-facing products and services, which passengers and other road users use to gain a better travel experience, and that this approach can be valued in terms of financial/economic contribution to customers and organisations. Social implications This case study shows the value that society can obtain from the opening of data in public transport, and the importance of public service innovation in delivering benefits to citizens. Originality/value This is the first case study to show in some detail some of the processes and activities required to open data to public service customers and others."/>
    <s v="[Stone, Merlin; Aravopoulou, Eleni] St Marys Univ, Dept Management &amp; Social Sci, London, England"/>
    <s v="St Mary's University Twickenham London"/>
    <s v="Stone, M (corresponding author), St Marys Univ, Dept Management &amp; Social Sci, London, England."/>
    <s v="merlin.stone@stmarys.ac.uk; Eleni.aravopoulou@stmarys.ac.uk"/>
    <s v="Stone, Merlin/AAC-9082-2019"/>
    <s v="Stone, Merlin/0000-0003-4687-0629"/>
    <s v=""/>
    <s v=""/>
    <s v=""/>
    <s v=""/>
    <n v="21"/>
    <n v="12"/>
    <n v="12"/>
    <n v="0"/>
    <n v="12"/>
    <s v="EMERALD GROUP PUBLISHING LTD"/>
    <s v="BINGLEY"/>
    <s v="HOWARD HOUSE, WAGON LANE, BINGLEY BD16 1WA, W YORKSHIRE, ENGLAND"/>
    <s v="0888-045X"/>
    <s v="2054-1724"/>
    <s v=""/>
    <s v="BOTTOM LINE"/>
    <s v="Bottom Line"/>
    <s v=""/>
    <n v="2018"/>
    <n v="31"/>
    <n v="1"/>
    <s v=""/>
    <s v=""/>
    <s v=""/>
    <s v=""/>
    <n v="2"/>
    <n v="15"/>
    <s v=""/>
    <s v="10.1108/BL-12-2017-0035"/>
    <s v="http://dx.doi.org/10.1108/BL-12-2017-0035"/>
    <s v=""/>
    <s v=""/>
    <n v="14"/>
    <s v="Information Science &amp; Library Science"/>
    <x v="3"/>
    <s v="Information Science &amp; Library Science"/>
    <s v="FY4ID"/>
    <s v=""/>
    <s v="Green Accepted"/>
    <s v=""/>
    <s v=""/>
    <s v="2023-11-15"/>
    <x v="147"/>
    <s v="View Full Record in Web of Science"/>
  </r>
  <r>
    <s v="J"/>
    <s v="Greco, AN; Wharton, RM"/>
    <s v=""/>
    <s v=""/>
    <s v=""/>
    <s v="Greco, Albert N.; Wharton, Robert M."/>
    <s v=""/>
    <s v=""/>
    <s v="The Market Demand for University Press Books 2008-15"/>
    <s v="JOURNAL OF SCHOLARLY PUBLISHING"/>
    <s v=""/>
    <s v=""/>
    <s v="English"/>
    <x v="0"/>
    <s v=""/>
    <s v=""/>
    <s v=""/>
    <s v=""/>
    <s v=""/>
    <s v="innovative business models for scholarly publishing; university presses; e-book electronic publishing; scholarly communication; marketing strategies"/>
    <s v=""/>
    <s v="This article analyzes important US university press net publishers' revenue and net publishers' unit datasets and.e-book revenues for 2008-9. Data for net publishers' revenues, net publishers' units, and digital e-book revenues for higher education textbooks, professional and scholarly books, and consumer e-books were also evaluated covering the years 2008-9. Drawing on important economic data projections and the publicly available competitive print and digital strategies crafted by competitors in the consumer, higher education, and professional and scholarly sectors, the authors develop net publishers' revenue and unit projections for all of these book categories for 2010-15. The university press data sets reveal unsettling declines in revenues and units for 2008-2015. Addressing these declines, the authors conclude with a brief series of recommendations, including the rapid adoption of a digital 'e-book' business model in order to reposition the presses in what is becoming a digital book marketplace."/>
    <s v="[Greco, Albert N.; Wharton, Robert M.] Fordham Univ, Sch Business, Management Syst Area, Bronx, NY 10458 USA"/>
    <s v="Fordham University"/>
    <s v="Greco, AN (corresponding author), Fordham Univ, Sch Business, Management Syst Area, Bronx, NY 10458 USA."/>
    <s v=""/>
    <s v=""/>
    <s v=""/>
    <s v=""/>
    <s v=""/>
    <s v=""/>
    <s v=""/>
    <n v="30"/>
    <n v="12"/>
    <n v="12"/>
    <n v="0"/>
    <n v="13"/>
    <s v="UNIV TORONTO PRESS INC"/>
    <s v="TORONTO"/>
    <s v="JOURNALS DIVISION, 5201 DUFFERIN ST, DOWNSVIEW, TORONTO, ON M3H 5T8, CANADA"/>
    <s v="1198-9742"/>
    <s v="1710-1166"/>
    <s v=""/>
    <s v="J SCHOLARLY PUBL"/>
    <s v="J. Sch. Publ."/>
    <s v="OCT"/>
    <n v="2010"/>
    <n v="42"/>
    <n v="1"/>
    <s v=""/>
    <s v=""/>
    <s v=""/>
    <s v=""/>
    <n v="1"/>
    <n v="15"/>
    <s v=""/>
    <s v="10.3138/jsp.42.1.1"/>
    <s v="http://dx.doi.org/10.3138/jsp.42.1.1"/>
    <s v=""/>
    <s v=""/>
    <n v="15"/>
    <s v="Humanities, Multidisciplinary; Information Science &amp; Library Science"/>
    <x v="5"/>
    <s v="Arts &amp; Humanities - Other Topics; Information Science &amp; Library Science"/>
    <s v="673DX"/>
    <s v=""/>
    <s v=""/>
    <s v=""/>
    <s v=""/>
    <s v="2023-11-15"/>
    <x v="148"/>
    <s v="View Full Record in Web of Science"/>
  </r>
  <r>
    <s v="J"/>
    <s v="Mussinelli, C"/>
    <s v=""/>
    <s v=""/>
    <s v=""/>
    <s v="Mussinelli, Cristina"/>
    <s v=""/>
    <s v=""/>
    <s v="Digital Publishing in Europe: a Focus on France, Germany, Italy and Spain"/>
    <s v="PUBLISHING RESEARCH QUARTERLY"/>
    <s v=""/>
    <s v=""/>
    <s v="English"/>
    <x v="0"/>
    <s v=""/>
    <s v=""/>
    <s v=""/>
    <s v=""/>
    <s v=""/>
    <s v="Bookrepublic; Digital content; Digital printing; Digital publishing; eBook; Edigita; Editech; ePublishing; eReaders; Gallimard; Japan; iPad; iPhones; Libranda; Libreka; Planeta; Random House; Santillana; Smartphone; Trade book publisher; Spain; Europe; Italy; France; Germany"/>
    <s v=""/>
    <s v="In this article we will provide a general overview of the situation of the digital publishing in Europe starting from the insights provided by the Editech conference, the international day of advanced study organized by the Italian Publishers Association and focused on the trends, perspectives and applications of technological innovation in publishing at an international level. It is the main Italian event dedicated to book publishing with the aim of helping publishers define their short- and medium-term digital strategies, while being aware of the opportunities and risks involved in the conversion to digital of their business model. The Editech 2010 main focus had been: the market and the national and international situation of digital publishing, the new buying and reading behaviors of consumers, e-books and content for e-readers and mobile devices, new production processes (XML, ePub, digital printing) and the distribution scenario and the diffusion of digital content."/>
    <s v=""/>
    <s v=""/>
    <s v="Mussinelli, C (corresponding author), Piazza Pietro Gobetti 10, I-20131 Milan, Italy."/>
    <s v="c.mussinelli@360publishing.it"/>
    <s v=""/>
    <s v=""/>
    <s v=""/>
    <s v=""/>
    <s v=""/>
    <s v=""/>
    <n v="0"/>
    <n v="12"/>
    <n v="12"/>
    <n v="0"/>
    <n v="2"/>
    <s v="SPRINGER"/>
    <s v="NEW YORK"/>
    <s v="233 SPRING ST, NEW YORK, NY 10013 USA"/>
    <s v="1053-8801"/>
    <s v="1936-4792"/>
    <s v=""/>
    <s v="PUBLISH RES Q"/>
    <s v="Publ. Res. Q."/>
    <s v="SEP"/>
    <n v="2010"/>
    <n v="26"/>
    <n v="3"/>
    <s v=""/>
    <s v=""/>
    <s v=""/>
    <s v=""/>
    <n v="168"/>
    <n v="175"/>
    <s v=""/>
    <s v="10.1007/s12109-010-9172-5"/>
    <s v="http://dx.doi.org/10.1007/s12109-010-9172-5"/>
    <s v=""/>
    <s v=""/>
    <n v="8"/>
    <s v="Information Science &amp; Library Science"/>
    <x v="3"/>
    <s v="Information Science &amp; Library Science"/>
    <s v="VG7OD"/>
    <s v=""/>
    <s v=""/>
    <s v=""/>
    <s v=""/>
    <s v="2023-11-15"/>
    <x v="149"/>
    <s v="View Full Record in Web of Science"/>
  </r>
  <r>
    <s v="J"/>
    <s v="Cauffman, C; Goanta, C"/>
    <s v=""/>
    <s v=""/>
    <s v=""/>
    <s v="Cauffman, Caroline; Goanta, Catalina"/>
    <s v=""/>
    <s v=""/>
    <s v="A New Order: The Digital Services Act and Consumer Protection"/>
    <s v="EUROPEAN JOURNAL OF RISK REGULATION"/>
    <s v=""/>
    <s v=""/>
    <s v="English"/>
    <x v="0"/>
    <s v=""/>
    <s v=""/>
    <s v=""/>
    <s v=""/>
    <s v=""/>
    <s v=""/>
    <s v=""/>
    <s v="On 16 December 2020, the European Commission delivered on the plans proposed in the European Digital Strategy by publishing two proposals related to the governance of digital services in the European Union: the Digital Services Act (DSA) and the Digital Markets Act (DMA). The much-awaited regulatory reform is often mentioned in the context of content moderation and freedom of expression, market power and competition. It is, however, important to bear in mind the contractual nature of the relationship between users and platforms and the additional contracts concluded on the platform between the users, in particular traders and consumers. Moreover, the monetisation offered by digital platforms has led to new dynamics and economic interests. This paper explores the reform proposed by the European Commission by means of the DSA by touching upon four main themes that will be addressed from the perspective of consumer protection: (1) the internal coherence of European Union law; (2) intermediary liability; (3) the outsourcing of solutions to private parties; and (4) digital enforcement."/>
    <s v="[Cauffman, Caroline; Goanta, Catalina] Maastricht Univ, Bouillonstr 1-3, NL-6211 LH Maastricht, Netherlands"/>
    <s v="Maastricht University"/>
    <s v="Cauffman, C (corresponding author), Maastricht Univ, Bouillonstr 1-3, NL-6211 LH Maastricht, Netherlands."/>
    <s v="caroline.cauffman@maastrichtuniversity.nl; catalina.goanta@maastrichtuniversity.nl"/>
    <s v="Cauffman, Caroline/K-7726-2019; Cauffman, Caroline/X-1949-2019"/>
    <s v="Cauffman, Caroline/0000-0002-0159-9823;"/>
    <s v=""/>
    <s v=""/>
    <s v=""/>
    <s v=""/>
    <n v="31"/>
    <n v="11"/>
    <n v="11"/>
    <n v="6"/>
    <n v="23"/>
    <s v="CAMBRIDGE UNIV PRESS"/>
    <s v="CAMBRIDGE"/>
    <s v="EDINBURGH BLDG, SHAFTESBURY RD, CB2 8RU CAMBRIDGE, ENGLAND"/>
    <s v="1867-299X"/>
    <s v="2190-8249"/>
    <s v=""/>
    <s v="EUR J RISK REGUL"/>
    <s v="Eur. J. Risk Regul."/>
    <s v="DEC"/>
    <n v="2021"/>
    <n v="12"/>
    <n v="4"/>
    <s v=""/>
    <s v=""/>
    <s v=""/>
    <s v=""/>
    <n v="758"/>
    <n v="774"/>
    <s v=""/>
    <s v="10.1017/err.2021.8"/>
    <s v="http://dx.doi.org/10.1017/err.2021.8"/>
    <s v=""/>
    <s v=""/>
    <n v="17"/>
    <s v="Law"/>
    <x v="3"/>
    <s v="Government &amp; Law"/>
    <s v="XD4UN"/>
    <s v=""/>
    <s v="Green Published, hybrid"/>
    <s v=""/>
    <s v=""/>
    <s v="2023-11-15"/>
    <x v="150"/>
    <s v="View Full Record in Web of Science"/>
  </r>
  <r>
    <s v="J"/>
    <s v="Ano, B; Bent, R"/>
    <s v=""/>
    <s v=""/>
    <s v=""/>
    <s v="Ano, Blandine; Bent, Richard"/>
    <s v=""/>
    <s v=""/>
    <s v="Human determinants influencing the digital transformation strategy of multigenerational family businesses: a multiple-case study of five French growth-oriented family firms"/>
    <s v="JOURNAL OF FAMILY BUSINESS MANAGEMENT"/>
    <s v=""/>
    <s v=""/>
    <s v="English"/>
    <x v="0"/>
    <s v=""/>
    <s v=""/>
    <s v=""/>
    <s v=""/>
    <s v=""/>
    <s v="Multigenerational family business; Millennials; Digital strategy; Human capital; Non-economic goals"/>
    <s v="INNOVATION; AGENDA; IMPACT; SMES"/>
    <s v="Purpose In a context of technological disruption, companies face a digital imperative to adopt successfully emerging new technologies. While family firms have a huge potential for growth and innovation, they may - due to idiosyncratic but often limited resources, have to address the complex challenges induced by digital technologies introduction. The purpose of this paper is to explore how human and cultural resources influence the formulation and implementation of five French family firms' digital strategy. Design/methodology/approach Based on a phenomenological epistemology, semi-structured interviews among different generational cohorts of family business owners. Findings The thematic analysis highlights five main cultural and psychological determinants holding the potential for positive and synergetic outcomes while implementing a digital strategy: the change management nurtured by long-term sustainability, the emotional attachment to the firm, the entrepreneurial legacy influence, the personalised involvement of individual family members and the family owners' central focus on employees. Originality/value This paper is one of the first research projects exploring the digital transformation process of family businesses from the perspective of the firm's human capital. The participants of the study reveal idiosyncratic attitudes such as long-term orientation, entrepreneurial bridging and non-economic goals leading to competitive advantages and transgenerational wealth creation."/>
    <s v="[Ano, Blandine] Queen Margaret Univ, Edinburgh, Midlothian, Scotland; [Bent, Richard] Queen Margaret Univ, Queen Margaret Business Sch, Edinburgh, Midlothian, Scotland"/>
    <s v="Queen Margaret University; Queen Margaret University"/>
    <s v="Ano, B (corresponding author), Queen Margaret Univ, Edinburgh, Midlothian, Scotland."/>
    <s v="ano.blandine@gmail.com"/>
    <s v=""/>
    <s v=", Blandine/0000-0003-0826-0440; Bent, Richard/0000-0003-0709-0160"/>
    <s v=""/>
    <s v=""/>
    <s v=""/>
    <s v=""/>
    <n v="48"/>
    <n v="11"/>
    <n v="11"/>
    <n v="8"/>
    <n v="88"/>
    <s v="EMERALD GROUP PUBLISHING LTD"/>
    <s v="BINGLEY"/>
    <s v="HOWARD HOUSE, WAGON LANE, BINGLEY BD16 1WA, W YORKSHIRE, ENGLAND"/>
    <s v="2043-6238"/>
    <s v="2043-6246"/>
    <s v=""/>
    <s v="J FAM BUS MANAG"/>
    <s v="J. Fam. Bus. Manag."/>
    <s v="DEC 1"/>
    <n v="2022"/>
    <n v="12"/>
    <n v="4"/>
    <s v=""/>
    <s v=""/>
    <s v=""/>
    <s v=""/>
    <n v="876"/>
    <n v="891"/>
    <s v=""/>
    <s v="10.1108/JFBM-12-2020-0117"/>
    <s v="http://dx.doi.org/10.1108/JFBM-12-2020-0117"/>
    <s v=""/>
    <s v="MAY 2021"/>
    <n v="16"/>
    <s v="Management"/>
    <x v="3"/>
    <s v="Business &amp; Economics"/>
    <s v="6R8PN"/>
    <s v=""/>
    <s v=""/>
    <s v=""/>
    <s v=""/>
    <s v="2023-11-15"/>
    <x v="151"/>
    <s v="View Full Record in Web of Science"/>
  </r>
  <r>
    <s v="J"/>
    <s v="Hänninen, M; Smedlund, A"/>
    <s v=""/>
    <s v=""/>
    <s v=""/>
    <s v="Hanninen, Mikko; Smedlund, Anssi"/>
    <s v=""/>
    <s v=""/>
    <s v="Same Old Song with a Different Melody: The Paradox of Market Reach and Financial Performance on Digital Platforms"/>
    <s v="JOURNAL OF MANAGEMENT STUDIES"/>
    <s v=""/>
    <s v=""/>
    <s v="English"/>
    <x v="0"/>
    <s v=""/>
    <s v=""/>
    <s v=""/>
    <s v=""/>
    <s v=""/>
    <s v="digital strategy; entrepreneurship; marketplace; platform economy; service provider; services"/>
    <s v=""/>
    <s v="In the service sector, digital platforms now enable service providers to reach customers through an online marketplace and use the value-adding complementary services offered. However, despite the widespread prevalence of digital platforms, there has been little research on the market reach and financial performance captured by service providers. We explored these service provider-specific outcomes of digital platforms by studying a digital platform in the beauty industry. Our results show that digital platforms present a troubling paradox for service providers participating in a platform-based online marketplace: despite increases in market reach, in terms of a higher rate of new customer acquisition, those service providers participating in the marketplace have lower sales than others. However, the 'dark side' of this paradox is compensated by higher sales for service providers using more of the complementary services offered by the platform. Hence, although digital platforms may open new markets and add value, service providers should be wary of their paradoxical consequences. With these findings, we contribute new theoretical and managerial insight about the service provider-specific outcomes of digital platforms and add to the ongoing debate about firm strategies in the digital age concerning the platform economy."/>
    <s v="[Hanninen, Mikko] Univ Nottingham, Business Sch, Nottingham, England; [Smedlund, Anssi] Aalto Univ, Sch Business, Espoo, Finland"/>
    <s v="University of Nottingham; Aalto University"/>
    <s v="Hänninen, M (corresponding author), Univ Nottingham, Business Sch, Operat Management &amp; Informat Syst Div, Nottingham NG8 1BB, England."/>
    <s v="mikko.hanninen@nottingham.ac.uk"/>
    <s v=""/>
    <s v=""/>
    <s v=""/>
    <s v=""/>
    <s v=""/>
    <s v=""/>
    <n v="105"/>
    <n v="11"/>
    <n v="11"/>
    <n v="32"/>
    <n v="154"/>
    <s v="WILEY"/>
    <s v="HOBOKEN"/>
    <s v="111 RIVER ST, HOBOKEN 07030-5774, NJ USA"/>
    <s v="0022-2380"/>
    <s v="1467-6486"/>
    <s v=""/>
    <s v="J MANAGE STUD"/>
    <s v="J. Manage. Stud."/>
    <s v="NOV"/>
    <n v="2021"/>
    <n v="58"/>
    <n v="7"/>
    <s v=""/>
    <s v=""/>
    <s v="SI"/>
    <s v=""/>
    <n v="1832"/>
    <n v="1868"/>
    <s v=""/>
    <s v="10.1111/joms.12701"/>
    <s v="http://dx.doi.org/10.1111/joms.12701"/>
    <s v=""/>
    <s v="MAY 2021"/>
    <n v="37"/>
    <s v="Business; Management"/>
    <x v="0"/>
    <s v="Business &amp; Economics"/>
    <s v="WI2WK"/>
    <s v=""/>
    <s v="Green Published"/>
    <s v=""/>
    <s v=""/>
    <s v="2023-11-15"/>
    <x v="152"/>
    <s v="View Full Record in Web of Science"/>
  </r>
  <r>
    <s v="J"/>
    <s v="Rahrovani, Y"/>
    <s v=""/>
    <s v=""/>
    <s v=""/>
    <s v="Rahrovani, Yasser"/>
    <s v=""/>
    <s v=""/>
    <s v="Platform drifting: When work digitalization hijacks its spirit"/>
    <s v="JOURNAL OF STRATEGIC INFORMATION SYSTEMS"/>
    <s v=""/>
    <s v=""/>
    <s v="English"/>
    <x v="0"/>
    <s v=""/>
    <s v=""/>
    <s v=""/>
    <s v=""/>
    <s v=""/>
    <s v="Digital work; Platform alignment; Social media alignment; Platform logic; Platform drifting; Digital strategy; Organizational transformation; Digital transformation"/>
    <s v="ENTERPRISE SOCIAL MEDIA; INSTITUTIONAL LOGICS; STRATEGIC ALIGNMENT; COMPETING LOGICS; BUSINESS VALUE; ORGANIZATIONS; IDENTITY; CAPABILITIES; PERSPECTIVE; TECHNOLOGY"/>
    <s v="Organizations are increasingly digitalizing the work associated with information exchange by using enterprise social media. However, social media's openness to outsider users poses significant challenges to maintaining alignment between social media logic (or platform logic that guides decisions and actions on the platform) and the dominant organizational logic. Through an in-depth, longitudinal, abductive study of three successive social media implementations in a single organization, I explore the process of maintaining (or losing) social media alignment and its long-term consequences on the nature of the work. The paper shows that digitalization exposes the work to continuous adjustment within and across three elements of digital work: digital infrastructure work (embracing new uses of the platform at the user level), digital strategy work (redesigning governance policies), and aligning work (fitting uses with the platform logic underlying digital work). The findings show that despite initial social media alignment, through continuous coevolution of these three elements, the platform logic underlying digital community work eventually drifted away from supporting the organization's original logic of cohesion to supporting an alternative logic of inclusivity. Accordingly, a process model of platform drifting has been developed. By taking a closer look at actual practices, the paper contributes to digital work research by identifying distinct elements of digital work involved in social media (mis) alignment and illustrates the profound, long-term consequences of social media on the nature of the work."/>
    <s v="[Rahrovani, Yasser] Western Univ, Ivey Business Sch, London, ON N6G 0N1, Canada"/>
    <s v="Western University (University of Western Ontario)"/>
    <s v="Rahrovani, Y (corresponding author), Western Univ, Ivey Business Sch, London, ON N6G 0N1, Canada."/>
    <s v="yrahrovani@ivey.ca"/>
    <s v=""/>
    <s v="Rahrovani, Yasser/0000-0002-9196-3835"/>
    <s v="Montreal Toheed Society"/>
    <s v="Montreal Toheed Society"/>
    <s v="I am indebted to the participants of this study and to Montreal Toheed Society for supporting this research project. I am grateful for the insightful comments and encouragement received from Editor-in-Chief, Guy Gable, the special issue guest editors, particularly Stefan Klein, and the four anonymous reviewers. I sincerely thank Robert D. Austin, Tima Bansal, Patricia Thornton, Ali Aslan Gumusay, Alain Pinsonneault, Yolande Chan, Isam Faik, Mohammad Hossein Jarrahi, Shamel Addas, Mohammad Rezazade Mehrizi, James Denford, Nicole Haggerty, Saeed Akhlaghpour, and Bogdan Negoita for their constructive comments on various versions of this paper."/>
    <s v=""/>
    <n v="95"/>
    <n v="11"/>
    <n v="11"/>
    <n v="14"/>
    <n v="99"/>
    <s v="ELSEVIER"/>
    <s v="AMSTERDAM"/>
    <s v="RADARWEG 29, 1043 NX AMSTERDAM, NETHERLANDS"/>
    <s v="0963-8687"/>
    <s v="1873-1198"/>
    <s v=""/>
    <s v="J STRATEGIC INF SYST"/>
    <s v="J. Strateg. Inf. Syst."/>
    <s v="JUN"/>
    <n v="2020"/>
    <n v="29"/>
    <n v="2"/>
    <s v=""/>
    <s v=""/>
    <s v="SI"/>
    <s v=""/>
    <s v=""/>
    <s v=""/>
    <n v="101615"/>
    <s v="10.1016/j.jsis.2020.101615"/>
    <s v="http://dx.doi.org/10.1016/j.jsis.2020.101615"/>
    <s v=""/>
    <s v=""/>
    <n v="26"/>
    <s v="Computer Science, Information Systems; Information Science &amp; Library Science; Management"/>
    <x v="1"/>
    <s v="Computer Science; Information Science &amp; Library Science; Business &amp; Economics"/>
    <s v="NH3AY"/>
    <s v=""/>
    <s v="hybrid"/>
    <s v=""/>
    <s v=""/>
    <s v="2023-11-15"/>
    <x v="153"/>
    <s v="View Full Record in Web of Science"/>
  </r>
  <r>
    <s v="J"/>
    <s v="Wong, P; Lee, D; Ng, PML"/>
    <s v=""/>
    <s v=""/>
    <s v=""/>
    <s v="Wong, Phoebe; Lee, Daisy; Ng, Peggy M. L."/>
    <s v=""/>
    <s v=""/>
    <s v="Online search for information about universities: a Hong Kong study"/>
    <s v="INTERNATIONAL JOURNAL OF EDUCATIONAL MANAGEMENT"/>
    <s v=""/>
    <s v=""/>
    <s v="English"/>
    <x v="0"/>
    <s v=""/>
    <s v=""/>
    <s v=""/>
    <s v=""/>
    <s v=""/>
    <s v="Higher education institutions; Enrolment; Online university information search; University marketing; University recruitment"/>
    <s v="HIGHER-EDUCATION; GENDER-DIFFERENCES; SOCIAL MEDIA; RECRUITMENT; STRATEGIES; BRAND; INSTITUTIONS; FACEBOOK; BEHAVIOR; CHOICE"/>
    <s v="Purpose A fuller understanding of the information search behaviour of prospective students in the digital era is one of the keys to success in university recruitment. The purpose of this paper is to investigate students' university choice factors in relation to the online environment. Design/methodology/approach In total, 637 samples from 11 private higher education institutions were collected and tested against assumptions before performing statistical analysis including exploratory factor analysis and mean comparison. Findings The findings revealed that there are some significant differences in gender and academic discipline in the use of the internet to search for university information. In addition, four constructs of university information were identified that are perceived as important by students in their search behaviour: university reputation, eligibility and affordability, teaching and learning and university tangibility. The outcomes of this research provide some noteworthy insights which have numerous strategic digital marketing implications. Originality/value While most existing studies have explored types of social media apps or online channels that prospective students use, little research has touched on students' university choice factors in relation to the online environment. Responding to Constantinides and Zinck Stagno (2011) and Hemsley-Brown et al.'s (2016) call, this paper aims to address this research gap by investigating students' university information search in relation to the online environment."/>
    <s v="[Wong, Phoebe; Lee, Daisy; Ng, Peggy M. L.] Hong Kong Polytech Univ, Sch Profess Educ &amp; Execut Dev, Hong Kong, Hong Kong, Peoples R China"/>
    <s v="Hong Kong Polytechnic University"/>
    <s v="Wong, P (corresponding author), Hong Kong Polytech Univ, Sch Profess Educ &amp; Execut Dev, Hong Kong, Hong Kong, Peoples R China."/>
    <s v="phoebewws@yahoo.com; smdlee@speed-polyu.edu.hk; sppeggy@speed-polyu.edu.hk"/>
    <s v="Lee, Daisy/E-7877-2019; Lee, Daisy/CAG-1010-2022"/>
    <s v="Lee, Daisy/0000-0002-9630-1689; WONG, Wai Sum Phoebe/0000-0002-6404-928X; Ng, Peggy/0000-0001-8659-5700"/>
    <s v="College of Professional and Continuing Education, The Hong Kong Polytechnic University"/>
    <s v="College of Professional and Continuing Education, The Hong Kong Polytechnic University"/>
    <s v="This paper was partially supported by the College of Professional and Continuing Education, The Hong Kong Polytechnic University."/>
    <s v=""/>
    <n v="61"/>
    <n v="11"/>
    <n v="11"/>
    <n v="3"/>
    <n v="25"/>
    <s v="EMERALD GROUP PUBLISHING LTD"/>
    <s v="BINGLEY"/>
    <s v="HOWARD HOUSE, WAGON LANE, BINGLEY BD16 1WA, W YORKSHIRE, ENGLAND"/>
    <s v="0951-354X"/>
    <s v="1758-6518"/>
    <s v=""/>
    <s v="INT J EDUC MANAG"/>
    <s v="Int. J. Educ. Manag."/>
    <s v=""/>
    <n v="2018"/>
    <n v="32"/>
    <n v="3"/>
    <s v=""/>
    <s v=""/>
    <s v=""/>
    <s v=""/>
    <n v="511"/>
    <n v="524"/>
    <s v=""/>
    <s v="10.1108/IJEM-12-2016-0268"/>
    <s v="http://dx.doi.org/10.1108/IJEM-12-2016-0268"/>
    <s v=""/>
    <s v=""/>
    <n v="14"/>
    <s v="Management"/>
    <x v="3"/>
    <s v="Business &amp; Economics"/>
    <s v="GD0LL"/>
    <s v=""/>
    <s v=""/>
    <s v=""/>
    <s v=""/>
    <s v="2023-11-15"/>
    <x v="154"/>
    <s v="View Full Record in Web of Science"/>
  </r>
  <r>
    <s v="J"/>
    <s v="Rezende, DA; Procopiuck, M; Figueiredo, FD"/>
    <s v=""/>
    <s v=""/>
    <s v=""/>
    <s v="Rezende, Denis Alcides; Procopiuck, Mario; Figueiredo, Frederico de Carvalho"/>
    <s v=""/>
    <s v=""/>
    <s v="Public Policy and a Strategic Digital City Project: A Case Study of the Brazilian Municipality of Vinhedo"/>
    <s v="JOURNAL OF URBAN TECHNOLOGY"/>
    <s v=""/>
    <s v=""/>
    <s v="English"/>
    <x v="0"/>
    <s v=""/>
    <s v=""/>
    <s v=""/>
    <s v=""/>
    <s v=""/>
    <s v="digital cities; public policy; strategic municipal planning; strategic digital city; urban management"/>
    <s v="CITIES"/>
    <s v="Municipalities interested in communication, education and social development seek to contribute to citizenship by planning, structuring, storing, and providing access to information. Starting with an overview of the global background to discussions on digital cities and the relation between digital cities and public policies, this article seeks to analyze and describe municipal information planning based on a project carried out, between 2009 and 2014, in the municipality of Vinhedo, SAo Paulo, Brazil. The study stresses the importance of adopting a project design methodology and implementing projects collectively at a municipal level to increase the efficiency of municipal management and implementing the strategic digital city concept, thereby increasing public space and governability and, consequently, citizens' quality of life. The results show that municipal information planning projects constitute public policy."/>
    <s v="[Rezende, Denis Alcides; Procopiuck, Mario; Figueiredo, Frederico de Carvalho] Pontifical Catholic Univ, Postgrad Program Urban Management, Curitiba, Parana, Brazil; [Rezende, Denis Alcides] DePaul Univ, Sch Publ Serv, Chicago, IL USA"/>
    <s v="Pontificia Universidade Catolica do Parana; DePaul University"/>
    <s v="Procopiuck, M (corresponding author), Pontifical Catholic Univ, Rua Imaculada Conceicao,1155 Prado Velho, Curitiba, Parana, Brazil."/>
    <s v="mario.p@pucpr.br"/>
    <s v="Rezende, Denis Alcides/AAR-2488-2021; Prokopiuk, Mario/E-1127-2014"/>
    <s v="Rezende, Denis Alcides/0000-0002-3327-0424; Prokopiuk, Mario/0000-0002-7346-1938"/>
    <s v=""/>
    <s v=""/>
    <s v=""/>
    <s v=""/>
    <n v="32"/>
    <n v="11"/>
    <n v="12"/>
    <n v="1"/>
    <n v="20"/>
    <s v="ROUTLEDGE JOURNALS, TAYLOR &amp; FRANCIS LTD"/>
    <s v="ABINGDON"/>
    <s v="4 PARK SQUARE, MILTON PARK, ABINGDON OX14 4RN, OXFORDSHIRE, ENGLAND"/>
    <s v="1063-0732"/>
    <s v="1466-1853"/>
    <s v=""/>
    <s v="J URBAN TECHNOL"/>
    <s v="J. Urban Technol."/>
    <s v="APR 3"/>
    <n v="2015"/>
    <n v="22"/>
    <n v="2"/>
    <s v=""/>
    <s v=""/>
    <s v=""/>
    <s v=""/>
    <n v="63"/>
    <n v="83"/>
    <s v=""/>
    <s v="10.1080/10630732.2014.971536"/>
    <s v="http://dx.doi.org/10.1080/10630732.2014.971536"/>
    <s v=""/>
    <s v=""/>
    <n v="21"/>
    <s v="Urban Studies"/>
    <x v="0"/>
    <s v="Urban Studies"/>
    <s v="CP2HQ"/>
    <s v=""/>
    <s v=""/>
    <s v=""/>
    <s v=""/>
    <s v="2023-11-15"/>
    <x v="155"/>
    <s v="View Full Record in Web of Science"/>
  </r>
  <r>
    <s v="J"/>
    <s v="Mintz, O; Currim, IS; Jeliazkov, I"/>
    <s v=""/>
    <s v=""/>
    <s v=""/>
    <s v="Mintz, Ofer; Currim, Imran S.; Jeliazkov, Ivan"/>
    <s v=""/>
    <s v=""/>
    <s v="Information Processing Pattern and Propensity to Buy: An Investigation of Online Point-of-Purchase Behavior"/>
    <s v="MARKETING SCIENCE"/>
    <s v=""/>
    <s v=""/>
    <s v="English"/>
    <x v="0"/>
    <s v=""/>
    <s v=""/>
    <s v=""/>
    <s v=""/>
    <s v=""/>
    <s v="information processing; discrete choice; Markov chain Monte Carlo (MCMC); digital strategy"/>
    <s v="CONSUMER CHOICE; PROTOCOL ANALYSIS; CLICKSTREAM DATA; DECISION-MAKING; PRIOR KNOWLEDGE; MODEL; ACQUISITION; LIKELIHOOD; INFERENCE; SEEKING"/>
    <s v="The information processing literature provides a wealth of laboratory evidence on the effects that the choice task and individual characteristics have on the extent to which consumers engage in alternative-based versus attribute-based information processing. Less attention has been paid to studying how the processing pattern at the point of purchase is associated with a consumer's propensity to buy in shopping settings. To understand this relationship, we formulate a discrete choice model and perform formal model comparisons to distinguish among several possible dependence structures. We consider models involving an existing measure of information processing, PATTERN; a latent variable version of this measure; and several new refinements and generalizations. Analysis of a unique data set of 895 shoppers on a popular electronics website supports the latent variable specification and provides validation for several hypotheses and modeling components. We find a positive relationship between alternative-based processing and purchase, as well as a tendency of shoppers in the lower price category to engage in alternative-based processing. The results also support the case for joint modeling and estimation. These findings can be useful for future work in information processing and suggest that likely buyers can be identified while engaged in information processing prior to purchase commitment, an important first step in targeting decisions."/>
    <s v="[Mintz, Ofer] Louisiana State Univ, EJ Ourso Coll Business, Baton Rouge, LA 70803 USA; [Currim, Imran S.] Univ Calif Irvine, Paul Merage Sch Business, Irvine, CA 92697 USA; [Jeliazkov, Ivan] Univ Calif Irvine, Dept Econ, Irvine, CA 92697 USA"/>
    <s v="Louisiana State University System; Louisiana State University; University of California System; University of California Irvine; University of California System; University of California Irvine"/>
    <s v="Mintz, O (corresponding author), Louisiana State Univ, EJ Ourso Coll Business, Baton Rouge, LA 70803 USA."/>
    <s v="omintz@lsu.edu; iscurrim@uci.edu; ivan@uci.edu"/>
    <s v="Mintz, Ofer/H-7972-2013; Jeliazkov, Ivan/C-3108-2009"/>
    <s v="Mintz, Ofer/0000-0003-0512-4283; Jeliazkov, Ivan/0000-0002-4924-9910"/>
    <s v=""/>
    <s v=""/>
    <s v=""/>
    <s v=""/>
    <n v="36"/>
    <n v="11"/>
    <n v="11"/>
    <n v="2"/>
    <n v="75"/>
    <s v="INFORMS"/>
    <s v="CATONSVILLE"/>
    <s v="5521 RESEARCH PARK DR, SUITE 200, CATONSVILLE, MD 21228 USA"/>
    <s v="0732-2399"/>
    <s v=""/>
    <s v=""/>
    <s v="MARKET SCI"/>
    <s v="Mark. Sci."/>
    <s v="SEP-OCT"/>
    <n v="2013"/>
    <n v="32"/>
    <n v="5"/>
    <s v=""/>
    <s v=""/>
    <s v=""/>
    <s v=""/>
    <n v="716"/>
    <n v="732"/>
    <s v=""/>
    <s v="10.1287/mksc.2013.0790"/>
    <s v="http://dx.doi.org/10.1287/mksc.2013.0790"/>
    <s v=""/>
    <s v=""/>
    <n v="17"/>
    <s v="Business"/>
    <x v="0"/>
    <s v="Business &amp; Economics"/>
    <s v="229ZH"/>
    <s v=""/>
    <s v=""/>
    <s v=""/>
    <s v=""/>
    <s v="2023-11-15"/>
    <x v="156"/>
    <s v="View Full Record in Web of Science"/>
  </r>
  <r>
    <s v="J"/>
    <s v="Nikitenko, V; Voronkova, V; Oleksenko, R; Andriukaitiene, R; Holovii, L"/>
    <s v=""/>
    <s v=""/>
    <s v=""/>
    <s v="Nikitenko, Vitalina; Voronkova, Valentyna; Oleksenko, Roman; Andriukaitiene, Regina; Holovii, Liudmyla"/>
    <s v=""/>
    <s v=""/>
    <s v="Education as a factor of cognitive society development in the conditions of digital transformation"/>
    <s v="REVISTA DE LA UNIVERSIDAD DEL ZULIA"/>
    <s v=""/>
    <s v=""/>
    <s v="English"/>
    <x v="0"/>
    <s v=""/>
    <s v=""/>
    <s v=""/>
    <s v=""/>
    <s v=""/>
    <s v="Education; society; computer literacy; Economic systems; information"/>
    <s v="HOMO-ECONOMICUS"/>
    <s v="The purpose of the study is to conceptualize the cognitive development of society as a factor of digital transformation. The solution of this problem contributes to the formation of a new theory that requires the introduction of innovative technologies that play a very important role in the sustainable development of society. The research methodology used consists of axiological, comparative, synergistic, structural-functional methods and approaches. The emergence of a new digital person is explored, whose essence is that the technological revolution has made it possible for everyone to connect to the network, to contribute to the network effect, allowing people to work in real time and generate income by moving in the markets. The concept of the formation of the digital economy has been structured, as a factor in the cognitive development of society, and new digital strategies have been revealed for firms, companies, organizations, companies that face immeasurable challenges and opportunities for digitization and for achieve success."/>
    <s v="[Nikitenko, Vitalina; Voronkova, Valentyna] Zaporizhzhia Natl Univ, Zaporizhzhia, Ukraine; [Oleksenko, Roman] Dmytro Motornyi Tavria State Agrotechnol Univ, Melitopol, Ukraine; [Andriukaitiene, Regina] Marijampole Univ Appl Sci, Marijampole, Lithuania; [Andriukaitiene, Regina] Lithuanian Sports Univ, Kaunas, Lithuania; [Holovii, Liudmyla] Natl Univ Life &amp; Environm Sci Ukraine, Kiev, Ukraine"/>
    <s v="Ministry of Education &amp; Science of Ukraine; Zaporizhzhia National University; Ministry of Education &amp; Science of Ukraine; Dmytro Motornyi Tavria State Agrotechnological University; Lithuanian Sports University; National University of Life &amp; Environmental Sciences of Ukraine"/>
    <s v="Nikitenko, V (corresponding author), Zaporizhzhia Natl Univ, Zaporizhzhia, Ukraine."/>
    <s v="vitalina2006@ukr.net; valentinavoronkova236@gmail.com; roman.xdsl@ukr.net; regina.andriukaitiene@gmail.com; Lyudmyla_Holoviy@nubip.edu.ua"/>
    <s v="Holovii, Liudmyla/AET-4065-2022; Vitalina, Nikitenko/AAQ-5631-2021; Oleksenko, Roman/I-4725-2017; Voronkova, Valentyna/T-2057-2017"/>
    <s v="Vitalina, Nikitenko/0000-0001-9588-7836; Oleksenko, Roman/0000-0002-2171-514X; Voronkova, Valentyna/0000-0002-0719-1546"/>
    <s v=""/>
    <s v=""/>
    <s v=""/>
    <s v=""/>
    <n v="31"/>
    <n v="10"/>
    <n v="10"/>
    <n v="3"/>
    <n v="10"/>
    <s v="UNIV ZULIA, FAC HUMANIDADES EDUCACION, CENTRO INVE"/>
    <s v="MARACAIBO"/>
    <s v="APARTADO 526, MARACAIBO, ZULIA 00000, VENEZUELA"/>
    <s v="0041-8811"/>
    <s v="2665-0428"/>
    <s v=""/>
    <s v="REV UNIV ZULIA"/>
    <s v="Rev. Univ. Zulia"/>
    <s v="SEP-DEC"/>
    <n v="2022"/>
    <n v="13"/>
    <n v="38"/>
    <s v=""/>
    <s v=""/>
    <s v=""/>
    <s v=""/>
    <n v="680"/>
    <n v="695"/>
    <s v=""/>
    <s v="10.46925//rdluz.38.37"/>
    <s v="http://dx.doi.org/10.46925//rdluz.38.37"/>
    <s v=""/>
    <s v=""/>
    <n v="16"/>
    <s v="Social Sciences, Interdisciplinary"/>
    <x v="3"/>
    <s v="Social Sciences - Other Topics"/>
    <s v="5E3FE"/>
    <s v=""/>
    <s v="Green Submitted, hybrid"/>
    <s v=""/>
    <s v=""/>
    <s v="2023-11-15"/>
    <x v="157"/>
    <s v="View Full Record in Web of Science"/>
  </r>
  <r>
    <s v="J"/>
    <s v="Van Zeebroeck, N; Kretschmer, T; Bughin, J"/>
    <s v=""/>
    <s v=""/>
    <s v=""/>
    <s v="Van Zeebroeck, Nicolas; Kretschmer, Tobias; Bughin, Jacques"/>
    <s v=""/>
    <s v=""/>
    <s v="Digital is Strategy: The Role of Digital Technology Adoption in Strategy Renewal"/>
    <s v="IEEE TRANSACTIONS ON ENGINEERING MANAGEMENT"/>
    <s v=""/>
    <s v=""/>
    <s v="English"/>
    <x v="0"/>
    <s v=""/>
    <s v=""/>
    <s v=""/>
    <s v=""/>
    <s v=""/>
    <s v="Companies; Industries; Cognition; Steady-state; Space exploration; Mobile applications; Insurance; Digital strategy; digital transformation; strategic organization design (SOD); strategic renewal; technology adoption"/>
    <s v="INFORMATION-TECHNOLOGY; ORGANIZATION DESIGN; ALIGNMENT; BUSINESS; CAPABILITIES; INNOVATION; INSIGHTS; AGILITY"/>
    <s v="As digital technologies emerge and improve rapidly, firms face changing tradeoffs in terms of their technology infrastructure and strategic direction. Hence, many of them adopt new digital technology and develop new business models and strategies. The literature on strategic alignment of IT suggests that firms need to synchronize these different domains of choice. We therefore, ask how far firms renew their strategy as they adopt new technologies. In this article, we study this question empirically by assessing if the adoption of new digital technologies is associated with, or even leads to, changes to firm strategy using a detailed survey-based dataset on firms' strategy renewal and their adoption of digital technologies. We observe a strong positive association between the extent of strategy change and the stage of adoption of advanced digital technologies overall, suggesting a tight coupling between (technological) structure and strategy. Further, using instrumental variable regressions to disentangle the two effects, we find that the adoption of new technologies may lead to a large and robust effect on strategy change: the more extensive the adoption, the larger the change in strategy. This result is robust to various specifications and across industries. However, we notice substantial differences across technologies, potentially pointing at heterogeneity in their strategic nature or maturity level."/>
    <s v="[Van Zeebroeck, Nicolas] Univ Libre Bruxelles, Solvay Brussels Sch Econ &amp; Management, iCITE, B-1050 Brussels, Belgium; [Kretschmer, Tobias] Ludwig Maximilians Univ Munchen, Inst Strategy Technol &amp; Org, D-80539 Munich, Germany; [Kretschmer, Tobias] Ctr Econ Policy Res, London, England; [Bughin, Jacques] Univ Libre Bruxelles, Solvay Brussels Sch Econ &amp; Management, B-1050 Brussels, Belgium; [Bughin, Jacques] Machaon Advisory, B-1050 Brussels, Belgium"/>
    <s v="Universite Libre de Bruxelles; Solvay SA; University of Munich; Centre for Economic Policy Research - UK; Universite Libre de Bruxelles; Solvay SA"/>
    <s v="Kretschmer, T (corresponding author), Ludwig Maximilians Univ Munchen, Inst Strategy Technol &amp; Org, D-80539 Munich, Germany."/>
    <s v="nicolas.van.zeebroeck@ulb.be; t.kretschmer@lmu.de; bughinjacquesrenejean@gmail.com"/>
    <s v=""/>
    <s v="Bughin, Jacques/0000-0002-1973-3656; van Zeebroeck, Nicolas/0000-0003-3079-7877"/>
    <s v="Advanced Studies at LMU"/>
    <s v="Advanced Studies at LMU"/>
    <s v="Y Manuscript received April 15, 2020; revised October 26, 2020 and April 6, 2021; accepted April 29, 2021. The work of Kretschmer was supported by the Advanced Studies at LMU. Review of this article was arranged by Department Editor T. Ravichandran. (Corresponding author: Tobias Kretschmer.)"/>
    <s v=""/>
    <n v="48"/>
    <n v="10"/>
    <n v="10"/>
    <n v="58"/>
    <n v="166"/>
    <s v="IEEE-INST ELECTRICAL ELECTRONICS ENGINEERS INC"/>
    <s v="PISCATAWAY"/>
    <s v="445 HOES LANE, PISCATAWAY, NJ 08855-4141 USA"/>
    <s v="0018-9391"/>
    <s v="1558-0040"/>
    <s v=""/>
    <s v="IEEE T ENG MANAGE"/>
    <s v="IEEE Trans. Eng. Manage."/>
    <s v="SEP"/>
    <n v="2023"/>
    <n v="70"/>
    <n v="9"/>
    <s v=""/>
    <s v=""/>
    <s v=""/>
    <s v=""/>
    <n v="3183"/>
    <n v="3197"/>
    <s v=""/>
    <s v="10.1109/TEM.2021.3079347"/>
    <s v="http://dx.doi.org/10.1109/TEM.2021.3079347"/>
    <s v=""/>
    <s v="JUN 2021"/>
    <n v="15"/>
    <s v="Business; Engineering, Industrial; Management"/>
    <x v="1"/>
    <s v="Business &amp; Economics; Engineering"/>
    <s v="L8CF8"/>
    <s v=""/>
    <s v=""/>
    <s v=""/>
    <s v=""/>
    <s v="2023-11-15"/>
    <x v="158"/>
    <s v="View Full Record in Web of Science"/>
  </r>
  <r>
    <s v="J"/>
    <s v="Rezende, DA; Madeira, GD; Mendes, LD; Breda, GD; Zarpelao, BB; Figueiredo, FD"/>
    <s v=""/>
    <s v=""/>
    <s v=""/>
    <s v="Rezende, Denis Alcides; Madeira, Gilberto dos Santos; Mendes, Leonardo de Souza; Breda, Gean Davis; Zarpelao, Bruno Bogaz; Figueiredo, Frederico de Carvalho"/>
    <s v=""/>
    <s v=""/>
    <s v="Information and Telecommunications Project for a Digital City: A Brazilian case study"/>
    <s v="TELEMATICS AND INFORMATICS"/>
    <s v=""/>
    <s v=""/>
    <s v="English"/>
    <x v="0"/>
    <s v=""/>
    <s v=""/>
    <s v=""/>
    <s v=""/>
    <s v=""/>
    <s v="Municipal Information Planning; Telecommunications; Open Access Metropolitan Area Network; Strategic Digital City; Municipal management"/>
    <s v="BROAD-BAND; TECHNOLOGY; ACCESS; GOVERNMENT; FUTURE; CITIES; MODEL"/>
    <s v="Making information and telecommunications available is a permanent challenge for cities concerned to their social, urban and local planning and development, focused on life quality of their citizens and on the effectiveness of public management. Such a challenge requires the involvement of everyone in the city. The objective is to describe the information and telecommunications project from the planning of a digital city carried out in Vinhedo-SP, Brazil. It was built as a telecommunications infrastructure of the kind of open access metropolitan area networks which enables the integration of citizens in a single telecommunications environment. The research methodology was emphasized by a case study which turned to be a research-action, comprising the municipal administration and its local units. The results achieved describe, by means of a methodology, the phases, sub-phases, activities, approval points and resulting products, and formalize their respective challenges and difficulties. The contributions have to do with the practical feasibility of the project and execution of its methodology. The conclusion reiterates the importance of the project, collectively implemented and accepted, as a tool to help the management of cities, in the implementation of Strategic Digital City Projects, in the decisions of public administration managers, and in the quality of life of their citizens. (C) 2013 Elsevier Ltd. All rights reserved."/>
    <s v="[Rezende, Denis Alcides; Figueiredo, Frederico de Carvalho] Pontificia Univ Catolica Parana PUCPR, Postgrad Program Urban Management, Curitiba, Parana, Brazil; [Madeira, Gilberto dos Santos; Mendes, Leonardo de Souza; Breda, Gean Davis; Zarpelao, Bruno Bogaz] Univ Campinas UNICAMP, Sch Elect &amp; Comp Engn, Campinas, SP, Brazil"/>
    <s v="Pontificia Universidade Catolica do Parana; Universidade Estadual de Campinas"/>
    <s v="Rezende, DA (corresponding author), Pontificia Univ Catolica Parana PUCPR, Postgrad Program Urban Management, Curitiba, Parana, Brazil."/>
    <s v="denis.rezende@pucpr.br; gilmadeira@uol.com.br; lmendes@decom.fee.unicamp.br; gean@decom.fee.unicamp.br; bzarpe@decom.fee.unicamp.br; frederico.figueiredo@pucpr.br"/>
    <s v="Zarpelão, Bruno B./D-6845-2013; Rezende, Denis Alcides/AAR-2488-2021"/>
    <s v="Rezende, Denis Alcides/0000-0002-3327-0424; MENDES, LEONARDO/0000-0001-6712-2203; Bogaz Zarpelao, Bruno/0000-0001-9172-3578"/>
    <s v=""/>
    <s v=""/>
    <s v=""/>
    <s v=""/>
    <n v="68"/>
    <n v="10"/>
    <n v="12"/>
    <n v="2"/>
    <n v="45"/>
    <s v="ELSEVIER SCIENCE BV"/>
    <s v="AMSTERDAM"/>
    <s v="PO BOX 211, 1000 AE AMSTERDAM, NETHERLANDS"/>
    <s v="0736-5853"/>
    <s v=""/>
    <s v=""/>
    <s v="TELEMAT INFORM"/>
    <s v="Telemat. Inform."/>
    <s v="FEB"/>
    <n v="2014"/>
    <n v="31"/>
    <n v="1"/>
    <s v=""/>
    <s v=""/>
    <s v=""/>
    <s v=""/>
    <n v="98"/>
    <n v="114"/>
    <s v=""/>
    <s v="10.1016/j.tele.2013.05.001"/>
    <s v="http://dx.doi.org/10.1016/j.tele.2013.05.001"/>
    <s v=""/>
    <s v=""/>
    <n v="17"/>
    <s v="Information Science &amp; Library Science"/>
    <x v="0"/>
    <s v="Information Science &amp; Library Science"/>
    <s v="252JQ"/>
    <s v=""/>
    <s v=""/>
    <s v=""/>
    <s v=""/>
    <s v="2023-11-15"/>
    <x v="159"/>
    <s v="View Full Record in Web of Science"/>
  </r>
  <r>
    <s v="J"/>
    <s v="Xu, YT; Li, TH"/>
    <s v=""/>
    <s v=""/>
    <s v=""/>
    <s v="Xu, Yanting; Li, Tinghui"/>
    <s v=""/>
    <s v=""/>
    <s v="Measuring digital economy in China"/>
    <s v="NATIONAL ACCOUNTING REVIEW"/>
    <s v=""/>
    <s v=""/>
    <s v="English"/>
    <x v="0"/>
    <s v=""/>
    <s v=""/>
    <s v=""/>
    <s v=""/>
    <s v=""/>
    <s v="digital economy; index compilation; entropy grey target method; sigma convergence; cluster analysis"/>
    <s v="CONSTRUCTION; INDEX"/>
    <s v="The COVID-19 pandemic has highlighted the importance of the digital economy in restoring economic and social development, creating more jobs and improving people's well-being. To inform policy makers about changes to digital strategies, measuring the digital economy is a prerequisite. This study aimed to compile an index of digital economy at the provincial (municipalities, autonomous regions, collectively referred to as provinces) level to present an accurate and in-depth depiction of how it has developed in China. Our sample covers 31 provinces in China, over the period 2010-2020. This paper firstly constructs the digital economy index system from the four dimensions of digital users, digital platforms, digital industries and digital innovation, and then adopts a combination of entropy weighting method and grey target theory to measure the digital economy index. This paper study revealed that China's digital economy has been on an upward trend from 2010 to 2019 and has a decline in 2020, and the digital innovation is an important driving force for the growth of the digital economy index. The convergence of China's digital economy is decreasing, indicating that the gap in digital economy development between provinces is increasing. The proposed index in this study can be used as a screening tool, decision making tool, benchmarking tool and guidance of high-quality digital economy development."/>
    <s v="[Xu, Yanting; Li, Tinghui] Guangzhou Univ, Sch Econ &amp; Stat, Guangzhou 510006, Peoples R China"/>
    <s v="Guangzhou University"/>
    <s v="Li, TH (corresponding author), Guangzhou Univ, Sch Econ &amp; Stat, Guangzhou 510006, Peoples R China."/>
    <s v="lith@gzhu.edu.cn"/>
    <s v=""/>
    <s v=""/>
    <s v="Guangzhou University"/>
    <s v="Guangzhou University"/>
    <s v="The authors would like to thank Guangzhou University for sponsoring this research."/>
    <s v=""/>
    <n v="33"/>
    <n v="9"/>
    <n v="9"/>
    <n v="38"/>
    <n v="56"/>
    <s v="AMER INST MATHEMATICAL SCIENCES-AIMS"/>
    <s v="SPRINGFIELD"/>
    <s v="PO BOX 2604, SPRINGFIELD, MO 65801-2604, UNITED STATES"/>
    <s v=""/>
    <s v="2689-3010"/>
    <s v=""/>
    <s v="NATL ACCOUNT REV"/>
    <s v="Natl. Account. Rev."/>
    <s v=""/>
    <n v="2022"/>
    <n v="4"/>
    <n v="3"/>
    <s v=""/>
    <s v=""/>
    <s v=""/>
    <s v=""/>
    <n v="251"/>
    <n v="272"/>
    <s v=""/>
    <s v="10.3934/NAR.2022015"/>
    <s v="http://dx.doi.org/10.3934/NAR.2022015"/>
    <s v=""/>
    <s v=""/>
    <n v="22"/>
    <s v="Business, Finance; Economics"/>
    <x v="3"/>
    <s v="Business &amp; Economics"/>
    <s v="7M3CI"/>
    <s v=""/>
    <s v="gold"/>
    <s v=""/>
    <s v=""/>
    <s v="2023-11-15"/>
    <x v="160"/>
    <s v="View Full Record in Web of Science"/>
  </r>
  <r>
    <s v="J"/>
    <s v="Benesová, A; Basl, J; Tupa, J; Steiner, F"/>
    <s v=""/>
    <s v=""/>
    <s v=""/>
    <s v="Benesova, Andrea; Basl, Josef; Tupa, Jiri; Steiner, Frantisek"/>
    <s v=""/>
    <s v=""/>
    <s v="Design of a business readiness model to realise a green industry 4.0 company"/>
    <s v="INTERNATIONAL JOURNAL OF COMPUTER INTEGRATED MANUFACTURING"/>
    <s v=""/>
    <s v=""/>
    <s v="English"/>
    <x v="0"/>
    <s v=""/>
    <s v=""/>
    <s v=""/>
    <s v=""/>
    <s v=""/>
    <s v="Industry 4.0; maturity model of industry 4.0; green; sustainable manufacturing; sustainability carbon neutrality"/>
    <s v="MATURITY MODEL"/>
    <s v="The paper reports research on the implementation of green aspects into the latest industrial revolution called Industry 4.0 and proposes the design of a business readiness level model for Industry 4.0. The analysis is based on the available maturity models for Industry 4.0, which are investigated to determine whether and to what extent they fulfil the 'green' trends by their name, content or specialized dimensions. This analysis was initiated over recent years, by a strong interest in integrating the elements and principles of Industry 4.0 into enterprises, together with an increased interest in achieving carbon neutral production and society in the coming decades, including recent EU Green Deal documents. The first part of the paper describes the basic requirements of the Industry 4.0, new digital strategies and green agreements. The major parts of the paper provide an analysis of current maturity and readiness models for Industry 4.0 together with specification, design and development of a readiness model for companies to implement Industry 4.0 with respect to green aspects. The final part of the paper provides an evaluation based on questionnaire survey with discussion, conclusions and avenues for future research."/>
    <s v="[Benesova, Andrea; Tupa, Jiri; Steiner, Frantisek] Univ West Bohemia, Fac Elect Engn, Dept Mat &amp; Technol, Plzen, Czech Republic; [Basl, Josef] Univ West Bohemia, Fac Mech Engn, Dept Ind Engn &amp; Management, Plzen, Czech Republic"/>
    <s v="University of West Bohemia Pilsen; University of West Bohemia Pilsen"/>
    <s v="Benesová, A (corresponding author), Univ West Bohemia, Fac Elect Engn, Dept Mat &amp; Technol, Plzen, Czech Republic."/>
    <s v="benesov2@rek.zcu.cz"/>
    <s v="Tupa, Jiri/P-1692-2016; Steiner, Frantisek/M-8283-2014; Benešová, Andrea/JER-5311-2023"/>
    <s v="Tupa, Jiri/0000-0002-4329-5406; Steiner, Frantisek/0000-0002-5702-7015; Benesova, Andrea/0000-0003-0879-7846"/>
    <s v="Software platform for Implementation Accelerating of Process Control and Automation Systems [TH02010577]; Student Grant Agency of the University of West Bohemia in Pilsen [SGS-2021-003]"/>
    <s v="Software platform for Implementation Accelerating of Process Control and Automation Systems; Student Grant Agency of the University of West Bohemia in Pilsen"/>
    <s v="This work was supported by the Software platform for Implementation Accelerating of Process Control and Automation Systems [TH02010577] and funding of Student Grant Agency of the University of West Bohemia in Pilsen, No. SGS-2021-003 Materials, technologies and diagnostics in electrical engineering."/>
    <s v=""/>
    <n v="37"/>
    <n v="9"/>
    <n v="9"/>
    <n v="10"/>
    <n v="52"/>
    <s v="TAYLOR &amp; FRANCIS LTD"/>
    <s v="ABINGDON"/>
    <s v="2-4 PARK SQUARE, MILTON PARK, ABINGDON OR14 4RN, OXON, ENGLAND"/>
    <s v="0951-192X"/>
    <s v="1362-3052"/>
    <s v=""/>
    <s v="INT J COMPUT INTEG M"/>
    <s v="Int. J. Comput. Integr. Manuf."/>
    <s v="SEP 2"/>
    <n v="2021"/>
    <n v="34"/>
    <n v="9"/>
    <s v=""/>
    <s v=""/>
    <s v=""/>
    <s v=""/>
    <n v="920"/>
    <n v="932"/>
    <s v=""/>
    <s v="10.1080/0951192X.2021.1946858"/>
    <s v="http://dx.doi.org/10.1080/0951192X.2021.1946858"/>
    <s v=""/>
    <s v="AUG 2021"/>
    <n v="13"/>
    <s v="Computer Science, Interdisciplinary Applications; Engineering, Manufacturing; Operations Research &amp; Management Science"/>
    <x v="2"/>
    <s v="Computer Science; Engineering; Operations Research &amp; Management Science"/>
    <s v="UR5UC"/>
    <s v=""/>
    <s v=""/>
    <s v=""/>
    <s v=""/>
    <s v="2023-11-15"/>
    <x v="161"/>
    <s v="View Full Record in Web of Science"/>
  </r>
  <r>
    <s v="J"/>
    <s v="Zaman, M; Vo-Thanh, T; Hasan, R; Babu, MM"/>
    <s v=""/>
    <s v=""/>
    <s v=""/>
    <s v="Zaman, Mustafeed; Vo-Thanh, Tan; Hasan, Rajibul; Mohiuddin Babu, Mujahid"/>
    <s v=""/>
    <s v=""/>
    <s v="Mobile channel as a strategic distribution channel in times of crisis: a self-determination theory perspective"/>
    <s v="JOURNAL OF STRATEGIC MARKETING"/>
    <s v=""/>
    <s v=""/>
    <s v="English"/>
    <x v="2"/>
    <s v=""/>
    <s v=""/>
    <s v=""/>
    <s v=""/>
    <s v=""/>
    <s v="Multi-channel; omni-channel; mobile channel; Too Good To Go (TGTG) app; self-determination theory; motives"/>
    <s v="INTEGRATION QUALITY; PRODUCT DESIGN; EXPERIENCE; ADOPTION; AGENDA; FUTURE; NEEDS; APPS"/>
    <s v="The Covid-19 pandemic has profoundly disrupted the worldwide economy, particularly the restaurant sector. To face these challenges, the multi- and omni-channel approaches have been embraced by several firms, especially with the integration of mobile channels and social media. However, no research is conducted to investigate how this integration can be successful in times of crisis, such as pandemic. Therefore, drawing upon the self-determination theory, the present study aims at addressing this research gap by exploring, from both the restaurant owners' and customers' perspectives, how an anti-food waste mobile app called Too Good To Go (TGTG) - the largest social case in Europe, is perceived as a strategic distribution channel in the time of pandemic. Based on 18 in-depth interviews with restaurant owners and 22 with customers in Paris, findings highlight the success factors for restaurants to achieve their digital strategies. Theoretical and practical implications, and future research perspectives are presented."/>
    <s v="[Zaman, Mustafeed] Normandie Business Sch, Metis Lab, Dept Mkt, Le Havre, France; [Vo-Thanh, Tan] CERIIM, Excelia Grp, Dept Mkt, La Rochelle, France; [Vo-Thanh, Tan] CEREGE EA 1722, La Rochelle, France; [Hasan, Rajibul] Maynooth Univ, Dept Mkt, Maynooth, Kildare, Ireland; [Mohiuddin Babu, Mujahid] Coventry Univ, Dept Mkt, Coventry, W Midlands, England"/>
    <s v="Maynooth University; Coventry University"/>
    <s v="Zaman, M (corresponding author), Normandie Business Sch, Metis Lab, Dept Mkt, Le Havre, France."/>
    <s v="mzaman@em-normandie.fr"/>
    <s v="Zaman, Mustafeed/ABA-1317-2021; Vo-Thanh, Tan/O-5735-2019"/>
    <s v="Zaman, Mustafeed/0000-0002-8582-9445; Vo-Thanh, Tan/0000-0001-9964-3724; Mohiuddin Babu, Mujahid/0000-0001-6952-0723; Hasan, Rajibul/0000-0002-1290-4627"/>
    <s v=""/>
    <s v=""/>
    <s v=""/>
    <s v=""/>
    <n v="42"/>
    <n v="9"/>
    <n v="9"/>
    <n v="1"/>
    <n v="16"/>
    <s v="ROUTLEDGE JOURNALS, TAYLOR &amp; FRANCIS LTD"/>
    <s v="ABINGDON"/>
    <s v="2-4 PARK SQUARE, MILTON PARK, ABINGDON OX14 4RN, OXON, ENGLAND"/>
    <s v="0965-254X"/>
    <s v="1466-4488"/>
    <s v=""/>
    <s v="J STRATEG MARK"/>
    <s v="J. Strateg. Mark."/>
    <s v="2021 JUL 29"/>
    <n v="2021"/>
    <s v=""/>
    <s v=""/>
    <s v=""/>
    <s v=""/>
    <s v=""/>
    <s v=""/>
    <s v=""/>
    <s v=""/>
    <s v=""/>
    <s v="10.1080/0965254X.2021.1959629"/>
    <s v="http://dx.doi.org/10.1080/0965254X.2021.1959629"/>
    <s v=""/>
    <s v="JUL 2021"/>
    <n v="16"/>
    <s v="Business"/>
    <x v="3"/>
    <s v="Business &amp; Economics"/>
    <s v="UC4BX"/>
    <s v=""/>
    <s v="Green Submitted"/>
    <s v=""/>
    <s v=""/>
    <s v="2023-11-15"/>
    <x v="162"/>
    <s v="View Full Record in Web of Science"/>
  </r>
  <r>
    <s v="J"/>
    <s v="Donida, B; da Costa, CA; Scherer, JN"/>
    <s v=""/>
    <s v=""/>
    <s v=""/>
    <s v="Donida, Bruna; da Costa, Cristiano Andre; Scherer, Juliana Nichterwitz"/>
    <s v=""/>
    <s v=""/>
    <s v="Making the COVID-19 Pandemic a Driver for Digital Health: Brazilian Strategies"/>
    <s v="JMIR PUBLIC HEALTH AND SURVEILLANCE"/>
    <s v=""/>
    <s v=""/>
    <s v="English"/>
    <x v="0"/>
    <s v=""/>
    <s v=""/>
    <s v=""/>
    <s v=""/>
    <s v=""/>
    <s v="COVID-19; digital technology; Brazil; public health; medical informatics; digital health; strategy; outbreak; system; data; health data; implementation; monitoring"/>
    <s v=""/>
    <s v="The COVID-19 outbreak exposed several problems faced by health systems worldwide, especially concerning the safe and rapid generation and sharing of health data. However, this pandemic scenario has also facilitated the rapid implementation and monitoring of technologies in the health field. In view of the occurrence of the public emergency caused by SARS-CoV-2 in Brazil, the Department of Informatics of the Brazilian Unified Health System created a contingency plan. In this paper, we aim to report the digital health strategies applied in Brazil and the first results obtained during the fight against COVID-19. Conecte SUS, a platform created to store all the health data of an individual throughout their life, is the center point of the Brazilian digital strategy. Access to the platform can be obtained through an app by the patient and the health professionals involved in the case. Health data sharing became possible due to the creation of the National Health Data Network (Rede Nacional de Dados em Saude, RNDS). A mobile app was developed to guide citizens regarding the need to go to a health facility and to assist in disseminating official news about the virus. The mobile app can also alert the user if they have had contact with an infected person. The official numbers of cases and available hospital beds are updated and published daily on a website containing interactive graphs. These data are obtained due to creating a web-based notification system that uses the RNDS to share information about the cases. Preclinical care through telemedicine has become essential to prevent overload in health facilities. The exchange of experiences between medical teams from large centers and small hospitals was made possible using telehealth. Brazil took a giant step toward digital health adoption, creating and implementing important initiatives; however, these initiatives do not yet cover the entire health system. It is expected that the sharing of health data that are maintained and authorized by the patient will become a reality in the near future. The intention is to obtain better clinical outcomes, cost reduction, and faster and better services in the public health network."/>
    <s v="[Donida, Bruna; da Costa, Cristiano Andre; Scherer, Juliana Nichterwitz] Univ Vale do Rio dos Sinos, SOFTWARELAB Software Innovat Lab, Av Unisinos 950, BR-93022750 Sao Leopoldo, Brazil"/>
    <s v=""/>
    <s v="da Costa, CA (corresponding author), Univ Vale do Rio dos Sinos, SOFTWARELAB Software Innovat Lab, Av Unisinos 950, BR-93022750 Sao Leopoldo, Brazil."/>
    <s v="cac@unisinos.br"/>
    <s v="da Costa, Cristiano André/AAV-1894-2020; Scherer, Juliana/M-6344-2016"/>
    <s v="da Costa, Cristiano André/0000-0003-3859-6199; Donida, Bruna/0000-0001-6346-5153; Scherer, Juliana/0000-0002-9235-0416"/>
    <s v="Coordenacao de Aperfeicoamento de Pessoal de Nivel Superior (CAPES) -Brasil [001]"/>
    <s v="Coordenacao de Aperfeicoamento de Pessoal de Nivel Superior (CAPES) -Brasil(Coordenacao de Aperfeicoamento de Pessoal de Nivel Superior (CAPES))"/>
    <s v="The authors would like to acknowledge the efforts of all Brazilian public servants during this pandemic crisis. This study was financed in part by the Coordenacao de Aperfeicoamento de Pessoal de Nivel Superior (CAPES) -Brasil, Finance Code 001."/>
    <s v=""/>
    <n v="29"/>
    <n v="9"/>
    <n v="9"/>
    <n v="3"/>
    <n v="10"/>
    <s v="JMIR PUBLICATIONS, INC"/>
    <s v="TORONTO"/>
    <s v="130 QUEENS QUAY E, STE 1102, TORONTO, ON M5A 0P6, CANADA"/>
    <s v="2369-2960"/>
    <s v=""/>
    <s v=""/>
    <s v="JMIR PUBLIC HLTH SUR"/>
    <s v="JMIR Public Health Surveill."/>
    <s v="JUN"/>
    <n v="2021"/>
    <n v="7"/>
    <n v="6"/>
    <s v=""/>
    <s v=""/>
    <s v=""/>
    <s v=""/>
    <s v=""/>
    <s v=""/>
    <s v="e28643"/>
    <s v="10.2196/28643"/>
    <s v="http://dx.doi.org/10.2196/28643"/>
    <s v=""/>
    <s v=""/>
    <n v="8"/>
    <s v="Public, Environmental &amp; Occupational Health"/>
    <x v="1"/>
    <s v="Public, Environmental &amp; Occupational Health"/>
    <s v="YA7LO"/>
    <n v="34101613"/>
    <s v="gold, Green Published"/>
    <s v=""/>
    <s v=""/>
    <s v="2023-11-15"/>
    <x v="163"/>
    <s v="View Full Record in Web of Science"/>
  </r>
  <r>
    <s v="J"/>
    <s v="Alizadeh, T"/>
    <s v=""/>
    <s v=""/>
    <s v=""/>
    <s v="Alizadeh, Tooran"/>
    <s v=""/>
    <s v=""/>
    <s v="Urban Digital Strategies: Planning in the Face of Information Technology?"/>
    <s v="JOURNAL OF URBAN TECHNOLOGY"/>
    <s v=""/>
    <s v=""/>
    <s v="English"/>
    <x v="0"/>
    <s v=""/>
    <s v=""/>
    <s v=""/>
    <s v=""/>
    <s v=""/>
    <s v="Digital strategy; urban; digital economy; Brisbane; Vancouver"/>
    <s v="CROSS-NATIONAL RESEARCH; SMART CITIES; ECONOMIC-DEVELOPMENT; E-GOVERNMENT; CITY; MANAGEMENT; UNIVERSITY; KNOWLEDGE; BUSINESS; INDUSTRY"/>
    <s v="A growing number of cities around the world have now developed urban digital strategies to speed up the pace of change, and more importantly to move their digital planning and policymaking from ad-hoc to an integrated and strategic approach. The paper provides a cross-national comparative study, based on recently developed urban digital strategies in Brisbane, Australia and Vancouver, Canada. The aim is to understand if and how urban digital strategies align with broader strategic planning in the two cities. To do so, the paper combines policy analysis with interviews of a selection of stakeholders in both cities. The lessons learned can be transferred to all cities interested in integrated digital planning for successful strategic urban outcomes."/>
    <s v="[Alizadeh, Tooran] Griffith Univ, Urban Res Program, 170 Kessels Rd, Nathan, Qld 4111, Australia"/>
    <s v="Griffith University"/>
    <s v="Alizadeh, T (corresponding author), Griffith Univ, Urban Res Program, 170 Kessels Rd, Nathan, Qld 4111, Australia."/>
    <s v="t.alizadeh@griffith.edu.au"/>
    <s v="Alizadeh, Tooran/AAX-2371-2020"/>
    <s v="Alizadeh, Tooran/0000-0001-5424-3348"/>
    <s v=""/>
    <s v=""/>
    <s v=""/>
    <s v=""/>
    <n v="87"/>
    <n v="9"/>
    <n v="9"/>
    <n v="2"/>
    <n v="47"/>
    <s v="ROUTLEDGE JOURNALS, TAYLOR &amp; FRANCIS LTD"/>
    <s v="ABINGDON"/>
    <s v="2-4 PARK SQUARE, MILTON PARK, ABINGDON OX14 4RN, OXON, ENGLAND"/>
    <s v="1063-0732"/>
    <s v="1466-1853"/>
    <s v=""/>
    <s v="J URBAN TECHNOL"/>
    <s v="J. Urban Technol."/>
    <s v=""/>
    <n v="2017"/>
    <n v="24"/>
    <n v="2"/>
    <s v=""/>
    <s v=""/>
    <s v=""/>
    <s v=""/>
    <n v="35"/>
    <n v="49"/>
    <s v=""/>
    <s v="10.1080/10630732.2017.1285125"/>
    <s v="http://dx.doi.org/10.1080/10630732.2017.1285125"/>
    <s v=""/>
    <s v=""/>
    <n v="15"/>
    <s v="Urban Studies"/>
    <x v="0"/>
    <s v="Urban Studies"/>
    <s v="EZ6RI"/>
    <s v=""/>
    <s v=""/>
    <s v=""/>
    <s v=""/>
    <s v="2023-11-15"/>
    <x v="164"/>
    <s v="View Full Record in Web of Science"/>
  </r>
  <r>
    <s v="J"/>
    <s v="Alizadeh, T; Sipe, N"/>
    <s v=""/>
    <s v=""/>
    <s v=""/>
    <s v="Alizadeh, Tooran; Sipe, Neil"/>
    <s v=""/>
    <s v=""/>
    <s v="Vancouver's Digital Strategy: Disruption, New Direction, or Business as Usual?"/>
    <s v="INTERNATIONAL JOURNAL OF E-PLANNING RESEARCH"/>
    <s v=""/>
    <s v=""/>
    <s v="English"/>
    <x v="0"/>
    <s v=""/>
    <s v=""/>
    <s v=""/>
    <s v=""/>
    <s v=""/>
    <s v="Digital Strategy; Green City; Planning; Smart City; Telecommunication; Vancouver"/>
    <s v="LOCAL E-GOVERNMENT; PARTICIPATION; GOVERNANCE; CITIES"/>
    <s v="A growing number of cities have started to realize the need to be 'smart', to use digital technology to drive prosperity and capitalize on the rapidly growing digital economy. Some local governments have developed 'urban digital strategies' to speed up the pace of change, and to move their digital planning from ad-hoc to an integrated and strategic approach. This paper examines Vancouver's Digital Strategy (VDS) and questions the role defined for this new piece of strategy. The findings represent competing views - offered by local government versus digital business community - for the role of digital in two areas of governance, and strategic planning. The paper concludes by suggesting that urban digital strategies need be incorporated into strategic urban and regional planning with a focus on the biggest issues, specific to each city."/>
    <s v="[Alizadeh, Tooran] Griffith Univ, Brisbane, Qld, Australia; [Sipe, Neil] Univ Queensland, Brisbane, Qld, Australia"/>
    <s v="Griffith University; University of Queensland"/>
    <s v="Alizadeh, T (corresponding author), Griffith Univ, Brisbane, Qld, Australia."/>
    <s v=""/>
    <s v="Sipe, Neil G./A-4052-2009; Alizadeh, Tooran/AAX-2371-2020"/>
    <s v="Sipe, Neil G./0000-0002-3228-3768;"/>
    <s v=""/>
    <s v=""/>
    <s v=""/>
    <s v=""/>
    <n v="67"/>
    <n v="9"/>
    <n v="9"/>
    <n v="0"/>
    <n v="20"/>
    <s v="IGI GLOBAL"/>
    <s v="HERSHEY"/>
    <s v="701 E CHOCOLATE AVE, STE 200, HERSHEY, PA 17033-1240 USA"/>
    <s v="2160-9918"/>
    <s v="2160-9926"/>
    <s v=""/>
    <s v="INT J E-PLAN RES"/>
    <s v="Int. J. E-Plan. Res."/>
    <s v="OCT-DEC"/>
    <n v="2016"/>
    <n v="5"/>
    <n v="4"/>
    <s v=""/>
    <s v=""/>
    <s v=""/>
    <s v=""/>
    <n v="1"/>
    <n v="15"/>
    <s v=""/>
    <s v="10.4018/IJEPR.2016100101"/>
    <s v="http://dx.doi.org/10.4018/IJEPR.2016100101"/>
    <s v=""/>
    <s v=""/>
    <n v="15"/>
    <s v="Regional &amp; Urban Planning"/>
    <x v="3"/>
    <s v="Public Administration"/>
    <s v="FK0FE"/>
    <s v=""/>
    <s v=""/>
    <s v=""/>
    <s v=""/>
    <s v="2023-11-15"/>
    <x v="165"/>
    <s v="View Full Record in Web of Science"/>
  </r>
  <r>
    <s v="J"/>
    <s v="Vasicek, Z; Bidlo, M; Sekanina, L"/>
    <s v=""/>
    <s v=""/>
    <s v=""/>
    <s v="Vasicek, Zdenek; Bidlo, Michal; Sekanina, Lukas"/>
    <s v=""/>
    <s v=""/>
    <s v="Evolution of efficient real-time non-linear image filters for FPGAs"/>
    <s v="SOFT COMPUTING"/>
    <s v=""/>
    <s v=""/>
    <s v="English"/>
    <x v="0"/>
    <s v=""/>
    <s v=""/>
    <s v=""/>
    <s v=""/>
    <s v=""/>
    <s v="Non-linear image filter; Noise removal; Cartesian genetic programming; Evolutionary design; Digital circuit"/>
    <s v="EVOLVABLE HARDWARE; DESIGN; IMPLEMENTATION"/>
    <s v="Image processing represents a research field in which high-quality solutions have been obtained using various soft computing techniques. Evolutionary algorithms constitute a class of stochastic search methods that are applicable in both optimization and design tasks. In the area of circuit design Cartesian Genetic Programming has often been utilized in combination with an algorithm of Evolutionary Strategy. Digital image filters represent a specific class of circuits whose design can be performed by means of this approach. Switching filters are advanced non-linear filtering techniques in which the main idea is to detect and filter the noise pixels while keeping the uncorrupted pixels unchanged in order to increase the quality of the resulting image. The aim of this article is to present a robust design technique based on Cartesian Genetic Programming for the automatic synthesis of switching image filters intended for real-time processing applications. The robustness of the proposed evolutionary approach is evaluated using four design problems including the removal of salt and pepper noise, random shot noise, impulse burst noise and impulse burst noise combined with random shot noise. An extensive evaluation is performed in order to compare the properties of the evolved switching filters with the best conventional solutions. The evaluation has shown that the evolved switching filters exhibit a very good trade off between the quality of filtering and the implementation cost in field programmable gate arrays."/>
    <s v="[Vasicek, Zdenek; Bidlo, Michal; Sekanina, Lukas] Brno Univ Technol, Fac Informat Technol, Ctr Excellence IT4Innovat, Brno 61266, Czech Republic"/>
    <s v="Brno University of Technology"/>
    <s v="Sekanina, L (corresponding author), Brno Univ Technol, Fac Informat Technol, Ctr Excellence IT4Innovat, Bozetechova 2, Brno 61266, Czech Republic."/>
    <s v="vasicek@fit.vutbr.cz; bidlom@fit.vutbr.cz; sekanina@fit.vutbr.cz"/>
    <s v="Sekanina, Lukas/E-8394-2014; Vasicek, Zdenek/A-3655-2016; Bidlo, Michal/GRS-4501-2022"/>
    <s v="Sekanina, Lukas/0000-0002-2693-9011; Vasicek, Zdenek/0000-0002-2279-5217;"/>
    <s v="Czech Science Foundation [GP103/10/1517]; IT4Innovations Centre of Excellence [CZ.1.05/1.1.00/02.0070]"/>
    <s v="Czech Science Foundation(Grant Agency of the Czech Republic); IT4Innovations Centre of Excellence"/>
    <s v="This work was partially supported by the Czech Science Foundation project GP103/10/1517 Natural Computing on Unconventional Platforms and the IT4Innovations Centre of Excellence CZ.1.05/1.1.00/02.0070."/>
    <s v=""/>
    <n v="29"/>
    <n v="9"/>
    <n v="10"/>
    <n v="2"/>
    <n v="9"/>
    <s v="SPRINGER"/>
    <s v="NEW YORK"/>
    <s v="233 SPRING ST, NEW YORK, NY 10013 USA"/>
    <s v="1432-7643"/>
    <s v="1433-7479"/>
    <s v=""/>
    <s v="SOFT COMPUT"/>
    <s v="Soft Comput."/>
    <s v="NOV"/>
    <n v="2013"/>
    <n v="17"/>
    <n v="11"/>
    <s v=""/>
    <s v=""/>
    <s v="SI"/>
    <s v=""/>
    <n v="2163"/>
    <n v="2180"/>
    <s v=""/>
    <s v="10.1007/s00500-013-1040-8"/>
    <s v="http://dx.doi.org/10.1007/s00500-013-1040-8"/>
    <s v=""/>
    <s v=""/>
    <n v="18"/>
    <s v="Computer Science, Artificial Intelligence; Computer Science, Interdisciplinary Applications"/>
    <x v="2"/>
    <s v="Computer Science"/>
    <s v="236TS"/>
    <s v=""/>
    <s v=""/>
    <s v=""/>
    <s v=""/>
    <s v="2023-11-15"/>
    <x v="166"/>
    <s v="View Full Record in Web of Science"/>
  </r>
  <r>
    <s v="J"/>
    <s v="Stiakakis, E; Georgiadis, CK"/>
    <s v=""/>
    <s v=""/>
    <s v=""/>
    <s v="Stiakakis, Emmanouil; Georgiadis, Christos K."/>
    <s v=""/>
    <s v=""/>
    <s v="Drivers of a tourism e-business strategy: the impact of information and communication technologies"/>
    <s v="OPERATIONAL RESEARCH"/>
    <s v=""/>
    <s v=""/>
    <s v="English"/>
    <x v="0"/>
    <s v=""/>
    <s v=""/>
    <s v=""/>
    <s v=""/>
    <s v=""/>
    <s v="E-tourism; E-business technology; Digital strategy; ICT; Dynamic packaging"/>
    <s v=""/>
    <s v="The possible interactions among tourism organizations, their customers and other organizations are considered in this article. Based on these interactions, three drivers of an integrated e-business strategy in the tourism sector are suggested: (1) customizing tourist products, personalizing services and supporting mobile services, (2) sharing tourism information and operational data, and (3) offering tailor made products and supporting user-generated content. In order to emphasize our suggestions, the most representative figures derived from recent surveys conducted by the Sectoral e-Business W@tch are selected and analyzed. These figures are: (a) the use of customer relationship management applications in tourism and the importance of mobile services for different sectors of the economy including tourism, for the first driver, (b) the use of supply chain management systems, online purchasing and finally the use of broadband Internet as a complementary indicator, for the second driver, and (c) the use of ICT-enabled product and process innovations and dynamic packaging, for the third driver. The clear positive tendencies of these figures indicate the rising importance of our suggested directions as basic drivers of a tourism e-business strategy."/>
    <s v="[Stiakakis, Emmanouil; Georgiadis, Christos K.] Univ Macedonia, Dept Appl Informat, Thessaloniki 54006, Greece"/>
    <s v="University of Macedonia"/>
    <s v="Georgiadis, CK (corresponding author), Univ Macedonia, Dept Appl Informat, 156 Egnatia Str, Thessaloniki 54006, Greece."/>
    <s v="geor@uom.gr; stiakakis@uom.gr"/>
    <s v="GEORGIADIS, CHRISTOS Κ./AAM-7076-2021"/>
    <s v="GEORGIADIS, CHRISTOS Κ./0000-0003-0897-9009"/>
    <s v=""/>
    <s v=""/>
    <s v=""/>
    <s v=""/>
    <n v="22"/>
    <n v="9"/>
    <n v="10"/>
    <n v="1"/>
    <n v="52"/>
    <s v="SPRINGER HEIDELBERG"/>
    <s v="HEIDELBERG"/>
    <s v="TIERGARTENSTRASSE 17, D-69121 HEIDELBERG, GERMANY"/>
    <s v="1109-2858"/>
    <s v="1866-1505"/>
    <s v=""/>
    <s v="OPER RES-GER"/>
    <s v="Oper. Res."/>
    <s v="AUG"/>
    <n v="2011"/>
    <n v="11"/>
    <n v="2"/>
    <s v=""/>
    <s v=""/>
    <s v="SI"/>
    <s v=""/>
    <n v="149"/>
    <n v="169"/>
    <s v=""/>
    <s v="10.1007/s12351-009-0046-6"/>
    <s v="http://dx.doi.org/10.1007/s12351-009-0046-6"/>
    <s v=""/>
    <s v=""/>
    <n v="21"/>
    <s v="Operations Research &amp; Management Science"/>
    <x v="2"/>
    <s v="Operations Research &amp; Management Science"/>
    <s v="V31HG"/>
    <s v=""/>
    <s v=""/>
    <s v=""/>
    <s v=""/>
    <s v="2023-11-15"/>
    <x v="167"/>
    <s v="View Full Record in Web of Science"/>
  </r>
  <r>
    <s v="J"/>
    <s v="Sakas, DP; Giannakopoulos, NT; Terzi, MC; Kamperos, IDG; Nasiopoulos, DK; Reklitis, DP; Kanellos, N"/>
    <s v=""/>
    <s v=""/>
    <s v=""/>
    <s v="Sakas, Damianos P.; Giannakopoulos, Nikolaos T.; Terzi, Marina C.; Kamperos, Ioannis Dimitrios G.; Nasiopoulos, Dimitrios K.; Reklitis, Dimitrios P.; Kanellos, Nikos"/>
    <s v=""/>
    <s v=""/>
    <s v="Social Media Strategy Processes for Centralized Payment Network Firms after a War Crisis Outset"/>
    <s v="PROCESSES"/>
    <s v=""/>
    <s v=""/>
    <s v="English"/>
    <x v="0"/>
    <s v=""/>
    <s v=""/>
    <s v=""/>
    <s v=""/>
    <s v=""/>
    <s v="strategic digital marketing; social media strategy; sustainable supply chain; innovation process; crisis; risk management; centralized payment networks (CPN); big data; fuzzy applications; decision support systems"/>
    <s v="ORGANIZATIONAL CULTURE; INNOVATION; ANALYTICS; WEBSITES; DISASTER; IMPACT; RISK; ENGAGEMENT; CONSUMERS; FINTECH"/>
    <s v="From the outset of the war in Ukraine, extensive crises in many sectors of the world economy have occurred, with firms offering services and products both online and through physical stores facing serious problems. These problems are mainly related to higher operational costs and the lack of website visibility. For this research study, centralized payment network organizations (CPNs), firms providing online payment services through their networks, were selected and analytical data from their websites were collected for a period of 6 months. The main focus of this research study is to evaluate benefits and the role of social media strategies for CPNs' digital marketing performance during crisis events and to also assess their utility as a risk-management tool. Following data collection, the authors performed statistical processes (regression and correlation analysis) and stationary modeling with Fuzzy Cognitive Mapping (FCM) tools; finally, dynamic simulations were performed by utilizing Agent-Based Models (ABM). The authors suggest that various variables of CPNs' social media platforms can aid in improving their digital marketing performance and, using proper analysis, can lead to higher user social engagement, thus rendering social media strategy a useful risk-management tool."/>
    <s v="[Sakas, Damianos P.; Giannakopoulos, Nikolaos T.; Terzi, Marina C.; Kamperos, Ioannis Dimitrios G.; Nasiopoulos, Dimitrios K.; Reklitis, Dimitrios P.; Kanellos, Nikos] Agr Univ Athens, Sch Appl Econ &amp; Social Sci, Dept Agribusiness &amp; Supply Chain Management, BICTEVAC LAB,Business Informat &amp; Commun Tech Valu, Athens 11855, Greece"/>
    <s v="Agricultural University of Athens"/>
    <s v="Giannakopoulos, NT; Reklitis, DP (corresponding author), Agr Univ Athens, Sch Appl Econ &amp; Social Sci, Dept Agribusiness &amp; Supply Chain Management, BICTEVAC LAB,Business Informat &amp; Commun Tech Valu, Athens 11855, Greece."/>
    <s v="n.giannakopoulos@aua.gr; drekleitis@aua.gr"/>
    <s v="KAMPEROS, IOANNIS/JOJ-6198-2023; REKLITIS, Dimitrios P./HDO-1260-2022; Giannakopoulos, Nikolaos/HZJ-9352-2023"/>
    <s v="REKLITIS, Dimitrios P./0000-0001-6857-6012; Sakas, Damianos/0000-0002-2253-8966; KAMPEROS, IOANNIS DIMITRIOS/0000-0002-0760-3360; Nasiopoulos, Dimitrios/0000-0001-7386-1029; Giannakopoulos, Nikolaos T./0000-0002-4480-5893"/>
    <s v=""/>
    <s v=""/>
    <s v=""/>
    <s v=""/>
    <n v="108"/>
    <n v="8"/>
    <n v="8"/>
    <n v="6"/>
    <n v="8"/>
    <s v="MDPI"/>
    <s v="BASEL"/>
    <s v="ST ALBAN-ANLAGE 66, CH-4052 BASEL, SWITZERLAND"/>
    <s v=""/>
    <s v="2227-9717"/>
    <s v=""/>
    <s v="PROCESSES"/>
    <s v="Processes"/>
    <s v="OCT"/>
    <n v="2022"/>
    <n v="10"/>
    <n v="10"/>
    <s v=""/>
    <s v=""/>
    <s v=""/>
    <s v=""/>
    <s v=""/>
    <s v=""/>
    <n v="1995"/>
    <s v="10.3390/pr10101995"/>
    <s v="http://dx.doi.org/10.3390/pr10101995"/>
    <s v=""/>
    <s v=""/>
    <n v="25"/>
    <s v="Engineering, Chemical"/>
    <x v="2"/>
    <s v="Engineering"/>
    <s v="5Q0JV"/>
    <s v=""/>
    <s v="gold"/>
    <s v=""/>
    <s v=""/>
    <s v="2023-11-15"/>
    <x v="168"/>
    <s v="View Full Record in Web of Science"/>
  </r>
  <r>
    <s v="J"/>
    <s v="García, A; Bregon, A; Martínez-Prieto, MA"/>
    <s v=""/>
    <s v=""/>
    <s v=""/>
    <s v="Garcia, Alvaro; Bregon, Anibal; Martinez-Prieto, Miguel A."/>
    <s v=""/>
    <s v=""/>
    <s v="A non-intrusive Industry 4.0 retrofitting approach for collaborative maintenance in traditional manufacturing"/>
    <s v="COMPUTERS &amp; INDUSTRIAL ENGINEERING"/>
    <s v=""/>
    <s v=""/>
    <s v="English"/>
    <x v="0"/>
    <s v=""/>
    <s v=""/>
    <s v=""/>
    <s v=""/>
    <s v=""/>
    <s v="Digital retrofitting; Collaborative maintenance; Industry 4; 0; Human -machine interfaces; Traditional manufacturing; Non-intrusive sensors"/>
    <s v="PREDICTIVE MAINTENANCE; INTELLIGENT; MANAGEMENT; FRAMEWORK; MACHINE; SYSTEMS; BARRIERS; MODELS"/>
    <s v="The recent COVID-19 outbreak impact on the world economy has boosted the increasing business needs to force manufacturing plants adapting to unpredictable changes and ensuring the continuity of industrial production. The demand for asset monitoring solutions and specialised support at the shop floor has become an increasingly important digital priority in industry that pushes human-machine technological upgrades leading to digital workforce skills assessment. In the case of traditional manufacturing, Small and Medium-sized Enterprises (SMEs) face the challenge of managing digital technologies and Industry 4.0 (I4.0) maturity models with a low adoption rate. In this digital context very few SMEs with traditional means have anticipated the latest advances in maintenance strategies impeded by technical and economical barriers. This work presents a human-machine technological integration solution in traditional manufacturing based on a non-intrusive retrofitting development with interoperable I4.0 tools. The method provides a common and rapidly deployable hardware and software architecture supporting an HMI-based legacy maintenance approach and addresses its evaluation focused on the physical-digital convergence of older industrial systems. A case study applying a digital process approach integrated with condition-based maintenance (CBM) techniques, has been carried out on a CNC milling machine and reproduced in an injection moulding machine during COVID-19 alert state. These already existing scenarios served to deploy digital retrofitting and communication strategies without interfering in working conditions. Patterns extracted from the machines were monitored in real-time interacting with the operational knowledge of the experienced staff. In this way, we provided an original contribution to confront human-machine challenges with improvements applied in traditional manufacturing, where workers and industrial systems were collaboratively updated with augmented digital strategies and proactive CBM environments."/>
    <s v="[Garcia, Alvaro] Fdn Cidaut, ICT Ind 4 0 Area, Valladolid, Spain; [Garcia, Alvaro; Bregon, Anibal; Martinez-Prieto, Miguel A.] Univ Valladolid, Dept Informat, Valladolid, Spain"/>
    <s v="Universidad de Valladolid"/>
    <s v="García, A (corresponding author), Fdn Cidaut, ICT Ind 4 0 Area, Valladolid, Spain."/>
    <s v="alvgar@cidaut.es; anibal@infor.uva.es; migumar2@infor.uva.es"/>
    <s v="Martínez-Prieto, Miguel A./A-4891-2011; Bregon, Anibal/R-6700-2018"/>
    <s v="Martínez-Prieto, Miguel A./0000-0003-4418-561X; Bregon, Anibal/0000-0001-6752-1159; Garcia, Alvaro/0000-0002-8628-3405"/>
    <s v="Regional Funding Agency Institute for Business Competitiveness of Castile Leon (iDIGIT4L project) [CCTT1/17/VA/0007]; FEDER funds"/>
    <s v="Regional Funding Agency Institute for Business Competitiveness of Castile Leon (iDIGIT4L project); FEDER funds(European Union (EU))"/>
    <s v="This work was supported by Spanish funds through Regional Funding Agency Institute for Business Competitiveness of Castile Leon (iDIGIT4L project, exp. number: CCTT1/17/VA/0007), co-financed with FEDER funds, budget line Applied R&amp;D projects carried out by technology centers. Call 2017."/>
    <s v=""/>
    <n v="61"/>
    <n v="8"/>
    <n v="8"/>
    <n v="7"/>
    <n v="31"/>
    <s v="PERGAMON-ELSEVIER SCIENCE LTD"/>
    <s v="OXFORD"/>
    <s v="THE BOULEVARD, LANGFORD LANE, KIDLINGTON, OXFORD OX5 1GB, ENGLAND"/>
    <s v="0360-8352"/>
    <s v="1879-0550"/>
    <s v=""/>
    <s v="COMPUT IND ENG"/>
    <s v="Comput. Ind. Eng."/>
    <s v="FEB"/>
    <n v="2022"/>
    <n v="164"/>
    <s v=""/>
    <s v=""/>
    <s v=""/>
    <s v=""/>
    <s v=""/>
    <s v=""/>
    <s v=""/>
    <n v="107896"/>
    <s v="10.1016/j.cie.2021.107896"/>
    <s v="http://dx.doi.org/10.1016/j.cie.2021.107896"/>
    <s v=""/>
    <s v="DEC 2021"/>
    <n v="16"/>
    <s v="Computer Science, Interdisciplinary Applications; Engineering, Industrial"/>
    <x v="2"/>
    <s v="Computer Science; Engineering"/>
    <s v="YD3PH"/>
    <n v="36569781"/>
    <s v="Green Published"/>
    <s v=""/>
    <s v=""/>
    <s v="2023-11-15"/>
    <x v="169"/>
    <s v="View Full Record in Web of Science"/>
  </r>
  <r>
    <s v="J"/>
    <s v="Yan, MR; Hong, LY; Warren, K"/>
    <s v=""/>
    <s v=""/>
    <s v=""/>
    <s v="Yan, Min-Ren; Hong, Lin-Ya; Warren, Kim"/>
    <s v=""/>
    <s v=""/>
    <s v="Integrated knowledge visualization and the enterprise digital twin system for supporting strategic management decision"/>
    <s v="MANAGEMENT DECISION"/>
    <s v=""/>
    <s v=""/>
    <s v="English"/>
    <x v="0"/>
    <s v=""/>
    <s v=""/>
    <s v=""/>
    <s v=""/>
    <s v=""/>
    <s v="Knowledge visualization; Digital twin; Strategy; Decision support; System dynamics (SD); Digital transformation; Performance management; Innovation; Data analytics; Dynamic capability"/>
    <s v="WEB-BASED SIMULATIONS; BIG DATA ANALYTICS; DYNAMIC CAPABILITIES; FLIGHT SIMULATORS; PROJECT PERFORMANCE; BUSINESS MODEL; INNOVATION; TECHNOLOGIES; SUSTAINABILITY; COMMUNICATION"/>
    <s v="Purpose This paper proposes an integrated knowledge visualization and digital twin system for supporting strategic management decisions. The concepts and applications of strategic architecture have been illustrated with a concrete real-world case study and decision rules of using the strategic digital twin management decision system (SDMDS) as a more visualized, adaptive and effective model for decision-making. Design/methodology/approach This paper integrates the concepts of mental and computer models and examines a real case's business operations by applying system dynamics modelling and digital technologies. The enterprise digital twin system with displaying real-world data and simulations for future scenarios demonstrates an improved process of strategic decision-making in the digital age. Findings The findings reveal that data analytics and the visualized enterprise digital twin system offer better practices for strategic management decisions in the dynamic and constantly changing business world by providing a constant and frequent adjustment on every decision that affects how the business performs over both operational and strategic timescales. Originality/value In the digital age and dynamic business environment, the proposed strategic architecture and managerial digital twin system converts the existing conceptual models into an advanced operational model. It can facilitate the development of knowledge visualization and become a more adaptive and effective model for supporting real-time management decision-making by dealing with the complicated dependence of constant flow of data input, output and the feedback loop across business units and boundaries."/>
    <s v="[Yan, Min-Ren] Chinese Culture Univ, Coll Business, Taipei, Taiwan; [Hong, Lin-Ya] Georg August Univ Goettingen, Human Resources Management &amp; Asian Business, Gottingen, Germany; [Warren, Kim] Strategy Dynam Ltd, Bletchley, Bucks, England; [Warren, Kim] London Business Sch, Strategy Fac, London, England"/>
    <s v="Chinese Culture University; University of Gottingen; University of London; London Business School"/>
    <s v="Yan, MR (corresponding author), Chinese Culture Univ, Coll Business, Taipei, Taiwan."/>
    <s v="ymr3@faculty.pccu.edu.tw; linya.hong@stud.uni-goettingen.de; kim@strategydynamics.com"/>
    <s v=""/>
    <s v="Yan, Min-Ren/0000-0002-8270-9763; Hong, Lin-Ya/0000-0001-5032-3682"/>
    <s v=""/>
    <s v=""/>
    <s v=""/>
    <s v=""/>
    <n v="72"/>
    <n v="8"/>
    <n v="8"/>
    <n v="35"/>
    <n v="164"/>
    <s v="EMERALD GROUP PUBLISHING LTD"/>
    <s v="BINGLEY"/>
    <s v="HOWARD HOUSE, WAGON LANE, BINGLEY BD16 1WA, W YORKSHIRE, ENGLAND"/>
    <s v="0025-1747"/>
    <s v="1758-6070"/>
    <s v=""/>
    <s v="MANAGE DECIS"/>
    <s v="Manag. Decis."/>
    <s v="MAR 21"/>
    <n v="2022"/>
    <n v="60"/>
    <n v="4"/>
    <s v=""/>
    <s v=""/>
    <s v="SI"/>
    <s v=""/>
    <n v="1095"/>
    <n v="1115"/>
    <s v=""/>
    <s v="10.1108/MD-02-2021-0182"/>
    <s v="http://dx.doi.org/10.1108/MD-02-2021-0182"/>
    <s v=""/>
    <s v="SEP 2021"/>
    <n v="21"/>
    <s v="Business; Management"/>
    <x v="0"/>
    <s v="Business &amp; Economics"/>
    <s v="ZY5YK"/>
    <s v=""/>
    <s v=""/>
    <s v=""/>
    <s v=""/>
    <s v="2023-11-15"/>
    <x v="170"/>
    <s v="View Full Record in Web of Science"/>
  </r>
  <r>
    <s v="J"/>
    <s v="Martínez, ON; García, JI; Salcedo, VT"/>
    <s v=""/>
    <s v=""/>
    <s v=""/>
    <s v="Navarro Martinez, Olga; Igual Garcia, Jorge; Traver Salcedo, Vicente"/>
    <s v=""/>
    <s v=""/>
    <s v="Estimating Patient Empowerment and Nurses' Use of Digital Strategies: eSurvey Study"/>
    <s v="INTERNATIONAL JOURNAL OF ENVIRONMENTAL RESEARCH AND PUBLIC HEALTH"/>
    <s v=""/>
    <s v=""/>
    <s v="English"/>
    <x v="0"/>
    <s v=""/>
    <s v=""/>
    <s v=""/>
    <s v=""/>
    <s v=""/>
    <s v="health literacy; digital literacy; digital skills; patient empowerment"/>
    <s v="HEALTH INFORMATION-SEEKING; SOCIAL NETWORKS; INTERNET; CHALLENGES; EXPERIENCE; COPD"/>
    <s v="Patient empowerment is seen as the capability to understand health information and make decisions based on it. It is a competence that can improve self-care, adherence and overall health. The COVID-19 pandemic has increased the need for information and has also reduced the number of visits to health centers. Nurses have had to adapt in order to continue offering quality care in different environments such as the digital world, but this entails assessing the level of their patients' empowerment and adapting material and educational messages to new realities. The aim of this study is, on the one hand, to assess nurses' use of digital resources to provide reinforcing information to their patients and, on the other hand, to evaluate how they assess the level of empowerment of their patients. To perform the study, 850 nurses answered 21 questions related to their own digital literacy and patients' empowerment. The ability to make decisions is the characteristic most selected by nurses (70%) as useful in measuring patient empowerment, whereas 9.19% do not measure it in any way. Printed material is most often used by nurses to offer additional information to patients (71.93%), mobile applications are the least used option (21.58%), and elder nurses are those who most recommend digital resources. In this study, younger nurses make little or no use of technology as a resource for training and monitoring patients. In spite of some limitations concerning the study, digital health needs to be promoted as an indisputable tool in the nurse's briefcase in the future to ensure that older patients can manage electronic resources in different fields."/>
    <s v="[Navarro Martinez, Olga] Catholic Univ Valencia, Dept Nursing, Valencia 46007, Spain; [Navarro Martinez, Olga; Traver Salcedo, Vicente] Univ Politecn Valencia, Inst ITACA, Valencia 46022, Spain; [Igual Garcia, Jorge] Univ Politecn Valencia, Inst Telecomunicac &amp; Aplicac Multimedia ITEAM, Dept Comunicac, Valencia 46022, Spain"/>
    <s v="Universidad Catolica de Valencia San Vicente Martir; Universitat Politecnica de Valencia; Universitat Politecnica de Valencia"/>
    <s v="Martínez, ON (corresponding author), Catholic Univ Valencia, Dept Nursing, Valencia 46007, Spain.;Martínez, ON (corresponding author), Univ Politecn Valencia, Inst ITACA, Valencia 46022, Spain."/>
    <s v="olga.navarro@ucv.es; jigual@dcom.upv.es; vtraver@itaca.upv.es"/>
    <s v="Navarro Martínez, Olga/HDN-2718-2022; Traver, Vicente/B-8139-2015"/>
    <s v="Navarro Martínez, Olga/0000-0003-3563-4129; Igual, Jorge/0000-0003-3408-4014; Traver, Vicente/0000-0003-1806-8575"/>
    <s v=""/>
    <s v=""/>
    <s v=""/>
    <s v=""/>
    <n v="52"/>
    <n v="8"/>
    <n v="8"/>
    <n v="1"/>
    <n v="11"/>
    <s v="MDPI"/>
    <s v="BASEL"/>
    <s v="ST ALBAN-ANLAGE 66, CH-4052 BASEL, SWITZERLAND"/>
    <s v=""/>
    <s v="1660-4601"/>
    <s v=""/>
    <s v="INT J ENV RES PUB HE"/>
    <s v="Int. J. Environ. Res. Public Health"/>
    <s v="SEP"/>
    <n v="2021"/>
    <n v="18"/>
    <n v="18"/>
    <s v=""/>
    <s v=""/>
    <s v=""/>
    <s v=""/>
    <s v=""/>
    <s v=""/>
    <n v="9844"/>
    <s v="10.3390/ijerph18189844"/>
    <s v="http://dx.doi.org/10.3390/ijerph18189844"/>
    <s v=""/>
    <s v=""/>
    <n v="16"/>
    <s v="Environmental Sciences; Public, Environmental &amp; Occupational Health"/>
    <x v="1"/>
    <s v="Environmental Sciences &amp; Ecology; Public, Environmental &amp; Occupational Health"/>
    <s v="UV5PO"/>
    <n v="34574766"/>
    <s v="Green Published, gold"/>
    <s v=""/>
    <s v=""/>
    <s v="2023-11-15"/>
    <x v="171"/>
    <s v="View Full Record in Web of Science"/>
  </r>
  <r>
    <s v="J"/>
    <s v="Bonacini, E; Giaccone, SC"/>
    <s v=""/>
    <s v=""/>
    <s v=""/>
    <s v="Bonacini, Elisa; Giaccone, Sonia Caterina"/>
    <s v=""/>
    <s v=""/>
    <s v="Gamification and cultural institutions in cultural heritage promotion: a successful example from Italy"/>
    <s v="CULTURAL TRENDS"/>
    <s v=""/>
    <s v=""/>
    <s v="English"/>
    <x v="0"/>
    <s v=""/>
    <s v=""/>
    <s v=""/>
    <s v=""/>
    <s v=""/>
    <s v="Gamification; serious games; cultural institutions; digital heritage; digital marketing; game tourism"/>
    <s v=""/>
    <s v="This article deals with the application of serious games to cultural heritage. Through an overview of the growing importance of gamification in promoting cultural sites and museum collections, the research highlights the changing practices of cultural institutions, which are increasingly involved in producing serious games, considering them as strategic digital marketing tools to promote cultural heritage and tourism in addition to their traditional learning by playing function. The article explores a case study, namely Mi Rasna, a game on the Etruscan society commissioned by several Italian cultural institutions."/>
    <s v="[Bonacini, Elisa] Univ S Florida, Dept Hist, Inst Digital Explorat IDEx, 4202 E Fowler Ave, Tampa, FL 33620 USA; [Bonacini, Elisa] Univ Cordoba, Escuelas Doctorado, Cordoba, Spain; [Giaccone, Sonia Caterina] Univ Catania, Dept Econ &amp; Business, Catania, Italy"/>
    <s v="State University System of Florida; University of South Florida; Universidad de Cordoba; University of Catania"/>
    <s v="Bonacini, E (corresponding author), Univ S Florida, Dept Hist, Inst Digital Explorat IDEx, 4202 E Fowler Ave, Tampa, FL 33620 USA.;Bonacini, E (corresponding author), Univ Cordoba, Escuelas Doctorado, Cordoba, Spain."/>
    <s v="e_bonacini@hotmail.com"/>
    <s v="Bonacini, Elisa/IRZ-6023-2023"/>
    <s v="BONACINI, Elisa/0000-0001-6987-6180; GIACCONE, Sonia Caterina/0000-0002-4422-9566"/>
    <s v=""/>
    <s v=""/>
    <s v=""/>
    <s v=""/>
    <n v="53"/>
    <n v="8"/>
    <n v="8"/>
    <n v="20"/>
    <n v="92"/>
    <s v="ROUTLEDGE JOURNALS, TAYLOR &amp; FRANCIS LTD"/>
    <s v="ABINGDON"/>
    <s v="2-4 PARK SQUARE, MILTON PARK, ABINGDON OX14 4RN, OXON, ENGLAND"/>
    <s v="0954-8963"/>
    <s v="1469-3690"/>
    <s v=""/>
    <s v="CULT TRENDS"/>
    <s v="Cult. Trends"/>
    <s v="JAN 1"/>
    <n v="2022"/>
    <n v="31"/>
    <n v="1"/>
    <s v=""/>
    <s v=""/>
    <s v=""/>
    <s v=""/>
    <n v="3"/>
    <n v="22"/>
    <s v=""/>
    <s v="10.1080/09548963.2021.1910490"/>
    <s v="http://dx.doi.org/10.1080/09548963.2021.1910490"/>
    <s v=""/>
    <s v="APR 2021"/>
    <n v="20"/>
    <s v="Humanities, Multidisciplinary; Cultural Studies; Social Sciences, Interdisciplinary"/>
    <x v="5"/>
    <s v="Arts &amp; Humanities - Other Topics; Cultural Studies; Social Sciences - Other Topics"/>
    <s v="ZQ1XJ"/>
    <s v=""/>
    <s v=""/>
    <s v=""/>
    <s v=""/>
    <s v="2023-11-15"/>
    <x v="172"/>
    <s v="View Full Record in Web of Science"/>
  </r>
  <r>
    <s v="J"/>
    <s v="Bonfanti, S; Guerra, R; Zaiser, M; Zapperi, S"/>
    <s v=""/>
    <s v=""/>
    <s v=""/>
    <s v="Bonfanti, Silvia; Guerra, Roberto; Zaiser, Michael; Zapperi, Stefano"/>
    <s v=""/>
    <s v=""/>
    <s v="Digital strategies for structured and architected materials design"/>
    <s v="APL MATERIALS"/>
    <s v=""/>
    <s v=""/>
    <s v="English"/>
    <x v="0"/>
    <s v=""/>
    <s v=""/>
    <s v=""/>
    <s v=""/>
    <s v=""/>
    <s v=""/>
    <s v="MECHANICAL METAMATERIALS; NACRE; SIMULATION; PRINCIPLES; OPTIMIZATION; COMPOSITES; ELASTICITY; HIERARCHY; BREAKDOWN; TI-6AL-4V"/>
    <s v="Designing materials with tailored structural or functional properties is a fundamental goal of materials science and engineering. A vast research activity is currently devoted to achieving metamaterials with superior properties and optimized functionalities by carefully fine tuning both the microstructure and geometry of the material. Here, we discuss the impact of digital technologies in this research field by providing fast and cost effective tools to explore a large array of possibilities for materials and metamaterials. We report on recent progress obtained by combining numerical simulations, optimization techniques, artificial intelligence, and additive manufacturing methods and highlight promising research lines. The exploration of the space of possible material microstructures and geometries is reminiscent of the process of biological evolution in which traits are explored and selected according to their fitness. Biomimetic materials have long profited from adapting features of biological systems to the design of new materials and structures. Combining biomimetic approaches with digital simulation and optimization and with high throughput fabrication and characterization techniques may provide a step change in the evolutionary development of new materials. (c) 2021 Author(s). All article content, except where otherwise noted, is licensed under a Creative Commons Attribution (CC BY) license (http://creativecommons.org/licenses/by/4.0/)."/>
    <s v="[Bonfanti, Silvia; Guerra, Roberto; Zapperi, Stefano] Univ Milan, Dept Phys, Ctr Complex &amp; Biosyst, Via Celoria 16, I-20133 Milan, Italy; [Zaiser, Michael] Friedrich Alexander Univ Erlangen Nurnberg, Dept Mat Sci, Inst Mat Simulat, Dr Mack Str 77, D-90762 Furth, Germany; [Zapperi, Stefano] CNR, Ist Chim Mat Condensata &amp; Tecnol Energia, Via R Cozzi 53, I-20125 Milan, Italy"/>
    <s v="University of Milan; University of Erlangen Nuremberg; Consiglio Nazionale delle Ricerche (CNR); Istituto di Chimica della Materia Condensata e di Tecnologie per l Energia (ICMATE-CNR)"/>
    <s v="Zapperi, S (corresponding author), Univ Milan, Dept Phys, Ctr Complex &amp; Biosyst, Via Celoria 16, I-20133 Milan, Italy.;Zapperi, S (corresponding author), CNR, Ist Chim Mat Condensata &amp; Tecnol Energia, Via R Cozzi 53, I-20125 Milan, Italy."/>
    <s v="zaiser@fau.de; stefano.zapperi@unimi.it"/>
    <s v="Bonfanti, Silvia/ABF-7621-2021; Zapperi, Stefano/C-9473-2009"/>
    <s v="Bonfanti, Silvia/0000-0002-0323-8714; Zapperi, Stefano/0000-0001-5692-5465; Guerra, Roberto/0000-0002-1278-8021"/>
    <s v="European Research Council [841640 METADESIGN]; Alexander von Humboldt Foundation"/>
    <s v="European Research Council(European Research Council (ERC)); Alexander von Humboldt Foundation(Alexander von Humboldt Foundation)"/>
    <s v="S.B., R.G., and S.Z. were supported by the European Research Council through the Proof of Concept Grant 841640 METADESIGN. S.Z. also acknowledges support from the Alexander von Humboldt Foundation through the Humboldt Research Award and thanks Friedrich-Alexander-Universitat Erlangen-Nurnberg for hospitality."/>
    <s v=""/>
    <n v="160"/>
    <n v="8"/>
    <n v="8"/>
    <n v="2"/>
    <n v="39"/>
    <s v="AIP Publishing"/>
    <s v="MELVILLE"/>
    <s v="1305 WALT WHITMAN RD, STE 300, MELVILLE, NY 11747-4501 USA"/>
    <s v="2166-532X"/>
    <s v=""/>
    <s v=""/>
    <s v="APL MATER"/>
    <s v="APL Mater."/>
    <s v="FEB 1"/>
    <n v="2021"/>
    <n v="9"/>
    <n v="2"/>
    <s v=""/>
    <s v=""/>
    <s v=""/>
    <s v=""/>
    <s v=""/>
    <s v=""/>
    <n v="20904"/>
    <s v="10.1063/5.0026817"/>
    <s v="http://dx.doi.org/10.1063/5.0026817"/>
    <s v=""/>
    <s v=""/>
    <n v="12"/>
    <s v="Nanoscience &amp; Nanotechnology; Materials Science, Multidisciplinary; Physics, Applied"/>
    <x v="2"/>
    <s v="Science &amp; Technology - Other Topics; Materials Science; Physics"/>
    <s v="QZ7NV"/>
    <s v=""/>
    <s v="gold, Green Submitted"/>
    <s v=""/>
    <s v=""/>
    <s v="2023-11-15"/>
    <x v="173"/>
    <s v="View Full Record in Web of Science"/>
  </r>
  <r>
    <s v="J"/>
    <s v="Bonnevie, E; Lloyd, TD; Rosenberg, SD; Williams, K; Goldbarg, J; Smyser, J"/>
    <s v=""/>
    <s v=""/>
    <s v=""/>
    <s v="Bonnevie, Erika; Lloyd, Tiffany D.; Rosenberg, Sarah D.; Williams, Kara; Goldbarg, Jaclyn; Smyser, Joe"/>
    <s v=""/>
    <s v=""/>
    <s v="Layla's Got You: Developing a tailored contraception chatbot for Black and Hispanic young women"/>
    <s v="HEALTH EDUCATION JOURNAL"/>
    <s v=""/>
    <s v=""/>
    <s v="English"/>
    <x v="0"/>
    <s v=""/>
    <s v=""/>
    <s v=""/>
    <s v=""/>
    <s v=""/>
    <s v="Chatbots; contraception; health communication; health disparities; technology"/>
    <s v=""/>
    <s v="Introduction: In Onondaga County, New York, around half of all births to Black and Hispanic teenage girls are unintended. The Layla's Got You campaign consists of a chatbot and social media campaign designed to increase contraception knowledge among 16- to 25-year-old Black and Hispanic women in Onondaga County. Methods: The campaign was co-created with local women in the target audience and employed digital and grassroots community building strategies. Focus groups were conducted among 31 women, during which participants selected the campaign's logo and chatbot name and created the tagline. Participants reviewed chatbot responses and designed Layla's appearance and features, and Black/Hispanic women are featured in website and promotional photos. A community campaign manager pairs digital strategies with grassroots partnerships among a diverse group of stakeholders, including social media influencers, hair salons and health clinics. Results: Since implementation, the chatbot has received 4,390 messages related to contraception or sexual health. Across social media accounts, the campaign has showed 2,483,683 impressions, average daily reach of 1,710 for Facebook and 943 for Instagram, and 32,816 total engagements across all platforms. Conclusion: Layla's Got You provides young women with a confidential place in which to find locally tailored and trustworthy information about contraception. By merging innovative technology-driven strategies, participatory creation techniques and grassroots community building, the initiative delivers impactful, easily updated health information on a large scale. This strategy has promising implications for increasing knowledge and positive attitudes towards contraception among specific at-risk audiences."/>
    <s v="[Bonnevie, Erika; Rosenberg, Sarah D.; Goldbarg, Jaclyn; Smyser, Joe] Publ Good Projects, 2308 Mt Vernon Ave,Suite 758, Alexandria, VA 22301 USA; [Lloyd, Tiffany D.; Williams, Kara] Allyn Family Fdn, Syracuse, NY USA"/>
    <s v=""/>
    <s v="Bonnevie, E (corresponding author), Publ Good Projects, 2308 Mt Vernon Ave,Suite 758, Alexandria, VA 22301 USA."/>
    <s v="erika.bonnevie@publicgoodprojects.org"/>
    <s v=""/>
    <s v=""/>
    <s v="Allyn Family Foundation"/>
    <s v="Allyn Family Foundation"/>
    <s v="The author(s) disclosed receipt of the following financial support for the research, authorship, and/or publication of this article. This work was supported by the Allyn Family Foundation, Skaneateles, New York."/>
    <s v=""/>
    <n v="38"/>
    <n v="8"/>
    <n v="8"/>
    <n v="2"/>
    <n v="14"/>
    <s v="SAGE PUBLICATIONS LTD"/>
    <s v="LONDON"/>
    <s v="1 OLIVERS YARD, 55 CITY ROAD, LONDON EC1Y 1SP, ENGLAND"/>
    <s v="0017-8969"/>
    <s v="1748-8176"/>
    <s v=""/>
    <s v="HEALTH EDUC J"/>
    <s v="Health Educ. J."/>
    <s v="JUN"/>
    <n v="2021"/>
    <n v="80"/>
    <n v="4"/>
    <s v=""/>
    <s v=""/>
    <s v=""/>
    <s v=""/>
    <n v="413"/>
    <n v="424"/>
    <n v="17896920981122"/>
    <s v="10.1177/0017896920981122"/>
    <s v="http://dx.doi.org/10.1177/0017896920981122"/>
    <s v=""/>
    <s v="DEC 2020"/>
    <n v="12"/>
    <s v="Education &amp; Educational Research; Public, Environmental &amp; Occupational Health"/>
    <x v="0"/>
    <s v="Education &amp; Educational Research; Public, Environmental &amp; Occupational Health"/>
    <s v="SF5YZ"/>
    <s v=""/>
    <s v=""/>
    <s v=""/>
    <s v=""/>
    <s v="2023-11-15"/>
    <x v="174"/>
    <s v="View Full Record in Web of Science"/>
  </r>
  <r>
    <s v="J"/>
    <s v="Thomas, A"/>
    <s v=""/>
    <s v=""/>
    <s v=""/>
    <s v="Thomas, Ashish"/>
    <s v=""/>
    <s v=""/>
    <s v="Convergence and digital fusion lead to competitive differentiation"/>
    <s v="BUSINESS PROCESS MANAGEMENT JOURNAL"/>
    <s v=""/>
    <s v=""/>
    <s v="English"/>
    <x v="4"/>
    <s v="10th Canadian Quality Congress"/>
    <s v="SEP 24-25, 2018"/>
    <s v="Simon Fraser Univ, Vancouver, CANADA"/>
    <s v=""/>
    <s v="Simon Fraser Univ"/>
    <s v="Convergence; Open innovation; Digital technology; Agile synergistic interaction; Business and technology management; Digital fusion"/>
    <s v="OPEN-INNOVATION; OPERATIONS-MANAGEMENT; EMPIRICAL-RESEARCH; FUTURE; STRATEGY"/>
    <s v="Purpose Organizations are consistently seeking innovative strategies and novel pathways to enhance business processes and create differentiation. The global business ecosystem is changing and there is growing demand for multi-modal digital technologies, big data consolidation and data analytics to harness a cost-competitive agile system. Technological convergence and integration of digital systems is one of the preferred methodologies that facilitates new and effective workflows and revives business processes. The progressive interlinking of digital technologies with business operations leads to the convergence and blending of management disciplines, devices and applications. The growing inconsistencies in managerial understanding regarding the benefits of convergence prompts a comprehensive examination of digital convergence pathways, identifying the impacts on converging entities and business objectives. The State bank of India (SBI) mega-merger case study was selected to investigate the pragmatic framework of digital convergence and to understand the impacts on interlinked entities such as: business operations, strategic management, project team that support value creation and competitive differentiation. The purpose of this paper is to focus on the phenomena of techno-fusion of emerging technologies creating new opportunities, business models and unique strategies for global banking and financial service organizations. Design/methodology/approach This study applies the qualitative, inductive research method using critical reflection of before and after the implementation of convergence and digital integration strategies. The SBI case study employs this research strategy based on the premise that banks must stay agile and highly responsive to the changing environment to enhance its value proposition and competitive differentiation objectives. The study methodology incorporates cooperative inquiry and multiple levels of analysis using data collection techniques of exhaustive review of archives, informal interviews, questionnaires and observations to identify the synergistic process improvement pathway. The study is grounded on the concept that the convergence of diverse business pathways involves innovative and interlinked project, strategic and information technology (IT) workflows that results in open innovative systems. Findings The studies identify that organizational innovation and creative solutions are a result of ecosystem turbulence, environmental force diversity, competitive pressure and the need for differentiation. Organizations that harness the power of digital fusion and convergence of management, systems and data generate a competitive advantage. The technological convergence strategy pulls multiple business and technology processes (project, strategic, IT, Cloud, AI and business process management) at the organizational, divisional or functional level generating new opportunities and threats, new business models and unique growth strategies for global banking and financial services organizations. Organizations that fully integrate techno-fusion of business and digital strategies produce synergistic effects and enhance adaptability, innovation and resiliency in the face of competitive challenges. Research limitations/implications Additional areas that can be explored further as an extension of this study are listed below: identifying factors to improve the speed of convergence; the current results are limited to large size organizations where formal management and technology functions are distinctive. Similar studies on smaller organizations are warranted. Originality/value This study focuses on the evolving field of technology innovation, which is increasingly being intertwined with business operations. Innovative digital technology is enabling the convergence of the disciplines of management, digital devices and applications. This facilitates the creation of a pragmatic framework that supports convergence of business operations, strategic management and digital fusion which leads to value creation and competitive differentiation. The techno-fusion of emerging technologies and digital strategies generates new opportunities and threats, new business models and unique growth strategies for organizations."/>
    <s v="[Thomas, Ashish] Concordia Univ Edmonton, Dept Management, Edmonton, AB, Canada"/>
    <s v=""/>
    <s v="Thomas, A (corresponding author), Concordia Univ Edmonton, Dept Management, Edmonton, AB, Canada."/>
    <s v="ashish.thomas@concordia.ab.ca"/>
    <s v="N'Dri, Amoin Bernadine/IWD-7811-2023"/>
    <s v=""/>
    <s v=""/>
    <s v=""/>
    <s v=""/>
    <s v=""/>
    <n v="40"/>
    <n v="8"/>
    <n v="9"/>
    <n v="6"/>
    <n v="69"/>
    <s v="EMERALD GROUP PUBLISHING LTD"/>
    <s v="BINGLEY"/>
    <s v="HOWARD HOUSE, WAGON LANE, BINGLEY BD16 1WA, W YORKSHIRE, ENGLAND"/>
    <s v="1463-7154"/>
    <s v="1758-4116"/>
    <s v=""/>
    <s v="BUS PROCESS MANAG J"/>
    <s v="Bus. Process. Manag. J."/>
    <s v="JUN 15"/>
    <n v="2020"/>
    <n v="26"/>
    <n v="3"/>
    <s v=""/>
    <s v=""/>
    <s v="SI"/>
    <s v=""/>
    <n v="707"/>
    <n v="720"/>
    <s v=""/>
    <s v="10.1108/BPMJ-01-2019-0001"/>
    <s v="http://dx.doi.org/10.1108/BPMJ-01-2019-0001"/>
    <s v=""/>
    <s v=""/>
    <n v="14"/>
    <s v="Business; Management"/>
    <x v="7"/>
    <s v="Business &amp; Economics"/>
    <s v="MC0CP"/>
    <s v=""/>
    <s v=""/>
    <s v=""/>
    <s v=""/>
    <s v="2023-11-15"/>
    <x v="175"/>
    <s v="View Full Record in Web of Science"/>
  </r>
  <r>
    <s v="J"/>
    <s v="McGrath, R; McManus, R"/>
    <s v=""/>
    <s v=""/>
    <s v=""/>
    <s v="McGrath, Rita; McManus, Ryan"/>
    <s v=""/>
    <s v=""/>
    <s v="Digital Transformation LEARNING YOUR WAY TO A NEW BUSINESS MODEL What's your digital strategy?"/>
    <s v="HARVARD BUSINESS REVIEW"/>
    <s v=""/>
    <s v=""/>
    <s v="English"/>
    <x v="0"/>
    <s v=""/>
    <s v=""/>
    <s v=""/>
    <s v=""/>
    <s v=""/>
    <s v=""/>
    <s v=""/>
    <s v=""/>
    <s v="[McGrath, Rita; McManus, Ryan] Columbia Business Sch, New York, NY 10027 USA"/>
    <s v="Columbia University"/>
    <s v="McGrath, R (corresponding author), Columbia Business Sch, New York, NY 10027 USA."/>
    <s v=""/>
    <s v=""/>
    <s v=""/>
    <s v=""/>
    <s v=""/>
    <s v=""/>
    <s v=""/>
    <n v="0"/>
    <n v="8"/>
    <n v="8"/>
    <n v="13"/>
    <n v="157"/>
    <s v="HARVARD BUSINESS SCHOOL PUBLISHING CORPORATION"/>
    <s v="WATERTOWN"/>
    <s v="300 NORTH BEACON STREET, WATERTOWN, MA 02472 USA"/>
    <s v="0017-8012"/>
    <s v=""/>
    <s v=""/>
    <s v="HARVARD BUS REV"/>
    <s v="Harv. Bus. Rev."/>
    <s v="MAY-JUN"/>
    <n v="2020"/>
    <n v="98"/>
    <n v="3"/>
    <s v=""/>
    <s v=""/>
    <s v=""/>
    <s v=""/>
    <n v="125"/>
    <n v="133"/>
    <s v=""/>
    <s v=""/>
    <s v=""/>
    <s v=""/>
    <s v=""/>
    <n v="9"/>
    <s v="Business; Management"/>
    <x v="0"/>
    <s v="Business &amp; Economics"/>
    <s v="LQ9KX"/>
    <s v=""/>
    <s v=""/>
    <s v=""/>
    <s v=""/>
    <s v="2023-11-15"/>
    <x v="176"/>
    <s v="View Full Record in Web of Science"/>
  </r>
  <r>
    <s v="J"/>
    <s v="Chester, J; Montgomery, KC"/>
    <s v=""/>
    <s v=""/>
    <s v=""/>
    <s v="Chester, Jeff; Montgomery, Kathryn C."/>
    <s v=""/>
    <s v=""/>
    <s v="The digital commercialisation of US politics - 2020 and beyond"/>
    <s v="INTERNET POLICY REVIEW"/>
    <s v=""/>
    <s v=""/>
    <s v="English"/>
    <x v="0"/>
    <s v=""/>
    <s v=""/>
    <s v=""/>
    <s v=""/>
    <s v=""/>
    <s v="Advertising; Elections; Micro-targeting; Privacy"/>
    <s v="PRIVACY"/>
    <s v="The same micro-targeted programmatic advertising that has become central to the digital media and marketing ecosystem has now migrated into election campaigns in the US and elsewhere, raising a host of issues around privacy, discrimination, and manipulation. This paper examines the digital strategies and technologies of today's political campaigns, explaining how they will be deployed in the upcoming 2020 election cycle, and assessing regulatory and policy responses - both enacted and proposed - for increasing transparency and accountability in digital politics."/>
    <s v="[Chester, Jeff] Ctr Digital Democracy, Washington, DC 20006 USA; [Montgomery, Kathryn C.] Amer Univ, Sch Commun, Washington, DC USA"/>
    <s v="American University"/>
    <s v="Chester, J (corresponding author), Ctr Digital Democracy, Washington, DC 20006 USA."/>
    <s v="jeff@democraticmedia.org; kcm@american.edu"/>
    <s v=""/>
    <s v=""/>
    <s v=""/>
    <s v=""/>
    <s v=""/>
    <s v=""/>
    <n v="119"/>
    <n v="8"/>
    <n v="8"/>
    <n v="3"/>
    <n v="7"/>
    <s v="ALEXANDER VON HUMBOLDT INST INTERNET &amp; SOC"/>
    <s v="BERLIN"/>
    <s v="OBERWALLSTRASSE 9, BERLIN, 10117, GERMANY"/>
    <s v="2197-6775"/>
    <s v=""/>
    <s v=""/>
    <s v="INTERNET POLICY REV"/>
    <s v="Internet Policy Rev."/>
    <s v=""/>
    <n v="2019"/>
    <n v="8"/>
    <n v="4"/>
    <s v=""/>
    <s v=""/>
    <s v=""/>
    <s v=""/>
    <s v=""/>
    <s v=""/>
    <s v=""/>
    <s v="10.14763/2019.4.1443"/>
    <s v="http://dx.doi.org/10.14763/2019.4.1443"/>
    <s v=""/>
    <s v=""/>
    <n v="23"/>
    <s v="Communication; Law"/>
    <x v="3"/>
    <s v="Communication; Government &amp; Law"/>
    <s v="KG2IA"/>
    <s v=""/>
    <s v="Green Submitted, gold"/>
    <s v=""/>
    <s v=""/>
    <s v="2023-11-15"/>
    <x v="177"/>
    <s v="View Full Record in Web of Science"/>
  </r>
  <r>
    <s v="J"/>
    <s v="Childers, CC; Haley, E; McMillan, S"/>
    <s v=""/>
    <s v=""/>
    <s v=""/>
    <s v="Childers, Courtney Carpenter; Haley, Eric; McMillan, Sally"/>
    <s v=""/>
    <s v=""/>
    <s v="Achieving Strategic Digital Integration: Views From Experienced New York City Advertising Agency Professionals"/>
    <s v="JOURNAL OF CURRENT ISSUES AND RESEARCH IN ADVERTISING"/>
    <s v=""/>
    <s v=""/>
    <s v="English"/>
    <x v="0"/>
    <s v=""/>
    <s v=""/>
    <s v=""/>
    <s v=""/>
    <s v=""/>
    <s v=""/>
    <s v="MARKETING COMMUNICATIONS IMC"/>
    <s v="The advertising agency environment is changing and requires agencies to deal with many communications opportunities in emerging platforms. Many concepts from IMC (e.g., the importance of data-driven targeting and integrated communication across disciplinary boundaries) have carried forward to the digital era. While academic literature has begun to examine the impact of digital technology on communication practice, the function of traditional full-service advertising agencies within the digital, social, and experiential communication environment remains under-examined. This study employs a qualitative paradigmatic perspective to address the following research question: What are experiences with and perceptions of strategic digital integration among veteran advertising professionals who work in New York City full-service agencies? Eighteen advertising agency professionals who held supervisory positions were interviewed to gain a longer-term perspective on experiences with strategic digital integration. All participants were employees of major, full-service NYC advertising agencies as they would likely work with sophisticated national and multi-national marketers. Three key insights emerged from data collection: (1) planning departments are changing, (2) there are many opportunities and threats to strategic digital integration, and (3) the continued importance of the big idea as the heart of the advertising business. Overall, participants from the NYC agencies do not suggest that advertising is dying, rather they portray it as an evolving industry leveraging the new promises of digital platforms through better strategic integration."/>
    <s v="[Childers, Courtney Carpenter; Haley, Eric; McMillan, Sally] Univ Tennessee, Sch Advertising &amp; Publ Relat, Knoxville, TN 37996 USA"/>
    <s v="University of Tennessee System; University of Tennessee Knoxville"/>
    <s v="Childers, CC (corresponding author), Univ Tennessee, Sch Advertising &amp; Publ Relat, Knoxville, TN 37996 USA."/>
    <s v="childers@utk.edu"/>
    <s v=""/>
    <s v=""/>
    <s v=""/>
    <s v=""/>
    <s v=""/>
    <s v=""/>
    <n v="59"/>
    <n v="8"/>
    <n v="8"/>
    <n v="2"/>
    <n v="6"/>
    <s v="TAYLOR &amp; FRANCIS LTD"/>
    <s v="ABINGDON"/>
    <s v="2-4 PARK SQUARE, MILTON PARK, ABINGDON OR14 4RN, OXON, ENGLAND"/>
    <s v="1064-1734"/>
    <s v="2164-7313"/>
    <s v=""/>
    <s v="J CURR ISS RES AD"/>
    <s v="J. Curr. Issues Res. Advert."/>
    <s v=""/>
    <n v="2018"/>
    <n v="39"/>
    <n v="3"/>
    <s v=""/>
    <s v=""/>
    <s v="SI"/>
    <s v=""/>
    <n v="244"/>
    <n v="265"/>
    <s v=""/>
    <s v="10.1080/10641734.2018.1491435"/>
    <s v="http://dx.doi.org/10.1080/10641734.2018.1491435"/>
    <s v=""/>
    <s v=""/>
    <n v="22"/>
    <s v="Business; Communication"/>
    <x v="3"/>
    <s v="Business &amp; Economics; Communication"/>
    <s v="VJ2JH"/>
    <s v=""/>
    <s v=""/>
    <s v=""/>
    <s v=""/>
    <s v="2023-11-15"/>
    <x v="178"/>
    <s v="View Full Record in Web of Science"/>
  </r>
  <r>
    <s v="J"/>
    <s v="König, PD"/>
    <s v=""/>
    <s v=""/>
    <s v=""/>
    <s v="Koenig, Pascal D."/>
    <s v=""/>
    <s v=""/>
    <s v="The place of conditionality and individual responsibility in a data-driven economy"/>
    <s v="BIG DATA &amp; SOCIETY"/>
    <s v=""/>
    <s v=""/>
    <s v="English"/>
    <x v="0"/>
    <s v=""/>
    <s v=""/>
    <s v=""/>
    <s v=""/>
    <s v=""/>
    <s v="Digital economy; information and communication technologies; conditionality; individual responsibility; data protection; value creation"/>
    <s v="BIG DATA; SELF-TRACKING; DATA PROTECTION; WELFARE-REFORM; POLICY; PRIVACY; DISCOURSE; POLITICS; STORIES; NUDGE"/>
    <s v="Advances in information and communication technologies enable more decentralized and individualized mechanisms for coordination and for managing societal complexity. This has important consequences for the role of conditionality and the idea of individual responsibility in two seemingly unrelated policy areas. First, the changing information infrastructure enables an extension of conditionality in the area of welfare through greater activation, enhanced self-management, and a personalization of risks. Second, conditionality and personal responsibility also form an important ideational template and a legitimatory basis for facilitating value creation that is based on data as a raw material. This argument is illustrated looking at the trajectories of the digital strategies in the United Kingdom and Germany. In both cases, data protection is depicted as a question of individual responsibility and tied to certain forms of individual conduct."/>
    <s v="[Koenig, Pascal D.] Goethe Univ Frankfurt, Frankfurt, Germany"/>
    <s v="Goethe University Frankfurt"/>
    <s v="König, PD (corresponding author), Goethe Univ Frankfurt, Dept Polit Sci, Theodor W Adorno Pl 6, D-60629 Frankfurt, Germany."/>
    <s v="p.koenig@soz.uni-frankfurt.de"/>
    <s v=""/>
    <s v="Konig, Pascal/0000-0001-9466-4024"/>
    <s v=""/>
    <s v=""/>
    <s v=""/>
    <s v=""/>
    <n v="96"/>
    <n v="8"/>
    <n v="8"/>
    <n v="4"/>
    <n v="12"/>
    <s v="SAGE PUBLICATIONS INC"/>
    <s v="THOUSAND OAKS"/>
    <s v="2455 TELLER RD, THOUSAND OAKS, CA 91320 USA"/>
    <s v="2053-9517"/>
    <s v=""/>
    <s v=""/>
    <s v="BIG DATA SOC"/>
    <s v="Big Data Soc."/>
    <s v="NOV 14"/>
    <n v="2017"/>
    <n v="4"/>
    <n v="2"/>
    <s v=""/>
    <s v=""/>
    <s v=""/>
    <s v=""/>
    <s v=""/>
    <s v=""/>
    <n v="2053951717742410"/>
    <s v="10.1177/2053951717742419"/>
    <s v="http://dx.doi.org/10.1177/2053951717742419"/>
    <s v=""/>
    <s v=""/>
    <n v="14"/>
    <s v="Social Sciences, Interdisciplinary"/>
    <x v="0"/>
    <s v="Social Sciences - Other Topics"/>
    <s v="FM8PN"/>
    <s v=""/>
    <s v="gold, Green Published"/>
    <s v=""/>
    <s v=""/>
    <s v="2023-11-15"/>
    <x v="179"/>
    <s v="View Full Record in Web of Science"/>
  </r>
  <r>
    <s v="J"/>
    <s v="Wessel, M; Levie, A; Siegel, R"/>
    <s v=""/>
    <s v=""/>
    <s v=""/>
    <s v="Wessel, Maxwell; Levie, Aaron; Siegel, Robert"/>
    <s v=""/>
    <s v=""/>
    <s v="The Problem with Legacy Ecosystems"/>
    <s v="HARVARD BUSINESS REVIEW"/>
    <s v=""/>
    <s v=""/>
    <s v="English"/>
    <x v="0"/>
    <s v=""/>
    <s v=""/>
    <s v=""/>
    <s v=""/>
    <s v=""/>
    <s v=""/>
    <s v=""/>
    <s v="In the digital age, software has enabled innovators like Uber and Testa to gather crucial data about customers and create revolutionary offerings to serve them. Meanwhile, many well-resourced incumbents struggle to develop extended digital relationships with customers. That's partly because it's hard for companies to change their established business models. But the authors point out another inhibitor there are repercussions up and down the value chain. The authors explain that successful upstarts do not just capture and use new data effectively; they also break from traditional reliance on outside partners for sourcing inputs and distributing and servicing products. They keep more functions in-house a necessary part of launching an innovation. But if incumbents do likewise in their own efforts to take advantage of digital technology, they risk upsetting longtime relationships with suppliers, distributors, and other collaborators. To navigate this new world, the authors advise managers in traditional companies to think about the macro trends that will shape their industry in the future, agree on a digital strategy to address customers' needs in the long term, and develop better metrics to monitor progress. Incumbents must also create new business opportunities for partners so that everyone benefits from the new ecosystem."/>
    <s v="[Wessel, Maxwell] SAP Io, San Francisco, CA 94080 USA; [Siegel, Robert] Stanfords Grad Sch Business, Management, Stanford, CA USA"/>
    <s v=""/>
    <s v="Wessel, M (corresponding author), SAP Io, San Francisco, CA 94080 USA."/>
    <s v=""/>
    <s v=""/>
    <s v=""/>
    <s v=""/>
    <s v=""/>
    <s v=""/>
    <s v=""/>
    <n v="0"/>
    <n v="8"/>
    <n v="8"/>
    <n v="0"/>
    <n v="69"/>
    <s v="HARVARD BUSINESS SCHOOL PUBLISHING CORPORATION"/>
    <s v="WATERTOWN"/>
    <s v="300 NORTH BEACON STREET, WATERTOWN, MA 02472 USA"/>
    <s v="0017-8012"/>
    <s v=""/>
    <s v=""/>
    <s v="HARVARD BUS REV"/>
    <s v="Harv. Bus. Rev."/>
    <s v="NOV"/>
    <n v="2016"/>
    <n v="94"/>
    <n v="11"/>
    <s v=""/>
    <s v=""/>
    <s v=""/>
    <s v=""/>
    <n v="68"/>
    <s v="+"/>
    <s v=""/>
    <s v=""/>
    <s v=""/>
    <s v=""/>
    <s v=""/>
    <n v="8"/>
    <s v="Business; Management"/>
    <x v="0"/>
    <s v="Business &amp; Economics"/>
    <s v="DY9SA"/>
    <s v=""/>
    <s v=""/>
    <s v=""/>
    <s v=""/>
    <s v="2023-11-15"/>
    <x v="180"/>
    <s v="View Full Record in Web of Science"/>
  </r>
  <r>
    <s v="J"/>
    <s v="Ashton, H; Thorns, DC"/>
    <s v=""/>
    <s v=""/>
    <s v=""/>
    <s v="Ashton, Hazel; Thorns, David C."/>
    <s v=""/>
    <s v=""/>
    <s v="The role of information communications technology in retrieving local community"/>
    <s v="CITY &amp; COMMUNITY"/>
    <s v=""/>
    <s v=""/>
    <s v="English"/>
    <x v="0"/>
    <s v=""/>
    <s v=""/>
    <s v=""/>
    <s v=""/>
    <s v=""/>
    <s v=""/>
    <s v=""/>
    <s v="The article explores the decline in social connectivity and the questions of whether and how local populations can use information-communications technologies (ICTs) to help reconnect. At. the center of this debate are problems in conceptulizing community in today's globalizing network society. As well as challenges to older ideas about community, these problems include the impacts of numerous contemporary societal and global pressures on communities themselves. The first step of community renewal is what Scott Lash ( 1994) refers to as the retrieval of community which is to be a genuinely participatory process, rather than presuming community already exists or engineering a consensus about what it is or what it wants. Some governments are now Suggesting that a way to reconnect local populations ill order to recover lost sociability and rebuild social infrastructure is through using ICTs as a major tool. Using the New Zealand Government policy contained in the Connecting Communities programme (2002) and the Digital Strategy (2004), the article explores and provides it critique of the strategies being advocated, particularly with respect to the use of the concepts of community and connectivity. A case study of the development and use of ICT tools for community retrieval within a particular local area is Used to identify some pitfalls and argue for approaches to connectivity that effectively utilize ICTs as community networking tools."/>
    <s v="[Thorns, David C.] Univ Canterbury, Coll Arts, Sch Sociol &amp; Anthropol, Christchurch 1, New Zealand"/>
    <s v="University of Canterbury"/>
    <s v="Thorns, DC (corresponding author), Univ Canterbury, Coll Arts, Sch Sociol &amp; Anthropol, Private Bag 4800, Christchurch 1, New Zealand."/>
    <s v="david.thorns@canterbury.ac.nz"/>
    <s v=""/>
    <s v=""/>
    <s v=""/>
    <s v=""/>
    <s v=""/>
    <s v=""/>
    <n v="49"/>
    <n v="8"/>
    <n v="9"/>
    <n v="2"/>
    <n v="11"/>
    <s v="WILEY"/>
    <s v="HOBOKEN"/>
    <s v="111 RIVER ST, HOBOKEN 07030-5774, NJ USA"/>
    <s v="1535-6841"/>
    <s v="1540-6040"/>
    <s v=""/>
    <s v="CITY COMMUNITY"/>
    <s v="City Community"/>
    <s v="SEP"/>
    <n v="2007"/>
    <n v="6"/>
    <n v="3"/>
    <s v=""/>
    <s v=""/>
    <s v=""/>
    <s v=""/>
    <n v="211"/>
    <n v="229"/>
    <s v=""/>
    <s v="10.1111/j.1540-6040.2007.00214.x"/>
    <s v="http://dx.doi.org/10.1111/j.1540-6040.2007.00214.x"/>
    <s v=""/>
    <s v=""/>
    <n v="19"/>
    <s v="Sociology; Urban Studies"/>
    <x v="0"/>
    <s v="Sociology; Urban Studies"/>
    <s v="346DK"/>
    <s v=""/>
    <s v=""/>
    <s v=""/>
    <s v=""/>
    <s v="2023-11-15"/>
    <x v="181"/>
    <s v="View Full Record in Web of Science"/>
  </r>
  <r>
    <s v="J"/>
    <s v="Smith, P; Steemers, J"/>
    <s v=""/>
    <s v=""/>
    <s v=""/>
    <s v="Smith, Paul; Steemers, Jeanette"/>
    <s v=""/>
    <s v=""/>
    <s v="BBC to the rescue! Digital switchover and the reinvention of public service broadcasting in Britain"/>
    <s v="JAVNOST-THE PUBLIC"/>
    <s v=""/>
    <s v=""/>
    <s v="English"/>
    <x v="0"/>
    <s v=""/>
    <s v=""/>
    <s v=""/>
    <s v=""/>
    <s v=""/>
    <s v=""/>
    <s v=""/>
    <s v="Britain is almost unique in giving its incumbent public service broadcaster, the BBC, a leading role in driving digital, thereby hoping to hasten digital take-up, and thus allowing analogue switch-off by 2012. This paper is divided into two parts. The first part investigates the recent historical past with respect to the making of policy, drawing on the analytical framework of policy cycles. Why has the British government given the BBC a lead role in the move towards digital and how does this decision link and interconnect with other interweaving policy debates surrounding the BBC licence fee and Charter renewal? In a media environment, increasingly driven by commercial considerations, what are the key policy motivations for entrusting a publicly funded institution with a lead role in the digital era, and what have been the main challenges and policy dilemmas in doing this? Part two considers how the BBC has responded to government policy initiatives. What are the key building blocks of its digital strategy and just how comfortably do these sit with its public service remit? For digital means much more than just broadcasting, demanding responses to changes in the way that audiences are likely to interact with content in future. Yet, in positioning itself as a content provider, whose content will be available on demand on myriad future platforms, the Corporation is increasingly impinging on what commercial operators believe is their future route to profitability. In the light of this analysis, the paper concludes by assessing the compatibility of government policy and BBC strategy given their at times diverging aims and objectives, and what this means for the continuance of a public service ethos into the digital age."/>
    <s v="De Montfort Univ, Fac Humanities, Leicester LE1 9BH, Leics, England; Univ Westminster, Sch Media Arts &amp; Design, London W1R 8AL, England"/>
    <s v="De Montfort University; University of Westminster"/>
    <s v="Smith, P (corresponding author), De Montfort Univ, Fac Humanities, Leicester LE1 9BH, Leics, England."/>
    <s v="pasmith@dmu.ac.uk; J.Steemers@wmin.ac.uk"/>
    <s v=""/>
    <s v="Steemers, Jeanette/0000-0003-3436-741X"/>
    <s v=""/>
    <s v=""/>
    <s v=""/>
    <s v=""/>
    <n v="62"/>
    <n v="8"/>
    <n v="9"/>
    <n v="1"/>
    <n v="26"/>
    <s v="ROUTLEDGE JOURNALS, TAYLOR &amp; FRANCIS LTD"/>
    <s v="ABINGDON"/>
    <s v="2-4 PARK SQUARE, MILTON PARK, ABINGDON OX14 4RN, OXON, ENGLAND"/>
    <s v="1318-3222"/>
    <s v="1854-8377"/>
    <s v=""/>
    <s v="JAVNOST-PUBLIC"/>
    <s v="Javnost-Public"/>
    <s v="APR"/>
    <n v="2007"/>
    <n v="14"/>
    <n v="1"/>
    <s v=""/>
    <s v=""/>
    <s v=""/>
    <s v=""/>
    <n v="39"/>
    <n v="55"/>
    <s v=""/>
    <s v="10.1080/13183222.2007.11008935"/>
    <s v="http://dx.doi.org/10.1080/13183222.2007.11008935"/>
    <s v=""/>
    <s v=""/>
    <n v="17"/>
    <s v="Communication"/>
    <x v="0"/>
    <s v="Communication"/>
    <s v="187JO"/>
    <s v=""/>
    <s v=""/>
    <s v=""/>
    <s v=""/>
    <s v="2023-11-15"/>
    <x v="182"/>
    <s v="View Full Record in Web of Science"/>
  </r>
  <r>
    <s v="J"/>
    <s v="Enrique, DV; Lerman, LV; de Sousa, PR; Benitez, GB; Santos, FMBC; Frank, AG"/>
    <s v=""/>
    <s v=""/>
    <s v=""/>
    <s v="Enrique, Daisy Valle; Lerman, Laura Visintainer; de Sousa, Paulo Renato; Benitez, Guilherme Brittes; Santos, Fernando M. Bigares Charrua; Frank, Alejandro G."/>
    <s v=""/>
    <s v=""/>
    <s v="Being digital and flexible to navigate the storm: How digital transformation enhances supply chain flexibility in turbulent environments"/>
    <s v="INTERNATIONAL JOURNAL OF PRODUCTION ECONOMICS"/>
    <s v=""/>
    <s v=""/>
    <s v="English"/>
    <x v="0"/>
    <s v=""/>
    <s v=""/>
    <s v=""/>
    <s v=""/>
    <s v=""/>
    <s v="Digital transformation; Industry 4; 0; Business uncertainties; Smart supply chain; Supply chain flexibility"/>
    <s v="INDUSTRY 4.0 TECHNOLOGIES; MANUFACTURING FLEXIBILITY; FIRM PERFORMANCE; METHOD VARIANCE; MANAGEMENT; INTEGRATION; IMPACT; CAPABILITY; CONTEXT; FIT"/>
    <s v="The growing environmental business uncertainties have forced companies to focus on developing more flexible supply chains. Digital transformation has been considered a key means to achieving such flexibility, but the literature lacks empirical evidence about how digital technologies effectively contribute to it. Thus, this study aims to analyze how Smart Supply Chain (i.e., a supply chain enabled by digital transformation) contributes to supply chain flexibility and operational performance in environments surrounded by customer and supplier uncertainty. We adopt the organizational information-processing theory to explain the fit between information needs to reduce these uncertainties through more supply chain flexibility (sourcing, delivery, and manufacturing) and information capabilities provided by three main dimensions of the Smart Supply Chain (digital transformation strategy, digital base technologies, and digital front-end technologies). We relate these information-processing fit between Smart Supply Chain and flexibility with the boundary conditions of envi-ronmental uncertainty and operational performance improvements. Such relationships are analyzed through moderation and mediation regression tests based on 379 manufacturing companies surveyed. Our findings show that Smart Supply Chain has a statistical association with operational performance through the sequential mediating role of the three supply chain flexibility dimensions. We also found that environments with high customer uncertainty increase the use of base technologies (IoT, cloud, big data, AI, and blockchain) to reach delivery flexibility and support manufacturing flexibility. When companies face high supplier uncertainty, they use front-end technologies (i.e., robotics, 3D printing, simulation, and augmented reality) to increase sourcing flexibility. We show new advances in supply chain flexibility through digital transformation."/>
    <s v="[Enrique, Daisy Valle; Lerman, Laura Visintainer; Benitez, Guilherme Brittes; Frank, Alejandro G.] Univ Fed Rio Grande do Sul, Dept Ind Engn, Org Engn Grp Nucleo Engn Org NEO, Porto Alegre, Brazil; [Enrique, Daisy Valle; Santos, Fernando M. Bigares Charrua] Univ Beira Interior, Mech Engn Dept, Covilha, Portugal; [de Sousa, Paulo Renato] Fdn Dom Cabral, Dept Management, Nova Lima, Brazil; [Benitez, Guilherme Brittes] Pontifical Catholic Univ Parana PUCPR, Polytech Sch, Ind &amp; Syst Engn Grad Program, Curitiba, Brazil; [Frank, Alejandro G.] Univ Fed Rio Grande do Sul, Escola Engn, Ctr, Ave Osvaldo Aranha 99,Sala LOPP 508,5, BR-90035190 Porto Alegre, RS, Brazil"/>
    <s v="Universidade Federal do Rio Grande do Sul; Universidade da Beira Interior; Pontificia Universidade Catolica do Parana; Universidade Federal do Rio Grande do Sul"/>
    <s v="Frank, AG (corresponding author), Univ Fed Rio Grande do Sul, Escola Engn, Ctr, Ave Osvaldo Aranha 99,Sala LOPP 508,5, BR-90035190 Porto Alegre, RS, Brazil."/>
    <s v="ag.frank@ufrgs.br"/>
    <s v="Benitez, Guilherme Brittes/T-2979-2017; Frank, Alejandro G./H-7379-2014"/>
    <s v="Benitez, Guilherme Brittes/0000-0003-1222-4557; Frank, Alejandro G./0000-0001-5041-6467"/>
    <s v="Brazilian National Council for Scientific and Technological Development (CNPq - Conselho Nacional de Desenvolvimento Cientifico e Tecnologico) [PQ 1D]; Research Council of the State of Rio Grande do Sul (FAPERGS, (Fundacao de Amparo a Pesquisa do Estado do Rio Grande do Sul)) [21/2551-0002161-6]; Funda cao de Amparo a Pesquisa do Estado do Rio Grande do Sul; Research Coordination of the Brazilian Ministry of Education (CAPES); C-MAST/Center for Mechanical and Aerospace Science and Technologies of the University of Beira Interior; PT2020 and COMPETE2020 programs; European Union through the European Regional Development Fund (ERDF) [UID/EMS/00151/2019]"/>
    <s v="Brazilian National Council for Scientific and Technological Development (CNPq - Conselho Nacional de Desenvolvimento Cientifico e Tecnologico)(Conselho Nacional de Desenvolvimento Cientifico e Tecnologico (CNPQ)Fundacao de Apoio a Pesquisa do Distrito Federal (FAPDF)); Research Council of the State of Rio Grande do Sul (FAPERGS, (Fundacao de Amparo a Pesquisa do Estado do Rio Grande do Sul)); Funda cao de Amparo a Pesquisa do Estado do Rio Grande do Sul(Fundacao de Amparo a Ciencia e Tecnologia do Estado do Rio Grande do Sul (FAPERGS)); Research Coordination of the Brazilian Ministry of Education (CAPES); C-MAST/Center for Mechanical and Aerospace Science and Technologies of the University of Beira Interior; PT2020 and COMPETE2020 programs; European Union through the European Regional Development Fund (ERDF)(European Union (EU)Marie Curie Actions)"/>
    <s v="This project received research funds from the Brazilian National Council for Scientific and Technological Development (CNPq - Conselho Nacional de Desenvolvimento Cientfico e Tecnologico) (PQ 1D) , the Research Council of the State of Rio Grande do Sul (FAPERGS, Fundacao de Amparo a Pesquisa do Estado do Rio Grande do Sul) (Process n. 21/2551-0002161-6) and the Research Coordination of the Brazilian Min-istry of Education (CAPES) (PhD scholarship) . One of the authors of this project was also financially supported by C-MAST/Center for Mechani-cal and Aerospace Science and Technologies of the University of Beira Interior, and by the project INDTECH 4.0, co-financed by the PT2020 and COMPETE2020 programs, and the European Union through the European Regional Development Fund (ERDF) and UID/EMS/00151/2019."/>
    <s v=""/>
    <n v="137"/>
    <n v="7"/>
    <n v="7"/>
    <n v="74"/>
    <n v="148"/>
    <s v="ELSEVIER"/>
    <s v="AMSTERDAM"/>
    <s v="RADARWEG 29, 1043 NX AMSTERDAM, NETHERLANDS"/>
    <s v="0925-5273"/>
    <s v="1873-7579"/>
    <s v=""/>
    <s v="INT J PROD ECON"/>
    <s v="Int. J. Prod. Econ."/>
    <s v="AUG"/>
    <n v="2022"/>
    <n v="250"/>
    <s v=""/>
    <s v=""/>
    <s v=""/>
    <s v="SI"/>
    <s v=""/>
    <s v=""/>
    <s v=""/>
    <n v="108668"/>
    <s v="10.1016/j.ijpe.2022.108668"/>
    <s v="http://dx.doi.org/10.1016/j.ijpe.2022.108668"/>
    <s v=""/>
    <s v="DEC 2022"/>
    <n v="18"/>
    <s v="Engineering, Industrial; Engineering, Manufacturing; Operations Research &amp; Management Science"/>
    <x v="2"/>
    <s v="Engineering; Operations Research &amp; Management Science"/>
    <s v="7K2ZL"/>
    <s v=""/>
    <s v=""/>
    <s v=""/>
    <s v=""/>
    <s v="2023-11-15"/>
    <x v="183"/>
    <s v="View Full Record in Web of Science"/>
  </r>
  <r>
    <s v="J"/>
    <s v="Korucuk, S; Aytekin, A; Ecer, F; Karamasa, Ç; Zavadskas, EK"/>
    <s v=""/>
    <s v=""/>
    <s v=""/>
    <s v="Korucuk, Selcuk; Aytekin, Ahmet; Ecer, Fatih; Karamasa, Caglar; Zavadskas, Edmundas Kazimieras"/>
    <s v=""/>
    <s v=""/>
    <s v="Assessing Green Approaches and Digital Marketing Strategies for Twin Transition via Fermatean Fuzzy SWARA-COPRAS"/>
    <s v="AXIOMS"/>
    <s v=""/>
    <s v=""/>
    <s v="English"/>
    <x v="0"/>
    <s v=""/>
    <s v=""/>
    <s v=""/>
    <s v=""/>
    <s v=""/>
    <s v="twin transition; green transition; digital transition; fermatean fuzzy sets; sustainability; information and communication technology"/>
    <s v="DECISION-MAKING; WEIGHT ASSESSMENT; MCDM MODEL; SELECTION; TRANSFORMATION; MANAGEMENT; INTERNET"/>
    <s v="Integrating green approaches and digital marketing strategies for Information and Communication Technologies (ICTs), which reduce environmental risks to desired levels by eliminating emissions and pollution, is considered one of the most promising solutions for logistics companies. The study strives to bring a practical and applicable solution to the decision problem involving the selection of indicators for green approaches and digital marketing strategies for ICTs in the logistics sector. An integrated Fermatean Fuzzy Step-wise Weight Assessment Ratio Analysis (FF-SWARA) and Fermatean Fuzzy Complex Proportional Assessment (FF-COPRAS) methodology is applied to evaluate green approaches and digital marketing strategies. Concerning the findings, the foremost criterion is data management, whereas the best strategy is programmatic advertising. To the best of the authors' knowledge, there is no other study that both offers a strategy selection for the logistics industry and considers environmental protection, sustainability, digital transformation, energy costs, and social and economic factors. The study is a part of ongoing research on productivity, sustainability, the environment, digitization, recycling and estimating levels of waste reduction, as well as business practices, competitiveness and ensuring employee satisfaction and resource efficiency. Also, it investigates the similarities and dissimilarities in the green approach practices of business in logistics and determines the extent to which these practices could be reflected. It is expected to ensure a roadmap for green approach practices and to support sustainable and ecological awareness efforts for ICTs in the logistics sector. Logistics companies can select an integrated digital strategy based on green informatics that suits them using the decision model employed in this study, which can handle uncertainties effectively. In this regard, the study's findings, which focus on reaching customers and the most precise target audience in digital applications for businesses, are critical for developing strategy, plan and process."/>
    <s v="[Korucuk, Selcuk] Giresun Univ, Bulancak Kadir Karabas Vocat Sch, Dept Int Trade &amp; Logist, TR-28300 Giresun, Turkey; [Aytekin, Ahmet] Artvin Coruh Univ, Hopa Fac Econ &amp; Adm Sci, Dept Business Adm, TR-08100 Hopa, Turkey; [Ecer, Fatih] Afyon Kocatepe Univ, Fac Econ &amp; Adm Sci, Sub Dept Operat Res, ANS Campus, TR-03200 Afyon, Turkey; [Karamasa, Caglar] Anadolu Univ, Fac Business, Dept Business Adm, TR-26470 Eskisehir, Turkey; [Zavadskas, Edmundas Kazimieras] Vilnius Gediminas Tech Univ, Inst Sustainable Construct, Sauletekio Al 11, LT-10223 Vilnius, Lithuania"/>
    <s v="Giresun University; Artvin Coruh University; Afyon Kocatepe University; Anadolu University; Vilnius Gediminas Technical University"/>
    <s v="Ecer, F (corresponding author), Afyon Kocatepe Univ, Fac Econ &amp; Adm Sci, Sub Dept Operat Res, ANS Campus, TR-03200 Afyon, Turkey.;Zavadskas, EK (corresponding author), Vilnius Gediminas Tech Univ, Inst Sustainable Construct, Sauletekio Al 11, LT-10223 Vilnius, Lithuania."/>
    <s v="fecer@aku.edu.tr; edmundas.zavadskas@vilniustech.lt"/>
    <s v="Aytekin, Ahmet/AAG-1900-2019; Ecer, Fatih/AAE-8455-2020"/>
    <s v="Aytekin, Ahmet/0000-0002-1536-7097; Ecer, Fatih/0000-0002-6174-3241; KORUCUK, SELCUK/0000-0003-2471-1950; Karamasa, Caglar/0000-0003-2454-1824"/>
    <s v=""/>
    <s v=""/>
    <s v=""/>
    <s v=""/>
    <n v="163"/>
    <n v="7"/>
    <n v="7"/>
    <n v="18"/>
    <n v="32"/>
    <s v="MDPI"/>
    <s v="BASEL"/>
    <s v="ST ALBAN-ANLAGE 66, CH-4052 BASEL, SWITZERLAND"/>
    <s v=""/>
    <s v="2075-1680"/>
    <s v=""/>
    <s v="AXIOMS"/>
    <s v="Axioms"/>
    <s v="DEC"/>
    <n v="2022"/>
    <n v="11"/>
    <n v="12"/>
    <s v=""/>
    <s v=""/>
    <s v=""/>
    <s v=""/>
    <s v=""/>
    <s v=""/>
    <n v="709"/>
    <s v="10.3390/axioms11120709"/>
    <s v="http://dx.doi.org/10.3390/axioms11120709"/>
    <s v=""/>
    <s v=""/>
    <n v="25"/>
    <s v="Mathematics, Applied"/>
    <x v="2"/>
    <s v="Mathematics"/>
    <s v="7D2QU"/>
    <s v=""/>
    <s v="gold"/>
    <s v=""/>
    <s v=""/>
    <s v="2023-11-15"/>
    <x v="184"/>
    <s v="View Full Record in Web of Science"/>
  </r>
  <r>
    <s v="J"/>
    <s v="Weerabahu, WMSK; Samaranayake, P; Nakandala, D; Hurriyet, H"/>
    <s v=""/>
    <s v=""/>
    <s v=""/>
    <s v="Weerabahu, W. M. Samanthi Kumari; Samaranayake, Premaratne; Nakandala, Dilupa; Hurriyet, Hilal"/>
    <s v=""/>
    <s v=""/>
    <s v="Digital supply chain research trends: a systematic review and a maturity model for adoption"/>
    <s v="BENCHMARKING-AN INTERNATIONAL JOURNAL"/>
    <s v=""/>
    <s v=""/>
    <s v="English"/>
    <x v="2"/>
    <s v=""/>
    <s v=""/>
    <s v=""/>
    <s v=""/>
    <s v=""/>
    <s v="Industry 4; 0; Digital supply chains; DSC enablers; Challenges of DSC adoption"/>
    <s v="INDUSTRY 4.0 TECHNOLOGIES; CLOUD COMPUTING ADOPTION; BIG DATA ANALYTICS; DYNAMIC CAPABILITIES; MANAGEMENT-PRACTICES; FIRM PERFORMANCE; IMPLEMENTATION; DETERMINANTS; PERSPECTIVE; READINESS"/>
    <s v="Purpose This study investigates the enablers and challenges of digital supply chains (DSCs) adoption and develops a digital supply chain maturity (DSCM) model as a basis for developing guidelines for DSC adoption in the digital transformation journey. Design/methodology/approach The research involves a systematic literature review (SLR) of Industry 4.0 (I4) adoption in supply chain (SC) practices to identify key enablers and associated maturity levels. The literature search of published articles during the 1997-2020 period and subsequent screening resulted in 64 articles. A DSCM model was developed using the categorization of important enablers and associated levels transitioning from the traditional SC to the DSC ecosystem. Findings Four broader categories of DSC enablers and challenges were identified from the content analysis of SLR. Digital strategy alongside I4 technologies and human capital were prominent in DSC adoption as I4 technologies and human capital depend on other enablers such as dynamic capabilities (DCs). Lack of infrastructure and financial constraints to implementing I4 were significant challenges in the DSC adoption. Research limitations/implications The proposed DSCM model provides a holistic view of enablers and maturity levels from traditional SC to DSC adoption. However, the DSCM model needs to be empirically validated and streamlined further using inputs from practitioners. Practical implications The proposed DSCM model can be used as a framework to guide practitioners in assessing maturity and developing implementation plans for successful DSC adoption. Originality/value This research introduces a novel DSC maturity model through a holistic view of enablers and maturity levels from traditional SC to DSC adoption."/>
    <s v="[Weerabahu, W. M. Samanthi Kumari; Samaranayake, Premaratne; Nakandala, Dilupa; Hurriyet, Hilal] Western Sydney Univ, Sch Business, Penrith, NSW, Australia"/>
    <s v="Western Sydney University"/>
    <s v="Weerabahu, WMSK (corresponding author), Western Sydney Univ, Sch Business, Penrith, NSW, Australia."/>
    <s v="S.Weerabahu@westernsydney.edu.au"/>
    <s v="Samaranayake, Premaratne/ABI-6391-2022"/>
    <s v="Samaranayake, Premaratne/0000-0002-6253-7976; Weerabahu, Samanthi/0000-0003-4925-7096; Nakandala, Dilupa/0000-0003-1535-5288"/>
    <s v=""/>
    <s v=""/>
    <s v=""/>
    <s v=""/>
    <n v="71"/>
    <n v="7"/>
    <n v="7"/>
    <n v="19"/>
    <n v="42"/>
    <s v="EMERALD GROUP PUBLISHING LTD"/>
    <s v="BINGLEY"/>
    <s v="HOWARD HOUSE, WAGON LANE, BINGLEY BD16 1WA, W YORKSHIRE, ENGLAND"/>
    <s v="1463-5771"/>
    <s v="1758-4094"/>
    <s v=""/>
    <s v="BENCHMARKING"/>
    <s v="Benchmarking"/>
    <s v="2022 AUG 8"/>
    <n v="2022"/>
    <s v=""/>
    <s v=""/>
    <s v=""/>
    <s v=""/>
    <s v=""/>
    <s v=""/>
    <s v=""/>
    <s v=""/>
    <s v=""/>
    <s v="10.1108/BIJ-12-2021-0782"/>
    <s v="http://dx.doi.org/10.1108/BIJ-12-2021-0782"/>
    <s v=""/>
    <s v="AUG 2022"/>
    <n v="27"/>
    <s v="Management"/>
    <x v="3"/>
    <s v="Business &amp; Economics"/>
    <s v="3N6UJ"/>
    <s v=""/>
    <s v=""/>
    <s v=""/>
    <s v=""/>
    <s v="2023-11-15"/>
    <x v="185"/>
    <s v="View Full Record in Web of Science"/>
  </r>
  <r>
    <s v="J"/>
    <s v="Schallmo, D; Williams, CA; Tidd, J"/>
    <s v=""/>
    <s v=""/>
    <s v=""/>
    <s v="Schallmo, Daniel; Williams, Christopher A.; Tidd, Joe"/>
    <s v=""/>
    <s v=""/>
    <s v="THE ART OF HOLISTIC DIGITALISATION: A META-VIEW ON STRATEGY, TRANSFORMATION, IMPLEMENTATION, AND MATURITY"/>
    <s v="INTERNATIONAL JOURNAL OF INNOVATION MANAGEMENT"/>
    <s v=""/>
    <s v=""/>
    <s v="English"/>
    <x v="0"/>
    <s v=""/>
    <s v=""/>
    <s v=""/>
    <s v=""/>
    <s v=""/>
    <s v="Digital strategy; digital transformation; digital implementation; digital maturity"/>
    <s v="MODELS; MANAGEMENT"/>
    <s v="In the new global digital economy, holistic digitalisation has become central for all non-profit and for-profit institutions. Recent developments in digital initiatives have heightened the need to investigate holistic digitalisation. This paper aims to develop a meta-view of holistic digitalisation consisting of several fundamental perspectives for strategically oriented digitalisation. These perspectives include digital strategy. digital transformation of business models, digital implementation, and digital maturity. Each perspective consists of an approach including a procedure model and relevant content. Combined with our previous work, we applied semi-structured interviews and included the insights to develop an initial, grounded theory for a meta-view of holistic digitalisation. The paper offers a relevant concept and outlines an appropriate research methodology to advance this research field. This closes an existing research gap regarding digitalisation."/>
    <s v="[Schallmo, Daniel] Neu Ulm Univ Appl Sci, Wileystr 1, D-89231 Neu Ulm, Germany; [Williams, Christopher A.] Johannes Kepler Univ Linz, Altenberger Str 69, A-4040 Linz, Austria; [Tidd, Joe] Univ Sussex, Sussex House Falmer, Brighton BN1 9RH, E Sussex, England"/>
    <s v="Johannes Kepler University Linz; University of Sussex"/>
    <s v="Schallmo, D (corresponding author), Neu Ulm Univ Appl Sci, Wileystr 1, D-89231 Neu Ulm, Germany."/>
    <s v="daniel.schallmo@hnu.de; chrs.a.willlams@gmail.com; j.tidd@sussex.ac.uk"/>
    <s v="Williams, Christopher/GQQ-9115-2022"/>
    <s v="Schallmo, Daniel/0000-0002-4221-001X"/>
    <s v=""/>
    <s v=""/>
    <s v=""/>
    <s v=""/>
    <n v="82"/>
    <n v="7"/>
    <n v="7"/>
    <n v="5"/>
    <n v="23"/>
    <s v="WORLD SCIENTIFIC PUBL CO PTE LTD"/>
    <s v="SINGAPORE"/>
    <s v="5 TOH TUCK LINK, SINGAPORE 596224, SINGAPORE"/>
    <s v="1363-9196"/>
    <s v="1757-5877"/>
    <s v=""/>
    <s v="INT J INNOV MANAG"/>
    <s v="Int. J. Innov. Manag."/>
    <s v="APR"/>
    <n v="2022"/>
    <n v="26"/>
    <n v="3"/>
    <s v=""/>
    <s v=""/>
    <s v=""/>
    <s v=""/>
    <s v=""/>
    <s v=""/>
    <n v="2240007"/>
    <s v="10.1142/S1363919622400072"/>
    <s v="http://dx.doi.org/10.1142/S1363919622400072"/>
    <s v=""/>
    <s v="JUL 2022"/>
    <n v="34"/>
    <s v="Management"/>
    <x v="3"/>
    <s v="Business &amp; Economics"/>
    <s v="4T1PW"/>
    <s v=""/>
    <s v=""/>
    <s v=""/>
    <s v=""/>
    <s v="2023-11-15"/>
    <x v="186"/>
    <s v="View Full Record in Web of Science"/>
  </r>
  <r>
    <s v="J"/>
    <s v="Mastromartino, B; Naraine, ML"/>
    <s v=""/>
    <s v=""/>
    <s v=""/>
    <s v="Mastromartino, Brandon; Naraine, Michael L."/>
    <s v=""/>
    <s v=""/>
    <s v="(Dis)Innovative digital strategy in professional sport: examining sponsor leveraging through social media"/>
    <s v="INTERNATIONAL JOURNAL OF SPORTS MARKETING &amp; SPONSORSHIP"/>
    <s v=""/>
    <s v=""/>
    <s v="English"/>
    <x v="0"/>
    <s v=""/>
    <s v=""/>
    <s v=""/>
    <s v=""/>
    <s v=""/>
    <s v="Social media; Innovation; NHL; COVID; Disinnovation"/>
    <s v="USER ENGAGEMENT; ACTIVATION; MOTIVATIONS; CONGRUENCE; NETWORKS; BASEBALL; USAGE"/>
    <s v="Purpose The purpose of this study was to examine the effectiveness of social media strategies of sport organizations when an unexpected absence of relevant content occurs. The study explored the typologies of Instagram posts of NHL teams and measured engagement of social media content that was not planned in advance. Design/methodology/approach A mixed methods approach was utilized through a content analysis of 12 NHL team social media feeds. 502 (n = 502) posts were examined from the period of March 12 - May 26 during which the NHL season was suddenly paused due to the COVID-19 pandemic. Typologies of posts were identified through a qualitative coding process and ANOVA tests were conducted to examine the effectiveness of each typology in engaging consumers. Findings This study found that social media strategies of the sampled NHL teams is evidence of disinnovation with digital, as opposed to the previously conceptualized innovative properties that these activities bear. Therefore, in order to achieve the consumer engagement outcomes sought to build stronger relationships with fans and deliver on the expected leveraging capabilities for sponsors, sport marketers must reconsider their current, imbalanced approach and whether the more inherently interactive content should be balanced with entertaining content that requires organic consumer engagement. Originality/value This study offers a unique application of UGT, highlighting that social media in a sport context is not just about gratifying consumers, but preventing diminishing engagement and exploitation of users through overuse of sponsorship-laced content."/>
    <s v="[Mastromartino, Brandon] Southern Methodist Univ, Dallas, TX 75205 USA; [Naraine, Michael L.] Brock Univ, St Catharines, ON, Canada"/>
    <s v="Southern Methodist University; Brock University"/>
    <s v="Mastromartino, B (corresponding author), Southern Methodist Univ, Dallas, TX 75205 USA."/>
    <s v="bmastromartino@smu.edu"/>
    <s v=""/>
    <s v=""/>
    <s v=""/>
    <s v=""/>
    <s v=""/>
    <s v=""/>
    <n v="67"/>
    <n v="7"/>
    <n v="7"/>
    <n v="1"/>
    <n v="18"/>
    <s v="EMERALD GROUP PUBLISHING LTD"/>
    <s v="BINGLEY"/>
    <s v="HOWARD HOUSE, WAGON LANE, BINGLEY BD16 1WA, W YORKSHIRE, ENGLAND"/>
    <s v="1464-6668"/>
    <s v="2515-7841"/>
    <s v=""/>
    <s v="INT J SPORT MARK SPO"/>
    <s v="Int. J. Sports Mark. Spons."/>
    <s v="SEP 21"/>
    <n v="2022"/>
    <n v="23"/>
    <n v="5"/>
    <s v=""/>
    <s v=""/>
    <s v="SI"/>
    <s v=""/>
    <n v="934"/>
    <n v="949"/>
    <s v=""/>
    <s v="10.1108/IJSMS-02-2021-0032"/>
    <s v="http://dx.doi.org/10.1108/IJSMS-02-2021-0032"/>
    <s v=""/>
    <s v="JUN 2021"/>
    <n v="16"/>
    <s v="Hospitality, Leisure, Sport &amp; Tourism"/>
    <x v="0"/>
    <s v="Social Sciences - Other Topics"/>
    <s v="4P3SD"/>
    <s v=""/>
    <s v=""/>
    <s v=""/>
    <s v=""/>
    <s v="2023-11-15"/>
    <x v="187"/>
    <s v="View Full Record in Web of Science"/>
  </r>
  <r>
    <s v="J"/>
    <s v="López-López, D; Giusti, G"/>
    <s v=""/>
    <s v=""/>
    <s v=""/>
    <s v="Lopez-Lopez, David; Giusti, Giovanni"/>
    <s v=""/>
    <s v=""/>
    <s v="Comparing Digital Strategies and Social Media Usage in B2B and B2C Industries in Spain"/>
    <s v="JOURNAL OF BUSINESS-TO-BUSINESS MARKETING"/>
    <s v=""/>
    <s v=""/>
    <s v="English"/>
    <x v="0"/>
    <s v=""/>
    <s v=""/>
    <s v=""/>
    <s v=""/>
    <s v=""/>
    <s v="Digital strategies; digital tactics; B2B; B2C; cluster analysis"/>
    <s v=""/>
    <s v="Using 285 responses obtained in a survey of high- and middle-level managers of firms located in Spain and by implementing clustering techniques, we identify differences in the conception and adoption of a digital strategy and the use of social media. A driver for these differences is represented by whether companies are adopting a B2C or a B2B business model. Specifically, B2B companies are slower to generate an overall digital strategy compared to B2C firms. Moreover, B2B firms adopting a digital strategy are prioritizing the use of more professionally oriented platforms (e.g., LinkedIn), while B2C firms are favoring the use of more socially oriented services (e.g., Facebook). Additionally, we find that those B2C companies without a clear digital strategy are nonetheless significantly using social media, particularly social networks, while B2B companies are delaying the use of social media until conceiving a clear digital strategy."/>
    <s v="[Lopez-Lopez, David] ESADE Business Sch, Mkt Dept, Barcelona, Spain; [Giusti, Giovanni] Univ Pompeu Fabra, Tecnocampus Mataro, Barcelona, Spain"/>
    <s v="Universitat Ramon Llull; Escuela Superior de Administracion y Direccion de Empresas (ESADE); Pompeu Fabra University"/>
    <s v="López-López, D (corresponding author), ESADE Business Sch, Barcelona, Spain."/>
    <s v="david.lopez1@esade.edu"/>
    <s v="Lopez-Lopez, David/GXW-1814-2022; Lopez-Lopez, David/AAE-7283-2021; López-López, David/AAC-4086-2022"/>
    <s v="Lopez-Lopez, David/0000-0003-4459-275X; Giusti, Giovanni/0000-0001-8983-7525"/>
    <s v=""/>
    <s v=""/>
    <s v=""/>
    <s v=""/>
    <n v="33"/>
    <n v="7"/>
    <n v="7"/>
    <n v="6"/>
    <n v="33"/>
    <s v="ROUTLEDGE JOURNALS, TAYLOR &amp; FRANCIS LTD"/>
    <s v="ABINGDON"/>
    <s v="2-4 PARK SQUARE, MILTON PARK, ABINGDON OX14 4RN, OXON, ENGLAND"/>
    <s v="1051-712X"/>
    <s v="1547-0628"/>
    <s v=""/>
    <s v="J BUS-BUS MARK"/>
    <s v="J. Bus.-Bus. Mark."/>
    <s v="APR 2"/>
    <n v="2020"/>
    <n v="27"/>
    <n v="2"/>
    <s v=""/>
    <s v=""/>
    <s v=""/>
    <s v=""/>
    <n v="175"/>
    <n v="186"/>
    <s v=""/>
    <s v="10.1080/1051712X.2020.1748377"/>
    <s v="http://dx.doi.org/10.1080/1051712X.2020.1748377"/>
    <s v=""/>
    <s v=""/>
    <n v="12"/>
    <s v="Business"/>
    <x v="0"/>
    <s v="Business &amp; Economics"/>
    <s v="LM9SH"/>
    <s v=""/>
    <s v=""/>
    <s v=""/>
    <s v=""/>
    <s v="2023-11-15"/>
    <x v="188"/>
    <s v="View Full Record in Web of Science"/>
  </r>
  <r>
    <s v="J"/>
    <s v="Czauderna, A; Budke, A"/>
    <s v=""/>
    <s v=""/>
    <s v=""/>
    <s v="Czauderna, Andre; Budke, Alexandra"/>
    <s v=""/>
    <s v=""/>
    <s v="How Digital Strategy and Management Games Can Facilitate the Practice of Dynamic Decision-Making"/>
    <s v="EDUCATION SCIENCES"/>
    <s v=""/>
    <s v=""/>
    <s v="English"/>
    <x v="0"/>
    <s v=""/>
    <s v=""/>
    <s v=""/>
    <s v=""/>
    <s v=""/>
    <s v="decision-making; polytelic conflicts; problem-solving; digital games; game-based learning; gameplay loop; game design; geography education research; qualitative research"/>
    <s v="GAMEPLAY LOOP METHODOLOGY"/>
    <s v="This paper examines how digital strategy and management games that have been initially designed for entertainment can facilitate the practice of dynamic decision-making. Based on a comparative qualitative analysis of 17 games-organized into categories derived from a conceptual model of decision-making design-this article illustrates two ways in which these games may be useful in supporting the learning of dynamic decision-making in educational practice: (1) Players must take over the role of a decider and solve situations in which players must pursue different conflicting goals by making a continuous series of decisions on a variety of actions and measures; (2) three of the features of the games are considered to structure players' practice of decision-making and foster processes of learning through the curation of possible decisions, the offering of lucid feedback and the modification of time. This article also highlights the games' shortcomings, from an educational perspective, as players' decisions are restricted by the numbers of choices they can make within the game, and certain choices are rewarded more than others. An educational application of the games must, therefore, entail a critical reflection of players' limited choices inside a necessarily biased system."/>
    <s v="[Czauderna, Andre] TH Koln, Cologne Game Lab, Schanzenstr 28, D-51063 Cologne, Germany; [Budke, Alexandra] Univ Cologne, Inst Geog Educ, Gronewaldstr 2, D-50931 Cologne, Germany"/>
    <s v="University of Cologne"/>
    <s v="Czauderna, A (corresponding author), TH Koln, Cologne Game Lab, Schanzenstr 28, D-51063 Cologne, Germany."/>
    <s v="andre.czauderna@th-koeln.de; alexandra.budke@uni-koeln.de"/>
    <s v=""/>
    <s v="Budke, Alexandra/0000-0003-1063-8991; Czauderna, Andre/0000-0002-1091-5656"/>
    <s v="German Federal Ministry of Education and Research (BMBF) [01JD1810A]"/>
    <s v="German Federal Ministry of Education and Research (BMBF)(Federal Ministry of Education &amp; Research (BMBF))"/>
    <s v="This research was funded by the German Federal Ministry of Education and Research (BMBF), grant number 01JD1810A."/>
    <s v=""/>
    <n v="37"/>
    <n v="7"/>
    <n v="7"/>
    <n v="1"/>
    <n v="7"/>
    <s v="MDPI"/>
    <s v="BASEL"/>
    <s v="ST ALBAN-ANLAGE 66, CH-4052 BASEL, SWITZERLAND"/>
    <s v=""/>
    <s v="2227-7102"/>
    <s v=""/>
    <s v="EDUC SCI"/>
    <s v="Educ. Sci."/>
    <s v="APR"/>
    <n v="2020"/>
    <n v="10"/>
    <n v="4"/>
    <s v=""/>
    <s v=""/>
    <s v=""/>
    <s v=""/>
    <s v=""/>
    <s v=""/>
    <n v="99"/>
    <s v="10.3390/educsci10040099"/>
    <s v="http://dx.doi.org/10.3390/educsci10040099"/>
    <s v=""/>
    <s v=""/>
    <n v="24"/>
    <s v="Education &amp; Educational Research"/>
    <x v="3"/>
    <s v="Education &amp; Educational Research"/>
    <s v="LO8QD"/>
    <s v=""/>
    <s v="Green Published, gold"/>
    <s v=""/>
    <s v=""/>
    <s v="2023-11-15"/>
    <x v="189"/>
    <s v="View Full Record in Web of Science"/>
  </r>
  <r>
    <s v="J"/>
    <s v="Krona, M"/>
    <s v=""/>
    <s v=""/>
    <s v=""/>
    <s v="Krona, Michael"/>
    <s v=""/>
    <s v=""/>
    <s v="Collaborative Media Practices and Interconnected Digital Strategies of Islamic State (IS) and Pro-IS Supporter Networks on Telegram"/>
    <s v="INTERNATIONAL JOURNAL OF COMMUNICATION"/>
    <s v=""/>
    <s v=""/>
    <s v="English"/>
    <x v="0"/>
    <s v=""/>
    <s v=""/>
    <s v=""/>
    <s v=""/>
    <s v=""/>
    <s v="social media; propaganda; Islamic State; Telegram; collaborative media; terrorism; participatory media; affordances"/>
    <s v=""/>
    <s v="No previous organization has managed to execute such a widespread and sophisticated model for producing and distributing propaganda as the Islamic State (IS), relying on digital participation from supporters on a global scale. In 2015, IS and its supporters started using the encrypted application Telegram. On pro-IS channels, supporters are currently managing virtual communities in which an ideological bolstering and recontextualization of official propaganda are apparent on a daily basis. Through a digital ethnographic approach and covert observation of IS's official and supporter channels on Telegram for six months in 2017, this article aims to present findings on what characterizes the symbiotic relationship between official IS channels and supporter (pro-IS) channels and content. The conjunctures and collaborative media practices and affordances surrounding official and supporter channels on Telegram are discussed as manifestations of contemporary digital warfare. In addition, this article provides a wider theoretical understanding of IS's use of Telegram as an expression of a participatory media culture in which the contemporary relationship between the IS's central organization and its supporters constitutes a significant shift in modern online terrorism."/>
    <s v="[Krona, Michael] Malmo Univ, Malmo, Sweden"/>
    <s v="Malmo University"/>
    <s v="Krona, M (corresponding author), Malmo Univ, Malmo, Sweden."/>
    <s v="michael.krona@mau.se"/>
    <s v=""/>
    <s v=""/>
    <s v=""/>
    <s v=""/>
    <s v=""/>
    <s v=""/>
    <n v="39"/>
    <n v="7"/>
    <n v="7"/>
    <n v="0"/>
    <n v="9"/>
    <s v="USC ANNENBERG PRESS"/>
    <s v="LOS ANGELES"/>
    <s v="UNIV SOUTHERN CALIFORNIA, KERCKHOFF HALL, 734 W ADAMS BLVD, MC7725, LOS ANGELES, CA 90089 USA"/>
    <s v="1932-8036"/>
    <s v=""/>
    <s v=""/>
    <s v="INT J COMMUN-US"/>
    <s v="Int. J. Commun."/>
    <s v=""/>
    <n v="2020"/>
    <n v="14"/>
    <s v=""/>
    <s v=""/>
    <s v=""/>
    <s v=""/>
    <s v=""/>
    <n v="1888"/>
    <n v="1910"/>
    <s v=""/>
    <s v=""/>
    <s v=""/>
    <s v=""/>
    <s v=""/>
    <n v="23"/>
    <s v="Communication"/>
    <x v="0"/>
    <s v="Communication"/>
    <s v="LD1CX"/>
    <s v=""/>
    <s v=""/>
    <s v=""/>
    <s v=""/>
    <s v="2023-11-15"/>
    <x v="190"/>
    <s v="View Full Record in Web of Science"/>
  </r>
  <r>
    <s v="J"/>
    <s v="Richter, JG; Chehab, G; Kiltz, U; Callhoff, J; Voormann, A; Lorenz, HM; Schneider, M; Specker, C"/>
    <s v=""/>
    <s v=""/>
    <s v=""/>
    <s v="Richter, Jutta G.; Chehab, Gamal; Kiltz, Uta; Callhoff, Johanna; Voormann, Anna; Lorenz, Hanns-Martin; Schneider, Matthias; Specker, Christof"/>
    <s v=""/>
    <s v=""/>
    <s v="Digital Health in the Rheumatology - Status Survey 2018/19"/>
    <s v="DEUTSCHE MEDIZINISCHE WOCHENSCHRIFT"/>
    <s v=""/>
    <s v=""/>
    <s v="German"/>
    <x v="0"/>
    <s v=""/>
    <s v=""/>
    <s v=""/>
    <s v=""/>
    <s v=""/>
    <s v="digital health; Rheumatologie; Versorgungsforschung; digital health; rheumatology; health services research"/>
    <s v="CARE; ARTHRITIS; LUPUS"/>
    <s v="Was ist neu? Stand der Dinge Innovationen in der Informations- und Kommunikationstechnologie haben in der Rheumatologie eine jahrzehntelange Tradition, die Deutsche Gesellschaft fur Rheumatologie hat im Jahr 2018 die Kommission Digitale Rheumatologie gegrundet. Digitale Anwendungen in der deutschen Rheumatologie Mobile Datenerfassung rheumatologischer Patienten ist valide moglich. Sie eroffnet damit neuartige Moglichkeiten bei der Umsetzung moderner Behandlungsstrategien. Zum Screening auf entzundlich-rheumatische Systemerkrankungen stehen Interessierten z.B. mit dem Rheuma-Check und dem Bechterew-Check jederzeit digitale Anwendungen zur Verfugung. Die digitalen Angebote sowie moderne Netzwerkstrukturen erlauben eine Triage der Patienten. Mit dem Rhekiss- und dem RABBIT-SpA-Register stehen erstmals vollstandig digitalisierte Register zur Verfugung, die kurzfristig Daten zu Fragestellungen liefern, die in klinischen Studien der pharmazeutischen Industrie nicht abgebildet werden. Ausblick Durch die Digitalisierung in der Rheumatologie konnen wichtige Fragen der Versorgungsforschung zukunftig deutlich schneller beantwortet werden. Abstract State of the art Innovations in information and communication technology have been used in rheumatology for many years. In 2018 the German Society for Rheumatology established the Commission Digital Rheumatology. Digital applications in German Rheumatology Mobile data acquisition in rheumatological patients is feasible. It offers innovative possibilities in the implementation of modern treatment strategies. Digital applications such as the Rheuma Check and the Bechterew Check are available to the public at any time to screen for inflammatory rheumatic diseases. Other digital services and modern networks allow a triage of patients. Rhekiss and RABBIT SpA are the first fully digitalised registries to provide short-term data on issues that are not covered by clinical trials of pharmaceutical companies. Outlook Digitalization in Rheumatology will provide much faster answers to important questions in healthcare research in the future."/>
    <s v="[Richter, Jutta G.; Chehab, Gamal; Schneider, Matthias] Heinrich Heine Univ Dusseldorf, Univ Klinikum Dusseldorf, Med Fak, Poliklin,Funkt Bereich, Moorenstr 5, D-40225 Dusseldorf, Germany; [Richter, Jutta G.; Chehab, Gamal; Schneider, Matthias] Heinrich Heine Univ Dusseldorf, Univ Klinikum Dusseldorf, Med Fak, Hiller Forschungszentrum Rheumatol, Moorenstr 5, D-40225 Dusseldorf, Germany; [Kiltz, Uta] Rheumazentrum Ruhrgebiet, Herne, Germany; [Kiltz, Uta] Ruhr Univ Bochum, Bochum, Germany; [Callhoff, Johanna] Deutsch Rheuma Forschungszentrum, Berlin, Germany; [Voormann, Anna] Deutsch Gesell Rheumatol, Berlin, Germany; [Lorenz, Hanns-Martin] Univ Klinikum Heidelberg, Med Klin 5, Sekt Rheumatol, Heidelberg, Germany; [Specker, Christof] Klin Essen Mitte, Klin Rheumatol &amp; Klin Immunol, Evangel Krankenhaus, Essen, Germany"/>
    <s v="Heinrich Heine University Dusseldorf; Heinrich Heine University Dusseldorf Hospital; Heinrich Heine University Dusseldorf; Heinrich Heine University Dusseldorf Hospital; Rheumazentrum Ruhrgebiet; Ruhr University Bochum; Ruhr University Bochum; Deutsches Rheuma-Forschungszentrum (DRFZ); Ruprecht Karls University Heidelberg; Kliniken Essen-Mitte"/>
    <s v="Richter, JG (corresponding author), Heinrich Heine Univ Dusseldorf, Univ Klinikum Dusseldorf, Med Fak, Poliklin,Funkt Bereich, Moorenstr 5, D-40225 Dusseldorf, Germany.;Richter, JG (corresponding author), Heinrich Heine Univ Dusseldorf, Univ Klinikum Dusseldorf, Med Fak, Hiller Forschungszentrum Rheumatol, Moorenstr 5, D-40225 Dusseldorf, Germany."/>
    <s v="richter@rheumanet.org"/>
    <s v="Chehab, Gamal/AAP-5698-2021; Specker, Christof/GNP-2957-2022; owoyele, babajide/AAD-7054-2020; Specker, Christof/ABE-6317-2021; Richter, Jutta G/AAA-5054-2021; Richter, Jutta G./AHA-3103-2022"/>
    <s v="Chehab, Gamal/0000-0001-7309-2370; owoyele, babajide/0000-0002-3688-5248; Richter, Jutta G./0000-0001-8194-3243; Callhoff, Johanna/0000-0002-3923-2728; Specker, Christof/0000-0003-2504-3229"/>
    <s v=""/>
    <s v=""/>
    <s v=""/>
    <s v=""/>
    <n v="25"/>
    <n v="7"/>
    <n v="7"/>
    <n v="0"/>
    <n v="6"/>
    <s v="GEORG THIEME VERLAG KG"/>
    <s v="STUTTGART"/>
    <s v="RUDIGERSTR 14, D-70469 STUTTGART, GERMANY"/>
    <s v="0012-0472"/>
    <s v="1439-4413"/>
    <s v=""/>
    <s v="DEUT MED WOCHENSCHR"/>
    <s v="Dtsch. Med. Wochenschr."/>
    <s v="APR"/>
    <n v="2019"/>
    <n v="144"/>
    <n v="7"/>
    <s v=""/>
    <s v=""/>
    <s v=""/>
    <s v=""/>
    <n v="464"/>
    <n v="469"/>
    <s v=""/>
    <s v="10.1055/a-0740-8773"/>
    <s v="http://dx.doi.org/10.1055/a-0740-8773"/>
    <s v=""/>
    <s v=""/>
    <n v="6"/>
    <s v="Medicine, General &amp; Internal"/>
    <x v="2"/>
    <s v="General &amp; Internal Medicine"/>
    <s v="HS1FS"/>
    <n v="30925601"/>
    <s v=""/>
    <s v=""/>
    <s v=""/>
    <s v="2023-11-15"/>
    <x v="191"/>
    <s v="View Full Record in Web of Science"/>
  </r>
  <r>
    <s v="J"/>
    <s v="Ribeiro, SS; Rezende, DA; Yao, JT"/>
    <s v=""/>
    <s v=""/>
    <s v=""/>
    <s v="Ribeiro, Sergio Silva; Rezende, Denis Alcides; Yao, Jingtao"/>
    <s v=""/>
    <s v=""/>
    <s v="Toward a model of the municipal evidence-based decision process in the strategic digital city context"/>
    <s v="INFORMATION POLITY"/>
    <s v=""/>
    <s v=""/>
    <s v="English"/>
    <x v="0"/>
    <s v=""/>
    <s v=""/>
    <s v=""/>
    <s v=""/>
    <s v=""/>
    <s v="Decision process; municipal strategies; municipal public services; information technology resources; evidence-based management; strategic digital city"/>
    <s v="MANAGEMENT; CITIES; PARTICIPATION; INFORMATION; SCIENCE; SYSTEMS"/>
    <s v="Technological and connected modern cities demand effective decisions by managers that are aligned with citizens demands. The strategic digital city that comprises strategies, information, services, and information technology resources can provide the necessary context so that decisions based on evidence are made possible at the municipal level of management. The objective of this study is to propose a municipal decision process model in the context of the strategic digital city. The research methodology employed was qualitative and applied to circumstantial theoretical reality, emphasizing exploratory and descriptive methods aided by bibliographic and documentary survey along with the non-participatory observation of the variables that make up the model. Similar models were identified and analyzed. The municipal decision process in the context of the strategic digital city was built from three constructs: decision, evidence, and strategic digital city. These constructs are interconnected by their thirteen variables, which are related to the conceptual base of the model developed. The conclusion reinforces the importance of using evidence to support the decision process, making it one of the strategic elements for digital cities aiming at improving their citizens quality of life."/>
    <s v="[Ribeiro, Sergio Silva; Yao, Jingtao] Univ Regina, Dept Comp Sci, Regina, SK, Canada; [Rezende, Denis Alcides] Pontificia Univ Catolica Parana, Urban Management Postgrad Program, Curitiba, Parana, Brazil"/>
    <s v="University of Regina; Pontificia Universidade Catolica do Parana"/>
    <s v="Ribeiro, SS (corresponding author), Univ Regina, Dept Comp Sci, Regina, SK, Canada."/>
    <s v="professor@sergioribeiro.com.br"/>
    <s v="Yao, JingTao/A-8483-2008; Rezende, Denis Alcides/AAR-2488-2021"/>
    <s v="Yao, JingTao/0000-0002-7823-4136; Rezende, Denis Alcides/0000-0002-3327-0424"/>
    <s v=""/>
    <s v=""/>
    <s v=""/>
    <s v=""/>
    <n v="150"/>
    <n v="7"/>
    <n v="8"/>
    <n v="2"/>
    <n v="11"/>
    <s v="IOS PRESS"/>
    <s v="AMSTERDAM"/>
    <s v="NIEUWE HEMWEG 6B, 1013 BG AMSTERDAM, NETHERLANDS"/>
    <s v="1570-1255"/>
    <s v="1875-8754"/>
    <s v=""/>
    <s v="INFORM POLITY"/>
    <s v="Inf. Polity"/>
    <s v=""/>
    <n v="2019"/>
    <n v="24"/>
    <n v="3"/>
    <s v=""/>
    <s v=""/>
    <s v=""/>
    <s v=""/>
    <n v="305"/>
    <n v="324"/>
    <s v=""/>
    <s v="10.3233/IP-190129"/>
    <s v="http://dx.doi.org/10.3233/IP-190129"/>
    <s v=""/>
    <s v=""/>
    <n v="20"/>
    <s v="Information Science &amp; Library Science"/>
    <x v="3"/>
    <s v="Information Science &amp; Library Science"/>
    <s v="IW2OM"/>
    <s v=""/>
    <s v=""/>
    <s v=""/>
    <s v=""/>
    <s v="2023-11-15"/>
    <x v="192"/>
    <s v="View Full Record in Web of Science"/>
  </r>
  <r>
    <s v="J"/>
    <s v="Arostegi, M; Torre-Bastida, A; Bilbao, MN; Del Ser, J"/>
    <s v=""/>
    <s v=""/>
    <s v=""/>
    <s v="Arostegi, Maria; Torre-Bastida, Ana; Nekane Bilbao, Miren; Del Ser, Javier"/>
    <s v=""/>
    <s v=""/>
    <s v="A heuristic approach to the multicriteria design of IaaS cloud infrastructures for Big Data applications"/>
    <s v="EXPERT SYSTEMS"/>
    <s v=""/>
    <s v=""/>
    <s v="English"/>
    <x v="0"/>
    <s v=""/>
    <s v=""/>
    <s v=""/>
    <s v=""/>
    <s v=""/>
    <s v="Big Data; Cloud Computing; IaaS; multiobjective heuristics; NSGA-II"/>
    <s v="NSGA-II; PERFORMANCE; ALGORITHM; SELECTION; FUTURE; SYSTEM"/>
    <s v="The rapid growth of new computing paradigms such as Cloud Computing and Big Data has unleashed great opportunities for companies to shift their business model towards a fully digital strategy. A major obstacle in this matter is the requirement of highly specialized ICT infrastructures that are expensive and difficult to manage. It is at this point that the IaaS (infrastructure as a service) model offers an efficient and cost-affordable solution to supply companies with their required computing resources. In the Big Data context, it is often a hard task to design an optimal IaaS solution that meets user requirements. In this context, we propose a methodology to optimize the definition of IaaS cloud models for hosting Big Data platforms, following a threefold criterion: cost, reliability, and computing capacity. Specifically, the proposed methodology hinges on evolutionary heuristics in order to find IaaS configurations in the cloud that optimally balance such objectives. We also define measures to quantify the aforementioned metrics over a Big Data platform hosted within an IaaS cloud model. The proposed method is validated by using real information from three IaaS providers and three Big Data platforms. The obtained results provide an insightful input for system managers when initially designing cloud infrastructures for Big Data applications."/>
    <s v="[Arostegi, Maria; Torre-Bastida, Ana; Del Ser, Javier] TECNALIA, OPTIMA Dept, Derio, Spain; [Nekane Bilbao, Miren; Del Ser, Javier] Univ Basque Country, UPV EHU, Dept Commun Engn, Bilbao, Spain; [Del Ser, Javier] BCAM, Data Sci Grp, Bilbao, Spain"/>
    <s v="University of Basque Country"/>
    <s v="Del Ser, J (corresponding author), TECNALIA, Derio 48160, Bizkaia, Spain."/>
    <s v="javier.delser@tecnalia.com"/>
    <s v="Del Ser, Javier/AAA-2965-2021"/>
    <s v="Del Ser, Javier/0000-0002-1260-9775; BILBAO MARON, MIREN NEKANE/0000-0002-0519-8728; Arostegi, Maria/0000-0001-6691-4276; Torre-Bastida, Phd. Ana I./0000-0003-3005-1100"/>
    <s v="Basque Government under the ELKARTEK program (BID3ABI project)"/>
    <s v="Basque Government under the ELKARTEK program (BID3ABI project)"/>
    <s v="This work has been funded in part by the Basque Government under the ELKARTEK program (BID3ABI project)."/>
    <s v=""/>
    <n v="55"/>
    <n v="7"/>
    <n v="7"/>
    <n v="0"/>
    <n v="20"/>
    <s v="WILEY"/>
    <s v="HOBOKEN"/>
    <s v="111 RIVER ST, HOBOKEN 07030-5774, NJ USA"/>
    <s v="0266-4720"/>
    <s v="1468-0394"/>
    <s v=""/>
    <s v="EXPERT SYST"/>
    <s v="Expert Syst."/>
    <s v="OCT"/>
    <n v="2018"/>
    <n v="35"/>
    <n v="5"/>
    <s v=""/>
    <s v=""/>
    <s v="SI"/>
    <s v=""/>
    <s v=""/>
    <s v=""/>
    <s v="e12259"/>
    <s v="10.1111/exsy.12259"/>
    <s v="http://dx.doi.org/10.1111/exsy.12259"/>
    <s v=""/>
    <s v=""/>
    <n v="12"/>
    <s v="Computer Science, Artificial Intelligence; Computer Science, Theory &amp; Methods"/>
    <x v="2"/>
    <s v="Computer Science"/>
    <s v="GW0MF"/>
    <s v=""/>
    <s v=""/>
    <s v=""/>
    <s v=""/>
    <s v="2023-11-15"/>
    <x v="193"/>
    <s v="View Full Record in Web of Science"/>
  </r>
  <r>
    <s v="J"/>
    <s v="Meinich-Bache, O; Engan, K; Birkenes, TS; Myklebust, H"/>
    <s v=""/>
    <s v=""/>
    <s v=""/>
    <s v="Meinich-Bache, Oyvind; Engan, Kjersti; Birkenes, Tonje Soraas; Myklebust, Helge"/>
    <s v=""/>
    <s v=""/>
    <s v="Real-Time Chest Compression Quality Measurements by Smartphone Camera"/>
    <s v="JOURNAL OF HEALTHCARE ENGINEERING"/>
    <s v=""/>
    <s v=""/>
    <s v="English"/>
    <x v="0"/>
    <s v=""/>
    <s v=""/>
    <s v=""/>
    <s v=""/>
    <s v=""/>
    <s v=""/>
    <s v="RESUSCITATION COUNCIL GUIDELINES; HOSPITAL CARDIAC-ARREST; BASIC LIFE-SUPPORT; CARDIOPULMONARY-RESUSCITATION; FEEDBACK DEVICE; CPR; ASSOCIATION; PERFORMANCE; STATEMENT; OUTCOMES"/>
    <s v="Out-of-hospital cardiac arrest (OHCA) is recognized as a global mortality challenge, and digital strategies could contribute to increase the chance of survival. In this paper, we investigate if cardiopulmonary resuscitation (CPR) quality measurement using smartphone video analysis in real-time is feasible for a range of conditions. With the use of a web-connected smartphone application which utilizes the smartphone camera, we detect inactivity and chest compressions and measure chest compression rate with real-time feedback to both the caller who performs chest compressions and over the web to the dispatcher who coaches the caller on chest compressions. The application estimates compression rate with 0.5 s update interval, time to first stable compression rate (TFSCR), active compression time (TC), hands-off time (TWC), average compression rate (ACR), and total number of compressions (NC). Four experiments were performed to test the accuracy of the calculated chest compression rate under different conditions, and a fifth experiment was done to test the accuracy of the CPR summary parameters TFSCR, TC, TWC, ACR, and NC. Average compression rate detection error was 2.7 compressions per minute (+/- 5.0 cpm), the calculated chest compression rate was within +/- 10 cpm in 98% (+/- 5.5) of the time, and the average error of the summary CPR parameters was 4.5% (+/- 3.6). The results show that real-time chest compression quality measurement by smartphone camera in simulated cardiac arrest is feasible under the conditions tested."/>
    <s v="[Meinich-Bache, Oyvind; Engan, Kjersti] Univ Stavanger, Kjell Arholmsgate 41, N-4036 Stavanger, Norway; [Birkenes, Tonje Soraas; Myklebust, Helge] Laerdal Med, Tanke Svilands Gate 30, N-4002 Stavanger, Norway"/>
    <s v="Universitetet i Stavanger"/>
    <s v="Meinich-Bache, O (corresponding author), Univ Stavanger, Kjell Arholmsgate 41, N-4036 Stavanger, Norway."/>
    <s v="oyvind.meinich-bache@uis.no"/>
    <s v="Engan, Kjersti/AFU-6843-2022"/>
    <s v="Engan, Kjersti/0000-0002-8970-0067; Birkenes, Tonje Soraas/0000-0001-8736-5122; Meinich-Bache, Oyvind/0000-0002-9264-027X"/>
    <s v="University of Stavanger; Laerdal Medical"/>
    <s v="University of Stavanger; Laerdal Medical"/>
    <s v="We want to thank Solveig Haukas Haaland, (Laerdal Medical) for help with planning and execution of experiments and (omas Hinna (BI Builders) and Daniel Vartdal (Webstep Stavanger) for help with real-time implementation of the algorithm in an android app. The study and application development was funded by University of Stavanger and Laerdal Medical."/>
    <s v=""/>
    <n v="37"/>
    <n v="7"/>
    <n v="8"/>
    <n v="1"/>
    <n v="1"/>
    <s v="HINDAWI LTD"/>
    <s v="LONDON"/>
    <s v="ADAM HOUSE, 3RD FLR, 1 FITZROY SQ, LONDON, W1T 5HF, ENGLAND"/>
    <s v="2040-2295"/>
    <s v="2040-2309"/>
    <s v=""/>
    <s v="J HEALTHC ENG"/>
    <s v="J. Healthc. Eng."/>
    <s v=""/>
    <n v="2018"/>
    <n v="2018"/>
    <s v=""/>
    <s v=""/>
    <s v=""/>
    <s v=""/>
    <s v=""/>
    <s v=""/>
    <s v=""/>
    <n v="6241856"/>
    <s v="10.1155/2018/6241856"/>
    <s v="http://dx.doi.org/10.1155/2018/6241856"/>
    <s v=""/>
    <s v=""/>
    <n v="12"/>
    <s v="Health Care Sciences &amp; Services"/>
    <x v="2"/>
    <s v="Health Care Sciences &amp; Services"/>
    <s v="GZ9MM"/>
    <n v="30581549"/>
    <s v="Green Published, Green Submitted, gold"/>
    <s v=""/>
    <s v=""/>
    <s v="2023-11-15"/>
    <x v="194"/>
    <s v="View Full Record in Web of Science"/>
  </r>
  <r>
    <s v="J"/>
    <s v="Grau, BE"/>
    <s v=""/>
    <s v=""/>
    <s v=""/>
    <s v="Enguix Grau, Begonya"/>
    <s v=""/>
    <s v=""/>
    <s v="Activism and Digital Practices in the Construction of an LGTB Sphere in Spain"/>
    <s v="DADOS-REVISTA DE CIENCIAS SOCIAIS"/>
    <s v=""/>
    <s v=""/>
    <s v="Spanish"/>
    <x v="0"/>
    <s v=""/>
    <s v=""/>
    <s v=""/>
    <s v=""/>
    <s v=""/>
    <s v="digital practices; social networks; LGTB activism; mobilization; communities"/>
    <s v="WOMEN"/>
    <s v="Based on the anthropological interrogation into communities and the construction of a public sphere, this article approaches the digital strategies used to shape what may be referred to as the Spanish LGTB sphere. I consider LGTB activism as the main producer of legitimized social discourse, and have therefore analyzed the websites of seven LGTB collectives and other digital resources in order to examine the articulation of digital and non-digital practices, based on a shared knowledge evoking collective identities and feeding activism. In combining anthropological fieldwork on activism and digital ethnographies for virtual environments, I suggest that despite their intensive use of digital resources, the LGTB sphere still largely depends on traditional social networks. As a consequence, the article questions the usefulness of conceiving of digital and non-digital relations as separate and distinct and discusses this embeddedness as a main feature of contemporary activism."/>
    <s v="[Enguix Grau, Begonya] Univ Oberta Catalunya, Barcelona, Spain"/>
    <s v="UOC Universitat Oberta de Catalunya"/>
    <s v="Grau, BE (corresponding author), Univ Oberta Catalunya, Barcelona, Spain."/>
    <s v="benguix@uoc.edu"/>
    <s v=""/>
    <s v="Enguix, Begonya/0000-0002-5020-9019"/>
    <s v=""/>
    <s v=""/>
    <s v=""/>
    <s v=""/>
    <n v="62"/>
    <n v="7"/>
    <n v="10"/>
    <n v="1"/>
    <n v="14"/>
    <s v="INST UNIV PESQUISAS RIO DE JANEIRO-IUPERJ"/>
    <s v="RIO DE JANEIRO"/>
    <s v="RUA DA MATRIZ 82, BOTAFOGO, RIO DE JANEIRO, 22260.100, BRAZIL"/>
    <s v="0011-5258"/>
    <s v="1678-4588"/>
    <s v=""/>
    <s v="DADOS-REV CIENC SOC"/>
    <s v="Dados-Rev. Cienc. Sociais"/>
    <s v="JUL-SEP"/>
    <n v="2016"/>
    <n v="59"/>
    <n v="3"/>
    <s v=""/>
    <s v=""/>
    <s v=""/>
    <s v=""/>
    <n v="755"/>
    <n v="822"/>
    <s v=""/>
    <s v="10.1590/00115258201691"/>
    <s v="http://dx.doi.org/10.1590/00115258201691"/>
    <s v=""/>
    <s v=""/>
    <n v="67"/>
    <s v="Social Sciences, Interdisciplinary"/>
    <x v="0"/>
    <s v="Social Sciences - Other Topics"/>
    <s v="EH0EY"/>
    <s v=""/>
    <s v="Green Submitted, Green Published, gold"/>
    <s v=""/>
    <s v=""/>
    <s v="2023-11-15"/>
    <x v="195"/>
    <s v="View Full Record in Web of Science"/>
  </r>
  <r>
    <s v="J"/>
    <s v="Colbjornsen, T"/>
    <s v=""/>
    <s v=""/>
    <s v=""/>
    <s v="Colbjornsen, Terje"/>
    <s v=""/>
    <s v=""/>
    <s v="Digital divergence: analysing strategy, interpretation and controversy in the case of the introduction of an ebook reader technology"/>
    <s v="INFORMATION COMMUNICATION &amp; SOCIETY"/>
    <s v=""/>
    <s v=""/>
    <s v="English"/>
    <x v="0"/>
    <s v=""/>
    <s v=""/>
    <s v=""/>
    <s v=""/>
    <s v=""/>
    <s v="digital publishing; mobile technology; innovation; technology strategy; e-commerce"/>
    <s v="ACTOR-NETWORKS; COMMUNICATION"/>
    <s v="What happens when a media innovation encounters the marketplace in the form of critical bloggers and commentators? This paper adapts conceptual frameworks from science and technology studies - particularly actor-network theory (ANT) and social construction of technology (SCOT) - in order to analyse the process of introducing new media devices and the role of users and mediators in this process, by way of an empirically based study on digital strategy and marketing by a traditional book industry actor. The case studied is the Kibano Digireader, introduced to the Norwegian book market in 2011 and immediately heavily criticized. Looking into the role of tech bloggers and social media pundits, the paper argues that the success of consumer technologies relies upon an alignment with particular social groups, and their perceptions of relevance and demand. I further argue that the specific insights gained on book industry digitalization are applicable across other media industries and aim at a theoretical contribution by discussing and applying ANT/SCOT concepts on new media development. Based on analyses of press coverage and social media commentaries from November 2011, the paper addresses the following questions: What were the perceived demands and problems intended to be solved by the Digireader? How did the controversy over the Digireader play out and what arguments were raised against and in favour of the device? How can the social media commentators be categorized in terms of their engagement with and interpretation of the Digireader?"/>
    <s v="Univ Oslo, Dept Media &amp; Commun, N-0317 Oslo, Norway"/>
    <s v="University of Oslo"/>
    <s v="Colbjornsen, T (corresponding author), Univ Oslo, Dept Media &amp; Commun, POB 1093, N-0317 Oslo, Norway."/>
    <s v="terjeco@media.uio.no"/>
    <s v=""/>
    <s v="Colbjornsen, Terje/0000-0001-5849-2851"/>
    <s v=""/>
    <s v=""/>
    <s v=""/>
    <s v=""/>
    <n v="38"/>
    <n v="7"/>
    <n v="7"/>
    <n v="0"/>
    <n v="115"/>
    <s v="ROUTLEDGE JOURNALS, TAYLOR &amp; FRANCIS LTD"/>
    <s v="ABINGDON"/>
    <s v="2-4 PARK SQUARE, MILTON PARK, ABINGDON OX14 4RN, OXON, ENGLAND"/>
    <s v="1369-118X"/>
    <s v="1468-4462"/>
    <s v=""/>
    <s v="INFORM COMMUN SOC"/>
    <s v="Info. Commun. Soc."/>
    <s v="JAN 2"/>
    <n v="2015"/>
    <n v="18"/>
    <n v="1"/>
    <s v=""/>
    <s v=""/>
    <s v=""/>
    <s v=""/>
    <n v="32"/>
    <n v="47"/>
    <s v=""/>
    <s v="10.1080/1369118X.2014.924982"/>
    <s v="http://dx.doi.org/10.1080/1369118X.2014.924982"/>
    <s v=""/>
    <s v=""/>
    <n v="16"/>
    <s v="Communication; Sociology"/>
    <x v="0"/>
    <s v="Communication; Sociology"/>
    <s v="AR0CP"/>
    <s v=""/>
    <s v=""/>
    <s v=""/>
    <s v=""/>
    <s v="2023-11-15"/>
    <x v="196"/>
    <s v="View Full Record in Web of Science"/>
  </r>
  <r>
    <s v="J"/>
    <s v="Coyne, B; Devitt, N; Lyons, S; Mccoy, S"/>
    <s v=""/>
    <s v=""/>
    <s v=""/>
    <s v="Coyne, Bryan; Devitt, Niamh; Lyons, Sean; McCoy, Selina"/>
    <s v=""/>
    <s v=""/>
    <s v="Perceived benefits and barriers to the use of high-speed broadband in Ireland's second-level schools"/>
    <s v="IRISH EDUCATIONAL STUDIES"/>
    <s v=""/>
    <s v=""/>
    <s v="English"/>
    <x v="0"/>
    <s v=""/>
    <s v=""/>
    <s v=""/>
    <s v=""/>
    <s v=""/>
    <s v="high-speed broadband; ICT barriers; second-level education; student learning; ICT integration"/>
    <s v="ICT; TECHNOLOGY; EDUCATION; INTEGRATION; IMPACT"/>
    <s v="As part of Ireland's National Digital Strategy, high-speed broadband is being rolled out to all second-level schools to support greater use of information and communication technology (ICT) in education. This programme signals a move from slow and unreliable broadband connections for many schools to a guaranteed high-speed connection with technical support. Theoretically, this should allow for behaviours and pedagogies to adapt, incorporating ICT into education. Research shows that integrating ICT into teaching and learning is a gradual process for most teachers and is influenced by a complex mix of socio-technical factors. Our data set consists of survey data from teachers and principals from a sample of second-level schools. The survey collected factual and attitudinal variables including attitudes towards ICT integration, current availability of infrastructure and barriers to ICT use, before schools received high-speed broadband connectivity. We examine the factors influencing teachers' attitudes to ICT and their perceived barriers in adopting new technologies in their day-to-day teaching. Analysis of this baseline period is essential in an iterative digital strategy, informing future strategies, targeting policy most effectively and achieving policy objectives. While attitudes towards the potential of high-speed broadband and use of ICT are consistently positive across sub groups of schools and teachers, perceived barriers to ICT usage differ."/>
    <s v="[Coyne, Bryan; Devitt, Niamh] Econ &amp; Social Res Inst, Econ Anal Div, Dublin, Ireland; [Lyons, Sean; McCoy, Selina] Econ &amp; Social Res Inst, Dublin, Ireland; [Lyons, Sean; McCoy, Selina] Trinity Coll Dublin, Dublin, Ireland"/>
    <s v="Economic &amp; Social Research Institute (ESRI); Economic &amp; Social Research Institute (ESRI); Trinity College Dublin"/>
    <s v="Mccoy, S (corresponding author), Econ &amp; Social Res Inst, Dublin, Ireland.;Mccoy, S (corresponding author), Trinity Coll Dublin, Dublin, Ireland."/>
    <s v="selina.mccoy@esri.ie"/>
    <s v="McCoy, Selina/ABC-9817-2020; Lyons, Sean/AAH-7579-2019"/>
    <s v="McCoy, Selina/0000-0001-8774-4018; Lyons, Sean/0000-0002-3526-6947"/>
    <s v="ESRI Programme of Research in Communications; Ireland's Department for Communications, Energy and Natural Resources; Commission for Communications Regulation"/>
    <s v="ESRI Programme of Research in Communications; Ireland's Department for Communications, Energy and Natural Resources; Commission for Communications Regulation"/>
    <s v="This research was funded by the ESRI Programme of Research in Communications, with contributions from Ireland's Department for Communications, Energy and Natural Resources and the Commission for Communications Regulation. The usual disclaimer applies."/>
    <s v=""/>
    <n v="29"/>
    <n v="7"/>
    <n v="7"/>
    <n v="1"/>
    <n v="6"/>
    <s v="ROUTLEDGE JOURNALS, TAYLOR &amp; FRANCIS LTD"/>
    <s v="ABINGDON"/>
    <s v="2-4 PARK SQUARE, MILTON PARK, ABINGDON OX14 4RN, OXON, ENGLAND"/>
    <s v="0332-3315"/>
    <s v="1747-4965"/>
    <s v=""/>
    <s v="IRISH EDUC STUD"/>
    <s v="Ir. Educ. Stud."/>
    <s v=""/>
    <n v="2015"/>
    <n v="34"/>
    <n v="4"/>
    <s v=""/>
    <s v=""/>
    <s v=""/>
    <s v=""/>
    <n v="355"/>
    <n v="378"/>
    <s v=""/>
    <s v="10.1080/03323315.2015.1128348"/>
    <s v="http://dx.doi.org/10.1080/03323315.2015.1128348"/>
    <s v=""/>
    <s v=""/>
    <n v="24"/>
    <s v="Education &amp; Educational Research"/>
    <x v="0"/>
    <s v="Education &amp; Educational Research"/>
    <s v="DR3BD"/>
    <s v=""/>
    <s v="Green Submitted"/>
    <s v=""/>
    <s v=""/>
    <s v="2023-11-15"/>
    <x v="197"/>
    <s v="View Full Record in Web of Science"/>
  </r>
  <r>
    <s v="J"/>
    <s v="Prado, E"/>
    <s v=""/>
    <s v=""/>
    <s v=""/>
    <s v="Prado, Emili"/>
    <s v=""/>
    <s v=""/>
    <s v="The press in Catalonia: between the digital challenge and nation building"/>
    <s v="MEDIA CULTURE &amp; SOCIETY"/>
    <s v=""/>
    <s v=""/>
    <s v="English"/>
    <x v="0"/>
    <s v=""/>
    <s v=""/>
    <s v=""/>
    <s v=""/>
    <s v=""/>
    <s v="Catalonia; cultural identity; media; nation building; online strategies; press"/>
    <s v=""/>
    <s v="This article discusses the challenges facing the Catalan press in a context marked by the digitization and by a political process that demands independence. The media landscape in Catalonia is populated by media produced at Spanish level and at Catalan level, and this applies to the press, radio and television. Mainstream paid-for newspapers, available to the citizens of Catalonia produced at a national, regional, local or state level, whether written in Catalan or Spanish merit discussion. This kind of press is the most influential in the shaping of Catalonian public opinion and therefore plays a central role in the political debate on independence. In this context, newspapers in Catalonia are facing the crisis of the print-only business model and falling revenues from a declining readership base and the subsequent fall of advertising revenue. To face this problem, newspaper publishers are throwing themselves into digital strategies (web, tablet, mobile phones)."/>
    <s v="[Prado, Emili] Univ Autonoma Barcelona, E-08193 Barcelona, Spain"/>
    <s v="Autonomous University of Barcelona"/>
    <s v="Prado, E (corresponding author), Univ Autonoma Barcelona, Dept Comunicacio Audiovisual &amp; Publicitat, E-08193 Barcelona, Spain."/>
    <s v="Emili.Prado@uab.cat"/>
    <s v=""/>
    <s v="Prado, Emili/0000-0003-4871-2472"/>
    <s v=""/>
    <s v=""/>
    <s v=""/>
    <s v=""/>
    <n v="13"/>
    <n v="7"/>
    <n v="7"/>
    <n v="0"/>
    <n v="19"/>
    <s v="SAGE PUBLICATIONS LTD"/>
    <s v="LONDON"/>
    <s v="1 OLIVERS YARD, 55 CITY ROAD, LONDON EC1Y 1SP, ENGLAND"/>
    <s v="0163-4437"/>
    <s v="1460-3675"/>
    <s v=""/>
    <s v="MEDIA CULT SOC"/>
    <s v="Media Cult. Soc."/>
    <s v="JAN"/>
    <n v="2015"/>
    <n v="37"/>
    <n v="1"/>
    <s v=""/>
    <s v=""/>
    <s v=""/>
    <s v=""/>
    <n v="134"/>
    <n v="143"/>
    <s v=""/>
    <s v="10.1177/0163443714553563"/>
    <s v="http://dx.doi.org/10.1177/0163443714553563"/>
    <s v=""/>
    <s v=""/>
    <n v="10"/>
    <s v="Communication; Sociology"/>
    <x v="0"/>
    <s v="Communication; Sociology"/>
    <s v="AZ1IY"/>
    <s v=""/>
    <s v=""/>
    <s v=""/>
    <s v=""/>
    <s v="2023-11-15"/>
    <x v="198"/>
    <s v="View Full Record in Web of Science"/>
  </r>
  <r>
    <s v="J"/>
    <s v="de la Selva, ARA"/>
    <s v=""/>
    <s v=""/>
    <s v=""/>
    <s v="Rosa Alva de la Selva, Alma"/>
    <s v=""/>
    <s v=""/>
    <s v="The New Faces of Inequality in the 21st Century: The Digital Gap"/>
    <s v="REVISTA MEXICANA DE CIENCIAS POLITICAS Y SOCIALES"/>
    <s v=""/>
    <s v=""/>
    <s v="Spanish"/>
    <x v="0"/>
    <s v=""/>
    <s v=""/>
    <s v=""/>
    <s v=""/>
    <s v=""/>
    <s v="social inequality; Information and Knowledge Society, digital gap; digital agenda; National Digital Strategy; Mexico"/>
    <s v=""/>
    <s v="In the context of Information and Knowledge Society (iks) and global capitalism's world crisis, this work addresses the problems of the digital gap as an expression of inequalities in the 21st century. The precedents of the boom that this process began to gain in the last years of the 20th century are presented, as well as the proposals and projects developed by Latin American countries in order to build this new social order. The structural nature of the digital gap problem is emphasized, understanding it as a new inequality. The fundamental transformations of this concept are pointed out and, based on statistic data, some broad analysis points on the digital gap in Latin America and Mexico are presented."/>
    <s v="[Rosa Alva de la Selva, Alma] UNAM, Fac Ciencias Polit &amp; Sociales, Ctr Estudios Ciencias Comunicac, Mexicali, Baja California, Mexico; [Rosa Alva de la Selva, Alma] Asociac Mexicana Invest Comunicac, Mexicali, Baja California, Mexico"/>
    <s v="Universidad Nacional Autonoma de Mexico"/>
    <s v="de la Selva, ARA (corresponding author), UNAM, Fac Ciencias Polit &amp; Sociales, Ctr Estudios Ciencias Comunicac, Mexicali, Baja California, Mexico."/>
    <s v="alvadelaselva@hotmail.com"/>
    <s v=""/>
    <s v=""/>
    <s v=""/>
    <s v=""/>
    <s v=""/>
    <s v=""/>
    <n v="25"/>
    <n v="7"/>
    <n v="7"/>
    <n v="0"/>
    <n v="22"/>
    <s v="UNAM, FAC CIENCIAS POLITICAS &amp; SOCIALES"/>
    <s v="MEXICO CITY DF"/>
    <s v="CIUDAD UNIV, DIV ESTUDIOS POSGRADO, CIRCUITO MARIO DE LA CUEVA, MEXICO CITY DF, CP 04510, MEXICO"/>
    <s v="0185-1918"/>
    <s v=""/>
    <s v=""/>
    <s v="REV MEX CIENC POLIT"/>
    <s v="Rev. Mex. Cienc. Polit. Soc."/>
    <s v="JAN-APR"/>
    <n v="2015"/>
    <n v="60"/>
    <n v="223"/>
    <s v=""/>
    <s v=""/>
    <s v=""/>
    <s v=""/>
    <n v="265"/>
    <n v="285"/>
    <s v=""/>
    <s v=""/>
    <s v=""/>
    <s v=""/>
    <s v=""/>
    <n v="21"/>
    <s v="Social Sciences, Interdisciplinary"/>
    <x v="3"/>
    <s v="Social Sciences - Other Topics"/>
    <s v="CU4US"/>
    <s v=""/>
    <s v=""/>
    <s v=""/>
    <s v=""/>
    <s v="2023-11-15"/>
    <x v="199"/>
    <s v="View Full Record in Web of Science"/>
  </r>
  <r>
    <s v="J"/>
    <s v="Slaatta, T"/>
    <s v=""/>
    <s v=""/>
    <s v=""/>
    <s v="Slaatta, Tore"/>
    <s v=""/>
    <s v=""/>
    <s v="Print versus digital in Norwegian newspapers"/>
    <s v="MEDIA CULTURE &amp; SOCIETY"/>
    <s v=""/>
    <s v=""/>
    <s v="English"/>
    <x v="0"/>
    <s v=""/>
    <s v=""/>
    <s v=""/>
    <s v=""/>
    <s v=""/>
    <s v="digital news distribution; media change; media systems; newspapers; Norway; online news; print versus digital media"/>
    <s v=""/>
    <s v="The conversion of newspapers from print to digital is not taking place in a simple and direct way. In Norway at least, digital news distribution is still developing on the basis of the print media order. But at the same time, it is increasingly becoming a diversified and strategically nuanced logic of online news distribution. What is remarkable in the Norwegian situation is the stability in the high number of outlets and annual sales. It is argued that the Norwegian subsidy system is the most important cause for the high and stable number of newspapers. Indirectly, it also seems to support the development of a competitive market for the development of digital strategies. There is a high rate of innovation in the Norwegian media system, and this article looks into the different digital strategies in different types of newspapers and shows the emergence of a complex pattern of digital news distribution in the Norwegian media order."/>
    <s v="[Slaatta, Tore] Univ Oslo, N-0317 Oslo, Norway"/>
    <s v="University of Oslo"/>
    <s v="Slaatta, T (corresponding author), Univ Oslo, Dept Media &amp; Commun, POB 1093, N-0317 Oslo, Norway."/>
    <s v="tore.slaatta@media.uio.no"/>
    <s v=""/>
    <s v=""/>
    <s v=""/>
    <s v=""/>
    <s v=""/>
    <s v=""/>
    <n v="9"/>
    <n v="7"/>
    <n v="7"/>
    <n v="2"/>
    <n v="25"/>
    <s v="SAGE PUBLICATIONS LTD"/>
    <s v="LONDON"/>
    <s v="1 OLIVERS YARD, 55 CITY ROAD, LONDON EC1Y 1SP, ENGLAND"/>
    <s v="0163-4437"/>
    <s v="1460-3675"/>
    <s v=""/>
    <s v="MEDIA CULT SOC"/>
    <s v="Media Cult. Soc."/>
    <s v="JAN"/>
    <n v="2015"/>
    <n v="37"/>
    <n v="1"/>
    <s v=""/>
    <s v=""/>
    <s v=""/>
    <s v=""/>
    <n v="124"/>
    <n v="133"/>
    <s v=""/>
    <s v="10.1177/0163443714553566"/>
    <s v="http://dx.doi.org/10.1177/0163443714553566"/>
    <s v=""/>
    <s v=""/>
    <n v="10"/>
    <s v="Communication; Sociology"/>
    <x v="0"/>
    <s v="Communication; Sociology"/>
    <s v="AZ1IY"/>
    <s v=""/>
    <s v=""/>
    <s v=""/>
    <s v=""/>
    <s v="2023-11-15"/>
    <x v="200"/>
    <s v="View Full Record in Web of Science"/>
  </r>
  <r>
    <s v="S"/>
    <s v="Dalton, B; Jocius, R"/>
    <s v=""/>
    <s v="Ortlieb, E; Cheek, EH"/>
    <s v=""/>
    <s v="Dalton, Bridget; Jocius, Robin"/>
    <s v=""/>
    <s v=""/>
    <s v="FROM STRUGGLING READER TO DIGITAL READER AND MULTIMODAL COMPOSER"/>
    <s v="SCHOOL-BASED INTERVENTIONS FOR STRUGGLING READERS, K-8"/>
    <s v="Literacy Research Practice and Evaluation"/>
    <s v=""/>
    <s v="English"/>
    <x v="1"/>
    <s v=""/>
    <s v=""/>
    <s v=""/>
    <s v=""/>
    <s v=""/>
    <s v="Digital literacies; struggling readers; comprehension; multimodal composition; universal design for learning"/>
    <s v="TECHNOLOGY; VOCABULARY; LITERACY; STUDENTS; ENVIRONMENT; STRATEGIES; ENGLISH"/>
    <s v="Purpose - To introduce classroom teachers to an integrated digital literacies perspective and provide a range of strategies and tools to support struggling readers in becoming successful digital readers and multimodal composers. Design/methodology/approach - The chapter begins with the rationale for integrating technology to support struggling readers' achievement, explains universal design for learning principles, and then offers specific strategies, digital tools, and media for reading and composing. Findings - Provides research support for the use of technology to provide students' access to grade-level text, enhance comprehension, improve writing, and develop multimodal composition skills. Research limitations/implications - The authors do not address all areas of technology and literacy integration. Instead, they focus on key priority areas for using technology to develop struggling readers' literacy. Practical implications - The chapter provides theoretical and research-based strategies and digital resources for using technology to improve struggling readers' comprehension and composition that should be helpful to classroom teachers. Originality/value of chapter - Teachers need support in integrating technology and literacy in ways that will make a meaningful difference for their struggling readers' achievement and engagement."/>
    <s v="[Dalton, Bridget] Univ Colorado Boulder, Sch Educ, Literacy Studies, Boulder, CO 80309 USA; [Jocius, Robin] Vanderbilt Univ, Peabody Coll Educ, Dept Teaching &amp; Learning, Nashville, TN 37235 USA"/>
    <s v="University of Colorado System; University of Colorado Boulder; Vanderbilt University; Vanderbilt University Peabody College"/>
    <s v="Dalton, B (corresponding author), Univ Colorado Boulder, Sch Educ, Literacy Studies, Boulder, CO 80309 USA."/>
    <s v=""/>
    <s v=""/>
    <s v=""/>
    <s v=""/>
    <s v=""/>
    <s v=""/>
    <s v=""/>
    <n v="47"/>
    <n v="7"/>
    <n v="8"/>
    <n v="2"/>
    <n v="5"/>
    <s v="EMERALD GROUP PUBLISHING LTD"/>
    <s v="BINGLEY"/>
    <s v="HOWARD HOUSE, WAGON LANE, BINGLEY, W YORKSHIRE BD16 1WA, ENGLAND"/>
    <s v="2048-0458"/>
    <s v=""/>
    <s v="978-1-78190-697-2; 978-1-78190-696-5"/>
    <s v="LIT RES PRACT EVAL"/>
    <s v=""/>
    <s v=""/>
    <n v="2013"/>
    <n v="3"/>
    <s v=""/>
    <s v=""/>
    <s v=""/>
    <s v=""/>
    <s v=""/>
    <n v="79"/>
    <n v="97"/>
    <s v=""/>
    <s v="10.1108/S2048-0458(2013)0000003008"/>
    <s v="http://dx.doi.org/10.1108/S2048-0458(2013)0000003008"/>
    <s v="10.1108/S2048-0458(2013)3"/>
    <s v=""/>
    <n v="19"/>
    <s v="Education &amp; Educational Research; Education, Special"/>
    <x v="4"/>
    <s v="Education &amp; Educational Research"/>
    <s v="BE5JW"/>
    <s v=""/>
    <s v=""/>
    <s v=""/>
    <s v=""/>
    <s v="2023-11-15"/>
    <x v="201"/>
    <s v="View Full Record in Web of Science"/>
  </r>
  <r>
    <s v="J"/>
    <s v="Shojaei, RS; Burgess, G"/>
    <s v=""/>
    <s v=""/>
    <s v=""/>
    <s v="Shojaei, Reyhaneh S.; Burgess, Gemma"/>
    <s v=""/>
    <s v=""/>
    <s v="Non-technical inhibitors: Exploring the adoption of digital innovation in the UK construction industry"/>
    <s v="TECHNOLOGICAL FORECASTING AND SOCIAL CHANGE"/>
    <s v=""/>
    <s v=""/>
    <s v="English"/>
    <x v="0"/>
    <s v=""/>
    <s v=""/>
    <s v=""/>
    <s v=""/>
    <s v=""/>
    <s v="Digital innovation; Building Information Modelling (BIM); Construction industry; Digital Innovation Implementation Inhibitors; Socio-technical theory; Non -technical barriers"/>
    <s v="CRITICAL SUCCESS FACTORS; SOCIOTECHNICAL SYSTEMS; SECTORAL SYSTEMS; INFORMATION; BIM; IMPLEMENTATION; DYNAMICS; PROJECTS; TECHNOLOGIES; FRAMEWORK"/>
    <s v="Digital technologies, in particular, Building Information Modelling (BIM), are claimed to provide an effective and efficient solution for tackling the plethora of problems in the UK construction industry, including time and cost overruns, low quality, and inefficient use of resources. Despite the potential benefits and government promotion, the adoption of digital innovation in the construction sector remains low. An extensive range of existing liter-ature has discussed the constraints hampering the widespread uptake in the construction industry. However, most provide quantitative data, preferring to focus on the technical constraints; only a few examine the theo-retical framework underpinning the barriers to increased adoption. This study responds to the call of Davis et al. (2014) to apply socio-technical theory to new areas, and uses a qualitative approach to explore the non-technical barriers to the take up of digital innovation in the construction industry. A number of non-technical barriers that constrain industry uptake (e.g., sociocultural, individual) were identified in a series of interviews, and are grouped under six analytical dimensions, encompassing people, culture, process and procedure, technology, goals and infrastructure. Our findings show that collaborative culture, driven leaders with a human-centric mindset who believe in the changes being implemented, and workforce training and upskilling are all needed for the successful adoption of digital technology in construction firms. Making managers and the wider workforce aware of the benefits of digital innovation results in enhanced perceptions of, and openness to, the adoption of new technologies. Creating a clear digital strategy, early involvement of the supply chain, keeping employees on board during the digitisation journey, and effective communication and coordination, help construction com-panies to tackle challenges related to process and procedure."/>
    <s v="[Shojaei, Reyhaneh S.; Burgess, Gemma] Univ Cambridge, Cambridge Ctr Housing &amp; Planning Res, Dept Land Econ, 19 Silver St, Cambridge CB3 9EP, England; [Shojaei, Reyhaneh S.] Univ Cambridge, Ctr Digital Built Britain, 21 JJ Thomson Ave, Cambridge CB3 0FA, England"/>
    <s v="University of Cambridge; University of Cambridge"/>
    <s v="Shojaei, RS (corresponding author), Univ Cambridge, Cambridge Ctr Housing &amp; Planning Res, Dept Land Econ, 19 Silver St, Cambridge CB3 9EP, England.;Shojaei, RS (corresponding author), Univ Cambridge, Ctr Digital Built Britain, 21 JJ Thomson Ave, Cambridge CB3 0FA, England."/>
    <s v="rss64@cam.ac.uk; glb36@cam.ac.uk"/>
    <s v=""/>
    <s v="Shojaei, Reyhaneh/0000-0003-1897-8245"/>
    <s v="UK Research and Innovation through the Industrial Strategy Fund"/>
    <s v="UK Research and Innovation through the Industrial Strategy Fund"/>
    <s v="This research forms part of the Centre for Digital Built Britain's (CDBB) work at the University of Cambridge within the Construction Innovation Hub. The Construction Innovation Hub is funded by UK Research and Innovation through the Industrial Strategy Fund."/>
    <s v=""/>
    <n v="93"/>
    <n v="6"/>
    <n v="6"/>
    <n v="23"/>
    <n v="84"/>
    <s v="ELSEVIER SCIENCE INC"/>
    <s v="NEW YORK"/>
    <s v="STE 800, 230 PARK AVE, NEW YORK, NY 10169 USA"/>
    <s v="0040-1625"/>
    <s v="1873-5509"/>
    <s v=""/>
    <s v="TECHNOL FORECAST SOC"/>
    <s v="Technol. Forecast. Soc. Chang."/>
    <s v="DEC"/>
    <n v="2022"/>
    <n v="185"/>
    <s v=""/>
    <s v=""/>
    <s v=""/>
    <s v=""/>
    <s v=""/>
    <s v=""/>
    <s v=""/>
    <n v="122036"/>
    <s v="10.1016/j.techfore.2022.122036"/>
    <s v="http://dx.doi.org/10.1016/j.techfore.2022.122036"/>
    <s v=""/>
    <s v="SEP 2022"/>
    <n v="13"/>
    <s v="Business; Regional &amp; Urban Planning"/>
    <x v="0"/>
    <s v="Business &amp; Economics; Public Administration"/>
    <s v="5A9OW"/>
    <s v=""/>
    <s v="hybrid, Green Published"/>
    <s v=""/>
    <s v=""/>
    <s v="2023-11-15"/>
    <x v="202"/>
    <s v="View Full Record in Web of Science"/>
  </r>
  <r>
    <s v="J"/>
    <s v="Gartner, J; Maresch, D; Tierney, R"/>
    <s v=""/>
    <s v=""/>
    <s v=""/>
    <s v="Gartner, Johannes; Maresch, Daniela; Tierney, Robert"/>
    <s v=""/>
    <s v=""/>
    <s v="The key to scaling in the digital era: Simultaneous automation, individualization and interdisciplinarity"/>
    <s v="JOURNAL OF SMALL BUSINESS MANAGEMENT"/>
    <s v=""/>
    <s v=""/>
    <s v="English"/>
    <x v="2"/>
    <s v=""/>
    <s v=""/>
    <s v=""/>
    <s v=""/>
    <s v=""/>
    <s v="Scaling; digital technologies; hybrid strategies; cost-leadership; differentiation; small businesses; explanatory case study"/>
    <s v="SUPERIOR FINANCIAL PERFORMANCE; COMPETITIVE STRATEGY; INFORMATION-TECHNOLOGY; KNOWLEDGE; INNOVATION; DIFFERENTIATION; DESIGN; USER; ENTREPRENEURSHIP; IMPLEMENTATION"/>
    <s v="In this paper, we develop a theoretical framework that explains how digital technologies can help small businesses generate competitive advantages for scaling. To gain and sustain competitive advantages, small businesses traditionally had to choose between cost leadership and differentiation strategies. Digital technologies enable small businesses to reduce their costs and at the same time enhance the value of their market offerings through differentiation. The aim of this paper is to explain the role of digital technologies in such hybrid strategies for small businesses. We first identify automation, individualization and interdisciplinarity as the three dimensions of digital technologies that together enable technology-driven firms to gain and sustain competitive advantages and to scale rapidly. Second, we integrate these three dimensions into a theoretical framework. Third, we test and confirm the theoretical framework in an explanatory case study and discuss the results."/>
    <s v="[Gartner, Johannes] Lund Univ, Sch Econ &amp; Management, Box 7080, SE-22007 Lund, Sweden; [Maresch, Daniela] Grenoble Ecole Management, Dept Management Technol &amp; Strategy, Grenoble, France; [Maresch, Daniela] Univ Southern Denmark, Dept Entrepreneurship &amp; Relationship Management, Odense, Denmark; [Tierney, Robert] Northern New Mexico Coll, Espanola, NM USA"/>
    <s v="Lund University; Grenoble Ecole Management; University of Southern Denmark"/>
    <s v="Gartner, J (corresponding author), Lund Univ, Sch Econ &amp; Management, Box 7080, SE-22007 Lund, Sweden."/>
    <s v="johannes.gartner@fek.lu.se"/>
    <s v=""/>
    <s v="Maresch, Daniela/0000-0002-1443-2520"/>
    <s v=""/>
    <s v=""/>
    <s v=""/>
    <s v=""/>
    <n v="100"/>
    <n v="6"/>
    <n v="6"/>
    <n v="12"/>
    <n v="49"/>
    <s v="TAYLOR &amp; FRANCIS INC"/>
    <s v="PHILADELPHIA"/>
    <s v="530 WALNUT STREET, STE 850, PHILADELPHIA, PA 19106 USA"/>
    <s v="0047-2778"/>
    <s v="1540-627X"/>
    <s v=""/>
    <s v="J SMALL BUS MANAGE"/>
    <s v="J. Small Bus. Manag."/>
    <s v="2022 MAY 28"/>
    <n v="2022"/>
    <s v=""/>
    <s v=""/>
    <s v=""/>
    <s v=""/>
    <s v=""/>
    <s v=""/>
    <s v=""/>
    <s v=""/>
    <s v=""/>
    <s v="10.1080/00472778.2022.2073361"/>
    <s v="http://dx.doi.org/10.1080/00472778.2022.2073361"/>
    <s v=""/>
    <s v="MAY 2022"/>
    <n v="28"/>
    <s v="Management"/>
    <x v="0"/>
    <s v="Business &amp; Economics"/>
    <s v="1N2VG"/>
    <s v=""/>
    <s v="hybrid"/>
    <s v=""/>
    <s v=""/>
    <s v="2023-11-15"/>
    <x v="203"/>
    <s v="View Full Record in Web of Science"/>
  </r>
  <r>
    <s v="J"/>
    <s v="Nematollahi, S; Minter, DJ; Barlow, B; Nolan, NS; Spicer, JO; Wooten, D; Cortes-Penfield, N; Barlow, A; Chavez, MA; McCarty, T; Abdoler, E; Escota, GV"/>
    <s v=""/>
    <s v=""/>
    <s v=""/>
    <s v="Nematollahi, Saman; Minter, Daniel J.; Barlow, Brooke; Nolan, Nathanial S.; Spicer, Jennifer O.; Wooten, Darcy; Cortes-Penfield, Nicolas; Barlow, Ashley; Chavez, Miguel A.; McCarty, Todd; Abdoler, Emily; Escota, Gerome, V"/>
    <s v=""/>
    <s v=""/>
    <s v="The Digital Classroom: How to Leverage Social Media for Infectious Diseases Education"/>
    <s v="CLINICAL INFECTIOUS DISEASES"/>
    <s v=""/>
    <s v=""/>
    <s v="English"/>
    <x v="0"/>
    <s v=""/>
    <s v=""/>
    <s v=""/>
    <s v=""/>
    <s v=""/>
    <s v="social media; medical education; digital strategy; infectious diseases; virtual learning"/>
    <s v="12 TIPS; TWEETORIALS; SCHOLARSHIP; GUIDELINES; PHYSICIAN; TWITTER; VIDEOS"/>
    <s v="Social media (SoMe) platforms have been increasingly used by infectious diseases (ID) learners and educators in recent years. This trend has only accelerated with the changes brought to our educational spaces by the coronavirus disease 2019 pandemic. Given the increasingly diverse SoMe landscape, educators may find themselves struggling with how to effectively use these tools. In this Viewpoint we describe how to use SoMe platforms (e.g., Twitter, podcasts, and open-access online content portals) in medical education, highlight medical education theories supporting their use, and discuss how educators can engage with these learning tools effectively. We focus on how these platforms harness key principles of adult learning and provide a guide for educators in the effective use of SoMe tools in educating ID learners. Finally, we suggest how to effectively interact with and leverage these increasingly important digital platforms."/>
    <s v="[Nematollahi, Saman] Univ Arizona, Dept Med, Coll Med, Tucson, AZ USA; [Minter, Daniel J.] Univ Calif San Francisco, Dept Med, San Francisco, CA 94143 USA; [Barlow, Brooke] Univ Florida, Dept Pharm, Shands Hosp, Gainesville, FL USA; [Nolan, Nathanial S.; Chavez, Miguel A.; Escota, Gerome, V] Washington Univ, Dept Med, St Louis, MO USA; [Spicer, Jennifer O.] Emory Univ, Sch Med, Dept Med, Atlanta, GA USA; [Wooten, Darcy] Univ Calif San Diego, Dept Med, San Diego, CA 92103 USA; [Cortes-Penfield, Nicolas] Univ Nebraska Med Ctr, Dept Med, Omaha, NE USA; [Barlow, Ashley] MD Anderson Canc Ctr, Dept Pharm, Houston, TX USA; [McCarty, Todd] Univ Alabama Birmingham, Dept Med, Birmingham, AL 35294 USA; [Abdoler, Emily] Univ Michigan, Dept Med, Ann Arbor, MI 48109 USA"/>
    <s v="University of Arizona; University of California System; University of California San Francisco; State University System of Florida; University of Florida; Washington University (WUSTL); Emory University; University of California System; University of California San Diego; University of Nebraska System; University of Nebraska Medical Center; University of Texas System; UTMD Anderson Cancer Center; University of Alabama System; University of Alabama Birmingham; University of Michigan System; University of Michigan"/>
    <s v="Nematollahi, S (corresponding author), 1501 N Campbell Ave,POB 245039, Tucson, AZ 85724 USA."/>
    <s v="snematol@email.arizona.edu"/>
    <s v="Chávez, Miguel/HZJ-1612-2023; Barlow, Brooke/GZM-7960-2022"/>
    <s v="Chávez, Miguel/0000-0001-7849-343X; Abdoler, Emily/0000-0002-0938-0527; Spicer, Jennifer/0000-0002-5565-9617"/>
    <s v="Infectious Diseases Society of America"/>
    <s v="Infectious Diseases Society of America"/>
    <s v="This supplement is supported by the Infectious Diseases Society of America."/>
    <s v=""/>
    <n v="40"/>
    <n v="6"/>
    <n v="6"/>
    <n v="1"/>
    <n v="5"/>
    <s v="OXFORD UNIV PRESS INC"/>
    <s v="CARY"/>
    <s v="JOURNALS DEPT, 2001 EVANS RD, CARY, NC 27513 USA"/>
    <s v="1058-4838"/>
    <s v="1537-6591"/>
    <s v=""/>
    <s v="CLIN INFECT DIS"/>
    <s v="Clin. Infect. Dis."/>
    <s v="MAY 15"/>
    <n v="2022"/>
    <n v="74"/>
    <s v="SUPPL 3"/>
    <s v=""/>
    <n v="3"/>
    <s v="SI"/>
    <s v=""/>
    <s v="S237"/>
    <s v="S243"/>
    <s v=""/>
    <s v="10.1093/cid/ciac048"/>
    <s v="http://dx.doi.org/10.1093/cid/ciac048"/>
    <s v=""/>
    <s v=""/>
    <n v="7"/>
    <s v="Immunology; Infectious Diseases; Microbiology"/>
    <x v="2"/>
    <s v="Immunology; Infectious Diseases; Microbiology"/>
    <s v="1H0SY"/>
    <n v="35568480"/>
    <s v="Green Published, Bronze"/>
    <s v=""/>
    <s v=""/>
    <s v="2023-11-15"/>
    <x v="204"/>
    <s v="View Full Record in Web of Science"/>
  </r>
  <r>
    <s v="J"/>
    <s v="Huda, M"/>
    <s v=""/>
    <s v=""/>
    <s v=""/>
    <s v="Huda, Miftachul"/>
    <s v=""/>
    <s v=""/>
    <s v="Digital marketplace for tourism resilience in the pandemic age: voices from budget hotel customers"/>
    <s v="INTERNATIONAL JOURNAL OF ORGANIZATIONAL ANALYSIS"/>
    <s v=""/>
    <s v=""/>
    <s v="English"/>
    <x v="0"/>
    <s v=""/>
    <s v=""/>
    <s v=""/>
    <s v=""/>
    <s v=""/>
    <s v="Organisation strategy; Tourism resilience sustainability; Pandemic age; Beliefs; Practices and experiences; Malaysian budget hotel"/>
    <s v="SERVICE; INSIGHTS"/>
    <s v="Purpose This paper aims to examine the initiative of low-price hotels, budget hotels, in Malaysia, to restore the financial sustainability through empowering the digital marketplace strategy in the tourism resilience sector. Giving an open accessibility to customers for achieving their venue with a low price and have a friendly service comes from initiating the digital marketplace arrangement. Design/methodology/approach This study focuses on what is the importance of the digital marketplace strategy for tourism resilience in the pandemic age and how is it important. The data come from qualitative interview from one couple, husband and wife, regarding the budget hotel operation practice in the city of Sri Iskandar, the Perak state of Malaysia. Findings The findings revealed the importance of initiating the strategy of digital marketplace in enabling the customers' personalised decision towards the tourism destination they prefer based on their needs of low-cost and proper service. There are three main points, namely the importance of digital marketplace for tourism market enhancement, readiness of digital marketplace for tourism market enhancement and continued capacity to strategize digital marketplace for tourism market enhancement. The initiative to commit with applying for the resilience for tourism sustainability in the pandemic age is important to ensure they can take a small advantage continually with the frequent customers' sustainability. Originality/value This paper is supposed to contribute in developing the resilience practice through advancing the strategy of digital marketplace in raising the tourism sector, budget hotel operators. The main occupation aims to empower resilience for tourism sustainability in the pandemic age, in order to recover the market in online platform."/>
    <s v="[Huda, Miftachul] Univ Pendidikan Sultan Idris, Fac Human Sci, Tanjung Malim, Malaysia"/>
    <s v="Universiti Pendidikan Sultan Idris"/>
    <s v="Huda, M (corresponding author), Univ Pendidikan Sultan Idris, Fac Human Sci, Tanjung Malim, Malaysia."/>
    <s v="halimelhuda@gmail.com"/>
    <s v="Huda, Miftachul/K-8125-2015"/>
    <s v="Huda, Miftachul/0000-0001-6712-0056"/>
    <s v=""/>
    <s v=""/>
    <s v=""/>
    <s v=""/>
    <n v="58"/>
    <n v="6"/>
    <n v="6"/>
    <n v="5"/>
    <n v="15"/>
    <s v="EMERALD GROUP PUBLISHING LTD"/>
    <s v="BINGLEY"/>
    <s v="HOWARD HOUSE, WAGON LANE, BINGLEY BD16 1WA, W YORKSHIRE, ENGLAND"/>
    <s v="1934-8835"/>
    <s v="1758-8561"/>
    <s v=""/>
    <s v="INT J ORGAN ANAL"/>
    <s v="Int. J. Organ. Anal."/>
    <s v="JAN 13"/>
    <n v="2023"/>
    <n v="31"/>
    <n v="1"/>
    <s v=""/>
    <s v=""/>
    <s v="SI"/>
    <s v=""/>
    <n v="149"/>
    <n v="167"/>
    <s v=""/>
    <s v="10.1108/IJOA-10-2021-2987"/>
    <s v="http://dx.doi.org/10.1108/IJOA-10-2021-2987"/>
    <s v=""/>
    <s v="MAY 2022"/>
    <n v="19"/>
    <s v="Management"/>
    <x v="3"/>
    <s v="Business &amp; Economics"/>
    <s v="7U3ZG"/>
    <s v=""/>
    <s v=""/>
    <s v=""/>
    <s v=""/>
    <s v="2023-11-15"/>
    <x v="205"/>
    <s v="View Full Record in Web of Science"/>
  </r>
  <r>
    <s v="J"/>
    <s v="Kim, K; Kim, B"/>
    <s v=""/>
    <s v=""/>
    <s v=""/>
    <s v="Kim, Kyungtae; Kim, Boyoung"/>
    <s v=""/>
    <s v=""/>
    <s v="Decision-Making Model for Reinforcing Digital Transformation Strategies Based on Artificial Intelligence Technology"/>
    <s v="INFORMATION"/>
    <s v=""/>
    <s v=""/>
    <s v="English"/>
    <x v="0"/>
    <s v=""/>
    <s v=""/>
    <s v=""/>
    <s v=""/>
    <s v=""/>
    <s v="digital transformation; AI technology; digital strategy; decision model; SERM model"/>
    <s v="DYNAMIC CAPABILITIES; INTEGRATION; INNOVATION"/>
    <s v="Firms' digital environment changes and industrial competitions have evolved quickly since the Fourth Industrial Revolution and the COVID-19 pandemic. Many companies are propelling company-wide digital transformation strategies based on artificial intelligence (AI) technology for the digital innovation of organizations and businesses. This study aims to define the factors affecting digital transformation strategies and present a decision-making model required for digital transformation strategies based on the definition. It also reviews previous AI technology and digital transformation strategies and draws influence factors. The research model drew four evaluation areas, such as subject, environment, resource, and mechanism, and 16 evaluation factors through the SERM model. After the factors were reviewed through the Delphi methods, a questionnaire survey was conducted targeting experts with over 10 years of work experience in the digital strategy field. The study results were produced by comparing the data's importance using an Analytic Hierarchy Process (AHP) on each group. According to the analysis, the subject was the most critical factor, and the CEO (top management) was more vital than the core talent or technical development organization. The importance was shown in the order of resource, mechanism and environment, following subject. It was ascertained that there were differences of importance in industrial competition and market digitalization in the demander and provider groups."/>
    <s v="[Kim, Kyungtae; Kim, Boyoung] Seoul Sch Integrated Sci &amp; Technol aSSIST, Seoul Business Sch, Seoul 03767, South Korea"/>
    <s v=""/>
    <s v="Kim, B (corresponding author), Seoul Sch Integrated Sci &amp; Technol aSSIST, Seoul Business Sch, Seoul 03767, South Korea."/>
    <s v="ktkim@stud.assistac.kr; bykim2@assist.ac.kr"/>
    <s v=""/>
    <s v=""/>
    <s v=""/>
    <s v=""/>
    <s v=""/>
    <s v=""/>
    <n v="65"/>
    <n v="6"/>
    <n v="6"/>
    <n v="12"/>
    <n v="42"/>
    <s v="MDPI"/>
    <s v="BASEL"/>
    <s v="ST ALBAN-ANLAGE 66, CH-4052 BASEL, SWITZERLAND"/>
    <s v=""/>
    <s v="2078-2489"/>
    <s v=""/>
    <s v="INFORMATION"/>
    <s v="Information"/>
    <s v="MAY"/>
    <n v="2022"/>
    <n v="13"/>
    <n v="5"/>
    <s v=""/>
    <s v=""/>
    <s v=""/>
    <s v=""/>
    <s v=""/>
    <s v=""/>
    <n v="253"/>
    <s v="10.3390/info13050253"/>
    <s v="http://dx.doi.org/10.3390/info13050253"/>
    <s v=""/>
    <s v=""/>
    <n v="15"/>
    <s v="Computer Science, Information Systems"/>
    <x v="3"/>
    <s v="Computer Science"/>
    <s v="1R4DD"/>
    <s v=""/>
    <s v="gold"/>
    <s v=""/>
    <s v=""/>
    <s v="2023-11-15"/>
    <x v="206"/>
    <s v="View Full Record in Web of Science"/>
  </r>
  <r>
    <s v="J"/>
    <s v="Marty, PF; Buchanan, V"/>
    <s v=""/>
    <s v=""/>
    <s v=""/>
    <s v="Marty, Paul F.; Buchanan, Vivian"/>
    <s v=""/>
    <s v=""/>
    <s v="Exploring the Contributions and Challenges of Museum Technology Professionals during the COVID-19 Crisis"/>
    <s v="CURATOR-THE MUSEUM JOURNAL"/>
    <s v=""/>
    <s v=""/>
    <s v="English"/>
    <x v="0"/>
    <s v=""/>
    <s v=""/>
    <s v=""/>
    <s v=""/>
    <s v=""/>
    <s v=""/>
    <s v=""/>
    <s v="This paper presents results from an online survey designed to explore the role of museum technology professionals during times of crisis such as the COVID-19 pandemic. The survey results offer an important first look at the contributions and challenges of museum technology professionals during a critical turning point in the history of museums. The analysis of these results provides insight into how museum technology professionals are affected during times of crisis, the contributions they can make to museums in crisis, and how they can better advocate their value to museum leadership in crisis situations. The research results demonstrate the need for museums to promote digital literacy skills, increase their investment in digital technologies, and develop the digital strategies they will need to respond to future crises head on."/>
    <s v="[Buchanan, Vivian] Florida State Univ, Sch Informat, Tallahassee, FL 32306 USA; [Marty, Paul F.] Florida State Univ, Sch Informat, Coll Commun &amp; Informat, Tallahassee, FL 32306 USA"/>
    <s v="State University System of Florida; Florida State University; State University System of Florida; Florida State University"/>
    <s v="Marty, PF (corresponding author), Florida State Univ, Sch Informat, Tallahassee, FL 32306 USA."/>
    <s v="marty@fsu.edu"/>
    <s v=""/>
    <s v="Marty, Paul/0000-0002-5948-5730"/>
    <s v=""/>
    <s v=""/>
    <s v=""/>
    <s v=""/>
    <n v="30"/>
    <n v="6"/>
    <n v="6"/>
    <n v="2"/>
    <n v="11"/>
    <s v="WILEY"/>
    <s v="HOBOKEN"/>
    <s v="111 RIVER ST, HOBOKEN 07030-5774, NJ USA"/>
    <s v="0011-3069"/>
    <s v="2151-6952"/>
    <s v=""/>
    <s v="CURATOR"/>
    <s v="Curator"/>
    <s v="JAN"/>
    <n v="2022"/>
    <n v="65"/>
    <n v="1"/>
    <s v=""/>
    <s v=""/>
    <s v=""/>
    <s v=""/>
    <n v="117"/>
    <n v="133"/>
    <s v=""/>
    <s v="10.1111/cura.12455"/>
    <s v="http://dx.doi.org/10.1111/cura.12455"/>
    <s v=""/>
    <s v="NOV 2021"/>
    <n v="17"/>
    <s v="Humanities, Multidisciplinary"/>
    <x v="6"/>
    <s v="Arts &amp; Humanities - Other Topics"/>
    <s v="YF2LE"/>
    <n v="35440824"/>
    <s v="Bronze, Green Published"/>
    <s v=""/>
    <s v=""/>
    <s v="2023-11-15"/>
    <x v="207"/>
    <s v="View Full Record in Web of Science"/>
  </r>
  <r>
    <s v="J"/>
    <s v="Tantscher, D; Mayer, B"/>
    <s v=""/>
    <s v=""/>
    <s v=""/>
    <s v="Tantscher, Dominik; Mayer, Barbara"/>
    <s v=""/>
    <s v=""/>
    <s v="Digital Retrofitting of legacy machines: A holistic procedure model for industrial companies"/>
    <s v="CIRP JOURNAL OF MANUFACTURING SCIENCE AND TECHNOLOGY"/>
    <s v=""/>
    <s v=""/>
    <s v="English"/>
    <x v="0"/>
    <s v=""/>
    <s v=""/>
    <s v=""/>
    <s v=""/>
    <s v=""/>
    <s v="Digital Transformation; Digital Retrofitting; Industry 4.0; Procedure model"/>
    <s v="VERIFICATION; VALIDATION; MANAGEMENT; INTERNET"/>
    <s v="Digital Transformation is a demanding evolutional process for industrial companies that touches all important business areas. A central role for the development towards a more flexible and efficient manufacture play production data. However, most machines in use lack a digital interface, such that they are not capable to connect in a network. Thus, data cannot be utilized. One solution from the technical perspective is Digital Retrofitting focusing on the implementation of additional sensors and edge devices to digitally connect the machine and transforming it into a cyber-physical system. This approach is also economically promising for companies since investing in new machines is far more expensive than the retrofitting of legacy systems. Nevertheless, industrial practice shows that Digital Retrofitting projects often do not lead to sustainable solutions because they lack integration into the digital transformation process. This paper thus introduces a holistic procedure model for Digital Retrofitting that is the result of an analysis and clustering of existing process models. The framework incorporates the perspectives on digital strategy, interdisciplinarity, change and lean management and, therefore, provides a guideline for companies leading to a more effective and efficient implementation process with sustainable impact. Furthermore, a description of a successful validation of the procedure model is given on the example of a condition monitoring use case in the Smart Production Lab of FH JOANNEUM. (C) 2021 CIRP."/>
    <s v="[Tantscher, Dominik; Mayer, Barbara] FH JOANNEUM, Inst Ind Management, A-8605 Kapfenberg, Austria"/>
    <s v=""/>
    <s v="Tantscher, D (corresponding author), FH JOANNEUM, Inst Ind Management, A-8605 Kapfenberg, Austria."/>
    <s v="dominik.tantscher@fh-joanneum.at; barbara.mayer@fh-joanneum.at"/>
    <s v=""/>
    <s v=""/>
    <s v=""/>
    <s v=""/>
    <s v=""/>
    <s v=""/>
    <n v="45"/>
    <n v="6"/>
    <n v="6"/>
    <n v="4"/>
    <n v="19"/>
    <s v="ELSEVIER"/>
    <s v="AMSTERDAM"/>
    <s v="RADARWEG 29, 1043 NX AMSTERDAM, NETHERLANDS"/>
    <s v="1755-5817"/>
    <s v="1878-0016"/>
    <s v=""/>
    <s v="CIRP J MANUF SCI TEC"/>
    <s v="CIRP J. Manuf. Sci. Technol."/>
    <s v="JAN"/>
    <n v="2022"/>
    <n v="36"/>
    <s v=""/>
    <s v=""/>
    <s v=""/>
    <s v=""/>
    <s v=""/>
    <s v=""/>
    <s v=""/>
    <s v=""/>
    <s v="10.1016/j.cirpj.2021.10.011"/>
    <s v="http://dx.doi.org/10.1016/j.cirpj.2021.10.011"/>
    <s v=""/>
    <s v="NOV 2021"/>
    <n v="10"/>
    <s v="Engineering, Manufacturing"/>
    <x v="2"/>
    <s v="Engineering"/>
    <s v="XB1RY"/>
    <s v=""/>
    <s v=""/>
    <s v=""/>
    <s v=""/>
    <s v="2023-11-15"/>
    <x v="208"/>
    <s v="View Full Record in Web of Science"/>
  </r>
  <r>
    <s v="J"/>
    <s v="He, ZX; Lu, WQ; Hua, GH; Wang, JM"/>
    <s v=""/>
    <s v=""/>
    <s v=""/>
    <s v="He, Zhengxia; Lu, Wenqi; Hua, Guihong; Wang, Jianming"/>
    <s v=""/>
    <s v=""/>
    <s v="Factors Affecting Enterprise Level Green Innovation Efficiency in the Digital Economy Era - Evidence from Listed Paper Enterprises in China"/>
    <s v="BIORESOURCES"/>
    <s v=""/>
    <s v=""/>
    <s v="English"/>
    <x v="0"/>
    <s v=""/>
    <s v=""/>
    <s v=""/>
    <s v=""/>
    <s v=""/>
    <s v="Green technology innovation; Media attention; Tobit model; Environmental regulation; Digital economy"/>
    <s v="SCALE"/>
    <s v="The Guidelines on Building a Market-Oriented Green Technology Innovation System, which was released by China in 2019, has become a powerful signal to guide the development of green technology innovation (GTI). In the current digital strategy of China, the public media has become a key factor for promoting the transparency of enterprise environmental information. This paper measures the GTI efficiency of the listed paper enterprises in China as well as incorporating media attention into the research framework to explore the influencing factors of GTI of the listed paper enterprises in China during the digital economy era. The results showed that a positive media report had a positive impact on GTI and has become a new driving factor in promoting sustainable production in the digital era. Government support and openness also have a positive impact on GTI. However, negative media reports, environmental regulations, and technological innovation abilities have an inhibitory effect on the GTI efficiency of paper making enterprises."/>
    <s v="[He, Zhengxia; Lu, Wenqi; Hua, Guihong; Wang, Jianming] Jiangsu Normal Univ, Xuzhou, Jiangsu, Peoples R China"/>
    <s v="Jiangsu Normal University"/>
    <s v="Hua, GH; Wang, JM (corresponding author), Jiangsu Normal Univ, Xuzhou, Jiangsu, Peoples R China."/>
    <s v="1035329325@qq.com; huaguihong@jsnu.edu.cn; sjwjm@zufe.edu.cn"/>
    <s v=""/>
    <s v=""/>
    <s v="National Social Science Fund of China [19BJL033]"/>
    <s v="National Social Science Fund of China"/>
    <s v="The authors gratefully acknowledge the financial support of The National Social Science Fund of China(19BJL033)."/>
    <s v=""/>
    <n v="72"/>
    <n v="6"/>
    <n v="6"/>
    <n v="14"/>
    <n v="150"/>
    <s v="NORTH CAROLINA STATE UNIV DEPT WOOD &amp; PAPER SCI"/>
    <s v="RALEIGH"/>
    <s v="CAMPUS BOX 8005, RALEIGH, NC 27695-8005 USA"/>
    <s v="1930-2126"/>
    <s v=""/>
    <s v=""/>
    <s v="BIORESOURCES"/>
    <s v="BioResources"/>
    <s v="NOV"/>
    <n v="2021"/>
    <n v="16"/>
    <n v="4"/>
    <s v=""/>
    <s v=""/>
    <s v=""/>
    <s v=""/>
    <n v="7647"/>
    <n v="7669"/>
    <s v=""/>
    <s v="10.15376/biores.16.4.7648-7670"/>
    <s v="http://dx.doi.org/10.15376/biores.16.4.7648-7670"/>
    <s v=""/>
    <s v=""/>
    <n v="23"/>
    <s v="Materials Science, Paper &amp; Wood"/>
    <x v="1"/>
    <s v="Materials Science"/>
    <s v="YS7KL"/>
    <s v=""/>
    <s v="gold"/>
    <s v=""/>
    <s v=""/>
    <s v="2023-11-15"/>
    <x v="209"/>
    <s v="View Full Record in Web of Science"/>
  </r>
  <r>
    <s v="J"/>
    <s v="Kondratieva, NB"/>
    <s v=""/>
    <s v=""/>
    <s v=""/>
    <s v="Kondratieva, N. B."/>
    <s v=""/>
    <s v=""/>
    <s v="EU Agricultural Digitalization Decalogue"/>
    <s v="HERALD OF THE RUSSIAN ACADEMY OF SCIENCES"/>
    <s v=""/>
    <s v=""/>
    <s v="English"/>
    <x v="0"/>
    <s v=""/>
    <s v=""/>
    <s v=""/>
    <s v=""/>
    <s v=""/>
    <s v="digital strategy; common agricultural policy; supranational regulation; COVID-19 pandemic; sustainable development; global climate change"/>
    <s v=""/>
    <s v="The aim of the article is to summarize the ideological foundations and to characterize the current stage of agricultural digitalization in the EU. The author identifies the framework documents and areas of discussion on the development of the digital strategy of the European Union in the agricultural sector. Taking into account the successful practice and opinions of the competent centers, an idea was formed about the principles and ten areas that are covered by supranational assistance, which form a kind of Decalogue of agricultural digitalization. The author notes that the regulation of digital transformation in agriculture is due not so much to the need to increase the economic efficiency of business processes, but rather to the intention to facilitate the control of their compliance with the criteria of climate neutrality and inclusiveness. The digitalization strategy of the Common agricultural policy (CAP) brings its goals closer to those of sustainable development. The ongoing crisis in Europe and the world caused by the COVID-19 coronavirus pandemic gives the European Commission a formal reason to step up digital transformation in agriculture. Relying on legal and investment-based regulatory tools, it uses tactics to force progress in the name of improving the sustainability of agriculture in the face of probable shocks."/>
    <s v="[Kondratieva, N. B.] Russian Acad Sci, Inst Europe, Moscow 125009, Russia"/>
    <s v="Institute of Europe RAS; Russian Academy of Sciences"/>
    <s v="Kondratieva, NB (corresponding author), Russian Acad Sci, Inst Europe, Moscow 125009, Russia."/>
    <s v="nkondratieva@inbox.ru"/>
    <s v=""/>
    <s v=""/>
    <s v=""/>
    <s v=""/>
    <s v=""/>
    <s v=""/>
    <n v="27"/>
    <n v="6"/>
    <n v="6"/>
    <n v="2"/>
    <n v="8"/>
    <s v="MAIK NAUKA/INTERPERIODICA/SPRINGER"/>
    <s v="NEW YORK"/>
    <s v="233 SPRING ST, NEW YORK, NY 10013-1578 USA"/>
    <s v="1019-3316"/>
    <s v="1555-6492"/>
    <s v=""/>
    <s v="HER RUSS ACAD SCI+"/>
    <s v="Her. Russ. Acad. Sci."/>
    <s v="NOV"/>
    <n v="2021"/>
    <n v="91"/>
    <n v="6"/>
    <s v=""/>
    <s v=""/>
    <s v=""/>
    <s v=""/>
    <n v="736"/>
    <n v="742"/>
    <s v=""/>
    <s v="10.1134/S1019331621060150"/>
    <s v="http://dx.doi.org/10.1134/S1019331621060150"/>
    <s v=""/>
    <s v=""/>
    <n v="7"/>
    <s v="History &amp; Philosophy Of Science; Multidisciplinary Sciences"/>
    <x v="2"/>
    <s v="History &amp; Philosophy of Science; Science &amp; Technology - Other Topics"/>
    <s v="YR9ZE"/>
    <n v="35125845"/>
    <s v="Green Published, Bronze"/>
    <s v=""/>
    <s v=""/>
    <s v="2023-11-15"/>
    <x v="210"/>
    <s v="View Full Record in Web of Science"/>
  </r>
  <r>
    <s v="J"/>
    <s v="Habelsberger, BEM; Bhansing, PV"/>
    <s v=""/>
    <s v=""/>
    <s v=""/>
    <s v="Habelsberger, Beatrix E. M.; Bhansing, Pawan, V"/>
    <s v=""/>
    <s v=""/>
    <s v="Art Galleries in Transformation: Is COVID-19 Driving Digitisation?"/>
    <s v="ARTS"/>
    <s v=""/>
    <s v=""/>
    <s v="English"/>
    <x v="0"/>
    <s v=""/>
    <s v=""/>
    <s v=""/>
    <s v=""/>
    <s v=""/>
    <s v="art galleries; art market; digital technology; multi-channel strategy; business model innovation"/>
    <s v="SPECIAL-ISSUE"/>
    <s v="Compared to other consumer goods markets, art galleries have long been reluctant to innovate through digitisation. However, the global outbreak of COVID-19 forces art galleries to reconsider the role of digital channels. This study aims to provide a better understanding of the art gallery business model and its related difficulties of integrating digital channels into marketing, communication, and sales. Twenty interviews with gallery owners and managers in Vienna and Salzburg were conducted. They were asked about their attitudes towards, opinions on, and experiences with digital channels, and how they reacted to the restrictions caused by COVID-19. The findings verify that COVID-19 has led galleries of any type to reconsider their digital strategy. We identified limitations with respect to digital channels: plain presentation of information online; lacking or distanced personal interaction; online anonymity that disconnects from the social art environment; increased information and price transparency; a more commercial appearance; limited resources for digital adaptations. Galleries striving to integrate digital channels into their business model should pay attention to ensuring that analogue, as well as digital, channels are integrated into a coherent system where personal contact and the physical location remain the core of the business."/>
    <s v="[Habelsberger, Beatrix E. M.; Bhansing, Pawan, V] Erasmus Univ, Erasmus Sch Hist Culture &amp; Commun, Dept Media &amp; Commun, NL-3000 DR Rotterdam, Netherlands"/>
    <s v="Erasmus University Rotterdam; Erasmus University Rotterdam - Excl Erasmus MC"/>
    <s v="Bhansing, PV (corresponding author), Erasmus Univ, Erasmus Sch Hist Culture &amp; Commun, Dept Media &amp; Commun, NL-3000 DR Rotterdam, Netherlands."/>
    <s v="habelsberger@outlook.com; bhansing@eshcc.eur.nl"/>
    <s v=""/>
    <s v=""/>
    <s v=""/>
    <s v=""/>
    <s v=""/>
    <s v=""/>
    <n v="58"/>
    <n v="6"/>
    <n v="6"/>
    <n v="3"/>
    <n v="31"/>
    <s v="MDPI"/>
    <s v="BASEL"/>
    <s v="ST ALBAN-ANLAGE 66, CH-4052 BASEL, SWITZERLAND"/>
    <s v=""/>
    <s v="2076-0752"/>
    <s v=""/>
    <s v="ARTS"/>
    <s v="Arts"/>
    <s v="SEP"/>
    <n v="2021"/>
    <n v="10"/>
    <n v="3"/>
    <s v=""/>
    <s v=""/>
    <s v=""/>
    <s v=""/>
    <s v=""/>
    <s v=""/>
    <n v="48"/>
    <s v="10.3390/arts10030048"/>
    <s v="http://dx.doi.org/10.3390/arts10030048"/>
    <s v=""/>
    <s v=""/>
    <n v="23"/>
    <s v="Humanities, Multidisciplinary"/>
    <x v="3"/>
    <s v="Arts &amp; Humanities - Other Topics"/>
    <s v="UV0ZQ"/>
    <s v=""/>
    <s v="gold"/>
    <s v=""/>
    <s v=""/>
    <s v="2023-11-15"/>
    <x v="211"/>
    <s v="View Full Record in Web of Science"/>
  </r>
  <r>
    <s v="J"/>
    <s v="Matricano, D; Castaldi, L; Sorrentino, M; Candelo, E"/>
    <s v=""/>
    <s v=""/>
    <s v=""/>
    <s v="Matricano, Diego; Castaldi, Laura; Sorrentino, Mario; Candelo, Elena"/>
    <s v=""/>
    <s v=""/>
    <s v="The behavior of managers handling digital business transformations: theoretical issues and preliminary evidence from firms in the manufacturing industry"/>
    <s v="INTERNATIONAL JOURNAL OF ENTREPRENEURIAL BEHAVIOR &amp; RESEARCH"/>
    <s v=""/>
    <s v=""/>
    <s v="English"/>
    <x v="0"/>
    <s v=""/>
    <s v=""/>
    <s v=""/>
    <s v=""/>
    <s v=""/>
    <s v="Digital business transformation; Organizational culture; Leadership; Manufacturing industry; Content analysis; Case studies"/>
    <s v="RESOURCE-BASED THEORY; COMPETING VALUES; DYNAMIC THEORY; KNOWLEDGE; LEADERSHIP; INNOVATION; STRATEGY; CULTURE; ORGANIZATION; TECHNOLOGY"/>
    <s v="Purpose Organizational culture plays a central role when dealing with the issue of digital business transformation (DBT). Managers handling a DBT and involved in digital strateging are expected to modify the organizational culture of firms to make it more fitting with the paradigm of digital economy and having more chance of success. Thus, it is noteworthy to inspect the role they can have over DBTs. Accordingly, the purpose of this paper is to investigate the behavior that managers assume when they approach DBTs by investigating whether they act as mentors/facilitators or entrepreneurs/innovators, as coordinators or decision makers. Design/methodology/approach To achieve the above purpose, ten case studies about manufacturing firms have been selected. Case studies, retrieved by the Digital Innovation Observatories of the School of Management of the Politecnico di Milano, are studied and analyzed by means of a qualitative content analysis on textual data. This allows getting specific insights into organizational culture before and after DBT and about the role played by managers. Findings Achieved results disclose that managers need to modify the organizational culture of their firms to handle a successful DBT. However, firms can assume different organizational culture and thus the role assumed by managers handling a DBT can change as well. Originality/value To the authors knowledge, this paper is among the first that aim to investigate the role that mangers assume when handling DBTs. In particular, originality lies in the fact that assumed roles are rebuilt in reference to their ability to modify organizational culture."/>
    <s v="[Matricano, Diego; Castaldi, Laura; Sorrentino, Mario] Univ Campania Luigi Vanvitelli, Dept Management, Caserta, Italy; [Candelo, Elena] Univ Torino, Dept Management, Turin, Italy"/>
    <s v="Universita della Campania Vanvitelli; University of Turin"/>
    <s v="Matricano, D (corresponding author), Univ Campania Luigi Vanvitelli, Dept Management, Caserta, Italy."/>
    <s v="diego.matricano@unicampania.it"/>
    <s v=""/>
    <s v=""/>
    <s v=""/>
    <s v=""/>
    <s v=""/>
    <s v=""/>
    <n v="97"/>
    <n v="6"/>
    <n v="6"/>
    <n v="4"/>
    <n v="65"/>
    <s v="EMERALD GROUP PUBLISHING LTD"/>
    <s v="BINGLEY"/>
    <s v="HOWARD HOUSE, WAGON LANE, BINGLEY BD16 1WA, W YORKSHIRE, ENGLAND"/>
    <s v="1355-2554"/>
    <s v="1758-6534"/>
    <s v=""/>
    <s v="INT J ENTREP BEHAV R"/>
    <s v="Int. J. Entrep. Behav. Res."/>
    <s v="JUL 8"/>
    <n v="2022"/>
    <n v="28"/>
    <n v="5"/>
    <s v=""/>
    <s v=""/>
    <s v="SI"/>
    <s v=""/>
    <n v="1292"/>
    <n v="1309"/>
    <s v=""/>
    <s v="10.1108/IJEBR-01-2021-0077"/>
    <s v="http://dx.doi.org/10.1108/IJEBR-01-2021-0077"/>
    <s v=""/>
    <s v="JUL 2021"/>
    <n v="18"/>
    <s v="Business; Management"/>
    <x v="0"/>
    <s v="Business &amp; Economics"/>
    <s v="2U2PR"/>
    <s v=""/>
    <s v=""/>
    <s v=""/>
    <s v=""/>
    <s v="2023-11-15"/>
    <x v="212"/>
    <s v="View Full Record in Web of Science"/>
  </r>
  <r>
    <s v="J"/>
    <s v="Nas, A"/>
    <s v=""/>
    <s v=""/>
    <s v=""/>
    <s v="Nas, Alparslan"/>
    <s v=""/>
    <s v=""/>
    <s v="Women in Mosques: mapping the gendered religious space through online activism"/>
    <s v="FEMINIST MEDIA STUDIES"/>
    <s v=""/>
    <s v=""/>
    <s v="English"/>
    <x v="0"/>
    <s v=""/>
    <s v=""/>
    <s v=""/>
    <s v=""/>
    <s v=""/>
    <s v="Gender; feminism; Islam; space; Turkey; online activism"/>
    <s v=""/>
    <s v="Initiated in October 2017 by a group of Muslim women in Turkey, the activism of Women in Mosques aims to increase public awareness regarding the gendered organization of the religious space. Turkey's patriarchal religious and cultural dynamics exhibit a gender-segregated organization of the mosque area, which treats men as the primary religious audience while isolating women in limited spaces. Using online tools such as their website and social media pages, Women in Mosques encourages women to participate in their digital campaign to reveal experiences of marginalization in mosques through testimonials. In addition to exposing the gendered and spatial ideology of the mosque that subordinates women, Women in Mosques also endeavors to employ potential means of resistance by fostering digital solidarity. This paper aims to analyze the bodily and digital strategies of women resisting the spatial organization of the religious space as a field of power. In this regard, the mapping of religious spaces through the representation of ideological spatiality and cartography constitutes the major strategies applied by activists to tackle the patriarchal making of the religious space."/>
    <s v="[Nas, Alparslan] Marmara Univ, Fac Commun, Goztepe Campus, TR-34722 Istanbul, Turkey"/>
    <s v="Marmara University"/>
    <s v="Nas, A (corresponding author), Marmara Univ, Fac Commun, Goztepe Campus, TR-34722 Istanbul, Turkey."/>
    <s v="alparslan.nas@marmara.edu.tr"/>
    <s v="Nas, Alparslan/H-1102-2018"/>
    <s v="Nas, Alparslan/0000-0002-1759-4357"/>
    <s v=""/>
    <s v=""/>
    <s v=""/>
    <s v=""/>
    <n v="29"/>
    <n v="6"/>
    <n v="6"/>
    <n v="0"/>
    <n v="13"/>
    <s v="ROUTLEDGE JOURNALS, TAYLOR &amp; FRANCIS LTD"/>
    <s v="ABINGDON"/>
    <s v="2-4 PARK SQUARE, MILTON PARK, ABINGDON OX14 4RN, OXON, ENGLAND"/>
    <s v="1468-0777"/>
    <s v="1471-5902"/>
    <s v=""/>
    <s v="FEM MEDIA STUD"/>
    <s v="Fem. Media Stud."/>
    <s v="JUL 4"/>
    <n v="2022"/>
    <n v="22"/>
    <n v="5"/>
    <s v=""/>
    <s v=""/>
    <s v=""/>
    <s v=""/>
    <n v="1163"/>
    <n v="1178"/>
    <s v=""/>
    <s v="10.1080/14680777.2021.1878547"/>
    <s v="http://dx.doi.org/10.1080/14680777.2021.1878547"/>
    <s v=""/>
    <s v="JAN 2021"/>
    <n v="16"/>
    <s v="Communication; Women's Studies"/>
    <x v="0"/>
    <s v="Communication; Women's Studies"/>
    <s v="4Y7TR"/>
    <s v=""/>
    <s v=""/>
    <s v=""/>
    <s v=""/>
    <s v="2023-11-15"/>
    <x v="213"/>
    <s v="View Full Record in Web of Science"/>
  </r>
  <r>
    <s v="J"/>
    <s v="Chib, A; Nguyen, H; Lin, DY"/>
    <s v=""/>
    <s v=""/>
    <s v=""/>
    <s v="Chib, Arul; Nguyen, Hoan; Lin, Daoyi"/>
    <s v=""/>
    <s v=""/>
    <s v="Provocation as Agentic Practice: Gender Performativity in Online Strategies of Transgender Sex Workers"/>
    <s v="JOURNAL OF COMPUTER-MEDIATED COMMUNICATION"/>
    <s v=""/>
    <s v=""/>
    <s v="English"/>
    <x v="0"/>
    <s v=""/>
    <s v=""/>
    <s v=""/>
    <s v=""/>
    <s v=""/>
    <s v="Agency; Identity; Internet; Intersectionality; Marginalization; Performativity"/>
    <s v="SOCIAL MEDIA; YOUNG-PEOPLE; IDENTITIES; DISCONNECTION; EXPERIENCES; CONNECTION; INTERNET; YOUTH"/>
    <s v="Fluid performances of gender online by gender-diverse individuals facing discrimination and fetishization raises questions about whether these acts are a source of empowerment or reinforce prevailing prejudice. We combine virtual ethnography and interviews with transwomen sex workers in Singapore (n=14) to explore the dynamic between sociostructural oppression and agentic resistance. First, heterosexual power relations manifest online via digital practices of access, surveillance, and intervention to discriminate against and objectify respondents' identities and bodies. Second, the online response can be categorized into specific digital practices of avoidance involving privacy and anonymity, accommodation via subtle practices of submission, and collaboration via community mobilization. Finally, gender performativity on sites for sex solicitation manifests in the presentation of both essentialist (submissive femininity) and provocative (hyper-sexual) embodiments, defying simplistic characterization into the structure-agency dynamic. We discuss the co-constructive nature of socially situated gender performances and the potential for challenging normative regimes of gender. Lay Summary Online spaces allow people to perform their gender more fluidly. We studied how gender-diverse people's online media use can lead to both personal empowerment and social oppression. Social forces oppress gender-diverse people through online harassment and abuse. We classify these progressively intrusive digital practices as access, surveillance, and intervention. However, gender-diverse people also respond to such oppression through digital strategies such as avoidance, accommodation, and collaboration. Transwomen sex workers in Singapore perform femininity online in submissive and hyper-sexual ways. Our material suggests that they do this to both affirm their transgender identities and also to attract customers. These nuances blur the line between individual choice and compliance with social demands. Indeed, the informants' quotes suggest that the digital strategies that seem to accommodate client desires may in fact empower these transwomen sex workers. Yet, it is uncertain if this individual empowerment leads to broader social change for gender-diverse communities."/>
    <s v="[Chib, Arul; Lin, Daoyi] Nanyang Technol Univ, Wee Kim Wee Sch Commun &amp; Informat, Singapore 637718, Singapore; [Nguyen, Hoan] Univ Southern Calif, Annenberg Sch Commun &amp; Journalism, Los Angeles, CA 90089 USA"/>
    <s v="Nanyang Technological University &amp; National Institute of Education (NIE) Singapore; Nanyang Technological University; University of Southern California"/>
    <s v="Chib, A (corresponding author), Nanyang Technol Univ, Wee Kim Wee Sch Commun &amp; Informat, Singapore 637718, Singapore."/>
    <s v="arulchib@ntu.edu.sg"/>
    <s v=""/>
    <s v="Chib, Arul/0000-0002-3833-8889"/>
    <s v="Wee Kim Wee School of Communication and Information, Nanyang Technological University"/>
    <s v="Wee Kim Wee School of Communication and Information, Nanyang Technological University(Nanyang Technological University)"/>
    <s v="The study was funded by a grant from Wee Kim Wee School of Communication and Information, Nanyang Technological University."/>
    <s v=""/>
    <n v="56"/>
    <n v="6"/>
    <n v="6"/>
    <n v="2"/>
    <n v="24"/>
    <s v="OXFORD UNIV PRESS INC"/>
    <s v="CARY"/>
    <s v="JOURNALS DEPT, 2001 EVANS RD, CARY, NC 27513 USA"/>
    <s v="1083-6101"/>
    <s v=""/>
    <s v=""/>
    <s v="J COMPUT-MEDIAT COMM"/>
    <s v="J. Comput.-Mediat. Commun."/>
    <s v="MAR"/>
    <n v="2021"/>
    <n v="26"/>
    <n v="2"/>
    <s v=""/>
    <s v=""/>
    <s v=""/>
    <s v=""/>
    <n v="55"/>
    <n v="71"/>
    <s v=""/>
    <s v="10.1093/jcmc/zmaa017"/>
    <s v="http://dx.doi.org/10.1093/jcmc/zmaa017"/>
    <s v=""/>
    <s v="JAN 2021"/>
    <n v="17"/>
    <s v="Communication; Information Science &amp; Library Science"/>
    <x v="0"/>
    <s v="Communication; Information Science &amp; Library Science"/>
    <s v="RQ3EV"/>
    <s v=""/>
    <s v=""/>
    <s v=""/>
    <s v=""/>
    <s v="2023-11-15"/>
    <x v="214"/>
    <s v="View Full Record in Web of Science"/>
  </r>
  <r>
    <s v="J"/>
    <s v="Aravena, M; Campos-Soto, MN; Rodríguez-Jiménez, C"/>
    <s v=""/>
    <s v=""/>
    <s v=""/>
    <s v="Aravena, Margarita; Natalia Campos-Soto, Maria; Rodriguez-Jimenez, Carmen"/>
    <s v=""/>
    <s v=""/>
    <s v="Learning Strategies at a Higher Taxonomic Level in Primary Education Students in the Digital Age"/>
    <s v="SUSTAINABILITY"/>
    <s v=""/>
    <s v=""/>
    <s v="English"/>
    <x v="0"/>
    <s v=""/>
    <s v=""/>
    <s v=""/>
    <s v=""/>
    <s v=""/>
    <s v="higher thinking; cognitive skills; perspective analysis; abstraction; ICT; digital"/>
    <s v=""/>
    <s v="The education system must respond to the demands and needs of today's society. To meet this demand, teachers must identify the degree of cognitive skills that our students possess through digital learning strategies that encourage the development of these superior skills because of the impact of technological resources on student motivation. To carry out this assessment, two types of strategy tests were applied to evaluate cognitive skills, one determining the student's ability to create an opinion of their own based on ideas and visions of other authors (perspective analysis) and the other strategy test to distinguish the main elements of an information, identifying a general pattern (abstraction), which were reviewed with a task performance instrument (rubrics). A mixed methodology was used through a case study, with a selected and intentional sample of 34 students of the Primary Education Grade. The results show that elaborating questions that go deeper into a topic and labelling contents is not an easy task and that abstraction is one of the most complex skills to develop in students. It should be noted that, in practically all areas, men's averages exceed those of women. Finally, the use of digital strategies must be incorporated as permanent routines and the relationship between technology and pedagogy allows for the management of learning and therefore increases higher level cognitive abilities."/>
    <s v="[Aravena, Margarita] Univ Andres Bello, Fac Educ &amp; Social Sci, Postgrad Acad, Republ 470 Piso 1, Santiago 8370227, Chile; [Natalia Campos-Soto, Maria; Rodriguez-Jimenez, Carmen] Univ Granada, Dept Didact &amp; Sch Org, Granada 18010, Spain"/>
    <s v="Universidad Andres Bello; University of Granada"/>
    <s v="Campos-Soto, MN (corresponding author), Univ Granada, Dept Didact &amp; Sch Org, Granada 18010, Spain."/>
    <s v="marg.aravena@uandresbello.edu; ncampos@ugr.es; carmenrj@ugr.es"/>
    <s v="Jiménez, Carmen Rodríguez/AAS-5135-2021; Aravena, Margarita/AAD-8079-2021"/>
    <s v="Rodriguez Jimenez, Carmen/0000-0001-8623-8316; Aravena Gaete, Margarita Ercilia/0000-0003-3198-8384; Campos Soto, Maria Natalia/0000-0002-3361-2930"/>
    <s v=""/>
    <s v=""/>
    <s v=""/>
    <s v=""/>
    <n v="41"/>
    <n v="6"/>
    <n v="6"/>
    <n v="0"/>
    <n v="6"/>
    <s v="MDPI"/>
    <s v="BASEL"/>
    <s v="ST ALBAN-ANLAGE 66, CH-4052 BASEL, SWITZERLAND"/>
    <s v=""/>
    <s v="2071-1050"/>
    <s v=""/>
    <s v="SUSTAINABILITY-BASEL"/>
    <s v="Sustainability"/>
    <s v="DEC"/>
    <n v="2020"/>
    <n v="12"/>
    <n v="23"/>
    <s v=""/>
    <s v=""/>
    <s v=""/>
    <s v=""/>
    <s v=""/>
    <s v=""/>
    <n v="9877"/>
    <s v="10.3390/su12239877"/>
    <s v="http://dx.doi.org/10.3390/su12239877"/>
    <s v=""/>
    <s v=""/>
    <n v="11"/>
    <s v="Green &amp; Sustainable Science &amp; Technology; Environmental Sciences; Environmental Studies"/>
    <x v="1"/>
    <s v="Science &amp; Technology - Other Topics; Environmental Sciences &amp; Ecology"/>
    <s v="PE2YH"/>
    <s v=""/>
    <s v="Green Published, gold"/>
    <s v=""/>
    <s v=""/>
    <s v="2023-11-15"/>
    <x v="215"/>
    <s v="View Full Record in Web of Science"/>
  </r>
  <r>
    <s v="J"/>
    <s v="Grimaldi, D; Diaz, J; Arboleda, H; Fernandez, V"/>
    <s v=""/>
    <s v=""/>
    <s v=""/>
    <s v="Grimaldi, Didier; Diaz, Javier; Arboleda, Hugo; Fernandez, Vicenc"/>
    <s v=""/>
    <s v=""/>
    <s v="Data maturity analysis and business performance. A Colombian case study"/>
    <s v="HELIYON"/>
    <s v=""/>
    <s v=""/>
    <s v="English"/>
    <x v="0"/>
    <s v=""/>
    <s v=""/>
    <s v=""/>
    <s v=""/>
    <s v=""/>
    <s v="Business; Computer science; Information science; Economics; Colombia; Data science; Competitive analytics; Qualitative comparative analysis; Business performance"/>
    <s v="BIG DATA; MANAGEMENT"/>
    <s v="Context: Colombia over the last decade has experienced a historic economic boom and Information Technology (IT) has been emerging as a tool to enable the competitiveness of companies. The last government (2014-2018) took different actions to explain how the use of data science and open data improve the business activity. The question to identify if there is a relationship between IT capacities, the organizational structure and the performance of the companies remains unresolved and is certainly an urgent issue for new government of Ivan Duque. Purpose: Our study analyses the relationship between data structure and business performance measured through the efficiency of customer experience and provider operations processes. Methodology: our methodology is novel compared to previous researches which develop linear regression. It is based on the use of a fuzzy-set qualitative comparative analysis (fsQCA). Originality/value: our method allows to reveal multiple and complementary paths to achieve possible correlations between data and business performance. Findings: Our results show that data consistency, data usage and data protection are the three more frequent conditions to a better customer experience and provider operations efficiency. Surprisingly, data-driven profile is a necessary but not sufficient condition. Practical implications: our conclusions allow practitioners to uncover the strength of the data to orientate their digital strategy. Our recommendations could be used for the new governmental program of digital revival for Small and Medium Enterprises."/>
    <s v="[Grimaldi, Didier] Ramon Llull Univ, Dept Strategy Entrepreneurship &amp; Innovat, La Salle Campus,St Joan La Salle 42, Barcelona 08022, Spain; [Diaz, Javier; Arboleda, Hugo] Univ Icesi, Calle 18 122-135, Cali, Colombia; [Fernandez, Vicenc] Univ Politecn Catalunya BarcelonaTech, Dept Management, ETSEIAT, Colom 11,TR6,3-17, Terrassa 08222, Spain"/>
    <s v="Universitat Ramon Llull; Universidad ICESI; Universitat Politecnica de Catalunya"/>
    <s v="Grimaldi, D (corresponding author), Ramon Llull Univ, Dept Strategy Entrepreneurship &amp; Innovat, La Salle Campus,St Joan La Salle 42, Barcelona 08022, Spain."/>
    <s v="didierg@salleurl.edu"/>
    <s v="Grimaldi, Didier/JFK-4629-2023; Grimaldi, Didier/G-3882-2016"/>
    <s v="Grimaldi, Didier/0000-0002-1027-1176; Arboleda, Hugo/0000-0001-8806-2393"/>
    <s v=""/>
    <s v=""/>
    <s v=""/>
    <s v=""/>
    <n v="38"/>
    <n v="6"/>
    <n v="7"/>
    <n v="0"/>
    <n v="17"/>
    <s v="ELSEVIER SCI LTD"/>
    <s v="OXFORD"/>
    <s v="THE BOULEVARD, LANGFORD LANE, KIDLINGTON, OXFORD OX5 1GB, OXON, ENGLAND"/>
    <s v=""/>
    <s v="2405-8440"/>
    <s v=""/>
    <s v="HELIYON"/>
    <s v="Heliyon"/>
    <s v="AUG"/>
    <n v="2019"/>
    <n v="5"/>
    <n v="8"/>
    <s v=""/>
    <s v=""/>
    <s v=""/>
    <s v=""/>
    <s v=""/>
    <s v=""/>
    <s v="e02195"/>
    <s v="10.1016/j.heliyon.2019.e02195"/>
    <s v="http://dx.doi.org/10.1016/j.heliyon.2019.e02195"/>
    <s v=""/>
    <s v=""/>
    <n v="9"/>
    <s v="Multidisciplinary Sciences"/>
    <x v="2"/>
    <s v="Science &amp; Technology - Other Topics"/>
    <s v="IV6PV"/>
    <n v="32368633"/>
    <s v="Green Published, gold"/>
    <s v=""/>
    <s v=""/>
    <s v="2023-11-15"/>
    <x v="216"/>
    <s v="View Full Record in Web of Science"/>
  </r>
  <r>
    <s v="J"/>
    <s v="Dombrowski, T; Dazert, S; Volkenstein, S"/>
    <s v=""/>
    <s v=""/>
    <s v=""/>
    <s v="Dombrowski, Tobias; Dazert, Stefan; Volkenstein, Stefan"/>
    <s v=""/>
    <s v=""/>
    <s v="Strategies of Digitized Learning"/>
    <s v="LARYNGO-RHINO-OTOLOGIE"/>
    <s v=""/>
    <s v=""/>
    <s v="German"/>
    <x v="0"/>
    <s v=""/>
    <s v=""/>
    <s v=""/>
    <s v=""/>
    <s v=""/>
    <s v="e-learning; digital teaching; digitization; academic teaching; curriculum; medical education"/>
    <s v="MEDICAL-EDUCATION; FLIPPED CLASSROOM; EMERGENCY-MEDICINE; SIMULATION; CURRICULUM; LECTURE; IMPACT; GAMIFICATION; SATISFACTION; EXPERIENCE"/>
    <s v="The development of digital strategies in teaching is based on the technological progress of the last decades, but also on the strong motivation to focus a didactic concept on the learning individuals. The available data of German medical faculties indicate that digital teaching concepts currently play a subordinate role in medicine in general and specifically in otorhinolaryngology. By assessing data of our own institution, we could demonstrate that the majority of medical students refer mainly to material handed out by the lecturers as single source of information for learning Otorhinolaryngology. Therefore, the application of sound digital teaching strategies provides special chances, in particular in otorhinolaryngology to cope with the excessive amount of online information from partly unclear sources. Currently, the possible degree of digital teaching reaches from digital service supply via punctual provision of classic teaching concepts and blended learning up to completely digital curricula. The attractiveness of curricular integration of digital teaching strategies is less based on the utilization of merely technological progress, but rather on the variety of applying innovative curricula and new didactic concepts. Depending on the intended teaching purpose, the flipped classroom and the virtual reality seem to have a particularly high potential, while mobile learning is already established in individual practice. Testing and evaluating digital teaching innovations for concrete scenarios currently belongs to the most important scientific challenges of digital teaching concepts. Today, the nationwide implementation of digital teaching in Germany is less impeded by technical conditions, but by missing financing because sponsoring is currently mainly performed with reference to concrete projects; in the context of permanent implementation, however, regular costs arise. To support these promising teaching concepts, the sponsoring of institutions for digital teaching with provision of hard-and software solutions at universities could contribute significantly. Establishing cooperation to use such digital platforms might lead to a high efficiency regarding the distribution with simultaneously profiting of savings potential."/>
    <s v="[Dombrowski, Tobias; Dazert, Stefan; Volkenstein, Stefan] Ruhr Univ Bochum, St Elisabeth Hosp, Klin Hals Nasen Ohrenheilkunde Kopf &amp; Halschirurg, Bochum, Germany"/>
    <s v="Ruhr University Bochum"/>
    <s v="Dombrowski, T (corresponding author), St Elizabeth Hosp, Univ HNO Klin, Bleichstr 15, D-44787 Bochum, Germany."/>
    <s v="tobias.dombrowski@rub.de"/>
    <s v="Volkenstein, Stefan/AAW-3829-2021; Volkenstein, Stefan/AAD-2719-2019"/>
    <s v=""/>
    <s v=""/>
    <s v=""/>
    <s v=""/>
    <s v=""/>
    <n v="81"/>
    <n v="6"/>
    <n v="6"/>
    <n v="1"/>
    <n v="24"/>
    <s v="GEORG THIEME VERLAG KG"/>
    <s v="STUTTGART"/>
    <s v="RUDIGERSTR 14, D-70469 STUTTGART, GERMANY"/>
    <s v="0935-8943"/>
    <s v="1438-8685"/>
    <s v=""/>
    <s v="LARYNGO RHINO OTOL"/>
    <s v="Laryngo-Rhino-Otol."/>
    <s v="MAR"/>
    <n v="2019"/>
    <n v="98"/>
    <s v=""/>
    <s v=""/>
    <n v="1"/>
    <s v=""/>
    <s v=""/>
    <s v="S197"/>
    <s v="S208"/>
    <s v=""/>
    <s v="10.1055/a-0803-0218"/>
    <s v="http://dx.doi.org/10.1055/a-0803-0218"/>
    <s v=""/>
    <s v=""/>
    <n v="12"/>
    <s v="Otorhinolaryngology"/>
    <x v="2"/>
    <s v="Otorhinolaryngology"/>
    <s v="IA3YE"/>
    <n v="31096299"/>
    <s v="hybrid"/>
    <s v=""/>
    <s v=""/>
    <s v="2023-11-15"/>
    <x v="217"/>
    <s v="View Full Record in Web of Science"/>
  </r>
  <r>
    <s v="J"/>
    <s v="Tiernan, P; O'Kelly, J"/>
    <s v=""/>
    <s v=""/>
    <s v=""/>
    <s v="Tiernan, Peter; O'Kelly, Jane"/>
    <s v=""/>
    <s v=""/>
    <s v="Learning with digital video in second level schools in Ireland"/>
    <s v="EDUCATION AND INFORMATION TECHNOLOGIES"/>
    <s v=""/>
    <s v=""/>
    <s v="English"/>
    <x v="0"/>
    <s v=""/>
    <s v=""/>
    <s v=""/>
    <s v=""/>
    <s v=""/>
    <s v="Online video; Digital video; Second level teaching; Digital learning; secondary schools teaching"/>
    <s v=""/>
    <s v="Research indicates that teenagers and young adults of second level school age in Ireland are increasingly immersed in world of technology. Online video accounts for much of their time spent online, and is often used for education purposes. While Irish government initiatives such as the Digital Strategy for Schools (2015-2020) aim to encourage integration of technology in the school system, exposure to technology continues to occur predominately outside the school setting. This study begins by examining this context, paying particular attention to the growth of online video. Following this the educational value of video is discussed, along with strategies and tools for its integration in the classroom. In the methodology section, the process of integrating digital video into eight second level classes is explained, including trainee teachers involvement. Findings presented indicate that second level students predominantly value the use of digital video as a learning tool due to its motivational value, ability to explain concepts and provision of examples and real world scenarios."/>
    <s v="[Tiernan, Peter] Dublin City Univ, Inst Educ, C320,St Patricks Campus, Dublin 9, Ireland; [O'Kelly, Jane] Dublin City Univ, Inst Educ, Mov26,St Patricks Campus, Dublin 9, Ireland"/>
    <s v="Dublin City University; Dublin City University"/>
    <s v="Tiernan, P (corresponding author), Dublin City Univ, Inst Educ, C320,St Patricks Campus, Dublin 9, Ireland."/>
    <s v="Peter.d.tiernan@dcu.ie; jane.okelly@dcu.ie"/>
    <s v="Tiernan, Peter/AAN-8917-2021; O'Kelly, Jane/ABD-5001-2020"/>
    <s v=""/>
    <s v=""/>
    <s v=""/>
    <s v=""/>
    <s v=""/>
    <n v="46"/>
    <n v="6"/>
    <n v="6"/>
    <n v="0"/>
    <n v="19"/>
    <s v="SPRINGER"/>
    <s v="NEW YORK"/>
    <s v="ONE NEW YORK PLAZA, SUITE 4600, NEW YORK, NY, UNITED STATES"/>
    <s v="1360-2357"/>
    <s v="1573-7608"/>
    <s v=""/>
    <s v="EDUC INF TECHNOL"/>
    <s v="Educ. Inf. Technol."/>
    <s v="MAR"/>
    <n v="2019"/>
    <n v="24"/>
    <n v="2"/>
    <s v=""/>
    <s v=""/>
    <s v=""/>
    <s v=""/>
    <n v="1073"/>
    <n v="1088"/>
    <s v=""/>
    <s v="10.1007/s10639-018-9811-6"/>
    <s v="http://dx.doi.org/10.1007/s10639-018-9811-6"/>
    <s v=""/>
    <s v=""/>
    <n v="16"/>
    <s v="Education &amp; Educational Research"/>
    <x v="0"/>
    <s v="Education &amp; Educational Research"/>
    <s v="HP3DU"/>
    <s v=""/>
    <s v="Green Accepted"/>
    <s v=""/>
    <s v=""/>
    <s v="2023-11-15"/>
    <x v="218"/>
    <s v="View Full Record in Web of Science"/>
  </r>
  <r>
    <s v="J"/>
    <s v="Castillo, JGD; Cohernour, EJC; Barberà, E"/>
    <s v=""/>
    <s v=""/>
    <s v=""/>
    <s v="Dominguez Castillo, J. Gabriel; Cisneros Cohernour, Edith J.; Barbera, Elena"/>
    <s v=""/>
    <s v=""/>
    <s v="Factors influencing technology use by Mayan women in the digital age"/>
    <s v="GENDER TECHNOLOGY &amp; DEVELOPMENT"/>
    <s v=""/>
    <s v=""/>
    <s v="English"/>
    <x v="0"/>
    <s v=""/>
    <s v=""/>
    <s v=""/>
    <s v=""/>
    <s v=""/>
    <s v="Digital divide; gender; technology; socioeconomic development; ICTs; training program"/>
    <s v="DIVIDE; GENDER; INFORMATION"/>
    <s v="We explore gender differences in technology use among Mayan-speakers in a rural community in southern Yucatan (Mexico), finding that women had poorer skills and less access to technology than men. Following a diagnosis, information and communication technology (ICT) skills training aimed at closing the digital divide was provided to 68 men and women, with post-test results indicating that while women improved their ICT skills, they continued to score lower than men. Focus group interviews with 24 women identified the main factors perceived to influence their access to and use of technology. Observations and further interviews with 10 of the focus group participants further explored issues related to women's access to and use of technology. Quantitative data were analyzed using inferential statistics and qualitative data were analyzed using a thematic approach. Recommendations for improving the ICT skills of both men and women are discussed in the context of the Mexican National Development Plan 2013-2018 and the Mexican National Digital Strategy 2013 and are compared with the guidelines of the Yucatan State Development Plan 2012-2018."/>
    <s v="[Dominguez Castillo, J. Gabriel] Autonomous Univ Yucatan, Ctr Pedag Innovat, Fac Accounting &amp; Adm, Yucatan, Mexico; [Cisneros Cohernour, Edith J.] Autonomous Univ Yucatan, Grad &amp; Res Unit, Coll Educ, Yucatan, Mexico; [Barbera, Elena] Univ Oberta Catalunya, Psychol &amp; Educ Studies, Barcelona, Spain"/>
    <s v="Universidad Autonoma de Yucatan; Universidad Autonoma de Yucatan; UOC Universitat Oberta de Catalunya"/>
    <s v="Cohernour, EJC (corresponding author), Autonomous Univ Yucatan, Coll Educ, Grad &amp; Res Unit, Km 1 Carretera Merida Tizimin, Cholul 97305, Yucatan, Mexico."/>
    <s v="cchacon@correo.uady.mx"/>
    <s v="Cisneros-Cohernour, Edith J./D-9197-2016"/>
    <s v="Cisneros-Cohernour, Edith J./0000-0003-2319-1519"/>
    <s v=""/>
    <s v=""/>
    <s v=""/>
    <s v=""/>
    <n v="84"/>
    <n v="6"/>
    <n v="6"/>
    <n v="0"/>
    <n v="6"/>
    <s v="ROUTLEDGE JOURNALS, TAYLOR &amp; FRANCIS LTD"/>
    <s v="ABINGDON"/>
    <s v="2-4 PARK SQUARE, MILTON PARK, ABINGDON OX14 4RN, OXON, ENGLAND"/>
    <s v="0971-8524"/>
    <s v="0973-0656"/>
    <s v=""/>
    <s v="GEND TECHNOL DEV"/>
    <s v="Gend. Technol. Dev."/>
    <s v=""/>
    <n v="2018"/>
    <n v="22"/>
    <n v="3"/>
    <s v=""/>
    <s v=""/>
    <s v=""/>
    <s v=""/>
    <n v="185"/>
    <n v="204"/>
    <s v=""/>
    <s v="10.1080/09718524.2018.1558862"/>
    <s v="http://dx.doi.org/10.1080/09718524.2018.1558862"/>
    <s v=""/>
    <s v=""/>
    <n v="20"/>
    <s v="Social Sciences, Interdisciplinary"/>
    <x v="3"/>
    <s v="Social Sciences - Other Topics"/>
    <s v="HN7QS"/>
    <s v=""/>
    <s v=""/>
    <s v=""/>
    <s v=""/>
    <s v="2023-11-15"/>
    <x v="219"/>
    <s v="View Full Record in Web of Science"/>
  </r>
  <r>
    <s v="J"/>
    <s v="Gainous, J; Segal, A; Wagner, K"/>
    <s v=""/>
    <s v=""/>
    <s v=""/>
    <s v="Gainous, Jason; Segal, Andrew; Wagner, Kevin"/>
    <s v=""/>
    <s v=""/>
    <s v="Is the equalization/normalization lens dead? Social media campaigning in US congressional elections"/>
    <s v="ONLINE INFORMATION REVIEW"/>
    <s v=""/>
    <s v=""/>
    <s v="English"/>
    <x v="0"/>
    <s v=""/>
    <s v=""/>
    <s v=""/>
    <s v=""/>
    <s v=""/>
    <s v="Elections; Social media; Equalization/normalization; Political campaigns"/>
    <s v="INTERNET USE; POLITICAL-PARTICIPATION; DIGITAL MEDIA; ENGAGEMENT; METAANALYSIS; INFORMATION; PATTERNS; KLOUT; TIME"/>
    <s v="Purpose - Early information technology scholarship centered on the internet's potential to be a democratizing force was often framed using an equalization/normalization lens arguing that either the internet was going to be an equalizing force bringing power to the masses, or it was going to be normalized into the existing power structure. The purpose of this paper is to argue that considered over time the equalization/normalization lens still sheds light on our understanding of how social media (SM) strategy can shape electoral success asking if SM are an equalizing force balancing the resource gap between candidates or are being normalized into the modern campaign. Design/methodology/approach - SM metrics and electoral data were collected for US congressional candidates in 2012 and 2016. A series of additive and interactive models are employed to test whether the effects of SM reach on electoral success are conditional on levels of campaign spending. Findings - The results suggest that those candidates who spend more actually get more utility for their SM campaign than those who spend less in 2012. However, by 2016, spending inversely correlates with SM campaign utility. Research limitations/implications - The findings indicate that SM appeared to be normalizing into the modern congressional campaign in 2012. However, with higher rates of penetration and greater levels of usage in 2016, the SM campaign utility was not a result of higher spending. SM may be a greater equalizing force now. Practical implications - Campaigns that initially integrate digital and traditional strategies increase the effectiveness of the SM campaign because the non-digital strategy both complements and draws attention to the SM campaign. However, by 2016 the SM campaign was not driven by its relation to traditional campaign spending. Originality/value - This is the first large N study to examine the interactive effects of SM reach and campaign spending on electoral success."/>
    <s v="[Gainous, Jason] Univ Louisville, Dept Polit Sci, Louisville, KY 40292 USA; [Segal, Andrew] Univ Texas Austin, Dept Polit Sci, Austin, TX 78712 USA; [Wagner, Kevin] Florida Atlantic Univ, Dept Polit Sci, Boca Raton, FL 33431 USA"/>
    <s v="University of Louisville; University of Texas System; University of Texas Austin; State University System of Florida; Florida Atlantic University"/>
    <s v="Gainous, J (corresponding author), Univ Louisville, Dept Polit Sci, Louisville, KY 40292 USA."/>
    <s v="jason.gainous@louisville.edu"/>
    <s v="Wagner, Kevin/AAW-7074-2021; Gainous, Jason/AAS-1321-2020"/>
    <s v="Gainous, Jason/0000-0002-3104-2313; Wagner, Kevin/0000-0003-4750-9739"/>
    <s v=""/>
    <s v=""/>
    <s v=""/>
    <s v=""/>
    <n v="44"/>
    <n v="6"/>
    <n v="6"/>
    <n v="0"/>
    <n v="6"/>
    <s v="EMERALD GROUP PUBLISHING LTD"/>
    <s v="BINGLEY"/>
    <s v="HOWARD HOUSE, WAGON LANE, BINGLEY BD16 1WA, W YORKSHIRE, ENGLAND"/>
    <s v="1468-4527"/>
    <s v="1468-4535"/>
    <s v=""/>
    <s v="ONLINE INFORM REV"/>
    <s v="Online Inf. Rev."/>
    <s v=""/>
    <n v="2018"/>
    <n v="42"/>
    <n v="5"/>
    <s v=""/>
    <s v=""/>
    <s v=""/>
    <s v=""/>
    <n v="718"/>
    <n v="731"/>
    <s v=""/>
    <s v="10.1108/OIR-08-2017-0247"/>
    <s v="http://dx.doi.org/10.1108/OIR-08-2017-0247"/>
    <s v=""/>
    <s v=""/>
    <n v="14"/>
    <s v="Computer Science, Information Systems; Information Science &amp; Library Science"/>
    <x v="1"/>
    <s v="Computer Science; Information Science &amp; Library Science"/>
    <s v="GR0TI"/>
    <s v=""/>
    <s v=""/>
    <s v=""/>
    <s v=""/>
    <s v="2023-11-15"/>
    <x v="220"/>
    <s v="View Full Record in Web of Science"/>
  </r>
  <r>
    <s v="J"/>
    <s v="Luque, SG; Simón, IV; Becerra, TD"/>
    <s v=""/>
    <s v=""/>
    <s v=""/>
    <s v="Giraldo Luque, Santiago; Villegas Simon, Isabel; Duran Becerra, Tomas"/>
    <s v=""/>
    <s v=""/>
    <s v="Use of the websites of parliaments to promote citizen deliberation in the process of public decision-making. Comparative study of ten countries (America and Europe)"/>
    <s v="COMMUNICATION &amp; SOCIETY-SPAIN"/>
    <s v=""/>
    <s v=""/>
    <s v="English"/>
    <x v="0"/>
    <s v=""/>
    <s v=""/>
    <s v=""/>
    <s v=""/>
    <s v=""/>
    <s v="Parliaments; Internet; Citizen participation; Public sphere; Deliberation; Deliberative democracy"/>
    <s v="NETWORKS"/>
    <s v="This study develops a longitudinal research (2010-2015) on 10 countries - 5 European countries (France, United Kingdom, Sweden, Italy and Spain) and 5 American countries (Argentina, Ecuador, Chile, Colombia and the USA). The aim is to compare how the parliaments use its official websites in order to promote the political participation process in the citizenship. The study focuses on the deliberation axe (Macintosh, 2004, Hagen, 2000, Vedel, 2003, 2007) and in the way that representative institutions define a digital strategy to create an online public sphere. Starting with the recognition of Web 2.0 as a debate sphere and as a place of reconfiguration of the traditional -and utopian- Greek Agora, the study adopts the 'deliberate' political action axe to evaluate, qualitatively and quantitatively -using a content analysis methodology- the use of the Web 2.0 tools made by the legislative bodies of the analysed countries. The article shows how, which and what parliaments use Web 2.0 tools - integrated in their web page - as a scenario that allows deliberation at the different legislative processes that integrate the examined political systems. Finally, the comparative results show the main differences and similarities between the countries, as well as a tendency to reduce deliberation tools offering by representative institutions in the countries sampled."/>
    <s v="[Giraldo Luque, Santiago; Villegas Simon, Isabel; Duran Becerra, Tomas] Univ Autonoma Barcelona, Barcelona, Spain"/>
    <s v="Autonomous University of Barcelona"/>
    <s v="Luque, SG (corresponding author), Univ Autonoma Barcelona, Barcelona, Spain."/>
    <s v="santiago.giraldo@uab.cat; isabelmaria.villegas@uab.cat; tomas.duran@uab.cat"/>
    <s v="Becerra, Tomás Durán/P-3386-2018; Simón, Isabel Villegas/AAC-3345-2021; Giraldo-Luque, Santiago/L-6662-2015"/>
    <s v="Becerra, Tomás Durán/0000-0002-5332-8785; Simón, Isabel Villegas/0000-0003-3064-6876; Giraldo Luque, Santiago/0000-0003-0024-7081"/>
    <s v=""/>
    <s v=""/>
    <s v=""/>
    <s v=""/>
    <n v="71"/>
    <n v="6"/>
    <n v="8"/>
    <n v="0"/>
    <n v="7"/>
    <s v="UNIV NAVARRA, SERVICIO PUBLICACIONES"/>
    <s v="PAMPLONA"/>
    <s v="CAMPUS UNIV, CARRETERA DEL SADAR S-N, APARTADO 177, 31080 PAMPLONA, SPAIN"/>
    <s v="2386-7876"/>
    <s v=""/>
    <s v=""/>
    <s v="COMMUN SOC-SPAIN"/>
    <s v="Commun. Soc.-Spain"/>
    <s v=""/>
    <n v="2017"/>
    <n v="30"/>
    <n v="4"/>
    <s v=""/>
    <s v=""/>
    <s v=""/>
    <s v=""/>
    <n v="77"/>
    <n v="97"/>
    <s v=""/>
    <s v="10.15581/003.30.3.77-97"/>
    <s v="http://dx.doi.org/10.15581/003.30.3.77-97"/>
    <s v=""/>
    <s v=""/>
    <n v="21"/>
    <s v="Communication"/>
    <x v="3"/>
    <s v="Communication"/>
    <s v="FQ1UK"/>
    <s v=""/>
    <s v=""/>
    <s v=""/>
    <s v=""/>
    <s v="2023-11-15"/>
    <x v="221"/>
    <s v="View Full Record in Web of Science"/>
  </r>
  <r>
    <s v="J"/>
    <s v="Guo, S; Ding, W; Lanshina, T"/>
    <s v=""/>
    <s v=""/>
    <s v=""/>
    <s v="Guo, S.; Ding, W.; Lanshina, T."/>
    <s v=""/>
    <s v=""/>
    <s v="Global Governance and the Role of the G20 in the Emerging Digital Economy"/>
    <s v="VESTNIK MEZHDUNARODNYKH ORGANIZATSII-INTERNATIONAL ORGANISATIONS RESEARCH JOURNAL"/>
    <s v=""/>
    <s v=""/>
    <s v="Russian"/>
    <x v="0"/>
    <s v=""/>
    <s v=""/>
    <s v=""/>
    <s v=""/>
    <s v=""/>
    <s v="digital economy; Global governance; G20; BRICS"/>
    <s v=""/>
    <s v="Recent decades have seen a rapid digital transformation resulting in important and sometimes crucial changes in business, society and the global economy. After the global crisis of 2008-2009, digital industries have been the most dynamic and promising in the global economy. Still, the world has not yet found abalance between the benefits and risks of a digital economy and thus global governance in this sphere is required. This article analyses the role and unique characteristics of the Group of 20 (G20) in the sphere of global governance in the digital economy. The authors review the definitions of digital economy and identify the key characteristics of this sector. They highlight the challenges the digital economy poses for international cooperation, analyse digital strategies of G20 countries and study the G20's participation in global digital economy governance. Following on this, the authors analyse the potential for Chinese and Russian leadership and make recommendations concerning the participation of the G20 in the global governance of the digital economy. The authors offer several conclusions based on their analysis. First, international society has to govern the digital economy properly to eliminate distortions between developed and developing countries, ensure cyber security and achieve a higher quality of life for all. Second, the G20 has very limited experience in the sphere of digital economy governance, but as a leader withsoft power and as an organization with members who have developed their digital sectors and those that that lag behind, it may play a lead role in the global governance of the digital economy. Third, while the U.S. has historically dominated the information technology (IT) sector and the digital economy, China has improved its position enough to warrant a greater role in global governance. Russia may also play a greater (though not a leading) role, taking into account its experience and potential. The authors also conclude that the G20 should pay more attention to cooperation with African countries and promote tools to encourage voluntary cooperation, first and foremost with developing countries. The G20 should also work to improve international cyber security and involve the nongovernmental sector in the process of the global digital governance more often. Finally, the G20 should position itself properly and actively in the sphere of digital governance to optimize its functions as the hub of global governance."/>
    <s v="[Guo, S.; Ding, W.] SISU, SIRPA, 550 Dalian Rd W, Shanghai 200083, Peoples R China; [Lanshina, T.] Russian Presidential Acad Natl Econ &amp; Publ Adm RA, Ctr Econ Modeling Energy &amp; Environm, Bldg 1,82 Prospect Vernadskogo, Moscow 119571, Russia; [Lanshina, T.] Russian Acad Sci ISKRAN, Ctr Ind Studies, Inst US &amp; Canadian Studies, Bldg 1,82 Prospect Vernadskogo, Moscow 119571, Russia"/>
    <s v="Shanghai International Studies University; Russian Presidential Academy of National Economy &amp; Public Administration; Russian Academy of Sciences; Institute for the US &amp; Canadian Studies, Russian Academy of Sciences"/>
    <s v="Guo, S (corresponding author), SISU, SIRPA, 550 Dalian Rd W, Shanghai 200083, Peoples R China."/>
    <s v="syguo@shisu.edu.cn; dwh1010@foxmail.com; lanshina@ranepa.ru"/>
    <s v="Lanshina, Tatiana/AAJ-1594-2021"/>
    <s v=""/>
    <s v=""/>
    <s v=""/>
    <s v=""/>
    <s v=""/>
    <n v="26"/>
    <n v="6"/>
    <n v="6"/>
    <n v="1"/>
    <n v="28"/>
    <s v="NATL RESEARCH UNIV HIGHER SCH ECONOMICS"/>
    <s v="MOSCOW"/>
    <s v="SHABOLOVKA, 26, MOSCOW, 119049, RUSSIA"/>
    <s v="1996-7845"/>
    <s v=""/>
    <s v=""/>
    <s v="VESTN MEZHDUNARODNYK"/>
    <s v="Vestn. Mezhdunarodnykh Organ."/>
    <s v=""/>
    <n v="2017"/>
    <n v="12"/>
    <n v="4"/>
    <s v=""/>
    <s v=""/>
    <s v=""/>
    <s v=""/>
    <n v="169"/>
    <n v="184"/>
    <s v=""/>
    <s v=""/>
    <s v=""/>
    <s v=""/>
    <s v=""/>
    <n v="16"/>
    <s v="International Relations"/>
    <x v="3"/>
    <s v="International Relations"/>
    <s v="FS3XL"/>
    <s v=""/>
    <s v=""/>
    <s v=""/>
    <s v=""/>
    <s v="2023-11-15"/>
    <x v="222"/>
    <s v="View Full Record in Web of Science"/>
  </r>
  <r>
    <s v="J"/>
    <s v="Solovey, VD"/>
    <s v=""/>
    <s v=""/>
    <s v=""/>
    <s v="Solovey, V. D."/>
    <s v=""/>
    <s v=""/>
    <s v="DIGITAL MYTHOLOGY AND DONALD TRUMP ELECTORAL CAMPAIGN"/>
    <s v="POLIS-POLITICHESKIYE ISSLEDOVANIYA"/>
    <s v=""/>
    <s v=""/>
    <s v="Russian"/>
    <x v="0"/>
    <s v=""/>
    <s v=""/>
    <s v=""/>
    <s v=""/>
    <s v=""/>
    <s v="Internet; social media; Google; Facebook; Twitter; Big Data; politics; electoral campaign; Donald Trump; Hillary Clinton; digital strategy; microtargeting"/>
    <s v="COLLECTIVE IDENTITY; SOCIAL MEDIA; MOVEMENTS; PROTEST"/>
    <s v="The article examines the relevance of the so-called 'digital myths' on the example of Donald Trump presidential electoral campaign. The statement about a change of the very quality of politics and its nature in the course of transition to a digital context is the main among digital myths. The article claims that the key condition of Trump's victory was not an extensive use of digital tools, but a proper political strategy. The latter's essence was an evident idea achieving an advantage in the battleground states. The Big Data suggested how to do it, and the widest possible use of digital tools has paved the way to a victory. Electoral mobilization consisted of two elements. First, Trump's campaigners mobilized layers of the population that did not attend elections previously and that was not polled were. Second, a susceptible part of the traditional Democratic voters among youth, women and Hispanic Americans voted for Trump. To accomplish these tasks his campaigners made use of a full range of digital tools, primarily the biggest advertising platforms such as Google and Facebook. Digital media provided Trump with a low-cost, better targeted, and highly resourceful electoral campaign that was far more proficient than Hillary Clinton campaign. The observers disregarded a covered nature of Trump campaign, and this important factor made his victory quite unexpected. The author concludes that the U.S. presidential campaign 2016 was a battleground of two major types of political communication - traditional and new ones. The transition to a new type of communication is inevitable since we are entering a new political and social environment of generations that have grown up in a new technological and sociocultural context. However, even in the context of a new communication paradigm, the nature of politics remains the same. At the same time, new communications seriously transformed the mechanism of political influence on society."/>
    <s v="[Solovey, V. D.] MGIMO Univ, MFA Russia, Moscow State Inst Int Relat, Dept Publ Relat, Moscow, Russia"/>
    <s v="MGIMO University"/>
    <s v="Solovey, VD (corresponding author), MGIMO Univ, MFA Russia, Moscow State Inst Int Relat, Dept Publ Relat, Moscow, Russia."/>
    <s v="valery.solovei@gmail.com"/>
    <s v=""/>
    <s v=""/>
    <s v=""/>
    <s v=""/>
    <s v=""/>
    <s v=""/>
    <n v="24"/>
    <n v="6"/>
    <n v="8"/>
    <n v="0"/>
    <n v="23"/>
    <s v="RUSSIAN ACAD SCIENCES"/>
    <s v="MOSCOW"/>
    <s v="LENINSKII AVENUE, 14, MOSCOW, 119991, RUSSIA"/>
    <s v="1026-9487"/>
    <s v="1684-0070"/>
    <s v=""/>
    <s v="POLIS"/>
    <s v="Polis"/>
    <s v=""/>
    <n v="2017"/>
    <s v=""/>
    <n v="5"/>
    <s v=""/>
    <s v=""/>
    <s v=""/>
    <s v=""/>
    <n v="122"/>
    <n v="132"/>
    <s v=""/>
    <s v="10.17976/jpps/2017.05.09"/>
    <s v="http://dx.doi.org/10.17976/jpps/2017.05.09"/>
    <s v=""/>
    <s v=""/>
    <n v="11"/>
    <s v="Political Science"/>
    <x v="3"/>
    <s v="Government &amp; Law"/>
    <s v="FO8YU"/>
    <s v=""/>
    <s v="Bronze"/>
    <s v=""/>
    <s v=""/>
    <s v="2023-11-15"/>
    <x v="223"/>
    <s v="View Full Record in Web of Science"/>
  </r>
  <r>
    <s v="J"/>
    <s v="Fandiño, YJ"/>
    <s v=""/>
    <s v=""/>
    <s v=""/>
    <s v="Jose Fandino, Yamith"/>
    <s v=""/>
    <s v=""/>
    <s v="21st Century Skills and the English Foreign Language Classroom: A Call for More Awareness in Colombia"/>
    <s v="GIST-EDUCATION AND LEARNING RESEARCH JOURNAL"/>
    <s v=""/>
    <s v=""/>
    <s v="English"/>
    <x v="0"/>
    <s v=""/>
    <s v=""/>
    <s v=""/>
    <s v=""/>
    <s v=""/>
    <s v="21st century skills; new literacies; technology; English language teaching; English as a foreign language"/>
    <s v="MULTILITERACIES"/>
    <s v="The 21st century demands the explicit integration of learning strategies, digital competences and career abilities. Schools in general and EFL classrooms in particular should provide students with practices and processes focused on acquiring and developing, among other things, creativity, critical thinking, collaboration, self-direction, and cross-cultural skills. In this regard, the Partnership for 21st Century Skills (2007) argues for the explicit integration of learning and innovation skills, information, media and digital literacy skills, and life and career skills. Despite its relevance, a basic review of Colombian scholarly publications suggests that little has been done in order to infuse the EFL class with some of these ideas. Consequently, this paper seeks to inform and motivate Colombian EFL teachers to incorporate meaningful and intellectually stimulating alternatives that allow students not just to learn English, but more importantly to understand complex perspectives, use multiple media and technologies, and work creatively with others."/>
    <s v="[Jose Fandino, Yamith] La Salle Univ, Sch Educ Sci, Bogota, Colombia"/>
    <s v="Universidad de La Salle"/>
    <s v="Fandiño, YJ (corresponding author), La Salle Univ, Sch Educ Sci, Bogota, Colombia."/>
    <s v="yfandino@unisalle.edu.co"/>
    <s v="FandiÃ±o Parra, Yamith Jose/N-6508-2014; Fandiño Parra, Yamith José/AAA-9047-2021"/>
    <s v="FandiÃ±o Parra, Yamith Jose/0000-0002-5567-5465; Fandiño Parra, Yamith José/0000-0002-5567-5465"/>
    <s v=""/>
    <s v=""/>
    <s v=""/>
    <s v=""/>
    <n v="50"/>
    <n v="6"/>
    <n v="8"/>
    <n v="1"/>
    <n v="4"/>
    <s v="INST UNIV COLOMBO AMERICANA-UNICA"/>
    <s v="BOGOTA"/>
    <s v="CALLE 19 NO 2A-49 SEGUNDO PISO, BOGOTA, 00000, COLOMBIA"/>
    <s v="1692-5777"/>
    <s v=""/>
    <s v=""/>
    <s v="GIST-EDUC LEARN RES"/>
    <s v="GIST-Educ. Learn. Res. J."/>
    <s v="NOV"/>
    <n v="2013"/>
    <s v=""/>
    <n v="7"/>
    <s v=""/>
    <s v=""/>
    <s v=""/>
    <s v=""/>
    <n v="190"/>
    <n v="208"/>
    <s v=""/>
    <s v=""/>
    <s v=""/>
    <s v=""/>
    <s v=""/>
    <n v="19"/>
    <s v="Education &amp; Educational Research"/>
    <x v="3"/>
    <s v="Education &amp; Educational Research"/>
    <s v="V53MD"/>
    <s v=""/>
    <s v=""/>
    <s v=""/>
    <s v=""/>
    <s v="2023-11-15"/>
    <x v="224"/>
    <s v="View Full Record in Web of Science"/>
  </r>
  <r>
    <s v="J"/>
    <s v="Chen, QM; Zhang, W; Jin, NS; Wang, XC; Dai, PR"/>
    <s v=""/>
    <s v=""/>
    <s v=""/>
    <s v="Chen, Qingmei; Zhang, Wei; Jin, Nanshun; Wang, Xiaocheng; Dai, Peiru"/>
    <s v=""/>
    <s v=""/>
    <s v="Digital Transformation Evaluation for Small- and Medium-Sized Manufacturing Enterprises Using the Fuzzy Synthetic Method DEMATEL-ANP"/>
    <s v="SUSTAINABILITY"/>
    <s v=""/>
    <s v=""/>
    <s v="English"/>
    <x v="0"/>
    <s v=""/>
    <s v=""/>
    <s v=""/>
    <s v=""/>
    <s v=""/>
    <s v="digital transformation; decision-making test and evaluation laboratory methods; network analytic hierarchy process; fuzzy comprehensive evaluation; small- and medium enterprises"/>
    <s v="INDUSTRY 4.0 READINESS; MATURITY MODEL; ENTREPRENEURS; COMPETENCE; RESOURCES; FIRMS"/>
    <s v="In view of the characteristics of small- and medium-sized manufacturing enterprises and the status quo of digitalization, it is necessary to develop a more applicable digital transformation maturity model. The decision testing and evaluation laboratory method (DEMATEL) is used to provide the visual impact relationship between digital transformation criteria, and combined with the network analytic hierarchy process (ANP) to determine the mixed weight of indicators, and then fuzzy comprehensive evaluation is used to evaluate the digital maturity of small- and medium-sized manufacturing enterprises. The empirical analysis of small- and medium-sized manufacturing enterprises in Guangdong Province shows that digital strategy and information technology play a key role in the digital transformation of enterprises, and digital process and digital innovation are the main problems faced by small- and medium-sized enterprises. In addition, the digital maturity of enterprises is related to the industrial base, regional policies, industry types, etc. This study provides some guidance for the implementation path selection of small- and medium-sized enterprises' digital transformation and accelerates the digital transformation and sustainable development of small- and medium-sized manufacturing enterprises."/>
    <s v="[Chen, Qingmei; Zhang, Wei; Jin, Nanshun; Wang, Xiaocheng; Dai, Peiru] Guangdong Univ Sci &amp; Technol, Sch Management, Dongguan 523000, Peoples R China"/>
    <s v="Guangdong University of Science &amp; Technology"/>
    <s v="Chen, QM; Zhang, W (corresponding author), Guangdong Univ Sci &amp; Technol, Sch Management, Dongguan 523000, Peoples R China."/>
    <s v="amaze1211@163.com; zw1010551@whu.edu.cn"/>
    <s v=""/>
    <s v=""/>
    <s v="The 2020 Guangdong Provincial Department of Education Youth Innovation Talents Project Research on the Status Quo and Maturity Evaluation of Digital Transformation of Small and Medium sized Manufacturing Enterprises in Dongguan [2020WQNCX077]; 2021 Research on Digital Transformation of Manufacturing Industry in Guangdong Province, a project of Guangdong Provincial Department of Education to improve the scientific research capacity of key construction disciplines in Guangdong Province [2021ZDJS113]"/>
    <s v="The 2020 Guangdong Provincial Department of Education Youth Innovation Talents Project Research on the Status Quo and Maturity Evaluation of Digital Transformation of Small and Medium sized Manufacturing Enterprises in Dongguan; 2021 Research on Digital Transformation of Manufacturing Industry in Guangdong Province, a project of Guangdong Provincial Department of Education to improve the scientific research capacity of key construction disciplines in Guangdong Province"/>
    <s v="This research was funded by the following two projects. The 2020 Guangdong Provincial Department of Education Youth Innovation Talents Project Research on the Status Quo and Maturity Evaluation of Digital Transformation of Small and Medium sized Manufacturing Enterprises in Dongguan (Project No.: 2020WQNCX077), which was initiated on 28 September 2020. And the 2021 Research on Digital Transformation of Manufacturing Industry in Guangdong Province (Project No.: 2021ZDJS113), a project of Guangdong Provincial Department of Education to improve the scientific research capacity of key construction disciplines in Guangdong Province, was established on 31 December 2021."/>
    <s v=""/>
    <n v="55"/>
    <n v="5"/>
    <n v="5"/>
    <n v="43"/>
    <n v="117"/>
    <s v="MDPI"/>
    <s v="BASEL"/>
    <s v="ST ALBAN-ANLAGE 66, CH-4052 BASEL, SWITZERLAND"/>
    <s v=""/>
    <s v="2071-1050"/>
    <s v=""/>
    <s v="SUSTAINABILITY-BASEL"/>
    <s v="Sustainability"/>
    <s v="OCT"/>
    <n v="2022"/>
    <n v="14"/>
    <n v="20"/>
    <s v=""/>
    <s v=""/>
    <s v=""/>
    <s v=""/>
    <s v=""/>
    <s v=""/>
    <n v="13038"/>
    <s v="10.3390/su142013038"/>
    <s v="http://dx.doi.org/10.3390/su142013038"/>
    <s v=""/>
    <s v=""/>
    <n v="23"/>
    <s v="Green &amp; Sustainable Science &amp; Technology; Environmental Sciences; Environmental Studies"/>
    <x v="1"/>
    <s v="Science &amp; Technology - Other Topics; Environmental Sciences &amp; Ecology"/>
    <s v="5P9XC"/>
    <s v=""/>
    <s v="gold"/>
    <s v=""/>
    <s v=""/>
    <s v="2023-11-15"/>
    <x v="225"/>
    <s v="View Full Record in Web of Science"/>
  </r>
  <r>
    <s v="J"/>
    <s v="Pilares, ICA; Azam, S; Akbulut, S; Jonkman, M; Shanmugam, B"/>
    <s v=""/>
    <s v=""/>
    <s v=""/>
    <s v="Pilares, Iris Cathrina Abacan; Azam, Sami; Akbulut, Serkan; Jonkman, Mirjam; Shanmugam, Bharanidharan"/>
    <s v=""/>
    <s v=""/>
    <s v="Addressing the Challenges of Electronic Health Records Using Blockchain and IPFS"/>
    <s v="SENSORS"/>
    <s v=""/>
    <s v=""/>
    <s v="English"/>
    <x v="0"/>
    <s v=""/>
    <s v=""/>
    <s v=""/>
    <s v=""/>
    <s v=""/>
    <s v="blockchain; cryptography; electronic health record; privacy; security; distributed file system"/>
    <s v="EHR; IMPLEMENTATION; SECURITY; ADOPTION; SYSTEMS; SCHEME; ISSUES"/>
    <s v="Electronic Health Records (EHR) are the healthcare sector's core digital strategy meant to improve the quality of care provided to patients. Despite the benefits afforded by this digital transformation initiative, adoption among healthcare organizations has been slower than desired. The sheer volume and sensitive nature of patient records compel these organizations to exercise a healthy amount of caution in implementing EHR. Cyberattacks have also increased the risks associated with non-optimal EHR implementations. An influx of high-profile data breaches has plagued the sector during the COVID-19 pandemic, which put the spotlight on EHR cybersecurity. One objective of this research project is to aid the acceleration of EHR adoption. Another objective is to ensure the robustness of the system to resist malicious attacks. For the former, a systematic review was used to unearth all the possible causes why the adoption of EHR has been anemic. In this paper, sixty-five existing proposed EHR solutions were analyzed and it was found that there are fourteen major challenges that need to be addressed to reduce friction and risk for health organizations. These were privacy, security, confidentiality, interoperability, access control, scalability, authentication, accessibility, availability, data storage, data ownership, data validity, data integrity, and ease of use. We propose EHRChain, a new framework that tackles all the listed challenges simultaneously to address the first objective while also being designed to achieve the second objective. It is enabled by dual-blockchains based on Hyperledger Sawtooth to allow patient data decentralization via a consortium blockchain and IPFS for distributed data storage."/>
    <s v="[Pilares, Iris Cathrina Abacan; Azam, Sami; Akbulut, Serkan; Jonkman, Mirjam; Shanmugam, Bharanidharan] Charles Darwin Univ, Coll Engn IT &amp; Environm, Ellengowan Dr, Casuarina, NT 0810, Australia"/>
    <s v="Charles Darwin University"/>
    <s v="Azam, S (corresponding author), Charles Darwin Univ, Coll Engn IT &amp; Environm, Ellengowan Dr, Casuarina, NT 0810, Australia."/>
    <s v="iris.abacan@gmail.com; sami.azam@cdu.edu.au; s3rkanakbulut@gmail.com; mirjam.jonkman@cdu.edu.au; bharanidharan.shanmugam@cdu.edu.au"/>
    <s v="; Shanmugam, Bharanidharan/C-3611-2011"/>
    <s v="Azam, Sami/0000-0001-7572-9750; Shanmugam, Bharanidharan/0000-0002-2591-1949; AKBULUT, Serkan/0000-0002-4893-1379"/>
    <s v=""/>
    <s v=""/>
    <s v=""/>
    <s v=""/>
    <n v="102"/>
    <n v="5"/>
    <n v="5"/>
    <n v="4"/>
    <n v="17"/>
    <s v="MDPI"/>
    <s v="BASEL"/>
    <s v="ST ALBAN-ANLAGE 66, CH-4052 BASEL, SWITZERLAND"/>
    <s v=""/>
    <s v="1424-8220"/>
    <s v=""/>
    <s v="SENSORS-BASEL"/>
    <s v="Sensors"/>
    <s v="JUN"/>
    <n v="2022"/>
    <n v="22"/>
    <n v="11"/>
    <s v=""/>
    <s v=""/>
    <s v=""/>
    <s v=""/>
    <s v=""/>
    <s v=""/>
    <n v="4032"/>
    <s v="10.3390/s22114032"/>
    <s v="http://dx.doi.org/10.3390/s22114032"/>
    <s v=""/>
    <s v=""/>
    <n v="43"/>
    <s v="Chemistry, Analytical; Engineering, Electrical &amp; Electronic; Instruments &amp; Instrumentation"/>
    <x v="2"/>
    <s v="Chemistry; Engineering; Instruments &amp; Instrumentation"/>
    <s v="1Z5XM"/>
    <n v="35684652"/>
    <s v="Green Published, gold"/>
    <s v=""/>
    <s v=""/>
    <s v="2023-11-15"/>
    <x v="226"/>
    <s v="View Full Record in Web of Science"/>
  </r>
  <r>
    <s v="J"/>
    <s v="Sakas, DP; Giannakopoulos, NT; Kanellos, N; Tryfonopoulos, C"/>
    <s v=""/>
    <s v=""/>
    <s v=""/>
    <s v="Sakas, Damianos P.; Giannakopoulos, Nikolaos T.; Kanellos, Nikos; Tryfonopoulos, Christos"/>
    <s v=""/>
    <s v=""/>
    <s v="Digital Marketing Enhancement of Cryptocurrency Websites through Customer Innovative Data Process"/>
    <s v="PROCESSES"/>
    <s v=""/>
    <s v=""/>
    <s v="English"/>
    <x v="0"/>
    <s v=""/>
    <s v=""/>
    <s v=""/>
    <s v=""/>
    <s v=""/>
    <s v="strategic digital marketing; innovation process; decentralized systems; data analysis; web analytics; customer electronics; decision support systems"/>
    <s v="ADOPTION; SYSTEMS"/>
    <s v="Today, more than ever, the popularity of decentralized payment systems has risen, creating an outbreak of new cryptocurrencies hitting the market. Unique websites have been staged for each cryptocurrency, where information and means for mining cryptocurrencies are available daily. People visit those cryptocurrency websites either from desktop or mobile devices. Thus, the impulsion for appropriate promotion of cryptocurrency websites and customer factors affecting it rises. The above process increases cryptocurrency organizations' website visibility, raising the need for customer relationships and satisfaction optimization concerning organizations' supply chain strategy. Research data were collected from 10 well-known cryptocurrency websites, regarding mobile and desktop devices, in 180 days, regarding on-site web analytics. Therefore, a model consisting of three stages was applied. Starting phase of the model pertains to statistical and regression analysis of cryptocurrency web analytics, followed by Fuzzy Cognitive Mapping and Agent-Based Model deployment. Throughout this study, methods for promoting cryptocurrency websites can be deduced from assessing specific website metrics and device preferences. Research results indicate that web analytics give a clearer image of customer behavior in cryptocurrency websites and, therefore, provide opportunities for further website optimization through increased web traffic and digital reputation."/>
    <s v="[Sakas, Damianos P.; Giannakopoulos, Nikolaos T.; Kanellos, Nikos] Agr Univ Athens, Sch Appl Econ &amp; Social Sci, Dept Agribusiness &amp; Supply Chain Management, Business Informat &amp; Commun Technol Value Chains L, Athens 11855, Greece; [Tryfonopoulos, Christos] Univ Peloponnese, Dept Informat &amp; Telecommun, Karaiskaki 70, Tripoli 22100, Greece"/>
    <s v="Agricultural University of Athens; University of Peloponnese"/>
    <s v="Giannakopoulos, NT (corresponding author), Agr Univ Athens, Sch Appl Econ &amp; Social Sci, Dept Agribusiness &amp; Supply Chain Management, Business Informat &amp; Commun Technol Value Chains L, Athens 11855, Greece."/>
    <s v="d.sakas@aua.gr; n.giannakopoulos@aua.gr; nikos.kanellos2@aua.gr; trifon@uop.gr"/>
    <s v="Giannakopoulos, Nikolaos/HZJ-9352-2023; Tryfonopoulos, Christos/HKW-5651-2023"/>
    <s v="Sakas, Damianos/0000-0002-2253-8966; Tryfonopoulos, Christos/0000-0003-0640-9088; Giannakopoulos, Nikolaos T./0000-0002-4480-5893"/>
    <s v=""/>
    <s v=""/>
    <s v=""/>
    <s v=""/>
    <n v="77"/>
    <n v="5"/>
    <n v="5"/>
    <n v="2"/>
    <n v="7"/>
    <s v="MDPI"/>
    <s v="BASEL"/>
    <s v="ST ALBAN-ANLAGE 66, CH-4052 BASEL, SWITZERLAND"/>
    <s v=""/>
    <s v="2227-9717"/>
    <s v=""/>
    <s v="PROCESSES"/>
    <s v="Processes"/>
    <s v="MAY"/>
    <n v="2022"/>
    <n v="10"/>
    <n v="5"/>
    <s v=""/>
    <s v=""/>
    <s v=""/>
    <s v=""/>
    <s v=""/>
    <s v=""/>
    <n v="960"/>
    <s v="10.3390/pr10050960"/>
    <s v="http://dx.doi.org/10.3390/pr10050960"/>
    <s v=""/>
    <s v=""/>
    <n v="24"/>
    <s v="Engineering, Chemical"/>
    <x v="2"/>
    <s v="Engineering"/>
    <s v="1Q0UZ"/>
    <s v=""/>
    <s v="gold"/>
    <s v=""/>
    <s v=""/>
    <s v="2023-11-15"/>
    <x v="227"/>
    <s v="View Full Record in Web of Science"/>
  </r>
  <r>
    <s v="J"/>
    <s v="Liu, LJ; Fan, Q; Liu, RH; Zhang, GQ; Wan, WH; Long, J"/>
    <s v=""/>
    <s v=""/>
    <s v=""/>
    <s v="Liu, Longjun; Fan, Qing; Liu, Ruhong; Zhang, Guiqing; Wan, Wenhai; Long, Jing"/>
    <s v=""/>
    <s v=""/>
    <s v="How to benefit from digital platform capabilities? Examining the role of knowledge bases and organisational routines updating"/>
    <s v="EUROPEAN JOURNAL OF INNOVATION MANAGEMENT"/>
    <s v=""/>
    <s v=""/>
    <s v="English"/>
    <x v="0"/>
    <s v=""/>
    <s v=""/>
    <s v=""/>
    <s v=""/>
    <s v=""/>
    <s v="Digital platform capabilities; Knowledge bases; Technological innovation; Organisational routines; Resource-based view"/>
    <s v="RESOURCE-BASED VIEW; RESEARCH-AND-DEVELOPMENT; COMPETITIVE ADVANTAGE; FIRM PERFORMANCE; INFORMATION-TECHNOLOGY; INNOVATION; PRODUCT; BREADTH; DEPTH; FLEXIBILITY"/>
    <s v="Purpose This study aims to explore whether digital platform capabilities (integration and reconstruction) affect technological innovation through knowledge bases in the dimensions of breadth and depth and the moderating role of organisational routines updating. Design/methodology/approach Hierarchical regression, mediation effect test macro and bootstrap were conducted to empirically analyse two waves of longitudinal survey data from 179 Chinese technology firms. Findings Results confirmed that knowledge bases (breadth and depth) mediated the effect of digital platform capabilities (integration and reconstruction) on technological innovation and that updating of organisational routines moderated the relationship between knowledge bases and technological innovation. Practical implications These findings offer guidance to firms that aim to achieve technological innovation and advantages, highlighting the importance of digital platform capabilities, knowledge bases and organisational routines updating. Originality/value Advancing from existing digital strategies and firm innovation literature, the authors provide a new perspective (knowledge bases) to respond to the information technology (IT) paradox and understand the role of digital platform capabilities in improving technological innovation."/>
    <s v="[Liu, Longjun; Liu, Ruhong; Long, Jing] Nanjing Univ, Sch Business, Nanjing, Peoples R China; [Fan, Qing] Shanghai Univ, Sch Management, Shanghai, Peoples R China; [Zhang, Guiqing] Hohai Univ, Business Sch, Nanjing, Peoples R China; [Wan, Wenhai] Huaqiao Univ, Sch Business Adm, Quanzhou, Peoples R China"/>
    <s v="Nanjing University; Shanghai University; Hohai University; Huaqiao University"/>
    <s v="Long, J (corresponding author), Nanjing Univ, Sch Business, Nanjing, Peoples R China."/>
    <s v="longjing@nju.edu.cn"/>
    <s v=""/>
    <s v="Zhang, Guiqing/0000-0002-6706-1946; Fan, Qing/0000-0001-5179-921X; Liu, Longjun/0000-0002-6495-1695"/>
    <s v=""/>
    <s v=""/>
    <s v=""/>
    <s v=""/>
    <n v="93"/>
    <n v="5"/>
    <n v="5"/>
    <n v="55"/>
    <n v="182"/>
    <s v="EMERALD GROUP PUBLISHING LTD"/>
    <s v="Leeds"/>
    <s v="floor 5, Northspring 21-23 Wellington Street, Leeds, W YORKSHIRE, ENGLAND"/>
    <s v="1460-1060"/>
    <s v="1758-7115"/>
    <s v=""/>
    <s v="EUR J INNOV MANAG"/>
    <s v="Eur. J. Innov. Manag."/>
    <s v="AUG 29"/>
    <n v="2023"/>
    <n v="26"/>
    <n v="5"/>
    <s v=""/>
    <s v=""/>
    <s v=""/>
    <s v=""/>
    <n v="1394"/>
    <n v="1420"/>
    <s v=""/>
    <s v="10.1108/EJIM-10-2021-0532"/>
    <s v="http://dx.doi.org/10.1108/EJIM-10-2021-0532"/>
    <s v=""/>
    <s v="APR 2022"/>
    <n v="27"/>
    <s v="Business; Management"/>
    <x v="0"/>
    <s v="Business &amp; Economics"/>
    <s v="R3XR2"/>
    <s v=""/>
    <s v=""/>
    <s v=""/>
    <s v=""/>
    <s v="2023-11-15"/>
    <x v="228"/>
    <s v="View Full Record in Web of Science"/>
  </r>
  <r>
    <s v="J"/>
    <s v="Rundel, C; Salemink, K"/>
    <s v=""/>
    <s v=""/>
    <s v=""/>
    <s v="Rundel, Christina; Salemink, Koen"/>
    <s v=""/>
    <s v=""/>
    <s v="Hubs, hopes and high stakes for a relatively disadvantaged low tech place"/>
    <s v="LOCAL ECONOMY"/>
    <s v=""/>
    <s v=""/>
    <s v="English"/>
    <x v="0"/>
    <s v=""/>
    <s v=""/>
    <s v=""/>
    <s v=""/>
    <s v=""/>
    <s v="rural digital hub; digital strategy; place-based approach; rural proofing; hub concept"/>
    <s v="COMMUNITY"/>
    <s v="The transition to a digitally inclusive and knowledge-based rural society can be challenging. Digital hubs are often proposed as a way of overcoming digital exclusion in rural and small-town contexts, yet studies into how to set up such a hub in these challenging contexts are scarce. While hubs are usually associated with an urban environment, this case study deals with the development of a rural digital hub over several years in a small town in East Groningen (NL). In the context of an Interreg project, observations during project meetings, in-depth interviews and document analysis were conducted to closely monitor the hub's development process. Initially, the hub initiators aimed at stimulating business activities and innovation linked to digital technologies. Thereby, an originally urban digital hub concept was copied into a rural context without a rural translation. Along the way, they were forced to adapt and scale down the scope of the project while at the same time, a broader target group had to be formulated. Moreover, the municipality lacked an overarching digital strategy, which compromised demand aggregation and supply synchronisation - two essential ingredients for rural digital hubs."/>
    <s v="[Rundel, Christina; Salemink, Koen] Univ Groningen, Dept Cultural Geog, POB 800, NL-9700 AV Groningen, Netherlands"/>
    <s v="University of Groningen"/>
    <s v="Rundel, C (corresponding author), Univ Groningen, Dept Cultural Geog, POB 800, NL-9700 AV Groningen, Netherlands."/>
    <s v="c.t.rundel@rug.nl"/>
    <s v=""/>
    <s v="Salemink, Koen/0000-0002-9331-7343; Rundel, Christina/0000-0002-3687-9198"/>
    <s v="EU Interreg VB North Sea Region Programme (CORA project); EU Interreg VB North Sea Region Programme (COM3 project)"/>
    <s v="EU Interreg VB North Sea Region Programme (CORA project)(Interreg Europe); EU Interreg VB North Sea Region Programme (COM3 project)(Interreg Europe)"/>
    <s v="The author(s) disclosed receipt of the following financial support for the research, authorship, and/or publication of this article: This research would not have been possible without the funding we received from the EU Interreg VB North Sea Region Programme (CORA and COM3 project)."/>
    <s v=""/>
    <n v="49"/>
    <n v="5"/>
    <n v="5"/>
    <n v="0"/>
    <n v="7"/>
    <s v="SAGE PUBLICATIONS LTD"/>
    <s v="LONDON"/>
    <s v="1 OLIVERS YARD, 55 CITY ROAD, LONDON EC1Y 1SP, ENGLAND"/>
    <s v="0269-0942"/>
    <s v="1470-9325"/>
    <s v=""/>
    <s v="LOCAL ECON"/>
    <s v="Local Econ."/>
    <s v="NOV"/>
    <n v="2021"/>
    <n v="36"/>
    <s v="7-8"/>
    <s v=""/>
    <s v=""/>
    <s v="SI"/>
    <s v=""/>
    <n v="650"/>
    <n v="668"/>
    <n v="2690942221077120"/>
    <s v="10.1177/02690942221077120"/>
    <s v="http://dx.doi.org/10.1177/02690942221077120"/>
    <s v=""/>
    <s v="FEB 2022"/>
    <n v="19"/>
    <s v="Economics"/>
    <x v="3"/>
    <s v="Business &amp; Economics"/>
    <s v="1N7XQ"/>
    <s v=""/>
    <s v="Green Published, hybrid"/>
    <s v=""/>
    <s v=""/>
    <s v="2023-11-15"/>
    <x v="229"/>
    <s v="View Full Record in Web of Science"/>
  </r>
  <r>
    <s v="J"/>
    <s v="Sakas, DP; Giannakopoulos, NT; Kanellos, N; Migkos, SP"/>
    <s v=""/>
    <s v=""/>
    <s v=""/>
    <s v="Sakas, Damianos P.; Giannakopoulos, Nikolaos T.; Kanellos, Nikos; Migkos, Stavros P."/>
    <s v=""/>
    <s v=""/>
    <s v="Innovative Cryptocurrency Trade Websites' Marketing Strategy Refinement, via Digital Behavior"/>
    <s v="IEEE ACCESS"/>
    <s v=""/>
    <s v=""/>
    <s v="English"/>
    <x v="0"/>
    <s v=""/>
    <s v=""/>
    <s v=""/>
    <s v=""/>
    <s v=""/>
    <s v="Cryptocurrency; Behavioral sciences; Organizations; Measurement; Blockchains; Costs; Technological innovation; Strategic digital marketing; digital behavior; innovation; decentralized payment networks; big data; e-commerce; decision support systems"/>
    <s v="ADOPTION; SYSTEMS"/>
    <s v="Nowadays, the cryptocurrency market is thriving, through the rise in cryptocurrency trading, opening the way for cryptocurrency trading websites' optimization. Optimization of customer satisfaction is a vital part of cryptocurrency trade organizations' digital marketing problems. It is vital to keep digital advertisement costs low while driving more traffic to a website. This study aims to define a digital marketing strategy for cryptocurrency trading websites by utilizing digital behavior metrics. Web analytics data were gathered from 10 world-leading cryptocurrency trade websites over 80 days. Statistical analysis of cryptocurrency trade web analytics, Fuzzy Cognitive Mapping modeling, and Agent-Based Model development have been deployed. Enhancement of cryptocurrency trade digital engagement levels can boost organizations' SEO and SEM strategy campaigns. Outputs of the study provide a handful of insights regarding cryptocurrency trading websites' digital promotion strategy optimization and the parameters of digital behavior mostly connected with websites' digital marketing costs and traffic. Cryptocurrency trade organizations should utilize both organic and paid campaigns, observe regularly their website KPIs connected with visitors' behavior and enhance their website users' experience, by increasing their engagement."/>
    <s v="[Sakas, Damianos P.; Giannakopoulos, Nikolaos T.; Kanellos, Nikos] Agr Univ Athens, Sch Appl Econ &amp; Social Sci, Dept Agribusiness &amp; Supply Chain Management, BICTEVAC Lab, Athens 11855, Greece; [Migkos, Stavros P.] Univ Western Macedonia, Sch Econ Sci, Dept Int &amp; European Econ Studies, Kozani 50100, Greece"/>
    <s v="Agricultural University of Athens; University of Western Macedonia"/>
    <s v="Giannakopoulos, NT (corresponding author), Agr Univ Athens, Sch Appl Econ &amp; Social Sci, Dept Agribusiness &amp; Supply Chain Management, BICTEVAC Lab, Athens 11855, Greece."/>
    <s v="n.giannakopoulos@aua.gr"/>
    <s v="Giannakopoulos, Nikolaos/HZJ-9352-2023"/>
    <s v="Giannakopoulos, Nikolaos T./0000-0002-4480-5893; Migkos, Stavros/0000-0003-2356-5568"/>
    <s v=""/>
    <s v=""/>
    <s v=""/>
    <s v=""/>
    <n v="72"/>
    <n v="5"/>
    <n v="5"/>
    <n v="5"/>
    <n v="18"/>
    <s v="IEEE-INST ELECTRICAL ELECTRONICS ENGINEERS INC"/>
    <s v="PISCATAWAY"/>
    <s v="445 HOES LANE, PISCATAWAY, NJ 08855-4141 USA"/>
    <s v="2169-3536"/>
    <s v=""/>
    <s v=""/>
    <s v="IEEE ACCESS"/>
    <s v="IEEE Access"/>
    <s v=""/>
    <n v="2022"/>
    <n v="10"/>
    <s v=""/>
    <s v=""/>
    <s v=""/>
    <s v=""/>
    <s v=""/>
    <n v="63163"/>
    <n v="63176"/>
    <s v=""/>
    <s v="10.1109/ACCESS.2022.3182396"/>
    <s v="http://dx.doi.org/10.1109/ACCESS.2022.3182396"/>
    <s v=""/>
    <s v=""/>
    <n v="14"/>
    <s v="Computer Science, Information Systems; Engineering, Electrical &amp; Electronic; Telecommunications"/>
    <x v="2"/>
    <s v="Computer Science; Engineering; Telecommunications"/>
    <s v="2H8JK"/>
    <s v=""/>
    <s v="gold"/>
    <s v=""/>
    <s v=""/>
    <s v="2023-11-15"/>
    <x v="230"/>
    <s v="View Full Record in Web of Science"/>
  </r>
  <r>
    <s v="J"/>
    <s v="Palmer, L"/>
    <s v=""/>
    <s v=""/>
    <s v=""/>
    <s v="Palmer, Lindsay"/>
    <s v=""/>
    <s v=""/>
    <s v="Press Freedom during Covid-19: The Digital Discourses of the International Press Institute, Reporters Sans Frontieres, and the Committee to Protect Journalists"/>
    <s v="DIGITAL JOURNALISM"/>
    <s v=""/>
    <s v=""/>
    <s v="English"/>
    <x v="0"/>
    <s v=""/>
    <s v=""/>
    <s v=""/>
    <s v=""/>
    <s v=""/>
    <s v="Covid-19; pandemic; coronavirus; press freedom; Committee to Protect Journalists; International Press Institute; Reporters sans Frontieres; Twitter"/>
    <s v="MEDIA; COMMUNICATION; NEWS"/>
    <s v="This study explores the ways in which global press freedom watchdogs have discursively constructed the issue of press freedom during the Covid-19 pandemic. Drawing on a multimodal discourse analysis, the study examines web stories and Tweets posted by the International Press Institute (IPI), the Committee to Protect Journalists (CPJ), and Reporters sans Frontieres (RSF), with the purpose of answering three primary questions: (1) Who or what do the CPJ, the IPI, and RSF represent as the greatest threat to press freedom in relation to Covid-19? (2) What are the differences between these groups' representations of press freedom in their own regions of the world and their representations of press freedom in Other places? (3) What digital strategies do the IPI, CPJ, and RSF use in coverage of the Covid-19 pandemic? The article ultimately seeks to understand the ways in which each of these influential press freedom groups help to popularize particular understandings of press freedom in the 21st century."/>
    <s v="[Palmer, Lindsay] Univ Wisconsin, Sch Journalism &amp; Mass Commun, Madison, WI 53706 USA"/>
    <s v="University of Wisconsin System; University of Wisconsin Madison"/>
    <s v="Palmer, L (corresponding author), Univ Wisconsin, Sch Journalism &amp; Mass Commun, Madison, WI 53706 USA."/>
    <s v="lindsay.palmer@wisc.edu"/>
    <s v=""/>
    <s v=""/>
    <s v=""/>
    <s v=""/>
    <s v=""/>
    <s v=""/>
    <n v="62"/>
    <n v="5"/>
    <n v="5"/>
    <n v="2"/>
    <n v="22"/>
    <s v="ROUTLEDGE JOURNALS, TAYLOR &amp; FRANCIS LTD"/>
    <s v="ABINGDON"/>
    <s v="2-4 PARK SQUARE, MILTON PARK, ABINGDON OX14 4RN, OXON, ENGLAND"/>
    <s v="2167-0811"/>
    <s v="2167-082X"/>
    <s v=""/>
    <s v="DIGIT JOURNAL"/>
    <s v="Digit. Journal."/>
    <s v="JUL 3"/>
    <n v="2022"/>
    <n v="10"/>
    <n v="6"/>
    <s v=""/>
    <s v=""/>
    <s v=""/>
    <s v=""/>
    <n v="1079"/>
    <n v="1097"/>
    <s v=""/>
    <s v="10.1080/21670811.2021.1943480"/>
    <s v="http://dx.doi.org/10.1080/21670811.2021.1943480"/>
    <s v=""/>
    <s v="SEP 2021"/>
    <n v="19"/>
    <s v="Communication"/>
    <x v="0"/>
    <s v="Communication"/>
    <s v="3Z1WL"/>
    <s v=""/>
    <s v=""/>
    <s v=""/>
    <s v=""/>
    <s v="2023-11-15"/>
    <x v="231"/>
    <s v="View Full Record in Web of Science"/>
  </r>
  <r>
    <s v="J"/>
    <s v="Kimura, M"/>
    <s v=""/>
    <s v=""/>
    <s v=""/>
    <s v="Kimura, Makoto"/>
    <s v=""/>
    <s v=""/>
    <s v="Customer segment transition through the customer loyalty program"/>
    <s v="ASIA PACIFIC JOURNAL OF MARKETING AND LOGISTICS"/>
    <s v=""/>
    <s v=""/>
    <s v="English"/>
    <x v="0"/>
    <s v=""/>
    <s v=""/>
    <s v=""/>
    <s v=""/>
    <s v=""/>
    <s v="Customer journey; Customer loyalty; Smartphone app; Digital strategy; Forecasting; System dynamics"/>
    <s v=""/>
    <s v="Purpose This study presents the applicability of a model-based approach for loyalty program forecasting using smartphone app in the digital strategy of the retail industry. Design/methodology/approach The authors develop a dynamic model with the cyclical structure of customer segments through customer experience. They use time-series data on the number of members of the loyalty program, Seven Mile Program and confirm the validity of the approximate calculation of customer segment share, customer segment sales share and aggregate sales performance. The authors present three medium-term forecast scenarios after the launch of a smartphone payment service linked with the loyalty program. Findings The sum of the two customer segment shares for forecasting (the sum of the quasi-excellent and excellent customer ratios) is about 30% in each scenario, consistent with an essential customer loyalty (true loyalty) share obtained in the existing empirical study. Research limitations/implications Digital strategy in the retail industry should focus more on estimating and forecasting average amounts of customer segments and the number of aggregated customers through the digitalization on the customer side than on individual customer journeys and responses. Practical implications Multi-scenario evaluation through simulation of dynamic models from a systemic view can be used for decision-making in retailing digital strategies. Originality/value This study builds a model that integrates the cyclicality of customer segment transition through customer experiences into a loyalty matrix framework, which is a method that has previously been used in the hospitality industry."/>
    <s v="[Kimura, Makoto] Niigata Univ Int &amp; Informat Studies, Dept Business Adm, Niigata, Japan"/>
    <s v="Niigata University"/>
    <s v="Kimura, M (corresponding author), Niigata Univ Int &amp; Informat Studies, Dept Business Adm, Niigata, Japan."/>
    <s v="mkimura@nuis.ac.jp"/>
    <s v="Kimura, Makoto/ABA-6662-2021; Kimura, Makoto/F-8018-2016"/>
    <s v="Kimura, Makoto/0000-0002-2733-628X; Kimura, Makoto/0000-0002-2733-628X"/>
    <s v="JSPS KAKENHI [JP17K04017, JP19H01534]"/>
    <s v="JSPS KAKENHI(Ministry of Education, Culture, Sports, Science and Technology, Japan (MEXT)Japan Society for the Promotion of ScienceGrants-in-Aid for Scientific Research (KAKENHI))"/>
    <s v="Funding: This work was supported by JSPS KAKENHI Grant Numbers JP17K04017, JP19H01534."/>
    <s v=""/>
    <n v="29"/>
    <n v="5"/>
    <n v="6"/>
    <n v="9"/>
    <n v="40"/>
    <s v="EMERALD GROUP PUBLISHING LTD"/>
    <s v="BINGLEY"/>
    <s v="HOWARD HOUSE, WAGON LANE, BINGLEY BD16 1WA, W YORKSHIRE, ENGLAND"/>
    <s v="1355-5855"/>
    <s v="1758-4248"/>
    <s v=""/>
    <s v="ASIA PAC J MARKET LO"/>
    <s v="Asia Pac. J. Market. Logist."/>
    <s v="FEB 14"/>
    <n v="2022"/>
    <n v="34"/>
    <n v="3"/>
    <s v=""/>
    <s v=""/>
    <s v=""/>
    <s v=""/>
    <n v="611"/>
    <n v="626"/>
    <s v=""/>
    <s v="10.1108/APJML-09-2020-0630"/>
    <s v="http://dx.doi.org/10.1108/APJML-09-2020-0630"/>
    <s v=""/>
    <s v="JUL 2021"/>
    <n v="16"/>
    <s v="Business"/>
    <x v="0"/>
    <s v="Business &amp; Economics"/>
    <s v="ZF4XY"/>
    <s v=""/>
    <s v="hybrid"/>
    <s v=""/>
    <s v=""/>
    <s v="2023-11-15"/>
    <x v="232"/>
    <s v="View Full Record in Web of Science"/>
  </r>
  <r>
    <s v="J"/>
    <s v="Kilcoyne, A"/>
    <s v=""/>
    <s v=""/>
    <s v=""/>
    <s v="Kilcoyne, Anthony"/>
    <s v=""/>
    <s v=""/>
    <s v="Living and learning with Covid-19: re-imagining the digital strategy for schools in Ireland"/>
    <s v="IRISH EDUCATIONAL STUDIES"/>
    <s v=""/>
    <s v=""/>
    <s v="English"/>
    <x v="0"/>
    <s v=""/>
    <s v=""/>
    <s v=""/>
    <s v=""/>
    <s v=""/>
    <s v="Covid-19; policy enactment; policy actors; school context; online practices"/>
    <s v="POLICY ENACTMENTS"/>
    <s v="This article explores how the digital strategy for schools policy 2015-2020, Ireland's national digital technology in education policy and its enactment in schools prepared them for school closures as part of the Covid-19 response. The educational, economic and social context in which the digital strategy for schools was published in 2015 was vastly different from the current living with Covid-19 context. When schools eventually recalibrate, lockdown induced school closures will have provided a collective perspective and richer evidence base for the triumvirate of student, teacher and parent to contribute to the technology in the education debate. This paper utilises Ball, Maguire, and Braun's concept of context as a heuristic tool to illuminate the enactment of the Digital Strategy for Schools 2015-2020. The approach taken is discursive drawing on the digital strategy for schools policy document and the corpus of national and international reports and literature that have been published during Covid-19. Findings are fused with a detailed theoretical discussion about what we understand by digital learning for a post-pandemic society, how the current digital strategy speaks to this new reality and where attention should be directed in future reviews and strategy documents."/>
    <s v="[Kilcoyne, Anthony] Natl Univ Ireland Galway, Sch Educ, Galway, Ireland"/>
    <s v="Ollscoil na Gaillimhe-University of Galway"/>
    <s v="Kilcoyne, A (corresponding author), Natl Univ Ireland Galway, Sch Educ, Galway, Ireland."/>
    <s v="a.kilcoyne1@nuigalway.ie"/>
    <s v=""/>
    <s v=""/>
    <s v=""/>
    <s v=""/>
    <s v=""/>
    <s v=""/>
    <n v="17"/>
    <n v="5"/>
    <n v="5"/>
    <n v="0"/>
    <n v="12"/>
    <s v="ROUTLEDGE JOURNALS, TAYLOR &amp; FRANCIS LTD"/>
    <s v="ABINGDON"/>
    <s v="2-4 PARK SQUARE, MILTON PARK, ABINGDON OX14 4RN, OXON, ENGLAND"/>
    <s v="0332-3315"/>
    <s v="1747-4965"/>
    <s v=""/>
    <s v="IRISH EDUC STUD"/>
    <s v="Ir. Educ. Stud."/>
    <s v="APR 3"/>
    <n v="2021"/>
    <n v="40"/>
    <n v="2"/>
    <s v=""/>
    <s v=""/>
    <s v="SI"/>
    <s v=""/>
    <n v="247"/>
    <n v="253"/>
    <s v=""/>
    <s v="10.1080/03323315.2021.1915839"/>
    <s v="http://dx.doi.org/10.1080/03323315.2021.1915839"/>
    <s v=""/>
    <s v="APR 2021"/>
    <n v="7"/>
    <s v="Education &amp; Educational Research"/>
    <x v="0"/>
    <s v="Education &amp; Educational Research"/>
    <s v="TK4QG"/>
    <s v=""/>
    <s v="hybrid"/>
    <s v=""/>
    <s v=""/>
    <s v="2023-11-15"/>
    <x v="233"/>
    <s v="View Full Record in Web of Science"/>
  </r>
  <r>
    <s v="J"/>
    <s v="Miravete, ADF; Espinosa, MPP"/>
    <s v=""/>
    <s v=""/>
    <s v=""/>
    <s v="Fernandez Miravete, Angel David; Prendes Espinosa, Maria Paz"/>
    <s v=""/>
    <s v=""/>
    <s v="Analysis of the digitization process of a Secondary School from the DigCompOrg model"/>
    <s v="REVISTA LATINOAMERICANA DE TECNOLOGIA EDUCATIVA-RELATEC"/>
    <s v=""/>
    <s v=""/>
    <s v="Spanish"/>
    <x v="0"/>
    <s v=""/>
    <s v=""/>
    <s v=""/>
    <s v=""/>
    <s v=""/>
    <s v="Digital Competence; Digital Culture; Secondary Education; Educational Organization; Technology Of The Information And Communication"/>
    <s v="DIGITAL COMPETENCE; INFORMATION; EDUCATION; LITERACY; REGION"/>
    <s v="The achievement of digital competence among students has become a main objective within Spanish educational policies in recent decades. In this regard, the European Framework for Digitally Competent Educational Organizations (DigCompOrg) guides schools in their digitization process in a systematic way. This research evaluates the degree of development of the use of learning technologies in a secondary school in the Region of Murcia (case study) according to the dimensions contemplated in the European model. The research design is based on the ADDIE model and chooses a mixed methodology in which quantitative (SELFIE questionnaire) and qualitative (discussion group) techniques are applied. The results presented here collect the analysis of the qualitative information on secondary school students, teachers and school leaders. This first stage of detection of needs has allowed the center to establish a self-reflection and selfevaluation process on its digitization process, as well as the proposal of actions and improvement strategies that reinforce its commitment to digital pedagogies. Among them is the development of a digital strategy for the center, establishing progress evaluation mechanisms or working with digital learning technologies that promote self-evaluation and co-evaluation, all of which are related to the leadership dimensions and evaluative practices of the European model."/>
    <s v="[Fernandez Miravete, Angel David; Prendes Espinosa, Maria Paz] Dept Didact &amp; Org Escolar, Fac Educ, Campus Espinardo, Murcia 30100, Spain"/>
    <s v="University of Murcia"/>
    <s v="Miravete, ADF (corresponding author), Dept Didact &amp; Org Escolar, Fac Educ, Campus Espinardo, Murcia 30100, Spain."/>
    <s v="angeldavid.fernandez@um.es; pazprend@um.es"/>
    <s v="Prendes-Espinosa, Paz/B-3887-2014"/>
    <s v="Prendes-Espinosa, Paz/0000-0001-8375-5983"/>
    <s v=""/>
    <s v=""/>
    <s v=""/>
    <s v=""/>
    <n v="48"/>
    <n v="5"/>
    <n v="5"/>
    <n v="5"/>
    <n v="17"/>
    <s v="UNIV EXTREMADURA, FAC EDUCACION"/>
    <s v="BADAJOZ"/>
    <s v="AV ELVAS S-N, BADAJOZ, 06071, SPAIN"/>
    <s v="1695-288X"/>
    <s v=""/>
    <s v=""/>
    <s v="REV LATINOAM TECNOL"/>
    <s v="Rev. Latinoam. Tecnol. Educ.-RELATEC"/>
    <s v=""/>
    <n v="2021"/>
    <n v="20"/>
    <n v="1"/>
    <s v=""/>
    <s v=""/>
    <s v=""/>
    <s v=""/>
    <n v="9"/>
    <n v="25"/>
    <s v=""/>
    <s v="10.17398/1695-288X.20.1.9"/>
    <s v="http://dx.doi.org/10.17398/1695-288X.20.1.9"/>
    <s v=""/>
    <s v=""/>
    <n v="17"/>
    <s v="Education &amp; Educational Research"/>
    <x v="3"/>
    <s v="Education &amp; Educational Research"/>
    <s v="TB1UK"/>
    <s v=""/>
    <s v="Green Published"/>
    <s v=""/>
    <s v=""/>
    <s v="2023-11-15"/>
    <x v="234"/>
    <s v="View Full Record in Web of Science"/>
  </r>
  <r>
    <s v="J"/>
    <s v="Barbalho, SCM; Dantas, RD"/>
    <s v=""/>
    <s v=""/>
    <s v=""/>
    <s v="Macedo Barbalho, Sanderson Cesar; Dantas, Rafaela de Faria"/>
    <s v=""/>
    <s v=""/>
    <s v="The effect of islands of improvement on the maturity models for industry 4.0: the implementation of an inventory management system in a beverage factory"/>
    <s v="BRAZILIAN JOURNAL OF OPERATIONS &amp; PRODUCTION MANAGEMENT"/>
    <s v=""/>
    <s v=""/>
    <s v="English"/>
    <x v="4"/>
    <s v="26th International Joint Conference on Industrial Engineering and Operations Management (IJCIECOM)"/>
    <s v="FEB, 2021"/>
    <s v="Pontif Catholic Univ Rio de Janeiro, Rio de Janeiro, BRAZIL"/>
    <s v=""/>
    <s v="Pontif Catholic Univ Rio de Janeiro"/>
    <s v="Industry 4.0; Maturity Model; Logistics; Inventory; Storage Management Systems; RFID"/>
    <s v="READINESS"/>
    <s v="Goal: Industry 4.0 has the main purpose of turning the company into an agile organization and adapting continuously to the market's dynamicity. Thus, to reach this target, the business should be aware of its current readiness level and establish digital strategies to reach higher levels. This research aims to explore how improvements in industry 4.0 can improve companies' business processes. Design / Methodology / Approach: The present study is action research that initially identified the most suitable maturity model in Industry 4.0 in the scientific and practitioner literature. Furthermore, the chosen model was applied to a beverage manufacturer to evaluate its current maturity level. Some Industry 4.0 improvements were implemented on the warehouse as part of the company's digital strategy into which it was integrated the inventory management system with new digital solutions. Finally, interviews were conducted, and data was gathered from company indicators. Results: The action research's conduct revealed its current status and how storage management contributed to its digital transformation process. A phenomenon of islands of improvement is discussed at the end. Limitations of the investigation: Our main limitation is our case study approach. Additionally, more interviews crossing functional areas could bring additional elements about the perception of improvements that each functional group had at the implementation process. Practical implications: The case study suggests that maturity models' applications can generate the phenomena of islands of improvements. Managers must take this situation into account to plan digital transformation in the whole company. Originality / Value: The phenomena of the island of improvement is suggested to be a side effect of implementing industry 4.0 based on maturity models."/>
    <s v="[Macedo Barbalho, Sanderson Cesar] Univ Brasilia, Technol Coll, Dept Ind Engn, Postgraduat Program Mech Syst, Campus Darcy Ribeiro, Brasilia, DF, Brazil; [Dantas, Rafaela de Faria] Polytechn Univ Milan, Dept Engn Management, Msc Program Ind Management, Campus Masa, Milan, Italy"/>
    <s v="Universidade de Brasilia; Polytechnic University of Milan"/>
    <s v="Barbalho, SCM (corresponding author), Univ Brasilia, Technol Coll, Dept Ind Engn, Postgraduat Program Mech Syst, Campus Darcy Ribeiro, Brasilia, DF, Brazil."/>
    <s v="sandersoncesar@unb.br"/>
    <s v="Barbalho, Sanderson C. M./H-4113-2015"/>
    <s v="Barbalho, Sanderson C. M./0000-0003-1664-4866"/>
    <s v=""/>
    <s v=""/>
    <s v=""/>
    <s v=""/>
    <n v="28"/>
    <n v="5"/>
    <n v="5"/>
    <n v="9"/>
    <n v="36"/>
    <s v="ASSOC BRASILEIRA ENGENHARIA PRODUCAO-ABEPRO"/>
    <s v="SAO PAULO"/>
    <s v="AV PROF ALMEIDA PRADO 531, 1O ANDAR, SALA 102, SAO PAULO, 05508-900, BRAZIL"/>
    <s v="2237-8960"/>
    <s v=""/>
    <s v=""/>
    <s v="BRAZ J OPER PROD MAN"/>
    <s v="Braz. J. Oper. Prod. Manag."/>
    <s v=""/>
    <n v="2021"/>
    <n v="18"/>
    <n v="3"/>
    <s v=""/>
    <s v=""/>
    <s v=""/>
    <s v=""/>
    <s v=""/>
    <s v=""/>
    <s v="e20211119"/>
    <s v="10.14488/BJOPM.2021.011"/>
    <s v="http://dx.doi.org/10.14488/BJOPM.2021.011"/>
    <s v=""/>
    <s v=""/>
    <n v="17"/>
    <s v="Operations Research &amp; Management Science"/>
    <x v="3"/>
    <s v="Operations Research &amp; Management Science"/>
    <s v="TM1TF"/>
    <s v=""/>
    <s v="Green Published, gold"/>
    <s v=""/>
    <s v=""/>
    <s v="2023-11-15"/>
    <x v="235"/>
    <s v="View Full Record in Web of Science"/>
  </r>
  <r>
    <s v="J"/>
    <s v="Zhao, X"/>
    <s v=""/>
    <s v=""/>
    <s v=""/>
    <s v="Zhao, Xin"/>
    <s v=""/>
    <s v=""/>
    <s v="Auditing the Me Inc.: Teaching personal branding on LinkedIn through an experiential learning method"/>
    <s v="COMMUNICATION TEACHER"/>
    <s v=""/>
    <s v=""/>
    <s v="English"/>
    <x v="0"/>
    <s v=""/>
    <s v=""/>
    <s v=""/>
    <s v=""/>
    <s v=""/>
    <s v=""/>
    <s v="COMMUNICATION"/>
    <s v="Courses:Public Relations, Business and Professional Communication, Training and Development, Digital Media Strategies, Digital Communications. Objectives:By the end of the activity, students will be able to synthesize the key attributes of the notion of personal branding and to apply them in their future professional communications on social media."/>
    <s v="[Zhao, Xin] Bournemouth Univ, Fac Media &amp; Commun, Dept Commun &amp; Journalism, Poole, Dorset, England"/>
    <s v="Bournemouth University"/>
    <s v="Zhao, X (corresponding author), Bournemouth Univ, Fac Media &amp; Commun, Dept Commun &amp; Journalism, Poole, Dorset, England."/>
    <s v="xzhao@bournemouth.ac.uk"/>
    <s v="Zhao, Xin/AAT-5158-2020"/>
    <s v="Zhao, Xin/0000-0001-6853-7224"/>
    <s v=""/>
    <s v=""/>
    <s v=""/>
    <s v=""/>
    <n v="16"/>
    <n v="5"/>
    <n v="5"/>
    <n v="1"/>
    <n v="10"/>
    <s v="TAYLOR &amp; FRANCIS LTD"/>
    <s v="ABINGDON"/>
    <s v="2-4 PARK SQUARE, MILTON PARK, ABINGDON OR14 4RN, OXON, ENGLAND"/>
    <s v="1740-4622"/>
    <s v="1740-4630"/>
    <s v=""/>
    <s v="COMMUN TEACH"/>
    <s v="Commun. Teach."/>
    <s v="JAN 2"/>
    <n v="2021"/>
    <n v="35"/>
    <n v="1"/>
    <s v=""/>
    <s v=""/>
    <s v=""/>
    <s v=""/>
    <n v="37"/>
    <n v="42"/>
    <s v=""/>
    <s v="10.1080/17404622.2020.1807579"/>
    <s v="http://dx.doi.org/10.1080/17404622.2020.1807579"/>
    <s v=""/>
    <s v="AUG 2020"/>
    <n v="6"/>
    <s v="Communication"/>
    <x v="3"/>
    <s v="Communication"/>
    <s v="PG6JU"/>
    <s v=""/>
    <s v="Green Accepted"/>
    <s v=""/>
    <s v=""/>
    <s v="2023-11-15"/>
    <x v="236"/>
    <s v="View Full Record in Web of Science"/>
  </r>
  <r>
    <s v="J"/>
    <s v="Zimand Sheiner, D; Earon, A"/>
    <s v=""/>
    <s v=""/>
    <s v=""/>
    <s v="Zimand Sheiner, Dorit; Earon, Amir"/>
    <s v=""/>
    <s v=""/>
    <s v="Disruptions of account planning in the digital age"/>
    <s v="MARKETING INTELLIGENCE &amp; PLANNING"/>
    <s v=""/>
    <s v=""/>
    <s v="English"/>
    <x v="0"/>
    <s v=""/>
    <s v=""/>
    <s v=""/>
    <s v=""/>
    <s v=""/>
    <s v="Big Data; Strategy; Advertising agencies; Account planning; Creative process; Digital strategy"/>
    <s v="ADVERTISING AGENCIES; DISCIPLINE; FUTURE"/>
    <s v="Purpose The purpose of this paper is to focus on transformations in the advertising industry from the point of view of the role and position of account planners. It questions the current viability of account planning (AP) as a result of digital disruptions. Design/methodology/approach In total, 18 face-to-face responsive interviews were conducted among professionals who hold planning responsibilities at advertising agencies. A theoretical thematic analysis revealed five main themes which are associated with the disruption of AP roles. Findings The research points out that AP is a profession in transition as part of the advertising industry that is undergoing a major shift. Digital transformations have not yet crystallized in the business domain, and so this period is one of learning and adjustment. Originality/value The current research has several significant implications for theory and practice: confronting the role of the strategist in advertising agencies vs digital strategy and Big Data; contributing to the understanding of the dynamics of AP transitional roles as a starting point for re-examination of the advertising creative process; and calling for more research exploring the relationship between agency adoption of digital tools and its approach to AP."/>
    <s v="[Zimand Sheiner, Dorit] Ariel Univ, Sch Commun, Strateg Commun Track, Ariel, Israel; [Earon, Amir] Sapir Coll, Dept Commun, Ashqelon, Israel"/>
    <s v="Ariel University"/>
    <s v="Zimand Sheiner, D (corresponding author), Ariel Univ, Sch Commun, Strateg Commun Track, Ariel, Israel."/>
    <s v="doritzs@ariel.ac.il; amir.earon@gmail.com"/>
    <s v="Sheiner, Dorit Zimand/L-1946-2019"/>
    <s v="Sheiner, Dorit Zimand/0000-0003-3543-2260"/>
    <s v=""/>
    <s v=""/>
    <s v=""/>
    <s v=""/>
    <n v="38"/>
    <n v="5"/>
    <n v="5"/>
    <n v="4"/>
    <n v="49"/>
    <s v="EMERALD GROUP PUBLISHING LTD"/>
    <s v="BINGLEY"/>
    <s v="HOWARD HOUSE, WAGON LANE, BINGLEY BD16 1WA, W YORKSHIRE, ENGLAND"/>
    <s v="0263-4503"/>
    <s v="1758-8049"/>
    <s v=""/>
    <s v="MARK INTELL PLAN"/>
    <s v="Mark. Intell. Plan."/>
    <s v="APR 1"/>
    <n v="2019"/>
    <n v="37"/>
    <n v="2"/>
    <s v=""/>
    <s v=""/>
    <s v=""/>
    <s v=""/>
    <n v="126"/>
    <n v="139"/>
    <s v=""/>
    <s v="10.1108/MIP-04-2018-0115"/>
    <s v="http://dx.doi.org/10.1108/MIP-04-2018-0115"/>
    <s v=""/>
    <s v=""/>
    <n v="14"/>
    <s v="Business"/>
    <x v="0"/>
    <s v="Business &amp; Economics"/>
    <s v="HP4KR"/>
    <s v=""/>
    <s v=""/>
    <s v=""/>
    <s v=""/>
    <s v="2023-11-15"/>
    <x v="237"/>
    <s v="View Full Record in Web of Science"/>
  </r>
  <r>
    <s v="J"/>
    <s v="Shepherd, T; Henderson, M"/>
    <s v=""/>
    <s v=""/>
    <s v=""/>
    <s v="Shepherd, Tamara; Henderson, Monica"/>
    <s v=""/>
    <s v=""/>
    <s v="Digital Literacy in Digital Strategy"/>
    <s v="CANADIAN JOURNAL OF COMMUNICATION"/>
    <s v=""/>
    <s v=""/>
    <s v="English"/>
    <x v="0"/>
    <s v=""/>
    <s v=""/>
    <s v=""/>
    <s v=""/>
    <s v=""/>
    <s v="Digital literacy; Policy; Technology; Internet; Regulation"/>
    <s v="POLICY"/>
    <s v="This article discusses the role of digital literacy as a digital strategy policy goal in Canada. It reviews previous framings of digital literacy and suggests how they could be broadened to avoid an overly superficial treatment of Canadians' negotiation of digital culture and policymaking."/>
    <s v="[Shepherd, Tamara; Henderson, Monica] Univ Calgary, Commun Media &amp; Film, Calgary, AB, Canada"/>
    <s v="University of Calgary"/>
    <s v="Shepherd, T (corresponding author), Univ Calgary, Commun Media &amp; Film, Calgary, AB, Canada."/>
    <s v="tamara.shepherd@ucalgary.ca; monica.henderson2@ucalgary.ca"/>
    <s v=""/>
    <s v=""/>
    <s v=""/>
    <s v=""/>
    <s v=""/>
    <s v=""/>
    <n v="29"/>
    <n v="5"/>
    <n v="5"/>
    <n v="10"/>
    <n v="32"/>
    <s v="CANADIAN JOURNAL COMMUNICATION"/>
    <s v="VANCOUVER"/>
    <s v="C/O SIMON FRASER UNIV, 515 WEST HASTINGS ST, VANCOUVER, BC V6B 5K3, CANADA"/>
    <s v="0705-3657"/>
    <s v="1499-6642"/>
    <s v=""/>
    <s v="CAN J COMMUN"/>
    <s v="Can. J. Commun."/>
    <s v=""/>
    <n v="2019"/>
    <n v="44"/>
    <n v="2"/>
    <s v=""/>
    <s v=""/>
    <s v=""/>
    <s v=""/>
    <n v="51"/>
    <n v="56"/>
    <s v=""/>
    <s v="10.22230/cjc.2019v44n2a3491"/>
    <s v="http://dx.doi.org/10.22230/cjc.2019v44n2a3491"/>
    <s v=""/>
    <s v=""/>
    <n v="6"/>
    <s v="Communication"/>
    <x v="3"/>
    <s v="Communication"/>
    <s v="IF5TD"/>
    <s v=""/>
    <s v="hybrid"/>
    <s v=""/>
    <s v=""/>
    <s v="2023-11-15"/>
    <x v="238"/>
    <s v="View Full Record in Web of Science"/>
  </r>
  <r>
    <s v="J"/>
    <s v="Silvaggi, A; Pesce, F"/>
    <s v=""/>
    <s v=""/>
    <s v=""/>
    <s v="Silvaggi, Antonia; Pesce, Federica"/>
    <s v=""/>
    <s v=""/>
    <s v="Job profiles for museums in the digital era: research conducted in Portugal, Italy and Greece within the Mu.SA project"/>
    <s v="ENCATC JOURNAL OF CULTURAL MANAGEMENT AND POLICY"/>
    <s v=""/>
    <s v=""/>
    <s v="English"/>
    <x v="0"/>
    <s v=""/>
    <s v=""/>
    <s v=""/>
    <s v=""/>
    <s v=""/>
    <s v="Museum; Job profiles; Digital skills; Transferable competences; Digital culture"/>
    <s v=""/>
    <s v="Due to the increasing use of technologies in the museum sector, new job profiles are now emerging within that sector. This paper describes the key findings of the research activities carried out in Greece, Portugal and Italy within the Mu.SA - Museum Sector Alliance - project funded by the European Erasmus Plus Programme - Sector Skills Alliances. Our research addressed the questions of what skills and know-how are needed by museum professionals in the process of digital transformation of their sector and what emerging job profiles would help museums to thrive in the digital environment. The research validated four job profiles such as Digital Strategy Manager, Digital Collections Curator, Digital Interactive Experience Developer and Online Community Manager. It also showed that there are some digital and transferable competences common to the four museum job profiles, but, most importantly, that an awareness of digital culture should be developed throughout the whole of a museum's workforce."/>
    <s v="[Silvaggi, Antonia; Pesce, Federica] Melting Pro, Rome, Italy"/>
    <s v=""/>
    <s v="Silvaggi, A (corresponding author), Melting Pro, Rome, Italy."/>
    <s v="a.silvaggi@meltingpro.org; f.pesce@meltingpro.org"/>
    <s v="Marinho, Ana/AGC-0349-2022"/>
    <s v=""/>
    <s v=""/>
    <s v=""/>
    <s v=""/>
    <s v=""/>
    <n v="23"/>
    <n v="5"/>
    <n v="5"/>
    <n v="1"/>
    <n v="7"/>
    <s v="ENCATC"/>
    <s v="BRUSSELS"/>
    <s v="1 AVE MAURICE, BRUSSELS, 1050, BELGIUM"/>
    <s v="2224-2554"/>
    <s v=""/>
    <s v=""/>
    <s v="ENCATC J CULT MANAG"/>
    <s v="ENCATC J. Cult. Manag. Policy"/>
    <s v="DEC"/>
    <n v="2018"/>
    <n v="8"/>
    <n v="1"/>
    <s v=""/>
    <s v=""/>
    <s v=""/>
    <s v=""/>
    <n v="56"/>
    <n v="69"/>
    <s v=""/>
    <s v=""/>
    <s v=""/>
    <s v=""/>
    <s v=""/>
    <n v="14"/>
    <s v="Humanities, Multidisciplinary"/>
    <x v="3"/>
    <s v="Arts &amp; Humanities - Other Topics"/>
    <s v="HE8KL"/>
    <s v=""/>
    <s v=""/>
    <s v=""/>
    <s v=""/>
    <s v="2023-11-15"/>
    <x v="239"/>
    <s v="View Full Record in Web of Science"/>
  </r>
  <r>
    <s v="J"/>
    <s v="Mummery, J; Rodan, D"/>
    <s v=""/>
    <s v=""/>
    <s v=""/>
    <s v="Mummery, Jane; Rodan, Debbie"/>
    <s v=""/>
    <s v=""/>
    <s v="Mediation for affect: coming to care about factory-farmed animals"/>
    <s v="MEDIA INTERNATIONAL AUSTRALIA"/>
    <s v=""/>
    <s v=""/>
    <s v="English"/>
    <x v="0"/>
    <s v=""/>
    <s v=""/>
    <s v=""/>
    <s v=""/>
    <s v=""/>
    <s v="affect; animal activism; mediation; mobilisation; Web 2.0"/>
    <s v="MORAL SHOCKS; RIGHTS; ACTIVISM"/>
    <s v="In this article, we examine the digitalised emotional campaigning of one of Australia's peak animal welfare body, Animals Australia, focusing on their most effective digital strategies associated with their campaigns against factory farming. Our broader interest lies with sounding out the affective affordances of the technologies informing such activist work; technologies of affect in a very significant sense. This discussion comprises three parts. First, we unpack the context for the problematic faced by animal and environmental activisms: neoliberalism, showing how neoliberal assumptions constrain such activisms to emotional appeals and denounce them for such strategising. Second, we sound out some of the affordances of digital media technologies for affectively oriented activisms; and finally, we delve into some of Animals Australia's digital campaigning with regard to issues of factory farming in order to show the efficacy of such affectively oriented mediated strategising for the forming of new relations with factory farm."/>
    <s v="[Mummery, Jane] Federat Univ Australia, Ballarat, Vic, Australia; [Rodan, Debbie] Edith Cowan Univ, Churchlands, WA, Australia"/>
    <s v="Federation University Australia; Edith Cowan University"/>
    <s v="Mummery, J (corresponding author), Federat Univ Australia, Fac Educ &amp; Arts, Univ Dr, Ballarat, Vic 3353, Australia."/>
    <s v="j.mummery@federation.edu.au"/>
    <s v=""/>
    <s v="Rodan, Debbie/0000-0002-0770-1833"/>
    <s v=""/>
    <s v=""/>
    <s v=""/>
    <s v=""/>
    <n v="69"/>
    <n v="5"/>
    <n v="5"/>
    <n v="0"/>
    <n v="20"/>
    <s v="SAGE PUBLICATIONS LTD"/>
    <s v="LONDON"/>
    <s v="1 OLIVERS YARD, 55 CITY ROAD, LONDON EC1Y 1SP, ENGLAND"/>
    <s v="1329-878X"/>
    <s v="2200-467X"/>
    <s v=""/>
    <s v="MEDIA INT AUST"/>
    <s v="Media Int. Aust."/>
    <s v="NOV"/>
    <n v="2017"/>
    <n v="165"/>
    <n v="1"/>
    <s v=""/>
    <s v=""/>
    <s v=""/>
    <s v=""/>
    <n v="37"/>
    <n v="50"/>
    <s v=""/>
    <s v="10.1177/1329878X17726454"/>
    <s v="http://dx.doi.org/10.1177/1329878X17726454"/>
    <s v=""/>
    <s v=""/>
    <n v="14"/>
    <s v="Communication"/>
    <x v="0"/>
    <s v="Communication"/>
    <s v="FM5CU"/>
    <s v=""/>
    <s v="Green Published"/>
    <s v=""/>
    <s v=""/>
    <s v="2023-11-15"/>
    <x v="240"/>
    <s v="View Full Record in Web of Science"/>
  </r>
  <r>
    <s v="J"/>
    <s v="Roszkowska, D"/>
    <s v=""/>
    <s v=""/>
    <s v=""/>
    <s v="Roszkowska, Dorota"/>
    <s v=""/>
    <s v=""/>
    <s v="External Knowledge Sourcing and Innovation Processes in Modern Economic Environment"/>
    <s v="INTERNATIONAL JOURNAL OF MANAGEMENT AND ECONOMICS"/>
    <s v=""/>
    <s v=""/>
    <s v="English"/>
    <x v="0"/>
    <s v=""/>
    <s v=""/>
    <s v=""/>
    <s v=""/>
    <s v=""/>
    <s v="external knowledge; innovation management; innovation process; co-innovation; open innovation"/>
    <s v="RESEARCH-AND-DEVELOPMENT; ABSORPTIVE-CAPACITY; PROCESS MANAGEMENT; CO-INNOVATION; NETWORKS; CREATION; ACQUISITION"/>
    <s v="In an open and digital economy where ICTs, global networks and innovation systems play a key economic role, knowledge used by companies is increasingly gathered using different external sources. Rapidly changing technology enables companies to use new ways to innovate. New innovation processes permit companies to reduce risk and the costs of innovation. New paradigms, called open innovation and co-innovation, allow organizations to remain innovative in a rapidly changing environment. The objectives of this paper are: to provide a better understanding of open innovation and co-innovation paradigms and to suggest instruments for organizations to benefit from co-innovation ecosystem. Internet empowered ICT tools can be the first step for an organization to initiate implementation of a digital strategy. To gain incremental, tacit, organizational knowledge or marketing skills, a new innovation strategy should involve networking through social networks and virtual communities. Digitalization of innovation activities constitutes a new important role for innovation networks and ecosystems, including global innovation networks, as knowledge and technology are no longer owned by a single firm or country. This paper attempts to prepare the theoretical background, for empirical studies on the impact of new innovation processes on company innovation and their competitive advantages. The study is descriptive and analytical, building on the theory and empirical results of previous studies on new, digital innovation models."/>
    <s v="[Roszkowska, Dorota] Univ Bialystok, Dept Econ &amp; Management, Bialystok, Poland"/>
    <s v="University of Bialystok"/>
    <s v="Roszkowska, D (corresponding author), Univ Bialystok, Dept Econ &amp; Management, Bialystok, Poland."/>
    <s v="dorotta.gradzka@gmail.com"/>
    <s v="CORREA, RENATA/AAA-2417-2022"/>
    <s v=""/>
    <s v=""/>
    <s v=""/>
    <s v=""/>
    <s v=""/>
    <n v="53"/>
    <n v="5"/>
    <n v="5"/>
    <n v="1"/>
    <n v="34"/>
    <s v="SCIENDO"/>
    <s v="WARSAW"/>
    <s v="BOGUMILA ZUGA 32A, WARSAW, MAZOVIA, POLAND"/>
    <s v="2299-9701"/>
    <s v="2543-5361"/>
    <s v=""/>
    <s v="INT J MANAG ECON"/>
    <s v="Int. J. Manag. Econ."/>
    <s v="JUN"/>
    <n v="2017"/>
    <n v="53"/>
    <n v="2"/>
    <s v=""/>
    <s v=""/>
    <s v=""/>
    <s v=""/>
    <n v="39"/>
    <n v="56"/>
    <s v=""/>
    <s v="10.1515/ijme-2017-0011"/>
    <s v="http://dx.doi.org/10.1515/ijme-2017-0011"/>
    <s v=""/>
    <s v=""/>
    <n v="18"/>
    <s v="Economics"/>
    <x v="3"/>
    <s v="Business &amp; Economics"/>
    <s v="FV4YU"/>
    <s v=""/>
    <s v="gold, Green Published"/>
    <s v=""/>
    <s v=""/>
    <s v="2023-11-15"/>
    <x v="241"/>
    <s v="View Full Record in Web of Science"/>
  </r>
  <r>
    <s v="J"/>
    <s v="Gon, M; Pechlaner, H; Marangon, F"/>
    <s v=""/>
    <s v=""/>
    <s v=""/>
    <s v="Gon, Marika; Pechlaner, Harald; Marangon, Francesco"/>
    <s v=""/>
    <s v=""/>
    <s v="Destination management organizations (DMOs) and Digital Natives: the neglected informal expertise'' in web 2.0 implementation and social media presence. Insights from the Italian Friuli Venezia Giulia DMO"/>
    <s v="INFORMATION TECHNOLOGY &amp; TOURISM"/>
    <s v=""/>
    <s v=""/>
    <s v="English"/>
    <x v="0"/>
    <s v=""/>
    <s v=""/>
    <s v=""/>
    <s v=""/>
    <s v=""/>
    <s v="Social media; Web 2.0 implementation; Destination management organizations; Digital natives; DMOs digital strategies"/>
    <s v="MARKETING TOOL; CO-CREATION; TOURISM; HOSPITALITY; EXPERIENCES; FACEBOOK"/>
    <s v="The present paper wishes to investigate the perspective of Digital Natives (DNs), described in literature as informal experts'', in respect of digital strategies' implementation of destination management organizations (DMOs). In particular, focus groups of students and workers in the tourism field were asked to browse and discuss the website and social media presence of an Italian regional DMO (i.e. PromoTurismoFVG). Comments were collected and analyzed with the GABEK/Winrelan method for qualitative analysis. Results confirmed the DMO's adoption of a digital format but with limited social and consumer-generated-contents (CGC). DNs recognized the implementation of a Web 2.0 destination site in a rather traditional marketing mix strategy. Furthermore DMO websites and social media (SM) (i.e., Facebook, Instagram, Twitter and YouTube) content analysis showed that the DMO lacks products and offers for the young market segment. The combination of limited social content and the weak attention to youth market makes the current digital DMO not attractive enough to the digital natives. The work highlights the importance on focusing on DN informal expertise'' in the planning and development of digital strategies, DMO websites and SM presence. Their proved social media knowledge and digital competences have to be considered as a key opportunity for DMOs and for the improvement of the destination marketing strategies. This research contributes to the academic discussion on SM/Web 2.0 implementation in destination management, by presenting an exploratory study on DNs' informal expert perspective supported by the use of GABEK/ Winrelan as an innovative method."/>
    <s v="[Gon, Marika; Marangon, Francesco] Univ Udine, Udine, Italy; [Gon, Marika; Pechlaner, Harald] Katholische Univ Eichstatt Ingolstadt, Eichstatt Ingolstadt, Germany"/>
    <s v="University of Udine"/>
    <s v="Gon, M (corresponding author), Univ Udine, Udine, Italy.;Gon, M (corresponding author), Katholische Univ Eichstatt Ingolstadt, Eichstatt Ingolstadt, Germany."/>
    <s v="marikagon@hotmail.com; Harald.pechlaner@ku.de; Francesco.marangon@uniud.it"/>
    <s v="Marangon, Francesco/P-5554-2015; Rodrigues de Assis, Iracema/HJZ-4230-2023; Matzler, Kurt/M-5994-2013"/>
    <s v="Marangon, Francesco/0000-0001-7519-2922;"/>
    <s v=""/>
    <s v=""/>
    <s v=""/>
    <s v=""/>
    <n v="47"/>
    <n v="5"/>
    <n v="6"/>
    <n v="0"/>
    <n v="29"/>
    <s v="SPRINGER HEIDELBERG"/>
    <s v="HEIDELBERG"/>
    <s v="TIERGARTENSTRASSE 17, D-69121 HEIDELBERG, GERMANY"/>
    <s v="1098-3058"/>
    <s v="1943-4294"/>
    <s v=""/>
    <s v="INF TECHNOL TOUR"/>
    <s v="Inf. Technol. Tour."/>
    <s v="DEC"/>
    <n v="2016"/>
    <n v="16"/>
    <n v="4"/>
    <s v=""/>
    <s v=""/>
    <s v="SI"/>
    <s v=""/>
    <n v="435"/>
    <n v="455"/>
    <s v=""/>
    <s v="10.1007/s40558-016-0068-x"/>
    <s v="http://dx.doi.org/10.1007/s40558-016-0068-x"/>
    <s v=""/>
    <s v=""/>
    <n v="21"/>
    <s v="Hospitality, Leisure, Sport &amp; Tourism"/>
    <x v="3"/>
    <s v="Social Sciences - Other Topics"/>
    <s v="FK9GY"/>
    <s v=""/>
    <s v=""/>
    <s v=""/>
    <s v=""/>
    <s v="2023-11-15"/>
    <x v="242"/>
    <s v="View Full Record in Web of Science"/>
  </r>
  <r>
    <s v="J"/>
    <s v="McShane, I; Thomas, J"/>
    <s v=""/>
    <s v=""/>
    <s v=""/>
    <s v="McShane, Ian; Thomas, Julian"/>
    <s v=""/>
    <s v=""/>
    <s v="Unlocking the potential? - Australia's digital strategy and major public libraries"/>
    <s v="PROMETHEUS"/>
    <s v=""/>
    <s v=""/>
    <s v="English"/>
    <x v="0"/>
    <s v=""/>
    <s v=""/>
    <s v=""/>
    <s v=""/>
    <s v=""/>
    <s v=""/>
    <s v=""/>
    <s v="This paper examines some implications for public libraries of the Australian government's 2009 strategy for the digital economy. Many countries have produced national digital strategies in recent years, but these key pieces of policy architecture have received little critical attention. The rhetorical framing of the Australian document indicates the shift of communication and information to the centre of economic policy. This has particular significance for public libraries, as the major public information portals and cultural storehouses of liberal democracies. The strategy's emphasis on productivity and economic competitiveness, boosted by a proposed high-speed national broadband network, presents major opportunities for Australian libraries. However, libraries and other collecting institutions have voiced concern over assumptions that they can simply 'unlock' their collections and supply content for new broadband applications. In contrast to some other countries, the Australian strategy pays no attention to the profound implications for information integrity and cultural memory presented by the expansion of cultural and economic activity in the digital sphere. The challenge for public libraries, the paper argues, is to explore ways that orthodox library responsibilities and new roles can be articulated in this evolving policy framework."/>
    <s v="[McShane, Ian; Thomas, Julian] Swinburne Univ Technol, Melbourne, Vic, Australia"/>
    <s v="Swinburne University of Technology"/>
    <s v="McShane, I (corresponding author), Swinburne Univ Technol, Melbourne, Vic, Australia."/>
    <s v="imcshane@swin.edu.au"/>
    <s v="McShane, Ian/A-4464-2010"/>
    <s v="McShane, Ian/0000-0001-8280-4560; Thomas, Julian/0000-0002-2907-4586"/>
    <s v=""/>
    <s v=""/>
    <s v=""/>
    <s v=""/>
    <n v="63"/>
    <n v="5"/>
    <n v="5"/>
    <n v="0"/>
    <n v="1"/>
    <s v="ROUTLEDGE JOURNALS, TAYLOR &amp; FRANCIS LTD"/>
    <s v="ABINGDON"/>
    <s v="2-4 PARK SQUARE, MILTON PARK, ABINGDON OX14 4RN, OXON, ENGLAND"/>
    <s v="0810-9028"/>
    <s v="1470-1030"/>
    <s v=""/>
    <s v="PROMETHEUS"/>
    <s v="Prometheus"/>
    <s v=""/>
    <n v="2010"/>
    <n v="28"/>
    <n v="2"/>
    <s v=""/>
    <s v=""/>
    <s v=""/>
    <s v=""/>
    <n v="149"/>
    <n v="163"/>
    <s v=""/>
    <s v="10.1080/08109028.2010.496235"/>
    <s v="http://dx.doi.org/10.1080/08109028.2010.496235"/>
    <s v=""/>
    <s v=""/>
    <n v="15"/>
    <s v="Social Sciences, Interdisciplinary"/>
    <x v="3"/>
    <s v="Social Sciences - Other Topics"/>
    <s v="V60NG"/>
    <s v=""/>
    <s v="Green Published"/>
    <s v=""/>
    <s v=""/>
    <s v="2023-11-15"/>
    <x v="243"/>
    <s v="View Full Record in Web of Science"/>
  </r>
  <r>
    <s v="J"/>
    <s v="Shao, GS"/>
    <s v=""/>
    <s v=""/>
    <s v=""/>
    <s v="Shao, Guosong"/>
    <s v=""/>
    <s v=""/>
    <s v="VENTURING THROUGH ACQUISITIONS OR ALLIANCES? EXAMINING U.S. MEDIA COMPANIES' DIGITAL STRATEGY"/>
    <s v="JOURNAL OF MEDIA BUSINESS STUDIES"/>
    <s v=""/>
    <s v=""/>
    <s v="English"/>
    <x v="0"/>
    <s v=""/>
    <s v=""/>
    <s v=""/>
    <s v=""/>
    <s v=""/>
    <s v="corporate strategy; corporate venturing; media firms; digital strategy; acquisitions; equity alliances; non-equity alliances"/>
    <s v="JOINT-VENTURES; JAPANESE INVESTORS; CHOICE; PERFORMANCE; INFORMATION"/>
    <s v="This paper examined how media firms chose among acquisitions, equity alliances, and non-equity alliances when they decided to venture their digital business. The dataset covered 292 deals made by 20 U.S. media companies of the Fortune 1000 in the 2000s. The results showed that the choice was a function of strategic objectives (e.g., product extension and market extension), market factors (e.g., market uncertainty and competition), and media firms' attributes (e.g., technological intensity, relative size, and diversification level)."/>
    <s v="[Shao, Guosong] Pittsburg State Univ, Pittsburg, KS 66762 USA"/>
    <s v="Pittsburg State University"/>
    <s v="Shao, GS (corresponding author), Pittsburg State Univ, Pittsburg, KS 66762 USA."/>
    <s v=""/>
    <s v=""/>
    <s v=""/>
    <s v=""/>
    <s v=""/>
    <s v=""/>
    <s v=""/>
    <n v="40"/>
    <n v="5"/>
    <n v="6"/>
    <n v="0"/>
    <n v="1"/>
    <s v="ROUTLEDGE JOURNALS, TAYLOR &amp; FRANCIS LTD"/>
    <s v="ABINGDON"/>
    <s v="2-4 PARK SQUARE, MILTON PARK, ABINGDON OX14 4RN, OXON, ENGLAND"/>
    <s v="1652-2354"/>
    <s v="2376-2977"/>
    <s v=""/>
    <s v="J MEDIA BUS STUD"/>
    <s v="J. Media Bus. Stud."/>
    <s v=""/>
    <n v="2010"/>
    <n v="7"/>
    <n v="1"/>
    <s v=""/>
    <s v=""/>
    <s v=""/>
    <s v=""/>
    <n v="21"/>
    <n v="39"/>
    <s v=""/>
    <s v="10.1080/16522354.2010.11073501"/>
    <s v="http://dx.doi.org/10.1080/16522354.2010.11073501"/>
    <s v=""/>
    <s v=""/>
    <n v="19"/>
    <s v="Business"/>
    <x v="3"/>
    <s v="Business &amp; Economics"/>
    <s v="VA2MP"/>
    <s v=""/>
    <s v=""/>
    <s v=""/>
    <s v=""/>
    <s v="2023-11-15"/>
    <x v="244"/>
    <s v="View Full Record in Web of Science"/>
  </r>
  <r>
    <s v="J"/>
    <s v="Bermak, A; Boussaïd, F; Bouzerdoum, A"/>
    <s v=""/>
    <s v=""/>
    <s v=""/>
    <s v="Bermak, A; Boussaïd, F; Bouzerdoum, A"/>
    <s v=""/>
    <s v=""/>
    <s v="A CMOS imager with on-chip processing for image enhancement and edge detection"/>
    <s v="CANADIAN JOURNAL OF ELECTRICAL AND COMPUTER ENGINEERING-REVUE CANADIENNE DE GENIE ELECTRIQUE ET INFORMATIQUE"/>
    <s v=""/>
    <s v=""/>
    <s v="English"/>
    <x v="0"/>
    <s v=""/>
    <s v=""/>
    <s v=""/>
    <s v=""/>
    <s v=""/>
    <s v=""/>
    <s v=""/>
    <s v="In this paper a CMOS vision chip featuring real-time on-chip image processing capabilities is presented. A sensor army, an analogue read-out processor and a digital image processor have been integrated on a single chip. The prototype can perform dynamic-range compression, noise filtering, edge detection and image enhancement. To achieve high-speed real-time processing, an efficient VLSI implementation based on a mixed-mode analogue-digital strategy is proposed. The proposed approach also leads to a very compact VLSI implementation of the analogue processing parts, allowing for 7590 of the silicon area to be fully dedicated to the 58 x 58-pixel array."/>
    <s v="Edith Cowan Univ, Sch Engn &amp; Math, Joondalup, WA 6027, Australia"/>
    <s v="Edith Cowan University"/>
    <s v="Bermak, A (corresponding author), Edith Cowan Univ, Sch Engn &amp; Math, Joondalup, WA 6027, Australia."/>
    <s v="a.bermak@ecu.edu.au; f.boussaid@ecu.edu.au; a.bouzerdoum@ecu.edu.au"/>
    <s v="Bermak, Amine/G-9915-2013; Bouzerdoum, Abdesselam/A-4479-2012"/>
    <s v="Bouzerdoum, Abdesselam/0000-0002-9163-0045; Bermak, Amine/0000-0003-4984-6093; BOUSSAID, FARID/0000-0001-7250-7407"/>
    <s v=""/>
    <s v=""/>
    <s v=""/>
    <s v=""/>
    <n v="6"/>
    <n v="5"/>
    <n v="5"/>
    <n v="0"/>
    <n v="1"/>
    <s v="IEEE CANADA"/>
    <s v="QUEBEC CITY"/>
    <s v="UNIVERSITE LAVAL, DEPT GENIE ELECTRIQUE, QUEBEC CITY, PQ G1K 7P4, CANADA"/>
    <s v="0840-8688"/>
    <s v=""/>
    <s v=""/>
    <s v="CAN J ELECT COMPUT E"/>
    <s v="Can. J. Electr. Comp. Eng.-Rev. Can. Genie Electr. Inform."/>
    <s v="JUL-OCT"/>
    <n v="2001"/>
    <n v="26"/>
    <s v="3-4"/>
    <s v=""/>
    <s v=""/>
    <s v=""/>
    <s v=""/>
    <n v="153"/>
    <n v="157"/>
    <s v=""/>
    <s v=""/>
    <s v=""/>
    <s v=""/>
    <s v=""/>
    <n v="5"/>
    <s v="Computer Science, Hardware &amp; Architecture; Engineering, Electrical &amp; Electronic"/>
    <x v="2"/>
    <s v="Computer Science; Engineering"/>
    <s v="530KR"/>
    <s v=""/>
    <s v=""/>
    <s v=""/>
    <s v=""/>
    <s v="2023-11-15"/>
    <x v="245"/>
    <s v="View Full Record in Web of Science"/>
  </r>
  <r>
    <s v="J"/>
    <s v="Coutu, DL"/>
    <s v=""/>
    <s v=""/>
    <s v=""/>
    <s v="Coutu, DL"/>
    <s v=""/>
    <s v=""/>
    <s v="Too old to learn?"/>
    <s v="HARVARD BUSINESS REVIEW"/>
    <s v=""/>
    <s v=""/>
    <s v="English"/>
    <x v="0"/>
    <s v=""/>
    <s v=""/>
    <s v=""/>
    <s v=""/>
    <s v=""/>
    <s v=""/>
    <s v=""/>
    <s v="C.J. Albert, the head of family-owned Armor Coat insurance, is just settling in on a Sunday evening when he receives an unsettling phone call from his star salesman. Fifty-two-year-old Ed McGlynn has just returned from a business dinner with his younger technology mentor, and he's none too happy with the way he's being treated. If CJ. doesn't take this attack dog off him, Ed warns, he's gone. C.J. had indeed assigned 28-year-old Roger Sterling - the company's monomaniacal, slightly antisocial director of e-commerce-to teach Ed about digital strategy and the Web. Reverse mentoring seemed like a good way to create synergy between the sales and technology groups. The goal was to create a digital insurance product that would allow Armor Coat to keep up with its competitors. But there'd been tension between Ed and Roger right from the start - stemming from their personalities and their two departments. So when the two reluctantly agreed to meet for dinner to talk, the conversation didn't go well. Ed insisted that great sales reps, not the Internet, are crucial to selling insurance. Roger insisted that the Web will revolutionize the way insurance is sold and distributed - that Ed either give in or move on. Ed took off in a huff and subsequently phoned C.J. Roger followed Ed's irate call with his own weary ultimatum: Either Ed goes or I go. C.J. faces some difficult Monday-morning discussions with both disgruntled parties. What should he do? Six commentators, including a mentor-protege pair, offer their advice in this fictional case study."/>
    <s v=""/>
    <s v=""/>
    <s v=""/>
    <s v=""/>
    <s v=""/>
    <s v=""/>
    <s v=""/>
    <s v=""/>
    <s v=""/>
    <s v=""/>
    <n v="0"/>
    <n v="5"/>
    <n v="5"/>
    <n v="0"/>
    <n v="13"/>
    <s v="HARVARD BUSINESS SCHOOL PUBLISHING CORPORATION"/>
    <s v="BOSTON"/>
    <s v="60 HARVARD WAY, BOSTON, MA 02163 USA"/>
    <s v="0017-8012"/>
    <s v=""/>
    <s v=""/>
    <s v="HARVARD BUS REV"/>
    <s v="Harv. Bus. Rev."/>
    <s v="NOV-DEC"/>
    <n v="2000"/>
    <n v="78"/>
    <n v="6"/>
    <s v=""/>
    <s v=""/>
    <s v=""/>
    <s v=""/>
    <n v="37"/>
    <s v="+"/>
    <s v=""/>
    <s v=""/>
    <s v=""/>
    <s v=""/>
    <s v=""/>
    <n v="180"/>
    <s v="Business; Management"/>
    <x v="0"/>
    <s v="Business &amp; Economics"/>
    <s v="368KL"/>
    <n v="11184976"/>
    <s v=""/>
    <s v=""/>
    <s v=""/>
    <s v="2023-11-15"/>
    <x v="246"/>
    <s v="View Full Record in Web of Science"/>
  </r>
  <r>
    <s v="J"/>
    <s v="Sakas, DP; Giannakopoulos, NT; Nasiopoulos, DK; Kanellos, N; Tsoulfas, GT"/>
    <s v=""/>
    <s v=""/>
    <s v=""/>
    <s v="Sakas, Damianos P.; Giannakopoulos, Nikolaos T.; Nasiopoulos, Dimitrios K.; Kanellos, Nikos; Tsoulfas, Giannis T."/>
    <s v=""/>
    <s v=""/>
    <s v="Assessing the Efficacy of Cryptocurrency Applications' Affiliate Marketing Process on Supply Chain Firms' Website Visibility"/>
    <s v="SUSTAINABILITY"/>
    <s v=""/>
    <s v=""/>
    <s v="English"/>
    <x v="0"/>
    <s v=""/>
    <s v=""/>
    <s v=""/>
    <s v=""/>
    <s v=""/>
    <s v="strategic digital marketing; digitalization; sustainability; supply chain; innovation; process optimization; blockchain; big data; Decision Support Systems (DSSs)"/>
    <s v="SEARCH ENGINE OPTIMIZATION; BIG DATA; MANAGEMENT; SUSTAINABILITY"/>
    <s v="Recent developments in blockchain technology have enabled the development of wallet applications for storing peoples' cryptocurrency reserves. Cryptocurrency wallet applications could deploy affiliate marketing processes to increase the visibility of their products. From these affiliate marketing processes, supply chain firms in the air forwarding sector that seek to advertise their services to a larger audience could be benefited. This research examines whether affiliate marketing initials of cryptocurrency wallet applications affect their digital marketing efficiency, as well as whether air forwarding firms' website visibility could be benefited from them. After collecting the required Web Analytic data, the authors performed statistical analysis (correlations and linear regressions), followed by Fuzzy Cognitive Mapping (FCM) macroanalysis and Hybrid Modeling (HM) microanalysis to assess the outcomes of cryptocurrency wallet applications' affiliate marketing programs. Hence, from the deployed methodology, valuable insights arose. The first part of the produced outcomes concerns the effect of cryptocurrency wallet application affiliate marketing metrics on their digital marketing results. The increased implications of affiliate marketing metrics (referring domains, backlinks, etc.) decrease the number of pages their visitors see. Regarding the air forwarder firms' website visibility, specific metrics (branded and referral traffic) were increased and others (social traffic) were decreased from the increment of cryptocurrency wallet application affiliate marketing metrics (backlinks, internal links, etc.). Supply chain firms, in the air forwarding sector, could have increased website visibility by deploying advertisements and affiliate marketing initiatives with cryptocurrency wallet organizations. Summing up, specific affiliate marketing metrics of cryptocurrency wallet applications are capable of significantly impacting their digital marketing performance and also constitute determinant factors of supply chain firms' website visibility."/>
    <s v="[Sakas, Damianos P.; Giannakopoulos, Nikolaos T.; Nasiopoulos, Dimitrios K.; Kanellos, Nikos] Agr Univ Athens, Sch Appl Econ &amp; Social Sci, Dept Agribusiness &amp; Supply Chain Management, Bictevac Lab Business Informat &amp; Commun Technol Va, Athens 11855, Greece; [Tsoulfas, Giannis T.] Agr Univ Athens, Sch Appl Econ &amp; Social Sci, Dept Agribusiness &amp; Supply Chain Management, Orimas Lab Org Innovat &amp; Management Syst, Athens 11855, Greece"/>
    <s v="Agricultural University of Athens; Agricultural University of Athens"/>
    <s v="Giannakopoulos, NT; Nasiopoulos, DK (corresponding author), Agr Univ Athens, Sch Appl Econ &amp; Social Sci, Dept Agribusiness &amp; Supply Chain Management, Bictevac Lab Business Informat &amp; Commun Technol Va, Athens 11855, Greece."/>
    <s v="n.giannakopoulos@aua.gr; dimnas@aua.gr"/>
    <s v=""/>
    <s v="Tsoulfas, Giannis/0000-0003-4538-9016; Nasiopoulos, Dimitrios/0000-0001-7386-1029; Sakas, Damianos/0000-0002-2253-8966; Giannakopoulos, Nikolaos T./0000-0002-4480-5893"/>
    <s v="project Smart Agriculture and Circular Bio-Economy-SmartBIC. - Operational Programme Competitiveness, Entrepreneurship and Innovation (NSRF 2014-2020) [MIS MIS5047106]; European Union (European Regional Development Fund)"/>
    <s v="project Smart Agriculture and Circular Bio-Economy-SmartBIC. - Operational Programme Competitiveness, Entrepreneurship and Innovation (NSRF 2014-2020); European Union (European Regional Development Fund)(European Union (EU))"/>
    <s v="The authors acknowledge the support of this work by the project Smart Agriculture and Circular Bio-Economy-SmartBIC. (MIS MIS5047106), which was implemented underthe Action Reinforcement of the Research and Innovation Infrastructure, funded by the Operational Programme Competitiveness, Entrepreneurship and Innovation (NSRF 2014-2020) co-financed by Greece and the European Union (European Regional Development Fund)"/>
    <s v=""/>
    <n v="74"/>
    <n v="4"/>
    <n v="4"/>
    <n v="5"/>
    <n v="5"/>
    <s v="MDPI"/>
    <s v="BASEL"/>
    <s v="ST ALBAN-ANLAGE 66, CH-4052 BASEL, SWITZERLAND"/>
    <s v=""/>
    <s v="2071-1050"/>
    <s v=""/>
    <s v="SUSTAINABILITY-BASEL"/>
    <s v="Sustainability"/>
    <s v="APR 28"/>
    <n v="2023"/>
    <n v="15"/>
    <n v="9"/>
    <s v=""/>
    <s v=""/>
    <s v=""/>
    <s v=""/>
    <s v=""/>
    <s v=""/>
    <n v="7326"/>
    <s v="10.3390/su15097326"/>
    <s v="http://dx.doi.org/10.3390/su15097326"/>
    <s v=""/>
    <s v=""/>
    <n v="21"/>
    <s v="Green &amp; Sustainable Science &amp; Technology; Environmental Sciences; Environmental Studies"/>
    <x v="1"/>
    <s v="Science &amp; Technology - Other Topics; Environmental Sciences &amp; Ecology"/>
    <s v="G3IR5"/>
    <s v=""/>
    <s v="gold"/>
    <s v=""/>
    <s v=""/>
    <s v="2023-11-15"/>
    <x v="247"/>
    <s v="View Full Record in Web of Science"/>
  </r>
  <r>
    <s v="J"/>
    <s v="Marino-Romero, JA; Palos-Sanchez, PR; Velicia-Martin, E"/>
    <s v=""/>
    <s v=""/>
    <s v=""/>
    <s v="Alberto Marino-Romero, Jorge; Palos-Sanchez, Pedro R.; Velicia-Martin, Elix"/>
    <s v=""/>
    <s v=""/>
    <s v="Improving KIBS performance using digital transformation: study based on the theory of resources and capabilities"/>
    <s v="JOURNAL OF SERVICE THEORY AND PRACTICE"/>
    <s v=""/>
    <s v=""/>
    <s v="English"/>
    <x v="0"/>
    <s v=""/>
    <s v=""/>
    <s v=""/>
    <s v=""/>
    <s v=""/>
    <s v="Digital capability; Digital strategy; Technologies; Organizational performance"/>
    <s v="INTENSIVE BUSINESS SERVICES; INFORMATION-TECHNOLOGY CAPABILITY; MEDIUM-SIZED ENTERPRISES; ORGANIZATIONAL PERFORMANCE; DYNAMIC CAPABILITIES; PROCESS MANAGEMENT; BIG DATA; PLS-SEM; LEADERSHIP; INNOVATION"/>
    <s v="Purpose - The aim of this research is to analyze the success of digital transformation (DT) in the management and performance of organizations. To do so, the role of IT and its ability to integrate in organizations that provide professional services with high added value for their clients are investigated. These services require highly developed skills as they solve complex problems for the clients and this means that success depends on gathering knowledge from different sources (customers, public administrations and competitors). This study analyses the decisive and complementary role of IT in this process. Design/methodology/approach - The analysis combines quantitative and qualitative methods. After questioning managers of Spanish KIBS companies about certain components of DT, the gathered data are subsequently processed with PLS-SEM to establish causal relationships. Findings - The results show that digital capability is the determinant of DT. It has a positive effect on the digital resources integrated in KIBS companies and on their organizational performances. Research limitations/implications - Future research should continue to analyze other components of TD that drive the organizational performance of KIBS firms, such as technological culture or government policies that encourage digital transactions. The present study analyzes data from companies that are part of a single economic sector in Spain which may limit the conclusions drawn. It would be particularly useful to confirm the applicability of the results in companies operating in different markets to explore the direct relationship between digital capability and organizational performance. Practical implications - This research has implications formanagers of KIBS companies, as it shows the high potential of the ability of IT to implement and manage a TD process. Managers can benefit from IT management practices using the appropriate tools (ERP, CRM and management software) to gain more knowledge of customer behavior with the possibility of easily codifying and analyzing the data, which significantly influences innovation activities. The objective is to develop a strong internal capability to absorb knowledge from day-to-day interactions with customers by using IT effectively. This process leads to an improvement in the organizational performance of KIBS companies, as they become more effective in decision making with improved internal communication, generate greater employee satisfaction and reach new customers. Following strategies aimed at the implementation and use of the technological resources studied creates more agile firms and helps to close the production gap between SMEs and large companies. Social implications - The results obtained can help create sustainable businesses through cloud-based technology tools. It can provide insights for policy makers to implement economic policies that help SMEs to become more competitive and sustainable. Originality/value - The development of digital technologies and the ability to manage them is one of the decisive factors that conceptualizesDTand improves organizational performance. This research contributes to the understanding of the need for managers of KIBS companies to follow strategies oriented towards the digitization of their organizations and for the collaborators to have a high level of IT training, especially in the use of cloud technology."/>
    <s v="[Alberto Marino-Romero, Jorge; Velicia-Martin, Elix] Univ Seville, Dept Business Adm &amp; Mkt, Fac Econ &amp; Business Sci, Seville, Spain; [Alberto Marino-Romero, Jorge] Univ Extremadura, Dept Financial Econ &amp; Accounting, Badajoz, Spain; [Palos-Sanchez, Pedro R.] Univ Seville, Dept Financial Econ &amp; Operat Management, Fac Econ &amp; Business Sci, Seville, Spain"/>
    <s v="University of Sevilla; Universidad de Extremadura; University of Sevilla"/>
    <s v="Palos-Sanchez, PR (corresponding author), Univ Seville, Dept Financial Econ &amp; Operat Management, Fac Econ &amp; Business Sci, Seville, Spain."/>
    <s v="ppalos@us.es"/>
    <s v="Mariño Romero, Jorge Alberto/ITR-9914-2023; Velicia-Martin, Felix/M-4710-2014; Palos-Sanchez, Pedro R./A-8952-2017"/>
    <s v="Mariño Romero, Jorge Alberto/0000-0002-9624-5154; Velicia-Martin, Felix/0000-0003-2300-6256; Palos-Sanchez, Pedro R./0000-0001-9966-0698"/>
    <s v=""/>
    <s v=""/>
    <s v=""/>
    <s v=""/>
    <n v="148"/>
    <n v="4"/>
    <n v="4"/>
    <n v="25"/>
    <n v="25"/>
    <s v="EMERALD GROUP PUBLISHING LTD"/>
    <s v="BINGLEY"/>
    <s v="HOWARD HOUSE, WAGON LANE, BINGLEY BD16 1WA, W YORKSHIRE, ENGLAND"/>
    <s v="2055-6225"/>
    <s v=""/>
    <s v=""/>
    <s v="J SERV THEOR PRACT"/>
    <s v="J. Serv. Theory Pract."/>
    <s v="MAR 24"/>
    <n v="2023"/>
    <n v="33"/>
    <n v="2"/>
    <s v=""/>
    <s v=""/>
    <s v=""/>
    <s v=""/>
    <n v="169"/>
    <n v="197"/>
    <s v=""/>
    <s v="10.1108/JSTP-04-2022-0095"/>
    <s v="http://dx.doi.org/10.1108/JSTP-04-2022-0095"/>
    <s v=""/>
    <s v=""/>
    <n v="29"/>
    <s v="Business; Management"/>
    <x v="0"/>
    <s v="Business &amp; Economics"/>
    <s v="K3ZG9"/>
    <s v=""/>
    <s v="Green Published, hybrid"/>
    <s v=""/>
    <s v=""/>
    <s v="2023-11-15"/>
    <x v="248"/>
    <s v="View Full Record in Web of Science"/>
  </r>
  <r>
    <s v="J"/>
    <s v="Agrawal, A; Thiel, R; Jain, P; Singh, V; Fischer, M"/>
    <s v=""/>
    <s v=""/>
    <s v=""/>
    <s v="Agrawal, Ashwin; Thiel, Robert; Jain, Pooja; Singh, Vishal; Fischer, Martin"/>
    <s v=""/>
    <s v=""/>
    <s v="Digital Twin: Where do humans fit in?"/>
    <s v="AUTOMATION IN CONSTRUCTION"/>
    <s v=""/>
    <s v=""/>
    <s v="English"/>
    <x v="0"/>
    <s v=""/>
    <s v=""/>
    <s v=""/>
    <s v=""/>
    <s v=""/>
    <s v="Digital Twin; Levels of Digital Twin; Digital strategy; Artificial Intelligence; Human in the loop digital twin; Cyber Physical Systems; Industry 4; 0; Digital Twin Maturity"/>
    <s v="HUMAN-MACHINE INTERACTION; DESIGN SCIENCE; SYSTEMS; METHODOLOGY; AUTOMATION; PERFORMANCE; MANAGEMENT; FUTURE; LEVEL"/>
    <s v="Digital Twin (DT) technology is far from being comprehensive and mature, resulting in their piecemeal imple-mentation in practice where some functions are automated by DTs, and others are still performed by humans. This piecemeal implementation of DTs often leaves practitioners wondering what roles (or functions) to allocate to DTs in a work system, and how might it impact humans. A lack of knowledge about the roles that humans and DTs play in a work system can result in significant costs, misallocation of resources, unrealistic expectations from DTs, and strategic misalignments. To alleviate this challenge, this paper answers the research question: When humans work with DTs, what types of roles can a DT play, and to what extent can those roles be automated? Spe-cifically, we propose a two-dimensional conceptual framework, Levels of Digital Twin (LoDT). The framework is an integration of the types of roles a DT can play, broadly categorized under (1) Observer, (2) Analyst, (3) Decision Maker, and (4) Action Executor, and the extent of automation for each of these roles, divided into five different levels ranging from completely manual to fully automated. A particular DT can play any number of roles at varying levels. The framework can help practitioners systematically plan DT deployments, clearly commu-nicate goals and deliverables, and lay out a strategic vision. A case study illustrates the usefulness of the framework."/>
    <s v="[Agrawal, Ashwin] Stanford Univ, Dept Civil &amp; Environm Engn, Stanford, CA 94305 USA; [Thiel, Robert] WSP USA, Morristown, NJ USA; [Jain, Pooja] WSP USA, San Francisco, CA USA; [Singh, Vishal] Indian Inst Sci, Ctr Prod Design &amp; Mfg, Bangalore, India; [Fischer, Martin] Stanford Univ, Civil &amp; Environm Engn, Stanford, CA USA"/>
    <s v="Stanford University; Indian Institute of Science (IISC) - Bangalore; Stanford University"/>
    <s v="Agrawal, A (corresponding author), Stanford Univ, Dept Civil &amp; Environm Engn, Stanford, CA 94305 USA."/>
    <s v="ashwin15@stanford.edu; bob.thiel@wsp.com; pooja.jain1@wsp.com; singhv@iisc.ac.in; fischer@stanford.edu"/>
    <s v=""/>
    <s v="Fischer, Martin/0000-0002-5071-017X"/>
    <s v="Center for Integrated Facility Engineering (CIFE) [2019-15, 2020-13]"/>
    <s v="Center for Integrated Facility Engineering (CIFE)"/>
    <s v="We would like to thank all the industry and academic experts who gave us valuable time and feedback. We acknowledge the financial support provided by the Center for Integrated Facility Engineering (CIFE) [Grant number: 2019-15; 2020-13] at Stanford University for completing this project. The authors would also like to express their gratitude to Rui Liu, Stephanie Chin, Melody Spradlin, Cynthia Brosque, Simge Girgin, and Alberto Tono for their feedback on the framework. The authors would also thank the two anonymous reviewers and the editor for their constructive feedback for improving the manuscript. Last but not least, the first author would also like to especially thank Tulika Majumdar, Alissa Cooperman, and Hesam Hamledari for their invalu-able feedback and help during framework preparation and manuscript proofreading."/>
    <s v=""/>
    <n v="107"/>
    <n v="4"/>
    <n v="4"/>
    <n v="12"/>
    <n v="15"/>
    <s v="ELSEVIER"/>
    <s v="AMSTERDAM"/>
    <s v="RADARWEG 29, 1043 NX AMSTERDAM, NETHERLANDS"/>
    <s v="0926-5805"/>
    <s v="1872-7891"/>
    <s v=""/>
    <s v="AUTOMAT CONSTR"/>
    <s v="Autom. Constr."/>
    <s v="APR"/>
    <n v="2023"/>
    <n v="148"/>
    <s v=""/>
    <s v=""/>
    <s v=""/>
    <s v=""/>
    <s v=""/>
    <s v=""/>
    <s v=""/>
    <n v="104749"/>
    <s v="10.1016/j.autcon.2023.104749"/>
    <s v="http://dx.doi.org/10.1016/j.autcon.2023.104749"/>
    <s v=""/>
    <s v="JAN 2023"/>
    <n v="15"/>
    <s v="Construction &amp; Building Technology; Engineering, Civil"/>
    <x v="2"/>
    <s v="Construction &amp; Building Technology; Engineering"/>
    <s v="C3AP8"/>
    <s v=""/>
    <s v="Green Submitted, Green Accepted"/>
    <s v=""/>
    <s v=""/>
    <s v="2023-11-15"/>
    <x v="249"/>
    <s v="View Full Record in Web of Science"/>
  </r>
  <r>
    <s v="J"/>
    <s v="Saihi, A; Ben-Daya, M; As'ad, R"/>
    <s v=""/>
    <s v=""/>
    <s v=""/>
    <s v="Saihi, Afef; Ben-Daya, Mohamed; As'ad, Rami"/>
    <s v=""/>
    <s v=""/>
    <s v="Underpinning success factors of maintenance digital transformation: A hybrid reactive Delphi approach"/>
    <s v="INTERNATIONAL JOURNAL OF PRODUCTION ECONOMICS"/>
    <s v=""/>
    <s v=""/>
    <s v="English"/>
    <x v="0"/>
    <s v=""/>
    <s v=""/>
    <s v=""/>
    <s v=""/>
    <s v=""/>
    <s v="Maintenance digital transformation; Success factors; Hybrid reactive Delphi method; Expert verification; Ranking"/>
    <s v="INDUSTRY 4.0; CHALLENGES; SYSTEMS"/>
    <s v="In today's competitive landscape, maintenance is one of the critical functions that may greatly benefit from digital transformation (DT). Advances in technological developments are proving to be a game changer for improving maintenance strategies and practices. However, several challenges related to the lack of adequate managerial aspects, and adoption of wrong approaches to this transformation hinder its success. Research has shown that technology alone is not sufficient for organizations to ensure the success of their digitalization at-tempts. Therefore, the aim of this research is to adopt a holistic approach to identify, evaluate and rank a comprehensive list of the various influencing variables, multifaceted in nature, that drive the success of main-tenance DT initiatives. To that end, the authors solicited the different success factors based on a systematic literature review, then conducted a purification phase of these enablers and categorized them. Subsequently, a hybrid reactive Delphi approach, combined with AHP method, was adopted to evaluate and rank the success factors and their corresponding clusters through a panel of 17 highly qualified experts. The verified final list includes 41 factors mapped into 10 categories. The clusters are ranked according to their relative level of importance, and normalized weights are attributed to their factors. In particular, Digital strategy -strategic alignment cluster ranked highest followed by Top management and leadership skills then Organizational development and change management. The findings of this study contribute to enriching the extant literature, serve as a foundation to conduct further academic research, and provide proper guidance to practitioners in this field."/>
    <s v="[Saihi, Afef; Ben-Daya, Mohamed; As'ad, Rami] Amer Univ Sharjah, Ind Engn Dept, Sharjah, U Arab Emirates"/>
    <s v="American University of Sharjah"/>
    <s v="Saihi, A (corresponding author), Amer Univ Sharjah, Ind Engn Dept, Sharjah, U Arab Emirates."/>
    <s v="g00079250@aus.edu; mbendaya@aus.edu; rafif@aus.edu"/>
    <s v="Ben-Daya, Mohamed/AAG-5851-2021"/>
    <s v="Saihi, Afef/0000-0002-3664-8664"/>
    <s v="American University of Sharjah; [FRG22-C-E17]"/>
    <s v="American University of Sharjah;"/>
    <s v="Acknowledgement The authors sincerely thank the experts of the Delphi panel for their contribution to the success of this research and acknowledge the support of the American University of Sharjah under grant number FRG22-C-E17. The authors are also greatly thankful to the anonymous reviewers for their constructive comments and suggestions which substantially improved the content and presentation of the paper."/>
    <s v=""/>
    <n v="67"/>
    <n v="4"/>
    <n v="4"/>
    <n v="15"/>
    <n v="36"/>
    <s v="ELSEVIER"/>
    <s v="AMSTERDAM"/>
    <s v="RADARWEG 29, 1043 NX AMSTERDAM, NETHERLANDS"/>
    <s v="0925-5273"/>
    <s v="1873-7579"/>
    <s v=""/>
    <s v="INT J PROD ECON"/>
    <s v="Int. J. Prod. Econ."/>
    <s v="JAN"/>
    <n v="2023"/>
    <n v="255"/>
    <s v=""/>
    <s v=""/>
    <s v=""/>
    <s v=""/>
    <s v=""/>
    <s v=""/>
    <s v=""/>
    <n v="108701"/>
    <s v="10.1016/j.ijpe.2022.108701"/>
    <s v="http://dx.doi.org/10.1016/j.ijpe.2022.108701"/>
    <s v=""/>
    <s v="OCT 2022"/>
    <n v="15"/>
    <s v="Engineering, Industrial; Engineering, Manufacturing; Operations Research &amp; Management Science"/>
    <x v="2"/>
    <s v="Engineering; Operations Research &amp; Management Science"/>
    <s v="6C6PA"/>
    <s v=""/>
    <s v=""/>
    <s v=""/>
    <s v=""/>
    <s v="2023-11-15"/>
    <x v="250"/>
    <s v="View Full Record in Web of Science"/>
  </r>
  <r>
    <s v="J"/>
    <s v="Byiringiro, S; Lacanienta, C; Clark, R; Evans, C; Stevens, S; Reese, M; Ouyang, P; Terkowitz, M; Weston, C; Galiatsatos, P; Vazquez, MG; Luthardt, FW; Himmelfarb, CRD"/>
    <s v=""/>
    <s v=""/>
    <s v=""/>
    <s v="Byiringiro, Samuel; Lacanienta, Cyd; Clark, Roger; Evans, Crystal; Stevens, Sarah; Reese, Melanie; Ouyang, Pamela; Terkowitz, Mia; Weston, Christine; Galiatsatos, Panagis; Vazquez, Monica Guerrero; Luthardt, Frederick W.; Himmelfarb, Cheryl R. Dennison"/>
    <s v=""/>
    <s v=""/>
    <s v="Digital and virtual strategies to advance community stakeholder engagement in research during COVID-19 pandemic"/>
    <s v="JOURNAL OF CLINICAL AND TRANSLATIONAL SCIENCE"/>
    <s v=""/>
    <s v=""/>
    <s v="English"/>
    <x v="0"/>
    <s v=""/>
    <s v=""/>
    <s v=""/>
    <s v=""/>
    <s v=""/>
    <s v="Community engagement; community-engaged research; virtual engagement; community stakeholders; COVID-19"/>
    <s v=""/>
    <s v="Despite the adversity presented by COVID-19 pandemic, it also pushed for experimenting with innovative strategies for community engagement. The Community Research Advisory Council (C-RAC) at Johns Hopkins University (JHU), is an initiative to promote community engagement in research. COVID-19 rendered it impossible for C-RAC to conduct its meetings all of which have historically been in person. We describe the experience of advancing the work of the C-RAC during COVID-19 using digital and virtual strategies. Since March 2020, C-RAC transitioned from in person to virtual meetings. The needs assessment was conducted among C-RAC members, and individualized solutions provided for a successful virtual engagement. The usual working schedule was altered to respond to COVID-19 and promote community engaged research. Attendance to C-RAC meetings before and after the transition to virtual operation increased from 69% to 76% among C-RAC members from the community. In addition, the C-RAC launched new initiatives and in eighteen months since January 2020, it conducted 50 highly rated research reviews for 20 research teams. The experience of the C-RAC demonstrates that when community needs are assessed and addressed, and technical support is provided, digital strategies can lead to greater community collaborations."/>
    <s v="[Byiringiro, Samuel; Himmelfarb, Cheryl R. Dennison] Johns Hopkins Sch Nursing, Baltimore, MD USA; [Byiringiro, Samuel; Lacanienta, Cyd; Evans, Crystal; Stevens, Sarah; Ouyang, Pamela; Terkowitz, Mia; Weston, Christine; Vazquez, Monica Guerrero; Luthardt, Frederick W.; Himmelfarb, Cheryl R. Dennison] Johns Hopkins Inst Clin &amp; Translat Res, Baltimore, MD USA; [Clark, Roger; Reese, Melanie; Ouyang, Pamela; Galiatsatos, Panagis; Vazquez, Monica Guerrero; Luthardt, Frederick W.] Community Res Advisory Council, Baltimore, MD USA; [Ouyang, Pamela; Galiatsatos, Panagis; Vazquez, Monica Guerrero; Luthardt, Frederick W.; Himmelfarb, Cheryl R. Dennison] Johns Hopkins Univ, Sch Med, Baltimore, MD USA; [Galiatsatos, Panagis] Off Divers Inclus &amp; Hlth Equ, Baltimore, MD USA; [Vazquez, Monica Guerrero] Ctr Hlth &amp; Opportun Latinos, Baltimore, MD USA"/>
    <s v="Johns Hopkins University; Johns Hopkins University; Johns Hopkins University"/>
    <s v="Byiringiro, S (corresponding author), 525 N Wolfe St, Baltimore, MD 21205 USA."/>
    <s v="sbyirin1@jhu.edu"/>
    <s v=""/>
    <s v="Byiringiro, Samuel/0000-0001-9165-0348; Lacanienta, Cyd/0000-0002-3840-0822; Guerrero Vazquez, Monica/0000-0002-4072-3954"/>
    <s v="National Center for Advancing Translational Sciences (NCATS) a component of the National Institutes of Health (NIH) [UL1 TR003098]; NIH Roadmap for Medical Research; Communities and Universities Engaged to Fight COVID-19 (CUE COVID-19) [OT2HL161612]"/>
    <s v="National Center for Advancing Translational Sciences (NCATS) a component of the National Institutes of Health (NIH)(United States Department of Health &amp; Human ServicesNational Institutes of Health (NIH) - USANIH National Center for Advancing Translational Sciences (NCATS)); NIH Roadmap for Medical Research(United States Department of Health &amp; Human ServicesNational Institutes of Health (NIH) - USA); Communities and Universities Engaged to Fight COVID-19 (CUE COVID-19)"/>
    <s v="This work was made possible by the Johns Hopkins Institute for Clinical and Translational Research (ICTR) which is funded in part by Grant Number UL1 TR003098 from the National Center for Advancing Translational Sciences (NCATS) a component of the National Institutes of Health (NIH), and NIH Roadmap for Medical Research. Its contents are solely the responsibility of the authors and do not necessarily represent the official view of the Johns Hopkins ICTR, NCATS or NIH. Funding was also provided by grant number OT2HL161612, Communities and Universities Engaged to Fight COVID-19 (CUE COVID-19)."/>
    <s v=""/>
    <n v="23"/>
    <n v="4"/>
    <n v="4"/>
    <n v="1"/>
    <n v="1"/>
    <s v="CAMBRIDGE UNIV PRESS"/>
    <s v="CAMBRIDGE"/>
    <s v="EDINBURGH BLDG, SHAFTESBURY RD, CB2 8RU CAMBRIDGE, ENGLAND"/>
    <s v=""/>
    <s v="2059-8661"/>
    <s v=""/>
    <s v="J CLIN TRANSL SCI"/>
    <s v="J. Clin. Transl. Sci."/>
    <s v="AUG 30"/>
    <n v="2022"/>
    <n v="6"/>
    <n v="1"/>
    <s v=""/>
    <s v=""/>
    <s v=""/>
    <s v=""/>
    <s v=""/>
    <s v=""/>
    <s v="e121"/>
    <s v="10.1017/cts.2022.457"/>
    <s v="http://dx.doi.org/10.1017/cts.2022.457"/>
    <s v=""/>
    <s v=""/>
    <n v="6"/>
    <s v="Medicine, Research &amp; Experimental"/>
    <x v="3"/>
    <s v="Research &amp; Experimental Medicine"/>
    <s v="5B5HF"/>
    <n v="36285018"/>
    <s v="gold, Green Published"/>
    <s v=""/>
    <s v=""/>
    <s v="2023-11-15"/>
    <x v="251"/>
    <s v="View Full Record in Web of Science"/>
  </r>
  <r>
    <s v="J"/>
    <s v="de las Heras-Pedrosa, C; Iglesias-Sánchez, PP; Jambrino-Maldonado, C; López-Delgado, P; Galarza-Fernández, E"/>
    <s v=""/>
    <s v=""/>
    <s v=""/>
    <s v="de las Heras-Pedrosa, Carlos; Iglesias-Sanchez, Patricia P.; Jambrino-Maldonado, Carmen; Lopez-Delgado, Pilar; Galarza-Fernandez, Emelina"/>
    <s v=""/>
    <s v=""/>
    <s v="Museum communication management in digital ecosystems. Impact of COVID-19 on digital strategy"/>
    <s v="MUSEUM MANAGEMENT AND CURATORSHIP"/>
    <s v=""/>
    <s v=""/>
    <s v="English"/>
    <x v="0"/>
    <s v=""/>
    <s v=""/>
    <s v=""/>
    <s v=""/>
    <s v=""/>
    <s v="Communication; museum; social networks; digital strategy; COVID-19; lockdown"/>
    <s v="SOCIAL MEDIA; P-VALUES"/>
    <s v="The COVID-19 pandemic has seriously affected the world's cultural institutions, as well as driving digitization and a change in the relationships with their audiences. This study explores how the most visited art-museums in Spain have reacted through their social networks to the pandemic. Two key moments, the confinement and a period one-year after the declaration of the health crisis are compared. A mixed method by combining a content analysis of 2392 publications on Twitter and Instagram and two regression models evidence that COVID-19 has been a turning point in the management of museum communication in digital ecosystems. The main findings highlight the importance of active listening and the ability of these channels to create experiences beyond the physical visit. The strategic value of its implementation is underlined. Practical implications are included and it emphasized the role of entertainment and social support of the museums in crisis situations."/>
    <s v="[de las Heras-Pedrosa, Carlos; Galarza-Fernandez, Emelina] Univ Malaga, Fac Commun Sci, Dept Audiovisual Commun &amp; Advertising, Malaga, Spain; [Iglesias-Sanchez, Patricia P.; Jambrino-Maldonado, Carmen] Univ Malaga, Fac Commerce &amp; Management, Dept Econ &amp; Business Org, Malaga 29071, Spain; [Lopez-Delgado, Pilar] Univ Malaga, Fac Econ &amp; Business Studies, Dept Stat &amp; Econometr, Malaga, Spain"/>
    <s v="Universidad de Malaga; Universidad de Malaga; Universidad de Malaga"/>
    <s v="Jambrino-Maldonado, C (corresponding author), Univ Malaga, Fac Commerce &amp; Management, Dept Econ &amp; Business Org, Malaga 29071, Spain."/>
    <s v="mcjambrino@uma.es"/>
    <s v="Jambrino-Maldonado, Carmen/H-6297-2017; de las Heras-Pedrosa, Carlos/M-4492-2015; Iglesias-Sanchez, Patricia P./A-2308-2015; Lopez Delgado, Pilar/K-4420-2015"/>
    <s v="Jambrino-Maldonado, Carmen/0000-0001-8444-0967; de las Heras-Pedrosa, Carlos/0000-0002-2738-4177; Galarza Fernandez, Emelina/0000-0002-8299-7179; Lopez Delgado, Pilar/0000-0001-5937-7644"/>
    <s v="Programme PAIDI Andalucia [PY20_00407]; Universidad de Malaga/CBUA; Consejeria de Conocimiento, Investigacion y Universidad; Junta de Andalucia"/>
    <s v="Programme PAIDI Andalucia; Universidad de Malaga/CBUA; Consejeria de Conocimiento, Investigacion y Universidad; Junta de Andalucia(Junta de Andalucia)"/>
    <s v="This work was supported by the Programme PAIDI Andalucia under grant number PY20_00407 (Junta de Andalucia/Universidad de Malaga) and Funding for Open Access Charge: Universidad de Malaga/CBUA; Consejeria de Conocimiento, Investigacion y Universidad, Junta de Andalucia"/>
    <s v=""/>
    <n v="45"/>
    <n v="4"/>
    <n v="4"/>
    <n v="6"/>
    <n v="27"/>
    <s v="ROUTLEDGE JOURNALS, TAYLOR &amp; FRANCIS LTD"/>
    <s v="ABINGDON"/>
    <s v="2-4 PARK SQUARE, MILTON PARK, ABINGDON OX14 4RN, OXON, ENGLAND"/>
    <s v="0964-7775"/>
    <s v="1872-9185"/>
    <s v=""/>
    <s v="MUS MANAGE CURATOR"/>
    <s v="Mus. Manag. Curatorship"/>
    <s v="SEP 3"/>
    <n v="2023"/>
    <n v="38"/>
    <n v="5"/>
    <s v=""/>
    <s v=""/>
    <s v=""/>
    <s v=""/>
    <n v="548"/>
    <n v="570"/>
    <s v=""/>
    <s v="10.1080/09647775.2022.2111335"/>
    <s v="http://dx.doi.org/10.1080/09647775.2022.2111335"/>
    <s v=""/>
    <s v="AUG 2022"/>
    <n v="23"/>
    <s v="Humanities, Multidisciplinary"/>
    <x v="6"/>
    <s v="Arts &amp; Humanities - Other Topics"/>
    <s v="T4XN7"/>
    <s v=""/>
    <s v="hybrid"/>
    <s v=""/>
    <s v=""/>
    <s v="2023-11-15"/>
    <x v="252"/>
    <s v="View Full Record in Web of Science"/>
  </r>
  <r>
    <s v="J"/>
    <s v="Lardón-López, ME; Martín-Rojas, R; García-Morales, VJ"/>
    <s v=""/>
    <s v=""/>
    <s v=""/>
    <s v="Esmeralda Lardon-Lopez, Maria; Martin-Rojas, Rodrigo; Jesus Garcia-Morales, Victor"/>
    <s v=""/>
    <s v=""/>
    <s v="Social media technologies: a waste of time or a good way to learn and improve technological competences?"/>
    <s v="JOURNAL OF KNOWLEDGE MANAGEMENT"/>
    <s v=""/>
    <s v=""/>
    <s v="English"/>
    <x v="0"/>
    <s v=""/>
    <s v=""/>
    <s v=""/>
    <s v=""/>
    <s v=""/>
    <s v="Social media technologies; Organizational learning; Technological knowledge competences; Organizational performance"/>
    <s v="KNOWLEDGE MANAGEMENT; DYNAMIC CAPABILITIES; INFORMATION-TECHNOLOGY; MARKET ORIENTATION; STRATEGY RESEARCH; CORPORATE ENTREPRENEURSHIP; ORGANIZATIONAL INNOVATION; ABSORPTIVE-CAPACITY; CORE CAPABILITIES; FIRM PERFORMANCE"/>
    <s v="Purpose The purpose of this study is to deepen understanding of the effects of using social media technologies to acquire technological knowledge and organizational learning competences, of technological knowledge competences on organizational learning and finally of organizational learning on organizational performance. Design/methodology/approach The study was performed by analyzing data from a sample of 197 technology firms located in Spain. The hypotheses were tested using a structural equations model with the program LISREL 8.80. Findings This study's conceptual framework is grounded in complexity theory - along with dynamic capabilities theory, which complements the resource-based view. The study contributes to the literature by proposing a model that reflects empirically how business ecosystems that use social media technologies enable the development of interorganizational and social collaboration networks that encourage learning and development of technological knowledge competences. Research limitations/implications It would be interesting for future studies to consider other elements to conceptualize and measure social media technologies, including (among others) significance of the various tools used and strategic integration. The model might also analyze other sectors and another combination of variables. Practical implications The results of this study have several managerial implications: developing social media technologies and interorganizational social collaboration networks not only enables the organizational learning process but also encourages technological knowledge competences. Through innovation processes, use of social media technologies also contributes to strengthening companies' strategic positioning, which ultimately helps to improve firms' organizational performance. Social implications Since social media technologies drive information systems in contemporary society (because they enable interaction with numerous agents), the authors highlight the use of complexity theory to develop a conceptual framework. Originality/value The study also deepens understanding of the connections by which new experiential learning contributes to the generation of coevolutionary adaptive business ecosystems and digital strategies that enable development of interorganizational and social collaborative networks through technological knowledge competences. Only after examining the impact of social media technologies on organizational performance in prior literature, did the authors underscore that both quantity and frequency of social media technology use are positively related to improvement in knowledge processes that lead to employees' creation and acquisition of new metaknowledge."/>
    <s v="[Esmeralda Lardon-Lopez, Maria; Martin-Rojas, Rodrigo; Jesus Garcia-Morales, Victor] Univ Granada, Dept Business Adm, Granada, Spain"/>
    <s v="University of Granada"/>
    <s v="Lardón-López, ME (corresponding author), Univ Granada, Dept Business Adm, Granada, Spain."/>
    <s v="elardon@ugr.es"/>
    <s v="MORALES, VÍCTOR JESÚS GARCÍA/F-9736-2016; Lardón-López, María Esmeralda/AAU-1126-2020"/>
    <s v="MORALES, VÍCTOR JESÚS GARCÍA/0000-0001-9061-6973; Lardón-López, María Esmeralda/0000-0001-7422-5278"/>
    <s v="Excellence Unit Advanced Research in Economics and Business of the University of Granada (Spain); Andalusian Regional Government [B-SEJ-042-UGR18, A-SEJ-192-UGR20, P20_00568]"/>
    <s v="Excellence Unit Advanced Research in Economics and Business of the University of Granada (Spain); Andalusian Regional Government"/>
    <s v="This study was funded by the Excellence Unit Advanced Research in Economics and Business of the University of Granada (Spain). It was also supported by the Andalusian Regional Government (projects: B-SEJ-042-UGR18, A-SEJ-192-UGR20, and P20_00568)."/>
    <s v=""/>
    <n v="134"/>
    <n v="4"/>
    <n v="4"/>
    <n v="13"/>
    <n v="54"/>
    <s v="EMERALD GROUP PUBLISHING LTD"/>
    <s v="BINGLEY"/>
    <s v="HOWARD HOUSE, WAGON LANE, BINGLEY BD16 1WA, W YORKSHIRE, ENGLAND"/>
    <s v="1367-3270"/>
    <s v="1758-7484"/>
    <s v=""/>
    <s v="J KNOWL MANAG"/>
    <s v="J. Knowl. Manag."/>
    <s v="AUG 22"/>
    <n v="2022"/>
    <n v="26"/>
    <n v="11"/>
    <s v=""/>
    <s v=""/>
    <s v=""/>
    <s v=""/>
    <n v="348"/>
    <n v="377"/>
    <s v=""/>
    <s v="10.1108/JKM-02-2022-0130"/>
    <s v="http://dx.doi.org/10.1108/JKM-02-2022-0130"/>
    <s v=""/>
    <s v=""/>
    <n v="30"/>
    <s v="Information Science &amp; Library Science; Management"/>
    <x v="0"/>
    <s v="Information Science &amp; Library Science; Business &amp; Economics"/>
    <s v="4F7LL"/>
    <s v=""/>
    <s v="Green Published, hybrid"/>
    <s v=""/>
    <s v=""/>
    <s v="2023-11-15"/>
    <x v="253"/>
    <s v="View Full Record in Web of Science"/>
  </r>
  <r>
    <s v="J"/>
    <s v="Luo, XW; Yu, SC"/>
    <s v=""/>
    <s v=""/>
    <s v=""/>
    <s v="Luo, Xiaowen; Yu, Shun-Chi"/>
    <s v=""/>
    <s v=""/>
    <s v="Relationship between External Environment, Internal Conditions, and Digital Transformation from the Perspective of Synergetics"/>
    <s v="DISCRETE DYNAMICS IN NATURE AND SOCIETY"/>
    <s v=""/>
    <s v=""/>
    <s v="English"/>
    <x v="0"/>
    <s v=""/>
    <s v=""/>
    <s v=""/>
    <s v=""/>
    <s v=""/>
    <s v=""/>
    <s v="INNOVATION"/>
    <s v="As the digital technologies develop, traditional pharmaceutical enterprises have also begun the exploration of digital transformation (DT). Previous studies mainly focused on the technology application, strategy, performance, and leadership of digital in manufacturing enterprises and small- and medium-sized enterprises (SMEs), and more qualitative methods were used. However, few researchers systematically investigated the impact mechanism of pharmaceutical enterprises' DT. The purpose of this study is to analyze the influencing factors of Chinese pharmaceutical enterprises' DT by constructing the structural equation model (SEM) based on synergetics. This study shows that the influencing factors of pharmaceutical enterprises' DT include the external environment (customer needs, market competition, government policy, and digital technology) and internal conditions (digital strategy, leadership, and organization capability). The theoretical innovation of this study is to explore the synergistic effect of external environment and internal conditions on DT and put forward that the internal conditions play mediating role in the external environment and DT. Customer needs and digital strategies have great impacts on pharmaceutical enterprises' DT. Therefore, this study finds the main influencing factors, which are helpful in promoting pharmaceutical enterprises' DT."/>
    <s v="[Luo, Xiaowen; Yu, Shun-Chi] Natl Inst Dev Adm, Int Coll, Bangkok 10240, Thailand; [Luo, Xiaowen] Yunnan Minzu Univ, Coll Appl Technol, Kunming 650504, Peoples R China"/>
    <s v="National Institute of Development Administration - Thailand; Yunnan Minzu University"/>
    <s v="Yu, SC (corresponding author), Natl Inst Dev Adm, Int Coll, Bangkok 10240, Thailand."/>
    <s v="xiaowen.lu@stu.nida.ac.th; gavinee188@gmail.com"/>
    <s v="Yu, Shun-Chi/AEQ-9076-2022"/>
    <s v="Luo, Xiaowen/0000-0001-7507-8994; Yu, Shun Chi/0000-0001-9453-0229"/>
    <s v=""/>
    <s v=""/>
    <s v=""/>
    <s v=""/>
    <n v="36"/>
    <n v="4"/>
    <n v="4"/>
    <n v="20"/>
    <n v="88"/>
    <s v="HINDAWI LTD"/>
    <s v="LONDON"/>
    <s v="ADAM HOUSE, 3RD FLR, 1 FITZROY SQ, LONDON, W1T 5HF, ENGLAND"/>
    <s v="1026-0226"/>
    <s v="1607-887X"/>
    <s v=""/>
    <s v="DISCRETE DYN NAT SOC"/>
    <s v="Discrete Dyn. Nat. Soc."/>
    <s v="MAY 5"/>
    <n v="2022"/>
    <n v="2022"/>
    <s v=""/>
    <s v=""/>
    <s v=""/>
    <s v=""/>
    <s v=""/>
    <s v=""/>
    <s v=""/>
    <n v="6756548"/>
    <s v="10.1155/2022/6756548"/>
    <s v="http://dx.doi.org/10.1155/2022/6756548"/>
    <s v=""/>
    <s v=""/>
    <n v="12"/>
    <s v="Mathematics, Interdisciplinary Applications; Multidisciplinary Sciences"/>
    <x v="1"/>
    <s v="Mathematics; Science &amp; Technology - Other Topics"/>
    <s v="1I7XY"/>
    <s v=""/>
    <s v="gold"/>
    <s v=""/>
    <s v=""/>
    <s v="2023-11-15"/>
    <x v="254"/>
    <s v="View Full Record in Web of Science"/>
  </r>
  <r>
    <s v="J"/>
    <s v="Khalili-Mahani, N; Holowka, E; Woods, S; Khaled, R; Roy, M; Lashley, M; Glatard, T; Timm-Bottos, J; Dahan, A; Niesters, M; Hovey, RB; Simon, B; Kirmayer, LJ"/>
    <s v=""/>
    <s v=""/>
    <s v=""/>
    <s v="Khalili-Mahani, Najmeh; Holowka, Eileen; Woods, Sandra; Khaled, Rilla; Roy, Mathieu; Lashley, Myrna; Glatard, Tristan; Timm-Bottos, Janis; Dahan, Albert; Niesters, Marieke; Hovey, Richard B.; Simon, Bart; Kirmayer, Laurence J."/>
    <s v=""/>
    <s v=""/>
    <s v="Play the Pain: A Digital Strategy for Play-Oriented Research and Action"/>
    <s v="FRONTIERS IN PSYCHIATRY"/>
    <s v=""/>
    <s v=""/>
    <s v="English"/>
    <x v="0"/>
    <s v=""/>
    <s v=""/>
    <s v=""/>
    <s v=""/>
    <s v=""/>
    <s v="chronic pain; personalized medicine; citizen labs; stigma &amp; discrimination; digital health; serious games (SGs); big-data; play"/>
    <s v=""/>
    <s v="The value of understanding patients' illness experience and social contexts for advancing medicine and clinical care is widely acknowledged. However, methodologies for rigorous and inclusive data gathering and integrative analysis of biomedical, cultural, and social factors are limited. In this paper, we propose a digital strategy for large-scale qualitative health research, using play (as a state of being, a communication mode or context, and a set of imaginative, expressive, and game-like activities) as a research method for recursive learning and action planning. Our proposal builds on Gregory Bateson's cybernetic approach to knowledge production. Using chronic pain as an example, we show how pragmatic, structural and cultural constraints that define the relationship of patients to the healthcare system can give rise to conflicted messaging that impedes inclusive health research. We then review existing literature to illustrate how different types of play including games, chatbots, virtual worlds, and creative art making can contribute to research in chronic pain. Inspired by Frederick Steier's application of Bateson's theory to designing a science museum, we propose DiSPORA (Digital Strategy for Play-Oriented Research and Action), a virtual citizen science laboratory which provides a framework for delivering health information, tools for play-based experimentation, and data collection capacity, but is flexible in allowing participants to choose the mode and the extent of their interaction. Combined with other data management platforms used in epidemiological studies of neuropsychiatric illness, DiSPORA offers a tool for large-scale qualitative research, digital phenotyping, and advancing personalized medicine."/>
    <s v="[Khalili-Mahani, Najmeh] McGill Univ, Montreal Neurol Inst, McGill Ctr Integrat Neurosci, Montreal, PQ, Canada; [Khalili-Mahani, Najmeh; Lashley, Myrna; Kirmayer, Laurence J.] McGill Univ, Div Social Transcultural Psychiat, Montreal, PQ, Canada; [Khalili-Mahani, Najmeh; Lashley, Myrna; Kirmayer, Laurence J.] Jewish Gen Hosp, Lady Davis Inst, Culture &amp; Mental Hlth Res Unit, Montreal, PQ, Canada; [Khalili-Mahani, Najmeh; Holowka, Eileen; Khaled, Rilla; Simon, Bart] Concordia Univ, Milieux Inst Art Culture &amp; Technol, Technoculture Arts &amp; Game Ctr, Montreal, PQ, Canada; [Roy, Mathieu] McGill Univ, Dept Psychol, Montreal, PQ, Canada; [Glatard, Tristan] Concordia Univ, Dept Comp Sci, Montreal, PQ, Canada; [Glatard, Tristan] Concordia Univ, PERFORM Ctr, Montreal, PQ, Canada; [Timm-Bottos, Janis] Concordia Univ, Dept Creat Art Therapies, Montreal, PQ, Canada; [Dahan, Albert; Niesters, Marieke] Leiden Univ, Leiden Univ Med Ctr, Dept Anesthesiol, Leiden, Netherlands; [Hovey, Richard B.] McGill Univ, Fac Dent, Montreal, PQ, Canada; [Simon, Bart] Concordia Univ, Dept Sociol, Montreal, PQ, Canada"/>
    <s v="McGill University; McGill University; McGill University; Lady Davis Institute; Concordia University - Canada; McGill University; Concordia University - Canada; Concordia University - Canada; Concordia University - Canada; Leiden University; Leiden University Medical Center (LUMC); Leiden University - Excl LUMC; McGill University; Concordia University - Canada"/>
    <s v="Khalili-Mahani, N (corresponding author), McGill Univ, Montreal Neurol Inst, McGill Ctr Integrat Neurosci, Montreal, PQ, Canada.;Khalili-Mahani, N (corresponding author), McGill Univ, Div Social Transcultural Psychiat, Montreal, PQ, Canada.;Khalili-Mahani, N (corresponding author), Jewish Gen Hosp, Lady Davis Inst, Culture &amp; Mental Hlth Res Unit, Montreal, PQ, Canada.;Khalili-Mahani, N (corresponding author), Concordia Univ, Milieux Inst Art Culture &amp; Technol, Technoculture Arts &amp; Game Ctr, Montreal, PQ, Canada."/>
    <s v="najmeh.khalili-mahani@concordia.ca"/>
    <s v="Dahan, Albert/B-8845-2008"/>
    <s v="Dahan, Albert/0000-0003-3161-3945; Khalili-Mahani, Najmeh/0000-0002-5248-2609; Holowka, Eileen Mary/0000-0003-2419-4981"/>
    <s v="Quebec Research Funds; MCIN (McGill University); Milieux Institute for Art, Culture and Technology, PERFORM Center (Concordia University); Healthy Brains for Healthy Lives Program (CFREF, McGill University)"/>
    <s v="Quebec Research Funds; MCIN (McGill University); Milieux Institute for Art, Culture and Technology, PERFORM Center (Concordia University); Healthy Brains for Healthy Lives Program (CFREF, McGill University)"/>
    <s v="This research was funded by a grant from the Quebec Research Funds to NK-M (FRQSC-AUDACE), additionally supported by MCIN (McGill University), Milieux Institute for Art, Culture and Technology, PERFORM Center (Concordia University), and the Healthy Brains for Healthy Lives Program (CFREF, McGill University)."/>
    <s v=""/>
    <n v="254"/>
    <n v="4"/>
    <n v="4"/>
    <n v="0"/>
    <n v="0"/>
    <s v="FRONTIERS MEDIA SA"/>
    <s v="LAUSANNE"/>
    <s v="AVENUE DU TRIBUNAL FEDERAL 34, LAUSANNE, CH-1015, SWITZERLAND"/>
    <s v="1664-0640"/>
    <s v=""/>
    <s v=""/>
    <s v="FRONT PSYCHIATRY"/>
    <s v="Front. Psychiatry"/>
    <s v="DEC 15"/>
    <n v="2021"/>
    <n v="12"/>
    <s v=""/>
    <s v=""/>
    <s v=""/>
    <s v=""/>
    <s v=""/>
    <s v=""/>
    <s v=""/>
    <n v="746477"/>
    <s v="10.3389/fpsyt.2021.746477"/>
    <s v="http://dx.doi.org/10.3389/fpsyt.2021.746477"/>
    <s v=""/>
    <s v=""/>
    <n v="23"/>
    <s v="Psychiatry"/>
    <x v="1"/>
    <s v="Psychiatry"/>
    <s v="VM5RX"/>
    <n v="34975566"/>
    <s v="gold, Green Published"/>
    <s v=""/>
    <s v=""/>
    <s v="2023-11-15"/>
    <x v="255"/>
    <s v="View Full Record in Web of Science"/>
  </r>
  <r>
    <s v="J"/>
    <s v="Salvador, E; Benghozi, PJ"/>
    <s v=""/>
    <s v=""/>
    <s v=""/>
    <s v="Salvador, Elisa; Benghozi, Pierre-Jean"/>
    <s v=""/>
    <s v=""/>
    <s v="The Digital Strategies of Publishing Houses: A Matter of Book Content?"/>
    <s v="INTERNATIONAL JOURNAL OF ARTS MANAGEMENT"/>
    <s v=""/>
    <s v=""/>
    <s v="English"/>
    <x v="0"/>
    <s v=""/>
    <s v=""/>
    <s v=""/>
    <s v=""/>
    <s v=""/>
    <s v="Cultural and creative industries; book publishing industry; e-book; e-readers; book catalogue; digital economy"/>
    <s v="LONG TAIL; COMPETITION; MARKET"/>
    <s v="Traditional publishing houses are being confronted with the online diffusion of e-books. This phenomenon has forced publishers to offer digital versions of their printed books. However, it would be inaccurate to envision and report on the digital strategies of publishers in a global way, since the effect of digitization differs widely according to book type for example, dictionaries, illustrated books, novels. This study examines whether, how and to what extent the types and categories of books influence the behaviour of publishers in terms of their digitization strategies and the design of their e-books. The results reflect divergent approaches to proactive behaviour and the appropriation of e-book technologies. Not all publishers are on the path to publishing in digital formats. The authors provide a comparative analysis of print and e-book catalogues. They compare the strategies of 104 publishers in one specific country: France. The most widely diffused book categories with the total number of titles available in print and digital formats are identified for each publisher. The analysis uses Electre, the national databank of French publishers. The results shed light on the influence of the digital book on printed book categories and make it possible to characterize the strategies of publishing houses in the digital age."/>
    <s v="[Salvador, Elisa] Italian Natl Res Council, CNR, Innovat Policies, Rome, Italy; [Salvador, Elisa] Politecn Torino, Turin, Italy; [Salvador, Elisa] ESCP Europe Business Sch, Paris, France; [Salvador, Elisa] Ieseg Sch Management, Paris, France; [Salvador, Elisa; Benghozi, Pierre-Jean] Ecole Polytech, Paris, France; [Salvador, Elisa] ESSCA Sch Management, Angers, France; [Benghozi, Pierre-Jean] Natl Ctr Sci Res, CNRS, Paris, France; [Benghozi, Pierre-Jean] Univ Geneva, GSEM, Geneva, Switzerland; [Benghozi, Pierre-Jean] AIMAC, Doha, Qatar"/>
    <s v="Consiglio Nazionale delle Ricerche (CNR); Polytechnic University of Turin; heSam Universite; ESCP Business School; IESEG School of Management; ESSCA Ecole de Management; Centre National de la Recherche Scientifique (CNRS); University of Geneva"/>
    <s v="Salvador, E (corresponding author), Italian Natl Res Council, CNR, Innovat Policies, Rome, Italy.;Salvador, E (corresponding author), Politecn Torino, Turin, Italy.;Salvador, E (corresponding author), ESCP Europe Business Sch, Paris, France.;Salvador, E (corresponding author), Ieseg Sch Management, Paris, France.;Salvador, E (corresponding author), Ecole Polytech, Paris, France.;Salvador, E (corresponding author), ESSCA Sch Management, Angers, France."/>
    <s v=""/>
    <s v=""/>
    <s v=""/>
    <s v=""/>
    <s v=""/>
    <s v=""/>
    <s v=""/>
    <n v="44"/>
    <n v="4"/>
    <n v="4"/>
    <n v="6"/>
    <n v="41"/>
    <s v="ECOLE DES HAUTES ETUDES COMMERCIALES DE MONTREAL"/>
    <s v="MONTREAL"/>
    <s v="3000, CHEMIN DE LA COTE-SAINTE-CATHERINE, MONTREAL, H3T 2A7, CANADA"/>
    <s v="1480-8986"/>
    <s v=""/>
    <s v=""/>
    <s v="INT J ARTS MANAG"/>
    <s v="Int. J. Arts Manag."/>
    <s v="WIN"/>
    <n v="2021"/>
    <n v="23"/>
    <n v="2"/>
    <s v=""/>
    <s v=""/>
    <s v=""/>
    <s v=""/>
    <n v="56"/>
    <n v="74"/>
    <s v=""/>
    <s v=""/>
    <s v=""/>
    <s v=""/>
    <s v=""/>
    <n v="19"/>
    <s v="Humanities, Multidisciplinary; Management"/>
    <x v="5"/>
    <s v="Arts &amp; Humanities - Other Topics; Business &amp; Economics"/>
    <s v="SL5BC"/>
    <s v=""/>
    <s v=""/>
    <s v=""/>
    <s v=""/>
    <s v="2023-11-15"/>
    <x v="256"/>
    <s v="View Full Record in Web of Science"/>
  </r>
  <r>
    <s v="J"/>
    <s v="Sándor, A; Gubán, A"/>
    <s v=""/>
    <s v=""/>
    <s v=""/>
    <s v="Sandor, Agnes; Guban, Akos"/>
    <s v=""/>
    <s v=""/>
    <s v="A Measuring Tool for the Digital Maturity of Small and Medium-Sized Enterprises"/>
    <s v="MANAGEMENT AND PRODUCTION ENGINEERING REVIEW"/>
    <s v=""/>
    <s v=""/>
    <s v="English"/>
    <x v="0"/>
    <s v=""/>
    <s v=""/>
    <s v=""/>
    <s v=""/>
    <s v=""/>
    <s v="Digitalization; Digital maturity model; SMEs; Fuzzy method"/>
    <s v="COMPETITIVE ADVANTAGE; FIRM PERFORMANCE; CAPABILITIES; SMES; ICT; TECHNOLOGY; ADOPTION"/>
    <s v="In digital revolution, the appropriate IT infrastructure, technological knowledge are essential for the success of companies, where the success of the digital transformation depends on digital maturity. The aim of the study is to define the digital maturity, theoretical foundation of the digital maturity model and present a framework for small and medium-sized enterprises (SMEs) understanding where they are in digitalisation (how advanced their digital resource system and digital approach) to respond faster and efficiently to environmental changes. The model construction is based on theory of dynamic capabilities, graduation models, and SMEs management challenges. The model is a dynamic model to support management in strategic, digital and organizational developments, which is divided into IT and organizational dimensions, including 6 components and 28 subcomponents. The ultimate goal of the study is to determine the component weights to create a neurofuzzy model."/>
    <s v="[Sandor, Agnes; Guban, Akos] Budapest Business Sch, Fac Finance &amp; Accountancy, Dept Business Informat Technol, Buzogany St 10-12, H-1149 Budapest, Hungary"/>
    <s v="Budapest Business University"/>
    <s v="Sándor, A (corresponding author), Budapest Business Sch, Fac Finance &amp; Accountancy, Dept Business Informat Technol, Buzogany St 10-12, H-1149 Budapest, Hungary."/>
    <s v="sandor.agnes@uni-bge.hu"/>
    <s v=""/>
    <s v=""/>
    <s v="Future Value Chains Center of Excellence"/>
    <s v="Future Value Chains Center of Excellence"/>
    <s v="The research was supported by the Future Value Chains Center of Excellence."/>
    <s v=""/>
    <n v="43"/>
    <n v="4"/>
    <n v="4"/>
    <n v="9"/>
    <n v="67"/>
    <s v="POLSKA AKAD NAUK, POLISH ACAD SCIENCES"/>
    <s v="WARSZAWA"/>
    <s v="PL DEFILAD 1, WARSZAWA, 00-901, POLAND"/>
    <s v="2080-8208"/>
    <s v="2082-1344"/>
    <s v=""/>
    <s v="MANAG PROD ENG REV"/>
    <s v="Manag. Prod. Eng. Rev."/>
    <s v="DEC"/>
    <n v="2021"/>
    <n v="12"/>
    <n v="4"/>
    <s v=""/>
    <s v=""/>
    <s v=""/>
    <s v=""/>
    <n v="133"/>
    <n v="143"/>
    <s v=""/>
    <s v="10.24425/mper.2021.140001"/>
    <s v="http://dx.doi.org/10.24425/mper.2021.140001"/>
    <s v=""/>
    <s v=""/>
    <n v="11"/>
    <s v="Engineering, Industrial"/>
    <x v="3"/>
    <s v="Engineering"/>
    <s v="YP1LH"/>
    <s v=""/>
    <s v="gold"/>
    <s v=""/>
    <s v=""/>
    <s v="2023-11-15"/>
    <x v="257"/>
    <s v="View Full Record in Web of Science"/>
  </r>
  <r>
    <s v="J"/>
    <s v="Silva, C"/>
    <s v=""/>
    <s v=""/>
    <s v=""/>
    <s v="Silva, Carolina"/>
    <s v=""/>
    <s v=""/>
    <s v="Pockets of Resilience - the Digital Responses of Youth Collectives in Contemporary Art Museums During Lockdown"/>
    <s v="JOURNAL OF MUSEUM EDUCATION"/>
    <s v=""/>
    <s v=""/>
    <s v="English"/>
    <x v="0"/>
    <s v=""/>
    <s v=""/>
    <s v=""/>
    <s v=""/>
    <s v=""/>
    <s v="Youth collectives; contemporary art museums; youth; collaborative art practices; digital strategies; lockdown"/>
    <s v=""/>
    <s v="When museums across the world closed due to the COVID-19 pandemic and staff struggled to rethink their new roles in a challenging and unprecedented context, youth collectives - long-term programs for teens and young adults, aged 15-24 - reinvented themselves. The focus of my research is the digital projects developed during lockdown by youth collectives in three metropolitan contemporary art museums. These include MOCA Teens, the MCA Youth Committee and Duchamp &amp; Sons, based, respectively, at LA MOCA (U.S.A.), MCA Australia, and Whitechapel Gallery (U.K.). They adjusted quickly to the new digital pace and devised creative communication and mediation strategies that allowed their collaborative work to continue online. For this research, I combined the analysis of the digital content they produced - websites, social media and podcasts - with interviews I did with the museum educators leading each program. The success of these projects is grounded on a shared trust between museums, educators, and participants."/>
    <s v="[Silva, Carolina] Univ Lisbon, Inst Social Sci, Lisbon, Portugal"/>
    <s v="Institute of Social Sciences, University of Lisbon (ICS-UL); Universidade de Lisboa"/>
    <s v="Silva, C (corresponding author), Univ Lisbon, Inst Social Sci, Lisbon, Portugal."/>
    <s v=""/>
    <s v=""/>
    <s v=""/>
    <s v="European Union [892010]; Marie Curie Actions (MSCA) [892010] Funding Source: Marie Curie Actions (MSCA)"/>
    <s v="European Union(European Union (EU)); Marie Curie Actions (MSCA)(Marie Curie Actions)"/>
    <s v="This project has received funding from the European Union's Horizon 2020 research and innovation programme under the Marie Sklodowska-Curie [Grant agreement No 892010]."/>
    <s v=""/>
    <n v="20"/>
    <n v="4"/>
    <n v="4"/>
    <n v="1"/>
    <n v="12"/>
    <s v="ROUTLEDGE JOURNALS, TAYLOR &amp; FRANCIS LTD"/>
    <s v="ABINGDON"/>
    <s v="2-4 PARK SQUARE, MILTON PARK, ABINGDON OX14 4RN, OXON, ENGLAND"/>
    <s v="1059-8650"/>
    <s v="2051-6169"/>
    <s v=""/>
    <s v="J MUS EDUC"/>
    <s v="J. Museum Education"/>
    <s v="OCT 2"/>
    <n v="2021"/>
    <n v="46"/>
    <n v="4"/>
    <s v=""/>
    <s v=""/>
    <s v="SI"/>
    <s v=""/>
    <n v="493"/>
    <n v="508"/>
    <s v=""/>
    <s v="10.1080/10598650.2021.1974235"/>
    <s v="http://dx.doi.org/10.1080/10598650.2021.1974235"/>
    <s v=""/>
    <s v=""/>
    <n v="16"/>
    <s v="Education &amp; Educational Research"/>
    <x v="3"/>
    <s v="Education &amp; Educational Research"/>
    <s v="XH2RG"/>
    <s v=""/>
    <s v="Green Published, hybrid"/>
    <s v=""/>
    <s v=""/>
    <s v="2023-11-15"/>
    <x v="258"/>
    <s v="View Full Record in Web of Science"/>
  </r>
  <r>
    <s v="J"/>
    <s v="Gallardo-Rincón, H; Montoya, A; Saucedo-Martínez, R; Mújica-Rosales, R; Suárez-Idueta, L; Martínez-Juárez, LA; Razo, C; Lozano, R; Tapia-Conyer, R"/>
    <s v=""/>
    <s v=""/>
    <s v=""/>
    <s v="Gallardo-Rincon, Hector; Montoya, Alejandra; Saucedo-Martinez, Rodrigo; Mujica-Rosales, Ricardo; Suarez-Idueta, Lorena; Alberto Martinez-Juarez, Luis; Razo, Christian; Lozano, Rafael; Tapia-Conyer, Roberto"/>
    <s v=""/>
    <s v=""/>
    <s v="Integrated Measurement for Early Detection (MIDO) as a digital strategy for timely assessment of non-communicable disease profiles and factors associated with unawareness and control: a retrospective observational study in primary healthcare facilities in Mexico"/>
    <s v="BMJ OPEN"/>
    <s v=""/>
    <s v=""/>
    <s v="English"/>
    <x v="0"/>
    <s v=""/>
    <s v=""/>
    <s v=""/>
    <s v=""/>
    <s v=""/>
    <s v="diabetes &amp; endocrinology; health services administration &amp; management; preventive medicine; public health"/>
    <s v="COST-EFFECTIVENESS; DIABETES-MELLITUS; EARLY-DIAGNOSIS; PREVALENCE; PREVENTION; ADULTS; RISK; HYPERTENSION; OBESITY; COMORBIDITIES"/>
    <s v="Objectives The Carlos Slim Foundation implemented the Integrated Measurement for Early Detection (MIDO), a screening strategy for non-communicable diseases (NCDs) in Mexico as part of CASALUD, a portfolio of digital health services focusing on healthcare delivery and prevention/management of NCDs. We investigated the disease profile of the screened population and evaluated MIDO's contribution to the continuum of care of the main NCDs. Design Using data from MIDO and the chronic diseases information system, we quantified the proportion of the population screened and diagnosed with NCDs, and measured care linkage/retention and level of control achieved. We analysed comorbidity patterns and estimated prevalence of predisease stages. Finally, we estimated characteristics associated with unawareness and control of NCDs, and examined efficacy of the CASALUD model in improving NCD control. Setting Public primary health centres in 27/32 Mexican states. Participants Individuals aged &gt;= 20 years lacking healthcare access. Results From 2014 to 2018, 743 000 individuals were screened using MIDO. A predisease or disease condition was detected in &gt;= 70% of the population who were unaware of their NCD status. The screening identified 38 417 new cases of type 2 diabetes, 53 133 new cases of hypertension and 208 627 individuals with obesity. Dyslipidaemia was found in 77.3% of individuals with available blood samples. Comorbidities were highly prevalent, especially in people with obesity. Only 5.47% (n=17 774) of individuals were linked with their corresponding primary health centre. Factors associated with unawareness of and uncontrolled NCDs were sex, age, and social determinants, for example, rural/urban environment, access to healthcare service, and education level. Patients with type 2 diabetes treated at clinics under the CASALUD model were more likely to achieve disease control (OR: 1.32, 95% CI: 1.09 to 1.61). Conclusion Patient-centred screening strategies such as MIDO are urgently needed to improve screening, access, retention and control for patients with NCDs."/>
    <s v="[Gallardo-Rincon, Hector] Univ Guadalajara, Hlth Sci Univ Ctr, CUCS UdeG, Guadalajara, Jalisco, Mexico; [Montoya, Alejandra; Saucedo-Martinez, Rodrigo; Mujica-Rosales, Ricardo; Suarez-Idueta, Lorena; Alberto Martinez-Juarez, Luis; Tapia-Conyer, Roberto] Carlos Slim Fdn, Mexico City, DF, Mexico; [Alberto Martinez-Juarez, Luis] London Sch Hyg &amp; Trop Med, London, England; [Razo, Christian; Lozano, Rafael] Univ Washington, Inst Hlth Metr &amp; Evaluat, Seattle, WA 98195 USA; [Tapia-Conyer, Roberto] Univ Nacl Autonoma Mexico, Sch Med, Mexico City, DF, Mexico"/>
    <s v="Universidad de Guadalajara; University of London; London School of Hygiene &amp; Tropical Medicine; Institute for Health Metrics &amp; Evaluation; University of Washington; University of Washington Seattle; Universidad Nacional Autonoma de Mexico"/>
    <s v="Montoya, A (corresponding author), Carlos Slim Fdn, Mexico City, DF, Mexico."/>
    <s v="airainmr@fundacioncarlosslim.org"/>
    <s v="Ahmed, Ayisha/HJY-9698-2023; Lozano, Rafael/T-5352-2018"/>
    <s v="Lozano, Rafael/0000-0002-7356-8823; Tapia-Conyer, Roberto/0000-0001-9425-7322; Suarez-Idueta, Lorena/0000-0003-0909-7737; Martinez-Juarez, Luis Alberto/0000-0001-7550-7867; Gallardo-Rincon, Hector Jose/0000-0002-0811-4606"/>
    <s v="Carlos Slim Foundation"/>
    <s v="Carlos Slim Foundation"/>
    <s v="The MIDO strategy was developed and funded by the Carlos Slim Foundation; however, the present study did not receive funding from any third party agency, and there is no award or grant number to report."/>
    <s v=""/>
    <n v="53"/>
    <n v="4"/>
    <n v="4"/>
    <n v="0"/>
    <n v="1"/>
    <s v="BMJ PUBLISHING GROUP"/>
    <s v="LONDON"/>
    <s v="BRITISH MED ASSOC HOUSE, TAVISTOCK SQUARE, LONDON WC1H 9JR, ENGLAND"/>
    <s v="2044-6055"/>
    <s v=""/>
    <s v=""/>
    <s v="BMJ OPEN"/>
    <s v="BMJ Open"/>
    <s v=""/>
    <n v="2021"/>
    <n v="11"/>
    <n v="9"/>
    <s v=""/>
    <s v=""/>
    <s v=""/>
    <s v=""/>
    <s v=""/>
    <s v=""/>
    <s v="e049836"/>
    <s v="10.1136/bmjopen-2021-049836"/>
    <s v="http://dx.doi.org/10.1136/bmjopen-2021-049836"/>
    <s v=""/>
    <s v=""/>
    <n v="10"/>
    <s v="Medicine, General &amp; Internal"/>
    <x v="1"/>
    <s v="General &amp; Internal Medicine"/>
    <s v="ZZ9WZ"/>
    <n v="34475175"/>
    <s v="Green Published, gold, Green Accepted"/>
    <s v=""/>
    <s v=""/>
    <s v="2023-11-15"/>
    <x v="259"/>
    <s v="View Full Record in Web of Science"/>
  </r>
  <r>
    <s v="J"/>
    <s v="García-Martín, I; Ortega-Mohedano, F; Pérez-Peláez, ME"/>
    <s v=""/>
    <s v=""/>
    <s v=""/>
    <s v="Garcia-Martin, Inma; Ortega-Mohedano, Felix; Perez-Pelaez, Maria-Esther"/>
    <s v=""/>
    <s v=""/>
    <s v="Communication and cultural spaces in times of COVID-19"/>
    <s v="VIVAT ACADEMIA"/>
    <s v=""/>
    <s v=""/>
    <s v="Spanish"/>
    <x v="0"/>
    <s v=""/>
    <s v=""/>
    <s v=""/>
    <s v=""/>
    <s v=""/>
    <s v="COVID-19; Coronavirus; Pandemics; Museums; Social networks; Digital resources; Education"/>
    <s v=""/>
    <s v="COVID-19 has caused the closure of large cultural entities that has impacted on the cultural habits of citizens. Since the start of this Global Pandemic, digital tools have become the great allies of museums to keep in touch with their visitors, strengthening their links and betting on the digitization of content both in direct and delayed format. Analyzing the effectiveness of this digital communication and the habits of use and consumption that characterize museum visitors to readjust and improve museum communication strategies in times of Coronavirus is essential. This is a statistical-descriptive study that presents the results of a questionnaire carried out on 619 visitors from two of the museums with the highest number of visits in Castille and Leon: The Museum of Human Evolution and The Art Nouveau and Art Deco Museum Casa Lis. Among the main results, the increase in the number of visitors who access information through social networks and mobile services stands out, which implies a change in the way they inform themselves, but the need to implement digital strategies to face a crisis like the COVID-19."/>
    <s v="[Garcia-Martin, Inma] Univ Salamanca, Programa Doctorado Formac Soc Conocimiento, Salamanca, Spain; [Ortega-Mohedano, Felix] Univ Salamanca, Master Comunicac Invest &amp; Innovac, Salamanca, Spain; [Perez-Pelaez, Maria-Esther] Univ Int Valencia, Valencia, Spain"/>
    <s v="University of Salamanca; University of Salamanca; Universidad Internacional de Valencia VIU"/>
    <s v="García-Martín, I (corresponding author), Univ Salamanca, Programa Doctorado Formac Soc Conocimiento, Salamanca, Spain."/>
    <s v="adagarcia@usal.es; fortega@usal.es; mariaesther.perez@campusviu.es"/>
    <s v="Peláez, María Esther Pérez/AAK-4119-2020; Ortega, Felix/I-6099-2015"/>
    <s v="Peláez, María Esther Pérez/0000-0001-5243-5733; Ortega, Felix/0000-0003-2735-4813"/>
    <s v=""/>
    <s v=""/>
    <s v=""/>
    <s v=""/>
    <n v="26"/>
    <n v="4"/>
    <n v="5"/>
    <n v="0"/>
    <n v="15"/>
    <s v="UNIV COMPLUTENSE MADRID, SERVICIO PUBLICACIONES"/>
    <s v="MADRID"/>
    <s v="CIUDAD UNIV, OBISPO TREJO 3, MADRID, 28040, SPAIN"/>
    <s v="1575-2844"/>
    <s v=""/>
    <s v=""/>
    <s v="VIVAT ACAD"/>
    <s v="Vivat Acad."/>
    <s v=""/>
    <n v="2021"/>
    <s v=""/>
    <n v="154"/>
    <s v=""/>
    <s v=""/>
    <s v=""/>
    <s v=""/>
    <s v=""/>
    <s v=""/>
    <s v=""/>
    <s v="10.15178/va.2021.154.e1261"/>
    <s v="http://dx.doi.org/10.15178/va.2021.154.e1261"/>
    <s v=""/>
    <s v=""/>
    <n v="23"/>
    <s v="Communication"/>
    <x v="3"/>
    <s v="Communication"/>
    <s v="SK5AY"/>
    <s v=""/>
    <s v="gold, Green Submitted"/>
    <s v=""/>
    <s v=""/>
    <s v="2023-11-15"/>
    <x v="260"/>
    <s v="View Full Record in Web of Science"/>
  </r>
  <r>
    <s v="J"/>
    <s v="Rusly, FH; Talib, YYA; Hussin, MRA; Mutalib, HA"/>
    <s v=""/>
    <s v=""/>
    <s v=""/>
    <s v="Rusly, F. H.; Talib, Y. Y. A.; Hussin, M. R. A.; Mutalib, H. A."/>
    <s v=""/>
    <s v=""/>
    <s v="MODELLING THE INTERNAL FORCES OF SMEs DIGITAL ADAPTATION STRATEGY TOWARDS INDUSTRY REVOLUTION 4.0"/>
    <s v="POLISH JOURNAL OF MANAGEMENT STUDIES"/>
    <s v=""/>
    <s v=""/>
    <s v="English"/>
    <x v="0"/>
    <s v=""/>
    <s v=""/>
    <s v=""/>
    <s v=""/>
    <s v=""/>
    <s v="change adaptation; change management; digital adaptation; digitalisation; digital strategy; IR4.0; SME"/>
    <s v="IMPLEMENTATION; TECHNOLOGY; BEHAVIOR"/>
    <s v="This paper explores internal forces that formed the digital adaptation strategy for SMEs embarking on the digital transformation of Industrial Revolution 4.0 (IR4.0). A qualitative case study design was adopted involving Small and Medium-sized Enterprises (SMEs) from the manufacturing and service sectors in Malaysia. Data was gathered through semi-structured interviews and supported by the resources from the firms' website. Adopting the Planned Process Change Model and Technology Adaptation Process Model as new theoretical lenses in the digital adaptation study, findings from the multiple case studies using thematic analysis revealed four dimensions of internal forces driving SMEs' digital adaptation: business strategy, value creation, digital leadership and digital talent. Findings contribute to the theoretical development of the digital adaptation strategy from a change management perspective."/>
    <s v="[Rusly, F. H.; Talib, Y. Y. A.; Hussin, M. R. A.; Mutalib, H. A.] Univ Utara Malaysia, Tunku Puteri Intan Safinaz Sch Accountancy, Kedah, Malaysia"/>
    <s v="Universiti Utara Malaysia"/>
    <s v="Mutalib, HA (corresponding author), Univ Utara Malaysia, Tunku Puteri Intan Safinaz Sch Accountancy, Kedah, Malaysia."/>
    <s v="hanim@uum.edu.my; yurita@uum.edu.my; mohdrosni@uum.edu.my; amhafizah@uum.edu.my"/>
    <s v="Talib, Yurita Yakimin Abdul/U-5564-2018"/>
    <s v="Talib, Yurita Yakimin Abdul/0000-0002-0141-0250; Abd Mutalib, Hafizah/0000-0002-5077-5117"/>
    <s v="Ministry of Higher Education (MoHE) of Malaysia through Fundamental Research Grant Scheme [FRGS/1/2019/SS01/UUM/02/9]"/>
    <s v="Ministry of Higher Education (MoHE) of Malaysia through Fundamental Research Grant Scheme"/>
    <s v="This research was supported by Ministry of Higher Education (MoHE) of Malaysia through Fundamental Research Grant Scheme (FRGS/1/2019/SS01/UUM/02/9)."/>
    <s v=""/>
    <n v="57"/>
    <n v="4"/>
    <n v="4"/>
    <n v="6"/>
    <n v="55"/>
    <s v="CZESTOCHOWA UNIV TECHNOLOGY"/>
    <s v="CZESTOCHOWA"/>
    <s v="FAC MANAGEMENT, UL ARMII KRAJOWEJ 19B, CZESTOCHOWA, 42-201, POLAND"/>
    <s v="2081-7452"/>
    <s v=""/>
    <s v=""/>
    <s v="POL J MANAG STUD"/>
    <s v="Pol. J. Manag. Stud."/>
    <s v=""/>
    <n v="2021"/>
    <n v="24"/>
    <n v="1"/>
    <s v=""/>
    <s v=""/>
    <s v=""/>
    <s v=""/>
    <n v="306"/>
    <n v="321"/>
    <s v=""/>
    <s v="10.17512/pjms.2021.24.1.18"/>
    <s v="http://dx.doi.org/10.17512/pjms.2021.24.1.18"/>
    <s v=""/>
    <s v=""/>
    <n v="16"/>
    <s v="Management"/>
    <x v="3"/>
    <s v="Business &amp; Economics"/>
    <s v="YX1DF"/>
    <s v=""/>
    <s v="gold"/>
    <s v=""/>
    <s v=""/>
    <s v="2023-11-15"/>
    <x v="261"/>
    <s v="View Full Record in Web of Science"/>
  </r>
  <r>
    <s v="J"/>
    <s v="Lotriet, RA; Ditshego, KK"/>
    <s v=""/>
    <s v=""/>
    <s v=""/>
    <s v="Lotriet, R. A.; Ditshego, K. Kokotwane"/>
    <s v=""/>
    <s v=""/>
    <s v="An assessment of perceptions concerning digital transformation at a South African commercial bank - a case of Anthropocene denial for the economy?"/>
    <s v="TYDSKRIF VIR GEESTESWETENSKAPPE"/>
    <s v=""/>
    <s v=""/>
    <s v="Afrikaans"/>
    <x v="0"/>
    <s v=""/>
    <s v=""/>
    <s v=""/>
    <s v=""/>
    <s v=""/>
    <s v="digital maturity; digital transformation; digital revolution; the Fourth Industrial Revolution; fintechs; big data; blockchain"/>
    <s v=""/>
    <s v="Compared to other industrialised countries the South African banking industry is at present well developed and controlled. However, the industry is under stress due to a number of reasons including customer demands for more seamless banking experience. The Fintechs and other digital disruptors such as Blockchain are also causing turmoil in the industry. The banks are under massive pressure to transform their business models to a more customer-centric approach in order to stay relevant. Digital transformation is seen as the solution to the challenges faced by banks. The core digital transformation practices such as leadership, digital trends, digital transformation skills, digital strategies, implementation of digital technologies, and customer centric approach are seen as influences brought to bear on digital maturity levels. The Bank has felt the disruption and is working towards changing its business model from product-centric to customer-centric. This research was undertaken to assess how the core practices influence digital maturity in the Bank. The participants were asked to rate the Bank's maturity level among the options given; early, developing, and maturing. The majority of the respondents view the Bank as developing in terms of maturity. The statistical techniques were employed to assess the relationship between digital maturity and digital transformation core practices. Furthermore, an ordinal logistic regression analysis was employed to establish what relationship exists between digital maturity level and the combined core factors, i.e. a prediction was made about an ordinal response variable given a set of independent variables. The results revealed that a relationship exists between digital maturity and core practices. In particular, the research has shown that an interconnected set of digital transformation core practices work together to influence digital maturity."/>
    <s v="[Lotriet, R. A.; Ditshego, K. Kokotwane] Noordwes Univ, Besigheidskool, Fak Ekon Wetenskappe, Potchefstroom, South Africa"/>
    <s v="North West University - South Africa"/>
    <s v="Lotriet, RA (corresponding author), Noordwes Univ, Besigheidskool, Fak Ekon Wetenskappe, Potchefstroom, South Africa."/>
    <s v="Ronnie.Lotriet@nwu.ac.za"/>
    <s v=""/>
    <s v=""/>
    <s v=""/>
    <s v=""/>
    <s v=""/>
    <s v=""/>
    <n v="32"/>
    <n v="4"/>
    <n v="4"/>
    <n v="6"/>
    <n v="66"/>
    <s v="SUID-AFRIKAANSE AKAD VIR WETENSKAP EN KUNS, SEKRETARIS"/>
    <s v="PRETORIA"/>
    <s v="P. O. BOX 538, PRETORIA, 00000, SOUTH AFRICA"/>
    <s v="0041-4751"/>
    <s v=""/>
    <s v=""/>
    <s v="TYDSKR GEESTESWET"/>
    <s v="Tydskr. Geesteswet."/>
    <s v="SEP"/>
    <n v="2020"/>
    <n v="60"/>
    <n v="3"/>
    <s v=""/>
    <s v=""/>
    <s v=""/>
    <s v=""/>
    <n v="687"/>
    <n v="707"/>
    <s v=""/>
    <s v="10.17159/2224-7912/2020/v60n3a8"/>
    <s v="http://dx.doi.org/10.17159/2224-7912/2020/v60n3a8"/>
    <s v=""/>
    <s v=""/>
    <n v="21"/>
    <s v="Social Issues"/>
    <x v="0"/>
    <s v="Social Issues"/>
    <s v="PE6WC"/>
    <s v=""/>
    <s v="gold"/>
    <s v=""/>
    <s v=""/>
    <s v="2023-11-15"/>
    <x v="262"/>
    <s v="View Full Record in Web of Science"/>
  </r>
  <r>
    <s v="J"/>
    <s v="Keskin, B; Salman, B"/>
    <s v=""/>
    <s v=""/>
    <s v=""/>
    <s v="Keskin, Basak; Salman, Baris"/>
    <s v=""/>
    <s v=""/>
    <s v="Building Information Modeling Implementation Framework for Smart Airport Life Cycle Management"/>
    <s v="TRANSPORTATION RESEARCH RECORD"/>
    <s v=""/>
    <s v=""/>
    <s v="English"/>
    <x v="0"/>
    <s v=""/>
    <s v=""/>
    <s v=""/>
    <s v=""/>
    <s v=""/>
    <s v=""/>
    <s v=""/>
    <s v="Connectivity is key in this new era of smart infrastructure. Smart airports utilize new connected technologies to improve end-user experience while ensuring operational feasibility in aeronautical and non-aeronautical segments. The increasing need for digitizing the design-build-operate life cycles of airports can be met by implementing building information modeling (BIM) that enables accessing, managing, utilizing, and connecting physical and operational data in a digital collaborative environment. This study investigates the current state of practice in airport BIM (ABIM) and the use of ABIM processes in digital airport operations and maintenance by connecting existing data sources and integrating smart airport systems. The study proposes a comprehensive and adaptive ABIM management framework that depicts the alignment and connectivity of ABIM processes, resources and stakeholders with airport operational requirements by identifying gaps in the industry and literature, and developing a global understanding in ABIM visions. Research data are collected through literature and industry review, online surveys, and semi-structured interviews with aviation professionals. Mixed methods including non-parametric statistical analysis and qualitative analysis are used to determine the elements of the framework. Model-based systems engineering (MBSE) principles and language are used to generate the framework. For framework validation, a proof of concept (POC) is conducted by development and deployment of a web-based application. The developed ABIM framework is expected to guide major airport stakeholders in their BIM implementation processes to enhance airport operational efficiencies and in strategizing digital initiatives on a connected-BIM platform."/>
    <s v="[Keskin, Basak; Salman, Baris] Syracuse Univ, Dept Civil &amp; Environm Engn, Syracuse, NY 13244 USA"/>
    <s v="Syracuse University"/>
    <s v="Keskin, B (corresponding author), Syracuse Univ, Dept Civil &amp; Environm Engn, Syracuse, NY 13244 USA."/>
    <s v="bkeskin@syr.edu"/>
    <s v="Keskin, Basak/ABG-9093-2020"/>
    <s v=""/>
    <s v="Airport Cooperative Research Program (ACRP) [11-04]"/>
    <s v="Airport Cooperative Research Program (ACRP)"/>
    <s v="The author(s) disclosed receipt of the following financial support for the research, authorship, and/or publication of this article: This project was supported by the Airport Cooperative Research Program (ACRP) (ACRP [Graduate Research Award] 11-04)."/>
    <s v=""/>
    <n v="28"/>
    <n v="4"/>
    <n v="4"/>
    <n v="4"/>
    <n v="64"/>
    <s v="SAGE PUBLICATIONS INC"/>
    <s v="THOUSAND OAKS"/>
    <s v="2455 TELLER RD, THOUSAND OAKS, CA 91320 USA"/>
    <s v="0361-1981"/>
    <s v="2169-4052"/>
    <s v=""/>
    <s v="TRANSPORT RES REC"/>
    <s v="Transp. Res. Record"/>
    <s v="JUN"/>
    <n v="2020"/>
    <n v="2674"/>
    <n v="6"/>
    <s v=""/>
    <s v=""/>
    <s v=""/>
    <s v=""/>
    <n v="98"/>
    <n v="112"/>
    <n v="361198120917971"/>
    <s v="10.1177/0361198120917971"/>
    <s v="http://dx.doi.org/10.1177/0361198120917971"/>
    <s v=""/>
    <s v="MAY 2020"/>
    <n v="15"/>
    <s v="Engineering, Civil; Transportation; Transportation Science &amp; Technology"/>
    <x v="2"/>
    <s v="Engineering; Transportation"/>
    <s v="MF9XB"/>
    <s v=""/>
    <s v=""/>
    <s v=""/>
    <s v=""/>
    <s v="2023-11-15"/>
    <x v="263"/>
    <s v="View Full Record in Web of Science"/>
  </r>
  <r>
    <s v="J"/>
    <s v="Almeida, AO; Tomim, MA; Almeida, PM; Barbosa, PG"/>
    <s v=""/>
    <s v=""/>
    <s v=""/>
    <s v="Almeida, Andrei O.; Tomim, Marcelo A.; Almeida, Pedro M.; Barbosa, Pedro G."/>
    <s v=""/>
    <s v=""/>
    <s v="A control strategy for an offshore wind farm with the generating units connected in series with a VSC-HVDC transmission link"/>
    <s v="ELECTRIC POWER SYSTEMS RESEARCH"/>
    <s v=""/>
    <s v=""/>
    <s v="English"/>
    <x v="0"/>
    <s v=""/>
    <s v=""/>
    <s v=""/>
    <s v=""/>
    <s v=""/>
    <s v="Offshore wind farms; Series DC connection; VSC-HVDC; MMC; NPC"/>
    <s v="MODULAR-MULTILEVEL-CONVERTER; SYSTEM; MODEL; INTERCONNECTION; SIMULATION"/>
    <s v="This paper proposes a control strategy for an offshore wind farm with the generating units connected in series with a DC transmission link. This configuration presents the advantage of not requiring an offshore substation with a power transformer to increase the power plant terminal voltage since the generators are connected in series through the DC terminals of the interface rectifiers. On the other side, the energy transferred by the subsea DC cable is processed by a modular multilevel inverter before it is injected into the mains. The modular multilevel inverter regulates the current through the DC link cable instead of the voltage of the DC system. This choice allows all the generating units to transfer maximum power through the DC link cable without the need of any communication channel to exchange information between the offshore units and the onshore substation. The system controllers are designed to assure the stable operation of the proposed strategy. Digital simulations results, obtained with PSCAD/EMTDC, are used to validate the effectiveness of the designed controllers and to demonstrate the performance of the system for different operational conditions."/>
    <s v="[Almeida, Andrei O.; Tomim, Marcelo A.; Almeida, Pedro M.; Barbosa, Pedro G.] Univ Fed Juiz de Fora, BR-36036900 Juiz De Fora, MG, Brazil; [Almeida, Andrei O.] Fed Ctr Technol Educ Minas Gerais, BR-37250000 Nepomuceno, MG, Brazil"/>
    <s v="Universidade Federal de Juiz de Fora"/>
    <s v="Almeida, AO (corresponding author), Univ Fed Juiz de Fora, BR-36036900 Juiz De Fora, MG, Brazil.;Almeida, AO (corresponding author), Fed Ctr Technol Educ Minas Gerais, BR-37250000 Nepomuceno, MG, Brazil."/>
    <s v="andrei.almeida@engenharia.ufjf.br"/>
    <s v="Tomim, Marcelo/AAH-8466-2020; Tomim, Marcelo Aroca/IQV-1706-2023; Almeida, Andrei Oliveira/GLU-7810-2022; de Almeida, Pedro Machado/Q-5244-2019; Gomes Barbosa, Pedro/E-8472-2014"/>
    <s v="Tomim, Marcelo/0000-0003-1854-0198; Almeida, Andrei Oliveira/0000-0003-2072-8683; de Almeida, Pedro Machado/0000-0003-0979-0865; Gomes Barbosa, Pedro/0000-0003-3838-2668"/>
    <s v="National Council for Scientific and Technological Development(CNPq); Foundation for Research of the State of Minas Gerais (FAPEMIG); National Institute for Electric Energy (INERGE); Petrobras [5850.0103831.17.9]; Coordenacao de Aperfeicoamento de Pessoal de Nivel Superior - Brasil (CAPES) [001]"/>
    <s v="National Council for Scientific and Technological Development(CNPq)(Conselho Nacional de Desenvolvimento Cientifico e Tecnologico (CNPQ)); Foundation for Research of the State of Minas Gerais (FAPEMIG)(Fundacao de Amparo a Pesquisa do Estado de Minas Gerais (FAPEMIG)); National Institute for Electric Energy (INERGE); Petrobras(Fundacao de Amparo a Pesquisa do Amapa (FAPEAP)Petrobras); Coordenacao de Aperfeicoamento de Pessoal de Nivel Superior - Brasil (CAPES)(Coordenacao de Aperfeicoamento de Pessoal de Nivel Superior (CAPES))"/>
    <s v="This study was financed in part by the National Council for Scientific and Technological Development(CNPq), the Foundation for Research of the State of Minas Gerais (FAPEMIG), the National Institute for Electric Energy (INERGE), the Petrobras (Cooperation Contract: 5850.0103831.17.9) and the Coordenacao de Aperfeicoamento de Pessoal de Nivel Superior - Brasil (CAPES) Finance Code 001."/>
    <s v=""/>
    <n v="36"/>
    <n v="4"/>
    <n v="4"/>
    <n v="1"/>
    <n v="10"/>
    <s v="ELSEVIER SCIENCE SA"/>
    <s v="LAUSANNE"/>
    <s v="PO BOX 564, 1001 LAUSANNE, SWITZERLAND"/>
    <s v="0378-7796"/>
    <s v="1873-2046"/>
    <s v=""/>
    <s v="ELECTR POW SYST RES"/>
    <s v="Electr. Power Syst. Res."/>
    <s v="MAR"/>
    <n v="2020"/>
    <n v="180"/>
    <s v=""/>
    <s v=""/>
    <s v=""/>
    <s v=""/>
    <s v=""/>
    <s v=""/>
    <s v=""/>
    <n v="106121"/>
    <s v="10.1016/j.epsr.2019.106121"/>
    <s v="http://dx.doi.org/10.1016/j.epsr.2019.106121"/>
    <s v=""/>
    <s v=""/>
    <n v="13"/>
    <s v="Engineering, Electrical &amp; Electronic"/>
    <x v="2"/>
    <s v="Engineering"/>
    <s v="KM3IR"/>
    <s v=""/>
    <s v=""/>
    <s v=""/>
    <s v=""/>
    <s v="2023-11-15"/>
    <x v="264"/>
    <s v="View Full Record in Web of Science"/>
  </r>
  <r>
    <s v="J"/>
    <s v="Guttieres, D; Stewart, S; Wolfrum, J; Springs, SL"/>
    <s v=""/>
    <s v=""/>
    <s v=""/>
    <s v="Guttieres, Donovan; Stewart, Shannon; Wolfrum, Jacqueline; Springs, Stacy L."/>
    <s v=""/>
    <s v=""/>
    <s v="Cyberbiosecurity in Advanced Manufacturing Models"/>
    <s v="FRONTIERS IN BIOENGINEERING AND BIOTECHNOLOGY"/>
    <s v=""/>
    <s v=""/>
    <s v="English"/>
    <x v="0"/>
    <s v=""/>
    <s v=""/>
    <s v=""/>
    <s v=""/>
    <s v=""/>
    <s v="cybersecurity; biomanufacturing; distributed manufacturing; bioprocess risks; cyber-physical systems; risk mitigation"/>
    <s v="CYBER-PHYSICAL SYSTEMS"/>
    <s v="Cybersecurity for the production of safe and effective biopharmaceuticals requires the attention of multiple stakeholders, including industry, governments, and healthcare providers. Cyberbiosecurity breaches could directly impact patients, from compromised data privacy to disruptions in production that jeopardize global pandemic response. Maintaining cybersecurity in the modern economy, where advanced manufacturing technologies and digital strategies are becoming the norm, is a significant challenge. Here, we highlight vulnerabilities in present and future biomanufacturing paradigms given the dependence of this industry sector on proprietary intellectual property, cyber-physical systems, and government-regulated production environments, as well as movement toward advanced manufacturing models. Specifically, we (1) present an analysis of digital information flow in a typical biopharmaceutical manufacturing value chain; (2) consider the potential cyberbiosecurity risks that might emerge from advanced manufacturing models such as continuous and distributed systems; and (3) provide recommendations for risk mitigation. While advanced manufacturing models hold the potential for reducing costs and increasing access to more personalized therapies, the evolving landscape of the biopharmaceutical enterprise has led to growing concerns over potential cyber attacks. Gaining better foresight on potential risks is key for implementing proactive defensive principles, framing new developments, and establishing a permanent security culture that adapts to new challenges while maintaining the transparency required for regulated production of safe and effective medicines."/>
    <s v="[Guttieres, Donovan; Stewart, Shannon; Wolfrum, Jacqueline; Springs, Stacy L.] MIT, Ctr Biomed Innovat, 77 Massachusetts Ave, Cambridge, MA 02139 USA"/>
    <s v="Massachusetts Institute of Technology (MIT)"/>
    <s v="Springs, SL (corresponding author), MIT, Ctr Biomed Innovat, 77 Massachusetts Ave, Cambridge, MA 02139 USA."/>
    <s v="ssprings@mit.edu"/>
    <s v=""/>
    <s v="Guttieres, Donovan/0000-0003-1174-5238"/>
    <s v=""/>
    <s v=""/>
    <s v=""/>
    <s v=""/>
    <n v="31"/>
    <n v="4"/>
    <n v="5"/>
    <n v="2"/>
    <n v="18"/>
    <s v="FRONTIERS MEDIA SA"/>
    <s v="LAUSANNE"/>
    <s v="AVENUE DU TRIBUNAL FEDERAL 34, LAUSANNE, CH-1015, SWITZERLAND"/>
    <s v="2296-4185"/>
    <s v=""/>
    <s v=""/>
    <s v="FRONT BIOENG BIOTECH"/>
    <s v="Front. Bioeng. Biotechnol."/>
    <s v="SEP 4"/>
    <n v="2019"/>
    <n v="7"/>
    <s v=""/>
    <s v=""/>
    <s v=""/>
    <s v=""/>
    <s v=""/>
    <s v=""/>
    <s v=""/>
    <n v="210"/>
    <s v="10.3389/fbioe.2019.00210"/>
    <s v="http://dx.doi.org/10.3389/fbioe.2019.00210"/>
    <s v=""/>
    <s v=""/>
    <n v="8"/>
    <s v="Biotechnology &amp; Applied Microbiology; Multidisciplinary Sciences"/>
    <x v="2"/>
    <s v="Biotechnology &amp; Applied Microbiology; Science &amp; Technology - Other Topics"/>
    <s v="IU8DT"/>
    <n v="31552236"/>
    <s v="Green Published, gold"/>
    <s v=""/>
    <s v=""/>
    <s v="2023-11-15"/>
    <x v="265"/>
    <s v="View Full Record in Web of Science"/>
  </r>
  <r>
    <s v="J"/>
    <s v="Lobillo-Mora, G; Smolak-Lozano, E"/>
    <s v=""/>
    <s v=""/>
    <s v=""/>
    <s v="Lobillo-Mora, Gema; Smolak-Lozano, Emilia"/>
    <s v=""/>
    <s v=""/>
    <s v="The relationship as a strategic value in organizational communication between football clubs and star players in social networks. Case study of Real Madrid CF / Cristiano Ronaldo and FC Barcelona / Leo Messi"/>
    <s v="REVISTA INTERNACIONAL DE RELACIONES PUBLICAS"/>
    <s v=""/>
    <s v=""/>
    <s v="Spanish"/>
    <x v="0"/>
    <s v=""/>
    <s v=""/>
    <s v=""/>
    <s v=""/>
    <s v=""/>
    <s v="public relations; organisational communication; sports management; social networks; Real Madrid CF; FC Barcelona"/>
    <s v=""/>
    <s v="The research framework is composed by studies of the management of organizational communication in sport, with the particular focus on social networks as strategic channels to establish relationships with football fans. Olabe (2012) and Ginesta (2011) demonstrated the influence of communication with different audiences of sports entities. However, there we can observe the limited number of studies on the mutual interaction between football clubs and their star players in their respective digital strategies of corporate communication based on interactivity, influence, and publicity. The objective of the study is to demonstrate the strategic relationship established via digital communication of the most important football clubs in the Professional Football League (Real Madrid CF and FC Barcelona), with their most popular athletes (Cristiano Ronaldo and Leo Messi, respectively) on Facebook, Twitter and lnstagram. The choice of these networks is motivated by the wide use and application in case of both clubs and players (except for the FC Barcelona player, Messi who does not have a Twitter profile by the time of the study). A methodological triangulation has been used, centered on Web 2.0 analytics and content analysis of social networks, covering the period of the LFP competition and the time directly afterwards. In this way, we cover sporting period and vacation rest. In this way, we can determine the strategies of the players and their greater or lesser link to their club of relevance depending on the sport and competition activity. In order to accomplish the objective of the present study, we have used the online monitoring and measurement tools of social networks: FanPage Karma, Likelyzer and Twitonomy, so we have been able to collect a large amount of data, otherwise impossible to gather. The results show a high performance of profiles in terms of activity, popularity and advertising value. The data confirm the communication relationship between professional players and their respective clubs, developing a clear vision of their communication strategy. The study reflect the commitment and publicity value of football clubs and reveal the ways in which the players use it for their own businesses or sponsorships. In the case of both clubs, the players provoke the greatest interaction on the part of the followers, but they are not mentioned in messages through the hashtags, but key words. In addition, the clubs perform different strategies for their players. Additionally, the players have shown a marked difference in terms of the purpose of their publications on social networks. Among the conclusions, it is advisable to redesign the strategies of the social networks in order to include the conversation, dialogue and reciprocal relationship between clubs and their star players for the mutual communicative and promotional benefit, beyond the commercial effect. In short, the use of social networks by players and sports entities is based on objectives within their own separate communication strategy and business interests. However, it is advisable to cross the strategies of both players and entities to amplify the messages and optimize the strategies different actors of communication."/>
    <s v="[Lobillo-Mora, Gema; Smolak-Lozano, Emilia] Univ Malaga, Dept Comunicac Audiosvisual &amp; Publicidad, Malaga, Spain"/>
    <s v="Universidad de Malaga"/>
    <s v="Lobillo-Mora, G (corresponding author), Univ Malaga, Dept Comunicac Audiosvisual &amp; Publicidad, Malaga, Spain."/>
    <s v="gmlobillo@uma.es; esmolaklozano@uma.es"/>
    <s v="Lobillo-Mora, Gema/L-9797-2017"/>
    <s v="Lobillo-Mora, Gema/0000-0002-5315-3057"/>
    <s v=""/>
    <s v=""/>
    <s v=""/>
    <s v=""/>
    <n v="12"/>
    <n v="4"/>
    <n v="4"/>
    <n v="0"/>
    <n v="18"/>
    <s v="UNIV MALAGA, INST INVESTIGACION RELACIONES PUBLICAS"/>
    <s v="MALAGA"/>
    <s v="CAMPUS TEATINOS, MALAGA, 29071, SPAIN"/>
    <s v="2174-3681"/>
    <s v=""/>
    <s v=""/>
    <s v="REV INT RELAC PUBLIC"/>
    <s v="Rev. Int. Relac. Publicas"/>
    <s v="JAN-JUN"/>
    <n v="2019"/>
    <n v="9"/>
    <n v="17"/>
    <s v=""/>
    <s v=""/>
    <s v=""/>
    <s v=""/>
    <n v="71"/>
    <n v="96"/>
    <s v=""/>
    <s v="10.5783/RIRP-17-2019-05-71-96"/>
    <s v="http://dx.doi.org/10.5783/RIRP-17-2019-05-71-96"/>
    <s v=""/>
    <s v=""/>
    <n v="26"/>
    <s v="Communication"/>
    <x v="3"/>
    <s v="Communication"/>
    <s v="IF0HV"/>
    <s v=""/>
    <s v=""/>
    <s v=""/>
    <s v=""/>
    <s v="2023-11-15"/>
    <x v="266"/>
    <s v="View Full Record in Web of Science"/>
  </r>
  <r>
    <s v="S"/>
    <s v="Ruttkay, Z; Bényei, J"/>
    <s v=""/>
    <s v="Bast, G; Carayannis, EG; Campbell, DFJ"/>
    <s v=""/>
    <s v="Ruttkay, Zsofia; Benyei, Judit"/>
    <s v=""/>
    <s v=""/>
    <s v="Renewal of the Museum in the Digital Epoch"/>
    <s v="FUTURE OF MUSEUMS"/>
    <s v="Arts Research Innovation and Society"/>
    <s v=""/>
    <s v="English"/>
    <x v="1"/>
    <s v=""/>
    <s v=""/>
    <s v=""/>
    <s v=""/>
    <s v=""/>
    <s v="Design; Digital museum; Digital technologies; Evaluation; Learning; New media culture; BDT (basic digital technologies)"/>
    <s v=""/>
    <s v="At the beginning of the twenty-first century, digital technologies are radically changing the way young people communicate, learn and spend their free time. Museums, in order not to lose the next generations as visitors, must conform to the new expectations and needs. On a large scale, the museum must address young people, provide a forum for self-expression and participation and advertise itself by new means. On a smaller scale, the style and means of individual exhibitions must change, providing space for activity, emotions and multiple modalities besides text, personalized visits, interactive explorations and self-expression, evoking emotions but meanwhile also fulfilling educational objectives. Digital technologies-by the yet smaller, cheaper and more and more pervasive devices and services-provide ample means to reach these goals. In our article first we provide a conceptual framework, focussing on the Internet generation as new audience and traditional and new functions of museums. We show how digital technologies may be used to reach six major and general goals. For each issue, we discuss concrete recent examples, from international and own projects. Finally, we address the roles in the complex process of design, development and daily operation of digital applications, in the context of a digital strategy for the museum."/>
    <s v="[Ruttkay, Zsofia] Moholy Nagy Univ Art &amp; Design, Creat Technol Lab, Budapest, Hungary; [Benyei, Judit] Moholy Nagy Univ Art &amp; Design, Dept Pedag &amp; Psychol, Budapest, Hungary"/>
    <s v="Moholy-Nagy University of Art &amp; Design Budapest; Moholy-Nagy University of Art &amp; Design Budapest"/>
    <s v="Ruttkay, Z (corresponding author), Moholy Nagy Univ Art &amp; Design, Creat Technol Lab, Budapest, Hungary."/>
    <s v="ruttkay@mome.hu; benyeij@mome.hu"/>
    <s v=""/>
    <s v=""/>
    <s v=""/>
    <s v=""/>
    <s v=""/>
    <s v=""/>
    <n v="15"/>
    <n v="4"/>
    <n v="4"/>
    <n v="0"/>
    <n v="2"/>
    <s v="SPRINGER INTERNATIONAL PUBLISHING AG"/>
    <s v="CHAM"/>
    <s v="GEWERBESTRASSE 11, CHAM, CH-6330, SWITZERLAND"/>
    <s v="2626-7683"/>
    <s v="2626-7691"/>
    <s v="978-3-319-93955-1; 978-3-319-93954-4"/>
    <s v="ARTS RES INNOV SOCIE"/>
    <s v=""/>
    <s v=""/>
    <n v="2018"/>
    <s v=""/>
    <s v=""/>
    <s v=""/>
    <s v=""/>
    <s v=""/>
    <s v=""/>
    <n v="101"/>
    <n v="116"/>
    <s v=""/>
    <s v="10.1007/978-3-319-93955-1_10"/>
    <s v="http://dx.doi.org/10.1007/978-3-319-93955-1_10"/>
    <s v="10.1007/978-3-319-93955-1"/>
    <s v=""/>
    <n v="16"/>
    <s v="Art; Cultural Studies"/>
    <x v="4"/>
    <s v="Art; Cultural Studies"/>
    <s v="BP9LE"/>
    <s v=""/>
    <s v=""/>
    <s v=""/>
    <s v=""/>
    <s v="2023-11-15"/>
    <x v="267"/>
    <s v="View Full Record in Web of Science"/>
  </r>
  <r>
    <s v="S"/>
    <s v="Whyley, D"/>
    <s v=""/>
    <s v="Voogt, J; Knezek, G; Christensen, R; Lai, KW"/>
    <s v=""/>
    <s v="Whyley, David"/>
    <s v=""/>
    <s v=""/>
    <s v="Barriers to Mobile Learning Advancements in the United Kingdom"/>
    <s v="SECOND HANDBOOK OF INFORMATION TECHNOLOGY IN PRIMARY AND SECONDARY EDUCATION"/>
    <s v="Springer International Handbooks of Education"/>
    <s v=""/>
    <s v="English"/>
    <x v="1"/>
    <s v=""/>
    <s v=""/>
    <s v=""/>
    <s v=""/>
    <s v=""/>
    <s v="Mobile technology; Digital strategy; BYOD1:1; Cloud storage; E-books personalized learning"/>
    <s v=""/>
    <s v="Since its ambitious, visionary beginning in 2003 in Wolverhampton, mobile learning continues to expand and evolve in the UK. Mobile technologies, as well, continue to expand and evolve with tablets, Chromebooks, and even laptops viewed as mobile devices. Drawing on a range of resources (e.g., interviews with 16 influential practitioners), then, this chapter addresses the question: what is the status of mobile learning in the UK some 15 years later? In developing an answer, we explore mobile devices, models of mobile device ownership, and the pedagogical uses of mobile devices for mobile learning."/>
    <s v="[Whyley, David] Whytek Consulting, Stourbridge, England"/>
    <s v=""/>
    <s v="Whyley, D (corresponding author), Whytek Consulting, Stourbridge, England."/>
    <s v="david.whyley@whytekconsulting.co.uk"/>
    <s v=""/>
    <s v=""/>
    <s v=""/>
    <s v=""/>
    <s v=""/>
    <s v=""/>
    <n v="23"/>
    <n v="4"/>
    <n v="4"/>
    <n v="0"/>
    <n v="0"/>
    <s v="SPRINGER INTERNATIONAL PUBLISHING AG"/>
    <s v="CHAM"/>
    <s v="GEWERBESTRASSE 11, CHAM, CH-6330, SWITZERLAND"/>
    <s v="2197-1951"/>
    <s v="2197-196X"/>
    <s v="978-3-319-71054-9; 978-3-319-71053-2"/>
    <s v="SPRINGER INT HBK ED"/>
    <s v=""/>
    <s v=""/>
    <n v="2018"/>
    <s v=""/>
    <s v=""/>
    <s v=""/>
    <s v=""/>
    <s v=""/>
    <s v=""/>
    <n v="807"/>
    <n v="816"/>
    <s v=""/>
    <s v="10.1007/978-3-319-71054-9_53"/>
    <s v="http://dx.doi.org/10.1007/978-3-319-71054-9_53"/>
    <s v="10.1007/978-3-319-71054-9"/>
    <s v=""/>
    <n v="10"/>
    <s v="Education &amp; Educational Research"/>
    <x v="4"/>
    <s v="Education &amp; Educational Research"/>
    <s v="BO0BR"/>
    <s v=""/>
    <s v=""/>
    <s v=""/>
    <s v=""/>
    <s v="2023-11-15"/>
    <x v="268"/>
    <s v="View Full Record in Web of Science"/>
  </r>
  <r>
    <s v="J"/>
    <s v="Vázquez-Herrero, J; López-García, X"/>
    <s v=""/>
    <s v=""/>
    <s v=""/>
    <s v="Vazquez-Herrero, Jorge; Lopez-Garcia, Xose"/>
    <s v=""/>
    <s v=""/>
    <s v="Interactive documentaries as a format in audiovisual media: A case study of RTVE and Al Jazeera"/>
    <s v="ANALISI-QUADERNS DE COMUNICACIO I CULTURA"/>
    <s v=""/>
    <s v=""/>
    <s v="Spanish"/>
    <x v="0"/>
    <s v=""/>
    <s v=""/>
    <s v=""/>
    <s v=""/>
    <s v=""/>
    <s v="interactive documentary; transmedia; docugame; newsgames; online media"/>
    <s v=""/>
    <s v="The main objective of this article is to examine new interactive non-fiction narratives in audiovisual media. In the current context marked by convergence, a hybridization of forms and languages is taking place within the news environment. Online media show a singular characterization, and the limits between press, radio and television are increasingly blurred. In the digital strategy of televisions as online media, innovation and the search for added value have led to the confluence of journalism and transmedia narratives, as well as to the development of new formats, among them interactive documentaries. The study was conducted in two stages. The first consists of an exploratory-descriptive stage, where interactive documentaries produced by online media in 2016 are related and classified, thus obtaining a panoramic vision of this genre in the last year. Secondly, a comparative case study is presented between Parkinson, que tiemble el camino (RTVE, 2016) and Hacked (Al Jazeera, 2016), both of which are audiovisual media projects. The analysis of these two projects focuses on the docugame, which provides novelties for the user, the content and media through ludification, simulation and greater user engagement."/>
    <s v="[Vazquez-Herrero, Jorge; Lopez-Garcia, Xose] Univ Santiago de Compostela, Santiago De Compostela, La Coruna, Spain"/>
    <s v="Universidade de Santiago de Compostela"/>
    <s v="Vázquez-Herrero, J (corresponding author), Univ Santiago de Compostela, Santiago De Compostela, La Coruna, Spain."/>
    <s v="jorge.vazquez@usc.es; xose.lopez.garcia@usc.es"/>
    <s v="García, Xosé López/I-4418-2019; Vázquez-Herrero, Jorge/J-8399-2017"/>
    <s v="García, Xosé López/0000-0002-1873-8260; Vázquez-Herrero, Jorge/0000-0002-9081-3018"/>
    <s v=""/>
    <s v=""/>
    <s v=""/>
    <s v=""/>
    <n v="32"/>
    <n v="4"/>
    <n v="4"/>
    <n v="1"/>
    <n v="27"/>
    <s v="UNIV AUTONOMA BARCELONA"/>
    <s v="CERDANYOLA DEL VALLES, BARCELONA"/>
    <s v="VICERECTORAT RELACIONS INSTITUCIONALS &amp; CULTURA, UNIV VALENCIA, VICERECTORAT INVESTIGACIO, CERDANYOLA DEL VALLES, BARCELONA, 08193, SPAIN"/>
    <s v="0211-2175"/>
    <s v="2340-5236"/>
    <s v=""/>
    <s v="ANALISI"/>
    <s v="Analisi"/>
    <s v="DEC"/>
    <n v="2017"/>
    <s v=""/>
    <n v="57"/>
    <s v=""/>
    <s v=""/>
    <s v=""/>
    <s v=""/>
    <n v="47"/>
    <n v="61"/>
    <s v=""/>
    <s v="10.5565/rev/analisi.3100"/>
    <s v="http://dx.doi.org/10.5565/rev/analisi.3100"/>
    <s v=""/>
    <s v=""/>
    <n v="15"/>
    <s v="Communication"/>
    <x v="3"/>
    <s v="Communication"/>
    <s v="FP9XC"/>
    <s v=""/>
    <s v="Green Submitted, gold, Green Published"/>
    <s v=""/>
    <s v=""/>
    <s v="2023-11-15"/>
    <x v="269"/>
    <s v="View Full Record in Web of Science"/>
  </r>
  <r>
    <s v="J"/>
    <s v="Lavonen, J"/>
    <s v=""/>
    <s v=""/>
    <s v=""/>
    <s v="Lavonen, Jan"/>
    <s v=""/>
    <s v=""/>
    <s v="Governance decentralisation in education: Finnish innovation in education"/>
    <s v="RED-REVISTA DE EDUCACION A DISTANCIA"/>
    <s v=""/>
    <s v=""/>
    <s v="English"/>
    <x v="0"/>
    <s v=""/>
    <s v=""/>
    <s v=""/>
    <s v=""/>
    <s v=""/>
    <s v="Education policy; digital strategy; curriculum; quality assuramce; assessment"/>
    <s v="TEACHER-EDUCATION; THINKING; FINLAND"/>
    <s v="This paper introduces a Finnish education innovation known as decentralisation in education. The innovation is described based on education policy documents, research papers and two short interviews with national and municipality experts in curriculum design. In a decentralised education system local providers of education ( municipalities) and teachers play important roles in the preparation of local curriculum and learning environments, including the use of digital learning tools and environments. Education providers localise the national aims and content and describe how education is organised. Classroom-based assessment is another characteristic of decentralisation. Three preconditions are required for a decentralised education system to be effective: 1) common, national level, long-term strategic aims and must be established and local level plans, such as curriculum and an equity plan, must be developed and the implemented, 2) quality work, student assessment, continuous improvement of learning environments and practices implemented at the local level and 3) professional teachers must collaborate and engage in broad planning and assess their teaching abilities and their students' learning outcomes."/>
    <s v="[Lavonen, Jan] Univ Helsinki, Dept Educ Sci, Helsinki, Finland; [Lavonen, Jan] Univ Johannesburg, Dept Childhood Educ, Soweto, South Africa"/>
    <s v="University of Helsinki; University of Johannesburg"/>
    <s v="Lavonen, J (corresponding author), Univ Helsinki, Dept Educ Sci, Helsinki, Finland.;Lavonen, J (corresponding author), Univ Johannesburg, Dept Childhood Educ, Soweto, South Africa."/>
    <s v="jari.lavonen@helsinki.ti"/>
    <s v=""/>
    <s v=""/>
    <s v="Finnish Academy [298323, 294228]; Academy of Finland (AKA) [294228, 294228] Funding Source: Academy of Finland (AKA)"/>
    <s v="Finnish Academy(Research Council of Finland); Academy of Finland (AKA)(Research Council of Finland)"/>
    <s v="This material is based upon work supported by the Finnish Academy (no. 298323 and 294228)"/>
    <s v=""/>
    <n v="57"/>
    <n v="4"/>
    <n v="4"/>
    <n v="0"/>
    <n v="15"/>
    <s v="EDIT UM-EDICIONES UNIV MURCIA"/>
    <s v="MURCIA"/>
    <s v="EDIFICIO SAAVEDRA FAJARDO, C/O ACTOR ISIDORO MAIQUEZ 9, MURCIA, 30007, SPAIN"/>
    <s v="1578-7680"/>
    <s v=""/>
    <s v=""/>
    <s v="RED-REV EDUC DISTANC"/>
    <s v="RED-Rev. Educ. Distancia"/>
    <s v="MAR 31"/>
    <n v="2017"/>
    <s v=""/>
    <n v="53"/>
    <s v=""/>
    <s v=""/>
    <s v=""/>
    <s v=""/>
    <s v=""/>
    <s v=""/>
    <n v="1"/>
    <s v="10.6018/red/53/1"/>
    <s v="http://dx.doi.org/10.6018/red/53/1"/>
    <s v=""/>
    <s v=""/>
    <n v="22"/>
    <s v="Education &amp; Educational Research"/>
    <x v="3"/>
    <s v="Education &amp; Educational Research"/>
    <s v="FP0QT"/>
    <s v=""/>
    <s v="Green Submitted, gold, Green Published"/>
    <s v=""/>
    <s v=""/>
    <s v="2023-11-15"/>
    <x v="270"/>
    <s v="View Full Record in Web of Science"/>
  </r>
  <r>
    <s v="J"/>
    <s v="Latifi, N; Miri, AK; Mongeau, L"/>
    <s v=""/>
    <s v=""/>
    <s v=""/>
    <s v="Latifi, Neda; Miri, Amir K.; Mongeau, Luc"/>
    <s v=""/>
    <s v=""/>
    <s v="Determination of the elastic properties of rabbit vocal fold tissue using uniaxial tensile testing and a tailored finite element model"/>
    <s v="JOURNAL OF THE MECHANICAL BEHAVIOR OF BIOMEDICAL MATERIALS"/>
    <s v=""/>
    <s v=""/>
    <s v="English"/>
    <x v="0"/>
    <s v=""/>
    <s v=""/>
    <s v=""/>
    <s v=""/>
    <s v=""/>
    <s v="Biomechanics; Vocal fold; Tensile test; Geometrical models; Inverse problem; Finite element model"/>
    <s v="INJECTION; VISCOELASTICITY"/>
    <s v="The aim of the present study was to quantify the effects of the specimen shape on the accuracy of mechanical properties determined from a shape-specific model generation strategy. Digital images of five rabbit vocal folds (VFs) in their initial undeformed conditions were used to build corresponding specific solid models. The displacement field of the VFs under uniaxial tensile test was then measured over the visible portion of the surface using digital image correlation. A three-dimensional finite element model was built, using ABAQUS, for each solid model, while imposing measured boundary conditions. An inverse-problem method was used, assuming a homogeneous isotropic linear elastic constitutive model. Unknown elastic properties were identified iteratively through an error minimization technique between simulated and measured force-time data. The longitudinal elastic moduli of the five rabbit VFs were calculated and compared to values from a simple analytical method and those obtained by approximating the cross-section as elliptical. The use of shape-specific models significantly reduced the standard deviation of the Young's moduli of the tested specimens. However, a non-parametric statistical analysis test, i.e., the Friedman test, yielded no statistically significant differences between the shape-specific method and the elliptic cylindrical finite element model. Considering the required procedures to reconstruct the shape-specific finite element model for each tissue specimen, it might be expedient to use the simpler method when large numbers of tissue specimens are to be compared regarding their Young's moduli. (C) 2014 Elsevier Ltd. All rights reserved."/>
    <s v="[Latifi, Neda; Miri, Amir K.; Mongeau, Luc] McGill Univ, Dept Mech Engn, Montreal, PQ H3A 0C3, Canada"/>
    <s v="McGill University"/>
    <s v="Latifi, N (corresponding author), McGill Univ, Dept Mech Engn, 817 Sherbrooke St West, Montreal, PQ H3A 0C3, Canada."/>
    <s v="nada.latifialavijeh@mail.mcgill.ca; amir.miriramsheh@mail.mcgill.ca; luc.mongeau@mcgill.ca"/>
    <s v=""/>
    <s v="Latifi, Neda/0000-0002-8099-8354; Mongeau, Luc/0000-0003-0344-227X; Miri, Amir K./0000-0003-0685-0770"/>
    <s v="National Institutes of Health [NIDCD R01-DC005788]"/>
    <s v="National Institutes of Health(United States Department of Health &amp; Human ServicesNational Institutes of Health (NIH) - USA)"/>
    <s v="This work was supported by Grant NIDCD R01-DC005788 from the National Institutes of Health, (Principal investigator: Luc Mongeau). The authors would like to express their gratitude to Professors Nicole Li and Susan Thibeault (University of Wisconsin, Department of Surgery) for providing the tissue specimens and Professor Rosaire Mongrain (Montreal Heart Institute, Research Center, Montreal) for sharing his mechanical tester. We are thankful to Juan F. Henao (McGill University, Department of Mechanical Engineering) for his help in preparing the iModeller setup. Finally, the authors would like to express their heartfelt gratitude to the reviewers for their constructive comments."/>
    <s v=""/>
    <n v="20"/>
    <n v="4"/>
    <n v="4"/>
    <n v="0"/>
    <n v="7"/>
    <s v="ELSEVIER SCIENCE BV"/>
    <s v="AMSTERDAM"/>
    <s v="PO BOX 211, 1000 AE AMSTERDAM, NETHERLANDS"/>
    <s v="1751-6161"/>
    <s v="1878-0180"/>
    <s v=""/>
    <s v="J MECH BEHAV BIOMED"/>
    <s v="J. Mech. Behav. Biomed. Mater."/>
    <s v="NOV"/>
    <n v="2014"/>
    <n v="39"/>
    <s v=""/>
    <s v=""/>
    <s v=""/>
    <s v=""/>
    <s v=""/>
    <n v="366"/>
    <n v="374"/>
    <s v=""/>
    <s v="10.1016/j.jmbbm.2014.07.031"/>
    <s v="http://dx.doi.org/10.1016/j.jmbbm.2014.07.031"/>
    <s v=""/>
    <s v=""/>
    <n v="9"/>
    <s v="Engineering, Biomedical; Materials Science, Biomaterials"/>
    <x v="2"/>
    <s v="Engineering; Materials Science"/>
    <s v="AR1IL"/>
    <n v="25173237"/>
    <s v="Green Accepted"/>
    <s v=""/>
    <s v=""/>
    <s v="2023-11-15"/>
    <x v="271"/>
    <s v="View Full Record in Web of Science"/>
  </r>
  <r>
    <s v="J"/>
    <s v="Lim, DH; Ripley, D; O'Steen, B"/>
    <s v=""/>
    <s v=""/>
    <s v=""/>
    <s v="Lim, Doo Hun; Ripley, David; O'Steen, Billy"/>
    <s v=""/>
    <s v=""/>
    <s v="E-learning methodologies in practice: similarities and differences between North American countries and New Zealand"/>
    <s v="HUMAN RESOURCE DEVELOPMENT INTERNATIONAL"/>
    <s v=""/>
    <s v=""/>
    <s v="English"/>
    <x v="0"/>
    <s v=""/>
    <s v=""/>
    <s v=""/>
    <s v=""/>
    <s v=""/>
    <s v="e-learning methodology; cross national study; qualitative study; tertiary instructor"/>
    <s v=""/>
    <s v="In this cross-national qualitative study, tertiary instructors from North America (Canada and the USA) and New Zealand were asked to share their perceptions regarding effective e-learning methodologies. The purpose of the research was to identify what similarities and differences in perceptions existed, and what implications, if any, such similarities and differences would have for the development of national and tertiary digital strategies for New Zealand. A comparison of the responses to four primary research questions indicated that while both similarities and differences in perception do exist, the similarities far outweigh the differences."/>
    <s v="[Lim, Doo Hun] Univ Oklahoma, Adult &amp; Higher Educ, 820 Vleet Oval, Norman, OK 73019 USA; [Ripley, David] Boise State Univ, Coll Engn, Dept Instruct &amp; Performance Technol, Boise, ID 83725 USA; [O'Steen, Billy] Univ Canterbury, Ctr Teaching &amp; Learning, Christchurch, New Zealand"/>
    <s v="University of Oklahoma System; University of Oklahoma - Norman; Idaho; Boise State University; University of Canterbury"/>
    <s v="Lim, DH (corresponding author), Univ Oklahoma, Adult &amp; Higher Educ, 820 Vleet Oval, Norman, OK 73019 USA."/>
    <s v="dhlim@ou.edu"/>
    <s v=""/>
    <s v=""/>
    <s v=""/>
    <s v=""/>
    <s v=""/>
    <s v=""/>
    <n v="54"/>
    <n v="4"/>
    <n v="4"/>
    <n v="0"/>
    <n v="0"/>
    <s v="ROUTLEDGE JOURNALS, TAYLOR &amp; FRANCIS LTD"/>
    <s v="ABINGDON"/>
    <s v="2-4 PARK SQUARE, MILTON PARK, ABINGDON OX14 4RN, OXON, ENGLAND"/>
    <s v="1367-8868"/>
    <s v="1469-8374"/>
    <s v=""/>
    <s v="HUM RESOUR DEV INT"/>
    <s v="Hum. Resour. Dev. Int."/>
    <s v=""/>
    <n v="2009"/>
    <n v="12"/>
    <n v="2"/>
    <s v=""/>
    <s v=""/>
    <s v=""/>
    <s v=""/>
    <n v="209"/>
    <n v="224"/>
    <s v=""/>
    <s v="10.1080/13678860902764134"/>
    <s v="http://dx.doi.org/10.1080/13678860902764134"/>
    <s v=""/>
    <s v=""/>
    <n v="16"/>
    <s v="Management"/>
    <x v="3"/>
    <s v="Business &amp; Economics"/>
    <s v="V88CP"/>
    <s v=""/>
    <s v=""/>
    <s v=""/>
    <s v=""/>
    <s v="2023-11-15"/>
    <x v="272"/>
    <s v="View Full Record in Web of Science"/>
  </r>
  <r>
    <s v="J"/>
    <s v="Li, JK; Wang, L; Nutakor, F"/>
    <s v=""/>
    <s v=""/>
    <s v=""/>
    <s v="Li, Jinke; Wang, Le; Nutakor, Felix"/>
    <s v=""/>
    <s v=""/>
    <s v="Empirical research on the influence of corporate digitalization on green innovation"/>
    <s v="FRONTIERS IN ENVIRONMENTAL SCIENCE"/>
    <s v=""/>
    <s v=""/>
    <s v="English"/>
    <x v="0"/>
    <s v=""/>
    <s v=""/>
    <s v=""/>
    <s v=""/>
    <s v=""/>
    <s v="corporate digitalization; green innovation; human capital; executive team environmental attention; media attention"/>
    <s v="INFORMATION-TECHNOLOGY; ENVIRONMENTAL PERFORMANCE; ECO-INNOVATION; BIG DATA; ATTENTION; IMPACT; IDENTIFICATION; INTENTION; STRATEGY; CREATION"/>
    <s v="The link between corporate digitization and green innovation is now receiving attention from all spheres of life in light of the rapidly developing digital economy and the goal of sustainable development. This study explores how corporate digitalization affects green innovation, its mediating mechanism, and moderating effects by integrating resource-based theory, attention-based view, and institutional theory. We utilize the panel data of Chinese Shanghai and Shenzhen A-share manufacturing corporation data from 2011 to 2020 as samples and use the fixed effect model in linear regression of panel data for regression analysis. Research findings: 1) corporate digitalization fosters not only green innovation directly but also promotes green innovation by enhancing human capital. 2) Executive team environmental attention encourages the beneficial correlation between human capital and green innovation. 3) Media attention promotes the favorable relationship between corporate digitalization and green innovation. 4) Heterogeneity analysis revealed that the corporate digitalization effect on green innovation is more significant when firms are more prominent in high-tech industries. The findings encourage corporations to strengthen their digital strategy, infrastructure, and applications. In addition, they can also inspire green innovation to enable companies to develop sustainably."/>
    <s v="[Li, Jinke; Wang, Le; Nutakor, Felix] Qingdao Univ, Sch Business, Qingdao, Peoples R China"/>
    <s v="Qingdao University"/>
    <s v="Wang, L (corresponding author), Qingdao Univ, Sch Business, Qingdao, Peoples R China."/>
    <s v="wangleyi17@163.com"/>
    <s v=""/>
    <s v=""/>
    <s v="National Social Science Foundation of China [22BJY227]; Natural Science Foundation of Shandong Province [ZR2020MG034]; Social Science Foundation of Shandong Province [21CSDJ09]"/>
    <s v="National Social Science Foundation of China(National Office of Philosophy and Social Sciences); Natural Science Foundation of Shandong Province(Natural Science Foundation of Shandong Province); Social Science Foundation of Shandong Province"/>
    <s v="Funding This work is funded by the National Social Science Foundation of China (No.22BJY227), Natural Science Foundation of Shandong Province (No. ZR2020MG034) and Social Science Foundation of Shandong Province (No. 21CSDJ09)."/>
    <s v=""/>
    <n v="85"/>
    <n v="3"/>
    <n v="3"/>
    <n v="47"/>
    <n v="82"/>
    <s v="FRONTIERS MEDIA SA"/>
    <s v="LAUSANNE"/>
    <s v="AVENUE DU TRIBUNAL FEDERAL 34, LAUSANNE, CH-1015, SWITZERLAND"/>
    <s v=""/>
    <s v="2296-665X"/>
    <s v=""/>
    <s v="FRONT ENV SCI-SWITZ"/>
    <s v="Front. Environ. Sci."/>
    <s v="FEB 21"/>
    <n v="2023"/>
    <n v="11"/>
    <s v=""/>
    <s v=""/>
    <s v=""/>
    <s v=""/>
    <s v=""/>
    <s v=""/>
    <s v=""/>
    <n v="1137271"/>
    <s v="10.3389/fenvs.2023.1137271"/>
    <s v="http://dx.doi.org/10.3389/fenvs.2023.1137271"/>
    <s v=""/>
    <s v=""/>
    <n v="18"/>
    <s v="Environmental Sciences"/>
    <x v="2"/>
    <s v="Environmental Sciences &amp; Ecology"/>
    <s v="9O7OK"/>
    <s v=""/>
    <s v="gold"/>
    <s v=""/>
    <s v=""/>
    <s v="2023-11-15"/>
    <x v="273"/>
    <s v="View Full Record in Web of Science"/>
  </r>
  <r>
    <s v="J"/>
    <s v="Edelmann, N; Mergel, I; Lampoltshammer, T"/>
    <s v=""/>
    <s v=""/>
    <s v=""/>
    <s v="Edelmann, Noella; Mergel, Ines; Lampoltshammer, Thomas"/>
    <s v=""/>
    <s v=""/>
    <s v="Competences That Foster Digital Transformation of Public Administrations: An Austrian Case Study"/>
    <s v="ADMINISTRATIVE SCIENCES"/>
    <s v=""/>
    <s v=""/>
    <s v="English"/>
    <x v="0"/>
    <s v=""/>
    <s v=""/>
    <s v=""/>
    <s v=""/>
    <s v=""/>
    <s v="digital transformation; competences; public administrations; qualitative research; Austria"/>
    <s v="ORGANIZATIONS"/>
    <s v="Digitalisation has changed society, and, as a result, public administrations are required to undergo significant changes to satisfy emergent societal needs. These changes impact all areas of the public sector, including the development and provision of digital services, the design of processes, and the development of policy. To implement the digital strategies and transformation requirements, public administrations must rethink the competences that their workforce as well as the external stakeholders may need. To understand how one nation implements its digital strategy and upskills its civil servants, we conducted a qualitative analysis of 41 Austrian expert interviews. The research shows that different stakeholders require a variety of competences to participate in the digital transformation of its processes and services. The results demonstrate the high level of diversity and the need for a holistic approach to tackle the complexity of the digital public sector, where leadership plays the most important role. In addition, the study shows that the use of competence frameworks for measurement and monitoring needs to be adapted to the local context."/>
    <s v="[Edelmann, Noella; Lampoltshammer, Thomas] Danube Univ Krems, Dept Egovernance &amp; Adm, A-3500 Krems, Austria; [Mergel, Ines] Univ Konstanz, Dept Polit &amp; Publ Adm, D-78464 Constance, Germany"/>
    <s v="Danube University Krems; University of Konstanz"/>
    <s v="Edelmann, N (corresponding author), Danube Univ Krems, Dept Egovernance &amp; Adm, A-3500 Krems, Austria."/>
    <s v="noella.edelmann@donau-uni.ac.at"/>
    <s v="Edelmann, Noella/P-7459-2017; Mergel, Ines/Q-7249-2016"/>
    <s v="Edelmann, Noella/0000-0001-8386-9585; Lampoltshammer, Thomas J./0000-0002-1122-6908; Mergel, Ines/0000-0003-0285-4758"/>
    <s v="European Commission [770356]"/>
    <s v="European Commission(European Union (EU)European Commission Joint Research Centre)"/>
    <s v="This work was supported by the European Commission Award-Nr. 770356 under the title: Co-VAL: Understanding value co-creation in public services for transforming European public administrations."/>
    <s v=""/>
    <n v="50"/>
    <n v="3"/>
    <n v="3"/>
    <n v="12"/>
    <n v="17"/>
    <s v="MDPI"/>
    <s v="BASEL"/>
    <s v="ST ALBAN-ANLAGE 66, CH-4052 BASEL, SWITZERLAND"/>
    <s v=""/>
    <s v="2076-3387"/>
    <s v=""/>
    <s v="ADM SCI"/>
    <s v="Adm. Sci."/>
    <s v="FEB"/>
    <n v="2023"/>
    <n v="13"/>
    <n v="2"/>
    <s v=""/>
    <s v=""/>
    <s v=""/>
    <s v=""/>
    <s v=""/>
    <s v=""/>
    <n v="44"/>
    <s v="10.3390/admsci13020044"/>
    <s v="http://dx.doi.org/10.3390/admsci13020044"/>
    <s v=""/>
    <s v=""/>
    <n v="17"/>
    <s v="Management"/>
    <x v="3"/>
    <s v="Business &amp; Economics"/>
    <s v="9G0LI"/>
    <s v=""/>
    <s v="gold"/>
    <s v=""/>
    <s v=""/>
    <s v="2023-11-15"/>
    <x v="274"/>
    <s v="View Full Record in Web of Science"/>
  </r>
  <r>
    <s v="J"/>
    <s v="Jiao, KD; Wang, CM; Liao, MZ; Ma, J; Kang, DM; Tang, WM; Tucker, JD; Ma, W"/>
    <s v=""/>
    <s v=""/>
    <s v=""/>
    <s v="Jiao, Kedi; Wang, Chunmei; Liao, Meizhen; Ma, Jing; Kang, Dianmin; Tang, Weiming; Tucker, Joseph D.; Ma, Wei"/>
    <s v=""/>
    <s v=""/>
    <s v="A differentiated digital intervention to improve antiretroviral therapy adherence among men who have sex with men living with HIV in China: a randomized controlled trial"/>
    <s v="BMC MEDICINE"/>
    <s v=""/>
    <s v=""/>
    <s v="English"/>
    <x v="0"/>
    <s v=""/>
    <s v=""/>
    <s v=""/>
    <s v=""/>
    <s v=""/>
    <s v="Anti-retroviral agents; Therapeutics; Medication adherence; Digital technology; Sexual and gender minorities; Randomized controlled trial"/>
    <s v="HEALTH-CARE; CLINICAL-OUTCOMES; UNITED-STATES; INFECTION; ENGAGEMENT; RETENTION; EFFICACY"/>
    <s v="Background Antiretroviral therapy (ART) adherence is still suboptimal among some key populations, highlighting the need for innovative tailored strategies. This randomized controlled trial (RCT) aimed to evaluate the effect of a differentiated digital intervention on ART adherence among men who have sex with men (MSM) living with HIV in China. Methods The two-armed parallel RCT was conducted at one HIV clinic in Jinan of China from October 19, 2020, to June 31, 2021. Men were referred by health providers to join the study and then choose one of three digital strategies-text message, only instant message, or instant message plus social media. They were assigned in a 1:1 ratio to the intervention arm or control arm using block randomization, and inside each arm, there were three groups depending on the type of delivering the message. The groups were divided according to participants' preferred digital strategies. The intervention arm received ART medication messages, medication reminders, peer education, and involved in online discussion. The control arm received messages on health behavior and nutrition. The primary outcome was self-reported optimal ART adherence, defined as not missing any doses and not having any delayed doses within a one-month period. Secondary outcomes included CD4 T cell counts, viral suppression, HIV treatment adherence self-efficacy, and quality of life. Intention-to-treat analysis with generalized linear mixed models was used to evaluate the intervention's effect. Results A total of 576 participants were enrolled, including 288 participants assigned in the intervention arm and 288 assigned in the control arm. Most were &lt;= 40 years old (79.9%) and initiated ART &lt;= 3 years (60.4%). After intervention, the proportion of participants achieving optimal ART adherence in the intervention arm was higher than in the control arm (82.9% vs 71.1%). The differentiated digital intervention significantly improved ART adherence (RR = 1.74, 95%CI 1.21-2.50). Subgroup analysis showed one-to-one instant message-based intervention significantly improved ART adherence (RR = 2.40, 95% CI 1.39-4.17). Conclusions The differentiated digital intervention improved ART adherence among MSM living with HIV in China, which could be integrated into people living with HIV (PLWH) management and further promoted in areas where PLWH can access text messaging and instant messaging services."/>
    <s v="[Jiao, Kedi; Ma, Jing; Ma, Wei] Shandong Univ, Sch Publ Hlth, Dept Epidemiol, Cheeloo Coll Med, Jinan, Shandong, Peoples R China; [Wang, Chunmei] Shandong Publ Hlth Clin Ctr, Jinan, Shandong, Peoples R China; [Liao, Meizhen; Kang, Dianmin] Shandong Ctr Dis Control &amp; Prevent, Inst AIDS STD Control &amp; Prevent, Jinan, Shandong, Peoples R China; [Tang, Weiming; Tucker, Joseph D.] Univ North Carolina Chapel Hill Project China, Guangzhou, Guangdong, Peoples R China; [Tucker, Joseph D.] London Sch Hyg &amp; Trop Med, Dept Clin Res, Fac Infect &amp; Trop Dis, London, England"/>
    <s v="Shandong University; University of London; London School of Hygiene &amp; Tropical Medicine"/>
    <s v="Ma, W (corresponding author), Shandong Univ, Sch Publ Hlth, Dept Epidemiol, Cheeloo Coll Med, Jinan, Shandong, Peoples R China.;Kang, DM (corresponding author), Shandong Ctr Dis Control &amp; Prevent, Inst AIDS STD Control &amp; Prevent, Jinan, Shandong, Peoples R China.;Tang, WM; Tucker, JD (corresponding author), Univ North Carolina Chapel Hill Project China, Guangzhou, Guangdong, Peoples R China.;Tucker, JD (corresponding author), London Sch Hyg &amp; Trop Med, Dept Clin Res, Fac Infect &amp; Trop Dis, London, England."/>
    <s v="dmkang66@163.com; weiming_tang@med.unc.edu; jdtucker@med.unc.edu; weima@sdu.edu.cn"/>
    <s v="Ma, Wei/C-4748-2019; tang, wei/HZH-5205-2023; Tang, Wei/IZQ-1283-2023; Jiao, Kedi/GQQ-9364-2022"/>
    <s v="Ma, Wei/0000-0002-8092-3280; Jiao, Kedi/0000-0002-1774-8889"/>
    <s v="National Key Research and Development Program of China [2017YFE0103800]"/>
    <s v="National Key Research and Development Program of China"/>
    <s v="The study was supported by the National Key Research and Development Program of China (grant number: 2017YFE0103800). The funders had no role in study design, data collection and analysis, decision to publish, or preparation of the manuscript."/>
    <s v=""/>
    <n v="54"/>
    <n v="3"/>
    <n v="3"/>
    <n v="4"/>
    <n v="12"/>
    <s v="BMC"/>
    <s v="LONDON"/>
    <s v="CAMPUS, 4 CRINAN ST, LONDON N1 9XW, ENGLAND"/>
    <s v="1741-7015"/>
    <s v=""/>
    <s v=""/>
    <s v="BMC MED"/>
    <s v="BMC Med."/>
    <s v="OCT 10"/>
    <n v="2022"/>
    <n v="20"/>
    <n v="1"/>
    <s v=""/>
    <s v=""/>
    <s v=""/>
    <s v=""/>
    <s v=""/>
    <s v=""/>
    <n v="341"/>
    <s v="10.1186/s12916-022-02538-3"/>
    <s v="http://dx.doi.org/10.1186/s12916-022-02538-3"/>
    <s v=""/>
    <s v=""/>
    <n v="15"/>
    <s v="Medicine, General &amp; Internal"/>
    <x v="2"/>
    <s v="General &amp; Internal Medicine"/>
    <s v="5E0SZ"/>
    <n v="36210434"/>
    <s v="gold, Green Published, Green Accepted"/>
    <s v=""/>
    <s v=""/>
    <s v="2023-11-15"/>
    <x v="275"/>
    <s v="View Full Record in Web of Science"/>
  </r>
  <r>
    <s v="J"/>
    <s v="Deng, TY; Qiao, LM; Yao, X; Chen, SY; Tang, XW"/>
    <s v=""/>
    <s v=""/>
    <s v=""/>
    <s v="Deng, Tianyu; Qiao, Limeng; Yao, Xun; Chen, Shuangying; Tang, Xiaowo"/>
    <s v=""/>
    <s v=""/>
    <s v="A Profit Framework Model for Digital Platforms Based on Value Sharing and Resource Complementarity"/>
    <s v="SUSTAINABILITY"/>
    <s v=""/>
    <s v=""/>
    <s v="English"/>
    <x v="0"/>
    <s v=""/>
    <s v=""/>
    <s v=""/>
    <s v=""/>
    <s v=""/>
    <s v="flexible strategy; digital platform; profit mechanism; symbiosis; digital capability"/>
    <s v="OPEN INNOVATION; INFORMATION; CAPABILITIES; PERFORMANCE; SYSTEMS; IMPACT; COLLABORATION; TECHNOLOGIES; MANAGEMENT; STRATEGY"/>
    <s v="With the advent of the smart economy, Chinese digital platform companies have begun the process of digital innovation. The sudden outbreak of the COVID-19 epidemic in early 2020 has added a strong impulse to the acceleration of this process, highlighting the unique characteristics of the platform economy in resource allocation. Although digital platforms have already entered people's daily lives, the profit mechanism of digital platforms remains a black box to be cracked for the industry. The main contribution of this paper is to propose a framework model for the profit mechanism of digital platforms, which to a certain extent solves the problems essential to the digital realm faced by many traditional enterprises in the Internet age-knowing that the profit theory of traditional monopolies is not suitable for the rapidly changing internet economy, but that most of the time people still must use it. In this new profit framework, we first use the symbiotic logic of value sharing to explain the underlying logic of platform profitability; secondly, from the perspective of resource complementarity, we find that the key to digital platform companies' profitability lies in the symbiotic synergy between platform companies and massive userbases; lastly, our study finds that the profit condition of platform enterprises is digital capability, not system possession. This article will analyze the bottom layer of the digital economy and, by identifying the various drawbacks of the traditional industrial economic monopoly theory, propose three key factors for the profitability of platform companies in the digital age: flexible strategy, digital capabilities, and symbiotic synergy capabilities. On this basis, a theoretical model of the profit of a digital platform is constructed. Research shows that the hybrid structure of digital platforms and the need for external diversification together lead to a platform's resilience strategy. The realization process of the platform's strategic flexibility and the process of consumers obtaining the residual value will lead to an explosion in network effects, causing the platform and users to complete value co-creation and realize value sharing. The implementation of a flexible platform strategy also promotes the further development of a differentiation strategy and a more-refined division of labor for manufacturers, lowers the barriers-to-entry in the industry, and enables the platform and the manufacturers to realize value co-creation. On the one hand, platform enterprises can obtain greater market performance; on the other hand, users' personalized needs can be more satisfied."/>
    <s v="[Deng, Tianyu; Qiao, Limeng; Yao, Xun] Southwest Minzu Univ, Sch Business, Chengdu 610041, Peoples R China; [Chen, Shuangying; Tang, Xiaowo] Univ Elect Sci &amp; Technol, Sch Econ &amp; Management, Chengdu 611731, Peoples R China"/>
    <s v="Southwest Minzu University; University of Electronic Science &amp; Technology of China"/>
    <s v="Qiao, LM (corresponding author), Southwest Minzu Univ, Sch Business, Chengdu 610041, Peoples R China."/>
    <s v="mianding@126.com"/>
    <s v=""/>
    <s v="Qiao, limeng/0000-0003-2355-7023"/>
    <s v="National Natural Science Foundation of China [72202186]; National Social Science Foundation of China [71672020, 72072020]; Research on the law of high-quality development of industrial digitization and digital industrialization from the perspective of circular economy [2021SYB10]; Research on the role of industrial digitization and digital industrialization in digital China and the law of high-quality development [4XHJJ-2102]"/>
    <s v="National Natural Science Foundation of China(National Natural Science Foundation of China (NSFC)); National Social Science Foundation of China(National Office of Philosophy and Social Sciences); Research on the law of high-quality development of industrial digitization and digital industrialization from the perspective of circular economy; Research on the role of industrial digitization and digital industrialization in digital China and the law of high-quality development"/>
    <s v="This research was funded by [National Natural Science Foundation of China] grant number [72202186]; [National Social Science Foundation of China] grant number [72072020]; [National Social Science Foundation of China] grant number [71672020]; [Research on the law of high-quality development of industrial digitization and digital industrialization from the perspective of circular economy] grant number [2021SYB10]; [Research on the role of industrial digitization and digital industrialization in digital China and the law of high-quality development] grant number [4XHJJ-2102]."/>
    <s v=""/>
    <n v="74"/>
    <n v="3"/>
    <n v="3"/>
    <n v="25"/>
    <n v="57"/>
    <s v="MDPI"/>
    <s v="BASEL"/>
    <s v="ST ALBAN-ANLAGE 66, CH-4052 BASEL, SWITZERLAND"/>
    <s v=""/>
    <s v="2071-1050"/>
    <s v=""/>
    <s v="SUSTAINABILITY-BASEL"/>
    <s v="Sustainability"/>
    <s v="OCT"/>
    <n v="2022"/>
    <n v="14"/>
    <n v="19"/>
    <s v=""/>
    <s v=""/>
    <s v=""/>
    <s v=""/>
    <s v=""/>
    <s v=""/>
    <n v="11954"/>
    <s v="10.3390/su141911954"/>
    <s v="http://dx.doi.org/10.3390/su141911954"/>
    <s v=""/>
    <s v=""/>
    <n v="18"/>
    <s v="Green &amp; Sustainable Science &amp; Technology; Environmental Sciences; Environmental Studies"/>
    <x v="1"/>
    <s v="Science &amp; Technology - Other Topics; Environmental Sciences &amp; Ecology"/>
    <s v="5G8SO"/>
    <s v=""/>
    <s v="gold"/>
    <s v=""/>
    <s v=""/>
    <s v="2023-11-15"/>
    <x v="276"/>
    <s v="View Full Record in Web of Science"/>
  </r>
  <r>
    <s v="J"/>
    <s v="Yin, WL"/>
    <s v=""/>
    <s v=""/>
    <s v=""/>
    <s v="Yin, Weili"/>
    <s v=""/>
    <s v=""/>
    <s v="Identifying the pathways through digital transformation to achieve supply chain resilience: an fsQCA approach"/>
    <s v="ENVIRONMENTAL SCIENCE AND POLLUTION RESEARCH"/>
    <s v=""/>
    <s v=""/>
    <s v="English"/>
    <x v="0"/>
    <s v=""/>
    <s v=""/>
    <s v=""/>
    <s v=""/>
    <s v=""/>
    <s v="Digital transformation; Supply chain resilience; Resource orchestration theory; R&amp;D intensity; R&amp;D Employee; fsQCA; Firm size"/>
    <s v="QUALITATIVE COMPARATIVE-ANALYSIS; RESOURCE ORCHESTRATION; BLOCKCHAIN TECHNOLOGY; IMPACT; CAPABILITIES; STRATEGIES"/>
    <s v="The manufacturing industry has placed a greater emphasis on digital transformation, especially under the impact of COVID-19. However, the influence mechanism between digital transformation and supply chain resilience is still a topic of discussion. Resource orchestration theory indicates that a firm not only need to emphasize the investment of resources but also pays attention to the allocation of resources. Therefore, based on the resource orchestration theory, this study divides the digital transformation into digital transformation breadth and digital transformation depth and combines R&amp;D spending (R&amp;D intensity and R&amp;D employee) and contingency factors (firm size) to construct a theoretical path of digital transformation-supply chain resilience. This research uses fuzzy sets qualitative comparative analysis to explore how to configure the digital transformation to achieve high supply chain resilience based on data from 193 listed manufacturing firms. Using the fsQCA software, it was discovered that there were no necessary conditions for achieving high supply chain resilience; sufficient condition analysis revealed that there are six paths to achieving high supply chain resilience, four of which can be summarized as digital transformation driven and the other two as R&amp;D spending driven. These several approaches highlight the complicated causal relationship between digital transformation and supply chain resilience, as well as give theoretical and practical recommendations for firms looking to implement digital strategies and enhance their supply chains."/>
    <s v="[Yin, Weili] Yunnan Univ Finance &amp; Econ, Sch Logist &amp; Management Engn, Kunming 650221, Yunnan, Peoples R China"/>
    <s v="Yunnan University of Finance &amp; Economics"/>
    <s v="Yin, WL (corresponding author), Yunnan Univ Finance &amp; Econ, Sch Logist &amp; Management Engn, Kunming 650221, Yunnan, Peoples R China."/>
    <s v="yinweili12345@163.com"/>
    <s v="Yin, Weili/ACW-0782-2022"/>
    <s v="Yin, Weili/0000-0002-9073-5195"/>
    <s v="National Natural Science Foundation Council of China [71661029]; Scientific Research Funds in Yunnan Province Department of Education in 2022 [2022Y481]"/>
    <s v="National Natural Science Foundation Council of China(National Natural Science Foundation of China (NSFC)); Scientific Research Funds in Yunnan Province Department of Education in 2022"/>
    <s v="This research was funded by the National Natural Science Foundation Council of China under Project No. 71661029 and the Scientific Research Funds in Yunnan Province Department of Education in 2022 under No. 2022Y481."/>
    <s v=""/>
    <n v="87"/>
    <n v="3"/>
    <n v="3"/>
    <n v="96"/>
    <n v="245"/>
    <s v="SPRINGER HEIDELBERG"/>
    <s v="HEIDELBERG"/>
    <s v="TIERGARTENSTRASSE 17, D-69121 HEIDELBERG, GERMANY"/>
    <s v="0944-1344"/>
    <s v="1614-7499"/>
    <s v=""/>
    <s v="ENVIRON SCI POLLUT R"/>
    <s v="Environ. Sci. Pollut. Res."/>
    <s v="JAN"/>
    <n v="2023"/>
    <n v="30"/>
    <n v="4"/>
    <s v=""/>
    <s v=""/>
    <s v=""/>
    <s v=""/>
    <n v="10867"/>
    <n v="10879"/>
    <s v=""/>
    <s v="10.1007/s11356-022-22917-w"/>
    <s v="http://dx.doi.org/10.1007/s11356-022-22917-w"/>
    <s v=""/>
    <s v="SEP 2022"/>
    <n v="13"/>
    <s v="Environmental Sciences"/>
    <x v="2"/>
    <s v="Environmental Sciences &amp; Ecology"/>
    <s v="F7SS7"/>
    <n v="36087176"/>
    <s v="Bronze, Green Published"/>
    <s v=""/>
    <s v=""/>
    <s v="2023-11-15"/>
    <x v="277"/>
    <s v="View Full Record in Web of Science"/>
  </r>
  <r>
    <s v="J"/>
    <s v="Koman, G; Bubeliny, O; Tumova, D; Jankal, R"/>
    <s v=""/>
    <s v=""/>
    <s v=""/>
    <s v="Koman, Gabriel; Bubeliny, Oliver; Tumova, Dominika; Jankal, Radoslav"/>
    <s v=""/>
    <s v=""/>
    <s v="SUSTAINABLE TRANSPORT WITHIN THE CONTEXT OF SMART CITIES IN THE SLOVAK REPUBLIC"/>
    <s v="ENTREPRENEURSHIP AND SUSTAINABILITY ISSUES"/>
    <s v=""/>
    <s v=""/>
    <s v="English"/>
    <x v="0"/>
    <s v=""/>
    <s v=""/>
    <s v=""/>
    <s v=""/>
    <s v=""/>
    <s v="Smart City; sustainable transport; sustainable mobility; digital strategy"/>
    <s v=""/>
    <s v="The presented article focuses on the area of sustainable transport within the Smart City concept. Mobility, created in connection with the Smart City concept, is a service integrating several other types of transport services into one complex platform. The article examined the current situation in this area and its future development in the Slovak Republic. The main motivation of the authors for focusing on the Smart City concept was the topicality of this issue and its usability for process optimization, cost savings, and the achievement of sustainability. Methods such as orientation analysis, content analysis of documents, or sociological questioning using the questionnaire survey technique were used in the analysis. Several research questions and a research hypothesis were defined. It focused on the operation of local governments in the implementation of the Smart City concept and their orientation on the aspect of transport. The main findings include the fact that 22 Slovak cities out of the total number of 39 analysed cities are interested in the application of modern technologies. Another finding concerns the availability of a strategy focused directly on the Smart City concept on the city's website. It can be argued that only five websites had such a strategy available. The output of the research presented in this article was the creation of recommendations aimed at the implementation of the Smart City concept regarding the support of sustainable transport in the Slovak Republic. Using these recommendations, local governments will be able to formulate their digital strategies more effectively, leading to the practical implementation of the Smart City concept."/>
    <s v="[Koman, Gabriel; Bubeliny, Oliver; Jankal, Radoslav] Univ Zilina, Fac Management Sci &amp; Informat, Univ 8215-1, Zilina 01026, Slovakia; [Tumova, Dominika] Univ Zilina, Fac Management Sci &amp; Informat, Univ Sci Pk,Univ 8215-1, Zilina 01026, Slovakia"/>
    <s v="University of Zilina; University of Zilina"/>
    <s v="Koman, G (corresponding author), Univ Zilina, Fac Management Sci &amp; Informat, Univ 8215-1, Zilina 01026, Slovakia."/>
    <s v="gabriel.koman@fri.uniza.sk; oliver.bubeliny@fri.uniza.sk; dominika.tumova@uniza.sk; radoslav.jankal@fri.uniza.sk"/>
    <s v="Tumová, Dominika/AAY-2006-2021"/>
    <s v="Tumová, Dominika/0000-0003-2393-2946; Bubeliny, Oliver/0000-0002-0818-2510"/>
    <s v="Operational Program Integrated Infrastructure 2014 - 2020 of the project: Intelligent operating and processing systems for UAVs [ITMS 313011V422]; European Regional Development Fund"/>
    <s v="Operational Program Integrated Infrastructure 2014 - 2020 of the project: Intelligent operating and processing systems for UAVs; European Regional Development Fund(European Union (EU))"/>
    <s v="This publication was created with the support of Operational Program Integrated Infrastructure 2014 - 2020 of the project: Intelligent operating and processing systems for UAVs, code ITMS 313011V422, co-financed by the European Regional Development Fund."/>
    <s v=""/>
    <n v="55"/>
    <n v="3"/>
    <n v="3"/>
    <n v="2"/>
    <n v="10"/>
    <s v="ENTERPRENEURSHIP &amp; SUSTAINABILITY CENTER"/>
    <s v="VILNUS"/>
    <s v="M K CIURLIONIO STR 86A, VILNUS, 03100, LITHUANIA"/>
    <s v="2345-0282"/>
    <s v=""/>
    <s v=""/>
    <s v="ENTREP SUSTAIN ISS"/>
    <s v="Entrepreneurship. Sustain."/>
    <s v="SEP"/>
    <n v="2022"/>
    <n v="10"/>
    <n v="1"/>
    <s v=""/>
    <s v=""/>
    <s v=""/>
    <s v=""/>
    <n v="175"/>
    <n v="199"/>
    <s v=""/>
    <s v="10.9770/jesi.2022.10.1(9)"/>
    <s v="http://dx.doi.org/10.9770/jesi.2022.10.1(9)"/>
    <s v=""/>
    <s v=""/>
    <n v="25"/>
    <s v="Business"/>
    <x v="3"/>
    <s v="Business &amp; Economics"/>
    <s v="6O7CA"/>
    <s v=""/>
    <s v="gold"/>
    <s v=""/>
    <s v=""/>
    <s v="2023-11-15"/>
    <x v="278"/>
    <s v="View Full Record in Web of Science"/>
  </r>
  <r>
    <s v="J"/>
    <s v="Doellgast, V"/>
    <s v=""/>
    <s v=""/>
    <s v=""/>
    <s v="Doellgast, Virginia"/>
    <s v=""/>
    <s v=""/>
    <s v="Strengthening social regulation in the digital economy: comparative findings from the ICT industry"/>
    <s v="LABOUR AND INDUSTRY"/>
    <s v=""/>
    <s v=""/>
    <s v="English"/>
    <x v="0"/>
    <s v=""/>
    <s v=""/>
    <s v=""/>
    <s v=""/>
    <s v=""/>
    <s v="digital transformation; ICT industry; labour unions; artificial intelligence"/>
    <s v="MARKET"/>
    <s v="National economies with different industrial relations and welfare state traditions are experiencing a similar digital transformation. This article examines how labour unions are seeking to influence digital strategies and investments in the information and communication technology (ICT) industry, based on initial research findings in the US and Germany. These efforts can be divided into three action fields: campaigns focused on influencing state investment and data protection or AI regulation; efforts to extend legal or negotiated labour market protections to new groups of workers; and collective negotiations over new technologies at firm and workplace levels. All three can be seen as complementary in establishing the conditions for the social regulation of new digitally enabled markets."/>
    <s v="[Doellgast, Virginia] Cornell Univ, ILR Sch, Ithaca, NY 14850 USA"/>
    <s v="Cornell University"/>
    <s v="Doellgast, V (corresponding author), Cornell Univ, ILR Sch, Ithaca, NY 14850 USA."/>
    <s v="vld7@cornell.edu"/>
    <s v=""/>
    <s v=""/>
    <s v="Social Sciences and Humanities Research Council of Canada (SSHRC) Insight Development Grant; Research Council of Norway Grant [295914]; German Academic Exchange Service (DAAD) Research Award"/>
    <s v="Social Sciences and Humanities Research Council of Canada (SSHRC) Insight Development Grant(Social Sciences and Humanities Research Council of Canada (SSHRC)); Research Council of Norway Grant(Research Council of Norway); German Academic Exchange Service (DAAD) Research Award(Deutscher Akademischer Austausch Dienst (DAAD))"/>
    <s v="Case study findings draw on research in progress with Sean O'Brady and Ines Wagner, funded by a Social Sciences and Humanities Research Council of Canada (SSHRC) Insight Development Grant, a Research Council of Norway Grant (#295914), and a German Academic Exchange Service (DAAD) Research Award."/>
    <s v=""/>
    <n v="34"/>
    <n v="3"/>
    <n v="3"/>
    <n v="1"/>
    <n v="5"/>
    <s v="ROUTLEDGE JOURNALS, TAYLOR &amp; FRANCIS LTD"/>
    <s v="ABINGDON"/>
    <s v="2-4 PARK SQUARE, MILTON PARK, ABINGDON OX14 4RN, OXON, ENGLAND"/>
    <s v="1030-1763"/>
    <s v="2325-5676"/>
    <s v=""/>
    <s v="LABOUR IND"/>
    <s v="Labour Ind."/>
    <s v="JAN 2"/>
    <n v="2023"/>
    <n v="33"/>
    <n v="1"/>
    <s v=""/>
    <s v=""/>
    <s v="SI"/>
    <s v=""/>
    <n v="22"/>
    <n v="38"/>
    <s v=""/>
    <s v="10.1080/10301763.2022.2111987"/>
    <s v="http://dx.doi.org/10.1080/10301763.2022.2111987"/>
    <s v=""/>
    <s v="AUG 2022"/>
    <n v="17"/>
    <s v="Industrial Relations &amp; Labor"/>
    <x v="3"/>
    <s v="Business &amp; Economics"/>
    <s v="9R6WF"/>
    <s v=""/>
    <s v=""/>
    <s v=""/>
    <s v=""/>
    <s v="2023-11-15"/>
    <x v="279"/>
    <s v="View Full Record in Web of Science"/>
  </r>
  <r>
    <s v="J"/>
    <s v="Konigorski, S; Wernicke, S; Slosarek, T; Zenner, AM; Strelow, N; Ruether, DF; Henschel, F; Manaswini, M; Pottbaecker, F; Edelman, JA; Owoyele, B; Danieletto, M; Golden, E; Zweig, M; Nadkarni, GN; Boettinger, E"/>
    <s v=""/>
    <s v=""/>
    <s v=""/>
    <s v="Konigorski, Stefan; Wernicke, Sarah; Slosarek, Tamara; Zenner, Alexander M.; Strelow, Nils; Ruether, Darius F.; Henschel, Florian; Manaswini, Manisha; Pottbaecker, Fabian; Edelman, Jonathan A.; Owoyele, Babajide; Danieletto, Matteo; Golden, Eddye; Zweig, Micol; Nadkarni, Girish N.; Boettinger, Erwin"/>
    <s v=""/>
    <s v=""/>
    <s v="StudyU: A Platform for Designing and Conducting Innovative Digital N-of-1 Trials"/>
    <s v="JOURNAL OF MEDICAL INTERNET RESEARCH"/>
    <s v=""/>
    <s v=""/>
    <s v="English"/>
    <x v="0"/>
    <s v=""/>
    <s v=""/>
    <s v=""/>
    <s v=""/>
    <s v=""/>
    <s v="digital interventions; N-of-1 trial; SCED; single-case experimental design; web application; mobile application; app; digital health"/>
    <s v="PROTOCOL; METAANALYSIS; PERSPECTIVE; SYSTEM"/>
    <s v="N-of-1 trials are the gold standard study design to evaluate individual treatment effects and derive personalized treatment strategies. Digital tools have the potential to initiate a new era of N-of-1 trials in terms of scale and scope, but fully functional platforms are not yet available. Here, we present the open source StudyU platform, which includes the StudyU Designer and StudyU app. With the StudyU Designer, scientists are given a collaborative web application to digitally specify, publish, and conduct N-of-1 trials. The StudyU app is a smartphone app with innovative user-centric elements for participants to partake in trials published through the StudyU Designer to assess the effects of different interventions on their health. Thereby, the StudyU platform allows clinicians and researchers worldwide to easily design and conduct digital N-of-1 trials in a safe manner. We envision that StudyU can change the landscape of personalized treatments both for patients and healthy individuals, democratize and personalize evidence generation for self-optimization and medicine, and can be integrated in clinical practice."/>
    <s v="[Konigorski, Stefan; Wernicke, Sarah; Slosarek, Tamara; Zenner, Alexander M.; Strelow, Nils; Ruether, Darius F.; Henschel, Florian; Manaswini, Manisha; Pottbaecker, Fabian; Edelman, Jonathan A.; Owoyele, Babajide; Boettinger, Erwin] Univ Potsdam, Hasso Plattner Inst Digital Engn, Digital Hlth Ctr, Potsdam, Germany; [Konigorski, Stefan; Wernicke, Sarah; Slosarek, Tamara; Zenner, Alexander M.; Strelow, Nils; Ruether, Darius F.; Henschel, Florian; Manaswini, Manisha; Pottbaecker, Fabian; Boettinger, Erwin] Univ Potsdam, Digital Engn Fac, Potsdam, Germany; [Konigorski, Stefan; Wernicke, Sarah; Slosarek, Tamara; Danieletto, Matteo; Golden, Eddye; Zweig, Micol; Nadkarni, Girish N.; Boettinger, Erwin] Hasso Plattner Inst Digital Hlth Mt Sinai, Icahn Sch Med Mt Sinai, New York, NY 10029 USA; [Ruether, Darius F.] Univ Med Ctr Hamburg Eppendorf, Dept Med, Hamburg, Germany; [Edelman, Jonathan A.] Ctr Adv Design Studies, Palo Alto, CA USA; [Konigorski, Stefan] Univ Potsdam, Hasso Plattner Inst Digital Engn, Digital Hlth Ctr, Prof Dr Helmert Str 2-3, D-14482 Potsdam, Germany"/>
    <s v="University of Potsdam; University of Potsdam; Icahn School of Medicine at Mount Sinai; University of Hamburg; University Medical Center Hamburg-Eppendorf; University of Potsdam"/>
    <s v="Konigorski, S (corresponding author), Univ Potsdam, Hasso Plattner Inst Digital Engn, Digital Hlth Ctr, Prof Dr Helmert Str 2-3, D-14482 Potsdam, Germany."/>
    <s v="stefan.konigorski@hpi.de"/>
    <s v=""/>
    <s v="Wernicke, Sarah/0000-0001-8127-1969; Slosarek, Tamara/0000-0003-1514-1706; owoyele, babajide/0000-0002-3688-5248; Ruether, Darius Ferenc/0000-0003-3783-380X; Zenner, Alexander Maximilian/0000-0002-6745-1610; Manaswini, Manisha/0000-0003-4403-7692"/>
    <s v="European Union [491466077]; building a citizen -centered EU-electronic health record exchange for personalized health [826117]; Deutsche Forschungsgemeinschaft (DFG, German Research Foundation) [826117]"/>
    <s v="European Union(European Union (EU)); building a citizen -centered EU-electronic health record exchange for personalized health; Deutsche Forschungsgemeinschaft (DFG, German Research Foundation)(German Research Foundation (DFG))"/>
    <s v="This work has received funding from the European Union's Horizon 2020 research and innovation program under the grant agreement 826117 Smart4Health, building a citizen -centered EU-electronic health record exchange for personalized health, and from the Deutsche Forschungsgemeinschaft (DFG, German Research Foundation; project 491466077) ."/>
    <s v=""/>
    <n v="66"/>
    <n v="3"/>
    <n v="3"/>
    <n v="1"/>
    <n v="3"/>
    <s v="JMIR PUBLICATIONS, INC"/>
    <s v="TORONTO"/>
    <s v="130 QUEENS QUAY E, STE 1102, TORONTO, ON M5A 0P6, CANADA"/>
    <s v="1438-8871"/>
    <s v=""/>
    <s v=""/>
    <s v="J MED INTERNET RES"/>
    <s v="J. Med. Internet Res."/>
    <s v="JUL 5"/>
    <n v="2022"/>
    <n v="24"/>
    <n v="7"/>
    <s v=""/>
    <s v=""/>
    <s v=""/>
    <s v=""/>
    <s v=""/>
    <s v=""/>
    <s v="e35884"/>
    <s v="10.2196/35884"/>
    <s v="http://dx.doi.org/10.2196/35884"/>
    <s v=""/>
    <s v=""/>
    <n v="12"/>
    <s v="Health Care Sciences &amp; Services; Medical Informatics"/>
    <x v="2"/>
    <s v="Health Care Sciences &amp; Services; Medical Informatics"/>
    <s v="3B8QR"/>
    <n v="35787512"/>
    <s v="gold, Green Submitted, Green Published"/>
    <s v=""/>
    <s v=""/>
    <s v="2023-11-15"/>
    <x v="280"/>
    <s v="View Full Record in Web of Science"/>
  </r>
  <r>
    <s v="J"/>
    <s v="Gebretekle, YT; Kamau, DW; Raoufi, M; Fayek, AR"/>
    <s v=""/>
    <s v=""/>
    <s v=""/>
    <s v="Gebretekle, Yisshak Tadesse; Kamau, Daniel Waweru; Raoufi, Mohammad; Fayek, Aminah Robinson"/>
    <s v=""/>
    <s v=""/>
    <s v="Digitalization Opportunities Road Mapping Tool (DORMT©): A framework to assess digitalization opportunities in construction organizations"/>
    <s v="CANADIAN JOURNAL OF CIVIL ENGINEERING"/>
    <s v=""/>
    <s v=""/>
    <s v="English"/>
    <x v="0"/>
    <s v=""/>
    <s v=""/>
    <s v=""/>
    <s v=""/>
    <s v=""/>
    <s v="fuzzy logic; fuzzy arithmetic; construction; linguistic evaluation; digitalization"/>
    <s v="LINGUISTIC REPRESENTATION MODEL; FUZZY"/>
    <s v="The construction industry is entering the digital age, which offers innovative digitalization opportunities (DOs) regarding cost efficiency, project management, and improved client experience. In their early efforts to implement DOs, construction organizations have had varying degrees of success, and the results prompted organizations to question whether they have the appropriate digital strategy and capabilities. Hence, construction organizations need a framework to systematically evaluate the potential benefits of implementing DOs and factors influencing their successful implementation. This paper presents a framework that supports decision makers in construction organizations to assess DOs based on experts' judgement of the factors influencing their successful implementation. The framework incorporates fuzzy arithmetic and linguistic evaluation to capture experts' subjective assessments and is implemented in the Digitalization Opportunities Road Mapping Tool (DORMT (c)). DORMT (c), which allows organizations to evaluate individual DOs, rank multiple DOs, and identify the best options for implementing digitalization within their organization."/>
    <s v="[Gebretekle, Yisshak Tadesse] Univ Alberta, Sch Construct Engn, Dept Civil &amp; Environm Engn, CNRL Nat Resources Engn Facil, 1-051 Markin, Edmonton, AB T6G 2W2, Canada; [Kamau, Daniel Waweru] Univ Alberta, Sch Construct Engn, Dept Civil &amp; Environm Engn, CNRL Nat Resources Engn Facil, 1-048 Markin, Edmonton, AB T6G 2W2, Canada; [Kamau, Daniel Waweru] Univ Alberta, Alberta Sch Business, CNRL Nat Resources Engn Facil, 1-048 Markin, Edmonton, AB T6G 2W2, Canada; [Raoufi, Mohammad] Univ Alberta, Dept Civil &amp; Environm Engn, 7-203 Donadeo Innovat Ctr Engn,9211 116 St NW, Edmonton, AB T6G 1H9, Canada; [Fayek, Aminah Robinson] Univ Alberta, Sch Construct Engn, Dept Civil &amp; Environm Engn, 7-203 Donadeo Innovat Ctr Engn,9211 116 St NW, Edmonton, AB T6G 1H9, Canada"/>
    <s v="University of Alberta; University of Alberta; University of Alberta; University of Alberta; University of Alberta"/>
    <s v="Fayek, AR (corresponding author), Univ Alberta, Sch Construct Engn, Dept Civil &amp; Environm Engn, 7-203 Donadeo Innovat Ctr Engn,9211 116 St NW, Edmonton, AB T6G 1H9, Canada."/>
    <s v="aminah.robinson@ualberta.ca"/>
    <s v=""/>
    <s v=""/>
    <s v="Natural Sciences and Engineering Research Council of Canada Industrial Research Chair in Strategic Construction Modeling and Delivery [NSERC IRCPJ 428226-15]"/>
    <s v="Natural Sciences and Engineering Research Council of Canada Industrial Research Chair in Strategic Construction Modeling and Delivery(Natural Sciences and Engineering Research Council of Canada (NSERC))"/>
    <s v="This research is funded by the Natural Sciences and Engineering Research Council of Canada Industrial Research Chair in Strategic Construction Modeling and Delivery (NSERC IRCPJ 428226-15), which is held by Dr. Aminah Robinson Fayek."/>
    <s v=""/>
    <n v="36"/>
    <n v="3"/>
    <n v="3"/>
    <n v="3"/>
    <n v="14"/>
    <s v="CANADIAN SCIENCE PUBLISHING"/>
    <s v="OTTAWA"/>
    <s v="65 AURIGA DR, SUITE 203, OTTAWA, ON K2E 7W6, CANADA"/>
    <s v="0315-1468"/>
    <s v="1208-6029"/>
    <s v=""/>
    <s v="CAN J CIVIL ENG"/>
    <s v="Can. J. Civ. Eng."/>
    <s v="FEB"/>
    <n v="2022"/>
    <n v="49"/>
    <n v="2"/>
    <s v=""/>
    <s v=""/>
    <s v=""/>
    <s v=""/>
    <n v="171"/>
    <n v="182"/>
    <s v=""/>
    <s v="10.1139/cjce-2020-0762"/>
    <s v="http://dx.doi.org/10.1139/cjce-2020-0762"/>
    <s v=""/>
    <s v=""/>
    <n v="12"/>
    <s v="Engineering, Civil"/>
    <x v="2"/>
    <s v="Engineering"/>
    <s v="YR3TB"/>
    <s v=""/>
    <s v=""/>
    <s v=""/>
    <s v=""/>
    <s v="2023-11-15"/>
    <x v="281"/>
    <s v="View Full Record in Web of Science"/>
  </r>
  <r>
    <s v="J"/>
    <s v="Kamariotou, M; Kitsios, F; Charatsari, C; Lioutas, ED; Talias, MA"/>
    <s v=""/>
    <s v=""/>
    <s v=""/>
    <s v="Kamariotou, Maria; Kitsios, Fotis; Charatsari, Chrysanthi; Lioutas, Evagelos D.; Talias, Michael A."/>
    <s v=""/>
    <s v=""/>
    <s v="Digital Strategy Decision Support Systems: Agrifood Supply Chain Management in SMEs"/>
    <s v="SENSORS"/>
    <s v=""/>
    <s v=""/>
    <s v="English"/>
    <x v="0"/>
    <s v=""/>
    <s v=""/>
    <s v=""/>
    <s v=""/>
    <s v=""/>
    <s v="decision support systems; agrifood supply chains; information systems planning; digitalization; SMEs"/>
    <s v="MARKET POWER; ALIGNMENT; BUSINESS; NETWORK; DESIGN; PERFORMANCE; SECURITY"/>
    <s v="The specific attributes of agrifood supply chains, along with their importance for the economy and society, have led to an increased interest in the parameters that enhance their effectiveness. Recently, numerous digital tools aimed at improving supply chain effectiveness have been developed. The majority of existing research focuses on optimizing individual processes rather than the overall growth of a food supply chain. This study aims to identify the stages of the information systems planning (ISP) process that affect the success of developing a strategic decision support system (DSS) for improving the decision-making process in the agrifood supply chains. Data were collected from 66 IT executives from Greek small and medium-sized enterprises (SMEs) in the agrifood sector and analyzed using regression analysis. The results revealed that situation analysis is the only stage of ISP that predicts ISP success. These findings can assist managers in appreciating the critical role of ISP for improving the performance of agrifood supply chain operations. Implementing the most appropriate information systems (IS) and digital tools results in increased competitive advantage, cost savings, and increased customer value."/>
    <s v="[Kamariotou, Maria; Kitsios, Fotis] Univ Macedonia, Dept Appl Informat, 156 Egnatia St, GR-54636 Thessaloniki, Greece; [Charatsari, Chrysanthi] Aristotle Univ Thessaloniki, Sch Agr, GR-54124 Thessaloniki, Greece; [Lioutas, Evagelos D.] Int Hellen Univ, Dept Supply Chain Management, Katerini 60100, Greece; [Talias, Michael A.] Open Univ Cyprus, Hlthcare Management Postgrad Program, POB 12794, CY-2252 Nicosia, Cyprus"/>
    <s v="University of Macedonia; Aristotle University of Thessaloniki; Open University of Cyprus"/>
    <s v="Kitsios, F (corresponding author), Univ Macedonia, Dept Appl Informat, 156 Egnatia St, GR-54636 Thessaloniki, Greece."/>
    <s v="mkamariotou@uom.edu.gr; kitsios@uom.gr; chcharat@agro.auth.gr; evagelos@agro.auth.gr; michael.talias@ouc.ac.cy"/>
    <s v="Lioutas, Evagelos/AGK-8015-2022; Lioutas, Evagelos/W-9206-2019; Talias, Michael A./R-1867-2017; Charatsari, Chrysanthi/X-2312-2019; Kamariotou, Maria/AAZ-8488-2021; Kitsios, Fotis C./B-2286-2017"/>
    <s v="Lioutas, Evagelos/0000-0003-3784-9553; Talias, Michael A./0000-0002-1802-5586; Charatsari, Chrysanthi/0000-0002-9160-3469; Kamariotou, Maria/0000-0002-7873-9265; Kitsios, Fotis C./0000-0001-7269-5567"/>
    <s v=""/>
    <s v=""/>
    <s v=""/>
    <s v=""/>
    <n v="84"/>
    <n v="3"/>
    <n v="3"/>
    <n v="10"/>
    <n v="38"/>
    <s v="MDPI"/>
    <s v="BASEL"/>
    <s v="ST ALBAN-ANLAGE 66, CH-4052 BASEL, SWITZERLAND"/>
    <s v=""/>
    <s v="1424-8220"/>
    <s v=""/>
    <s v="SENSORS-BASEL"/>
    <s v="Sensors"/>
    <s v="JAN"/>
    <n v="2022"/>
    <n v="22"/>
    <n v="1"/>
    <s v=""/>
    <s v=""/>
    <s v=""/>
    <s v=""/>
    <s v=""/>
    <s v=""/>
    <n v="274"/>
    <s v="10.3390/s22010274"/>
    <s v="http://dx.doi.org/10.3390/s22010274"/>
    <s v=""/>
    <s v=""/>
    <n v="14"/>
    <s v="Chemistry, Analytical; Engineering, Electrical &amp; Electronic; Instruments &amp; Instrumentation"/>
    <x v="2"/>
    <s v="Chemistry; Engineering; Instruments &amp; Instrumentation"/>
    <s v="YE8OJ"/>
    <n v="35009816"/>
    <s v="gold, Green Published"/>
    <s v=""/>
    <s v=""/>
    <s v="2023-11-15"/>
    <x v="282"/>
    <s v="View Full Record in Web of Science"/>
  </r>
  <r>
    <s v="J"/>
    <s v="Peres-Neto, L"/>
    <s v=""/>
    <s v=""/>
    <s v=""/>
    <s v="Peres-Neto, Luiz"/>
    <s v=""/>
    <s v=""/>
    <s v="Journalist-Twitterers as Political Influencers in Brazil: Narratives and Disputes Towards a New Intermediary Model"/>
    <s v="MEDIA AND COMMUNICATION"/>
    <s v=""/>
    <s v=""/>
    <s v="English"/>
    <x v="0"/>
    <s v=""/>
    <s v=""/>
    <s v=""/>
    <s v=""/>
    <s v=""/>
    <s v="Brazil; freedom of the press; influencers; Jair Bolsonaro; journalists"/>
    <s v="SOCIAL MEDIA; NEWS"/>
    <s v="The ascendency of Jair Bolsonaro to the presidency of Brazil in 2018 put the role of traditional media companies and jour-nalists under the spotlight. Bad news or opinions against his government have been officially treated as fake, inaccurate, or false information. In this context, data show a decrease in news trust and growing news consumption through platforms. According to the 2021 Reuters Institute report on news trust, only 21% of Brazilians trust the press as an institution, with 71% using social media platforms to be informed. As part of a broad and complex crisis of the traditional intermediary model, several journalists appeared in the Brazilian public sphere as influencers on social media platforms such as Twitter. Based on a qualitative perspective, this article aims to research the role of journalists as political influencers and their use of Twitter to express their voices. A sample of 10 journalists with more than 10,000 followers on Twitter, five working for traditional media and five from native digital media, were interviewed in depth. We realized that they use their digital capital in two political directions. On the one hand, as part of a digital strategy promoted by media outlets to gain attention and call the audience, journalists share their spots and comments on daily issues. On the other hand, in a polarized political context, journalists have found Twitter a means to express their voices in a context of increasing violence and restrictions on free expression among this collective."/>
    <s v="[Peres-Neto, Luiz] Autonomous Univ Barcelona, Dept Journalism &amp; Commun Sci, Barcelona, Spain"/>
    <s v="Autonomous University of Barcelona"/>
    <s v="Peres-Neto, L (corresponding author), Autonomous Univ Barcelona, Dept Journalism &amp; Commun Sci, Barcelona, Spain."/>
    <s v="luiz.peres@uab.cat"/>
    <s v="Peres-Neto, Luiz/ABF-8201-2021"/>
    <s v="Peres-Neto, Luiz/0000-0001-8190-8720"/>
    <s v=""/>
    <s v=""/>
    <s v=""/>
    <s v=""/>
    <n v="61"/>
    <n v="3"/>
    <n v="3"/>
    <n v="6"/>
    <n v="15"/>
    <s v="COGITATIO PRESS"/>
    <s v="LISBON"/>
    <s v="RUA FIALHO ALMEIDA 14, 2 ESQ, LISBON, 1070-129, PORTUGAL"/>
    <s v="2183-2439"/>
    <s v=""/>
    <s v=""/>
    <s v="MEDIA COMMUN-LISBON"/>
    <s v="Media Commun."/>
    <s v=""/>
    <n v="2022"/>
    <n v="10"/>
    <n v="3"/>
    <s v=""/>
    <s v=""/>
    <s v=""/>
    <s v=""/>
    <n v="28"/>
    <n v="38"/>
    <s v=""/>
    <s v="10.17645/mac.v10i3.5363"/>
    <s v="http://dx.doi.org/10.17645/mac.v10i3.5363"/>
    <s v=""/>
    <s v=""/>
    <n v="11"/>
    <s v="Communication"/>
    <x v="0"/>
    <s v="Communication"/>
    <s v="3R1AL"/>
    <s v=""/>
    <s v="gold, Green Published"/>
    <s v=""/>
    <s v=""/>
    <s v="2023-11-15"/>
    <x v="283"/>
    <s v="View Full Record in Web of Science"/>
  </r>
  <r>
    <s v="J"/>
    <s v="Martincevic, I; Kozina, G"/>
    <s v=""/>
    <s v=""/>
    <s v=""/>
    <s v="Martincevic, Ivana; Kozina, Goran"/>
    <s v=""/>
    <s v=""/>
    <s v="Influence of Digital Technologies and Its Technological Dynamics on Company Management"/>
    <s v="TEHNICKI VJESNIK-TECHNICAL GAZETTE"/>
    <s v=""/>
    <s v=""/>
    <s v="English"/>
    <x v="0"/>
    <s v=""/>
    <s v=""/>
    <s v=""/>
    <s v=""/>
    <s v=""/>
    <s v="digitalization; digital strategy; digital transformation; digital technology; export companies; information and communication technologies (ICT); management"/>
    <s v=""/>
    <s v="Doing business in the market today is unthinkable without new and modern technology, which is one of the key resources by which companies achieve a sustainable competitive advantage. Digitalization and digital transformation of business includes a number of information and communication technologies (ICT) that are built into business processes and which make it easier for management to do business but also ensure market recognition. Globalization of business affects the expansion and easier access to markets, whereby the management of the company must find new ways and methods of doing business, where the digital transformation of business and new digital and information-communication technologies have an effect on growth and competitive advantage. The ability of an organization to transform its business towards digitalization and application of new digital technologies largely depends on the management of the company and a clear digital strategy as an integral part of the corporate business strategy. In order to investigate the impact of constant and rapid development of digital technologies on the management of the company from the aspect of its acceptance and integration within the company's strategy, a survey was conducted in the territory of the Republic of Croatia and Croatian export companies (micro, small, medium and large) were included in the survey."/>
    <s v="[Martincevic, Ivana; Kozina, Goran] Univ North, Trg Zarka Dolinara 1, Koprivnica 48000, Croatia"/>
    <s v="University North - Croatia"/>
    <s v="Martincevic, I (corresponding author), Univ North, Trg Zarka Dolinara 1, Koprivnica 48000, Croatia."/>
    <s v="ivana.martincevic@unin.hr; goran.kozina@unin.hr"/>
    <s v=""/>
    <s v="Martincevic, Ivana/0000-0002-9154-4331"/>
    <s v=""/>
    <s v=""/>
    <s v=""/>
    <s v=""/>
    <n v="13"/>
    <n v="3"/>
    <n v="3"/>
    <n v="14"/>
    <n v="60"/>
    <s v="UNIV OSIJEK, TECH FAC"/>
    <s v="SLAVONSKI BROD"/>
    <s v="TRG IVANE BRLIC-MAZURANIC 2, SLAVONSKI BROD, HR-35000, CROATIA"/>
    <s v="1330-3651"/>
    <s v="1848-6339"/>
    <s v=""/>
    <s v="TEH VJESN"/>
    <s v="Teh. Vjesn."/>
    <s v="JUL"/>
    <n v="2021"/>
    <n v="28"/>
    <n v="4"/>
    <s v=""/>
    <s v=""/>
    <s v=""/>
    <s v=""/>
    <n v="1262"/>
    <n v="1267"/>
    <s v=""/>
    <s v="10.17559/TV-20200924091906"/>
    <s v="http://dx.doi.org/10.17559/TV-20200924091906"/>
    <s v=""/>
    <s v=""/>
    <n v="6"/>
    <s v="Engineering, Multidisciplinary"/>
    <x v="2"/>
    <s v="Engineering"/>
    <s v="TM9UE"/>
    <s v=""/>
    <s v="gold"/>
    <s v=""/>
    <s v=""/>
    <s v="2023-11-15"/>
    <x v="284"/>
    <s v="View Full Record in Web of Science"/>
  </r>
  <r>
    <s v="J"/>
    <s v="Balhara, YPS; Szerman, N; Singh, S; Raga, JM; Salom, C; Peris, L; Ganesh, R"/>
    <s v=""/>
    <s v=""/>
    <s v=""/>
    <s v="Singh Balhara, Yatan Pal; Szerman, Nestor; Singh, Swarndeep; Martinez Raga, Jose; Salom, Caroline; Peris, Lola; Ganesh, Ragul"/>
    <s v=""/>
    <s v=""/>
    <s v="Treatment Needs and Service Delivery for Patients with Dual Disorders During the COVID-19 Pandemic: Findings From the WADD Survey"/>
    <s v="JOURNAL OF DUAL DIAGNOSIS"/>
    <s v=""/>
    <s v=""/>
    <s v="English"/>
    <x v="0"/>
    <s v=""/>
    <s v=""/>
    <s v=""/>
    <s v=""/>
    <s v=""/>
    <s v="Dual disorders; COVID-19; service delivery; health care delivery; barriers"/>
    <s v=""/>
    <s v="Objective The COVID-19 pandemic has posed a great challenge for the existing health systems. The restrictions imposed across countries on the movement of people and the realignment of health care services in response to the pandemic are likely to negatively affect the health status and delivery of mental health services to persons with dual disorders (PWDD). Methods: An online survey was conducted among mental health professionals involved in providing care to PWDD to better understand the problems encountered and identify potential solutions in providing continued treatment for PWDD during the COVID-19 pandemic. Results: The findings confirmed significant disruption in the delivery of treatment services for PWDD during the COVID-19 pandemic. Dissatisfaction with personal protective equipment, inadequate COVID-19 testing services at treatment facility, and lack of guidelines on providing continued treatment services to PWDD by national authorities or professional bodies were identified as the likely reasons for this disruption. Conclusions: These concerns in turn need to be addressed by the policy-makers, hospital management staff, and other stakeholders. Specifically, there should be a focus on developing and disseminating guidelines to assist mental health professionals in setting-up and providing continued treatment services to PWDD via tele-psychiatry and other novel digital strategies."/>
    <s v="[Singh Balhara, Yatan Pal] All India Inst Med Sci AIIMS, Natl Drug Dependence Treatment Ctr, Dept Psychiat, Room 4096,4th Floor,Acad Block, New Delhi, India; [Szerman, Nestor] Univ Hosp Gregorio Maranon, Mental Hlth Unit Retiro, Madrid, Spain; [Singh, Swarndeep; Ganesh, Ragul] All India Inst Med Sci AIIMS, Natl Drug Dependence Treatment Ctr, New Delhi, India; [Singh, Swarndeep; Ganesh, Ragul] All India Inst Med Sci AIIMS, Dept Psychiat, New Delhi, India; [Martinez Raga, Jose] Univ Valencia, Dept Psychiat, Valencia, Spain; [Salom, Caroline] Univ Queensland, Inst Social Sci Res, Brisbane, Qld, Australia; [Salom, Caroline; Peris, Lola] CNP Ctr Neuchatelois Psychiat, Neuchatel, Switzerland"/>
    <s v="All India Institute of Medical Sciences (AIIMS) New Delhi; National Drug Dependence Treatment Centre (NDDTC); General University Gregorio Maranon Hospital; All India Institute of Medical Sciences (AIIMS) New Delhi; National Drug Dependence Treatment Centre (NDDTC); All India Institute of Medical Sciences (AIIMS) New Delhi; University of Valencia; University of Queensland"/>
    <s v="Balhara, YPS (corresponding author), All India Inst Med Sci AIIMS, Natl Drug Dependence Treatment Ctr, Dept Psychiat, Room 4096,4th Floor,Acad Block, New Delhi, India."/>
    <s v="ypsbalhara@gmail.com"/>
    <s v="Salom, Caroline/C-1761-2014; Ganesh, Ragul/IVH-4408-2023; Martinez-Raga, Jose/B-6251-2017"/>
    <s v="Salom, Caroline/0000-0002-8986-9735; Martinez-Raga, Jose/0000-0002-2856-6562; BALHARA, YATAN PAL SINGH/0000-0003-1616-6403"/>
    <s v=""/>
    <s v=""/>
    <s v=""/>
    <s v=""/>
    <n v="16"/>
    <n v="3"/>
    <n v="3"/>
    <n v="0"/>
    <n v="2"/>
    <s v="ROUTLEDGE JOURNALS, TAYLOR &amp; FRANCIS LTD"/>
    <s v="ABINGDON"/>
    <s v="2-4 PARK SQUARE, MILTON PARK, ABINGDON OX14 4RN, OXON, ENGLAND"/>
    <s v="1550-4263"/>
    <s v="1550-4271"/>
    <s v=""/>
    <s v="J DUAL DIAGN"/>
    <s v="J. Dual Diagn."/>
    <s v="JUL 3"/>
    <n v="2021"/>
    <n v="17"/>
    <n v="3"/>
    <s v=""/>
    <s v=""/>
    <s v=""/>
    <s v=""/>
    <n v="248"/>
    <n v="256"/>
    <s v=""/>
    <s v="10.1080/15504263.2021.1940413"/>
    <s v="http://dx.doi.org/10.1080/15504263.2021.1940413"/>
    <s v=""/>
    <s v="JUN 2021"/>
    <n v="9"/>
    <s v="Psychology, Clinical; Substance Abuse; Psychiatry"/>
    <x v="0"/>
    <s v="Psychology; Substance Abuse; Psychiatry"/>
    <s v="UQ9MD"/>
    <n v="34165030"/>
    <s v=""/>
    <s v=""/>
    <s v=""/>
    <s v="2023-11-15"/>
    <x v="285"/>
    <s v="View Full Record in Web of Science"/>
  </r>
  <r>
    <s v="J"/>
    <s v="Ramadan, Z; Nsouli, NZ"/>
    <s v=""/>
    <s v=""/>
    <s v=""/>
    <s v="Ramadan, Zahy; Nsouli, Nour Zakaria"/>
    <s v=""/>
    <s v=""/>
    <s v="Luxury fashion start-up brands' digital strategies with female Gen Y in the Middle East"/>
    <s v="JOURNAL OF FASHION MARKETING AND MANAGEMENT"/>
    <s v=""/>
    <s v=""/>
    <s v="English"/>
    <x v="0"/>
    <s v=""/>
    <s v=""/>
    <s v=""/>
    <s v=""/>
    <s v=""/>
    <s v="Digital marketing; Start-ups; Fashion; Luxury; UAE; KSA"/>
    <s v="GENERATION Y; SOCIAL MEDIA; CONSUMER; ADDICTION; CONSUMPTION; DESIGN; EQUITY; WOMEN"/>
    <s v="Purpose With US$ 320 bn spent on luxury fashion in the Middle East and a growing digital consumer presence, local start-ups must form an integrated online relationship with millennials in order to recruit and retain a viable customer base. Nonetheless, these elements are yet to be extensively and properly researched as the literature is still scarce vis-a-vis this area. Design/methodology/approach A mixed qualitative approach was adopted using both in-depth interviews and focus groups. Two qualitative studies were conducted, with a total of 13 elite respondents and 28 consumer respondents from Saudi Arabia and the United Arab Emirates (UAE) using semi-structured interviews. Four focus groups were also conducted in both countries with six participants each group for triangulation of the findings. Findings The findings enhance current understanding pertaining to Gen Ys' motivations when selecting and engaging online with a luxury fashion start-up brand. The study suggests a detailed strategic framework that can be used in an integrated omni-channel approach. It also discusses the different touchpoints that play a role in influencing luxury consumption across different motivation stages. Originality/value The literature relating to digital strategies for luxury fashion start-up brands in the Middle East is still nascent. This study fills a considerable gap in the literature related to such brands that are aiming to stay relevant amidst the growing impact of the digital landscape on luxury fashion brand shoppers in the Middle East."/>
    <s v="[Ramadan, Zahy] Lebanese Amer Univ, Beirut, Lebanon; [Nsouli, Nour Zakaria] Inst Marangoni, Milan, Italy"/>
    <s v="Lebanese American University"/>
    <s v="Ramadan, Z (corresponding author), Lebanese Amer Univ, Beirut, Lebanon."/>
    <s v="zahy.ramadan@lau.edu.lb; nourzakariansouli@gmail.com"/>
    <s v="Stellaki, Kalliopi/GZN-0958-2022; Ramadan, Zahy/O-2521-2016"/>
    <s v="Ramadan, Zahy/0000-0001-8368-3617"/>
    <s v=""/>
    <s v=""/>
    <s v=""/>
    <s v=""/>
    <n v="71"/>
    <n v="3"/>
    <n v="3"/>
    <n v="2"/>
    <n v="29"/>
    <s v="EMERALD GROUP PUBLISHING LTD"/>
    <s v="BINGLEY"/>
    <s v="HOWARD HOUSE, WAGON LANE, BINGLEY BD16 1WA, W YORKSHIRE, ENGLAND"/>
    <s v="1361-2026"/>
    <s v="1758-7433"/>
    <s v=""/>
    <s v="J FASH MARK MANAG"/>
    <s v="J. Fash. Mark. Manag."/>
    <s v="FEB 18"/>
    <n v="2022"/>
    <n v="26"/>
    <n v="2"/>
    <s v=""/>
    <s v=""/>
    <s v=""/>
    <s v=""/>
    <n v="247"/>
    <n v="265"/>
    <s v=""/>
    <s v="10.1108/JFMM-10-2020-0222"/>
    <s v="http://dx.doi.org/10.1108/JFMM-10-2020-0222"/>
    <s v=""/>
    <s v="JUN 2021"/>
    <n v="19"/>
    <s v="Business; Management"/>
    <x v="0"/>
    <s v="Business &amp; Economics"/>
    <s v="ZH2AT"/>
    <s v=""/>
    <s v=""/>
    <s v=""/>
    <s v=""/>
    <s v="2023-11-15"/>
    <x v="286"/>
    <s v="View Full Record in Web of Science"/>
  </r>
  <r>
    <s v="J"/>
    <s v="Karekla, M; Pollalis, Y; Angelopoulos, M"/>
    <s v=""/>
    <s v=""/>
    <s v=""/>
    <s v="Karekla, Maria; Pollalis, Yannis; Angelopoulos, Michail"/>
    <s v=""/>
    <s v=""/>
    <s v="Key Drivers of Digital Transformation in Greek Businesses: Strategy vs. Technology"/>
    <s v="CENTRAL EUROPEAN MANAGEMENT JOURNAL"/>
    <s v=""/>
    <s v=""/>
    <s v="English"/>
    <x v="0"/>
    <s v=""/>
    <s v=""/>
    <s v=""/>
    <s v=""/>
    <s v=""/>
    <s v="digital transformation; digital strategy; digital technology; digital maturity; digital technology management; businesses; Greece"/>
    <s v=""/>
    <s v="Purpose: This article aims to assess strategy and technology as key drivers of Greek businesses' digital transformation and compare the results to those of international studies and sources. Methodology: A research was conducted on 124 Greek businesses from different sectors and industries with the use of an anonymous questionnaire from December 2019 to January 2020. Greek businesses were categorized as early, developing, and maturing according to their perceptions about the level of their digital maturity, and differences were identified. The results were finally compared to an international relevant survey. Findings: Several differences were located among the Greek businesses of the three digital maturity categories as formulated after their self-evaluation, and evolution has been identified on their perceptions about their digital strategy, its existence, objectives, and structure, which can be seen developing and expanding from the lowest to the highest levels of digital maturity. Originality: The findings can be useful in creating an initial picture of the perceptions and practices applied by Greek businesses to their use of digital technologies. They can also become a measure of comparison for the self-evaluation of Greek businesses in their efforts to digitally transform."/>
    <s v="[Karekla, Maria] Hellen Open Univ, Patras, Greece; [Pollalis, Yannis] Univ Piraeus, Econ Pireas, Piraeus, Greece; [Angelopoulos, Michail] Univ Piraeus, Econ Karaoli &amp; Dimitriou, EL-18534 Piraeus, Greece"/>
    <s v="Hellenic Open University; University of Piraeus"/>
    <s v="Angelopoulos, M (corresponding author), Univ Piraeus, Econ Karaoli &amp; Dimitriou, EL-18534 Piraeus, Greece."/>
    <s v="yannis@unipi.gr; mangelopoulos66@gmail.com"/>
    <s v=""/>
    <s v="POLLALIS, YANNIS/0000-0003-4893-1624"/>
    <s v=""/>
    <s v=""/>
    <s v=""/>
    <s v=""/>
    <n v="35"/>
    <n v="3"/>
    <n v="3"/>
    <n v="3"/>
    <n v="42"/>
    <s v="SCIENDO"/>
    <s v="WARSAW"/>
    <s v="BOGUMILA ZUGA 32A, WARSAW, MAZOVIA, POLAND"/>
    <s v="2658-0845"/>
    <s v="2658-2430"/>
    <s v=""/>
    <s v="CENT EUR MANAG J"/>
    <s v="Cent. Eur. Manag. J."/>
    <s v="JUN"/>
    <n v="2021"/>
    <n v="29"/>
    <n v="2"/>
    <s v=""/>
    <s v=""/>
    <s v=""/>
    <s v=""/>
    <n v="33"/>
    <n v="62"/>
    <s v=""/>
    <s v="10.7206/cemj.2658-0845.45"/>
    <s v="http://dx.doi.org/10.7206/cemj.2658-0845.45"/>
    <s v=""/>
    <s v=""/>
    <n v="30"/>
    <s v="Management"/>
    <x v="3"/>
    <s v="Business &amp; Economics"/>
    <s v="TI3EO"/>
    <s v=""/>
    <s v="gold"/>
    <s v=""/>
    <s v=""/>
    <s v="2023-11-15"/>
    <x v="287"/>
    <s v="View Full Record in Web of Science"/>
  </r>
  <r>
    <s v="J"/>
    <s v="Adam, M; Roethke, K; Benlian, A"/>
    <s v=""/>
    <s v=""/>
    <s v=""/>
    <s v="Adam, Martin; Roethke, Konstantin; Benlian, Alexander"/>
    <s v=""/>
    <s v=""/>
    <s v="Gamblified digital product offerings: an experimental study of loot box menu designs"/>
    <s v="ELECTRONIC MARKETS"/>
    <s v=""/>
    <s v=""/>
    <s v="English"/>
    <x v="0"/>
    <s v=""/>
    <s v=""/>
    <s v=""/>
    <s v=""/>
    <s v=""/>
    <s v="Gamblification; Gambling; Gamification; Digital business models; Loot box; Prospect theory"/>
    <s v="COGNITIVE DISTORTIONS; STATISTICAL POWER; OPTIMISTIC BIAS; BEHAVIOR; RISK; PREFERENCES; ATTRIBUTES; OUTCOMES; SYSTEMS; GAMES"/>
    <s v="To augment traditional monetization strategies, digital platform providers increasingly draw on gamblification (i.e., the use of gambling design elements). By means of gambling design elements (e.g., lottery tickets, scratch cards, loot boxes), platform providers do not only entertain users but also incentivize them to purchase digital products. Yet, despite the increasing prevalence of gamblified digital platforms, little is known about how gamblification influences user purchase behaviors. Drawing on prospect theory, we investigate gamblification in the form of loot box menu designs and the associated effects of uncertainty, loss experience and behavioral control on user purchase behavior. Specifically, we conducted a contest-based online experiment with 159 participants, finding that platform providers can profit from offering loot boxes with certain (vs. uncertain) rewards in loot box menus. Furthermore, this effect intensifies when participants previously experienced a loss and decreases when they perceive to have more control over the result. Thus, our findings provide theoretical and practical insights for a better understanding of gamblification in general and of loot box menu designs for enhancing digital business models in particular."/>
    <s v="[Adam, Martin; Roethke, Konstantin; Benlian, Alexander] Tech Univ Darmstadt, Fachgebiet Wirtschaftsinformat Informat Syst &amp; El, Hsch Str 1, D-64289 Darmstadt, Germany"/>
    <s v="Technical University of Darmstadt"/>
    <s v="Adam, M (corresponding author), Tech Univ Darmstadt, Fachgebiet Wirtschaftsinformat Informat Syst &amp; El, Hsch Str 1, D-64289 Darmstadt, Germany."/>
    <s v="adam@ise.tu-darmstadt.de"/>
    <s v="Benlian, Alexander/E-1075-2014"/>
    <s v="Benlian, Alexander/0000-0002-7294-3097; Adam, Martin/0000-0001-9369-7203"/>
    <s v="Projekt DEAL"/>
    <s v="Projekt DEAL"/>
    <s v="Open Access funding enabled and organized by Projekt DEAL."/>
    <s v=""/>
    <n v="81"/>
    <n v="3"/>
    <n v="3"/>
    <n v="11"/>
    <n v="63"/>
    <s v="SPRINGER HEIDELBERG"/>
    <s v="HEIDELBERG"/>
    <s v="TIERGARTENSTRASSE 17, D-69121 HEIDELBERG, GERMANY"/>
    <s v="1019-6781"/>
    <s v="1422-8890"/>
    <s v=""/>
    <s v="ELECTRON MARK"/>
    <s v="Electron. Mark."/>
    <s v="JUN"/>
    <n v="2022"/>
    <n v="32"/>
    <n v="2"/>
    <s v=""/>
    <s v=""/>
    <s v=""/>
    <s v=""/>
    <n v="971"/>
    <n v="986"/>
    <s v=""/>
    <s v="10.1007/s12525-021-00477-0"/>
    <s v="http://dx.doi.org/10.1007/s12525-021-00477-0"/>
    <s v=""/>
    <s v="MAY 2021"/>
    <n v="16"/>
    <s v="Business; Management"/>
    <x v="0"/>
    <s v="Business &amp; Economics"/>
    <s v="3U9EM"/>
    <s v=""/>
    <s v="hybrid"/>
    <s v=""/>
    <s v=""/>
    <s v="2023-11-15"/>
    <x v="288"/>
    <s v="View Full Record in Web of Science"/>
  </r>
  <r>
    <s v="J"/>
    <s v="McGee, B; Leonte, M; Wildenhaus, K; Wilcox, M; Reps, J; LaCross, L"/>
    <s v=""/>
    <s v=""/>
    <s v=""/>
    <s v="McGee, Beth; Leonte, Marie; Wildenhaus, Kevin; Wilcox, Marsha; Reps, Jenna; LaCross, Lauren"/>
    <s v=""/>
    <s v=""/>
    <s v="Leveraging Digital Technology in Conducting Longitudinal Research on Mental Health in Pregnancy: Longitudinal Panel Survey Study"/>
    <s v="JMIR PEDIATRICS AND PARENTING"/>
    <s v=""/>
    <s v=""/>
    <s v="English"/>
    <x v="0"/>
    <s v=""/>
    <s v=""/>
    <s v=""/>
    <s v=""/>
    <s v=""/>
    <s v="digital; longitudinal; pregnancy; postpartum; perinatal; panel; study design; mental health"/>
    <s v="DEPRESSION; PARTICIPATE; RISK"/>
    <s v="Background: Collecting longitudinal data during and shortly after pregnancy is difficult, as pregnant women often avoid studies with repeated surveys. In contrast, pregnant women interact with certain websites at multiple stages throughout pregnancy and the postpartum period. This digital connection presents the opportunity to use a website as a way to recruit and enroll pregnant women into a panel study and collect valuable longitudinal data for research. These data can then be used to learn new scientific insights and improve health care. Objective: The objective of this paper is to describe the approaches applied and lessons learned from designing and conducting an online panel for health care research, specifically perinatal mood disorders. Our panel design and approach aimed to recruit a large sample (N=1200) of pregnant women representative of the US population and to minimize attrition over time. Methods: We designed an online panel to enroll participants from the pregnancy and parenting website BabyCenter. We enrolled women into the panel from weeks 4 to 10 of pregnancy (Panel 1) or from weeks 28 to 33 of pregnancy (Panel 2) and administered repeated psychometric assessments from enrollment through 3 months postpartum. We employed a combination of adaptive digital strategies to recruit, communicate with, and build trust with participants to minimize attrition over time. We were transparent at baseline about expectations, used monetary and information-based incentives, and sent personalized reminders to reduce attrition. The approach was participant-centric and leveraged many aspects of flexibility that digital methods afford. Results: We recruited 1179 pregnant women-our target was 1200-during a 26-day period between August 25 and September 19, 2016. Our strategy to recruit participants using adaptive sampling tactics resulted in a large panel that was similar to the US population of pregnant women. Attrition was on par with existing longitudinal observational studies in pregnant populations, and 79.2% (934/1179) of our panel completed another survey after enrollment. There were 736 out of 1179 (62.4%) women who completed at least one assessment in both the prenatal and postnatal periods, and 709 out of 1179 (60.1%) women who completed the final assessment. To validate the data, we compared participation rates and factors of perinatal mood disorders ascertained from this study with prior research, suggesting reliability of our approach. Conclusions: A suitably designed online panel created in partnership with a digital media source that reaches the target audience is a means to leverage a conveniently sized and viable sample for scientific research. Our key lessons learned are as follows: sampling tactics may need to be adjusted to enroll a representative sample, attrition can be reduced by adapting to participants' needs, and study engagement can be boosted by personalizing interactions with the flexibility afforded by digital technologies."/>
    <s v="[McGee, Beth; Leonte, Marie; LaCross, Lauren] BabyCenter LLC, 163 Freelon St, San Francisco, CA 94107 USA; [Wildenhaus, Kevin; Wilcox, Marsha; Reps, Jenna] Janssen Res &amp; Dev LLC, Titusville, NJ USA"/>
    <s v="Johnson &amp; Johnson; Johnson &amp; Johnson USA; Janssen Biotech Inc"/>
    <s v="McGee, B (corresponding author), BabyCenter LLC, 163 Freelon St, San Francisco, CA 94107 USA."/>
    <s v="bethannmcgee@gmail.com"/>
    <s v=""/>
    <s v="Wilcox, Marsha/0000-0001-8339-8621; Wildenhaus, Kevin/0000-0003-4634-1794; LaCross, Lauren/0000-0002-2017-8346; Leonte, Marie/0000-0002-2822-5899"/>
    <s v=""/>
    <s v=""/>
    <s v=""/>
    <s v=""/>
    <n v="22"/>
    <n v="3"/>
    <n v="3"/>
    <n v="0"/>
    <n v="1"/>
    <s v="JMIR PUBLICATIONS, INC"/>
    <s v="TORONTO"/>
    <s v="130 QUEENS QUAY E, STE 1102, TORONTO, ON M5A 0P6, CANADA"/>
    <s v="2561-6722"/>
    <s v=""/>
    <s v=""/>
    <s v="JMIR PEDIATR PARENT"/>
    <s v="JMIR Pediatr. Parent."/>
    <s v="APR-JUN"/>
    <n v="2021"/>
    <n v="4"/>
    <n v="2"/>
    <s v=""/>
    <s v=""/>
    <s v=""/>
    <s v=""/>
    <s v=""/>
    <s v=""/>
    <s v="e16280"/>
    <s v="10.2196/16280"/>
    <s v="http://dx.doi.org/10.2196/16280"/>
    <s v=""/>
    <s v=""/>
    <n v="15"/>
    <s v="Pediatrics"/>
    <x v="3"/>
    <s v="Pediatrics"/>
    <s v="0K0JK"/>
    <n v="33904826"/>
    <s v="Green Published, gold"/>
    <s v=""/>
    <s v=""/>
    <s v="2023-11-15"/>
    <x v="289"/>
    <s v="View Full Record in Web of Science"/>
  </r>
  <r>
    <s v="J"/>
    <s v="Marcelin, JR; Cortés-Penfield, N; del Rio, C; Desai, A; Echenique, I; Granwehr, B; Lawal, F; Kuriakose, K; Lee, DH; Malinis, M; Ruidera, D; Siddiqui, J; Spec, A; Swartz, TH"/>
    <s v=""/>
    <s v=""/>
    <s v=""/>
    <s v="Marcelin, Jasmine R.; Cortes-Penfield, Nicolas; del Rio, Carlos; Desai, Angel; Echenique, Ignacio; Granwehr, Bruno; Lawal, Folake; Kuriakose, Kevin; Lee, Dong Heun; Malinis, Maricar; Ruidera, Diandra; Siddiqui, Javeed; Spec, Andrej; Swartz, Talia H."/>
    <s v=""/>
    <s v="Infect Dis Soc Amer IDSA Digital S"/>
    <s v="How the Field of Infectious Diseases Can Leverage Digital Strategy and Social Media Use During a Pandemic"/>
    <s v="OPEN FORUM INFECTIOUS DISEASES"/>
    <s v=""/>
    <s v=""/>
    <s v="English"/>
    <x v="0"/>
    <s v=""/>
    <s v=""/>
    <s v=""/>
    <s v=""/>
    <s v=""/>
    <s v="digital strategy; infectious diseases; information dissemination; social media"/>
    <s v="TWITTER; PREPRINTS"/>
    <s v="Rapid information dissemination is critical in a world changing rapidly due to global threats. Ubiquitous internet access has created new methods of information dissemination that are rapid, far-reaching, and universally accessible. However, inaccuracies may accompany rapid information dissemination, and rigorous evaluation of primary data through various forms of peer review is crucial. In an era in which high-quality information can save lives, it is critical that infectious diseases specialists are well versed in digital strategy to effectively disseminate information to colleagues and the community and diminish voices spreading misinformation. In this study, we review how social media can be used for rapid dissemination of quality information, benefits and pitfalls of social media use, and general recommendations for developing a digital strategy as an infectious diseases specialist. We will describe how the Infectious Diseases Society of America has leveraged digital strategy and social media and how individuals can amplify these resources to disseminate information, provide clinical knowledge, community guidance, and build their own person brand. We conclude in providing guidance to infectious diseases specialists in aiming to build and preserve public trust, consider their audience and specific goals, and use social media to highlight the value of the field of infectious diseases."/>
    <s v="[Marcelin, Jasmine R.; Cortes-Penfield, Nicolas] Univ Nebraska Med Ctr, Dept Med, Div Infect Dis, Omaha, NE USA; [del Rio, Carlos] Emory Univ, Dept Med, Div Infect Dis, Atlanta, GA 30322 USA; [Desai, Angel] Univ Calif Davis, Med Ctr, Dept Med, Div Infect Dis, Sacramento, CA 95817 USA; [Echenique, Ignacio] Teva Pharmaceut, Miramar, FL USA; [Granwehr, Bruno] Univ Texas MD Anderson Canc Ctr, Div Infect Dis, Dept Med, Houston, TX 77030 USA; [Lawal, Folake] Augusta Univ, Dept Med, Div Infect Dis, Med Coll Georgia, Augusta, GA USA; [Kuriakose, Kevin] Renown Hlth, Sect Infect Dis, Reno, NV USA; [Lee, Dong Heun] Univ Calif San Francisco, Dept Med, Div Infect Dis, San Francisco, CA 94143 USA; [Malinis, Maricar] Yale Univ, Sch Med, Dept Internal Med, Sect Infect Dis, New Haven, CT 06510 USA; [Ruidera, Diandra] Tric Med Ctr, Oceanside, CA USA; [Siddiqui, Javeed] TeleMed2U, Roseville, CA USA; [Spec, Andrej] Washington Univ, Sch Med, Dept Med, Div Infect Dis, St Louis, MO 63110 USA; [Swartz, Talia H.] Icahn Sch Med Mt Sinai, Immunol Inst, Dept Med, Div Infect Dis, New York, NY 10029 USA"/>
    <s v="University of Nebraska System; University of Nebraska Medical Center; Emory University; University of California System; University of California Davis; Teva Pharmaceutical Industries; Teva Pharmaceutical Industries USA; University of Texas System; UTMD Anderson Cancer Center; University System of Georgia; Augusta University; University of California System; University of California San Francisco; Yale University; Washington University (WUSTL); Icahn School of Medicine at Mount Sinai"/>
    <s v="Swartz, TH (corresponding author), Mt Sinai Sch Med, Div Infect Dis, Dept Med, One Gustave Levy Pl,Box 1090, New York, NY 10029 USA."/>
    <s v="talia.swartz@mssm.edu"/>
    <s v="del Rio, Carlos/B-3763-2012; Swartz, Talia H./AAN-8591-2020; Cortes-Penfield, Nicolas/ACS-1833-2022"/>
    <s v="del Rio, Carlos/0000-0002-0153-3517; Swartz, Talia H./0000-0003-1572-045X;"/>
    <s v=""/>
    <s v=""/>
    <s v=""/>
    <s v=""/>
    <n v="29"/>
    <n v="3"/>
    <n v="3"/>
    <n v="5"/>
    <n v="13"/>
    <s v="OXFORD UNIV PRESS INC"/>
    <s v="CARY"/>
    <s v="JOURNALS DEPT, 2001 EVANS RD, CARY, NC 27513 USA"/>
    <s v="2328-8957"/>
    <s v=""/>
    <s v=""/>
    <s v="OPEN FORUM INFECT DI"/>
    <s v="Open Forum Infect. Dis."/>
    <s v="FEB"/>
    <n v="2021"/>
    <n v="8"/>
    <n v="2"/>
    <s v=""/>
    <s v=""/>
    <s v=""/>
    <s v=""/>
    <s v=""/>
    <s v=""/>
    <s v="ofab027"/>
    <s v="10.1093/ofid/ofab027"/>
    <s v="http://dx.doi.org/10.1093/ofid/ofab027"/>
    <s v=""/>
    <s v="JAN 2021"/>
    <n v="6"/>
    <s v="Immunology; Infectious Diseases; Microbiology"/>
    <x v="2"/>
    <s v="Immunology; Infectious Diseases; Microbiology"/>
    <s v="RJ0WD"/>
    <s v=""/>
    <s v="gold, Green Published"/>
    <s v=""/>
    <s v=""/>
    <s v="2023-11-15"/>
    <x v="290"/>
    <s v="View Full Record in Web of Science"/>
  </r>
  <r>
    <s v="J"/>
    <s v="Sampugnaro, R; Montemagno, F"/>
    <s v=""/>
    <s v=""/>
    <s v=""/>
    <s v="Sampugnaro, Rossana; Montemagno, Francesca"/>
    <s v=""/>
    <s v=""/>
    <s v="In Search of the Americanization: Candidates and Political Campaigns in European General Election"/>
    <s v="JOURNAL OF POLITICAL MARKETING"/>
    <s v=""/>
    <s v=""/>
    <s v="English"/>
    <x v="0"/>
    <s v=""/>
    <s v=""/>
    <s v=""/>
    <s v=""/>
    <s v=""/>
    <s v="Americanization; convergence; digitalization; personalization"/>
    <s v=""/>
    <s v="The digital platform has deeply changed the electoral campaigns, producing a consequent evolution of political consulting. Social networks have become the mainstream media so that the digital strategist and the big data analysts have achieved a special place in the war room, next to the campaign director and the pollster. In 2012, Obama's election has marked the entrance in the Fast Politics: resulting, on one hand, in 24 hours news, a large amount of auto-generated contents produced by the voters through digital media, fragmentation, instantaneous transmission of messages and, on the other hand, a reduction of the attention threshold. Once again, similarly to the past, the evolution of the media (2.0) ends up changing the nature of election campaigns and political consulting request. What happens in Europe? The objective is to carry out a comparative analysis on the professionalization of candidates' electoral staff. We wanted to verify if the American model has been imported in Europe with special focus on the techniques and the style of election campaigns management. In particular, within a comparative approach among the European states, the study analyzed the usage of political consulting and the degree of digitalization during last general elections: an ancillary practice or, on the contrary, a new tool for consensus? The comparative analysis among European states exploited the data provided by Comparative Candidates Survey (CCS 2013) and constructed synthetic indexes on the professionalization and digitization campaigns, conducting a quantitative and qualitative analysis."/>
    <s v="[Sampugnaro, Rossana; Montemagno, Francesca] Univ Catania, Dept Polit &amp; Social Sci, Via Vittorio Emanuele II,8, I-95131 Catania, Italy"/>
    <s v="University of Catania"/>
    <s v="Sampugnaro, R (corresponding author), Univ Catania, Dept Polit &amp; Social Sci, Via Vittorio Emanuele II,8, I-95131 Catania, Italy."/>
    <s v="rossana.sampugnaro@unict.it"/>
    <s v=""/>
    <s v="Sampugnaro, Rossana/0000-0002-7518-7776; Montemagno, Francesca/0000-0002-2721-3669"/>
    <s v=""/>
    <s v=""/>
    <s v=""/>
    <s v=""/>
    <n v="48"/>
    <n v="3"/>
    <n v="3"/>
    <n v="1"/>
    <n v="6"/>
    <s v="ROUTLEDGE JOURNALS, TAYLOR &amp; FRANCIS LTD"/>
    <s v="ABINGDON"/>
    <s v="2-4 PARK SQUARE, MILTON PARK, ABINGDON OX14 4RN, OXON, ENGLAND"/>
    <s v="1537-7857"/>
    <s v="1537-7865"/>
    <s v=""/>
    <s v="J POLITICAL MARKETIN"/>
    <s v="J. Political Marketing"/>
    <s v="MAR 29"/>
    <n v="2021"/>
    <n v="20"/>
    <n v="1"/>
    <s v=""/>
    <s v=""/>
    <s v=""/>
    <s v=""/>
    <n v="34"/>
    <n v="49"/>
    <s v=""/>
    <s v="10.1080/15377857.2020.1869832"/>
    <s v="http://dx.doi.org/10.1080/15377857.2020.1869832"/>
    <s v=""/>
    <s v="JAN 2021"/>
    <n v="16"/>
    <s v="Political Science"/>
    <x v="3"/>
    <s v="Government &amp; Law"/>
    <s v="RK6SO"/>
    <s v=""/>
    <s v="hybrid"/>
    <s v=""/>
    <s v=""/>
    <s v="2023-11-15"/>
    <x v="291"/>
    <s v="View Full Record in Web of Science"/>
  </r>
  <r>
    <s v="J"/>
    <s v="Lopez, CA; Castillo, LF; Corchado, JM"/>
    <s v=""/>
    <s v=""/>
    <s v=""/>
    <s v="Alberto Lopez, Carlos; Fernando Castillo, Luis; Corchado, Juan M."/>
    <s v=""/>
    <s v=""/>
    <s v="Discovering the Value Creation System in IoT Ecosystems"/>
    <s v="SENSORS"/>
    <s v=""/>
    <s v=""/>
    <s v="English"/>
    <x v="0"/>
    <s v=""/>
    <s v=""/>
    <s v=""/>
    <s v=""/>
    <s v=""/>
    <s v="value creation; IoT ecosystem; value offer; system dynamics; value capture; business model"/>
    <s v=""/>
    <s v="Internet of Things (IoT) should not be seen only as a cost reduction mechanism for manufacturing companies; instead, it should be seen as the basis for transition to a new business model that monetizes the data from an intelligent ecosystem. In this regard, deciphering the operation of the value creation system and finding the balance between the digital strategy and the deployment of technological platforms, are the main motivations behind this research. To achieve the proposed objectives, systems theory has been adopted in the conceptualization stage, later, fuzzy logic has been used to structure a subsystem for the evaluation of input parameters. Subsequently, system dynamics have been used to build a computational representation and later, through dynamic simulation, the model has been adjusted according to iterations and the identified limits of the system. Finally, with the obtained set of results, different value creation and capture behaviors have been identified. The simulation model, based on the conceptualization of the system and the mathematical representation of the value function, allows to establish a frame of reference for the evaluation of the behaviour of IoT ecosystems in the context of the connected home."/>
    <s v="[Alberto Lopez, Carlos; Fernando Castillo, Luis] Univ Nacl Colombia, Fac Ingn &amp; Arquitectura, Ind Engn Dept, Manizales 170003, Caldas, Colombia; [Fernando Castillo, Luis] Univ Caldas, Fac Ingn, Dept Sistemas &amp; Informat, Grp Invest Inteligencia Artificial, Manizales 170004, Caldas, Colombia; [Fernando Castillo, Luis] Univ Autonoma Manizales, Doctorado Ciencias Cognit, Dept Ciencias Computac, Manizales 170001, Caldas, Colombia; [Fernando Castillo, Luis; Corchado, Juan M.] Air Inst, IoT Digital Innovat Hub, Salamanca 37188, Spain; [Corchado, Juan M.] Univ Salamanca, Bisite Res Grp, Salamanca 37007, Spain; [Corchado, Juan M.] Osaka Inst Technol, Fac Engn, Dept Elect Informat &amp; Commun, Osaka 5358585, Japan; [Corchado, Juan M.] Univ Malaysia Kelantan, Pusat Komputeran Dan Informat, Kota Baharu 16100, Kelantan, Malaysia"/>
    <s v="Universidad Nacional de Colombia; Universidad de Caldas; Universidad Autonoma de Manizales; University of Salamanca; Osaka Institute of Technology; Universiti Malaysia Kelantan"/>
    <s v="Castillo, LF (corresponding author), Univ Nacl Colombia, Fac Ingn &amp; Arquitectura, Ind Engn Dept, Manizales 170003, Caldas, Colombia.;Castillo, LF (corresponding author), Univ Caldas, Fac Ingn, Dept Sistemas &amp; Informat, Grp Invest Inteligencia Artificial, Manizales 170004, Caldas, Colombia.;Castillo, LF (corresponding author), Univ Autonoma Manizales, Doctorado Ciencias Cognit, Dept Ciencias Computac, Manizales 170001, Caldas, Colombia.;Castillo, LF (corresponding author), Air Inst, IoT Digital Innovat Hub, Salamanca 37188, Spain."/>
    <s v="caralopezcas@unal.edu.co; lfcastilloos@unal.edu.co; corchado@usal.es"/>
    <s v="Corchado Rodríguez, Juan/D-3229-2013"/>
    <s v="Corchado Rodríguez, Juan/0000-0002-2829-1829; LOPEZ CASTANO, CARLOS ALBERTO/0000-0001-8764-7496; Castillo Ossa, Luis Fernando/0000-0002-2878-8229"/>
    <s v=""/>
    <s v=""/>
    <s v=""/>
    <s v=""/>
    <n v="70"/>
    <n v="3"/>
    <n v="3"/>
    <n v="3"/>
    <n v="19"/>
    <s v="MDPI"/>
    <s v="BASEL"/>
    <s v="ST ALBAN-ANLAGE 66, CH-4052 BASEL, SWITZERLAND"/>
    <s v=""/>
    <s v="1424-8220"/>
    <s v=""/>
    <s v="SENSORS-BASEL"/>
    <s v="Sensors"/>
    <s v="JAN"/>
    <n v="2021"/>
    <n v="21"/>
    <n v="2"/>
    <s v=""/>
    <s v=""/>
    <s v=""/>
    <s v=""/>
    <s v=""/>
    <s v=""/>
    <n v="328"/>
    <s v="10.3390/s21020328"/>
    <s v="http://dx.doi.org/10.3390/s21020328"/>
    <s v=""/>
    <s v=""/>
    <n v="22"/>
    <s v="Chemistry, Analytical; Engineering, Electrical &amp; Electronic; Instruments &amp; Instrumentation"/>
    <x v="1"/>
    <s v="Chemistry; Engineering; Instruments &amp; Instrumentation"/>
    <s v="PX9ZV"/>
    <n v="33418918"/>
    <s v="Green Published, gold"/>
    <s v=""/>
    <s v=""/>
    <s v="2023-11-15"/>
    <x v="292"/>
    <s v="View Full Record in Web of Science"/>
  </r>
  <r>
    <s v="J"/>
    <s v="Zhou, X; Milecka-Forrest, M"/>
    <s v=""/>
    <s v=""/>
    <s v=""/>
    <s v="Zhou, Xue; Milecka-Forrest, Melania"/>
    <s v=""/>
    <s v=""/>
    <s v="Two groups separated by a shared goal: how academic managers and lecturers have embraced the introduction of digital technologies in UK Higher Education"/>
    <s v="RESEARCH IN LEARNING TECHNOLOGY"/>
    <s v=""/>
    <s v=""/>
    <s v="English"/>
    <x v="0"/>
    <s v=""/>
    <s v=""/>
    <s v=""/>
    <s v=""/>
    <s v=""/>
    <s v="communities of practice; academic managers; digital technology strategy; academic staff-management collaboration; motivations"/>
    <s v="MIDDLE MANAGERS; MOBILE; TEACHERS"/>
    <s v="Digital technologies have been widely used in higher education (HE) for years, and the benefits have been recognised by both students and academics. Although many universities have developed their own digital technology strategies, many do not share either their vision or implementation strategies with staff. This research explores differences and similarities in the perception of digital technology by lecturers and academic managers. The purpose of this paper is to compare and contrast motivations, barriers and support systems required for the use and adoption of digital strategies. Interviews were conducted with a group of 20 lecturers and academic managers in the HE sector. The results reveal that both groups shared a common view that the introduction of digital technology can have a clear set of benefits to students; however, their motivations for introducing new approaches differed significantly. Whilst it is important not to generalise too much given the lack of homogeneity in the two groups and also the crossover between managers and lecturers, managers tended to take a performance -goal-based approach to its introduction whilst lecturers were more learning goal orientated. This difference can cause significant difficulties in the implementation of new approaches to learning."/>
    <s v="[Zhou, Xue] Coventry Univ, Sch Strategy &amp; Leadership, Coventry, W Midlands, England; [Milecka-Forrest, Melania] Aston Univ, Aston Business Sch, Birmingham, W Midlands, England"/>
    <s v="Coventry University; Aston University"/>
    <s v="Zhou, X (corresponding author), Coventry Univ, Sch Strategy &amp; Leadership, Coventry, W Midlands, England."/>
    <s v="aa8959@coventry.ac.uk"/>
    <s v=""/>
    <s v="Zhou, Xue/0000-0002-7242-0958"/>
    <s v=""/>
    <s v=""/>
    <s v=""/>
    <s v=""/>
    <n v="40"/>
    <n v="3"/>
    <n v="4"/>
    <n v="0"/>
    <n v="2"/>
    <s v="ASSOC LEARNING TECHNOLOGY-ALT"/>
    <s v="BICESTER"/>
    <s v="PO BOX 460, BICESTER, OX26 9LW, ENGLAND"/>
    <s v="2156-7069"/>
    <s v="2156-7077"/>
    <s v=""/>
    <s v="RES LEARN TECHNOL"/>
    <s v="Res. Learn. Technol."/>
    <s v=""/>
    <n v="2021"/>
    <n v="29"/>
    <s v=""/>
    <s v=""/>
    <s v=""/>
    <s v=""/>
    <s v=""/>
    <s v=""/>
    <s v=""/>
    <n v="2446"/>
    <s v="10.25304/rlt.v29.2446"/>
    <s v="http://dx.doi.org/10.25304/rlt.v29.2446"/>
    <s v=""/>
    <s v=""/>
    <n v="18"/>
    <s v="Education &amp; Educational Research"/>
    <x v="3"/>
    <s v="Education &amp; Educational Research"/>
    <s v="PU6VI"/>
    <s v=""/>
    <s v="Green Published, gold"/>
    <s v=""/>
    <s v=""/>
    <s v="2023-11-15"/>
    <x v="293"/>
    <s v="View Full Record in Web of Science"/>
  </r>
  <r>
    <s v="J"/>
    <s v="Aldoy, N; Evans, MA"/>
    <s v=""/>
    <s v=""/>
    <s v=""/>
    <s v="Aldoy, Noor; Evans, Mark Andrew"/>
    <s v=""/>
    <s v=""/>
    <s v="An Investigation into a Digital Strategy for Industrial Design Education"/>
    <s v="INTERNATIONAL JOURNAL OF ART &amp; DESIGN EDUCATION"/>
    <s v=""/>
    <s v=""/>
    <s v="English"/>
    <x v="0"/>
    <s v=""/>
    <s v=""/>
    <s v=""/>
    <s v=""/>
    <s v=""/>
    <s v="Digital design; industrial design; design tools; media; design education; computer‐ aided design"/>
    <s v="PRODUCT DESIGN"/>
    <s v="As the number of digital natives increases and the range of digital design tools / media continues to expand, it is timely to examine the potential for an entirely digital industrial design process that can be employed in practice and education. Following a literature review, a draft Digital Industrial Design (DID) strategy that focuses on the core design activities of sketching, drawing, model making, and prototyping was generated. A paper-based, theoretical model was established and presented to graduating students, academics and practitioners. The results indicated that, while graduating students were interested in employing an approach based entirely on digital methods, the majority had doubts about its capacity to replace conventional and hybrid methods. The removal of paper-based sketching, the conventional hands-on experience when model making, and the cost of digital tools were identified as primary concerns. Although academics believed that the future of industrial design programmes would become increasingly digital, it was identified that current programmes were failing to exploit the opportunities afforded by these technologies fully."/>
    <s v="[Aldoy, Noor] Univ Bahrain, Coll Engn, Dept Architecture &amp; Interior Design, Isa Town Campus, Isa Town, Bahrain; [Evans, Mark Andrew] Loughborough Univ, Sch Design &amp; Creat Arts, Loughborough LE11 3TU, Leics, England"/>
    <s v="University of Bahrain; Loughborough University"/>
    <s v="Aldoy, N (corresponding author), Univ Bahrain, Coll Engn, Dept Architecture &amp; Interior Design, Isa Town Campus, Isa Town, Bahrain."/>
    <s v="naldoy@uob.edu.bh; m.a.evans@lboro.ac.uk"/>
    <s v=""/>
    <s v="Evans, Mark/0000-0002-1378-8998"/>
    <s v=""/>
    <s v=""/>
    <s v=""/>
    <s v=""/>
    <n v="25"/>
    <n v="3"/>
    <n v="3"/>
    <n v="2"/>
    <n v="44"/>
    <s v="WILEY"/>
    <s v="HOBOKEN"/>
    <s v="111 RIVER ST, HOBOKEN 07030-5774, NJ USA"/>
    <s v="1476-8062"/>
    <s v="1476-8070"/>
    <s v=""/>
    <s v="INT J ART DES EDUC"/>
    <s v="Int. J. Art Des. Educ."/>
    <s v="FEB"/>
    <n v="2021"/>
    <n v="40"/>
    <n v="1"/>
    <s v=""/>
    <s v=""/>
    <s v=""/>
    <s v=""/>
    <n v="283"/>
    <n v="302"/>
    <s v=""/>
    <s v="10.1111/jade.12334"/>
    <s v="http://dx.doi.org/10.1111/jade.12334"/>
    <s v=""/>
    <s v="DEC 2020"/>
    <n v="20"/>
    <s v="Art; Education &amp; Educational Research"/>
    <x v="5"/>
    <s v="Art; Education &amp; Educational Research"/>
    <s v="QY6MT"/>
    <s v=""/>
    <s v="Green Accepted, Green Submitted"/>
    <s v=""/>
    <s v=""/>
    <s v="2023-11-15"/>
    <x v="294"/>
    <s v="View Full Record in Web of Science"/>
  </r>
  <r>
    <s v="J"/>
    <s v="Ogrean, C; Herciu, M"/>
    <s v=""/>
    <s v=""/>
    <s v=""/>
    <s v="Ogrean, Claudia; Herciu, Mihaela"/>
    <s v=""/>
    <s v=""/>
    <s v="DIGITAL TRANSFORMATION OF CENTRU REGION ROMANIA - NEEDS ASSESSMENT"/>
    <s v="STUDIES IN BUSINESS AND ECONOMICS"/>
    <s v=""/>
    <s v=""/>
    <s v="English"/>
    <x v="0"/>
    <s v=""/>
    <s v=""/>
    <s v=""/>
    <s v=""/>
    <s v=""/>
    <s v="Centru Region-Romania; digital transformation; (digital) innovation; (digital) competitiveness; innovation performance"/>
    <s v=""/>
    <s v="Competitiveness represents a never-ending moving target for any institution/entity, no matter the level of analysis (micro companies /public administrations, mezzo industries /national regions, or macro countries / world regions); but its determinants (or key success factors) are changing, as ages go by, asking for continuous watch and strategic flexibility. With digital technology nowadays disrupting (almost) every aspect of human life, while framing a new age of digitalization being both a source of competitiveness (for the industry leaders whatever the 'industry might be), and (just) a prerequisite for survival (or doing business) for almost everyone else, the European Commission's political priority for 2019-2024 A Europe fit for the digital age and the EU's digital strategy aiming for a digital transformation that will benefit everyone are of great interest (accentuated by the new pandemic context) for all the EU regions and their institutions/entities. Within this framework the paper (which is part of a bigger research) aims to perform an overview scan of Centro Region-Romania (mainly by comparison with Romania's other Development Regions and with EU benchmarks) in order to broadly identify its needs for digital transformation, while setting the backgrounds for a more systematic, focused and applied analysis to follow."/>
    <s v="[Ogrean, Claudia; Herciu, Mihaela] Lucian Blaga Univ Sibiu, Sibiu, Romania"/>
    <s v="Lucian Blaga University of Sibiu"/>
    <s v="Ogrean, C (corresponding author), Lucian Blaga Univ Sibiu, Sibiu, Romania."/>
    <s v=""/>
    <s v="OGREAN, CLAUDIA A/C-6678-2008; Herciu, Mihaela/C-5875-2008"/>
    <s v="OGREAN, CLAUDIA A/0000-0001-8986-4507; Herciu, Mihaela/0000-0001-9649-2043"/>
    <s v=""/>
    <s v=""/>
    <s v=""/>
    <s v=""/>
    <n v="11"/>
    <n v="3"/>
    <n v="3"/>
    <n v="3"/>
    <n v="12"/>
    <s v="SCIENDO"/>
    <s v="WARSAW"/>
    <s v="BOGUMILA ZUGA 32A, WARSAW, MAZOVIA, POLAND"/>
    <s v="1842-4120"/>
    <s v="2344-5416"/>
    <s v=""/>
    <s v="STUD BUS ECON-ROM"/>
    <s v="Stud. Bus. Econ."/>
    <s v="AUG"/>
    <n v="2020"/>
    <n v="15"/>
    <n v="2"/>
    <s v=""/>
    <s v=""/>
    <s v=""/>
    <s v=""/>
    <n v="270"/>
    <n v="281"/>
    <s v=""/>
    <s v="10.2478/sbe-2020-0040"/>
    <s v="http://dx.doi.org/10.2478/sbe-2020-0040"/>
    <s v=""/>
    <s v=""/>
    <n v="12"/>
    <s v="Economics"/>
    <x v="3"/>
    <s v="Business &amp; Economics"/>
    <s v="OG5PF"/>
    <s v=""/>
    <s v="gold"/>
    <s v=""/>
    <s v=""/>
    <s v="2023-11-15"/>
    <x v="295"/>
    <s v="View Full Record in Web of Science"/>
  </r>
  <r>
    <s v="J"/>
    <s v="Baraitser, P; McCulloch, H; Morelli, A; Free, C"/>
    <s v=""/>
    <s v=""/>
    <s v=""/>
    <s v="Baraitser, Paula; McCulloch, Hannah; Morelli, Alessandra; Free, Caroline"/>
    <s v=""/>
    <s v=""/>
    <s v="How do users of a 'digital-only' contraceptive service provide biometric measurements and what does this teach us about safe and effective online care? A qualitative interview study"/>
    <s v="BMJ OPEN"/>
    <s v=""/>
    <s v=""/>
    <s v="English"/>
    <x v="0"/>
    <s v=""/>
    <s v=""/>
    <s v=""/>
    <s v=""/>
    <s v=""/>
    <s v="telemedicine; quality in health care; sexual medicine"/>
    <s v="SELF-TRACKING; INNOVATION; PATIENT"/>
    <s v="Objectives To describe user experience of obtaining and uploading biometric measurements to a 'digital-only' contraceptive service prior to a prescription for the combined oral contraceptive (COC). To analyse this experience to inform the design of safe and acceptable 'digital-only' online contraceptive services. Setting An online contraceptive service available free of charge to women in South East London, UK. Participants Twenty participants who had ordered the combined oral contraceptive (COC) online. Our purposive sampling strategy ensured that we included participants from a wide range of ages and those who were and were not prescribed the COC. Intervention A 'digital-only' contraceptive service that prescribes the COCafter an online medical history and self-reported height, weight and blood pressure (BP) with pills prescribed by a GMC registered doctor, dispensed by an online pharmacy and posted to the user. Design Semistructured interviews with a purposive sample of 20 participants who were already enrolled in a larger study of this service. Analysis Inductive, thematic analysis of the interviews assisted by NVivo qualitative analysis software. Results Users valued the convenience of 'digital-only care' but experienced measuring BP but not height or weight as a significant barrier to service use. They actively engaged in work to understand and measure BP through a combination of recent/past measurements, borrowed machines, health service visits and online research. They negotiated tensions around maintaining a trusting relationship with the service, meeting its demands for accurate information while also obtaining the contraception that they needed. Conclusion Digital strategies to build trusting clinical relationships despite a lack of face-to-face contact are needed in 'digital-only' health services. This includes acknowledgement of work required, evidence of credible human support and a digital interface that communicates the health benefits of collaborating with an engaged clinical team."/>
    <s v="[Baraitser, Paula] SH 24, London, England; [Baraitser, Paula; McCulloch, Hannah; Morelli, Alessandra] Kings Coll London, Kings Ctr Global Hlth &amp; Hlth Partnerships, London, England; [Free, Caroline] London Sch Hyg &amp; Trop Med, Publ Hlth Intervent Unit, London, England"/>
    <s v="University of London; King's College London; University of London; London School of Hygiene &amp; Tropical Medicine"/>
    <s v="Baraitser, P (corresponding author), SH 24, London, England.;Baraitser, P (corresponding author), Kings Coll London, Kings Ctr Global Hlth &amp; Hlth Partnerships, London, England."/>
    <s v="paula_baraitser@mac.com"/>
    <s v="Morelli, Alessandra/AAM-2614-2021"/>
    <s v="Morelli, Alessandra/0000-0002-9803-2136; McCulloch, Hannah/0000-0001-5006-967X; Baraitser, Paula/0000-0002-3354-6494"/>
    <s v="National Institute for Health Research (NIHR) [PB-PG-081520009]"/>
    <s v="National Institute for Health Research (NIHR)(National Institutes of Health Research (NIHR))"/>
    <s v="This report is independent research funded by the National Institute for Health Research (NIHR) (Research for Patient Benefit Programme, PB-PG-081520009). The views expressed in this publication are those of the author(s) and not necessarily those of the NIHR or the Department for Health and Social Care."/>
    <s v=""/>
    <n v="35"/>
    <n v="3"/>
    <n v="3"/>
    <n v="0"/>
    <n v="3"/>
    <s v="BMJ PUBLISHING GROUP"/>
    <s v="LONDON"/>
    <s v="BRITISH MED ASSOC HOUSE, TAVISTOCK SQUARE, LONDON WC1H 9JR, ENGLAND"/>
    <s v="2044-6055"/>
    <s v=""/>
    <s v=""/>
    <s v="BMJ OPEN"/>
    <s v="BMJ Open"/>
    <s v=""/>
    <n v="2020"/>
    <n v="10"/>
    <n v="9"/>
    <s v=""/>
    <s v=""/>
    <s v=""/>
    <s v=""/>
    <s v=""/>
    <s v=""/>
    <s v="e037851"/>
    <s v="10.1136/bmjopen-2020-037851"/>
    <s v="http://dx.doi.org/10.1136/bmjopen-2020-037851"/>
    <s v=""/>
    <s v=""/>
    <n v="8"/>
    <s v="Medicine, General &amp; Internal"/>
    <x v="1"/>
    <s v="General &amp; Internal Medicine"/>
    <s v="OB4JT"/>
    <n v="32994244"/>
    <s v="Green Published, gold"/>
    <s v=""/>
    <s v=""/>
    <s v="2023-11-15"/>
    <x v="296"/>
    <s v="View Full Record in Web of Science"/>
  </r>
  <r>
    <s v="J"/>
    <s v="Seidel, S; Bettinger, P; Budke, A"/>
    <s v=""/>
    <s v=""/>
    <s v=""/>
    <s v="Seidel, Sebastian; Bettinger, Patrick; Budke, Alexandra"/>
    <s v=""/>
    <s v=""/>
    <s v="Representations and Concepts of Borders in Digital Strategy Games and Their Potential for Political Education in Geography Teaching"/>
    <s v="EDUCATION SCIENCES"/>
    <s v=""/>
    <s v=""/>
    <s v="English"/>
    <x v="0"/>
    <s v=""/>
    <s v=""/>
    <s v=""/>
    <s v=""/>
    <s v=""/>
    <s v="geography education research; video games; qualitative research; game-based learning; popular geopolitics"/>
    <s v="POPULAR GEOPOLITICS; EMPIRICAL-EVIDENCE; COMPUTER GAMES"/>
    <s v="In Germany, 93% of young people between the ages of 10 and 18 play video games daily. Political geography, in particular popular geopolitics, have found that video games can help to establish and develop people's understanding of geopolitics. Consequently, this affects geography education, providing both challenges and opportunities for teaching. Geography teaching is an integral part of political education as students need to understand how boundaries and territories create spaces with regards to social power and become the object of political conflict. Reflection plays a central role in understanding and deconstructing such spatial constructions. In this article, we examine representations and concepts of borders in digital strategy games and the perception and reflection of these by the players. The results provide an outlook on the potential and the challenges of digital strategy games for political education in geography lessons in secondary schools as well as for teacher training at universities. For this reason, possible approaches for education and training will be outlined on the basis of the results."/>
    <s v="[Seidel, Sebastian; Budke, Alexandra] Univ Cologne, Inst Geog Educ, Gronewaldstr 2, D-50931 Cologne, Germany; [Bettinger, Patrick] Univ Cologne, Dept Educ &amp; Social Sci, Herbert Lewin Str 10, D-50931 Cologne, Germany"/>
    <s v="University of Cologne; University of Cologne"/>
    <s v="Seidel, S (corresponding author), Univ Cologne, Inst Geog Educ, Gronewaldstr 2, D-50931 Cologne, Germany."/>
    <s v="sebastian.seidel@uni-koeln.de; patrick.bettinger@uni-koeln.de; alexandra.budke@uni-koeln.de"/>
    <s v=""/>
    <s v="Budke, Alexandra/0000-0003-1063-8991; Wolff-Seidel, Sebastian/0000-0003-3508-2854"/>
    <s v=""/>
    <s v=""/>
    <s v=""/>
    <s v=""/>
    <n v="46"/>
    <n v="3"/>
    <n v="3"/>
    <n v="2"/>
    <n v="11"/>
    <s v="MDPI"/>
    <s v="BASEL"/>
    <s v="ST ALBAN-ANLAGE 66, CH-4052 BASEL, SWITZERLAND"/>
    <s v=""/>
    <s v="2227-7102"/>
    <s v=""/>
    <s v="EDUC SCI"/>
    <s v="Educ. Sci."/>
    <s v="JAN"/>
    <n v="2020"/>
    <n v="10"/>
    <n v="1"/>
    <s v=""/>
    <s v=""/>
    <s v=""/>
    <s v=""/>
    <s v=""/>
    <s v=""/>
    <n v="10"/>
    <s v="10.3390/educsci10010010"/>
    <s v="http://dx.doi.org/10.3390/educsci10010010"/>
    <s v=""/>
    <s v=""/>
    <n v="19"/>
    <s v="Education &amp; Educational Research"/>
    <x v="3"/>
    <s v="Education &amp; Educational Research"/>
    <s v="KL6IE"/>
    <s v=""/>
    <s v="gold"/>
    <s v=""/>
    <s v=""/>
    <s v="2023-11-15"/>
    <x v="297"/>
    <s v="View Full Record in Web of Science"/>
  </r>
  <r>
    <s v="J"/>
    <s v="Pirni, A; Giampellegrini, PP; Raffini, L"/>
    <s v=""/>
    <s v=""/>
    <s v=""/>
    <s v="Pirni, Andrea; Giampellegrini, Pietro Paolo; Raffini, Luca"/>
    <s v=""/>
    <s v=""/>
    <s v="DIGITAL TRANSFORMATION AND EGOVERNMENT. FOR A RESEARCH AGENDA ON THE LIGURIA REGION"/>
    <s v="OBETS-REVISTA DE CIENCIAS SOCIALES"/>
    <s v=""/>
    <s v=""/>
    <s v="English"/>
    <x v="0"/>
    <s v=""/>
    <s v=""/>
    <s v=""/>
    <s v=""/>
    <s v=""/>
    <s v="Public Administration; Digital Transformation; Digital Agenda; Europe; Liguria; Open Government"/>
    <s v="ELABORATION"/>
    <s v="The contribution analysis the effects of digital transformation, provides a critical assessment of the policies on e-government in Europe and in Italy, and draft a research agenda focused on Liguria Region. The article moves from the need to conduct research aimed at analyzing the change in the relations between subject and institution in contemporary western societies. The article, focusing on official documents, explores the strategies of digital transformation adopted by the EU. Liguria is a case study of interest because, starting from the 2016-2018 Digital Strategic Program, has adopted a strong focus on the principles of Open Government and an explicit decision to invest in specific digital services for citizens and businesses."/>
    <s v="[Pirni, Andrea] Univ Genoa, Polit Sociol, Dept Polit Sci, Genoa, Italy; [Giampellegrini, Pietro Paolo] Univ Genoa, Field ICT Publ Adm, Genoa, Italy; [Giampellegrini, Pietro Paolo; Raffini, Luca] Univ Genoa, Dept Polit Sci, Genoa, Italy"/>
    <s v="University of Genoa; University of Genoa; University of Genoa"/>
    <s v="Pirni, A (corresponding author), Univ Genoa, Polit Sociol, Dept Polit Sci, Genoa, Italy."/>
    <s v="andrea.Pirni@unige.it; pietropaolo.giampellegrini@regione.liguria.it; luca.raffini@unige.it"/>
    <s v="Raffini, Luca/ABH-3178-2020"/>
    <s v="PIRNI, ANDREA FABRIZIO/0000-0001-7397-1885"/>
    <s v=""/>
    <s v=""/>
    <s v=""/>
    <s v=""/>
    <n v="52"/>
    <n v="3"/>
    <n v="3"/>
    <n v="0"/>
    <n v="12"/>
    <s v="UNIV ALICANTE, INST UNIV DESARROLLO SOCIAL &amp; PAZ-IUDESP"/>
    <s v="ALICANTE"/>
    <s v="AULARI I, 3A PLANTA, ALICANTE, 03080, SPAIN"/>
    <s v="1989-1385"/>
    <s v=""/>
    <s v=""/>
    <s v="OBETS-REV CIENC SOC"/>
    <s v="OBETS-Rev. Cienc. Soc."/>
    <s v="JUL-DEC"/>
    <n v="2019"/>
    <n v="14"/>
    <n v="2"/>
    <s v=""/>
    <s v=""/>
    <s v=""/>
    <s v=""/>
    <n v="471"/>
    <n v="490"/>
    <s v=""/>
    <s v="10.14198/OBETS2019.14.2.07"/>
    <s v="http://dx.doi.org/10.14198/OBETS2019.14.2.07"/>
    <s v=""/>
    <s v=""/>
    <n v="20"/>
    <s v="Social Sciences, Interdisciplinary"/>
    <x v="3"/>
    <s v="Social Sciences - Other Topics"/>
    <s v="JZ2KF"/>
    <s v=""/>
    <s v="gold, Green Submitted"/>
    <s v=""/>
    <s v=""/>
    <s v="2023-11-15"/>
    <x v="298"/>
    <s v="View Full Record in Web of Science"/>
  </r>
  <r>
    <s v="J"/>
    <s v="de la Fuente, MH; Domínguez, AG"/>
    <s v=""/>
    <s v=""/>
    <s v=""/>
    <s v="Herrero de la Fuente, Mercedes; Garcia Dominguez, Antonio"/>
    <s v=""/>
    <s v=""/>
    <s v="FACEBOOK LIVE AND SOCIAL TELEVISION: THE USE OF STREAMING IN ANTENA 3 AND LASEXTA"/>
    <s v="VIVAT ACADEMIA"/>
    <s v=""/>
    <s v=""/>
    <s v="English"/>
    <x v="0"/>
    <s v=""/>
    <s v=""/>
    <s v=""/>
    <s v=""/>
    <s v=""/>
    <s v="Facebook Live; Facebook; streaming; engagement; social audience; transmedia storytelling; crossmedia storytelling; interaction; social networks"/>
    <s v=""/>
    <s v="Digital technology provides narrative and interaction possibilities with the audience that have already begun to be exploited by televisions. One of the most recent is Facebook Live, which allows us, through Facebook, to broadcast live or streaming from a mobile device. The Atresmedia group adopted this tool in late 2016, both in Antena 3 and laSexta, incorporating it to certain profiles of these TV channels in the referred social network. These live broadcasts seek direct contact with the followers of the different television spaces and are part of a broader digital strategy, in which the social and the traditional audiences appear related. This piece of research focuses on analyzing how Atresmedia uses these live connections and if there is a strategy with some defined guidelines and objectives in the analyzed Facebook accounts, both in Antena 3 and laSexta."/>
    <s v="[Herrero de la Fuente, Mercedes] Nebrija Univ, Madrid, Spain; [Garcia Dominguez, Antonio] Social Media Atresmedia, San Sebastian, Spain"/>
    <s v="Universidad Antonio de Nebrija"/>
    <s v="de la Fuente, MH (corresponding author), Nebrija Univ, Madrid, Spain."/>
    <s v="mherrero@nebrija.es; antonio.garciad@atresmedia.com"/>
    <s v="Herrero de la Fuente, Mercedes/V-6141-2018"/>
    <s v="Herrero de la Fuente, Mercedes/0000-0002-5361-9056"/>
    <s v=""/>
    <s v=""/>
    <s v=""/>
    <s v=""/>
    <n v="6"/>
    <n v="3"/>
    <n v="3"/>
    <n v="2"/>
    <n v="18"/>
    <s v="UNIV COMPLUTENSE MADRID, SERVICIO PUBLICACIONES"/>
    <s v="MADRID"/>
    <s v="CIUDAD UNIV, OBISPO TREJO 3, MADRID, 28040, SPAIN"/>
    <s v="1575-2844"/>
    <s v=""/>
    <s v=""/>
    <s v="VIVAT ACAD"/>
    <s v="Vivat Acad."/>
    <s v="MAR-JUN"/>
    <n v="2019"/>
    <s v=""/>
    <n v="146"/>
    <s v=""/>
    <s v=""/>
    <s v=""/>
    <s v=""/>
    <n v="43"/>
    <n v="70"/>
    <s v=""/>
    <s v="10.15178/va.2019.146.43-70"/>
    <s v="http://dx.doi.org/10.15178/va.2019.146.43-70"/>
    <s v=""/>
    <s v=""/>
    <n v="28"/>
    <s v="Communication"/>
    <x v="3"/>
    <s v="Communication"/>
    <s v="HO8HV"/>
    <s v=""/>
    <s v="Green Submitted, gold"/>
    <s v=""/>
    <s v=""/>
    <s v="2023-11-15"/>
    <x v="299"/>
    <s v="View Full Record in Web of Science"/>
  </r>
  <r>
    <s v="J"/>
    <s v="Castillo, JGD; Cohenour, EJC; Escalante, MAS; Carrillo, IDV"/>
    <s v=""/>
    <s v=""/>
    <s v=""/>
    <s v="Dominguez Castillo, J. Gabriel; Cisneros Cohenour, Edith Juliana; Suaste Escalante, Miguel Angel; Vazquez Carrillo, Ileana del Socorro"/>
    <s v=""/>
    <s v=""/>
    <s v="Reducing the Digital Divide in Vulnerable Communities in Southeastern Mexico"/>
    <s v="REVISTA PUBLICACIONES"/>
    <s v=""/>
    <s v=""/>
    <s v="English"/>
    <x v="0"/>
    <s v=""/>
    <s v=""/>
    <s v=""/>
    <s v=""/>
    <s v=""/>
    <s v="digital divide; information society; vulnerable community; social marginalization"/>
    <s v="ACCESS; TECHNOLOGY; INTERNET"/>
    <s v="In the XXI century, it is crucial for people belonging to vulnerable and highly marginalized communities have access to telecommunications and have the minimum skills required to use technology, as they are rapidly becoming a tool for transmitting and obtaining information. In today information society, remains a digital divide between those who have access to technological computing resources and Internet, and those who do not, presenting a constant challenge for the development of our people. This paper analyzes the impact of a mixed training program, called: REBREDIG-PJA for the reduction of the digital divide in young and adult people from a vulnerable community in southeastern Mexico, which presents high levels of social marginalization. The results of this study are discussed under the guidelines of the National Development Plan (2013-2018) and the National Digital Strategy (2013) for Mexico and are compared with the guidelines stated in the State Development Plan (2012-2018) for Yucatan."/>
    <s v="[Dominguez Castillo, J. Gabriel; Cisneros Cohenour, Edith Juliana; Suaste Escalante, Miguel Angel; Vazquez Carrillo, Ileana del Socorro] Univ Autonoma Yucatan, Merida, Yucatan, Mexico"/>
    <s v="Universidad Autonoma de Yucatan"/>
    <s v="Castillo, JGD (corresponding author), Univ Autonoma Yucatan, Merida, Yucatan, Mexico."/>
    <s v="jg.dominguez@correo.uady.mx; cchacon@correo.uady.mx; miguel.suaste@correo.uady.mx; ileana.vazquez@correo.uady.mx"/>
    <s v=""/>
    <s v=""/>
    <s v=""/>
    <s v=""/>
    <s v=""/>
    <s v=""/>
    <n v="45"/>
    <n v="3"/>
    <n v="3"/>
    <n v="0"/>
    <n v="3"/>
    <s v="EDITORIAL UNIV GRANADA"/>
    <s v="GRANADA"/>
    <s v="ANTIGUO COLEGIO MAXIMO, CAMPUS CARTUJA, GRANADA, 18071, SPAIN"/>
    <s v="1577-4147"/>
    <s v="2530-9269"/>
    <s v=""/>
    <s v="REV PUBL"/>
    <s v="Rev. Publ."/>
    <s v=""/>
    <n v="2019"/>
    <n v="49"/>
    <n v="2"/>
    <s v=""/>
    <s v=""/>
    <s v=""/>
    <s v=""/>
    <n v="133"/>
    <n v="149"/>
    <s v=""/>
    <s v="10.30827/publicaciones.v49i2.9305"/>
    <s v="http://dx.doi.org/10.30827/publicaciones.v49i2.9305"/>
    <s v=""/>
    <s v=""/>
    <n v="17"/>
    <s v="Education &amp; Educational Research"/>
    <x v="3"/>
    <s v="Education &amp; Educational Research"/>
    <s v="JW9NP"/>
    <s v=""/>
    <s v="gold, Green Submitted"/>
    <s v=""/>
    <s v=""/>
    <s v="2023-11-15"/>
    <x v="300"/>
    <s v="View Full Record in Web of Science"/>
  </r>
  <r>
    <s v="J"/>
    <s v="Torrijos, JLR"/>
    <s v=""/>
    <s v=""/>
    <s v=""/>
    <s v="Rojas Torrijos, Joso Luis"/>
    <s v=""/>
    <s v=""/>
    <s v="The digital strategy of internationalisation of Marca in Latin America. Study case of MARCA Claro in Mexico"/>
    <s v="REVISTA DE COMUNICACION-PERU"/>
    <s v=""/>
    <s v=""/>
    <s v="Spanish"/>
    <x v="0"/>
    <s v=""/>
    <s v=""/>
    <s v=""/>
    <s v=""/>
    <s v=""/>
    <s v="sports journalism; digital journalism; innovation; internationalization; MARCA Claro; digital strategy"/>
    <s v=""/>
    <s v="This article is a thorough analysis of the content plan and digital strategy developed on the web, mobile app and social media for the launching in Mexico in 2017 of MarcaClaro.com a new multimedia platform created by the sports daily newspaper Marca in order to internationalise and consolidate as a leading sports outlet in Latin America. For that purpose, first there is a content analysis of pieces of information (priorisation of topics and events, new formats and storytelling) published on the web during its first five months of life and selected through a random simple and, secondly, there are in-depth interviews to MARCA Claro chief editors both in Spain and in Mexico so as to know editorial keys of this transnational media partnership."/>
    <s v="[Rojas Torrijos, Joso Luis] Univ Seville, Dept Periodismo 2, Seville, Spain"/>
    <s v="University of Sevilla"/>
    <s v="Torrijos, JLR (corresponding author), Univ Seville, Dept Periodismo 2, Seville, Spain."/>
    <s v="jlrojas@us.es"/>
    <s v="Torrijos, José Luis Rojas/L-9682-2018"/>
    <s v="Torrijos, José Luis Rojas/0000-0002-7390-9843"/>
    <s v=""/>
    <s v=""/>
    <s v=""/>
    <s v=""/>
    <n v="10"/>
    <n v="3"/>
    <n v="3"/>
    <n v="6"/>
    <n v="21"/>
    <s v="UNIV PIURA"/>
    <s v="PIURA"/>
    <s v="FAC COMUNICACION, AV RAMON MUGICA 131 URB SAN EDUARDO APARTADO POSTAL 353, PIURA, 00000, PERU"/>
    <s v="1684-0933"/>
    <s v="2227-1465"/>
    <s v=""/>
    <s v="REV COMUN-PERU"/>
    <s v="Rev. Comun.-Peru"/>
    <s v="MAR-AUG"/>
    <n v="2018"/>
    <n v="17"/>
    <n v="1"/>
    <s v=""/>
    <s v=""/>
    <s v=""/>
    <s v=""/>
    <n v="133"/>
    <n v="154"/>
    <s v=""/>
    <s v="10.26441/RC17.1-2018-A7"/>
    <s v="http://dx.doi.org/10.26441/RC17.1-2018-A7"/>
    <s v=""/>
    <s v=""/>
    <n v="22"/>
    <s v="Communication"/>
    <x v="3"/>
    <s v="Communication"/>
    <s v="HG3VI"/>
    <s v=""/>
    <s v="Green Submitted, gold"/>
    <s v=""/>
    <s v=""/>
    <s v="2023-11-15"/>
    <x v="301"/>
    <s v="View Full Record in Web of Science"/>
  </r>
  <r>
    <s v="J"/>
    <s v="Cardo, V"/>
    <s v=""/>
    <s v=""/>
    <s v=""/>
    <s v="Cardo, Valentina"/>
    <s v=""/>
    <s v=""/>
    <s v="Technology, popular culture and everyday life: The electoral defeat of New Zealand Internet MANA"/>
    <s v="INFORMATION POLITY"/>
    <s v=""/>
    <s v=""/>
    <s v="English"/>
    <x v="0"/>
    <s v=""/>
    <s v=""/>
    <s v=""/>
    <s v=""/>
    <s v=""/>
    <s v="Political communication; digital politics; democracy and technology; politics and popular culture; New Zealand politics"/>
    <s v="MEDIA; DEMOCRACY; ELECTION; POLITICS; PARTIES; IMPACT"/>
    <s v="The development of the Internet and social platforms was expected to have a profound impact on citizens' ability to influence politics, transforming traditional methods of political communication. This article examines the digital campaign strategy of the Internet MANA alliance during the 2014 New Zealand General Election. Internet MANA adopted digital strategies that had proven successful overseas and had the potential to radically transform New Zealand politics. The campaign, however, culminated in a disastrous electoral defeat. The article argues that online media strategies alone cannot explain election outcomes. Instead, we need to explore the ways in which digital campaign strategies interact with the electoral system, mainstream media and political 'brands'. Going beyond the specifics of New Zealand politics, this article raises questions about the role of technology on political communication practices."/>
    <s v="[Cardo, Valentina] Univ Southampton, Winchester Sch Art, Pk Ave, Winchester SO23 8DL, Hants, England"/>
    <s v="University of Southampton"/>
    <s v="Cardo, V (corresponding author), Univ Southampton, Winchester Sch Art, Pk Ave, Winchester SO23 8DL, Hants, England."/>
    <s v="v.m.cardo@soton.ac.uk"/>
    <s v="Cardo, Valentina/AAQ-9656-2021"/>
    <s v="Cardo, Valentina/0000-0002-1993-6058"/>
    <s v=""/>
    <s v=""/>
    <s v=""/>
    <s v=""/>
    <n v="114"/>
    <n v="3"/>
    <n v="3"/>
    <n v="0"/>
    <n v="3"/>
    <s v="IOS PRESS"/>
    <s v="AMSTERDAM"/>
    <s v="NIEUWE HEMWEG 6B, 1013 BG AMSTERDAM, NETHERLANDS"/>
    <s v="1570-1255"/>
    <s v="1875-8754"/>
    <s v=""/>
    <s v="INFORM POLITY"/>
    <s v="Inf. Polity"/>
    <s v=""/>
    <n v="2018"/>
    <n v="23"/>
    <n v="1"/>
    <s v=""/>
    <s v=""/>
    <s v=""/>
    <s v=""/>
    <n v="67"/>
    <n v="80"/>
    <s v=""/>
    <s v="10.3233/IP-170038"/>
    <s v="http://dx.doi.org/10.3233/IP-170038"/>
    <s v=""/>
    <s v=""/>
    <n v="14"/>
    <s v="Information Science &amp; Library Science"/>
    <x v="3"/>
    <s v="Information Science &amp; Library Science"/>
    <s v="HJ5KR"/>
    <s v=""/>
    <s v="Green Accepted"/>
    <s v=""/>
    <s v=""/>
    <s v="2023-11-15"/>
    <x v="302"/>
    <s v="View Full Record in Web of Science"/>
  </r>
  <r>
    <s v="J"/>
    <s v="Fehér, K"/>
    <s v=""/>
    <s v=""/>
    <s v=""/>
    <s v="Feher, Katalin"/>
    <s v=""/>
    <s v=""/>
    <s v="NETFRAMEWORK AND THE DIGITALIZED-MEDIATIZED SELF"/>
    <s v="CORVINUS JOURNAL OF SOCIOLOGY AND SOCIAL POLICY"/>
    <s v=""/>
    <s v=""/>
    <s v="English"/>
    <x v="0"/>
    <s v=""/>
    <s v=""/>
    <s v=""/>
    <s v=""/>
    <s v=""/>
    <s v="digitalized-mediatized self; digital footprint; personal/professional online strategy; NetFrameWork"/>
    <s v="NETWORKING; IDENTITY"/>
    <s v="Users leave digital footprints behind via online systems. Mediatized self-representations by human (inter) actions and digitalized automatization imply decisions and dilemmas on account of online participation. Chains of decisions and network impact produce online mediatized selves embedded in the NetFrameWork where net is the internet, the frame is the context by it and work implies the flow process of always on (inter) actions. Users learn to adapt and to handle the blended online-offline existence. Consequences are unpredictable: both former and updated records are available in an infinite digital present. The first part of this paper introduces the conceptual approach of the digitalized and mediatized self in NetFrameWork. The second part provides an insight into our research-in-progress of personal/professional digital strategies. The qualitative research has focused on strategies with their decision points and interpretation via storylines and metaphors by two segments of different generations. Where is the boundary between personal publicity and privacy in online hyper-connectivity? What are the typical conflicting issues in human/automatized (inter) actions on the Internet and what dilemmas do users have to face in their online self-representation? What is the difference among the observed age groups in online strategy? How can metaphors and storytelling reflect to various digital challenges? The goal of this summary is to present the first results of our research project about digital identity in order to prepare the next research milestone."/>
    <s v="[Feher, Katalin] Univ Appl Sci, Budapest Business Sch, Budapest, Hungary"/>
    <s v="Budapest Business University"/>
    <s v="Fehér, K (corresponding author), Univ Appl Sci, Budapest Business Sch, Budapest, Hungary."/>
    <s v="feher.katalin@uni-bge.hu"/>
    <s v="Feher, Katalin/AAF-3175-2020"/>
    <s v="Feher, Katalin/0000-0003-3293-0862"/>
    <s v=""/>
    <s v=""/>
    <s v=""/>
    <s v=""/>
    <n v="43"/>
    <n v="3"/>
    <n v="3"/>
    <n v="0"/>
    <n v="5"/>
    <s v="CORVINUS UNIV BUDAPEST, DOCTORAL SCH SOCIOLOGY"/>
    <s v="BUDAPEST"/>
    <s v="KOZRAKTAR U 4-6, BUDAPEST, 1093, HUNGARY"/>
    <s v="2061-5558"/>
    <s v="2062-087X"/>
    <s v=""/>
    <s v="CORVINUS J SOCIOL PO"/>
    <s v="Corvinus J. Sociol. Policy"/>
    <s v=""/>
    <n v="2017"/>
    <n v="8"/>
    <n v="1"/>
    <s v=""/>
    <s v=""/>
    <s v=""/>
    <s v=""/>
    <n v="111"/>
    <n v="126"/>
    <s v=""/>
    <s v="10.14267/CJSSP.2017.01.06"/>
    <s v="http://dx.doi.org/10.14267/CJSSP.2017.01.06"/>
    <s v=""/>
    <s v=""/>
    <n v="16"/>
    <s v="Sociology"/>
    <x v="3"/>
    <s v="Sociology"/>
    <s v="FC5UN"/>
    <s v=""/>
    <s v="gold, Green Accepted"/>
    <s v=""/>
    <s v=""/>
    <s v="2023-11-15"/>
    <x v="303"/>
    <s v="View Full Record in Web of Science"/>
  </r>
  <r>
    <s v="J"/>
    <s v="Merchant, RM; Finne, K; Lardy, B; Veselovskiy, G; Korba, C; Margolis, GS; Lurie, N"/>
    <s v=""/>
    <s v=""/>
    <s v=""/>
    <s v="Merchant, Raina M.; Finne, Kristen; Lardy, Barbara; Veselovskiy, German; Korba, Casey; Margolis, Gregg S.; Lurie, Nicole"/>
    <s v=""/>
    <s v=""/>
    <s v="State of Emergency Preparedness for US Health Insurance Plans"/>
    <s v="AMERICAN JOURNAL OF MANAGED CARE"/>
    <s v=""/>
    <s v=""/>
    <s v="English"/>
    <x v="0"/>
    <s v=""/>
    <s v=""/>
    <s v=""/>
    <s v=""/>
    <s v=""/>
    <s v=""/>
    <s v="PUBLIC-HEALTH; SURGE CAPACITY; LESSONS; VACCINATION; CHALLENGES; KATRINA; IMPACT; SANDY"/>
    <s v="Objectives Health insurance plans serve a critical role in public health emergencies, yet little has been published about their collective emergency preparedness practices and policies. We evaluated, on a national scale, the state of health insurance plans' emergency preparedness and policies. Study Design A survey of health insurance plans. Methods We queried members of America's Health Insurance Plans, the national trade association representing the health insurance industry, about issues related to emergency preparedness issues: infrastructure, adaptability, connectedness, and best practices. Results Of 137 health insurance plans queried, 63% responded, representing 190.6 million members and 81% of US plan enrollment. All respondents had emergency plans for business continuity, and most (85%) had infrastructure for emergency teams. Some health plans also have established benchmarks for preparedness (eg, response time). Regarding adaptability, 85% had protocols to extend claim filing time and 71% could temporarily suspend prior medical authorization rules. Regarding connectedness, many plans shared their contingency plans with health officials, but often cited challenges in identifying regulatory agency contacts. Some health insurance plans had specific policies for assisting individuals dependent on durable medical equipment or home healthcare. Many plans (60%) expressed interest in sharing best practices. Conclusions Health insurance plans are prioritizing emergency preparedness. We identified 6 policy modifications that health insurance plans could undertake to potentially improve healthcare system preparedness: establishing metrics and benchmarks for emergency preparedness; identifying disaster-specific policy modifications, enhancing stakeholder connectedness, considering digital strategies to enhance communication, improving support and access for special-needs individuals, and developing regular forums for knowledge exchange about emergency preparedness."/>
    <s v="[Merchant, Raina M.; Finne, Kristen; Margolis, Gregg S.; Lurie, Nicole] US Dept HHS, Off Assistant Secretary Preparedness &amp; Response, Washington, DC 20201 USA; [Lardy, Barbara; Veselovskiy, German; Korba, Casey] Amer Hlth Insurance Plans, Washington, DC USA; [Merchant, Raina M.] Univ Penn, Perelman Sch Med, Philadelphia, PA 19104 USA"/>
    <s v="University of Pennsylvania; Pennsylvania Medicine"/>
    <s v="Merchant, RM (corresponding author), US Dept HHS, Off Assistant Secretary Preparedness &amp; Response, 200 Independence Ave SW, Washington, DC 20201 USA."/>
    <s v="raina.merchant@uphs.upenn.edu"/>
    <s v="Margolis, Gregg/AAK-9603-2021"/>
    <s v="Margolis, Gregg/0000-0003-1742-8604"/>
    <s v=""/>
    <s v=""/>
    <s v=""/>
    <s v=""/>
    <n v="42"/>
    <n v="3"/>
    <n v="3"/>
    <n v="0"/>
    <n v="11"/>
    <s v="MANAGED CARE &amp; HEALTHCARE COMMUNICATIONS LLC"/>
    <s v="PLAINSBORO"/>
    <s v="666 PLAINSBORO RD, STE 300, PLAINSBORO, NJ 08536 USA"/>
    <s v="1088-0224"/>
    <s v=""/>
    <s v=""/>
    <s v="AM J MANAG CARE"/>
    <s v="Am. J. Manag. Care"/>
    <s v="JAN"/>
    <n v="2015"/>
    <n v="21"/>
    <n v="1"/>
    <s v=""/>
    <s v=""/>
    <s v=""/>
    <s v=""/>
    <n v="65"/>
    <s v="+"/>
    <s v=""/>
    <s v=""/>
    <s v=""/>
    <s v=""/>
    <s v=""/>
    <n v="14"/>
    <s v="Health Care Sciences &amp; Services; Health Policy &amp; Services; Medicine, General &amp; Internal"/>
    <x v="1"/>
    <s v="Health Care Sciences &amp; Services; General &amp; Internal Medicine"/>
    <s v="CD3GC"/>
    <n v="25880151"/>
    <s v=""/>
    <s v=""/>
    <s v=""/>
    <s v="2023-11-15"/>
    <x v="304"/>
    <s v="View Full Record in Web of Science"/>
  </r>
  <r>
    <s v="J"/>
    <s v="Massis, BE"/>
    <s v=""/>
    <s v=""/>
    <s v=""/>
    <s v="Massis, Bruce E."/>
    <s v=""/>
    <s v=""/>
    <s v="Library marketing: moving between traditional and digital strategies"/>
    <s v="NEW LIBRARY WORLD"/>
    <s v=""/>
    <s v=""/>
    <s v="English"/>
    <x v="0"/>
    <s v=""/>
    <s v=""/>
    <s v=""/>
    <s v=""/>
    <s v=""/>
    <s v="Marketing; Libraries; Patrons"/>
    <s v=""/>
    <s v="Purpose - The purpose of this column is to provide several discussion themes on which to muse regarding the strategy of library marketing in today's technology-rich environment. Design/methodology/approach - It involves literature review and commentary on this topic that has been addressed by professionals, researchers and practitioners. Findings - Moving between the traditional model of library marketing to the cutting-edge model is occurring through the numerous digital communication tools used everyday. Not only must the library rely on these modes of marketing they must also recognize that their patrons share that space with them and the many contacts each one of those patrons has as well, thus potentially expanding the library audience and therefore positively expanding its user base. Originality/value - The value in addressing this issue is to examine approaches to marketing library services in an effort to present the reader with several discussion points on the topic."/>
    <s v="[Massis, Bruce E.] Columbus State Community Coll, Lib, Columbus, OH 43215 USA"/>
    <s v="Columbus State Community College"/>
    <s v="Massis, BE (corresponding author), Columbus State Community Coll, Lib, Columbus, OH 43215 USA."/>
    <s v="bmassis@hotmail.com"/>
    <s v=""/>
    <s v=""/>
    <s v=""/>
    <s v=""/>
    <s v=""/>
    <s v=""/>
    <n v="6"/>
    <n v="3"/>
    <n v="3"/>
    <n v="2"/>
    <n v="6"/>
    <s v="EMERALD GROUP PUBLISHING LTD"/>
    <s v="BINGLEY"/>
    <s v="HOWARD HOUSE, WAGON LANE, BINGLEY BD16 1WA, W YORKSHIRE, ENGLAND"/>
    <s v="0307-4803"/>
    <s v="1758-6909"/>
    <s v=""/>
    <s v="NEW LIB WORLD"/>
    <s v="New Lib. World"/>
    <s v=""/>
    <n v="2014"/>
    <n v="115"/>
    <s v="7-8"/>
    <s v=""/>
    <s v=""/>
    <s v=""/>
    <s v=""/>
    <n v="405"/>
    <n v="408"/>
    <s v=""/>
    <s v="10.1108/NLW-01-2014-0007"/>
    <s v="http://dx.doi.org/10.1108/NLW-01-2014-0007"/>
    <s v=""/>
    <s v=""/>
    <n v="4"/>
    <s v="Information Science &amp; Library Science"/>
    <x v="3"/>
    <s v="Information Science &amp; Library Science"/>
    <s v="V99BM"/>
    <s v=""/>
    <s v=""/>
    <s v=""/>
    <s v=""/>
    <s v="2023-11-15"/>
    <x v="305"/>
    <s v="View Full Record in Web of Science"/>
  </r>
  <r>
    <s v="J"/>
    <s v="Venuto, D; Reyneri, L"/>
    <s v=""/>
    <s v=""/>
    <s v=""/>
    <s v="De Venuto, Daniela; Reyneri, Leonardo"/>
    <s v=""/>
    <s v=""/>
    <s v="Fully digital strategy for fast calibration and test of ΣΔ ADCs"/>
    <s v="MICROELECTRONICS JOURNAL"/>
    <s v=""/>
    <s v=""/>
    <s v="English"/>
    <x v="4"/>
    <s v="6th International Symposium on Quality Electronic Design"/>
    <s v="MAR 21-23, 2005"/>
    <s v="San Jose, CA"/>
    <s v="IEEE Electron Devices Soc,IEEE Components, Packaging &amp; Mfg Technol Soc,ACM SIGDA"/>
    <s v=""/>
    <s v="test technique; high resolution sigma delta ADC"/>
    <s v="SELF-TEST; BIST; DAC"/>
    <s v="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7 Published by Elsevier Ltd."/>
    <s v="Politecn Bari, Dipartimento Elettrotecn &amp; Elettron, I-70125 Bari, Italy; Politecn Torino, Turin, Italy"/>
    <s v="Politecnico di Bari; Polytechnic University of Turin"/>
    <s v="Venuto, D (corresponding author), Politecn Bari, Dipartimento Elettrotecn &amp; Elettron, Via Orabona 4, I-70125 Bari, Italy."/>
    <s v="devenuto@deemail.poliba.it; leonardo.reyneri@polito.it"/>
    <s v=""/>
    <s v="DE VENUTO, Daniela/0000-0003-4563-7614"/>
    <s v=""/>
    <s v=""/>
    <s v=""/>
    <s v=""/>
    <n v="12"/>
    <n v="3"/>
    <n v="3"/>
    <n v="0"/>
    <n v="2"/>
    <s v="ELSEVIER SCI LTD"/>
    <s v="OXFORD"/>
    <s v="THE BOULEVARD, LANGFORD LANE, KIDLINGTON, OXFORD OX5 1GB, OXON, ENGLAND"/>
    <s v="0026-2692"/>
    <s v=""/>
    <s v=""/>
    <s v="MICROELECTRON J"/>
    <s v="Microelectron. J."/>
    <s v="APR-MAY"/>
    <n v="2007"/>
    <n v="38"/>
    <s v="4-5"/>
    <s v=""/>
    <s v=""/>
    <s v="SI"/>
    <s v=""/>
    <n v="474"/>
    <n v="481"/>
    <s v=""/>
    <s v="10.1016/j.mejo.2006.08.005"/>
    <s v="http://dx.doi.org/10.1016/j.mejo.2006.08.005"/>
    <s v=""/>
    <s v=""/>
    <n v="8"/>
    <s v="Engineering, Electrical &amp; Electronic; Nanoscience &amp; Nanotechnology"/>
    <x v="8"/>
    <s v="Engineering; Science &amp; Technology - Other Topics"/>
    <s v="183KA"/>
    <s v=""/>
    <s v=""/>
    <s v=""/>
    <s v=""/>
    <s v="2023-11-15"/>
    <x v="306"/>
    <s v="View Full Record in Web of Science"/>
  </r>
  <r>
    <s v="J"/>
    <s v="Rabold, M; Doll, A; Goldschmidtboeing, F; Woias, P"/>
    <s v=""/>
    <s v=""/>
    <s v=""/>
    <s v="Rabold, Martin; Doll, Alexander; Goldschmidtboeing, Frank; Woias, Peter"/>
    <s v=""/>
    <s v=""/>
    <s v="The modified blister test method"/>
    <s v="JOURNAL OF THE ELECTROCHEMICAL SOCIETY"/>
    <s v=""/>
    <s v=""/>
    <s v="English"/>
    <x v="0"/>
    <s v=""/>
    <s v=""/>
    <s v=""/>
    <s v=""/>
    <s v=""/>
    <s v=""/>
    <s v=""/>
    <s v="This article presents a test method for a nondestructive strength characterization of full-wafer bonds. The test is based on a modification of the common destructive blister test. Thereby, special geometries enable a controlled crack generation at the bond interface. Based on the theory of energy conservation, a theoretical model was built up and a crack propagation parameter was introduced. Three test strategies were established, an analog strategy, that can be used for a statistical evaluation, a digital strategy, that enables a redundant test analysis, and a binary strategy, that can be used as one-shot measurement (similar to the common blister test) or as bond gauge to guarantee a certain bond strength. For the geometric design, analytical models in combination with numerical simulations were used. Bonded wafers including these test structures were fabricated and the bond strength was measured. The result was compared to the common double cantilever beam (DCB) test as a standard. An excellent agreement of both test methods was shown. (C) 2007 The Electrochemical Society."/>
    <s v="Univ Freiburg, Dept Microsyst Engn, Lab Design Microsyst, D-79110 Freiburg, Germany"/>
    <s v="University of Freiburg"/>
    <s v="Rabold, M (corresponding author), Univ Freiburg, Dept Microsyst Engn, Lab Design Microsyst, D-79110 Freiburg, Germany."/>
    <s v="rabold@imtek.de"/>
    <s v=""/>
    <s v=""/>
    <s v=""/>
    <s v=""/>
    <s v=""/>
    <s v=""/>
    <n v="18"/>
    <n v="3"/>
    <n v="3"/>
    <n v="1"/>
    <n v="9"/>
    <s v="ELECTROCHEMICAL SOC INC"/>
    <s v="PENNINGTON"/>
    <s v="65 SOUTH MAIN STREET, PENNINGTON, NJ 08534 USA"/>
    <s v="0013-4651"/>
    <s v="1945-7111"/>
    <s v=""/>
    <s v="J ELECTROCHEM SOC"/>
    <s v="J. Electrochem. Soc."/>
    <s v=""/>
    <n v="2007"/>
    <n v="154"/>
    <n v="7"/>
    <s v=""/>
    <s v=""/>
    <s v=""/>
    <s v=""/>
    <s v="H647"/>
    <s v="H652"/>
    <s v=""/>
    <s v="10.1149/1.2737658"/>
    <s v="http://dx.doi.org/10.1149/1.2737658"/>
    <s v=""/>
    <s v=""/>
    <n v="6"/>
    <s v="Electrochemistry; Materials Science, Coatings &amp; Films"/>
    <x v="2"/>
    <s v="Electrochemistry; Materials Science"/>
    <s v="173SE"/>
    <s v=""/>
    <s v=""/>
    <s v=""/>
    <s v=""/>
    <s v="2023-11-15"/>
    <x v="307"/>
    <s v="View Full Record in Web of Science"/>
  </r>
  <r>
    <s v="J"/>
    <s v="Dennis, EE"/>
    <s v=""/>
    <s v=""/>
    <s v=""/>
    <s v="Dennis, Everette E."/>
    <s v=""/>
    <s v=""/>
    <s v="Television's convergence conundrum - Finding the right digital strategy"/>
    <s v="TELEVISION QUARTERLY"/>
    <s v=""/>
    <s v=""/>
    <s v="English"/>
    <x v="0"/>
    <s v=""/>
    <s v=""/>
    <s v=""/>
    <s v=""/>
    <s v=""/>
    <s v=""/>
    <s v=""/>
    <s v=""/>
    <s v="Fordhams Grad Sch Business New York City, New York, NY USA"/>
    <s v=""/>
    <s v="Dennis, EE (corresponding author), Fordhams Grad Sch Business New York City, New York, NY USA."/>
    <s v=""/>
    <s v=""/>
    <s v=""/>
    <s v=""/>
    <s v=""/>
    <s v=""/>
    <s v=""/>
    <n v="0"/>
    <n v="3"/>
    <n v="3"/>
    <n v="0"/>
    <n v="3"/>
    <s v="NATL ACAD TELEVISION ARTS SCIENCES"/>
    <s v="NEW YORK"/>
    <s v="111 W 57TH ST, #1020, NEW YORK, NY 10019 USA"/>
    <s v="0040-2796"/>
    <s v=""/>
    <s v=""/>
    <s v="TELEV QUART"/>
    <s v="Telev. Q."/>
    <s v="FAL"/>
    <n v="2006"/>
    <n v="37"/>
    <n v="1"/>
    <s v=""/>
    <s v=""/>
    <s v=""/>
    <s v=""/>
    <n v="22"/>
    <n v="26"/>
    <s v=""/>
    <s v=""/>
    <s v=""/>
    <s v=""/>
    <s v=""/>
    <n v="5"/>
    <s v="Film, Radio, Television"/>
    <x v="6"/>
    <s v="Film, Radio &amp; Television"/>
    <s v="102UL"/>
    <s v=""/>
    <s v=""/>
    <s v=""/>
    <s v=""/>
    <s v="2023-11-15"/>
    <x v="308"/>
    <s v="View Full Record in Web of Science"/>
  </r>
  <r>
    <s v="J"/>
    <s v="CAMMARANO, R; STREET, R; MCCORMICK, PG; EVANS, ME"/>
    <s v=""/>
    <s v=""/>
    <s v=""/>
    <s v="CAMMARANO, R; STREET, R; MCCORMICK, PG; EVANS, ME"/>
    <s v=""/>
    <s v=""/>
    <s v="CONSTANT RATE OF CHANGE OF MAGNETIZATION HYSTERESIS LOOP TRACER"/>
    <s v="JOURNAL OF APPLIED PHYSICS"/>
    <s v=""/>
    <s v=""/>
    <s v="English"/>
    <x v="4"/>
    <s v="35TH ANNUAL CONF ON MAGNETISM AND MAGNETIC MATERIALS"/>
    <s v="OCT 29-NOV 01, 1990"/>
    <s v="SAN DIEGO, CA"/>
    <s v="AMER INST PHYS,IEEE, MAGNET SOC,AMER INST MIN MET &amp; PETR ENGINEERS, MET SOC,USN, OFF NAVAL RES,AMER SOC TESTING &amp; MAT,AMER PHYS SOC,AMER CERAM SOC"/>
    <s v=""/>
    <s v=""/>
    <s v="FREQUENCY"/>
    <s v="An experimental procedure has been developed by which magnetization curves may be traversed at a constant rate of change of magnetic polarization, J. The new technique involves, in an iterative procedure, the use of a combination of closed- and open-loop digital strategies to control the magnetic field so that J remains constant over the majority of the hysteresis loop. As an application of the effectiveness of the technique, results obtained using Alnico permanent magnet materials are presented. The limitations of this method are reviewed in relation to material properties and the type of measurement system utilized. The consequences of using a digital control system and digital measurement techniques in the characterization of magnetic materials are discussed."/>
    <s v="UNIV WESTERN AUSTRALIA,DEPT PHYS,NEDLANDS,WA 6009,AUSTRALIA"/>
    <s v="University of Western Australia"/>
    <s v="CAMMARANO, R (corresponding author), UNIV WESTERN AUSTRALIA,DEPT MECH ENGN,NEDLANDS,WA 6009,AUSTRALIA."/>
    <s v=""/>
    <s v=""/>
    <s v=""/>
    <s v=""/>
    <s v=""/>
    <s v=""/>
    <s v=""/>
    <n v="8"/>
    <n v="3"/>
    <n v="3"/>
    <n v="0"/>
    <n v="2"/>
    <s v="AMER INST PHYSICS"/>
    <s v="WOODBURY"/>
    <s v="CIRCULATION FULFILLMENT DIV, 500 SUNNYSIDE BLVD, WOODBURY, NY 11797-2999"/>
    <s v="0021-8979"/>
    <s v=""/>
    <s v=""/>
    <s v="J APPL PHYS"/>
    <s v="J. Appl. Phys."/>
    <s v="APR 15"/>
    <n v="1991"/>
    <n v="69"/>
    <n v="8"/>
    <s v="2A"/>
    <s v=""/>
    <s v=""/>
    <s v=""/>
    <n v="5100"/>
    <n v="5102"/>
    <s v=""/>
    <s v="10.1063/1.348136"/>
    <s v="http://dx.doi.org/10.1063/1.348136"/>
    <s v=""/>
    <s v=""/>
    <n v="3"/>
    <s v="Physics, Applied"/>
    <x v="9"/>
    <s v="Physics"/>
    <s v="FL732"/>
    <s v=""/>
    <s v=""/>
    <s v=""/>
    <s v=""/>
    <s v="2023-11-15"/>
    <x v="309"/>
    <s v="View Full Record in Web of Science"/>
  </r>
  <r>
    <s v="J"/>
    <s v="Khan, S; Haleem, A; Husain, Z; Samson, D; Pathak, RD"/>
    <s v=""/>
    <s v=""/>
    <s v=""/>
    <s v="Khan, Shahbaz; Haleem, Abid; Husain, Zafar; Samson, Daniel; Pathak, R. D."/>
    <s v=""/>
    <s v=""/>
    <s v="Barriers to blockchain technology adoption in supply chains: the case of India"/>
    <s v="OPERATIONS MANAGEMENT RESEARCH"/>
    <s v=""/>
    <s v=""/>
    <s v="English"/>
    <x v="2"/>
    <s v=""/>
    <s v=""/>
    <s v=""/>
    <s v=""/>
    <s v=""/>
    <s v="Barriers; Blockchain Technology; DEMATEL; Supply Chain; Sustainability"/>
    <s v="RESEARCH FRAMEWORK; CHALLENGES; OPERATIONS"/>
    <s v="In the era of digitalization, Blockchain is an evolving technology that has the potential to change the shape of numerous industries. Blockchain is considered the transforming technology that has the ability to change the conventional supply chain network by providing additional transparency of transactions in terms of information and physical goods. Additionally, the implementation of blockchain technology in the supply chain is required to accomplish the objectives of industry 4.0. However, there has to date been a scarcity of blockchain implementations due to the numerous barriers associated with it. Therefore, the primary aim of this research is to identify and investigate the major barriers to implementing blockchain technology in supply chains. We identified ten significant barriers to adopting blockchain technology through a literature review and expert opinions. Additionally, the finalized barriers were categorized into an influential and influenced group using the DEMATEL method. The findings of this study show that 'influential group' barriers require more attention from the supply chain partners to mitigate these barriers. The primary influential barriers are 'Lack of information sharing,' 'Trust management issues,' and 'Lack of upgraded technologies', and these barriers require immediate attention from supply chain stakeholders wishing to use blockchain. These findings contribute to improving managerial decisions and digital strategies regarding blockchain within organisations, and how implementation can effectively be achieved."/>
    <s v="[Khan, Shahbaz] GLA Univ, Inst Business Management, Mathura, India; [Haleem, Abid] Jamila Millia Islamia, Fac Engn, New Delhi, India; [Husain, Zafar] Al Ain Univ, Coll Business, Al Ain, U Arab Emirates; [Samson, Daniel] Univ Melbourne, Melbourne, Australia; [Pathak, R. D.] Univ South Pacific, Grad Sch Business, Suva, Fiji"/>
    <s v="GLA University; Jamia Millia Islamia; University of Melbourne; University of the South Pacific"/>
    <s v="Samson, D (corresponding author), Univ Melbourne, Melbourne, Australia."/>
    <s v="shahbaz.me12@gmail.com; ahaleem@jmi.ac.in; Zafar.husain@aau.ac.ae; d.samson@unimelb.edu.au; raghuvar.pathak@usp.ac.fj"/>
    <s v="Husain, Zafar/F-8033-2015; HALEEM, ABID/G-4761-2012; Khan, Shahbaz/AAE-5608-2019"/>
    <s v="Husain, Zafar/0000-0003-4455-0189; HALEEM, ABID/0000-0002-3487-0229; Khan, Shahbaz/0000-0003-3543-9729; samson, danny/0000-0003-3159-0624"/>
    <s v="CAUL"/>
    <s v="CAUL"/>
    <s v="Open Access funding enabled and organized by CAUL and its Member Institutions."/>
    <s v=""/>
    <n v="64"/>
    <n v="2"/>
    <n v="2"/>
    <n v="27"/>
    <n v="30"/>
    <s v="SPRINGER"/>
    <s v="NEW YORK"/>
    <s v="ONE NEW YORK PLAZA, SUITE 4600, NEW YORK, NY, UNITED STATES"/>
    <s v="1936-9735"/>
    <s v="1936-9743"/>
    <s v=""/>
    <s v="OPER MANAGE RES"/>
    <s v="Oper. Manag. Res."/>
    <s v="2023 MAR 23"/>
    <n v="2023"/>
    <s v=""/>
    <s v=""/>
    <s v=""/>
    <s v=""/>
    <s v=""/>
    <s v=""/>
    <s v=""/>
    <s v=""/>
    <s v=""/>
    <s v="10.1007/s12063-023-00358-z"/>
    <s v="http://dx.doi.org/10.1007/s12063-023-00358-z"/>
    <s v=""/>
    <s v="MAR 2023"/>
    <n v="16"/>
    <s v="Management"/>
    <x v="0"/>
    <s v="Business &amp; Economics"/>
    <s v="A4VD8"/>
    <s v=""/>
    <s v="hybrid"/>
    <s v=""/>
    <s v=""/>
    <s v="2023-11-15"/>
    <x v="310"/>
    <s v="View Full Record in Web of Science"/>
  </r>
  <r>
    <s v="J"/>
    <s v="Liu, YL; Chung, HFL; Zhang, ZP; Wu, M"/>
    <s v=""/>
    <s v=""/>
    <s v=""/>
    <s v="Liu, Yulong (David); Chung, Henry F. L.; Zhang, Zuopeng (Justin); Wu, Mian"/>
    <s v=""/>
    <s v=""/>
    <s v="When and how digital platforms empower professional services firms: an agility perspective"/>
    <s v="JOURNAL OF SERVICE THEORY AND PRACTICE"/>
    <s v=""/>
    <s v=""/>
    <s v="English"/>
    <x v="0"/>
    <s v=""/>
    <s v=""/>
    <s v=""/>
    <s v=""/>
    <s v=""/>
    <s v="Digital platforms; Strategic agility theory; Professional service firms; Business performance; Creative self-efficacy; Innovation"/>
    <s v="INTENSIVE BUSINESS SERVICES; CREATIVE SELF-EFFICACY; DYNAMIC CAPABILITIES; STRATEGIC AGILITY; MEDIATING ROLE; INFORMATION-TECHNOLOGY; ORGANIZATIONAL AGILITY; ABSORPTIVE-CAPACITY; SUPPLY CHAIN; INNOVATION"/>
    <s v="PurposeDrawing on a strategic agility perspective, the authors develop a theoretical framework and empirically examine how digital platform adoption and capability impact business performance via digital-enabled strategic agility in the context of professional service firms.Design/methodology/approachThe authors propose and examine a conceptual framework based on survey data from 127 professional service firms in New Zealand.FindingsThis study reveals the impact of digital platform capability on the business performance of professional service firms that employ digital platform technologies. The results suggest that organizational innovation and managers' creative efficacy will be used as distal antecedents and contribute to digital platform capabilities. In addition, digital strategic agility can mediate the link between digital platform capabilities and business performance.Originality/valueThis study is one of the first to investigate when and how digital platforms empower professional service firms. This study reveals the role of digital strategic agility and digital platform capabilities in knowledge-intensive enterprises. This research advances the development of knowledge-based economy in the information age by applying and extending strategic agility to the uncertain and volatile business environment. The authors' new conceptualization provides a deeper understanding of how and why professional services business and organizations can adapt to the post-COVID era smoothly and successfully."/>
    <s v="[Liu, Yulong (David); Wu, Mian] Massey Univ, Sch Management, Massey Business Sch, Auckland, New Zealand; [Chung, Henry F. L.] Massey Univ, Sch Commun Journalism &amp; Mkt, Massey Business Sch, Auckland, New Zealand; [Zhang, Zuopeng (Justin)] Univ North Florida, Coggin Coll Business, Dept Management, Jacksonville, FL USA"/>
    <s v="Massey University; Massey University; State University System of Florida; University of North Florida"/>
    <s v="Chung, HFL (corresponding author), Massey Univ, Sch Commun Journalism &amp; Mkt, Massey Business Sch, Auckland, New Zealand."/>
    <s v="y.d.liu@massey.ac.nz; H.Chung@massey.ac.nz; justin.zhang@unf.edu; mwu2@massey.ac.nz"/>
    <s v="Zhang, Justin/M-9298-2019; Wu, Mian/ITU-5450-2023"/>
    <s v="Zhang, Justin/0000-0002-4074-9505; Wu, Mian/0000-0003-0640-9977; Chung, Henry F. L./0000-0003-1134-1006"/>
    <s v=""/>
    <s v=""/>
    <s v=""/>
    <s v=""/>
    <n v="108"/>
    <n v="2"/>
    <n v="2"/>
    <n v="42"/>
    <n v="74"/>
    <s v="EMERALD GROUP PUBLISHING LTD"/>
    <s v="BINGLEY"/>
    <s v="HOWARD HOUSE, WAGON LANE, BINGLEY BD16 1WA, W YORKSHIRE, ENGLAND"/>
    <s v="2055-6225"/>
    <s v=""/>
    <s v=""/>
    <s v="J SERV THEOR PRACT"/>
    <s v="J. Serv. Theory Pract."/>
    <s v="MAR 24"/>
    <n v="2023"/>
    <n v="33"/>
    <n v="2"/>
    <s v=""/>
    <s v=""/>
    <s v="SI"/>
    <s v=""/>
    <n v="149"/>
    <n v="168"/>
    <s v=""/>
    <s v="10.1108/JSTP-04-2022-0092"/>
    <s v="http://dx.doi.org/10.1108/JSTP-04-2022-0092"/>
    <s v=""/>
    <s v="JAN 2023"/>
    <n v="20"/>
    <s v="Business; Management"/>
    <x v="0"/>
    <s v="Business &amp; Economics"/>
    <s v="A8WL9"/>
    <s v=""/>
    <s v=""/>
    <s v=""/>
    <s v=""/>
    <s v="2023-11-15"/>
    <x v="311"/>
    <s v="View Full Record in Web of Science"/>
  </r>
  <r>
    <s v="J"/>
    <s v="Forliano, C; Orlandi, LB; Zardini, A; Rossignoli, C"/>
    <s v=""/>
    <s v=""/>
    <s v=""/>
    <s v="Forliano, Canio; Orlandi, Ludovico Bullini; Zardini, Alessandro; Rossignoli, Cecilia"/>
    <s v=""/>
    <s v=""/>
    <s v="Technological orientation and organizational resilience to Covid-19: The mediating role of strategy's digital maturity"/>
    <s v="TECHNOLOGICAL FORECASTING AND SOCIAL CHANGE"/>
    <s v=""/>
    <s v=""/>
    <s v="English"/>
    <x v="0"/>
    <s v=""/>
    <s v=""/>
    <s v=""/>
    <s v=""/>
    <s v=""/>
    <s v="Digital maturity; Technological orientation; Resilience; Innovation"/>
    <s v="DYNAMIC CAPABILITIES; COLLABORATIVE KNOWLEDGE; BUSINESS STRATEGY; PERFORMANCE; INNOVATION; ADOPTION; AGILITY; IMPACT; FIRM; OPPORTUNISM"/>
    <s v="Grounded in dynamic capabilities theory, this study investigates the impact of firms' technological orientation (TO) on their resilience to the coronavirus disease (Covid-19) pandemic (RTC). The mediating role of the maturity of their digital strategy (MDS) to this relationship is also considered. To do this, we conducted an online survey of 186 firms that operate in Germany and Italy and tested the study's hypotheses by applying the covariance-based structural equation modeling (CB-SEM) and bootstrapped regression analysis. The results indicate that TO positively affects MDS, leading to higher RTC, whereas the relationship between TO and RTC is not significant. This study extends the knowledge about dynamic capabilities theory by providing empirical support for developing a mature digital strategy. Further, it highlights the importance for managers and policy makers to proactively respond to disruptive changes, such as those caused by the Covid-19 pandemic, thus contributing to organizational resilience literature that stresses the importance of ex ante initiatives to improve resiliency."/>
    <s v="[Forliano, Canio] Univ Palermo, Dept Polit Sci &amp; Int Relat, Via Am Ugo Antonio, I-90134 Palermo, Italy; [Forliano, Canio] Univ Turin, Dept Management, Corso Un Soviet 218-bis, I-10134 Turin, Italy; [Orlandi, Ludovico Bullini] Univ Bologna, Dept Management, Via Capo Lucca 34, I-40126 Bologna, Italy; [Zardini, Alessandro; Rossignoli, Cecilia] Univ Verona, Dept Business Adm, Via Cantarane 24, I-37129 Verona, Italy"/>
    <s v="University of Palermo; University of Turin; University of Bologna; University of Verona"/>
    <s v="Orlandi, LB (corresponding author), Univ Bologna, Dept Management, Via Capo Lucca 34, I-40126 Bologna, Italy."/>
    <s v="ludovico.bullini2@unibo.it"/>
    <s v="Zardini, Alessandro/J-8400-2014"/>
    <s v="Zardini, Alessandro/0000-0002-2598-9877; FORLIANO, CANIO/0000-0002-6428-1740"/>
    <s v=""/>
    <s v=""/>
    <s v=""/>
    <s v=""/>
    <n v="99"/>
    <n v="2"/>
    <n v="2"/>
    <n v="46"/>
    <n v="106"/>
    <s v="ELSEVIER SCIENCE INC"/>
    <s v="NEW YORK"/>
    <s v="STE 800, 230 PARK AVE, NEW YORK, NY 10169 USA"/>
    <s v="0040-1625"/>
    <s v="1873-5509"/>
    <s v=""/>
    <s v="TECHNOL FORECAST SOC"/>
    <s v="Technol. Forecast. Soc. Chang."/>
    <s v="MAR"/>
    <n v="2023"/>
    <n v="188"/>
    <s v=""/>
    <s v=""/>
    <s v=""/>
    <s v=""/>
    <s v=""/>
    <s v=""/>
    <s v=""/>
    <n v="122288"/>
    <s v="10.1016/j.techfore.2022.122288"/>
    <s v="http://dx.doi.org/10.1016/j.techfore.2022.122288"/>
    <s v=""/>
    <s v="JAN 2023"/>
    <n v="9"/>
    <s v="Business; Regional &amp; Urban Planning"/>
    <x v="0"/>
    <s v="Business &amp; Economics; Public Administration"/>
    <s v="8E5WH"/>
    <n v="36590467"/>
    <s v="Green Published, Bronze"/>
    <s v=""/>
    <s v=""/>
    <s v="2023-11-15"/>
    <x v="312"/>
    <s v="View Full Record in Web of Science"/>
  </r>
  <r>
    <s v="J"/>
    <s v="Tuerk, A"/>
    <s v=""/>
    <s v=""/>
    <s v=""/>
    <s v="Tuerk, Abdullah"/>
    <s v=""/>
    <s v=""/>
    <s v="Digital leadership role in developing business strategy suitable for digital transformation"/>
    <s v="FRONTIERS IN PSYCHOLOGY"/>
    <s v=""/>
    <s v=""/>
    <s v="English"/>
    <x v="0"/>
    <s v=""/>
    <s v=""/>
    <s v=""/>
    <s v=""/>
    <s v=""/>
    <s v="digital transformation; business strategy; organizational change; digital leadership; digital strategy"/>
    <s v="MEDIATING ROLE; CAPABILITIES; FOCUS"/>
    <s v="Businesses must respond to the ecology in which they operate. Especially the rapid transformation of technology has increased the degree of dependency on the system. The main reason for this is perceived only as the technology costs brought by digital transformation. However, we understand from the bankruptcy of economically strong companies that this is not the real problem. This study looks at it from the perspective of leadership, which is an important skill for businesses. The research focuses on leadership roles needed to adapt to digital transformation. At this point, the roles of digital leadership and its contribution to businesses were investigated. At this point, we try to reveal the role of digital leadership with two different qualitative analyzes. In the research, semi-structured interviews were conducted with senior managers, phenomenological and content analysis was performed using Nvivo and MAXQDA qualitative analysis programs, and relevant confidential information was revealed. As a result of the research, it has been determined that there is an important link between time management and productivity while supporting system efficiency and transformation adaptation. In other words, a positive relationship has been determined between the success of digital transformation and digital leadership roles. In digital transformation, digital leadership has a role in the positive development of the relationship between the digital transformation process and business strategies. As a result, a perspective on how digital leadership can contribute to businesses that want to develop strategies suitable for the digital transformation process is presented."/>
    <s v="[Tuerk, Abdullah] Istanbul Bilgi Univ, Dept Aviat Management, Org, Istanbul, Turkiye"/>
    <s v="Istanbul Bilgi University"/>
    <s v="Tuerk, A (corresponding author), Istanbul Bilgi Univ, Dept Aviat Management, Org, Istanbul, Turkiye."/>
    <s v="abdullah.turk@bilgi.edu.tr"/>
    <s v=""/>
    <s v=""/>
    <s v=""/>
    <s v=""/>
    <s v=""/>
    <s v=""/>
    <n v="64"/>
    <n v="2"/>
    <n v="2"/>
    <n v="84"/>
    <n v="159"/>
    <s v="FRONTIERS MEDIA SA"/>
    <s v="LAUSANNE"/>
    <s v="AVENUE DU TRIBUNAL FEDERAL 34, LAUSANNE, CH-1015, SWITZERLAND"/>
    <s v="1664-1078"/>
    <s v=""/>
    <s v=""/>
    <s v="FRONT PSYCHOL"/>
    <s v="Front. Psychol."/>
    <s v="JAN 4"/>
    <n v="2023"/>
    <n v="13"/>
    <s v=""/>
    <s v=""/>
    <s v=""/>
    <s v=""/>
    <s v=""/>
    <s v=""/>
    <s v=""/>
    <n v="1066180"/>
    <s v="10.3389/fpsyg.2022.1066180"/>
    <s v="http://dx.doi.org/10.3389/fpsyg.2022.1066180"/>
    <s v=""/>
    <s v=""/>
    <n v="11"/>
    <s v="Psychology, Multidisciplinary"/>
    <x v="0"/>
    <s v="Psychology"/>
    <s v="7Y1WB"/>
    <n v="36687830"/>
    <s v="gold, Green Published"/>
    <s v=""/>
    <s v=""/>
    <s v="2023-11-15"/>
    <x v="313"/>
    <s v="View Full Record in Web of Science"/>
  </r>
  <r>
    <s v="J"/>
    <s v="Yudaruddin, R"/>
    <s v=""/>
    <s v=""/>
    <s v=""/>
    <s v="Yudaruddin, Rizky"/>
    <s v=""/>
    <s v=""/>
    <s v="Bank lending during the COVID-19 pandemic: do alliances and digital strategies matter?"/>
    <s v="MANAGERIAL FINANCE"/>
    <s v=""/>
    <s v=""/>
    <s v="English"/>
    <x v="0"/>
    <s v=""/>
    <s v=""/>
    <s v=""/>
    <s v=""/>
    <s v=""/>
    <s v="COVID-19; Alliance strategy; Digital strategy; Bank lending"/>
    <s v="CREDIT; INNOVATION; ADOPTION"/>
    <s v="PurposeThis paper investigates the joint impact of COVID-19, alliances and digital strategies on bank lending. Additionally, this study examines whether the effect of COVID-19, alliances and digital strategies on bank loans depends on the types of banks.Design/methodology/approachUsing a sample of 92 commercial banks in Indonesia from March 2020 to September 2021, a fixed-effects model (FEM) was used to analyze data.FindingsThis study provides robust results regarding the negative impact of the COVID-19 pandemic on bank loans in Indonesian banking. Furthermore, it reveals that collaboration between banks and FinTech does not substantially influence bank lending, despite the rise in proven cases tending to reduce credit expansion. It emphasizes the importance of the development of mobile banking as part of digitalization in boosting loan bank expansion, and this finding is more noticeable in private and small banks.Practical implicationsThis study highlights some policy recommendations to improve bank lending during the COVID-19 period, particularly the role of new alliances and digital strategy in involving COVID-19 pandemic mitigation within a novel financial ecosystem.Originality/valueThis study offers a significant contribution to the empirical literature that specifically explores the joint impact of the COVID-19 pandemic, alliances and digital strategies on bank lending in banking."/>
    <s v="[Yudaruddin, Rizky] Mulawarman Univ, Dept Management, Samarinda, Indonesia"/>
    <s v="Universitas Mulawarman"/>
    <s v="Yudaruddin, R (corresponding author), Mulawarman Univ, Dept Management, Samarinda, Indonesia."/>
    <s v="rizky.yudaruddin@feb.unmul.ac.id"/>
    <s v="Yudaruddin, Rizky/AAC-3719-2022"/>
    <s v="Yudaruddin, Rizky/0000-0002-0850-9747"/>
    <s v=""/>
    <s v=""/>
    <s v=""/>
    <s v=""/>
    <n v="79"/>
    <n v="2"/>
    <n v="2"/>
    <n v="3"/>
    <n v="4"/>
    <s v="EMERALD GROUP PUBLISHING LTD"/>
    <s v="BINGLEY"/>
    <s v="HOWARD HOUSE, WAGON LANE, BINGLEY BD16 1WA, W YORKSHIRE, ENGLAND"/>
    <s v="0307-4358"/>
    <s v="1758-7743"/>
    <s v=""/>
    <s v="MANAG FINANC"/>
    <s v="Manag. Financ."/>
    <s v="JUN 22"/>
    <n v="2023"/>
    <n v="49"/>
    <n v="7"/>
    <s v=""/>
    <s v=""/>
    <s v=""/>
    <s v=""/>
    <n v="1221"/>
    <n v="1238"/>
    <s v=""/>
    <s v="10.1108/MF-04-2022-0167"/>
    <s v="http://dx.doi.org/10.1108/MF-04-2022-0167"/>
    <s v=""/>
    <s v="DEC 2022"/>
    <n v="18"/>
    <s v="Business, Finance"/>
    <x v="3"/>
    <s v="Business &amp; Economics"/>
    <s v="J2HH4"/>
    <s v=""/>
    <s v=""/>
    <s v=""/>
    <s v=""/>
    <s v="2023-11-15"/>
    <x v="314"/>
    <s v="View Full Record in Web of Science"/>
  </r>
  <r>
    <s v="J"/>
    <s v="Kosnik, MB; Kephalopoulos, S; Muñoz, A; Aurisano, N; Cusinato, A; Dimitroulopoulou, S; Slobodnik, J; De Mello, J; Jeddi, MZ; Cascio, C; Ahrens, A; de Bruin, YB; Lieck, L; Fantke, P"/>
    <s v=""/>
    <s v=""/>
    <s v=""/>
    <s v="Kosnik, Marissa B.; Kephalopoulos, Stylianos; Munoz, Amalia; Aurisano, Nicolo; Cusinato, Alberto; Dimitroulopoulou, Sani; Slobodnik, Jaroslav; De Mello, Jonathas; Jeddi, Maryam Zare; Cascio, Claudia; Ahrens, Andreas; de Bruin, Yuri Bruinen; Lieck, Lothar; Fantke, Peter"/>
    <s v=""/>
    <s v=""/>
    <s v="Advancing exposure data analytics and repositories as part of the European Exposure Science Strategy 2020-2030"/>
    <s v="ENVIRONMENT INTERNATIONAL"/>
    <s v=""/>
    <s v=""/>
    <s v="English"/>
    <x v="0"/>
    <s v=""/>
    <s v=""/>
    <s v=""/>
    <s v=""/>
    <s v=""/>
    <s v="International Society of Exposure Science; Data analysis; Data management; Chemicals; Exposure assessment; Risk assessment"/>
    <s v="CHEMICALS; FRAMEWORK"/>
    <s v="High-quality and comprehensive exposure-related data are critical for different decision contexts, including environmental and human health monitoring, and chemicals risk assessment and management. However, exposure-related data are currently scattered, frequently of unclear quality and structure, not readily accessible, and stored in various-partly overlapping-data repositories, leading to inefficient and ineffective data usage in Europe and globally. We propose strategic guidance for an integrated European exposure data production and management framework for use in science and policy, building on current and future data analysis and digita-lization trends. We map the existing exposure data landscape to requirements for data analytics and repositories across European policies and regulations. We further identify needs and ways forward for improving data generation, sharing, and usage, and translate identified needs into an operational action plan for European and global advancement of exposure data for policies and regulations. Identified key areas of action are to develop consistent exposure data standards and terminology for data production and reporting, increase data trans-parency and availability, enhance data storage and related infrastructure, boost automation in data management, increase data integration, and advance tools for innovative data analysis. Improving and streamlining exposure data generation and uptake into science and policy is crucial for the European Chemicals Strategy for Sustain -ability and European Digital Strategy, in line with EU Data policies on data management and interoperability."/>
    <s v="[Kosnik, Marissa B.; Aurisano, Nicolo; Fantke, Peter] Tech Univ Denmark, Dept Environm &amp; Resource Engn, Quantitat Sustainabil Assessment, DK-2800 Lyngby, Denmark; [Kephalopoulos, Stylianos; Cusinato, Alberto] European Commiss, Joint Res Ctr JRC, Ispra, Italy; [Munoz, Amalia] European Commiss, Joint Res Ctr JRC, Geel, Belgium; [Dimitroulopoulou, Sani] UK Hlth Secur Agcy, Air Qual &amp; Publ Hlth, EHE Dept, Chilton OX11 0RQ, England; [Slobodnik, Jaroslav] Environm Inst, Okruzna 784-42, Kos 97241, Slovakia; [De Mello, Jonathas] United Nations Environm Programme, Econ Div, F-75015 Paris, France; [Jeddi, Maryam Zare] Natl Inst Publ Hlth &amp; Environm RIVM, NL-3721 MA Bilthoven, Netherlands; [Cascio, Claudia] European Food Safety Author EFSA, Parma, Italy; [Ahrens, Andreas] European Chem Agcy ECHA, Helsinki, Finland; [de Bruin, Yuri Bruinen; Lieck, Lothar] European Agcy Safety &amp; Hlth Work EU OSHA, Bilbao, Spain"/>
    <s v="Technical University of Denmark; European Commission Joint Research Centre; EC JRC ISPRA Site; UK Health Security Agency (UKHSA); Environmental Institute; Netherlands National Institute for Public Health &amp; the Environment; European Food Safety Authority; European Chemicals Agency"/>
    <s v="Fantke, P (corresponding author), Tech Univ Denmark, Dept Environm &amp; Resource Engn, Quantitat Sustainabil Assessment, DK-2800 Lyngby, Denmark.;Kephalopoulos, S (corresponding author), European Commiss, Joint Res Ctr JRC, Ispra, Italy."/>
    <s v="stylianos.kephalopoulos@ec.europa.eu; pefan@dtu.dk"/>
    <s v="Fantke, Peter/N-2704-2015"/>
    <s v="Fantke, Peter/0000-0001-7148-6982; Dimitroulopoulou, Sani/0000-0001-9913-1526; Cascio, Claudia/0000-0002-3810-4134; Kosnik, Marissa/0000-0002-2609-5816"/>
    <s v="European Commission [30032]; Safe and Efficient Chemistry by Design (SafeChem) project - Swedish Foundation for Strategic Environmental Research [DIA 2018/11]; SPRINT project under the European Union's Horizon 2020 Research and Innovation program [862568]; PARC project under the European Union's Horizon Europe Research and Innovation program [101057014]"/>
    <s v="European Commission(European Union (EU)European Commission Joint Research Centre); Safe and Efficient Chemistry by Design (SafeChem) project - Swedish Foundation for Strategic Environmental Research; SPRINT project under the European Union's Horizon 2020 Research and Innovation program; PARC project under the European Union's Horizon Europe Research and Innovation program"/>
    <s v="The review of the manuscript by Dr Antonio Franco (EC, DG JRC) and Dr Alessandro Carletti (EC, DG JRC), is gratefully acknowledged. This study was executed by the ISES Europe working group on Data repositories &amp; analytics, kicked-off during the 3rd European Exposure Science Strategy Workshop organised and supported by the European Commission's Joint Research Centre on 30/31 Jan 2020 in Ispra, Italy (JRC project no 30032: DTHC - Digital Transformation of Health and Care). The study was financially supported by the Safe and Efficient Chemistry by Design (SafeChem) project funded by the Swedish Foundation for Strategic Environmental Research (grant no. DIA 2018/11), by the SPRINT project (grant no. 862568) funded under the European Union's Horizon 2020 Research and Innovation program, and by the PARC project (grant no. 101057014) funded under the European Union's Horizon Europe Research and Innovation program."/>
    <s v=""/>
    <n v="71"/>
    <n v="2"/>
    <n v="2"/>
    <n v="2"/>
    <n v="3"/>
    <s v="PERGAMON-ELSEVIER SCIENCE LTD"/>
    <s v="OXFORD"/>
    <s v="THE BOULEVARD, LANGFORD LANE, KIDLINGTON, OXFORD OX5 1GB, ENGLAND"/>
    <s v="0160-4120"/>
    <s v="1873-6750"/>
    <s v=""/>
    <s v="ENVIRON INT"/>
    <s v="Environ. Int."/>
    <s v="DEC"/>
    <n v="2022"/>
    <n v="170"/>
    <s v=""/>
    <s v=""/>
    <s v=""/>
    <s v=""/>
    <s v=""/>
    <s v=""/>
    <s v=""/>
    <n v="107610"/>
    <s v="10.1016/j.envint.2022.107610"/>
    <s v="http://dx.doi.org/10.1016/j.envint.2022.107610"/>
    <s v=""/>
    <s v="NOV 2022"/>
    <n v="14"/>
    <s v="Environmental Sciences"/>
    <x v="2"/>
    <s v="Environmental Sciences &amp; Ecology"/>
    <s v="7W0CJ"/>
    <n v="36356553"/>
    <s v="gold, Green Published"/>
    <s v=""/>
    <s v=""/>
    <s v="2023-11-15"/>
    <x v="315"/>
    <s v="View Full Record in Web of Science"/>
  </r>
  <r>
    <s v="J"/>
    <s v="Diaz, R; Montalvo, R"/>
    <s v=""/>
    <s v=""/>
    <s v=""/>
    <s v="Diaz, Regina; Montalvo, Raul"/>
    <s v=""/>
    <s v=""/>
    <s v="Digital Transformation as an Enabler to Become More Efficient in Sustainability: Evidence from Five Leading Companies in the Mexican Market"/>
    <s v="SUSTAINABILITY"/>
    <s v=""/>
    <s v=""/>
    <s v="English"/>
    <x v="0"/>
    <s v=""/>
    <s v=""/>
    <s v=""/>
    <s v=""/>
    <s v=""/>
    <s v="digital transformation; business management; sustainability; qualitative study research; Mexican market"/>
    <s v=""/>
    <s v="Not only was Digital Transformation (DT) accelerated by the COVID-19 pandemic, but over recent years some companies have already developed actions related to DT. It is well known that DT has many benefits, such as improving business models, making communication channels more efficient and facilitating decision-making. Furthermore, amongst others, one big challenge of DT is to contribute to areas related to sustainability. The objective of this article is to offer an exploratory review of how a small sample of leading Mexican companies have used DT as an enabler to be more efficient in some sustainability-related issues. The companies analyzed in this paper belong to different sectors: communication services, retail, financial, food and beverages, and materials. Through the identification of DT initiatives and implementations across time, a radar chart was constructed in order to identify, as a first approach, those related to sustainability in order to identify evidence of what some companies are doing in this regard. In addition, actions were grouped under the Business Dimensions defined by Deloitte Development LLC in order to emphasize the focus given by the organizations. One of the main conclusions from the evidence is that indeed big companies have a digital strategy agenda but not necessarily related to sustainability, but also that it is collaterally affected positively due to the economies of scale and operational improvements, from DT. This a qualitative primary study that can be reinforced in the future with analytical evidence that can measure impacts, effects, etc., to enrich strategies that relate to both DT and sustainability."/>
    <s v="[Diaz, Regina] Tecnol Monterrey, EGADE Business Sch, Carlos Lazo 100, Santa Fe 01389, Mexico; [Montalvo, Raul] Tecnol Monterrey, EGADE Business Sch, Ave Gen Ramon Corona 2514, Zapopan 45201, Mexico"/>
    <s v="Tecnologico de Monterrey; Tecnologico de Monterrey"/>
    <s v="Diaz, R (corresponding author), Tecnol Monterrey, EGADE Business Sch, Carlos Lazo 100, Santa Fe 01389, Mexico."/>
    <s v="reginadiaz@tec.mx"/>
    <s v=""/>
    <s v=""/>
    <s v="Tecnologico de Monterrey"/>
    <s v="Tecnologico de Monterrey"/>
    <s v="Tecnologico de Monterrey."/>
    <s v=""/>
    <n v="92"/>
    <n v="2"/>
    <n v="2"/>
    <n v="11"/>
    <n v="21"/>
    <s v="MDPI"/>
    <s v="BASEL"/>
    <s v="ST ALBAN-ANLAGE 66, CH-4052 BASEL, SWITZERLAND"/>
    <s v=""/>
    <s v="2071-1050"/>
    <s v=""/>
    <s v="SUSTAINABILITY-BASEL"/>
    <s v="Sustainability"/>
    <s v="NOV"/>
    <n v="2022"/>
    <n v="14"/>
    <n v="22"/>
    <s v=""/>
    <s v=""/>
    <s v=""/>
    <s v=""/>
    <s v=""/>
    <s v=""/>
    <n v="15436"/>
    <s v="10.3390/su142215436"/>
    <s v="http://dx.doi.org/10.3390/su142215436"/>
    <s v=""/>
    <s v=""/>
    <n v="19"/>
    <s v="Green &amp; Sustainable Science &amp; Technology; Environmental Sciences; Environmental Studies"/>
    <x v="1"/>
    <s v="Science &amp; Technology - Other Topics; Environmental Sciences &amp; Ecology"/>
    <s v="6K7RX"/>
    <s v=""/>
    <s v="gold"/>
    <s v=""/>
    <s v=""/>
    <s v="2023-11-15"/>
    <x v="316"/>
    <s v="View Full Record in Web of Science"/>
  </r>
  <r>
    <s v="J"/>
    <s v="Alexander, B; Bellandi, N"/>
    <s v=""/>
    <s v=""/>
    <s v=""/>
    <s v="Alexander, Bethan; Bellandi, Niccolo"/>
    <s v=""/>
    <s v=""/>
    <s v="Limited or Limitless? Exploring the Potential of NFTs on Value Creation in Luxury Fashion"/>
    <s v="FASHION PRACTICE-THE JOURNAL OF DESIGN CREATIVE PROCESS &amp; THE FASHION INDUSTRY"/>
    <s v=""/>
    <s v=""/>
    <s v="English"/>
    <x v="0"/>
    <s v=""/>
    <s v=""/>
    <s v=""/>
    <s v=""/>
    <s v=""/>
    <s v="blockchain; NFTs; value creation; technology acceptance; luxury; fashion"/>
    <s v="TECHNOLOGY ACCEPTANCE MODEL; INFORMATION-TECHNOLOGY; BLOCKCHAIN TECHNOLOGY; USER ACCEPTANCE; VIRTUAL-REALITY; PERCEIVED VALUE; QUALITY; PERCEPTIONS; CREDIBILITY; PRICE"/>
    <s v="Accelerated by the global pandemic, the speed of technology adoption has significantly increased, resulting in new business opportunities, channels, touchpoints and digital toolkits. One such burgeoning technology which is generating increasing attention is Nonfungible tokens (NFTs). Adopting an exploratory approach, this study aims to develop a deeper understanding of the value of NFTs from a luxury business and consumer perspective. Taking a qualitative approach, interviews were conducted with luxury experts and consumers, totaling 11 informants. Our findings revealed new technology acceptance and value dimensions in addition to the existing dimensions from literature, within a luxury context, from which two models ensue, NFT value creation and NFT digital strategies. The research makes a valuable contribution to the paucity of existing scholarly studies on blockchain and NFTs and their value creation within a luxury context. It serves to provide preliminary insight into perceptions toward and potential value creation of NFTs for both luxury industry and consumers to inform future luxury digital strategies."/>
    <s v="[Alexander, Bethan] Univ Arts, London Coll Fash, Fash Retailing &amp; Customer Experience, London, England; [Alexander, Bethan] Univ Arts, London Coll Fash, Fash Business Sch, London, England"/>
    <s v="University of Arts London; University of Arts London"/>
    <s v="Alexander, B (corresponding author), Univ Arts, London Coll Fash, Fash Retailing &amp; Customer Experience, London, England.;Alexander, B (corresponding author), Univ Arts, London Coll Fash, Fash Business Sch, London, England."/>
    <s v="b.alexander@fashion.arts.ac.uk"/>
    <s v=""/>
    <s v="Alexander, Bethan/0000-0001-5122-9866"/>
    <s v=""/>
    <s v=""/>
    <s v=""/>
    <s v=""/>
    <n v="111"/>
    <n v="2"/>
    <n v="2"/>
    <n v="8"/>
    <n v="23"/>
    <s v="ROUTLEDGE JOURNALS, TAYLOR &amp; FRANCIS LTD"/>
    <s v="ABINGDON"/>
    <s v="2-4 PARK SQUARE, MILTON PARK, ABINGDON OX14 4RN, OXON, ENGLAND"/>
    <s v="1756-9370"/>
    <s v="1756-9389"/>
    <s v=""/>
    <s v="FASHION PRACT"/>
    <s v="Fash. Pract."/>
    <s v="SEP 2"/>
    <n v="2022"/>
    <n v="14"/>
    <n v="3"/>
    <s v=""/>
    <s v=""/>
    <s v="SI"/>
    <s v=""/>
    <n v="376"/>
    <n v="400"/>
    <s v=""/>
    <s v="10.1080/17569370.2022.2118969"/>
    <s v="http://dx.doi.org/10.1080/17569370.2022.2118969"/>
    <s v=""/>
    <s v=""/>
    <n v="25"/>
    <s v="Humanities, Multidisciplinary"/>
    <x v="6"/>
    <s v="Arts &amp; Humanities - Other Topics"/>
    <s v="6C2JE"/>
    <s v=""/>
    <s v="Green Accepted"/>
    <s v=""/>
    <s v=""/>
    <s v="2023-11-15"/>
    <x v="317"/>
    <s v="View Full Record in Web of Science"/>
  </r>
  <r>
    <s v="J"/>
    <s v="Cillo, P; Verona, G"/>
    <s v=""/>
    <s v=""/>
    <s v=""/>
    <s v="Cillo, Paola; Verona, Gianmario"/>
    <s v=""/>
    <s v=""/>
    <s v="The strategic organization of innovation: State of the art and emerging challenges"/>
    <s v="STRATEGIC ORGANIZATION"/>
    <s v=""/>
    <s v=""/>
    <s v="English"/>
    <x v="0"/>
    <s v=""/>
    <s v=""/>
    <s v=""/>
    <s v=""/>
    <s v=""/>
    <s v="capabilities; digital strategy; dynamic capabilities; innovation management; organizational change; topics and perspectives"/>
    <s v="TECHNOLOGICAL-CHANGE; DYNAMIC CAPABILITIES; PRODUCT DEVELOPMENT; COMPLEMENTARY ASSETS; DIGITAL PHOTOGRAPHY; MANAGEMENT; AMBIDEXTERITY; ATTENTION; FUTURE; DISCONTINUITIES"/>
    <s v="Building on the vast literature on technological innovation and new product development, we propose a strategic organization framework to inform future research. The framework focuses on two core constructs: agents (external stakeholders and internal members of the firm involved in innovation activities) and capabilities (activities, systems, and values that retain and unfold organizational knowledge). It also distinguishes between two levels: the new product development process (the strategic and organizational sequences of tasks and decisions that compose product development activities); and the firm (the strategic and higher-order activities that shape corporate governance, corporate strategy, competitive strategy, and the organizational configuration of the firm). We draw on the framework to highlight how the strategic and organizational management of innovation has moved from a specialized organizational unit, the Research and Development function, to the C-suite. We discuss the implications of this framework for future research and highlight emerging challenges related to short-term financial pressures, sustainability, and digital transformation."/>
    <s v="[Cillo, Paola; Verona, Gianmario] Bocconi Univ, Management, Milan, Italy"/>
    <s v="Bocconi University"/>
    <s v="Verona, G (corresponding author), Bocconi Univ, Dept Management &amp; Technol, Via Roentgen 1, I-20136 Milan, Italy."/>
    <s v="paola.cillo@unibocconi.it; gianmario.verona@unibocconi.it"/>
    <s v="Raharisoa, Emérancia/HOH-8694-2023"/>
    <s v="VERONA, GIANMARIO/0000-0002-9992-2544; CILLO, PAOLA/0000-0002-2496-8900"/>
    <s v=""/>
    <s v=""/>
    <s v=""/>
    <s v=""/>
    <n v="104"/>
    <n v="2"/>
    <n v="2"/>
    <n v="11"/>
    <n v="37"/>
    <s v="SAGE PUBLICATIONS LTD"/>
    <s v="LONDON"/>
    <s v="1 OLIVERS YARD, 55 CITY ROAD, LONDON EC1Y 1SP, ENGLAND"/>
    <s v="1476-1270"/>
    <s v="1741-315X"/>
    <s v=""/>
    <s v="STRATEG ORGAN"/>
    <s v="Strateg. Organ."/>
    <s v="NOV"/>
    <n v="2022"/>
    <n v="20"/>
    <n v="4"/>
    <s v=""/>
    <s v=""/>
    <s v="SI"/>
    <s v=""/>
    <n v="743"/>
    <n v="756"/>
    <s v=""/>
    <s v="10.1177/14761270221119113"/>
    <s v="http://dx.doi.org/10.1177/14761270221119113"/>
    <s v=""/>
    <s v="SEP 2022"/>
    <n v="14"/>
    <s v="Business; Management"/>
    <x v="0"/>
    <s v="Business &amp; Economics"/>
    <s v="6H4QN"/>
    <s v=""/>
    <s v=""/>
    <s v=""/>
    <s v=""/>
    <s v="2023-11-15"/>
    <x v="318"/>
    <s v="View Full Record in Web of Science"/>
  </r>
  <r>
    <s v="J"/>
    <s v="Hoyk, E; Szalai, A; Palkovics, A; Farkas, JZ"/>
    <s v=""/>
    <s v=""/>
    <s v=""/>
    <s v="Hoyk, Edit; Szalai, Adam; Palkovics, Andras; Farkas, Jeno Zsolt"/>
    <s v=""/>
    <s v=""/>
    <s v="Policy Gaps Related to Sustainability in Hungarian Agribusiness Development"/>
    <s v="AGRONOMY-BASEL"/>
    <s v=""/>
    <s v=""/>
    <s v="English"/>
    <x v="0"/>
    <s v=""/>
    <s v=""/>
    <s v=""/>
    <s v=""/>
    <s v=""/>
    <s v="sustainability; digitalization; ecologization; agribusiness development; Hungary"/>
    <s v="COMMON AGRICULTURAL POLICY; CLIMATE-CHANGE; REGENERATIVE AGRICULTURE; FOOD; FUTURE; IMPACTS; EUROPE; CONSERVATION; CHALLENGES; EMISSIONS"/>
    <s v="The world's agriculture faces many challenges nowadays, such as tackling the effects of climate change, conserving agrobiodiversity, or feeding the Earth's growing population. These issues often induce conflicting development directions, such as digitalization and ecologization, as the case of the European Union's Common Agricultural Policy (CAP) shows. In the last decades, policymakers have focused mainly on greening agricultural production and the food industry, and now the CAP is part of the European Green Deal. In our research, we assessed the sustainability problems affecting the agribusiness sector and food consumption in Hungary using descriptive statistical analysis. On the other hand, we examined the latest sectoral development documents (Digital Agricultural Strategy, Digital Food Industry Strategy) in order to find out to what extent they answer the identified issues. Our results revealed that the Hungarian agribusiness sector is struggling with several sustainability challenges, which do not receive adequate attention from policymakers. The newest development strategies are characterized by forced digitalization efforts, while their applicability and effectiveness are uncertain. Because of similar development trajectories, we believe most of our results are relevant to other Central Eastern European Member states. Hence, further CAP and national policy reforms are needed to make Europe's agribusiness sector more sustainable."/>
    <s v="[Hoyk, Edit; Szalai, Adam; Farkas, Jeno Zsolt] Ctr Econ &amp; Reg Studies, Great Plain Res Dept, 3 Rakoczi Str, H-6000 Kecskemet, Hungary; [Hoyk, Edit; Palkovics, Andras] John von Neumann Univ, Fac Hort &amp; Rural Dev, 10 Izsaki Str, H-6000 Kecskemet, Hungary"/>
    <s v="Eotvos Lorand Research Network; Hungarian Academy of Sciences; Hungarian Centre for Economic &amp; Regional Studies; John von Neumann University"/>
    <s v="Hoyk, E (corresponding author), Ctr Econ &amp; Reg Studies, Great Plain Res Dept, 3 Rakoczi Str, H-6000 Kecskemet, Hungary.;Hoyk, E (corresponding author), John von Neumann Univ, Fac Hort &amp; Rural Dev, 10 Izsaki Str, H-6000 Kecskemet, Hungary."/>
    <s v="hoyk.edit@krtk.hu"/>
    <s v=""/>
    <s v="Szalai, Adam/0000-0002-8786-0470; Farkas, Jeno Zsolt/0000-0002-4245-2908; Hoyk, Edit/0000-0002-2956-8308"/>
    <s v="Janos Bolyai Research Scholarship of the Hungarian Academy of Sciences [BO/00353/21/10]"/>
    <s v="Janos Bolyai Research Scholarship of the Hungarian Academy of Sciences(Hungarian Academy of Sciences)"/>
    <s v="This paper was supported by the Janos Bolyai Research Scholarship of the Hungarian Academy of Sciences (BO/00353/21/10)."/>
    <s v=""/>
    <n v="90"/>
    <n v="2"/>
    <n v="3"/>
    <n v="5"/>
    <n v="13"/>
    <s v="MDPI"/>
    <s v="BASEL"/>
    <s v="ST ALBAN-ANLAGE 66, CH-4052 BASEL, SWITZERLAND"/>
    <s v=""/>
    <s v="2073-4395"/>
    <s v=""/>
    <s v="AGRONOMY-BASEL"/>
    <s v="Agronomy-Basel"/>
    <s v="SEP"/>
    <n v="2022"/>
    <n v="12"/>
    <n v="9"/>
    <s v=""/>
    <s v=""/>
    <s v=""/>
    <s v=""/>
    <s v=""/>
    <s v=""/>
    <n v="2084"/>
    <s v="10.3390/agronomy12092084"/>
    <s v="http://dx.doi.org/10.3390/agronomy12092084"/>
    <s v=""/>
    <s v=""/>
    <n v="20"/>
    <s v="Agronomy; Plant Sciences"/>
    <x v="2"/>
    <s v="Agriculture; Plant Sciences"/>
    <s v="4Q6BB"/>
    <s v=""/>
    <s v="Green Accepted, gold"/>
    <s v=""/>
    <s v=""/>
    <s v="2023-11-15"/>
    <x v="319"/>
    <s v="View Full Record in Web of Science"/>
  </r>
  <r>
    <s v="J"/>
    <s v="Panduru, DA; Scarlat, C"/>
    <s v=""/>
    <s v=""/>
    <s v=""/>
    <s v="Panduru, Dan Andrei; Scarlat, Cezar"/>
    <s v=""/>
    <s v=""/>
    <s v="Digitalization and Strategic Changes in Romanian Retail Fuel Networks: A Qualitative Study"/>
    <s v="INFORMATION"/>
    <s v=""/>
    <s v=""/>
    <s v="English"/>
    <x v="0"/>
    <s v=""/>
    <s v=""/>
    <s v=""/>
    <s v=""/>
    <s v=""/>
    <s v="strategic changes; digitalization; digital strategy; digital transformation; digital acceleration; coronavirus pandemic as digital accelerator; fuel retail networks; trends in oil and gas industry"/>
    <s v=""/>
    <s v="The oil and gas industry is among the most affected industries as a result of war in Ukraine, on top of other economic, political, and environmental global turbulences that culminated with the coronavirus pandemic. The purpose of this qualitative, explorative study was to identify strategic changes as well as the role played by newer technologies-digital technologies in particular-in this industry. The focus is on the Romanian oil and gas industry, more specifically on the retail fuel networks of the top companies. In addition to secondary research (literature and company documents), interview-based primary research was conducted. The data were collected during spring of 2022 by conducting interviews with two groups of subjects: the strategists-consisting of top managers from the largest companies active in the oil and gas industry in Romania; and the informed consumers-selected from people working in the oil and gas industry. The interview guides were slightly different depending on the two groups targeted, and the structure of the interview guide was developed according to research questions. Among the findings, we can observe that the fuel retail market and consumer behaviour changed due to a series of factors, such as the global economic crisis, COVID-19, the Russian invasion of Ukraine, and inflation. Those factors forced fuel retail companies, at the global level, to invest in filling station shops, services development, digitalization, and divestment-selling gas station networks in countries with poor integration with refineries. Romanian fuel retail companies are following the global trends and focusing on filling station shops, alternative fuels development, and digitalization. The results are followed by discussions, and several managerial implications are suggested. The study limitations and several further research paths are also identified. Based on the data available, we can conclude that the strategic directions at the level of products and services are aligned, but at the execution level, specialists offer different solutions for customer expectations."/>
    <s v="[Panduru, Dan Andrei; Scarlat, Cezar] Univ Politehn Bucuresti, Doctoral Sch Entrepreneurship Business Engn &amp; Man, Bucharest 060042, Romania"/>
    <s v="Polytechnic University of Bucharest"/>
    <s v="Panduru, DA (corresponding author), Univ Politehn Bucuresti, Doctoral Sch Entrepreneurship Business Engn &amp; Man, Bucharest 060042, Romania."/>
    <s v="dpanduru91@gmail.com"/>
    <s v=""/>
    <s v=""/>
    <s v=""/>
    <s v=""/>
    <s v=""/>
    <s v=""/>
    <n v="40"/>
    <n v="2"/>
    <n v="2"/>
    <n v="4"/>
    <n v="7"/>
    <s v="MDPI"/>
    <s v="BASEL"/>
    <s v="ST ALBAN-ANLAGE 66, CH-4052 BASEL, SWITZERLAND"/>
    <s v=""/>
    <s v="2078-2489"/>
    <s v=""/>
    <s v="INFORMATION"/>
    <s v="Information"/>
    <s v="SEP"/>
    <n v="2022"/>
    <n v="13"/>
    <n v="9"/>
    <s v=""/>
    <s v=""/>
    <s v=""/>
    <s v=""/>
    <s v=""/>
    <s v=""/>
    <n v="416"/>
    <s v="10.3390/info13090416"/>
    <s v="http://dx.doi.org/10.3390/info13090416"/>
    <s v=""/>
    <s v=""/>
    <n v="11"/>
    <s v="Computer Science, Information Systems"/>
    <x v="3"/>
    <s v="Computer Science"/>
    <s v="4T6GR"/>
    <s v=""/>
    <s v="gold"/>
    <s v=""/>
    <s v=""/>
    <s v="2023-11-15"/>
    <x v="320"/>
    <s v="View Full Record in Web of Science"/>
  </r>
  <r>
    <s v="J"/>
    <s v="Naraine, ML; Thompson, A; Lachance, EL; Séguin, B; Taks, M; Parent, MM; Hoye, R"/>
    <s v=""/>
    <s v=""/>
    <s v=""/>
    <s v="Naraine, Michael L.; Thompson, Ashley; Lachance, Erik L.; Seguin, Benoit; Taks, Marijke; Parent, Milena M.; Hoye, Russell"/>
    <s v=""/>
    <s v=""/>
    <s v="Examining Board and Executive Staff Perceptions of Social Media in National Sport Organizations"/>
    <s v="JOURNAL OF GLOBAL SPORT MANAGEMENT"/>
    <s v=""/>
    <s v=""/>
    <s v="English"/>
    <x v="2"/>
    <s v=""/>
    <s v=""/>
    <s v=""/>
    <s v=""/>
    <s v=""/>
    <s v="Digital media; boards; not-for-profit; sport governance; qualitative research"/>
    <s v="GOVERNANCE; COMMUNITY; PATTERNS; STRATEGY"/>
    <s v="The purpose of this paper was to highlight (1) how (if at all) social media is governed as a marketing communication channel and (2) whether there is conceptual congruence between board and executive staff with regards to social media in their organizations. Semi-structured interviews were conducted with one board member and one executive staff member from 22 Canadian national sport organizations. Results suggest nil governance and strategic oversight of social media; however, board and executive staff are seemingly aligned in this position. While having conceptual congruence is important for the organization's collective achievement, it is inherently problematic that neither side sees value in moving the discussion of social media to a governing level given its implications on marketing communication efforts. At the board level, NSOs should proactively establish a digital strategy considering the importance of the social (and digital) media function in the 21st century sport business landscape."/>
    <s v="[Naraine, Michael L.] Brock Univ, Sport Management, St Catharines, ON, Canada; [Thompson, Ashley; Lachance, Erik L.; Seguin, Benoit; Taks, Marijke; Parent, Milena M.] Univ Ottawa, Sport Management, Ottawa, ON, Canada; [Hoye, Russell] La Trobe Univ, Sch Allied Heath Human Serv &amp; Sport, Melbourne, Vic, Australia"/>
    <s v="Brock University; University of Ottawa; La Trobe University"/>
    <s v="Naraine, ML (corresponding author), Brock Univ, Sport Management, St Catharines, ON, Canada."/>
    <s v="mnaraine@brocku.ca"/>
    <s v=""/>
    <s v="Thompson, Ashley/0000-0003-4868-0482; Hoye, Russell/0000-0001-9000-1848; Lachance, Erik L./0000-0003-4935-5833"/>
    <s v="Social Sciences and Humanities Research Council of Canada [435-2017-0247]; Government of Canada - Sport Canada [862-2017-0006]"/>
    <s v="Social Sciences and Humanities Research Council of Canada(Social Sciences and Humanities Research Council of Canada (SSHRC)); Government of Canada - Sport Canada"/>
    <s v="This work was supported by the Social Sciences and Humanities Research Council of Canada [grant number 435-2017-0247]; and Government of Canada - Sport Canada [grant number 862-2017-0006]."/>
    <s v=""/>
    <n v="50"/>
    <n v="2"/>
    <n v="2"/>
    <n v="0"/>
    <n v="1"/>
    <s v="TAYLOR &amp; FRANCIS LTD"/>
    <s v="ABINGDON"/>
    <s v="2-4 PARK SQUARE, MILTON PARK, ABINGDON OR14 4RN, OXON, ENGLAND"/>
    <s v="2470-4067"/>
    <s v="2470-4075"/>
    <s v=""/>
    <s v="J GLOB SPORT MANAGE"/>
    <s v="J. Glob. Sport Manage."/>
    <s v="2022 AUG 23"/>
    <n v="2022"/>
    <s v=""/>
    <s v=""/>
    <s v=""/>
    <s v=""/>
    <s v=""/>
    <s v=""/>
    <s v=""/>
    <s v=""/>
    <s v=""/>
    <s v="10.1080/24704067.2022.2116591"/>
    <s v="http://dx.doi.org/10.1080/24704067.2022.2116591"/>
    <s v=""/>
    <s v="AUG 2022"/>
    <n v="21"/>
    <s v="Hospitality, Leisure, Sport &amp; Tourism; Management"/>
    <x v="3"/>
    <s v="Social Sciences - Other Topics; Business &amp; Economics"/>
    <s v="4H8SJ"/>
    <s v=""/>
    <s v=""/>
    <s v=""/>
    <s v=""/>
    <s v="2023-11-15"/>
    <x v="321"/>
    <s v="View Full Record in Web of Science"/>
  </r>
  <r>
    <s v="J"/>
    <s v="Fabac, R"/>
    <s v=""/>
    <s v=""/>
    <s v=""/>
    <s v="Fabac, Robert"/>
    <s v=""/>
    <s v=""/>
    <s v="Digital Balanced Scorecard System as a Supporting Strategy for Digital Transformation"/>
    <s v="SUSTAINABILITY"/>
    <s v=""/>
    <s v=""/>
    <s v="English"/>
    <x v="0"/>
    <s v=""/>
    <s v=""/>
    <s v=""/>
    <s v=""/>
    <s v=""/>
    <s v="digital balanced scorecard; digital transformation; strategy; supporting framework; sustainability; technology"/>
    <s v="PERFORMANCE; MODEL; SWOT"/>
    <s v="Reports of the high percentage of failed digital transformation ventures motivate the need to find a comprehensive framework with regulatory attributes to support these initiatives. Due to its structure, consistent strategy decomposition capabilities, and strategic map architecture, the assumption is that a customized version of the Balanced Scorecard can ensure the better overall success of digital transformation projects. The qualitative analysis methodology was applied to previous research, and this study identified critical issues and challenges related to the strategy and overall endeavor of digital transformation. Based on the methodology of the traditional Balanced Scorecard, a draft version of the Digital Balanced Scorecard was formulated. The Digital Balanced Scorecard is a comprehensive, primarily prescriptive model that is focused directly on the challenges, opportunities, and obstacles of transformation. The proposed BSC model can consistently interpret a digital strategy and assist organization leaders in successfully formulating and coordinating all necessary activities and projects to apply technologies. The Digital BSC provides the projection of financial results and improvements in sustainability after transformation. The proposed solution to support digital transformation can accelerate an organization's development, improve efficiency, and strengthen efforts to achieve an organization's sustainability goals."/>
    <s v="[Fabac, Robert] Univ Zagreb, Fac Org &amp; Informat, Pavlinska 2, Varazhdin 42000, Croatia"/>
    <s v="University of Zagreb"/>
    <s v="Fabac, R (corresponding author), Univ Zagreb, Fac Org &amp; Informat, Pavlinska 2, Varazhdin 42000, Croatia."/>
    <s v="rfabac@foi.unizg.hr"/>
    <s v="Fabac, Robert/HII-6702-2022"/>
    <s v=""/>
    <s v=""/>
    <s v=""/>
    <s v=""/>
    <s v=""/>
    <n v="124"/>
    <n v="2"/>
    <n v="2"/>
    <n v="17"/>
    <n v="48"/>
    <s v="MDPI"/>
    <s v="BASEL"/>
    <s v="ST ALBAN-ANLAGE 66, CH-4052 BASEL, SWITZERLAND"/>
    <s v=""/>
    <s v="2071-1050"/>
    <s v=""/>
    <s v="SUSTAINABILITY-BASEL"/>
    <s v="Sustainability"/>
    <s v="AUG"/>
    <n v="2022"/>
    <n v="14"/>
    <n v="15"/>
    <s v=""/>
    <s v=""/>
    <s v=""/>
    <s v=""/>
    <s v=""/>
    <s v=""/>
    <n v="9690"/>
    <s v="10.3390/su14159690"/>
    <s v="http://dx.doi.org/10.3390/su14159690"/>
    <s v=""/>
    <s v=""/>
    <n v="26"/>
    <s v="Green &amp; Sustainable Science &amp; Technology; Environmental Sciences; Environmental Studies"/>
    <x v="1"/>
    <s v="Science &amp; Technology - Other Topics; Environmental Sciences &amp; Ecology"/>
    <s v="3R5QL"/>
    <s v=""/>
    <s v="gold"/>
    <s v=""/>
    <s v=""/>
    <s v="2023-11-15"/>
    <x v="322"/>
    <s v="View Full Record in Web of Science"/>
  </r>
  <r>
    <s v="J"/>
    <s v="Marcelin, JR; del Rio, C; Spec, A; Swartz, TH"/>
    <s v=""/>
    <s v=""/>
    <s v=""/>
    <s v="Marcelin, Jasmine R.; del Rio, Carlos; Spec, Andrej; Swartz, Talia H."/>
    <s v=""/>
    <s v=""/>
    <s v="Digital Strategy and Social Media for Infectious Diseases"/>
    <s v="CLINICAL INFECTIOUS DISEASES"/>
    <s v=""/>
    <s v=""/>
    <s v="English"/>
    <x v="0"/>
    <s v=""/>
    <s v=""/>
    <s v=""/>
    <s v=""/>
    <s v=""/>
    <s v="digital strategy; infectious diseases; dissemination of information; social media"/>
    <s v="COVID-19; TWITTER"/>
    <s v="This supplement demonstrates the profound reach of social media across several domains: improved clinical care and advocacy, data analysis, broad reach to diverse patient populations, educational access, best practices in medical education, peer review, digital strategy for individuals and institutions, and combating misinformation."/>
    <s v="[Marcelin, Jasmine R.] Univ Nebraska Med Ctr, Dept Internal Med, Div Infect Dis, Omaha, NE USA; [del Rio, Carlos] Emory Univ, Dept Med, Div Infect Dis, Atlanta, GA USA; [Spec, Andrej] Washington Univ, Dept Internal Med, Div Infect Dis, Sch Med, St Louis, MO USA; [Swartz, Talia H.] Icahn Sch Med Mt Sinai, Inst Immunol, Dept Med, Div Infect Dis, New York, NY USA"/>
    <s v="University of Nebraska System; University of Nebraska Medical Center; Emory University; Washington University (WUSTL); Icahn School of Medicine at Mount Sinai"/>
    <s v="Swartz, TH (corresponding author), Mt Sinai Sch Med, Dept Med, Div Infect Dis, One Gustave L Levy Pl,Box 1090, New York, NY 10029 USA."/>
    <s v="talia.swartz@mssm.edu"/>
    <s v="del Rio, Carlos/B-3763-2012; Swartz, Talia H./AAN-8591-2020"/>
    <s v="del Rio, Carlos/0000-0002-0153-3517; Swartz, Talia H./0000-0003-1572-045X; Marcelin, Jasmine/0000-0003-0504-753X"/>
    <s v="National Institutes of Health (National Institute of Allergy and Infectious Diseases) [1R01DA054526, R01DA052822, 1R21AI152833]"/>
    <s v="National Institutes of Health (National Institute of Allergy and Infectious Diseases)(United States Department of Health &amp; Human ServicesNational Institutes of Health (NIH) - USANIH National Institute of Allergy &amp; Infectious Diseases (NIAID))"/>
    <s v="The following grants were paid to T. H. S.: 1R01DA054526, R01DA052822, and 1R21AI152833 from the National Institutes of Health (National Institute of Allergy and Infectious Diseases)."/>
    <s v=""/>
    <n v="31"/>
    <n v="2"/>
    <n v="2"/>
    <n v="0"/>
    <n v="2"/>
    <s v="OXFORD UNIV PRESS INC"/>
    <s v="CARY"/>
    <s v="JOURNALS DEPT, 2001 EVANS RD, CARY, NC 27513 USA"/>
    <s v="1058-4838"/>
    <s v="1537-6591"/>
    <s v=""/>
    <s v="CLIN INFECT DIS"/>
    <s v="Clin. Infect. Dis."/>
    <s v="MAY 15"/>
    <n v="2022"/>
    <n v="74"/>
    <s v="SUPPL 3"/>
    <s v=""/>
    <n v="3"/>
    <s v="SI"/>
    <s v=""/>
    <s v="S219"/>
    <s v="S221"/>
    <s v=""/>
    <s v="10.1093/cid/ciac046"/>
    <s v="http://dx.doi.org/10.1093/cid/ciac046"/>
    <s v=""/>
    <s v=""/>
    <n v="3"/>
    <s v="Immunology; Infectious Diseases; Microbiology"/>
    <x v="2"/>
    <s v="Immunology; Infectious Diseases; Microbiology"/>
    <s v="1H0SY"/>
    <n v="35568476"/>
    <s v="Bronze, Green Published"/>
    <s v=""/>
    <s v=""/>
    <s v="2023-11-15"/>
    <x v="323"/>
    <s v="View Full Record in Web of Science"/>
  </r>
  <r>
    <s v="J"/>
    <s v="Pradana, M; Silvianita, A; Syarifuddin, S; Renaldi, R"/>
    <s v=""/>
    <s v=""/>
    <s v=""/>
    <s v="Pradana, Mahir; Silvianita, Anita; Syarifuddin, Syarifuddin; Renaldi, Renaldi"/>
    <s v=""/>
    <s v=""/>
    <s v="The Implication of Digital Organisational Culture on Firm Performance"/>
    <s v="FRONTIERS IN PSYCHOLOGY"/>
    <s v=""/>
    <s v=""/>
    <s v="English"/>
    <x v="0"/>
    <s v=""/>
    <s v=""/>
    <s v=""/>
    <s v=""/>
    <s v=""/>
    <s v="organisational culture; human resource management; business administration; business digitalisation; human capital"/>
    <s v="ABSORPTIVE-CAPACITY; INNOVATION"/>
    <s v="Digital technologies have become a major factor for innovation in the business environment. Organisations have taken advantage of digitised data and information to increase performance. However, there is still little research focusing on the effect of digitalisation on organisational culture, which in the end will affect performance. We develop this research by exploring a proposed model involving digital organisational culture with the final goal to enhance organisational performance. The research involved 263 managers of state-owned companies in Indonesia. We analysed the theoretical model by using structural equation modelling and processed the data using the SmartPLS version 3 software. We conclude that digital organisational culture can become an essential factor in improving digital strategy and performance. However, business digitalisation does not really affect digital organisational values."/>
    <s v="[Pradana, Mahir; Silvianita, Anita; Syarifuddin, Syarifuddin] Telkom Univ, Dept Business Adm, Bandung, Indonesia; [Renaldi, Renaldi] Andi Djemma Univ Palopo, Dept Management, Palopo, Indonesia"/>
    <s v="Telkom University"/>
    <s v="Pradana, M (corresponding author), Telkom Univ, Dept Business Adm, Bandung, Indonesia."/>
    <s v="mahir.pradana@gmail.com"/>
    <s v="PRADANA, MAHIR/AAL-8975-2020"/>
    <s v="PRADANA, MAHIR/0000-0003-4761-2891"/>
    <s v=""/>
    <s v=""/>
    <s v=""/>
    <s v=""/>
    <n v="35"/>
    <n v="2"/>
    <n v="2"/>
    <n v="9"/>
    <n v="42"/>
    <s v="FRONTIERS MEDIA SA"/>
    <s v="LAUSANNE"/>
    <s v="AVENUE DU TRIBUNAL FEDERAL 34, LAUSANNE, CH-1015, SWITZERLAND"/>
    <s v="1664-1078"/>
    <s v=""/>
    <s v=""/>
    <s v="FRONT PSYCHOL"/>
    <s v="Front. Psychol."/>
    <s v="MAY 12"/>
    <n v="2022"/>
    <n v="13"/>
    <s v=""/>
    <s v=""/>
    <s v=""/>
    <s v=""/>
    <s v=""/>
    <s v=""/>
    <s v=""/>
    <n v="840699"/>
    <s v="10.3389/fpsyg.2022.840699"/>
    <s v="http://dx.doi.org/10.3389/fpsyg.2022.840699"/>
    <s v=""/>
    <s v=""/>
    <n v="7"/>
    <s v="Psychology, Multidisciplinary"/>
    <x v="0"/>
    <s v="Psychology"/>
    <s v="1R9XV"/>
    <n v="35645930"/>
    <s v="gold, Green Published"/>
    <s v=""/>
    <s v=""/>
    <s v="2023-11-15"/>
    <x v="324"/>
    <s v="View Full Record in Web of Science"/>
  </r>
  <r>
    <s v="J"/>
    <s v="Majdalawieh, M; Khan, S"/>
    <s v=""/>
    <s v=""/>
    <s v=""/>
    <s v="Majdalawieh, Munir; Khan, Shafaq"/>
    <s v=""/>
    <s v=""/>
    <s v="Building an Integrated Digital Transformation System Framework: A Design Science Research, the Case of FedUni"/>
    <s v="SUSTAINABILITY"/>
    <s v=""/>
    <s v=""/>
    <s v="English"/>
    <x v="0"/>
    <s v=""/>
    <s v=""/>
    <s v=""/>
    <s v=""/>
    <s v=""/>
    <s v="agile; change management; design thinking; design science research; digital transformation; digital; digital technologies; digital strategy; integrated framework; system development life cycle"/>
    <s v="MATURITY; THINKING; EDUCATION; BARRIERS"/>
    <s v="The purpose of this paper is to propose an integrated digital transformation system framework (IDTSF) to help support business leaders and teams in making their products, services, and operations more streamlined and competitive. The framework will help organizations to best meet user/customer needs with minimum waste and time and enables businesses to achieve efficiency compared with island and traditional sequential approaches. The proposed framework can also provide insights to help organizations to avoid common failures when deploying digital transformation initiatives. The paper follows the design science research (DSR) and the information systems design science research (ISDSR) methodologies to develop the IDTSF model and a practical design artifact. The main problems were the initiation, execution, and governance challenges associated with digital transformation. After identifying the problems and the objectives, a relevant IDTSF model was synthesized and tested as a design artifact. The results of the test of the proposed artifact showed its effectiveness and efficiency in facilitating the components of the model in creating a cohesive framework."/>
    <s v="[Majdalawieh, Munir] Zayed Univ, Informat Syst &amp; Technol Management Dept, POB 19282, Dubai, U Arab Emirates; [Khan, Shafaq] Univ Windsor, Sch Comp Sci, Windsor, ON N9B 3P4, Canada"/>
    <s v="Zayed University; University of Windsor"/>
    <s v="Majdalawieh, M (corresponding author), Zayed Univ, Informat Syst &amp; Technol Management Dept, POB 19282, Dubai, U Arab Emirates."/>
    <s v="munir.majdalawieh@zu.ac.ae; shafaq.khan@uwindsor.ca"/>
    <s v=""/>
    <s v="Khan, Shafaq/0000-0003-3091-5394"/>
    <s v="Zayed University [R21064]"/>
    <s v="Zayed University"/>
    <s v="This research was funded by Zayed University, grant number R21064."/>
    <s v=""/>
    <n v="85"/>
    <n v="2"/>
    <n v="2"/>
    <n v="6"/>
    <n v="29"/>
    <s v="MDPI"/>
    <s v="BASEL"/>
    <s v="ST ALBAN-ANLAGE 66, CH-4052 BASEL, SWITZERLAND"/>
    <s v=""/>
    <s v="2071-1050"/>
    <s v=""/>
    <s v="SUSTAINABILITY-BASEL"/>
    <s v="Sustainability"/>
    <s v="MAY"/>
    <n v="2022"/>
    <n v="14"/>
    <n v="10"/>
    <s v=""/>
    <s v=""/>
    <s v=""/>
    <s v=""/>
    <s v=""/>
    <s v=""/>
    <n v="6121"/>
    <s v="10.3390/su14106121"/>
    <s v="http://dx.doi.org/10.3390/su14106121"/>
    <s v=""/>
    <s v=""/>
    <n v="20"/>
    <s v="Green &amp; Sustainable Science &amp; Technology; Environmental Sciences; Environmental Studies"/>
    <x v="1"/>
    <s v="Science &amp; Technology - Other Topics; Environmental Sciences &amp; Ecology"/>
    <s v="1R4XJ"/>
    <s v=""/>
    <s v="gold"/>
    <s v=""/>
    <s v=""/>
    <s v="2023-11-15"/>
    <x v="325"/>
    <s v="View Full Record in Web of Science"/>
  </r>
  <r>
    <s v="J"/>
    <s v="McGillivray, L; Gan, DZQ; Wong, Q; Han, J; Hetrick, S; Christensen, H; Torok, M"/>
    <s v=""/>
    <s v=""/>
    <s v=""/>
    <s v="McGillivray, Lauren; Gan, Daniel Z. Q.; Wong, Quincy; Han, Jin; Hetrick, Sarah; Christensen, Helen; Torok, Michelle"/>
    <s v=""/>
    <s v=""/>
    <s v="Three-arm randomised controlled trial of an m-health app and digital engagement strategy for improving treatment adherence and reducing suicidal ideation in young people: study protocol"/>
    <s v="BMJ OPEN"/>
    <s v=""/>
    <s v=""/>
    <s v="English"/>
    <x v="0"/>
    <s v=""/>
    <s v=""/>
    <s v=""/>
    <s v=""/>
    <s v=""/>
    <s v="MENTAL HEALTH; Suicide &amp; self-harm; PSYCHIATRY"/>
    <s v="MENTAL-HEALTH; SOCIAL PHOBIA; MINI-SPIN; INTERVENTIONS; ADOLESCENTS; ANXIETY; SCALE; VALIDATION; DEPRESSION; DISORDER"/>
    <s v="Introduction Youth suicidal ideation and behaviour is concerning due to its widespread prevalence, morbidity and potentially fatal consequences. Digital mental health interventions have been found to improve access to low-cost and high-quality support for a range of mental health issues, yet there are few digital interventions available for suicide prevention in young people. In addition, no studies have examined how digital engagement strategies may impact the engagement and efficacy of digital interventions in suicide prevention. The current protocol describes a three-arm parallel randomised controlled trial. A therapeutic smartphone application ('LifeBuoy'; intervention condition) will be tested against a condition that consists of the LifeBuoy application plus access to a digital engagement strategy ('LifeBuoy+engagement'; intervention condition) to determine whether the addition of the digital strategy improves app engagement metrics. To establish the efficacy of the LifeBuoy application, both of these intervention conditions will be tested against an attention-matched control condition (a placebo app). Methods and analysis 669 young Australians aged 17-24 years who have experienced suicidal ideation in the past 30 days will be recruited by Facebook advertisement. The primary outcomes will be suicidal ideation severity and level of app engagement. Primary analyses will use an intention-to-treat approach and compare changes from baseline to 30-day, 60-day and 120-day follow-up time points relative to the control group using mixed-effect modelling. A subset of participants in the intervention groups will be interviewed on their experience with the app and engagement strategy. Qualitative data will be analysed using an inductive approach, independent of a theoretical confirmative method to identify the group themes. Ethics and dissemination The study has been approved by the University of New South Wales Human Research Ethics Committee (HC210400). The results of the trial will be disseminated via peer-reviewed publications in scientific journals and conferences."/>
    <s v="[McGillivray, Lauren; Gan, Daniel Z. Q.; Han, Jin; Christensen, Helen; Torok, Michelle] Univ New South Wales, Black Dog Inst, Sydney, NSW, Australia; [Wong, Quincy] Western Sydney Univ, Sch Psychol, Sydney, NSW, Australia; [Hetrick, Sarah] Univ Auckland, Dept Psychol Med, Auckland, New Zealand"/>
    <s v="Black Dog Institute; University of New South Wales Sydney; Western Sydney University; University of Auckland"/>
    <s v="Torok, M (corresponding author), Univ New South Wales, Black Dog Inst, Sydney, NSW, Australia."/>
    <s v="m.torok@unsw.edu.au"/>
    <s v="Torok, Michelle/R-3231-2018"/>
    <s v="Torok, Michelle/0000-0003-3741-8075; Gan, Daniel/0000-0002-3788-5848"/>
    <s v="Australian Rotary Health; Roth Family Foundation; Goodman Foundation; Mantana Foundation for Young People"/>
    <s v="Australian Rotary Health; Roth Family Foundation; Goodman Foundation; Mantana Foundation for Young People"/>
    <s v="This work was supported by Australian Rotary Health, The Roth Family Foundation, Mantana Foundation for Young People, and The Goodman Foundation."/>
    <s v=""/>
    <n v="36"/>
    <n v="2"/>
    <n v="2"/>
    <n v="1"/>
    <n v="6"/>
    <s v="BMJ PUBLISHING GROUP"/>
    <s v="LONDON"/>
    <s v="BRITISH MED ASSOC HOUSE, TAVISTOCK SQUARE, LONDON WC1H 9JR, ENGLAND"/>
    <s v="2044-6055"/>
    <s v=""/>
    <s v=""/>
    <s v="BMJ OPEN"/>
    <s v="BMJ Open"/>
    <s v="MAY"/>
    <n v="2022"/>
    <n v="12"/>
    <n v="5"/>
    <s v=""/>
    <s v=""/>
    <s v=""/>
    <s v=""/>
    <s v=""/>
    <s v=""/>
    <s v="e058584"/>
    <s v="10.1136/bmjopen-2021-058584"/>
    <s v="http://dx.doi.org/10.1136/bmjopen-2021-058584"/>
    <s v=""/>
    <s v=""/>
    <n v="11"/>
    <s v="Medicine, General &amp; Internal"/>
    <x v="2"/>
    <s v="General &amp; Internal Medicine"/>
    <s v="1S6ML"/>
    <n v="35636787"/>
    <s v="Green Published, gold"/>
    <s v=""/>
    <s v=""/>
    <s v="2023-11-15"/>
    <x v="326"/>
    <s v="View Full Record in Web of Science"/>
  </r>
  <r>
    <s v="J"/>
    <s v="Partridge, SR; Reece, L; Sim, KA; Todd, A; Jia, SS; Raeside, R; Schirmer, T; Phongsavan, P; Redfern, J"/>
    <s v=""/>
    <s v=""/>
    <s v=""/>
    <s v="Partridge, Stephanie R.; Reece, Lindsey; Sim, Kyra A.; Todd, Allyson; Jia, Si Si; Raeside, Rebecca; Schirmer, Teisha; Phongsavan, Philayrath; Redfern, Julie"/>
    <s v=""/>
    <s v=""/>
    <s v="An analysis of current obesity strategies for adolescents in NSW against best practice recommendations: Implications for researchers, policymakers and practitioners"/>
    <s v="HEALTH PROMOTION JOURNAL OF AUSTRALIA"/>
    <s v=""/>
    <s v=""/>
    <s v="English"/>
    <x v="0"/>
    <s v=""/>
    <s v=""/>
    <s v=""/>
    <s v=""/>
    <s v=""/>
    <s v="adolescent; management; obesity; policy; prevention; public health; young people"/>
    <s v=""/>
    <s v="Issue addressed Obesity is a significant health challenge facing adolescents. There is a critical need for government action to support all adolescents to improve risk factors for obesity. This study critically appraised initiatives, guidelines and policies (termed strategies) from local health districts (LHDs), speciality health networks and Primary Health Networks (PHNs) across New South Wales (NSW), relevant to the prevention and management of obesity amongst adolescents and compare these to best practice recommendations. Methods We critically appraised strategies against best practice recommendations that included support, access, responsiveness to needs, supportive environment, monitoring and evaluation and health equity. Strategies were collected by systematically searching websites of 15 LHDs, one speciality health network and 10 PHNs. Results There was evidence of strategies regarding adolescent obesity prevention and management across all best practice recommendations. There was limited evidence of adolescent consumer participation, digital strategies for health services and online health information. There were minimal targeted public or school-based education campaigns and interventions on physical activity or nutrition. Place-based approaches such as sports and recreation facilities were not included in policies regarding the sale of healthy food and drinks. Evaluation evidence across all strategies was minimal. Conclusions Numerous strategies are being implemented across NSW to address adolescent obesity. Despite this, the alignment of strategies with best practice recommendations is poor and evidence of progress in tackling adolescent obesity remains unclear. So what? Opportunities to generate and translate best practice evidence within government strategies for obesity must be prioritised with embedded measurement and evaluation plans."/>
    <s v="[Partridge, Stephanie R.; Todd, Allyson; Jia, Si Si; Raeside, Rebecca; Redfern, Julie] Univ Sydney, Fac Med &amp; Hlth, Sch Hlth Sci, Engagement &amp; Codesign Hub, Sydney, NSW, Australia; [Partridge, Stephanie R.; Reece, Lindsey; Phongsavan, Philayrath] Univ Sydney, Fac Med &amp; Hlth, Sydney Sch Publ Hlth, Prevent Res Collaborat, Sydney, NSW, Australia; [Partridge, Stephanie R.; Reece, Lindsey; Sim, Kyra A.; Phongsavan, Philayrath] Univ Sydney, Charles Perkins Ctr, Sydney, NSW, Australia; [Sim, Kyra A.] Sydney Local Hlth Dist, Camperdown, NSW, Australia; [Schirmer, Teisha] Mid North Coast Local Hlth Dist, Port Macquarie, NSW, Australia; [Redfern, Julie] Univ New South Wales, George Inst Global Hlth, Camperdown, NSW, Australia"/>
    <s v="University of Sydney; University of Sydney; University of Sydney; University of New South Wales Sydney; University of Sydney; George Institute for Global Health"/>
    <s v="Partridge, SR (corresponding author), Univ Sydney, Westmead Hosp, Level 6,Block K, Westmead, NSW 2145, Australia."/>
    <s v="stephanie.partridge@sydney.edu.au"/>
    <s v="Redfern, Julie/AAM-8617-2020; Partridge, Stephanie R/B-7327-2018"/>
    <s v="Redfern, Julie/0000-0001-8707-5563; Todd, Allyson/0000-0001-6948-9754; Raeside, Rebecca/0000-0003-2016-6393; Sim, Kyra/0000-0003-2825-665X; Reece, Lindsey/0000-0003-2883-3963; Phongsavan, Philayrath/0000-0003-2460-5031; Partridge, Stephanie R/0000-0001-5390-3922; Schirmer, Teisha/0000-0002-5863-3885"/>
    <s v="University of Sydney; Heart Foundation; National Health and Medical Research Council [APP1143538, APP1157438]"/>
    <s v="University of Sydney(University of Sydney); Heart Foundation; National Health and Medical Research Council(National Health and Medical Research Council (NHMRC) of Australia)"/>
    <s v="University of Sydney; Heart Foundation; National Health and Medical Research Council, Grant/Award Numbers: APP1143538, APP1157438"/>
    <s v=""/>
    <n v="50"/>
    <n v="2"/>
    <n v="2"/>
    <n v="0"/>
    <n v="1"/>
    <s v="WILEY"/>
    <s v="HOBOKEN"/>
    <s v="111 RIVER ST, HOBOKEN 07030-5774, NJ USA"/>
    <s v="1036-1073"/>
    <s v="2201-1617"/>
    <s v=""/>
    <s v="HEALTH PROMOT J AUST"/>
    <s v="Health Promot. J. Aust."/>
    <s v="APR"/>
    <n v="2023"/>
    <n v="34"/>
    <n v="2"/>
    <s v=""/>
    <s v=""/>
    <s v=""/>
    <s v=""/>
    <n v="390"/>
    <n v="397"/>
    <s v=""/>
    <s v="10.1002/hpja.606"/>
    <s v="http://dx.doi.org/10.1002/hpja.606"/>
    <s v=""/>
    <s v="APR 2022"/>
    <n v="8"/>
    <s v="Public, Environmental &amp; Occupational Health"/>
    <x v="0"/>
    <s v="Public, Environmental &amp; Occupational Health"/>
    <s v="F1HJ2"/>
    <n v="35411703"/>
    <s v="hybrid"/>
    <s v=""/>
    <s v=""/>
    <s v="2023-11-15"/>
    <x v="327"/>
    <s v="View Full Record in Web of Science"/>
  </r>
  <r>
    <s v="J"/>
    <s v="Fumagalli, LAW; Rezende, DA; Guimaraes, TA"/>
    <s v=""/>
    <s v=""/>
    <s v=""/>
    <s v="Wernecke Fumagalli, Luis Andre; Rezende, Denis Alcides; Guimaraes, Thiago Andre"/>
    <s v=""/>
    <s v=""/>
    <s v="Data Intelligence in Public Transportation: Sustainable and Equitable Solutions to Urban Modals in Strategic Digital City Subproject"/>
    <s v="SUSTAINABILITY"/>
    <s v=""/>
    <s v=""/>
    <s v="English"/>
    <x v="0"/>
    <s v=""/>
    <s v=""/>
    <s v=""/>
    <s v=""/>
    <s v=""/>
    <s v="public transport; public administration; public investments; sustainable urban development; strategic digital city"/>
    <s v="DEMAND ELASTICITIES; MOBILITY; INVESTMENTS; POLICY; MODEL"/>
    <s v="Transport infrastructure investments must be linked to the public transport demand strategically. User behavior and decision-making process bring several possible alternative transportation options due to a series of factors that define it. Municipalities must manage these factors to promote equal and sustainable transport solutions through urban infrastructure, public transport competitiveness, and attractiveness, and fossil fuels use and pricing policy. The research objective is to determine these factors to monitor and use them for citizens' benefit by means of analytical tools and methods to gain a superior knowledge of reality with a focus on improving investments and services in an agile and efficient manner. Methodologically, the number of passengers of main Curitiba's (Brazil) bus rapid transit (BRT) lines is operated in two linear regression models combined with the number of private vehicles, public transport fare, and fuel price for the period between January/2010 and December/2019. Research analysis indicates direct causal relationships between the studied factors and that the necessary data for decision-making is available in the government information systems. In conclusion, urban management and strategic digital city project can be more balanced and assertive in transport infrastructure investments and citizen services provision."/>
    <s v="[Wernecke Fumagalli, Luis Andre; Rezende, Denis Alcides] Pontificia Univ Catolica Parana PUCPR, Strateg Digital City Res Grp CNPq, Masters &amp; Doctoral Program Urban Management, BR-80215901 Curitiba, Parana, Brazil; [Wernecke Fumagalli, Luis Andre] FAE Business Sch FAE, MBA Dept, BR-80010100 Curitiba, Parana, Brazil; [Guimaraes, Thiago Andre] Fed Univ Parana UFPR, Business Sch, BR-80210170 Curitiba, Parana, Brazil; [Guimaraes, Thiago Andre] Fed Inst Sci &amp; Technol Parana IFPR, Tech &amp; Technol Educ Dept, BR-80230150 Curitiba, Parana, Brazil"/>
    <s v="Pontificia Universidade Catolica do Parana; Universidade Federal do Parana"/>
    <s v="Rezende, DA (corresponding author), Pontificia Univ Catolica Parana PUCPR, Strateg Digital City Res Grp CNPq, Masters &amp; Doctoral Program Urban Management, BR-80215901 Curitiba, Parana, Brazil."/>
    <s v="luis.fumagalli@fae.edu; denis.rezende@pucpr.br; thiagoandre@ufpr.br"/>
    <s v="Guimaraes, Thiago Andre/JCN-8842-2023; Fumagalli, Luis Andre Wernecke/C-7061-2013"/>
    <s v="Rezende, Denis Alcides/0000-0002-3327-0424; Guimaraes, Thiago Andre/0000-0003-2483-976X; Fumagalli, Luis Andre Wernecke/0000-0002-1406-5230"/>
    <s v=""/>
    <s v=""/>
    <s v=""/>
    <s v=""/>
    <n v="43"/>
    <n v="2"/>
    <n v="2"/>
    <n v="8"/>
    <n v="15"/>
    <s v="MDPI"/>
    <s v="BASEL"/>
    <s v="ST ALBAN-ANLAGE 66, CH-4052 BASEL, SWITZERLAND"/>
    <s v=""/>
    <s v="2071-1050"/>
    <s v=""/>
    <s v="SUSTAINABILITY-BASEL"/>
    <s v="Sustainability"/>
    <s v="APR"/>
    <n v="2022"/>
    <n v="14"/>
    <n v="8"/>
    <s v=""/>
    <s v=""/>
    <s v=""/>
    <s v=""/>
    <s v=""/>
    <s v=""/>
    <n v="4683"/>
    <s v="10.3390/su14084683"/>
    <s v="http://dx.doi.org/10.3390/su14084683"/>
    <s v=""/>
    <s v=""/>
    <n v="16"/>
    <s v="Green &amp; Sustainable Science &amp; Technology; Environmental Sciences; Environmental Studies"/>
    <x v="1"/>
    <s v="Science &amp; Technology - Other Topics; Environmental Sciences &amp; Ecology"/>
    <s v="0T4KT"/>
    <s v=""/>
    <s v="gold"/>
    <s v=""/>
    <s v=""/>
    <s v="2023-11-15"/>
    <x v="328"/>
    <s v="View Full Record in Web of Science"/>
  </r>
  <r>
    <s v="J"/>
    <s v="Martin, NM; Barnett, DJ; Poirier, L; Sundermeir, SM; Reznar, MM; Gittelsohn, J"/>
    <s v=""/>
    <s v=""/>
    <s v=""/>
    <s v="Martin, Nina M.; Barnett, Daniel J.; Poirier, Lisa; Sundermeir, Samantha M.; Reznar, Melissa M.; Gittelsohn, Joel"/>
    <s v=""/>
    <s v=""/>
    <s v="Moving Food Assistance into the Digital Age: A Scoping Review"/>
    <s v="INTERNATIONAL JOURNAL OF ENVIRONMENTAL RESEARCH AND PUBLIC HEALTH"/>
    <s v=""/>
    <s v=""/>
    <s v="English"/>
    <x v="0"/>
    <s v=""/>
    <s v=""/>
    <s v=""/>
    <s v=""/>
    <s v=""/>
    <s v="food security; food assistance; digital applications; digital technology; digital health"/>
    <s v="ONLINE SOCIAL NETWORKS; STRATEGIES; INTERVENTIONS; INFORMATION; TECHNOLOGY; INSECURITY; BEHAVIORS; WEIGHT; APP"/>
    <s v="One of the most basic needs globally, food assistance refers to the multitude of programs, both governmental and non-governmental, to improve food access and consumption by food-insecure individuals and families. Despite the importance of digital and mobile Health (mHealth) strategies in food insecurity contexts, little is known about their specific use in food assistance programs. Therefore, the purpose of this study was to address that gap by conducting a scoping review of the literature. Keywords were defined within the concepts of food assistance and digital technology. The search included relevant peer-reviewed and grey literature from 2011 to 2021. Excluded articles related to agriculture and non-digital strategies. PRISMA guidelines were followed to perform a partnered, two-round scoping literature review. The final synthesis included 39 studies of which most (84.6%) were from the last five years and United States-based (93.2%). The top three types of articles or studies included text and opinion, qualitative research, and website, application, or model development (17.9%). The top three types of digital tools were websites (56.4%), smartphone applications (20.5%), and chatbots (5.1%). Nineteen digital features were identified as desirable. Most tools included just one or two features. The most popular feature to include was online shopping (n = 14), followed by inventory management, and client tracking. Digital tools for individual food assistance represent an opportunity for equitable and stable access to programs that can enhance or replace in-person services. While this review identified 39 tools, all are in early development and/or implementation stages. Review findings highlight an overall lack of these tools, an absence of user-centered design in their development, and a critical need for research on their effectiveness globally. Further analysis and testing of current digital tool usage and interventions examining the health and food security impacts of such tools should be explored in future studies, including in the context of pandemics, where digital tools allow for help from a distance."/>
    <s v="[Martin, Nina M.; Poirier, Lisa; Sundermeir, Samantha M.; Gittelsohn, Joel] Johns Hopkins Bloomberg Sch Publ Hlth, Dept Int Hlth, Human Nutr Program, Baltimore, MD 21205 USA; [Barnett, Daniel J.] Johns Hopkins Bloomberg Sch Publ Hlth, Dept Environm Hlth &amp; Engn, Baltimore, MD 21205 USA; [Reznar, Melissa M.] Oakland Univ, Sch Hlth Sci, Dept Interdisciplinary Hlth Sci, Rochester, MI 48309 USA"/>
    <s v="Johns Hopkins University; Johns Hopkins Bloomberg School of Public Health; Johns Hopkins University; Johns Hopkins Bloomberg School of Public Health; Oakland University"/>
    <s v="Martin, NM (corresponding author), Johns Hopkins Bloomberg Sch Publ Hlth, Dept Int Hlth, Human Nutr Program, Baltimore, MD 21205 USA."/>
    <s v="nmarti38@jhu.edu; dbarnet4@jhu.edu; lpoirie4@jhu.edu; srex2@jh.edu; reznar@oakland.edu; jgittel1@jh.edu"/>
    <s v="Reznar, Melissa/AGF-5330-2022"/>
    <s v="Reznar, Melissa/0000-0002-6304-3943; Sundermeir, Samantha/0000-0003-4471-0621; Martin, Nina/0000-0002-3361-7037; Poirier, Lisa/0000-0003-4180-0357; Gittelsohn, Joel/0000-0003-2761-3280"/>
    <s v="Bloomberg American Health Initiative"/>
    <s v="Bloomberg American Health Initiative"/>
    <s v="This research was funded by the Bloomberg American Health Initiative."/>
    <s v=""/>
    <n v="71"/>
    <n v="2"/>
    <n v="2"/>
    <n v="0"/>
    <n v="3"/>
    <s v="MDPI"/>
    <s v="BASEL"/>
    <s v="ST ALBAN-ANLAGE 66, CH-4052 BASEL, SWITZERLAND"/>
    <s v=""/>
    <s v="1660-4601"/>
    <s v=""/>
    <s v="INT J ENV RES PUB HE"/>
    <s v="Int. J. Environ. Res. Public Health"/>
    <s v="FEB"/>
    <n v="2022"/>
    <n v="19"/>
    <n v="3"/>
    <s v=""/>
    <s v=""/>
    <s v=""/>
    <s v=""/>
    <s v=""/>
    <s v=""/>
    <n v="1328"/>
    <s v="10.3390/ijerph19031328"/>
    <s v="http://dx.doi.org/10.3390/ijerph19031328"/>
    <s v=""/>
    <s v=""/>
    <n v="20"/>
    <s v="Environmental Sciences; Public, Environmental &amp; Occupational Health"/>
    <x v="1"/>
    <s v="Environmental Sciences &amp; Ecology; Public, Environmental &amp; Occupational Health"/>
    <s v="ZA3JX"/>
    <n v="35162351"/>
    <s v="Green Published, gold"/>
    <s v=""/>
    <s v=""/>
    <s v="2023-11-15"/>
    <x v="329"/>
    <s v="View Full Record in Web of Science"/>
  </r>
  <r>
    <s v="J"/>
    <s v="Oztig, LI"/>
    <s v=""/>
    <s v=""/>
    <s v=""/>
    <s v="Oztig, Lacin Idil"/>
    <s v=""/>
    <s v=""/>
    <s v="Holocaust museums, Holocaust memorial culture, and individuals: a Constructivist perspective"/>
    <s v="JOURNAL OF MODERN JEWISH STUDIES"/>
    <s v=""/>
    <s v=""/>
    <s v="English"/>
    <x v="2"/>
    <s v=""/>
    <s v=""/>
    <s v=""/>
    <s v=""/>
    <s v=""/>
    <s v="Holocaust museums; Holocaust memorial culture; individuals; agency; Constructivism"/>
    <s v="SOCIAL CONSTRUCTION; POLITICS"/>
    <s v="There is a rich body of literature examining the contribution of Holocaust museums to the Holocaust memorial culture by focusing on their educative, awareness-raising, and memorializing functions. In this context, ample attention has been devoted to these museums' exhibitions, educatory activities, reenactment practices, digital strategies, as well as their historical and architectural narratives. This article brings a novel perspective to the literature by giving an account of how Holocaust museums act as a medium through which individuals contribute to the Holocaust memorial culture from a Constructivist perspective. It argues that Holocaust museums do not treat individuals as passive recipients of the Holocaust memorial culture, but actors who could exercise agential capacities in relation to the Holocaust memorial culture. This argument is illustrated by case studies of the United States Holocaust Memorial Museum (USHMM), the Berlin Jewish Museum, and the Anne Frank House. It is shown that these museums offer platforms through which individuals actively contribute to the Holocaust memorial culture by encouraging them to conduct and share their Holocaust-related research, donating Holocaust-related objects, and engaging in social activities to diffuse related norms and messages."/>
    <s v="[Oztig, Lacin Idil] Yildiz Tech Univ, Dept Polit Sci &amp; Int Relat, Istanbul, Turkey"/>
    <s v="Yildiz Technical University"/>
    <s v="Oztig, LI (corresponding author), Yildiz Tech Univ, Dept Polit Sci &amp; Int Relat, Istanbul, Turkey."/>
    <s v="loztig@yildiz.edu.tr"/>
    <s v=""/>
    <s v=""/>
    <s v=""/>
    <s v=""/>
    <s v=""/>
    <s v=""/>
    <n v="62"/>
    <n v="2"/>
    <n v="2"/>
    <n v="1"/>
    <n v="2"/>
    <s v="ROUTLEDGE JOURNALS, TAYLOR &amp; FRANCIS LTD"/>
    <s v="ABINGDON"/>
    <s v="2-4 PARK SQUARE, MILTON PARK, ABINGDON OX14 4RN, OXON, ENGLAND"/>
    <s v="1472-5886"/>
    <s v="1472-5894"/>
    <s v=""/>
    <s v="J MOD JEW STUD"/>
    <s v="J. Mod. Jew. Stud."/>
    <s v="2022 JAN 21"/>
    <n v="2022"/>
    <s v=""/>
    <s v=""/>
    <s v=""/>
    <s v=""/>
    <s v=""/>
    <s v=""/>
    <s v=""/>
    <s v=""/>
    <s v=""/>
    <s v="10.1080/14725886.2021.2011607"/>
    <s v="http://dx.doi.org/10.1080/14725886.2021.2011607"/>
    <s v=""/>
    <s v="JAN 2022"/>
    <n v="22"/>
    <s v="Humanities, Multidisciplinary"/>
    <x v="3"/>
    <s v="Arts &amp; Humanities - Other Topics"/>
    <s v="6R0YY"/>
    <s v=""/>
    <s v=""/>
    <s v=""/>
    <s v=""/>
    <s v="2023-11-15"/>
    <x v="330"/>
    <s v="View Full Record in Web of Science"/>
  </r>
  <r>
    <s v="J"/>
    <s v="Baslyman, M"/>
    <s v=""/>
    <s v=""/>
    <s v=""/>
    <s v="Baslyman, Malak"/>
    <s v=""/>
    <s v=""/>
    <s v="Digital Transformation From the Industry Perspective: Definitions, Goals, Conceptual Model, and Processes"/>
    <s v="IEEE ACCESS"/>
    <s v=""/>
    <s v=""/>
    <s v="English"/>
    <x v="0"/>
    <s v=""/>
    <s v=""/>
    <s v=""/>
    <s v=""/>
    <s v=""/>
    <s v="Industries; Digital transformation; Data models; Companies; Interviews; Technological innovation; Transforms; Digital transformation; digital strategy; business mode; conceptual model; industry; digital transformation process; digital transformation goals"/>
    <s v="PROCESS INTEGRATION; BIG DATA"/>
    <s v="Digital transformation (DT) is a unique transformation that organizations undergo, as it depends on understanding the role of data and available technologies, which bring drastic changes to an organization's structure and capabilities. Studies discussing DT concepts, frameworks, and tools are increasing rapidly. However, few studies empirically present the industrial understanding and practices of the DT process and how to successfully implement DT. In this study, I interviewed nine senior DT leaders to provide a holistic and comprehensive understanding of DT in practice. The DT leaders provided definitions of DT, its core goals and motivations, its concepts and relationships, and its implementation processes. Through analyzing the leaders' responses, an empirically driven definition of DT and its goals are presented. In addition, the study provides a conceptual model that depicts the basic entities in the DT context and their relationships. Finally, it provides a comprehensive representation of phases and processes through which organizations, that have already implemented DT successfully in some of their business units, undergo."/>
    <s v="[Baslyman, Malak] King Fahd Univ Petr &amp; Minerals, Dept Informat &amp; Comp Sci, Dhahran 31261, Saudi Arabia"/>
    <s v="King Fahd University of Petroleum &amp; Minerals"/>
    <s v="Baslyman, M (corresponding author), King Fahd Univ Petr &amp; Minerals, Dept Informat &amp; Comp Sci, Dhahran 31261, Saudi Arabia."/>
    <s v="malak.baslyman@kfupm.edu.sa"/>
    <s v=""/>
    <s v="Baslyman, Malak/0000-0003-4002-4480"/>
    <s v="Deanship of Scienti~c Research, King Fahd University of Petroleum and Minerals [SR191012]"/>
    <s v="Deanship of Scienti~c Research, King Fahd University of Petroleum and Minerals"/>
    <s v="This work was supported by the Deanship of Scienti~c Research, King Fahd University of Petroleum and Minerals, under Grant SR191012."/>
    <s v=""/>
    <n v="43"/>
    <n v="2"/>
    <n v="2"/>
    <n v="18"/>
    <n v="62"/>
    <s v="IEEE-INST ELECTRICAL ELECTRONICS ENGINEERS INC"/>
    <s v="PISCATAWAY"/>
    <s v="445 HOES LANE, PISCATAWAY, NJ 08855-4141 USA"/>
    <s v="2169-3536"/>
    <s v=""/>
    <s v=""/>
    <s v="IEEE ACCESS"/>
    <s v="IEEE Access"/>
    <s v=""/>
    <n v="2022"/>
    <n v="10"/>
    <s v=""/>
    <s v=""/>
    <s v=""/>
    <s v=""/>
    <s v=""/>
    <n v="42961"/>
    <n v="42970"/>
    <s v=""/>
    <s v="10.1109/ACCESS.2022.3166937"/>
    <s v="http://dx.doi.org/10.1109/ACCESS.2022.3166937"/>
    <s v=""/>
    <s v=""/>
    <n v="10"/>
    <s v="Computer Science, Information Systems; Engineering, Electrical &amp; Electronic; Telecommunications"/>
    <x v="1"/>
    <s v="Computer Science; Engineering; Telecommunications"/>
    <s v="0W4GM"/>
    <s v=""/>
    <s v="gold"/>
    <s v=""/>
    <s v=""/>
    <s v="2023-11-15"/>
    <x v="331"/>
    <s v="View Full Record in Web of Science"/>
  </r>
  <r>
    <s v="B"/>
    <s v="Bourcheix-Laporte, M"/>
    <s v=""/>
    <s v="Beauregard, D; Paquette, J"/>
    <s v=""/>
    <s v="Bourcheix-Laporte, Mariane"/>
    <s v=""/>
    <s v=""/>
    <s v="Digital cultural industrialism and the arts A critical look at Creative Canada and the Canada Council for the Arts' Digital Strategy Fund"/>
    <s v="CANADIAN CULTURAL POLICY IN TRANSITION"/>
    <s v="Routledge Studies in Media and Cultural Industries"/>
    <s v=""/>
    <s v="English"/>
    <x v="1"/>
    <s v=""/>
    <s v=""/>
    <s v=""/>
    <s v=""/>
    <s v=""/>
    <s v=""/>
    <s v=""/>
    <s v=""/>
    <s v="[Bourcheix-Laporte, Mariane] Simon Fraser Univ, Sch Commun, Vancouver, BC, Canada"/>
    <s v="Simon Fraser University"/>
    <s v="Bourcheix-Laporte, M (corresponding author), Simon Fraser Univ, Sch Commun, Vancouver, BC, Canada."/>
    <s v=""/>
    <s v=""/>
    <s v=""/>
    <s v=""/>
    <s v=""/>
    <s v=""/>
    <s v=""/>
    <n v="47"/>
    <n v="2"/>
    <n v="2"/>
    <n v="1"/>
    <n v="1"/>
    <s v="ROUTLEDGE"/>
    <s v="ABINGDON"/>
    <s v="2 PARK SQ, MILTON PARK, ABINGDON OX14 4RN, OXFORD, ENGLAND"/>
    <s v=""/>
    <s v=""/>
    <s v="978-0-367-68061-9; 978-1-00-313402-2; 978-0-367-68059-6"/>
    <s v="ROU S MEDIA CULT IND"/>
    <s v=""/>
    <s v=""/>
    <n v="2022"/>
    <s v=""/>
    <s v=""/>
    <s v=""/>
    <s v=""/>
    <s v=""/>
    <s v=""/>
    <n v="183"/>
    <n v="197"/>
    <s v=""/>
    <s v="10.4324/9781003134022-16"/>
    <s v="http://dx.doi.org/10.4324/9781003134022-16"/>
    <s v="10.4324/9781003134022"/>
    <s v=""/>
    <n v="15"/>
    <s v="Humanities, Multidisciplinary; Cultural Studies; Public Administration"/>
    <x v="4"/>
    <s v="Arts &amp; Humanities - Other Topics; Cultural Studies; Public Administration"/>
    <s v="BT5GJ"/>
    <s v=""/>
    <s v=""/>
    <s v=""/>
    <s v=""/>
    <s v="2023-11-15"/>
    <x v="332"/>
    <s v="View Full Record in Web of Science"/>
  </r>
  <r>
    <s v="J"/>
    <s v="Gault, J; Cuevas, JA"/>
    <s v=""/>
    <s v=""/>
    <s v=""/>
    <s v="Gault, Jimmy; Cuevas, Joshua A."/>
    <s v=""/>
    <s v=""/>
    <s v="Uses of Blended Learning and its Impact in a High School Social Studies Classroom"/>
    <s v="INTERNATIONAL JOURNAL OF TECHNOLOGY IN EDUCATION"/>
    <s v=""/>
    <s v=""/>
    <s v="English"/>
    <x v="0"/>
    <s v=""/>
    <s v=""/>
    <s v=""/>
    <s v=""/>
    <s v=""/>
    <s v="Blended learning; Digital learning; Instructional technology; Social studies; Student perceptions"/>
    <s v="STUDENTS; VIEWS"/>
    <s v="As society becomes more technologically advanced, digital instructional strategies continue to emerge. Students are becoming more involved with technology, and schools must supply students with more tools to succeed in an increasingly technology-based world. This study examined the impact of technology-based strategies in a high school social studies classroom. It focused on blended learning pedagogy in addition to the flexibility of digital strategies and their impact on student achievement and perceptions. The sample comprised 88 students from three 9th grade geography courses. No differences in achievement were found, and there was no correlation between time spent on the digital modules and student learning. However, students reported positive perceptions regarding blended learning, including high confidence in their ability to access information and confidence in interactions regarding collaborations with peers and the teacher. They also most often believed that they were learning more in the blended learning environment and reported high enjoyment."/>
    <s v="[Gault, Jimmy; Cuevas, Joshua A.] Univ North Georgia, Coll Educ, 3820 Mundy Mill Rd, Oakwood, GA 30566 USA"/>
    <s v="University of North Georgia"/>
    <s v="Cuevas, JA (corresponding author), Univ North Georgia, Coll Educ, 3820 Mundy Mill Rd, Oakwood, GA 30566 USA."/>
    <s v="josh.cuevas@ung.edu"/>
    <s v=""/>
    <s v=""/>
    <s v=""/>
    <s v=""/>
    <s v=""/>
    <s v=""/>
    <n v="47"/>
    <n v="2"/>
    <n v="2"/>
    <n v="3"/>
    <n v="6"/>
    <s v="INT SOC TECHNOLOGY EDUCATION &amp; SCIENCE-ISTES"/>
    <s v="MONUMENT"/>
    <s v="19723 LINDENMERE DR, MONUMENT, COLORADO, UNITED STATES"/>
    <s v=""/>
    <s v="2689-2758"/>
    <s v=""/>
    <s v="INT J TECHNOL EDUC"/>
    <s v="Int. J. Technol. Educ."/>
    <s v=""/>
    <n v="2022"/>
    <n v="5"/>
    <n v="3"/>
    <s v=""/>
    <s v=""/>
    <s v=""/>
    <s v=""/>
    <n v="383"/>
    <n v="410"/>
    <s v=""/>
    <s v="10.46328/ijte.247"/>
    <s v="http://dx.doi.org/10.46328/ijte.247"/>
    <s v=""/>
    <s v=""/>
    <n v="28"/>
    <s v="Education &amp; Educational Research"/>
    <x v="3"/>
    <s v="Education &amp; Educational Research"/>
    <s v="6I5UR"/>
    <s v=""/>
    <s v="gold"/>
    <s v=""/>
    <s v=""/>
    <s v="2023-11-15"/>
    <x v="333"/>
    <s v="View Full Record in Web of Science"/>
  </r>
  <r>
    <s v="J"/>
    <s v="Ng, PC; Spachos, P; Gregori, S; Plataniotis, KN"/>
    <s v=""/>
    <s v=""/>
    <s v=""/>
    <s v="Ng, Pai Chet; Spachos, Petros; Gregori, Stefano; Plataniotis, Konstantinos N."/>
    <s v=""/>
    <s v=""/>
    <s v="Epidemic Exposure Tracking With Wearables: A Machine Learning Approach to Contact Tracing"/>
    <s v="IEEE ACCESS"/>
    <s v=""/>
    <s v=""/>
    <s v="English"/>
    <x v="0"/>
    <s v=""/>
    <s v=""/>
    <s v=""/>
    <s v=""/>
    <s v=""/>
    <s v="Sensors; COVID-19; Machine learning; Temperature measurement; Coronaviruses; Wearable computers; Protocols; Bluetooth low energy; contact tracing; disease outbreak; physical distancing; smartwatch; wearables; COVID-19; proximity sensing; pandemic; artificial intelligence; supervised learning; neural network"/>
    <s v="COVID-19 CLASSIFICATION; BLUETOOTH; LOCALIZATION; PROXIMITY; ACCURACY"/>
    <s v="The recent pandemic revealed weaknesses in several areas, including the limited capacity of public health systems for efficient case tracking and reporting. In the post-pandemic era, it is essential to be ready and provide not only preventive measures, but also effective digital strategies and solutions to protect our population from future outbreaks. This work presents a contact tracing solution based on wearable devices to track epidemic exposure. Our proximity-based privacy-preserving contact tracing (P3CT) integrates: 1) the Bluetooth Low Energy (BLE) technology for reliable proximity sensing, 2) a machine-learning approach to classify the exposure risk of a user, and 3) an ambient signature protocol for preserving the user's identity. Proximity sensing exploits the signals emitted from a smartwatch to estimate users' interaction, in terms of distance and duration. Supervised learning is then used to train four classification models to identify the exposure risk of a user with respect to a patient diagnosed with an infectious disease. Finally, our proposed P3CT protocol uses ambient signatures to anonymize the infected patient's identity. Extensive experiments demonstrate the feasibility of our proposed solution for real-world contact tracing problems. The large-scale dataset consisting of the signal information collected from the smartwatch is available online. According to experimental results, wearable devices along with machine learning models are a promising approach for epidemic exposure notification and tracking."/>
    <s v="[Ng, Pai Chet; Spachos, Petros; Gregori, Stefano] Univ Guelph, Sch Engn, Guelph, ON N1G 2W1, Canada; [Ng, Pai Chet; Plataniotis, Konstantinos N.] Univ Toronto, Dept Elect &amp; Comp Engn, Toronto, ON M5S 3G8, Canada"/>
    <s v="University of Guelph; University of Toronto"/>
    <s v="Spachos, P (corresponding author), Univ Guelph, Sch Engn, Guelph, ON N1G 2W1, Canada."/>
    <s v="petros@uoguelph.ca"/>
    <s v="Ng, Pc/ITV-2513-2023; Gregori, Stefano/U-8583-2019; Plataniotis, Konstantinos/E-8471-2014"/>
    <s v="Gregori, Stefano/0000-0001-5410-1139; Plataniotis, Konstantinos/0000-0003-3647-5473"/>
    <s v="Natural Sciences and Engineering Research Council of Canada (NSERC) [401656]"/>
    <s v="Natural Sciences and Engineering Research Council of Canada (NSERC)(Natural Sciences and Engineering Research Council of Canada (NSERC))"/>
    <s v="This work was supported in part by the Natural Sciences and Engineering Research Council of Canada (NSERC) through the NSERC Alliance COVID-19 grant #401656."/>
    <s v=""/>
    <n v="39"/>
    <n v="2"/>
    <n v="2"/>
    <n v="0"/>
    <n v="4"/>
    <s v="IEEE-INST ELECTRICAL ELECTRONICS ENGINEERS INC"/>
    <s v="PISCATAWAY"/>
    <s v="445 HOES LANE, PISCATAWAY, NJ 08855-4141 USA"/>
    <s v="2169-3536"/>
    <s v=""/>
    <s v=""/>
    <s v="IEEE ACCESS"/>
    <s v="IEEE Access"/>
    <s v=""/>
    <n v="2022"/>
    <n v="10"/>
    <s v=""/>
    <s v=""/>
    <s v=""/>
    <s v=""/>
    <s v=""/>
    <n v="14134"/>
    <n v="14148"/>
    <s v=""/>
    <s v="10.1109/ACCESS.2022.3148051"/>
    <s v="http://dx.doi.org/10.1109/ACCESS.2022.3148051"/>
    <s v=""/>
    <s v=""/>
    <n v="15"/>
    <s v="Computer Science, Information Systems; Engineering, Electrical &amp; Electronic; Telecommunications"/>
    <x v="2"/>
    <s v="Computer Science; Engineering; Telecommunications"/>
    <s v="YW4SM"/>
    <s v=""/>
    <s v="gold"/>
    <s v=""/>
    <s v=""/>
    <s v="2023-11-15"/>
    <x v="334"/>
    <s v="View Full Record in Web of Science"/>
  </r>
  <r>
    <s v="J"/>
    <s v="Boonstra, MD; Reijneveld, SA; Navis, G; Westerhuis, R; de Winter, AF"/>
    <s v=""/>
    <s v=""/>
    <s v=""/>
    <s v="Boonstra, Marco D.; Reijneveld, Sijmen A.; Navis, Gerjan; Westerhuis, Ralf; de Winter, Andrea F."/>
    <s v=""/>
    <s v=""/>
    <s v="Co-Creation of a Multi-Component Health Literacy Intervention Targeting Both Patients with Mild to Severe Chronic Kidney Disease and Health Care Professionals"/>
    <s v="INTERNATIONAL JOURNAL OF ENVIRONMENTAL RESEARCH AND PUBLIC HEALTH"/>
    <s v=""/>
    <s v=""/>
    <s v="English"/>
    <x v="0"/>
    <s v=""/>
    <s v=""/>
    <s v=""/>
    <s v=""/>
    <s v=""/>
    <s v="chronic kidney disease; health literacy; self-management; communication; patient education; intervention; professional training"/>
    <s v="SELF-MANAGEMENT; COMMUNICATION; QUALITY; BEHAVIORS; FRAMEWORK; PEOPLE"/>
    <s v="Limited health literacy (LHL) is common in chronic kidney disease (CKD) patients and frequently associated with worse self-management. Multi-component interventions targeted at patients and healthcare professionals (HCPs) are recommended, but evidence is limited. Therefore, this study aims to determine the objectives and strategies of such an intervention, and to develop, produce and evaluate it. For this purpose, we included CKD patients with LHL (n = 19), HCPs (n = 15), educators (n = 3) and students (n = 4) from general practices, nephrology clinics and universities in an Intervention Mapping (IM) process. The determined intervention objectives especially address the patients' competences in maintaining self-management in the long term, and communication competences of patients and HCPs. Patients preferred visual strategies and strategies supporting discussion of needs and barriers during consultations to written and digital strategies. Moreover, they preferred an individual approach to group meetings. We produced a four-component intervention, consisting of a visually attractive website and topic-based brochures, consultation cards for patients, and training on LHL for HCPs. Evaluation revealed that the intervention was useful, comprehensible and fitting for patients' needs. Healthcare organizations need to use visual strategies more in patient education, be careful with digitalization and group meetings, and train HCPs to improve care for patients with LHL. Large-scale research on the effectiveness of similar HL interventions is needed."/>
    <s v="[Boonstra, Marco D.; Reijneveld, Sijmen A.; de Winter, Andrea F.] Univ Med Ctr Groningen, Dept Hlth Sci, NL-9713 GZ Groningen, Netherlands; [Navis, Gerjan; Westerhuis, Ralf] Univ Med Ctr Groningen, Dept Nephrol, NL-9713 GZ Groningen, Netherlands"/>
    <s v="University of Groningen; University of Groningen"/>
    <s v="Boonstra, MD (corresponding author), Univ Med Ctr Groningen, Dept Hlth Sci, NL-9713 GZ Groningen, Netherlands."/>
    <s v="m.d.boonstra@umcg.nl; s.a.reijneveld@umcg.nl; g.j.navis@umcg.nl; r.westerhuis@dcg.nl; a.f.de.winter@umcg.nl"/>
    <s v=""/>
    <s v="Boonstra, Marco Douwe/0000-0001-8807-3068; Reijneveld, Sijmen/0000-0002-1206-7523"/>
    <s v=""/>
    <s v=""/>
    <s v=""/>
    <s v=""/>
    <n v="58"/>
    <n v="2"/>
    <n v="2"/>
    <n v="0"/>
    <n v="8"/>
    <s v="MDPI"/>
    <s v="BASEL"/>
    <s v="ST ALBAN-ANLAGE 66, CH-4052 BASEL, SWITZERLAND"/>
    <s v=""/>
    <s v="1660-4601"/>
    <s v=""/>
    <s v="INT J ENV RES PUB HE"/>
    <s v="Int. J. Environ. Res. Public Health"/>
    <s v="DEC"/>
    <n v="2021"/>
    <n v="18"/>
    <n v="24"/>
    <s v=""/>
    <s v=""/>
    <s v=""/>
    <s v=""/>
    <s v=""/>
    <s v=""/>
    <n v="13354"/>
    <s v="10.3390/ijerph182413354"/>
    <s v="http://dx.doi.org/10.3390/ijerph182413354"/>
    <s v=""/>
    <s v=""/>
    <n v="19"/>
    <s v="Environmental Sciences; Public, Environmental &amp; Occupational Health"/>
    <x v="1"/>
    <s v="Environmental Sciences &amp; Ecology; Public, Environmental &amp; Occupational Health"/>
    <s v="XZ4MQ"/>
    <n v="34948960"/>
    <s v="Green Published, gold"/>
    <s v=""/>
    <s v=""/>
    <s v="2023-11-15"/>
    <x v="335"/>
    <s v="View Full Record in Web of Science"/>
  </r>
  <r>
    <s v="J"/>
    <s v="González-Neira, A; Vázquez-Herrero, J; Quintas-Froufe, N"/>
    <s v=""/>
    <s v=""/>
    <s v=""/>
    <s v="Gonzalez-Neira, Ana; Vazquez-Herrero, Jorge; Quintas-Froufe, Natalia"/>
    <s v=""/>
    <s v=""/>
    <s v="Convergence of linear television and digital platforms: An analysis of YouTube offer and consumption"/>
    <s v="EUROPEAN JOURNAL OF COMMUNICATION"/>
    <s v=""/>
    <s v=""/>
    <s v="English"/>
    <x v="0"/>
    <s v=""/>
    <s v=""/>
    <s v=""/>
    <s v=""/>
    <s v=""/>
    <s v="digital video; audience; television; YouTube; digitalization"/>
    <s v="SOCIAL MEDIA; TV"/>
    <s v="This research studies the offer and consumption on YouTube in Spain of videos from the three main media groups on free-to-air TV. Firstly, a study of the offer of these channels' onset platforms was conducted. Later, the audience data gathered by YouTube Data API and Comscore between February and May 2020 was analyzed to ascertain the traditional broadcasters' strategy regarding new viewing windows. The results indicate that this window display is used mainly as a promotional strategy and the channels do not consider it to be a key element in their digital strategy, with practical nonexistence of crossmedia initiatives and exclusive content. The consumer analysis permits definition of the TV content, its success and user patterns."/>
    <s v="[Gonzalez-Neira, Ana; Quintas-Froufe, Natalia] Univ A Coruna, La Coruna, Spain; [Vazquez-Herrero, Jorge] Univ Santiago de Compostela, Santiago De Compostela, A Coruna, Spain"/>
    <s v="Universidade da Coruna; Universidade de Santiago de Compostela"/>
    <s v="Vázquez-Herrero, J (corresponding author), Univ Santiago de Compostela, Fac Commun Sci, Ave Castelao S-N, Santiago De Compostela 15782, A Coruna, Spain."/>
    <s v="jorge.vazquez@usc.es"/>
    <s v="Vázquez-Herrero, Jorge/J-8399-2017; Gonzalez-Neira, Ana/K-7155-2014"/>
    <s v="Vázquez-Herrero, Jorge/0000-0002-9081-3018; Gonzalez-Neira, Ana/0000-0002-6369-0323"/>
    <s v=""/>
    <s v=""/>
    <s v=""/>
    <s v=""/>
    <n v="53"/>
    <n v="2"/>
    <n v="2"/>
    <n v="3"/>
    <n v="15"/>
    <s v="SAGE PUBLICATIONS LTD"/>
    <s v="LONDON"/>
    <s v="1 OLIVERS YARD, 55 CITY ROAD, LONDON EC1Y 1SP, ENGLAND"/>
    <s v="0267-3231"/>
    <s v="1460-3705"/>
    <s v=""/>
    <s v="EUR J COMMUN"/>
    <s v="Eur. J. Commun."/>
    <s v="AUG"/>
    <n v="2022"/>
    <n v="37"/>
    <n v="4"/>
    <s v=""/>
    <s v=""/>
    <s v=""/>
    <s v=""/>
    <n v="426"/>
    <n v="442"/>
    <n v="2673231211054720"/>
    <s v="10.1177/02673231211054720"/>
    <s v="http://dx.doi.org/10.1177/02673231211054720"/>
    <s v=""/>
    <s v="NOV 2021"/>
    <n v="17"/>
    <s v="Communication"/>
    <x v="0"/>
    <s v="Communication"/>
    <s v="3I9QB"/>
    <s v=""/>
    <s v=""/>
    <s v=""/>
    <s v=""/>
    <s v="2023-11-15"/>
    <x v="336"/>
    <s v="View Full Record in Web of Science"/>
  </r>
  <r>
    <s v="J"/>
    <s v="Maier, CD; Ravazzani, S"/>
    <s v=""/>
    <s v=""/>
    <s v=""/>
    <s v="Maier, Carmen Daniela; Ravazzani, Silvia"/>
    <s v=""/>
    <s v=""/>
    <s v="Framing Diversity in Corporate Digital Contexts: A Multimodal Approach to Discursive Recontextualizations of Social Practices"/>
    <s v="INTERNATIONAL JOURNAL OF BUSINESS COMMUNICATION"/>
    <s v=""/>
    <s v=""/>
    <s v="English"/>
    <x v="0"/>
    <s v=""/>
    <s v=""/>
    <s v=""/>
    <s v=""/>
    <s v=""/>
    <s v="corporate multimodal communication; discursive digital strategies; critical discourse analysis; diversity commitment and management"/>
    <s v="DISCOURSE; LEGITIMATION; MANAGEMENT; WORKPLACE"/>
    <s v="Diversity has become a buzzword and a must-have corporate practice for contemporary organizations. This article aims to determine how discursive strategies employed by organizations to frame diversity are constructed in digital contexts. Drawing on the literature related to diversity in organizations and its framing in external digital contexts, this study adopts a critical perspective on the discourse analysis of corporate multimodal communication. This methodological approach allows us, first, to map the discursive strategies used to frame diversity in digital contexts through several semiotic modes; and second, to unravel in detail how this discursive construction is realized in terms of social actors, social actions, space, and time. This approach is empirically applied to the case of a leading global organization, Google. The study takes current research on diversity-related framing in corporate digital communication forward and shifts the focus to multimodal discursive strategies. Researchers can use this methodological approach to capture and analyze in detail the ongoing processes of discursive representations, and to produce longitudinal studies. Practitioners can become more aware of the multimodal character of contemporary communication and build on this study to ensure that their diversity-related framing is characterized by consistency across different digital platforms."/>
    <s v="[Maier, Carmen Daniela; Ravazzani, Silvia] Aarhus Univ, Corp Commun Sect, Dept Management, Aarhus, Denmark"/>
    <s v="Aarhus University"/>
    <s v="Maier, CD (corresponding author), Aarhus Univ, Dept Management, Fuglesangs 4, DK-8210 Aarhus V, Denmark."/>
    <s v="cdm@mgmt.au.dk"/>
    <s v="Maier, Carmen Daniela/AAA-4855-2020"/>
    <s v="Maier, Carmen Daniela/0000-0002-4082-1116"/>
    <s v=""/>
    <s v=""/>
    <s v=""/>
    <s v=""/>
    <n v="82"/>
    <n v="2"/>
    <n v="2"/>
    <n v="6"/>
    <n v="26"/>
    <s v="SAGE PUBLICATIONS INC"/>
    <s v="THOUSAND OAKS"/>
    <s v="2455 TELLER RD, THOUSAND OAKS, CA 91320 USA"/>
    <s v="2329-4884"/>
    <s v="2329-4892"/>
    <s v=""/>
    <s v="INT J BUS COMMUN"/>
    <s v="Int. J. Bus. Commun."/>
    <s v="OCT"/>
    <n v="2021"/>
    <n v="58"/>
    <n v="4"/>
    <s v=""/>
    <s v=""/>
    <s v=""/>
    <s v=""/>
    <n v="463"/>
    <n v="489"/>
    <s v=""/>
    <s v="10.1177/2329488418768690"/>
    <s v="http://dx.doi.org/10.1177/2329488418768690"/>
    <s v=""/>
    <s v=""/>
    <n v="27"/>
    <s v="Business; Communication"/>
    <x v="0"/>
    <s v="Business &amp; Economics; Communication"/>
    <s v="UB4SH"/>
    <s v=""/>
    <s v="Green Accepted"/>
    <s v=""/>
    <s v=""/>
    <s v="2023-11-15"/>
    <x v="337"/>
    <s v="View Full Record in Web of Science"/>
  </r>
  <r>
    <s v="J"/>
    <s v="Masella, M; Crudu, A; Leonforte, F"/>
    <s v=""/>
    <s v=""/>
    <s v=""/>
    <s v="Masella, Michel; Crudu, Alina; Leonforte, Fabien"/>
    <s v=""/>
    <s v=""/>
    <s v="Hybrid polarizable simulations of a conventional hydrophobic polyelectrolyte. Toward a theoretical tool for green science innovation"/>
    <s v="JOURNAL OF CHEMICAL PHYSICS"/>
    <s v=""/>
    <s v=""/>
    <s v="English"/>
    <x v="0"/>
    <s v=""/>
    <s v=""/>
    <s v=""/>
    <s v=""/>
    <s v=""/>
    <s v=""/>
    <s v="FORCE-FIELD; MOLECULAR SIMULATION; DYNAMICS SIMULATIONS; NEUTRON-SCATTERING; AQUEOUS-SOLUTIONS; DRIVING-FORCE; SOLVENT MODEL; WATER; ION; SOLVATION"/>
    <s v="Hybrid modeling approaches based on all-atom force fields to handle a solute and coarse-grained models to account for the solvent are promising numerical tools that can be used to understand the properties of large and multi-components solutions and thus to speed up the development of new industrial products that obey the standard of green and sustainable chemistry. Here, we discuss the ability of a full polarizable hybrid approach coupled to a standard molecular dynamics scheme to model the behavior in the aqueous phase and at infinite dilution conditions of a standard hydrophobic polyelectrolyte polymer whose charge is neutralized by explicit counterions. Beyond the standard picture of a polyelectrolyte behavior governed by an interplay between opposite intra-polyelectrolyte and inter-polyelectrolyte/counterion Coulombic effects, our simulations show the key role played by both intra-solute polarization effects and long range solute/solvent electrostatics to stabilize compact globular conformations of that polyelectrolyte. Our full polarizable hybrid modeling approach is thus a new theoretical tool well suited to be used in digital strategies for accelerating innovation for green science, for instance."/>
    <s v="[Masella, Michel] Inst Joliot, Serv Bioenerget Biol Struct &amp; Mec, Lab Biol Struct &amp; Radiobiol, CEA Saclay, F-91191 Gif Sur Yvette, France; [Crudu, Alina; Leonforte, Fabien] LOreal Res &amp; Innovat, Aulnay Sous Bois, France"/>
    <s v="Universite Paris Saclay; CEA; L'Oreal Group"/>
    <s v="Masella, M (corresponding author), Inst Joliot, Serv Bioenerget Biol Struct &amp; Mec, Lab Biol Struct &amp; Radiobiol, CEA Saclay, F-91191 Gif Sur Yvette, France."/>
    <s v="michel.masella@cea.fr; fabien.leonforte@rd.loreal.com"/>
    <s v="Masella, Michel/I-8367-2019"/>
    <s v="Masella, Michel/0000-0003-1073-4457"/>
    <s v="GENCI [A0090312049]"/>
    <s v="GENCI"/>
    <s v="This work was granted access to the TGCC HPC resources under the allocation 2019-2 020 [Grant No. A0090312049] and the Grand Challenge allocation [GC0429] made by GENCI. We sincerely thanks the reviewers for their help in improving the manuscript."/>
    <s v=""/>
    <n v="81"/>
    <n v="2"/>
    <n v="2"/>
    <n v="1"/>
    <n v="4"/>
    <s v="AIP Publishing"/>
    <s v="MELVILLE"/>
    <s v="1305 WALT WHITMAN RD, STE 300, MELVILLE, NY 11747-4501 USA"/>
    <s v="0021-9606"/>
    <s v="1089-7690"/>
    <s v=""/>
    <s v="J CHEM PHYS"/>
    <s v="J. Chem. Phys."/>
    <s v="SEP 21"/>
    <n v="2021"/>
    <n v="155"/>
    <n v="11"/>
    <s v=""/>
    <s v=""/>
    <s v=""/>
    <s v=""/>
    <s v=""/>
    <s v=""/>
    <n v="114903"/>
    <s v="10.1063/5.0056508"/>
    <s v="http://dx.doi.org/10.1063/5.0056508"/>
    <s v=""/>
    <s v=""/>
    <n v="20"/>
    <s v="Chemistry, Physical; Physics, Atomic, Molecular &amp; Chemical"/>
    <x v="2"/>
    <s v="Chemistry; Physics"/>
    <s v="YT4ZY"/>
    <n v="34551548"/>
    <s v="Green Submitted"/>
    <s v=""/>
    <s v=""/>
    <s v="2023-11-15"/>
    <x v="338"/>
    <s v="View Full Record in Web of Science"/>
  </r>
  <r>
    <s v="J"/>
    <s v="Kim, DH; Desai, M"/>
    <s v=""/>
    <s v=""/>
    <s v=""/>
    <s v="Kim, Dam Hee; Desai, Meera"/>
    <s v=""/>
    <s v=""/>
    <s v="Are Social Media Worth It for News Media?: Explaining News Engagement on Tumblr and Digital Traffic of News Websites"/>
    <s v="JMM-INTERNATIONAL JOURNAL ON MEDIA MANAGEMENT"/>
    <s v=""/>
    <s v=""/>
    <s v="English"/>
    <x v="0"/>
    <s v=""/>
    <s v=""/>
    <s v=""/>
    <s v=""/>
    <s v=""/>
    <s v=""/>
    <s v="HEALTH COMMUNICATION; ONLINE NEWS; OF-MOUTH; ORGANIZATIONS; ATTENTION; RICHNESS"/>
    <s v="News organizations, faced with financial challenges in transitioning to a digital era, have embraced social media to attract an audience. Little, however, is empirically known regarding which factors generate engagement on social media to drive traffic to dedicated news websites. To answer this question, digital traffic of top 50 news organizations and 230,375 posts made by 41 accounts of these organizations on a social media platform, Tumblr, were analyzed. The results suggest that both still and animated images in news posts can be helpful for engagement not just linearly but in a non-linear, exponential fashion while hashtags in news posts may also positively predict digital traffic to news websites. Nonetheless, having a link to news websites in posts does not increase engagement or digital traffic to news websites. The implications of results are discussed for news organizations' digital strategies that not only engage but also inform audiences for better journalism."/>
    <s v="[Kim, Dam Hee; Desai, Meera] Univ Arizona, Dept Commun, 1103 E Univ Blvd, Tucson, AZ 85721 USA"/>
    <s v="University of Arizona"/>
    <s v="Kim, DH (corresponding author), Univ Arizona, Dept Commun, 1103 E Univ Blvd, Tucson, AZ 85721 USA."/>
    <s v="damheekim@email.arizona.edu"/>
    <s v=""/>
    <s v=""/>
    <s v=""/>
    <s v=""/>
    <s v=""/>
    <s v=""/>
    <n v="64"/>
    <n v="2"/>
    <n v="2"/>
    <n v="3"/>
    <n v="13"/>
    <s v="ROUTLEDGE JOURNALS, TAYLOR &amp; FRANCIS LTD"/>
    <s v="ABINGDON"/>
    <s v="2-4 PARK SQUARE, MILTON PARK, ABINGDON OX14 4RN, OXON, ENGLAND"/>
    <s v="1424-1277"/>
    <s v="1424-1250"/>
    <s v=""/>
    <s v="JMM-INT J MEDIA MANA"/>
    <s v="JMM-Int. J. Media Manag."/>
    <s v="APR 3"/>
    <n v="2021"/>
    <n v="23"/>
    <s v="1-2"/>
    <s v=""/>
    <s v=""/>
    <s v=""/>
    <s v=""/>
    <n v="2"/>
    <n v="28"/>
    <s v=""/>
    <s v="10.1080/14241277.2021.1958820"/>
    <s v="http://dx.doi.org/10.1080/14241277.2021.1958820"/>
    <s v=""/>
    <s v="AUG 2021"/>
    <n v="27"/>
    <s v="Communication"/>
    <x v="3"/>
    <s v="Communication"/>
    <s v="XJ8PL"/>
    <s v=""/>
    <s v=""/>
    <s v=""/>
    <s v=""/>
    <s v="2023-11-15"/>
    <x v="339"/>
    <s v="View Full Record in Web of Science"/>
  </r>
  <r>
    <s v="J"/>
    <s v="Váne, J; Kalvas, F; Basl, J"/>
    <s v=""/>
    <s v=""/>
    <s v=""/>
    <s v="Vane, Jan; Kalvas, Frantisek; Basl, Josef"/>
    <s v=""/>
    <s v=""/>
    <s v="Engineering companies and their readiness for Industry 4.0"/>
    <s v="INTERNATIONAL JOURNAL OF PRODUCTIVITY AND PERFORMANCE MANAGEMENT"/>
    <s v=""/>
    <s v=""/>
    <s v="English"/>
    <x v="0"/>
    <s v=""/>
    <s v=""/>
    <s v=""/>
    <s v=""/>
    <s v=""/>
    <s v="Industry 4; 0; Digital strategy; Engineering companies; Readiness"/>
    <s v=""/>
    <s v="Purpose This case study of the readiness of engineering companies for Industry 4.0 (I4.0) presents how surveyed key figures manage the implementation of I4.0. The research comprised a census of larger and medium-sized engineering companies in the Pilsen region of the Czech Republic. The selected region is characterised by a long industrial tradition and a high concentration of technical and technology-oriented companies. The survey questionnaire monitors a wide range of topics. In this text, the authors present the results only from selected areas. In particular, the authors examined: (1) the use of I4.0 technologies in individual areas, (2) the level of the digital strategy (DS), (3) factors influencing investments in I4.0 technologies, (4) the impact of I4.0 on the workforce and (5) existing threats to I4.0 implementation. The purpose of this paper is to show how key figures with a real impact on the implementation of I4.0 think and act in practice (as opposed to declarations). Design/methodology/approach In the presented article, thanks to the unique data obtained in the form of a census in the selected, traditionally engineering-oriented Pilsen region, and within the highly industrially oriented Czech Republic, the authors explored the state of readiness of companies for implementation of I4.0. The obtained data allowed the authors to present, in a suitably descriptive way, the current level, with respect to the future, of the planned use of I4.0 principles in the surveyed companies. They monitored not only the state of the adoption process (Industry of 4.0 technologies) compared to the declared proclamations but also which phenomena represent key obstacles. Findings First, medium-sized companies have barely implemented I4.0, whereas I4.0 is more often implemented in larger companies, especially the so-called DS aspect of I4.0. Furthermore, it appears that larger companies also clearly consider I4.0 more often and see it more significantly as a key success factor. Second, the survey highlighted the fact that customer satisfaction is the determining impetus for the introduction of I4.0. It can be assumed that with an increase in pressure from customers and a decrease in the price of technology, the introduction of I4.0 will increase. The third important finding is that the authors can observe a kind of two-stage flow of innovation in the results. The transformation towards I4.0 is approached by larger companies first, because they are more sensitive to customer satisfaction, are looking for new opportunities, and have greater resources to cover the costly implementation of innovations. Originality/value In the presented article, thanks to the unique data obtained in the form of a census in the selected, traditionally engineering-oriented Pilsen region, and within the highly industrially oriented Czech Republic, the authors explored the state of implementation of I4.0. The obtained data allowed the authors to present, in a suitably descriptive way, the current level, with respect to the future, of the planned use of I4.0 principles in the surveyed companies."/>
    <s v="[Vane, Jan; Kalvas, Frantisek] Univ West Bohemia Pilsen, Fac Arts, Sociol, Plzen, Czech Republic; [Basl, Josef] Univ West Bohemia Pilsen, Fac Mech Engn, Plzen, Czech Republic"/>
    <s v="University of West Bohemia Pilsen; University of West Bohemia Pilsen"/>
    <s v="Váne, J (corresponding author), Univ West Bohemia Pilsen, Fac Arts, Sociol, Plzen, Czech Republic."/>
    <s v="vanejan@kss.zcu.cz; kalvas@kss.zcu.cz; basljo@kpv.zcu.cz"/>
    <s v="Váně, Jan/W-2066-2019; Kalvas, Frantisek/C-7225-2016"/>
    <s v="Váně, Jan/0000-0002-5109-505X; Kalvas, Frantisek/0000-0002-9495-1602"/>
    <s v="project Innovation of study programmes of mechanical engineering, education and health care within the 4.0 Phenomenon - change of role of Higher Education Institution by the Technology Agency of the Czech Republic in ETA programme [TL01000081]"/>
    <s v="project Innovation of study programmes of mechanical engineering, education and health care within the 4.0 Phenomenon - change of role of Higher Education Institution by the Technology Agency of the Czech Republic in ETA programme"/>
    <s v="This study was supported by the project Innovation of study programmes of mechanical engineering, education and health care within the 4.0 Phenomenon - change of role of Higher Education Institution by the Technology Agency of the Czech Republic in ETA programme (no. TL01000081)."/>
    <s v=""/>
    <n v="55"/>
    <n v="2"/>
    <n v="2"/>
    <n v="2"/>
    <n v="27"/>
    <s v="EMERALD GROUP PUBLISHING LTD"/>
    <s v="BINGLEY"/>
    <s v="HOWARD HOUSE, WAGON LANE, BINGLEY BD16 1WA, W YORKSHIRE, ENGLAND"/>
    <s v="1741-0401"/>
    <s v="1758-6658"/>
    <s v=""/>
    <s v="INT J PRODUCT PERFOR"/>
    <s v="Int. J. Product Perform. Manag."/>
    <s v="JUN 2"/>
    <n v="2021"/>
    <n v="70"/>
    <n v="5"/>
    <s v=""/>
    <s v=""/>
    <s v=""/>
    <s v=""/>
    <n v="1072"/>
    <n v="1091"/>
    <s v=""/>
    <s v="10.1108/IJPPM-06-2020-0318"/>
    <s v="http://dx.doi.org/10.1108/IJPPM-06-2020-0318"/>
    <s v=""/>
    <s v="APR 2021"/>
    <n v="20"/>
    <s v="Management"/>
    <x v="3"/>
    <s v="Business &amp; Economics"/>
    <s v="SO1KJ"/>
    <s v=""/>
    <s v=""/>
    <s v=""/>
    <s v=""/>
    <s v="2023-11-15"/>
    <x v="340"/>
    <s v="View Full Record in Web of Science"/>
  </r>
  <r>
    <s v="J"/>
    <s v="Gaynor, SW; Gimpel, JG"/>
    <s v=""/>
    <s v=""/>
    <s v=""/>
    <s v="Gaynor, SoRelle Wyckoff; Gimpel, James G."/>
    <s v=""/>
    <s v=""/>
    <s v="Small Donor Contributions in Response to Email Outreach by a Political Campaign"/>
    <s v="JOURNAL OF POLITICAL MARKETING"/>
    <s v=""/>
    <s v=""/>
    <s v="English"/>
    <x v="2"/>
    <s v=""/>
    <s v=""/>
    <s v=""/>
    <s v=""/>
    <s v=""/>
    <s v="Small donations; campaign contributions; text analysis; digital strategy; email; political campaigns; campaign strategy; political participation"/>
    <s v="SOCIAL MEDIA; E-MAIL; INTERNET; CANDIDATES; ELECTIONS; MESSAGES; FACEBOOK; WORDS"/>
    <s v="This research examines variation in response to mass email communications by a large and sophisticated political campaign over the course of the 2018 election cycle. Computational text analysis is utilized to generate and catalogue the most frequent themes across a body of 690 separate email messages. We find open rates vary somewhat by the subject key words of messages as well as when they were sent. In addition, small donations received through email are also responsive to the contents of messages, controlling for timing and other relevant factors. Given the very low cost associated with using email to communicate with supporters, it appears to be an effective means for harvesting small contributions and of providing opportunities for large numbers of voters to elevate their level of participation in the electoral process."/>
    <s v="[Gaynor, SoRelle Wyckoff; Gimpel, James G.] Univ Maryland, 3140 Tydings Hall, College Pk, MD 20742 USA"/>
    <s v="University System of Maryland; University of Maryland College Park"/>
    <s v="Gimpel, JG (corresponding author), Univ Maryland, 3140 Tydings Hall, College Pk, MD 20742 USA."/>
    <s v="jgimpel@umd.edu"/>
    <s v=""/>
    <s v="Gaynor, SoRelle/0000-0003-3545-6182"/>
    <s v=""/>
    <s v=""/>
    <s v=""/>
    <s v=""/>
    <n v="56"/>
    <n v="2"/>
    <n v="2"/>
    <n v="2"/>
    <n v="4"/>
    <s v="ROUTLEDGE JOURNALS, TAYLOR &amp; FRANCIS LTD"/>
    <s v="ABINGDON"/>
    <s v="2-4 PARK SQUARE, MILTON PARK, ABINGDON OX14 4RN, OXON, ENGLAND"/>
    <s v="1537-7857"/>
    <s v="1537-7865"/>
    <s v=""/>
    <s v="J POLITICAL MARKETIN"/>
    <s v="J. Political Marketing"/>
    <s v="2021 APR 1"/>
    <n v="2021"/>
    <s v=""/>
    <s v=""/>
    <s v=""/>
    <s v=""/>
    <s v=""/>
    <s v=""/>
    <s v=""/>
    <s v=""/>
    <s v=""/>
    <s v="10.1080/15377857.2021.1910611"/>
    <s v="http://dx.doi.org/10.1080/15377857.2021.1910611"/>
    <s v=""/>
    <s v="APR 2021"/>
    <n v="23"/>
    <s v="Political Science"/>
    <x v="3"/>
    <s v="Government &amp; Law"/>
    <s v="RX9CZ"/>
    <s v=""/>
    <s v=""/>
    <s v=""/>
    <s v=""/>
    <s v="2023-11-15"/>
    <x v="341"/>
    <s v="View Full Record in Web of Science"/>
  </r>
  <r>
    <s v="J"/>
    <s v="Dueñas, PPM; Carmona, DG"/>
    <s v=""/>
    <s v=""/>
    <s v=""/>
    <s v="Marin Duenas, Pedro Pablo; Gomez Carmona, Diego"/>
    <s v=""/>
    <s v=""/>
    <s v="Management of digital communication in spanish cooperatives"/>
    <s v="CIRIEC-ESPANA REVISTA DE ECONOMIA PUBLICA SOCIAL Y COOPERATIVA"/>
    <s v=""/>
    <s v=""/>
    <s v="Spanish"/>
    <x v="0"/>
    <s v=""/>
    <s v=""/>
    <s v=""/>
    <s v=""/>
    <s v=""/>
    <s v="Business communication; Digital communication; Social Media Marketing; Communication management; web 2.0"/>
    <s v=""/>
    <s v="Today, communication has become an indispensable condition for achieving a favourable position in society and business success. The Internet has marked a before and after in developing marketing and communication strategies that organisations implement to relate with the population. The increase in the use of New Technologies Information and Communication (NTIC) by the population contributes to increasing the effectiveness of companies' online communication tools, allowing a bidirectional relationship with consumers and enhancing a better relationship between the organisation and its target audience. Cooperatives, which, even though they are social economy organisations, are ultimately companies and as such depend on the sale of products and services for their development, cannot and should not ignore this new reality, which imposes new forms, different from those used until now and in which the role between sender and receiver is exchanged. Given the importance that Spanish cooperatives have for the development of local economies and their social relevance for the environment in which they are integrated (Monzon and Chaves, 2017; Chaves, Monzon and Zaragoza, 2013; Puentes and Velasco, 2009), this research on the management of digital communication by cooperatives is necessary. The purpose is to analyse the importance that cooperatives give to the development of online communication strategies. Specifically, the general objective of the study is to analyse how cooperatives manage their digital communication. It is articulated in a series of specific objectives that complement it and serve as a basis for the design of the research and the choice of methodological tools to be implemented during the development of the same. To measure the degree of importance that cooperatives attach to communication. To analyse whether cooperatives plan their digital communication. O.E.3. Find out who manages the digital communication of the cooperatives. O.E.4. Determine the level of investment in digital communication by the cooperatives. O.E.5. To analyse how cooperatives manage digital communication. The work used an online survey based on a structured questionnaire. This methodological instrument will allow the proposed objectives to be achieved. Self-reporting consists of obtaining observable data on variables of interest from the population under study in an orderly and systematic way. This quantitative tool is one of the best known and one of the most complete of those used by communication researchers. From a scientific perspective, it is undoubtedly a valuable instrument for understanding social and business reality. In this sense, it is widely used in social science research. The variables studied and measured were: Importance of communication Level of investment Communication planning Assumption of tasks Definition of objectives Strategies Presence in Social media Social media followers Implementation of actions. The final questionnaire was implemented through the Google Forms tool. The final sample, made up of 338 cooperatives from all over Spain, was selected through non-probabilistic convenience sampling. The results suggest that those cooperatives that implement adequate online communication management will have a particular advantage and will be better positioned to compete in the market. Although cooperatives allocate few economic resources to online communication, it is found that the higher the percentage of investment in communication, the more importance cooperatives attach to communication. Moreover, their management from a planned and strategic perspective is insufficient. In this sense, the cooperatives that consider this activity to be very relevant have more plans of this type. The findings show that it is not the cooperatives with the largest number of employees or those operating in the international market that attaches most importance to communication. Although cooperatives tend to increase the importance of communication as the number of employees grows, it seems that this pattern slows down in those with between 50 and 249 workers and more than 500 employees. From a positive point of view, it should be understood that the communication objectives are considered to incorporate rather than commercial terms, and improving the image, achieving notoriety and building customer loyalty stand out among the objectives of these companies, above other more market-oriented objectives such as promoting and selling products and services. In this sense, one shortcoming has to do with internal communication. Due to their eminently social and democratic nature, these organisations are a key element in which cooperative members do not set their communication objectives in terms of internal communication. The cooperatives choose to promote the web as an information portal ahead of more interactive strategies in line with web 2.0, especially social media, about the development of digital communication strategies. Finally, neither do the cooperatives studied develop critical actions in the management of digital communication, such as measuring the return on investment or studying non-economic KPIs, which are fundamental when analysing the strategies being developed. For all these reasons, it can be stated that the cooperatives analysed are at a medium-low level in terms of their digital communication management. Lack of investment and planning, preference for the web over social media or paid advertising and lack of measurement allow us to affirm that the cooperatives should boost their digital communication much more and promote it through investment and strategic plans. Given these results, things have not changed much and currently; cooperatives still do not have a strategic vision of their (digital) communication, being scarce the resources they devote to it both in terms of planning and investment, which results in low visibility of these organisations within society to help their development and growth. There is little research that has tried to analyse the digital strategies developed by cooperatives to our knowledge. This work provides information from a large part of the target population, so the findings are robust and generalisable. The study results highlight the reality of Spanish cooperatives concerning their communication strategies and their current short-comings."/>
    <s v="[Marin Duenas, Pedro Pablo; Gomez Carmona, Diego] Univ Cadiz, Cadiz, Spain"/>
    <s v="Universidad de Cadiz"/>
    <s v="Dueñas, PPM (corresponding author), Univ Cadiz, Cadiz, Spain."/>
    <s v="pablo.marin@uca.es; diego.gomez@uca.es"/>
    <s v="Gómez-Carmona, Diego/AAP-3488-2021"/>
    <s v=""/>
    <s v=""/>
    <s v=""/>
    <s v=""/>
    <s v=""/>
    <n v="59"/>
    <n v="2"/>
    <n v="2"/>
    <n v="6"/>
    <n v="32"/>
    <s v="CIRIEC-ESPANA"/>
    <s v="VALENCIA"/>
    <s v="AVE NARANJOS, S-N, EDIF DEP ORIENTAL 2P21, VALENCIA, 46022, SPAIN"/>
    <s v="0213-8093"/>
    <s v="1989-6816"/>
    <s v=""/>
    <s v="CIRIEC"/>
    <s v="CIRIEC"/>
    <s v="MAR"/>
    <n v="2021"/>
    <n v="101"/>
    <s v=""/>
    <s v=""/>
    <s v=""/>
    <s v=""/>
    <s v=""/>
    <n v="193"/>
    <n v="225"/>
    <s v=""/>
    <s v="10.7203/CIRIEC-E.101.17638"/>
    <s v="http://dx.doi.org/10.7203/CIRIEC-E.101.17638"/>
    <s v=""/>
    <s v=""/>
    <n v="33"/>
    <s v="Economics"/>
    <x v="3"/>
    <s v="Business &amp; Economics"/>
    <s v="RH8OT"/>
    <s v=""/>
    <s v="gold, Green Submitted"/>
    <s v=""/>
    <s v=""/>
    <s v="2023-11-15"/>
    <x v="342"/>
    <s v="View Full Record in Web of Science"/>
  </r>
  <r>
    <s v="J"/>
    <s v="Gain, U"/>
    <s v=""/>
    <s v=""/>
    <s v=""/>
    <s v="Gain, Ulla"/>
    <s v=""/>
    <s v=""/>
    <s v="Applying Frameworks for Cognitive Services in IIoT"/>
    <s v="JOURNAL OF SYSTEMS SCIENCE AND SYSTEMS ENGINEERING"/>
    <s v=""/>
    <s v=""/>
    <s v="English"/>
    <x v="0"/>
    <s v=""/>
    <s v=""/>
    <s v=""/>
    <s v=""/>
    <s v=""/>
    <s v="Digitalization; industrial internet of things; cognitive services; digital twin; blockchain"/>
    <s v=""/>
    <s v="The technology, which enables creating new types of products, processes and services (i.e., things), which outcomes alter traditional competition and industry boundaries and create new lasting value. The digitalization process uses digital technologies to provide the possibilities of new revenue and value-producing, i.e., it changes business models and offers new value propositions. This change is ongoing. The most important ten strategic technology trends in 2019 include Edge computing, Blockchain, event and data-driven strategies, Digital Twins, and the maintenance of transparency (i.e., traceability), Intelligent Apps and Analytics (Gartner 2018). In this paper, we experiment with the capabilities of intelligent applications to match the industrial business needs. This paper aims to bring insights closer to business objectives. Digitalization's technological advantages can be achieved through data-driven strategies and wherein cognitive services are integrated into IoT (Internet of Things) and big data. We experiment with the Industrial IoT (IIoT) business models and value propositions to match the intelligent insights of cognitive solutions to business objectives. The IIoTs support and demand transparency and thus also data-driven objective insights, and because cognitive solutions can enhance insights on a product, a process or service and therefore provide measurable business objectives. Functional indicators enable interconnected smart things to collaborate."/>
    <s v="[Gain, Ulla] Univ Eastern Finland, Sch Comp, FI-70211 Kuopio, Finland"/>
    <s v=""/>
    <s v="Gain, U (corresponding author), Univ Eastern Finland, Sch Comp, FI-70211 Kuopio, Finland."/>
    <s v="gain@uef.fi"/>
    <s v=""/>
    <s v=""/>
    <s v=""/>
    <s v=""/>
    <s v=""/>
    <s v=""/>
    <n v="76"/>
    <n v="2"/>
    <n v="2"/>
    <n v="0"/>
    <n v="15"/>
    <s v="SPRINGER HEIDELBERG"/>
    <s v="HEIDELBERG"/>
    <s v="TIERGARTENSTRASSE 17, D-69121 HEIDELBERG, GERMANY"/>
    <s v="1004-3756"/>
    <s v="1861-9576"/>
    <s v=""/>
    <s v="J SYST SCI SYST ENG"/>
    <s v="J. Syst. Sci. Syst. Eng."/>
    <s v="FEB"/>
    <n v="2021"/>
    <n v="30"/>
    <n v="1"/>
    <s v=""/>
    <s v=""/>
    <s v=""/>
    <s v=""/>
    <n v="59"/>
    <n v="84"/>
    <s v=""/>
    <s v="10.1007/s11518-021-5480-x"/>
    <s v="http://dx.doi.org/10.1007/s11518-021-5480-x"/>
    <s v=""/>
    <s v="FEB 2021"/>
    <n v="26"/>
    <s v="Operations Research &amp; Management Science"/>
    <x v="2"/>
    <s v="Operations Research &amp; Management Science"/>
    <s v="QT5YU"/>
    <s v=""/>
    <s v=""/>
    <s v=""/>
    <s v=""/>
    <s v="2023-11-15"/>
    <x v="343"/>
    <s v="View Full Record in Web of Science"/>
  </r>
  <r>
    <s v="J"/>
    <s v="Dold, L; Speck, C"/>
    <s v=""/>
    <s v=""/>
    <s v=""/>
    <s v="Dold, L.; Speck, C."/>
    <s v=""/>
    <s v=""/>
    <s v="Resolving the productivity paradox of digitalised production"/>
    <s v="INTERNATIONAL JOURNAL OF PRODUCTION MANAGEMENT AND ENGINEERING"/>
    <s v=""/>
    <s v=""/>
    <s v="English"/>
    <x v="0"/>
    <s v=""/>
    <s v=""/>
    <s v=""/>
    <s v=""/>
    <s v=""/>
    <s v="digitalised production; digital transformation; industry 4.0; Industrie 4.0; value creation; value capture; manufacturing strategy"/>
    <s v="BUSINESS MODEL; TECHNOLOGY; OEE; FUTURE; IMPACT"/>
    <s v="Although Industry 4.0 and other initiatives predict widespread adoption of digitalised technology on the factory floor, few companies use new digitalised production technology holistically in their ecosystems; in practical implementation, companies often decide against digitalisation for financial reasons. This is due to a paradox (akin to the so called productivity paradox) caused by the complexity of value creation and value delivery within digitalised production. This article analyses and synthesises cross-disciplinary research using a grounded theory model, thus offering valuable insights for businesses considering investing in digitalised production. A qualitative model and an associated toolbox (complete with tools for practical application by business leaders and decision-makers) are presented to address organisational uncertainty and leadership disconnect that often contribute to the paradoxical gap between digital strategy and operational implementation."/>
    <s v="[Dold, L.] Middlesex Univ, London NW4 4BT, England; [Speck, C.] Kalaidos Fachhsch, Dept Wirtschaft, Jungholzstr 43, CH-8050 Zurich, Switzerland"/>
    <s v="Middlesex University"/>
    <s v="Dold, L (corresponding author), Middlesex Univ, London NW4 4BT, England."/>
    <s v="Luciandokl@aol.com"/>
    <s v=""/>
    <s v="Dold, Lucian/0000-0002-6544-859X"/>
    <s v=""/>
    <s v=""/>
    <s v=""/>
    <s v=""/>
    <n v="67"/>
    <n v="2"/>
    <n v="2"/>
    <n v="2"/>
    <n v="16"/>
    <s v="UNIV POLITECNICA VALENCIA, EDITORIAL UPV"/>
    <s v="VALENCIA"/>
    <s v="CAMINO VERA S-N, VALENCIA, 46022, SPAIN"/>
    <s v="2340-5317"/>
    <s v="2340-4876"/>
    <s v=""/>
    <s v="INT J PROD MANAG ENG"/>
    <s v="Int. J. Prod. Manag. Engineering"/>
    <s v=""/>
    <n v="2021"/>
    <n v="9"/>
    <n v="2"/>
    <s v=""/>
    <s v=""/>
    <s v=""/>
    <s v=""/>
    <n v="65"/>
    <n v="80"/>
    <s v=""/>
    <s v="10.4995/ijpme.2021.15058"/>
    <s v="http://dx.doi.org/10.4995/ijpme.2021.15058"/>
    <s v=""/>
    <s v=""/>
    <n v="16"/>
    <s v="Engineering, Multidisciplinary"/>
    <x v="3"/>
    <s v="Engineering"/>
    <s v="TR1EO"/>
    <s v=""/>
    <s v="Green Published, gold"/>
    <s v=""/>
    <s v=""/>
    <s v="2023-11-15"/>
    <x v="344"/>
    <s v="View Full Record in Web of Science"/>
  </r>
  <r>
    <s v="J"/>
    <s v="Krajnovic, A; Raguz, IV; Perkovic, A"/>
    <s v=""/>
    <s v=""/>
    <s v=""/>
    <s v="Krajnovic, Aleksandra; Raguz, Ivona Vrdoljak; Perkovic, Antonija"/>
    <s v=""/>
    <s v=""/>
    <s v="STRATEGIC AND DIGITAL MARKETING IN CULTURAL INSTITUTIONS AND THE IMPACT OF THE COVID-19 PANDEMIC - A COMPARATIVE ANALYSIS OF TWO CASE STUDIES"/>
    <s v="INTERDISCIPLINARY DESCRIPTION OF COMPLEX SYSTEMS"/>
    <s v=""/>
    <s v=""/>
    <s v="English"/>
    <x v="0"/>
    <s v=""/>
    <s v=""/>
    <s v=""/>
    <s v=""/>
    <s v=""/>
    <s v="COVID-19; coronavirus; digital marketing; non-profit marketing; cultural institutions"/>
    <s v="MUSEUMS"/>
    <s v="This article investigates the impact of the coronavirus pandemic COVID-19 on marketing within cultural institutions, specifically in the field of digital marketing. The aim is to examine how the pandemic has affected digital strategies, marketing communication, and the performance itself - the presentation of cultural programs. The primary research was conducted in Croatia, using the method of semi-structured in-depth interviews with managers in two cultural institutions in Zadar and Dubrovnik at the end of 2020. A qualitative descriptive analysis was performed to answer the question of how cultural institutions have adapted to the crisis, especially when it comes to the marketing and the performance of cultural programs. The results show a certain degree of flexibility in adapting to the new conditions, in a way that marketing communication after the crisis turned more strongly towards digital media and was followed by adjustments to the cultural programs and their performance, as well as the budget for cultural activities. The marketing digital communication played a key role in this, which proves that cultural management in the era of the pandemic adopted the so-called digital-first paradigm, modeled on the for-profit companies. The authors conclude that culture, as a social need and necessity, will continue its activity after the crisis caused by the COVID-19 pandemic, but that it will also function in new and creative ways."/>
    <s v="[Krajnovic, Aleksandra] Univ Zadar, Dept Econ, Zadar, Croatia; [Raguz, Ivona Vrdoljak] Univ Dubrovn, Dept Econ &amp; Business Econ, Dubrovnik, Croatia; [Perkovic, Antonija] Croatian Natl Theater Zadar, Zadar, Croatia"/>
    <s v="University of Zadar"/>
    <s v="Krajnovic, A (corresponding author), Sveuciliste Zadru, Odjel Ekon, Splitska 1, HR-23000 Zadar, Croatia."/>
    <s v="akrajnov@unizd.hr"/>
    <s v=""/>
    <s v=""/>
    <s v=""/>
    <s v=""/>
    <s v=""/>
    <s v=""/>
    <n v="60"/>
    <n v="2"/>
    <n v="2"/>
    <n v="3"/>
    <n v="40"/>
    <s v="CROATIAN INTERDISCIPLINARY SOC"/>
    <s v="SESVETE"/>
    <s v="SIMUNCEVECKA 38B, SESVETE, HR-10360, CROATIA"/>
    <s v="1334-4684"/>
    <s v="1334-4676"/>
    <s v=""/>
    <s v="INTERDISCIP DESCR CO"/>
    <s v="Interdiscip. Descr. Complex Syst."/>
    <s v=""/>
    <n v="2021"/>
    <n v="19"/>
    <n v="2"/>
    <s v=""/>
    <s v=""/>
    <s v=""/>
    <s v=""/>
    <n v="257"/>
    <n v="280"/>
    <s v=""/>
    <s v="10.7906/indecs.19.2.6"/>
    <s v="http://dx.doi.org/10.7906/indecs.19.2.6"/>
    <s v=""/>
    <s v=""/>
    <n v="24"/>
    <s v="Social Sciences, Interdisciplinary"/>
    <x v="3"/>
    <s v="Social Sciences - Other Topics"/>
    <s v="TC5DK"/>
    <s v=""/>
    <s v="gold, Green Published"/>
    <s v=""/>
    <s v=""/>
    <s v="2023-11-15"/>
    <x v="345"/>
    <s v="View Full Record in Web of Science"/>
  </r>
  <r>
    <s v="J"/>
    <s v="Verhovnik, J; Duh, ES"/>
    <s v=""/>
    <s v=""/>
    <s v=""/>
    <s v="Verhovnik, Jure; Duh, Emilija Stojmenova"/>
    <s v=""/>
    <s v=""/>
    <s v="The importance of Industry 4.0 and digital transformation for SMEs"/>
    <s v="ELEKTROTEHNISKI VESTNIK"/>
    <s v=""/>
    <s v=""/>
    <s v="English"/>
    <x v="0"/>
    <s v=""/>
    <s v=""/>
    <s v=""/>
    <s v=""/>
    <s v=""/>
    <s v="Digital transformation; Digital strategy; Industry 4.0; SMEs; IoT"/>
    <s v=""/>
    <s v="The paper provides insight in the state of digital transformation (DT) and Industry 4.0 (I4.0), as well as in the current levels of digital maturity of the Slovenian small and medium enterprises (SMEs). An overview is given of existing digital tools and approaches available for SMEs globally. A special attention is paid to challenges that companies are coping with in DT planning and implementation stage. For this paper, 15 international peer-reviewed papers were analyzed describing studies of DT and Industry 4.0. An online survey was conducted comprising 19 questions about DT and Industry 4.0. To gain a more extensive understanding about the state of the DT an interview was performed with four companies, making an analysis of the current DT situation and expectations of the Slovenian SMEs. The results show a considerable lack of DT knowledge, skills and competences. Based on the analysis of the literature and results of the research, approaches are presented towards effective DT in the implementation in the Slovenian SMEs by using adequate digital tools/technologies."/>
    <s v="[Verhovnik, Jure; Duh, Emilija Stojmenova] Univ Ljubljana, Fac Elect Engn, Trzaska 25, Ljubljana 1000, Slovenia"/>
    <s v="University of Ljubljana"/>
    <s v="Verhovnik, J (corresponding author), Univ Ljubljana, Fac Elect Engn, Trzaska 25, Ljubljana 1000, Slovenia."/>
    <s v="jure.verhovnik@fe.uni-lj.si; Emilija.Stojmenova@fe.uni-lj.si"/>
    <s v=""/>
    <s v=""/>
    <s v=""/>
    <s v=""/>
    <s v=""/>
    <s v=""/>
    <n v="15"/>
    <n v="2"/>
    <n v="2"/>
    <n v="7"/>
    <n v="43"/>
    <s v="ELECTROMAGNETICS ACAD"/>
    <s v="CAMBRIDGE"/>
    <s v="77 MASSACHUSETTS AVE, RM 26-319, CAMBRIDGE, MA 02139 USA"/>
    <s v="0013-5852"/>
    <s v="2232-3236"/>
    <s v=""/>
    <s v="ELEKTROTEH VESTN"/>
    <s v="Elektroteh. Vestn."/>
    <s v=""/>
    <n v="2021"/>
    <n v="88"/>
    <n v="3"/>
    <s v=""/>
    <s v=""/>
    <s v=""/>
    <s v=""/>
    <n v="147"/>
    <n v="149"/>
    <s v=""/>
    <s v=""/>
    <s v=""/>
    <s v=""/>
    <s v=""/>
    <n v="3"/>
    <s v="Engineering, Electrical &amp; Electronic"/>
    <x v="3"/>
    <s v="Engineering"/>
    <s v="TE2SW"/>
    <s v=""/>
    <s v=""/>
    <s v=""/>
    <s v=""/>
    <s v="2023-11-15"/>
    <x v="346"/>
    <s v="View Full Record in Web of Science"/>
  </r>
  <r>
    <s v="J"/>
    <s v="Pinto, DJA; Moraes, I"/>
    <s v=""/>
    <s v=""/>
    <s v=""/>
    <s v="Ayres Pinto, Danielle Jacon; Moraes, Isabela"/>
    <s v=""/>
    <s v=""/>
    <s v="Digital Media as a Tool of Manipulation in Democratic Electoral Processes: An Analysis of the Brexit Case"/>
    <s v="REVISTA DE ESTUDIOS SOCIALES"/>
    <s v=""/>
    <s v=""/>
    <s v="Portuguese"/>
    <x v="0"/>
    <s v=""/>
    <s v=""/>
    <s v=""/>
    <s v=""/>
    <s v=""/>
    <s v="Brexit; democracy; far right; digital media; digital political marketing"/>
    <s v="INTERNET"/>
    <s v="The year 2016 is considered a milestone in international politics. The victories by Brexit and Donald Trump marked the rise of the extreme right in the West and the institutionalization of what became known as the post-truth era. In both instances, there was a disregard for democratic values and the adoption of an exclusionary discourse to pursue the objectives of a specific political group. It is against this background that a vast body of literature is beginning to emerge on how we came to mistrust institutions and the veracity of facts. This article is intended to be part of these contributions, as it provides an interpretation of the current context of the weakening of democratic values and processes through a digital strategy of societal manipulation."/>
    <s v="[Ayres Pinto, Danielle Jacon] Univ Fed Santa Catarina UFSC, Grad &amp; Posgrad Relacoes Int, Florianopolis, SC, Brazil; [Ayres Pinto, Danielle Jacon; Moraes, Isabela] Grp Pesquisa Estudos Estrateg &amp; Polit Int Contemp, Florianopolis, SC, Brazil"/>
    <s v="Universidade Federal de Santa Catarina (UFSC)"/>
    <s v="Pinto, DJA (corresponding author), Univ Fed Santa Catarina UFSC, Grad &amp; Posgrad Relacoes Int, Florianopolis, SC, Brazil.;Pinto, DJA (corresponding author), Grp Pesquisa Estudos Estrateg &amp; Polit Int Contemp, Florianopolis, SC, Brazil."/>
    <s v="djap2222@yahoo.com; isabermoraes@gmail.com"/>
    <s v="Pinto, Danielle Jacon Ayres/AAW-1650-2020"/>
    <s v="Pinto, Danielle Jacon Ayres/0000-0002-1105-1626"/>
    <s v=""/>
    <s v=""/>
    <s v=""/>
    <s v=""/>
    <n v="44"/>
    <n v="2"/>
    <n v="2"/>
    <n v="0"/>
    <n v="8"/>
    <s v="UNIV ANDES"/>
    <s v="Bogota"/>
    <s v="Cra. 1 #18a-12, Bogota, COLOMBIA"/>
    <s v="0123-885X"/>
    <s v="1900-5180"/>
    <s v=""/>
    <s v="REV ESTUD SOC"/>
    <s v="Rev. Estud. Soc."/>
    <s v="OCT"/>
    <n v="2020"/>
    <s v=""/>
    <n v="74"/>
    <s v=""/>
    <s v=""/>
    <s v=""/>
    <s v=""/>
    <n v="71"/>
    <n v="82"/>
    <s v=""/>
    <s v="10.7440/res74.2020.06"/>
    <s v="http://dx.doi.org/10.7440/res74.2020.06"/>
    <s v=""/>
    <s v=""/>
    <n v="12"/>
    <s v="Social Issues; Social Sciences, Interdisciplinary"/>
    <x v="0"/>
    <s v="Social Issues; Social Sciences - Other Topics"/>
    <s v="NV4FF"/>
    <s v=""/>
    <s v="gold, Green Submitted"/>
    <s v=""/>
    <s v=""/>
    <s v="2023-11-15"/>
    <x v="347"/>
    <s v="View Full Record in Web of Science"/>
  </r>
  <r>
    <s v="J"/>
    <s v="Suing, A; Ordóñez, K; Herrero-Gutiérrez, FJ"/>
    <s v=""/>
    <s v=""/>
    <s v=""/>
    <s v="Suing, Abel; Ordonez, Kruzkaya; Herrero-Gutierrez, Francisco-Javier"/>
    <s v=""/>
    <s v=""/>
    <s v="Coexistence between radio and social networks in the process of media convergence in Spain"/>
    <s v="ANALISI-QUADERNS DE COMUNICACIO I CULTURA"/>
    <s v=""/>
    <s v=""/>
    <s v="Spanish"/>
    <x v="0"/>
    <s v=""/>
    <s v=""/>
    <s v=""/>
    <s v=""/>
    <s v=""/>
    <s v="radio; social networks; audience; media convergence"/>
    <s v="PROGRAMS; TWITTER"/>
    <s v="Media convergence is part of a process of cultural transformation that involves various forms of information consumption; a scenario in which the media, including radio, submerges to capture and interact with the audience, and there is a phenomenon of repositioning of proximity that provides new impetus to the radio in both its traditional and online broadcasts. This research aims to determine the scope of national radio (thematic and general) of Spain on the basis of the report that summarizes the last three waves of the General Media Study (2018) through a quantitative analysis that consists of comparing the number of listeners (open signal), the number of followers, interactions, commitment and comments on Facebook and Twitter, indicators used to measure the rate of interaction or engagement and the CTR (clicks by tweet I like and the number of followers). The results allow obtaining data on the impact and reach of Spanish radios and serve as a guide for the adoption of digital strategies. The interaction of the generalist radios is greater than the thematic ones, and in the selected sample they are all musical. The main difference should be in qualitative aspects, since the quantitative evidence shows no correlation. Finally, depending on the social network in question, a different behavior is observed among stations."/>
    <s v="[Suing, Abel; Ordonez, Kruzkaya] Univ Tecn Particular Loja, Loja, Ecuador; [Herrero-Gutierrez, Francisco-Javier] Univ Salamanca, Salamanca, Spain"/>
    <s v="Universidad Tecnica Particular de Loja; University of Salamanca"/>
    <s v="Suing, A (corresponding author), Univ Tecn Particular Loja, Loja, Ecuador."/>
    <s v="arsuing@utpl.edu.ec; kordonez@utpl.edu.ec; javiherrero82@usal.es"/>
    <s v="Herrero-Gutiérrez, Francisco-Javier/C-2624-2013; Suing, Abel/AAJ-8854-2020"/>
    <s v="Herrero-Gutiérrez, Francisco-Javier/0000-0002-1362-7406; Suing, Abel/0000-0002-4234-5926"/>
    <s v=""/>
    <s v=""/>
    <s v=""/>
    <s v=""/>
    <n v="33"/>
    <n v="2"/>
    <n v="2"/>
    <n v="2"/>
    <n v="10"/>
    <s v="UNIV AUTONOMA BARCELONA"/>
    <s v="CERDANYOLA DEL VALLES, BARCELONA"/>
    <s v="VICERECTORAT RELACIONS INSTITUCIONALS &amp; CULTURA, UNIV VALENCIA, VICERECTORAT INVESTIGACIO, CERDANYOLA DEL VALLES, BARCELONA, 08193, SPAIN"/>
    <s v="0211-2175"/>
    <s v="2340-5236"/>
    <s v=""/>
    <s v="ANALISI"/>
    <s v="Analisi"/>
    <s v="OCT"/>
    <n v="2020"/>
    <s v=""/>
    <s v=""/>
    <s v=""/>
    <s v=""/>
    <s v="SI"/>
    <s v=""/>
    <n v="1"/>
    <n v="16"/>
    <s v=""/>
    <s v="10.5565/rev/analisi.3206"/>
    <s v="http://dx.doi.org/10.5565/rev/analisi.3206"/>
    <s v=""/>
    <s v=""/>
    <n v="16"/>
    <s v="Communication"/>
    <x v="3"/>
    <s v="Communication"/>
    <s v="PM1SV"/>
    <s v=""/>
    <s v="Green Submitted"/>
    <s v=""/>
    <s v=""/>
    <s v="2023-11-15"/>
    <x v="348"/>
    <s v="View Full Record in Web of Science"/>
  </r>
  <r>
    <s v="J"/>
    <s v="Sanchez, MA"/>
    <s v=""/>
    <s v=""/>
    <s v=""/>
    <s v="Sanchez, Marisa A."/>
    <s v=""/>
    <s v=""/>
    <s v="UNIVERSITY E-READINESS FOR THE DIGITAL TRANSFORMATION: THE CASE OF UNIVERSIDAD NACIONAL DEL SUR"/>
    <s v="REVISTA GESTAO &amp; TECNOLOGIA-JOURNAL OF MANAGEMENT AND TECHNOLOGY"/>
    <s v=""/>
    <s v=""/>
    <s v="English"/>
    <x v="0"/>
    <s v=""/>
    <s v=""/>
    <s v=""/>
    <s v=""/>
    <s v=""/>
    <s v="Digital transformation; University; Higher education; Digital strategy; Public sector"/>
    <s v="COMPETITIVE ADVANTAGE; FUTURE; EDUCATION; INTERNET; THINGS"/>
    <s v="This study aims to explain the resources, capabilities and management choices necessary to respond to the new environment for the case of public university institutions. There is little research about responsiveness to the digital transformation in public universities. The methodology is based on literature review and a case study. A Public Agency Strategic Analysis is used to identify relevant issues to conduct the case study. Results show that the organizational processes, talent management and education service models have not been transformed as a result of emergent technologies. The work provides a comprehensive analysis of the capabilities, barriers and the role of the bargaining power of multiple forces affecting the digital transformation of a public sector organization. The article provides specific and actionable recommendations on relevant challenges when public university institutions conduct a digital transformation process."/>
    <s v="[Sanchez, Marisa A.] Univ Nacl Sur, Grad &amp; Postgrad Courses, Dept Management Sci, Bahia Blanca, Buenos Aires, Argentina"/>
    <s v="National University of the South"/>
    <s v="Sanchez, MA (corresponding author), Univ Nacl Sur, Grad &amp; Postgrad Courses, Dept Management Sci, Bahia Blanca, Buenos Aires, Argentina."/>
    <s v="mas@uns.edu.ar"/>
    <s v="Sanchez, Marisa A/M-6135-2014"/>
    <s v="Sanchez, Marisa A/0000-0002-8291-0491"/>
    <s v=""/>
    <s v=""/>
    <s v=""/>
    <s v=""/>
    <n v="43"/>
    <n v="2"/>
    <n v="2"/>
    <n v="2"/>
    <n v="40"/>
    <s v="FUNDACAO PEDRO LEOPOLDO"/>
    <s v="PEDRO LEOPOLDO"/>
    <s v="AV LINCOLN DIOGO VIANA 830, PEDRO LEOPOLDO, MG 33600-000, BRAZIL"/>
    <s v="1677-9479"/>
    <s v="2177-6652"/>
    <s v=""/>
    <s v="REV GEST TECNOL"/>
    <s v="Rev. Gest. Tecnol."/>
    <s v="APR-JUN"/>
    <n v="2020"/>
    <n v="20"/>
    <n v="2"/>
    <s v=""/>
    <s v=""/>
    <s v=""/>
    <s v=""/>
    <n v="75"/>
    <n v="97"/>
    <s v=""/>
    <s v="10.20397/2177-6652/2020.v20i2.1848"/>
    <s v="http://dx.doi.org/10.20397/2177-6652/2020.v20i2.1848"/>
    <s v=""/>
    <s v=""/>
    <n v="23"/>
    <s v="Management"/>
    <x v="3"/>
    <s v="Business &amp; Economics"/>
    <s v="LP7PY"/>
    <s v=""/>
    <s v="gold"/>
    <s v=""/>
    <s v=""/>
    <s v="2023-11-15"/>
    <x v="349"/>
    <s v="View Full Record in Web of Science"/>
  </r>
  <r>
    <s v="J"/>
    <s v="O'Neill, N; Albiston, M; Ferguson, S; Nicklas, L"/>
    <s v=""/>
    <s v=""/>
    <s v=""/>
    <s v="O'Neill, Nathan; Albiston, Mairi; Ferguson, Sandra; Nicklas, Leeanne"/>
    <s v=""/>
    <s v=""/>
    <s v="Improving CBT supervision. Four years of implementing NES Specialist Supervision Training for CBT in Scotland"/>
    <s v="COGNITIVE BEHAVIOUR THERAPIST"/>
    <s v=""/>
    <s v=""/>
    <s v="English"/>
    <x v="0"/>
    <s v=""/>
    <s v=""/>
    <s v=""/>
    <s v=""/>
    <s v=""/>
    <s v="CBT; competency; Kirkpatrick; supervision"/>
    <s v="COGNITIVE THERAPY; ASSESSING COMPETENCE; SCALE; FRAMEWORK"/>
    <s v="NHS Education for Scotland (NES) plays a lead role in training the NHS Psychological Therapies workforce across Scotland. Fergusonet al. (2016) outlined the challenges, opportunities and proposed evaluation of the NES Specialist Supervision Training in Cognitive Behavioural Therapy (NESSST-CBT). The aims of the training were to provide an evidence-based, flexible and learner-focused training in CBT specific supervision competencies. This paper will provide an update on the evaluation of the training using Kirkpatrick's Impact Evaluation Model (1967,1987). Results indicate that: (1) delegates rated the training experience positively in various ways; (2) delegates described increases in their confidence and competence in using structured measures of CBT and supervision; (3) a majority of delegates completing a 3-month follow-up questionnaire described continued use of a structured CBT measure in supervision and for self-reflection; and (4) 392 psychological therapists in Scotland have now been formally trained in CBT specific supervision skills. NESSST-CBT continues to adapt and improve as a resource for staff as NES moves forward in its Digital Strategy for Scotland's NHS and partnership staff. Further implications of this are discussed, as well as limitations of the study."/>
    <s v="[O'Neill, Nathan] Leverndale Hosp, Esteem Off, Glasgow G53 7TU, Lanark, Scotland; [Albiston, Mairi; Ferguson, Sandra; Nicklas, Leeanne] NHS Educ Scotland, Psychol Directorate, Glasgow G3 8BW, Lanark, Scotland"/>
    <s v="NHS Education for Scotland"/>
    <s v="Nicklas, L (corresponding author), NHS Educ Scotland, Psychol Directorate, Glasgow G3 8BW, Lanark, Scotland."/>
    <s v="leeanne.nicklas@nes.scot.nhs.uk"/>
    <s v=""/>
    <s v="albiston, mairi/0000-0002-5221-3767"/>
    <s v=""/>
    <s v=""/>
    <s v=""/>
    <s v=""/>
    <n v="29"/>
    <n v="2"/>
    <n v="2"/>
    <n v="0"/>
    <n v="5"/>
    <s v="CAMBRIDGE UNIV PRESS"/>
    <s v="CAMBRIDGE"/>
    <s v="EDINBURGH BLDG, SHAFTESBURY RD, CB2 8RU CAMBRIDGE, ENGLAND"/>
    <s v="1754-470X"/>
    <s v=""/>
    <s v=""/>
    <s v="COGN BEH THER"/>
    <s v="Cogn. Beh. Therap."/>
    <s v=""/>
    <n v="2020"/>
    <n v="13"/>
    <s v=""/>
    <s v=""/>
    <s v=""/>
    <s v=""/>
    <s v=""/>
    <s v=""/>
    <s v=""/>
    <s v="e18"/>
    <s v="10.1017/S1754470X20000136"/>
    <s v="http://dx.doi.org/10.1017/S1754470X20000136"/>
    <s v=""/>
    <s v=""/>
    <n v="11"/>
    <s v="Psychology, Clinical"/>
    <x v="3"/>
    <s v="Psychology"/>
    <s v="LW3JL"/>
    <s v=""/>
    <s v=""/>
    <s v=""/>
    <s v=""/>
    <s v="2023-11-15"/>
    <x v="350"/>
    <s v="View Full Record in Web of Science"/>
  </r>
  <r>
    <s v="J"/>
    <s v="Peñalba, EH; Samaniego, CRC; Romero, SMA"/>
    <s v=""/>
    <s v=""/>
    <s v=""/>
    <s v="Penalba, Ericson H.; Samaniego, Chaddlyn Rose C.; Romero, Shiella Mae A."/>
    <s v=""/>
    <s v=""/>
    <s v="Digital storytelling: a tool for promoting historical understanding among college students"/>
    <s v="RESEARCH IN LEARNING TECHNOLOGY"/>
    <s v=""/>
    <s v=""/>
    <s v="English"/>
    <x v="0"/>
    <s v=""/>
    <s v=""/>
    <s v=""/>
    <s v=""/>
    <s v=""/>
    <s v="digital storytelling; history education; historical understanding; Philippine history; thematic network analysis"/>
    <s v="SKILLS"/>
    <s v="As an engaging learning strategy, digital storytelling provides students opportunities for developing competencies as they immerse themselves in a meaningful learning experience. The study presented in this article explored the potential of digital storytelling as an instrument for the promotion of historical-understanding. Thirty first-year teacher education students, who were divided into eight groups, participated in a digital storytelling project that required them to produce their own digital stories. The project was designed as an 8-week activity, which consisted of activities that guided them throughout the pre-production, production, and post-production phases. After the final week of the project, the students participated in focus group discussions. Aside from the focus group responses, data were also obtained from their reflection journal entries and digital stories. The qualitative data were subjected to thematic network analysis, surfacing six organising themes, namely historical significance, historical imagination, perspective taking, continuity, historical emphasis, and values and traits identification. These findings suggest specific courses of action for integrating technology in a history classroom."/>
    <s v="[Penalba, Ericson H.; Samaniego, Chaddlyn Rose C.; Romero, Shiella Mae A.] Bulacan State Univ, Teacher Educ Dept, Meneses Campus, Bulacan, Philippines"/>
    <s v="Bulacan State University"/>
    <s v="Peñalba, EH (corresponding author), Bulacan State Univ, Teacher Educ Dept, Meneses Campus, Bulacan, Philippines."/>
    <s v="ericson.penalba@bulsu.edu.ph"/>
    <s v="Peñalba, Ericson/AAL-6731-2020"/>
    <s v="Peñalba, Ericson/0000-0001-5834-4859"/>
    <s v=""/>
    <s v=""/>
    <s v=""/>
    <s v=""/>
    <n v="46"/>
    <n v="2"/>
    <n v="2"/>
    <n v="3"/>
    <n v="16"/>
    <s v="ASSOC LEARNING TECHNOLOGY-ALT"/>
    <s v="BICESTER"/>
    <s v="PO BOX 460, BICESTER, OX26 9LW, ENGLAND"/>
    <s v="2156-7069"/>
    <s v="2156-7077"/>
    <s v=""/>
    <s v="RES LEARN TECHNOL"/>
    <s v="Res. Learn. Technol."/>
    <s v=""/>
    <n v="2020"/>
    <n v="28"/>
    <s v=""/>
    <s v=""/>
    <s v=""/>
    <s v=""/>
    <s v=""/>
    <s v=""/>
    <s v=""/>
    <n v="2348"/>
    <s v="10.25304/rlt.v28.2348"/>
    <s v="http://dx.doi.org/10.25304/rlt.v28.2348"/>
    <s v=""/>
    <s v=""/>
    <n v="20"/>
    <s v="Education &amp; Educational Research"/>
    <x v="3"/>
    <s v="Education &amp; Educational Research"/>
    <s v="NQ8WK"/>
    <s v=""/>
    <s v="gold, Green Published"/>
    <s v=""/>
    <s v=""/>
    <s v="2023-11-15"/>
    <x v="351"/>
    <s v="View Full Record in Web of Science"/>
  </r>
  <r>
    <s v="J"/>
    <s v="Suárez-Carballo, F; Martín-Sanromán, JR; Galindo-Rubio, F"/>
    <s v=""/>
    <s v=""/>
    <s v=""/>
    <s v="Suarez-Carballo, Fernando; Martin-Sanroman, Juan-Ramon; Galindo-Rubio, Fernando"/>
    <s v=""/>
    <s v=""/>
    <s v="Responsive Graphic Marks in the Digital Strategy of the Corporate Visual Identity"/>
    <s v="FONSECA-JOURNAL OF COMMUNICATION"/>
    <s v=""/>
    <s v=""/>
    <s v="Spanish"/>
    <x v="0"/>
    <s v=""/>
    <s v=""/>
    <s v=""/>
    <s v=""/>
    <s v=""/>
    <s v="Logos; visual identity; graphic design; responsive design; digital strategy"/>
    <s v=""/>
    <s v="Many publications refer to the responsive design of logos as one of the most important trends in the digital strategy of the current corporate visual identity. According to this paradigm, the identifiers modify their graphic characteristics to adapt to the peculiar resolutions and sizes of the different screens and devices, in order to optimize the legibility and reception of the sign. However, the question is whether this phenomenon is truly relevant: to decipher it, using content analysis as the methodological technique, this research reviews the graphic marks of the 100 brands selected in the last published report by Interbrand (2019) through four variables: the possible changes in the type of logo and their visual attributes on the desktop and smartphone screens of their webpages, the level of simplicity or complexity of these signs and the graphic strategy of the favicon. The study concludes that, in web interfaces, brands prefer a single logo with high simplicity instead of these responsive tools which, however, far from the original meaning (directly linked to the equivalent webdesign trend), are used in the configuration of other elements (such as the favicon itself)."/>
    <s v="[Suarez-Carballo, Fernando; Martin-Sanroman, Juan-Ramon; Galindo-Rubio, Fernando] Univ Pontificia Salamanca, Salamanca, Spain"/>
    <s v="Pontifical University of Salamanca"/>
    <s v="Suárez-Carballo, F (corresponding author), Univ Pontificia Salamanca, Salamanca, Spain."/>
    <s v="fsuarezca@upsa.es; jrmartinsa@upsa.es; fgalindoru@upsa.es"/>
    <s v="Martin-Sanroman, Juan-Ramon/L-2842-2014; Carballo, Fernando Suárez/AAP-4670-2020"/>
    <s v="Martin-Sanroman, Juan-Ramon/0000-0003-1998-4591;"/>
    <s v=""/>
    <s v=""/>
    <s v=""/>
    <s v=""/>
    <n v="57"/>
    <n v="2"/>
    <n v="2"/>
    <n v="1"/>
    <n v="14"/>
    <s v="EDICIONES UNIV SALAMANCA"/>
    <s v="SALAMANCA"/>
    <s v="APARTADO DE CORREOS 325, SALAMANCA, 00000, SPAIN"/>
    <s v="2172-9077"/>
    <s v=""/>
    <s v=""/>
    <s v="FONSECA"/>
    <s v="Fonseca"/>
    <s v=""/>
    <n v="2020"/>
    <s v=""/>
    <n v="20"/>
    <s v=""/>
    <s v=""/>
    <s v=""/>
    <s v=""/>
    <n v="71"/>
    <n v="90"/>
    <s v=""/>
    <s v="10.14201/fjc2020207190"/>
    <s v="http://dx.doi.org/10.14201/fjc2020207190"/>
    <s v=""/>
    <s v=""/>
    <n v="20"/>
    <s v="Communication"/>
    <x v="3"/>
    <s v="Communication"/>
    <s v="LU8AO"/>
    <s v=""/>
    <s v=""/>
    <s v=""/>
    <s v=""/>
    <s v="2023-11-15"/>
    <x v="352"/>
    <s v="View Full Record in Web of Science"/>
  </r>
  <r>
    <s v="J"/>
    <s v="Ribeiro, SS"/>
    <s v=""/>
    <s v=""/>
    <s v=""/>
    <s v="Ribeiro, Sergio Silva"/>
    <s v=""/>
    <s v=""/>
    <s v="Issues of Strategic Digital City"/>
    <s v="URBAN SCIENCE"/>
    <s v=""/>
    <s v=""/>
    <s v="English"/>
    <x v="0"/>
    <s v=""/>
    <s v=""/>
    <s v=""/>
    <s v=""/>
    <s v=""/>
    <s v="strategic digital city; decision-making process; municipal strategies; municipal information; municipal public services; information technology"/>
    <s v=""/>
    <s v="In the contemporary era of information, it is a critical challenge for city managers to meet the demands of their citizens at the same pace as the development of its information technology resources. Guarapuava is an example of a centennial town that has been predominantly agricultural and now seeks to adjust to the population density and the new information age. Much like Guarapuava, many cities in Brazil and around the world are in a similar condition. The new reality of many towns is challenging for municipal managers. Strategic digital city is the application of information technology resources in the management of the city. The objective of this paper is to analyse the decision-making processes, strategies, public services, information technologies, and relationships with strategic digital city issues in the city of Guarapuava, Parana, Brazil. Using a survey methodology based on the research variables, we showed that the municipality has informal characteristics of the concept of a strategic digital city. Based on the results, the evidence domain types in the city are predominant for internet and colleagues inside the organization on a daily base. Google scholar is the most consulted research source of evidence. Respondents well know the term methodology. Their attitudes towards scientific research show that it is essential for managers and that managers are aware of how to use that technology. Related to evidence-based management the respondents, in general, agreed that using by evidence-based practices, managers can improve the quality of their work, and that this should be part of their formal education. Citizens should be utilised more as a source of evidence as well, as they are the users of the institutions. The strategies are more focused on the government and its administration, however, these strategies could include areas like science and technology. The city offers electronic public services to improve citizens lives, and to be more transparent in sharing information through these alternative channels. The analysis revealed the effort of the town to include citizens in the digital era, and its attempt to connect with them. The research serves as a reference for other municipalities with an interest in analysing projects related to the decision-making process, strategies, information, public services, and use of its IT resources. The study is also a contribution to academic knowledge in relation to the study of public policies related to urban management. Finally, the study contributes to the field of research related to the study of strategic digital city, serving as a basis for future studies in this discipline."/>
    <s v="[Ribeiro, Sergio Silva] Briercrest Coll &amp; Seminary, Dept Business Adminsitrat, Caronport, SK S0H 0S0, Canada"/>
    <s v=""/>
    <s v="Ribeiro, SS (corresponding author), Briercrest Coll &amp; Seminary, Dept Business Adminsitrat, Caronport, SK S0H 0S0, Canada."/>
    <s v="sribeiro@briercrest.ca"/>
    <s v=""/>
    <s v=""/>
    <s v=""/>
    <s v=""/>
    <s v=""/>
    <s v=""/>
    <n v="75"/>
    <n v="2"/>
    <n v="2"/>
    <n v="0"/>
    <n v="7"/>
    <s v="MDPI"/>
    <s v="BASEL"/>
    <s v="ST ALBAN-ANLAGE 66, CH-4052 BASEL, SWITZERLAND"/>
    <s v=""/>
    <s v="2413-8851"/>
    <s v=""/>
    <s v="URBAN SCI"/>
    <s v="Urban Sci."/>
    <s v="DEC"/>
    <n v="2019"/>
    <n v="3"/>
    <n v="4"/>
    <s v=""/>
    <s v=""/>
    <s v=""/>
    <s v=""/>
    <s v=""/>
    <s v=""/>
    <n v="102"/>
    <s v="10.3390/urbansci3040102"/>
    <s v="http://dx.doi.org/10.3390/urbansci3040102"/>
    <s v=""/>
    <s v=""/>
    <n v="16"/>
    <s v="Environmental Sciences; Environmental Studies; Geography; Regional &amp; Urban Planning; Urban Studies"/>
    <x v="3"/>
    <s v="Environmental Sciences &amp; Ecology; Geography; Public Administration; Urban Studies"/>
    <s v="VJ7PK"/>
    <s v=""/>
    <s v="gold"/>
    <s v=""/>
    <s v=""/>
    <s v="2023-11-15"/>
    <x v="353"/>
    <s v="View Full Record in Web of Science"/>
  </r>
  <r>
    <s v="J"/>
    <s v="Pakkanen, J; Lentini, MC; Sarris, A; Tikkala, E; Manataki, M"/>
    <s v=""/>
    <s v=""/>
    <s v=""/>
    <s v="Pakkanen, Jari; Lentini, Maria Costanza; Sarris, Apostolos; Tikkala, Esko; Manataki, Meropi"/>
    <s v=""/>
    <s v=""/>
    <s v="Recording and Reconstructing the Sacred Landscapes of Sicilian Naxos"/>
    <s v="OPEN ARCHAEOLOGY"/>
    <s v=""/>
    <s v=""/>
    <s v="English"/>
    <x v="0"/>
    <s v=""/>
    <s v=""/>
    <s v=""/>
    <s v=""/>
    <s v=""/>
    <s v="Greek sanctuaries; Naxos in Sicily; digital reconstruction; 3D documentation; geophysical survey"/>
    <s v=""/>
    <s v="In recent years, an on-going project investigating the urban landscape of Naxos has surveyed and produced several new digital reconstructions of the settlement's simple non-peripteral temples, most with highly decorative roofs. Three Archaic sacred buildings of Sicilian Naxos are used to demonstrate different approaches to recording the remains and reconstructing their architectural features. This work reflects changes in digital strategies over the past ten years. Tempietto H is a small shrine located outside the city's boundaries and the site is currently inaccessible, so its reconstruction is based on excavation documentation and roof terracottas. The visible half of Tempietto C was documented using three-dimensional line-drawing with total stations and photogrammetry; the back-filled south-western part was surveyed with ground penetrating radar. Temple B is the largest sacred structure in Naxos. A geophysical survey gives new data on the eastern extent of the sanctuary. The area has been recorded with handheld and aerial photography to create a three-dimensional model of the sanctuary. A new orthogonal grid of the city was established circa 470 BCE and a rectangular base was placed in the south-east corner of every crossroad. These bases were the starting point for the plan, and their interpretation as altars converts the entire urban plan into a sacred landscape."/>
    <s v="[Pakkanen, Jari] Royal Holloway Univ London, Sch Humanities, Dept Class, Egham TW20 0EX, Surrey, England; [Lentini, Maria Costanza] Archaeol Pk Naxos, Naxos, Sicily, Italy; [Sarris, Apostolos; Manataki, Meropi] Hellas FORTH, Fdn Res &amp; Technol, GeoSat Res Lab, Rethimnon, Greece; [Tikkala, Esko] Univ Helsinki, Helsinki, Finland"/>
    <s v="University of London; Royal Holloway University London; University of Helsinki"/>
    <s v="Pakkanen, J (corresponding author), Royal Holloway Univ London, Sch Humanities, Dept Class, Egham TW20 0EX, Surrey, England."/>
    <s v="j.pakkanen@rhul.ac.uk"/>
    <s v=""/>
    <s v=""/>
    <s v="Archaeological Park of Naxos; Jenny and Antti Wihuri Foundation; Foundation of the Finnish Institute at Athens; Finnish Institute in Rome"/>
    <s v="Archaeological Park of Naxos; Jenny and Antti Wihuri Foundation; Foundation of the Finnish Institute at Athens; Finnish Institute in Rome"/>
    <s v="For this paper, Pakkanen has been the lead author, specifically responsible for the sections on the new topographical work, architectural interpretations and reconstructions. Lentini provided data on excavation history and architectural terracottas and Sarris led the geophysical investigation of the discussed areas. Tikkala assisted with the topographical research and Manataki with the geophysics. Many thanks are due to Gabriella Tigano and Vera Greco, current and previous directors of the Archaeological Park of Naxos, for supporting the continuation of our project. Funding for Urban Landscape of Naxos in Sicily and its fieldwork in 2012-17 has been from the Jenny and Antti Wihuri Foundation, the Foundation of the Finnish Institute at Athens, the Archaeological Park of Naxos and the Finnish Institute in Rome. For the project, the support of Caterina Valentino and her staff at Hotel Palladio have been an inspiration all through the years. We also wish to thank Alexander Herda for pointing out the early use horizontal lead channels in the Greek East and providing the manuscript of his text. The anonymous referees and the editors Giorgos Papantoniou and Katarzyna Michalak have given a range of very valuable comments on the manuscript."/>
    <s v=""/>
    <n v="39"/>
    <n v="2"/>
    <n v="2"/>
    <n v="1"/>
    <n v="3"/>
    <s v="DE GRUYTER POLAND SP Z O O"/>
    <s v="WARSAW"/>
    <s v="BOGUMILA ZUGA 32A STR, 01-811 WARSAW, MAZOVIA, POLAND"/>
    <s v="2300-6560"/>
    <s v=""/>
    <s v=""/>
    <s v="OPEN ARCHAEOL"/>
    <s v="Open Archaeol."/>
    <s v="NOV 1"/>
    <n v="2019"/>
    <n v="5"/>
    <n v="1"/>
    <s v=""/>
    <s v=""/>
    <s v=""/>
    <s v=""/>
    <n v="416"/>
    <n v="433"/>
    <s v=""/>
    <s v="10.1515/opar-2019-0026"/>
    <s v="http://dx.doi.org/10.1515/opar-2019-0026"/>
    <s v=""/>
    <s v=""/>
    <n v="18"/>
    <s v="Archaeology"/>
    <x v="6"/>
    <s v="Archaeology"/>
    <s v="JZ6SZ"/>
    <s v=""/>
    <s v="gold"/>
    <s v=""/>
    <s v=""/>
    <s v="2023-11-15"/>
    <x v="354"/>
    <s v="View Full Record in Web of Science"/>
  </r>
  <r>
    <s v="J"/>
    <s v="Jerome, RN; Dunkel, L; Kennedy, N; Olson, EJ; Pulley, JM; Bernard, G; Wilkins, CH; Harris, PA"/>
    <s v=""/>
    <s v=""/>
    <s v=""/>
    <s v="Jerome, Rebecca N.; Dunkel, Leah; Kennedy, Nan; Olson, Erik J.; Pulley, Jill M.; Bernard, Gordon; Wilkins, Consuelo H.; Harris, Paul A."/>
    <s v=""/>
    <s v=""/>
    <s v="To end disease tomorrow, begin with trials today: Digital strategies for increased awareness of a clinical trials finder"/>
    <s v="JOURNAL OF CLINICAL AND TRANSLATIONAL SCIENCE"/>
    <s v=""/>
    <s v=""/>
    <s v="English"/>
    <x v="0"/>
    <s v=""/>
    <s v=""/>
    <s v=""/>
    <s v=""/>
    <s v=""/>
    <s v="Clinical trials; patient information needs; social media; public service announcements; recruitment"/>
    <s v=""/>
    <s v="Introduction: Individuals experiencing different medical conditions, as well as healthy volunteers, may often be interested in trial participation, and researchers similarly need to find participants to advance medical knowledge. The ResearchMatch (RM) Trials Today clinical trial searching tool leverages clinicaltrials.gov data to enable potential participants to look for trial opportunities relevant to their situation. To facilitate expanded use of this tool, we undertook a national digital public awareness campaign to increase awareness of Trials Today among members of the general public. Methods: The awareness campaign promoted Trials Today using Facebook and digital banner messages in 2017, encompassing nine cities across the USA. The digital strategy was complemented by print media in several outlets. We employed descriptive statistics to summarize campaign metrics and site usage data during the campaign. Results: The campaign was successful in increasing visits to Trials Today, with 142,303 sessions logged during its run, as compared to pre-campaign data indicating 104,688 total sessions during the entire 2-year period since the site's inception. The city-specific click-through rate for all digital impressions, combining Facebook and banner messaging, ranged from 0.50% to 1.09%, resulting in a cost-per-click range of $0.69-$1.15. In addition, visitors conducted 29,697 searches and viewed individual trial records 173,512 times. Conclusion: The public awareness campaign was successful in increasing use of the RM Trials Today clinical trial searching tool. Our findings support the value of digital media messaging as a cost-effective vehicle for promoting clinical trial awareness, especially for chronic ailments."/>
    <s v="[Jerome, Rebecca N.; Dunkel, Leah; Kennedy, Nan; Olson, Erik J.; Pulley, Jill M.; Bernard, Gordon; Harris, Paul A.] Vanderbilt Univ, Vanderbilt Inst Clin &amp; Translat Res, Med Ctr, 2525 West End Ave,Suite 600, Nashville, TN 37203 USA; [Wilkins, Consuelo H.] Vanderbilt Univ, Dept Med, Med Ctr, Nashville, TN 37203 USA; [Wilkins, Consuelo H.] Meharry Med Coll, Dept Internal Med, Nashville, TN 37208 USA"/>
    <s v="Vanderbilt University; Vanderbilt University; Meharry Medical College"/>
    <s v="Jerome, RN (corresponding author), Vanderbilt Univ, Vanderbilt Inst Clin &amp; Translat Res, Med Ctr, 2525 West End Ave,Suite 600, Nashville, TN 37203 USA."/>
    <s v="rebecca.jerome@vumc.org"/>
    <s v=""/>
    <s v="Olson, Erik/0000-0002-6459-7454; Jerome, Rebecca/0000-0002-6023-4269"/>
    <s v="National Center for Advancing Translational Sciences (NCATS) [UL1 TR002243, U24TR001579]; National Library of Medicine; Vanderbilt Institute for Clinical and Translational Research grant from NCATS/NIH [UL1 TR000445]"/>
    <s v="National Center for Advancing Translational Sciences (NCATS)(United States Department of Health &amp; Human ServicesNational Institutes of Health (NIH) - USANIH National Center for Advancing Translational Sciences (NCATS)); National Library of Medicine(United States Department of Health &amp; Human ServicesNational Institutes of Health (NIH) - USANIH National Library of Medicine (NLM)); Vanderbilt Institute for Clinical and Translational Research grant from NCATS/NIH(United States Department of Health &amp; Human ServicesNational Institutes of Health (NIH) - USANIH National Center for Advancing Translational Sciences (NCATS))"/>
    <s v="This project was supported by awards no. UL1 TR002243 from the National Center for Advancing Translational Sciences (NCATS), no. U24TR001579 from the NCATS and the National Library of Medicine, and Vanderbilt Institute for Clinical and Translational Research grant no. UL1 TR000445 from NCATS/NIH."/>
    <s v=""/>
    <n v="53"/>
    <n v="2"/>
    <n v="2"/>
    <n v="0"/>
    <n v="0"/>
    <s v="CAMBRIDGE UNIV PRESS"/>
    <s v="CAMBRIDGE"/>
    <s v="EDINBURGH BLDG, SHAFTESBURY RD, CB2 8RU CAMBRIDGE, ENGLAND"/>
    <s v=""/>
    <s v="2059-8661"/>
    <s v=""/>
    <s v="J CLIN TRANSL SCI"/>
    <s v="J. Clin. Transl. Sci."/>
    <s v="AUG"/>
    <n v="2019"/>
    <n v="3"/>
    <n v="4"/>
    <s v=""/>
    <s v=""/>
    <s v=""/>
    <s v=""/>
    <n v="190"/>
    <n v="198"/>
    <s v="PII S2059866119004047"/>
    <s v="10.1017/cts.2019.404"/>
    <s v="http://dx.doi.org/10.1017/cts.2019.404"/>
    <s v=""/>
    <s v=""/>
    <n v="9"/>
    <s v="Medicine, Research &amp; Experimental"/>
    <x v="3"/>
    <s v="Research &amp; Experimental Medicine"/>
    <s v="VK3ZQ"/>
    <n v="31660243"/>
    <s v="Green Published, gold"/>
    <s v=""/>
    <s v=""/>
    <s v="2023-11-15"/>
    <x v="355"/>
    <s v="View Full Record in Web of Science"/>
  </r>
  <r>
    <s v="J"/>
    <s v="Kay, J"/>
    <s v=""/>
    <s v=""/>
    <s v=""/>
    <s v="Kay, James"/>
    <s v=""/>
    <s v=""/>
    <s v="Improving access to e-resources for users at the University of Derby: enhancing discovery systems with Library Plus 2.0"/>
    <s v="INSIGHTS-THE UKSG JOURNAL"/>
    <s v=""/>
    <s v=""/>
    <s v="English"/>
    <x v="0"/>
    <s v=""/>
    <s v=""/>
    <s v=""/>
    <s v=""/>
    <s v=""/>
    <s v="Discovery systems; EDS; HE libraries; e-resources; accessibility; user experience; UX"/>
    <s v=""/>
    <s v="The Library at the University of Derby recently collaborated with EBSCO Information Services to co-create unique search interfaces and introduce a series of innovations aimed at improving the user experience. These innovations included a range of clearer icons linking through to full-text journal articles and abstract-only resources subscribed to by the Library, apps linking to additional online resource content and a fresh interface design and style. Billed as Library Plus 2.0, the project aimed to significantly improve the accessibility and visibility of the Library's online resources, while providing an enhanced user experience shaped through consultation and engagement. This article looks at the impact of the Library Plus 2.0 changes and identifies improvements for future implementation. The work contributes towards the Library's digital strategies and the continual enhancement of our core systems. The author presented this work at the University of Derby's 13th Annual Learning &amp; Teaching Conference in July 2018."/>
    <s v="[Kay, James] Univ Derby, Ctr Student Life, Lib, Kedleston Rd, Derby DE22 1GB, England"/>
    <s v="University of Derby"/>
    <s v="Kay, J (corresponding author), Univ Derby, Ctr Student Life, Lib, Kedleston Rd, Derby DE22 1GB, England."/>
    <s v="J.Kay2@derby.ac.uk"/>
    <s v=""/>
    <s v=""/>
    <s v=""/>
    <s v=""/>
    <s v=""/>
    <s v=""/>
    <n v="5"/>
    <n v="2"/>
    <n v="2"/>
    <n v="0"/>
    <n v="1"/>
    <s v="UBIQUITY PRESS LTD"/>
    <s v="LONDON"/>
    <s v="2N, 6 OSBORNE ST, LONDON, E1 6TD, ENGLAND"/>
    <s v="2048-7754"/>
    <s v=""/>
    <s v=""/>
    <s v="INSIGHTS"/>
    <s v="Insights"/>
    <s v="JAN 23"/>
    <n v="2019"/>
    <n v="32"/>
    <s v=""/>
    <s v=""/>
    <s v=""/>
    <s v=""/>
    <s v=""/>
    <s v=""/>
    <s v=""/>
    <s v=""/>
    <s v=""/>
    <s v=""/>
    <s v=""/>
    <s v=""/>
    <n v="12"/>
    <s v="Information Science &amp; Library Science"/>
    <x v="3"/>
    <s v="Information Science &amp; Library Science"/>
    <s v="HY4FZ"/>
    <s v=""/>
    <s v=""/>
    <s v=""/>
    <s v=""/>
    <s v="2023-11-15"/>
    <x v="356"/>
    <s v="View Full Record in Web of Science"/>
  </r>
  <r>
    <s v="S"/>
    <s v="Giannini, T; Bowen, JP"/>
    <s v=""/>
    <s v="Giannini, T; Bowen, JP"/>
    <s v=""/>
    <s v="Giannini, Tula; Bowen, Jonathan P."/>
    <s v=""/>
    <s v=""/>
    <s v="Transforming Education for Museum Professionals in the Digital Age"/>
    <s v="MUSEUMS AND DIGITAL CULTURE: NEW PERSPECTIVES AND RESEARCH"/>
    <s v="Springer Series on Cultural Computing"/>
    <s v=""/>
    <s v="English"/>
    <x v="1"/>
    <s v=""/>
    <s v=""/>
    <s v=""/>
    <s v=""/>
    <s v=""/>
    <s v=""/>
    <s v=""/>
    <s v="As the digital revolution accelerates, one of the most significant impacts that museums are experiencing, is how digital development is changing the very nature of work across the professions and disciplines from art and humanities to computer science and technology. Simply put-work and life are merging and becoming increasingly digital and cross-disciplinary, as they are absorbed into the digital ecosystem. Museums are recognizing that the digital shift is causing them to rethink the skills and knowledge their professional staff needs and are challenged to find effective strategies to respond to changes brought about by digital culture and related social and cultural issues, while graduate education for museum professionals is similarly challenged. As a case study, we consider Pratt Institute's Master of Science in Museums and Digital Culture, introduced in 2015 by Giannini. Representing the first master's degree of its kind, it offers a program set in a digital framework that encompasses the full range of museum activities and functions in contrast to the prevalent museum studies model taking a more traditional collection-centered approach. Over the past few years, the work of museum professionals behind the scenes has become increasingly carried out using digital tools and technologies, from collection management including digitization and access, to museum websites and social media, while using digital in galleries and exhibitions is an emerging area of critical focus aimed at developing digital strategies and methods for visitor engagement and experience and that expand the roles and responsibilities of museum professionals. Among digital advances, augmented and virtual reality, digital storytelling and artificial intelligence, are entering the mainstream of museum life, more fully immersing museums in the digital culture ecosystem. This chapter explores how education for museum professionals is transforming, as it responds to the need for graduates to possess digital skills and a deep knowledge and understanding of the social and cultural contexts in which museums are evolving."/>
    <s v="[Giannini, Tula] Pratt Inst, Sch Informat, New York, NY 10011 USA; [Bowen, Jonathan P.] London South Bank Univ, Sch Engn, London, England; [Bowen, Jonathan P.] Southwest Univ, Chongqing, Peoples R China"/>
    <s v="London South Bank University; Southwest University - China"/>
    <s v="Giannini, T (corresponding author), Pratt Inst, Sch Informat, New York, NY 10011 USA."/>
    <s v="giannini@pratt.edu; jonathan.bowen@lsbu.ac.uk"/>
    <s v="Bowen, Jonathan P./A-3383-2008"/>
    <s v="Bowen, Jonathan P./0000-0002-8748-6140"/>
    <s v=""/>
    <s v=""/>
    <s v=""/>
    <s v=""/>
    <n v="30"/>
    <n v="2"/>
    <n v="2"/>
    <n v="2"/>
    <n v="18"/>
    <s v="SPRINGER INTERNATIONAL PUBLISHING AG"/>
    <s v="CHAM"/>
    <s v="GEWERBESTRASSE 11, CHAM, CH-6330, SWITZERLAND"/>
    <s v="2195-9056"/>
    <s v=""/>
    <s v="978-3-319-97457-6; 978-3-319-97456-9"/>
    <s v="SPR SER CULT COMPUT"/>
    <s v=""/>
    <s v=""/>
    <n v="2019"/>
    <s v=""/>
    <s v=""/>
    <s v=""/>
    <s v=""/>
    <s v=""/>
    <s v=""/>
    <n v="457"/>
    <n v="480"/>
    <s v=""/>
    <s v="10.1007/978-3-319-97457-6_23"/>
    <s v="http://dx.doi.org/10.1007/978-3-319-97457-6_23"/>
    <s v="10.1007/978-3-319-97457-6"/>
    <s v=""/>
    <n v="24"/>
    <s v="Art; Humanities, Multidisciplinary; Computer Science, Interdisciplinary Applications; Information Science &amp; Library Science"/>
    <x v="10"/>
    <s v="Art; Arts &amp; Humanities - Other Topics; Computer Science; Information Science &amp; Library Science"/>
    <s v="BN6RD"/>
    <s v=""/>
    <s v=""/>
    <s v=""/>
    <s v=""/>
    <s v="2023-11-15"/>
    <x v="357"/>
    <s v="View Full Record in Web of Science"/>
  </r>
  <r>
    <s v="J"/>
    <s v="Martínez, M; Marrujo, J; Perillo, M; González, FM; Burin, D"/>
    <s v=""/>
    <s v=""/>
    <s v=""/>
    <s v="Martinez, Magali; Marrujo, Jonathan; Perillo, Martina; Gonzalez, Federico M.; Burin, Debora"/>
    <s v=""/>
    <s v=""/>
    <s v="Reading comprehension in e-Learning: support strategies and working memory"/>
    <s v="OCNOS-REVISTA DE ESTUDIOS SOBRE LA LECTURA"/>
    <s v=""/>
    <s v=""/>
    <s v="Spanish"/>
    <x v="0"/>
    <s v=""/>
    <s v=""/>
    <s v=""/>
    <s v=""/>
    <s v=""/>
    <s v="Reading Comprehension; Electronic Learning; Reading Strategies; Short Term Memory; Expository Comprehension"/>
    <s v="HYPERMEDIA"/>
    <s v="Support strategies, such as elaboration, rereading, highlighting, memorization, or note-taking, contribute to expository text comprehension. The goal of the present study was to analyze the contribution of different support strategies to expository text comprehension in an e-Learning environment. For this purpose, 224 university students read two expository texts and completed comprehension and reading strategies questionnaires, through an e-Learning platform. Students reported a variety of strategies, which were categorized in three groups: reading and memorizing, note-taking, and digital strategies. For those who read passively, participants with high working memory had significantly better comprehension than those with low working memory; this difference was not significant among those with active strategies."/>
    <s v="[Martinez, Magali; Marrujo, Jonathan; Perillo, Martina; Gonzalez, Federico M.] Univ Buenos Aires, Buenos Aires, DF, Argentina; [Burin, Debora] Univ Buenos Aires, CONICET, Buenos Aires, DF, Argentina"/>
    <s v="University of Buenos Aires; Consejo Nacional de Investigaciones Cientificas y Tecnicas (CONICET); University of Buenos Aires"/>
    <s v="Martínez, M (corresponding author), Univ Buenos Aires, Buenos Aires, DF, Argentina."/>
    <s v="martinezmagali@psi.uba.ar; jmarrujo@psi.uba.ar; mperillo@psi.uba.ar; fmgonzalez@psi.uba.ar; dburin@psi.uba.ar"/>
    <s v="Marrujo, Jonathan/JCO-0983-2023; Burin, D. I./AEJ-5975-2022"/>
    <s v="Marrujo, Jonathan/0000-0003-0233-8390; Burin, D. I./0000-0002-2515-719X"/>
    <s v=""/>
    <s v=""/>
    <s v=""/>
    <s v=""/>
    <n v="37"/>
    <n v="2"/>
    <n v="3"/>
    <n v="1"/>
    <n v="15"/>
    <s v="UNIV CASTILLA-LA MANCHA, CENTRO ESTUDIOS PROMOCION LITERATURA INFANTIL"/>
    <s v="CUENCA"/>
    <s v="AVE ALFARES, 42, CUENCA, 16071, SPAIN"/>
    <s v="1885-446X"/>
    <s v="2254-9099"/>
    <s v=""/>
    <s v="OCNOS"/>
    <s v="Ocnos"/>
    <s v=""/>
    <n v="2019"/>
    <n v="18"/>
    <n v="2"/>
    <s v=""/>
    <s v=""/>
    <s v=""/>
    <s v=""/>
    <n v="31"/>
    <n v="43"/>
    <s v=""/>
    <s v="10.18239/ocnos_2019.18.2.1988"/>
    <s v="http://dx.doi.org/10.18239/ocnos_2019.18.2.1988"/>
    <s v=""/>
    <s v=""/>
    <n v="13"/>
    <s v="Education &amp; Educational Research"/>
    <x v="3"/>
    <s v="Education &amp; Educational Research"/>
    <s v="IM2HE"/>
    <s v=""/>
    <s v="Green Published, gold, Green Submitted"/>
    <s v=""/>
    <s v=""/>
    <s v="2023-11-15"/>
    <x v="358"/>
    <s v="View Full Record in Web of Science"/>
  </r>
  <r>
    <s v="J"/>
    <s v="Obar, JA"/>
    <s v=""/>
    <s v=""/>
    <s v=""/>
    <s v="Obar, Jonathan A."/>
    <s v=""/>
    <s v=""/>
    <s v="Searching for Data Privacy Self-Management: Individual Data Control and Canada's Digital Strategy"/>
    <s v="CANADIAN JOURNAL OF COMMUNICATION"/>
    <s v=""/>
    <s v=""/>
    <s v="English"/>
    <x v="0"/>
    <s v=""/>
    <s v=""/>
    <s v=""/>
    <s v=""/>
    <s v=""/>
    <s v="Big data; Consent; Infomediation; PIPEDA; Privacy"/>
    <s v=""/>
    <s v="The problematic presumption that users can control the vast consent and data-management responsibilities associated with big data is referred to as the fallacy of data privacy self-management. Though untenable, this presumption remains fundamental to Canadian privacy law, exemplified in the individual access principle of the Personal Information Protection and Electronic Documents Act governing commercial data management. This article describes the fallacy, critiques the individual access principle, and introduces potential solutions relevant to Canada's digital strategy."/>
    <s v="[Obar, Jonathan A.] York Univ, Dept Commun Studies, N York, ON, Canada"/>
    <s v="York University - Canada"/>
    <s v="Obar, JA (corresponding author), York Univ, Dept Commun Studies, N York, ON, Canada."/>
    <s v="jaobar@yorku.ca"/>
    <s v=""/>
    <s v=""/>
    <s v=""/>
    <s v=""/>
    <s v=""/>
    <s v=""/>
    <n v="25"/>
    <n v="2"/>
    <n v="2"/>
    <n v="1"/>
    <n v="2"/>
    <s v="CANADIAN JOURNAL COMMUNICATION"/>
    <s v="VANCOUVER"/>
    <s v="C/O SIMON FRASER UNIV, 515 WEST HASTINGS ST, VANCOUVER, BC V6B 5K3, CANADA"/>
    <s v="0705-3657"/>
    <s v="1499-6642"/>
    <s v=""/>
    <s v="CAN J COMMUN"/>
    <s v="Can. J. Commun."/>
    <s v=""/>
    <n v="2019"/>
    <n v="44"/>
    <n v="2"/>
    <s v=""/>
    <s v=""/>
    <s v=""/>
    <s v=""/>
    <n v="35"/>
    <n v="41"/>
    <s v=""/>
    <s v="10.22230/cjc.2019v44n2a3503"/>
    <s v="http://dx.doi.org/10.22230/cjc.2019v44n2a3503"/>
    <s v=""/>
    <s v=""/>
    <n v="7"/>
    <s v="Communication"/>
    <x v="3"/>
    <s v="Communication"/>
    <s v="IF5TD"/>
    <s v=""/>
    <s v="hybrid"/>
    <s v=""/>
    <s v=""/>
    <s v="2023-11-15"/>
    <x v="359"/>
    <s v="View Full Record in Web of Science"/>
  </r>
  <r>
    <s v="J"/>
    <s v="Gutiérrez-Leefmans, C; Nava-Rogel, RM; Trujillo-León, MA"/>
    <s v=""/>
    <s v=""/>
    <s v=""/>
    <s v="Gutierrez-Leefmans, Catalina; Maria Nava-Rogel, Rosa; Andrea Trujillo-Leon, Maria"/>
    <s v=""/>
    <s v=""/>
    <s v="HOW ARE DYNAMIC CAPABILITIES AND DIGITAL MARKETING RELATED? A REFLECTION FROM LITERATURE"/>
    <s v="REVISTA ELETRONICA DE ESTRATEGIA E NEGOCIOS-REEN"/>
    <s v=""/>
    <s v=""/>
    <s v="English"/>
    <x v="0"/>
    <s v=""/>
    <s v=""/>
    <s v=""/>
    <s v=""/>
    <s v=""/>
    <s v="Dynamic Capabilitie; Digital Marketing; Marketing Capabilities; Dynamic Marketing Capabilities; Digital Strategy"/>
    <s v="RESOURCE-BASED VIEW; BUSINESS STRATEGY; ADOPTION; IMPACT; TECHNOLOGY; SMES"/>
    <s v="This study aims to explore the relationship between dynamic capabilities and digital marketing. From the literature review on dynamic marketing capabilities, marketing capabilities and digital marketing capabilities it is inferred that without considering the denomination, they all include the dynamic component factors. The review also results on the consideration that these capabilities already involve the use of ICTs and digital tools for their development. It is concluded that digital marketing directly supports the marketing capabilities required by the context and therefore the business strategy directed to a better performance of firms."/>
    <s v="[Gutierrez-Leefmans, Catalina; Maria Nava-Rogel, Rosa] Univ Autonoma Estado Mexico, Escola Contabilidade &amp; Adm, Cerro Coatepec S-N, Toluca, Mexico; [Andrea Trujillo-Leon, Maria] Tec Monterrey Campus Santa Fe ITESM, ITESM Campus Santa Fe,Av Carlos Lazo 100, Ciudad De Mexico 01389, Cdmx, Mexico"/>
    <s v=""/>
    <s v="Gutiérrez-Leefmans, C (corresponding author), Univ Autonoma Estado Mexico, Escola Contabilidade &amp; Adm, Cerro Coatepec S-N, Toluca, Mexico."/>
    <s v="cgluniv@gmail.com; rmnavar@uaemex.mx; andrea.trujillo@itesm.mx"/>
    <s v="Gutierrez-Leefmans, Catalina/N-6287-2018; Rosa María, Nava-Rogel/O-4885-2015"/>
    <s v="Gutierrez-Leefmans, Catalina/0000-0001-9588-6753; Rosa María, Nava-Rogel/0000-0003-2611-3903"/>
    <s v=""/>
    <s v=""/>
    <s v=""/>
    <s v=""/>
    <n v="47"/>
    <n v="2"/>
    <n v="2"/>
    <n v="7"/>
    <n v="65"/>
    <s v="UNIV SUL SANTA CATARINA-UNISUL"/>
    <s v="FLORIANOPOLIS"/>
    <s v="RUA TRAJANO 219, FLORIANOPOLIS, SC 00000, BRAZIL"/>
    <s v="1984-3372"/>
    <s v=""/>
    <s v=""/>
    <s v="REV ELETRONICA ESTRA"/>
    <s v="Rev. Eletronica Estrateg. Neg.-REEN"/>
    <s v="SEP-DEC"/>
    <n v="2018"/>
    <n v="11"/>
    <n v="3"/>
    <s v=""/>
    <s v=""/>
    <s v=""/>
    <s v=""/>
    <n v="265"/>
    <n v="283"/>
    <s v=""/>
    <s v="10.19177/reen.v11e32018265-283"/>
    <s v="http://dx.doi.org/10.19177/reen.v11e32018265-283"/>
    <s v=""/>
    <s v=""/>
    <n v="19"/>
    <s v="Management"/>
    <x v="3"/>
    <s v="Business &amp; Economics"/>
    <s v="HZ0RQ"/>
    <s v=""/>
    <s v="gold, Green Published"/>
    <s v=""/>
    <s v=""/>
    <s v="2023-11-15"/>
    <x v="360"/>
    <s v="View Full Record in Web of Science"/>
  </r>
  <r>
    <s v="J"/>
    <s v="Carmona, KMO; Armenta, JA; Mendez, MEP; Gastelu, CAT"/>
    <s v=""/>
    <s v=""/>
    <s v=""/>
    <s v="Olivares Carmona, Karen Michelle; Angulo Armenta, Joel; Prieto Mendez, Manuel Emilio; Torres Gastelu, Carlos Arturo"/>
    <s v=""/>
    <s v=""/>
    <s v="EDUCATIC: IMPLEMENTATION OF A TECNO-EDUCATIONAL STRATEGY FOR UNIVERSITY DIGITAL COMPETENCE DEVELOPMENT"/>
    <s v="PIXEL-BIT- REVISTA DE MEDIOS Y EDUCACION"/>
    <s v=""/>
    <s v=""/>
    <s v="Spanish"/>
    <x v="0"/>
    <s v=""/>
    <s v=""/>
    <s v=""/>
    <s v=""/>
    <s v=""/>
    <s v="Social media; media education; sex education; image; gender stereotypes; digital identity; social roles; youth"/>
    <s v=""/>
    <s v="A cross-sectional study was conducted with an application and quasi-experimental design reach. The objective was to implement a tecno-educational strategy through an instructional design called EducaTic. The final goal being the strengthening of the digital competence of students from a Mexican university. The sample was formed by 59 students from the first semester of the bachelor's in psychology program. The instruments designed for this purpose were: Likert scale of the level of competence to evaluate perception, knowledge evaluation and score scale to valuate abilities. The results showed no significant differences and it was concluded that it is imperative for proposals such as EducaTic to be implemented for the complete duration of the academic program by digitally competent professors. Keywords: instructional design, tecno-educational strategy, digital competence, ICT, higher education. the gender differences detected between boys and girls selfies, also treating the rituality of the take a selfie process and sociocultural references detected which point to an specific idea of sexuality."/>
    <s v="[Olivares Carmona, Karen Michelle; Angulo Armenta, Joel] Inst Tecnol Sonora, 5 Febrero 818 Sur, Obregon 85000, Sonora, Mexico; [Prieto Mendez, Manuel Emilio] Univ Castilla La Mancha, Camino Moledores S-N, Ciudad Real 13051, Spain; [Torres Gastelu, Carlos Arturo] Univ Veracruzana, Puesta del Sol S-N, Xalapa 91780, Veracruz, Mexico"/>
    <s v="Universidad de Castilla-La Mancha; Universidad Veracruzana"/>
    <s v="Carmona, KMO (corresponding author), Inst Tecnol Sonora, 5 Febrero 818 Sur, Obregon 85000, Sonora, Mexico."/>
    <s v="karen.olivares@itson.edu.mx; joel.angulo@itson.edu.mx; mprieto@uclm.com; ctorres@uv.mx"/>
    <s v="Gastelú, Carlos Arturo Torres/N-2459-2015; Gastelú, Carlos Arturo Torres/ABE-6449-2020; Prieto-Mendez, Manuel E./A-8047-2011"/>
    <s v="Gastelú, Carlos Arturo Torres/0000-0003-2527-9602; Prieto-Mendez, Manuel E./0000-0003-0343-1482"/>
    <s v=""/>
    <s v=""/>
    <s v=""/>
    <s v=""/>
    <n v="24"/>
    <n v="2"/>
    <n v="2"/>
    <n v="0"/>
    <n v="14"/>
    <s v="UNIV SEVILLA, EDITORIAL"/>
    <s v="SEVILLE"/>
    <s v="SECRETARIADO PUBLICACIONES, C/ PORVENIR, NO 27, SEVILLE, 41013, SPAIN"/>
    <s v="1133-8482"/>
    <s v="2171-7966"/>
    <s v=""/>
    <s v="PIXEL-BIT"/>
    <s v="Pixel-Bit"/>
    <s v="JUL"/>
    <n v="2018"/>
    <s v=""/>
    <n v="53"/>
    <s v=""/>
    <s v=""/>
    <s v=""/>
    <s v=""/>
    <n v="27"/>
    <n v="40"/>
    <s v=""/>
    <s v="10.12795/pixelbit.2018.i53.02"/>
    <s v="http://dx.doi.org/10.12795/pixelbit.2018.i53.02"/>
    <s v=""/>
    <s v=""/>
    <n v="14"/>
    <s v="Education &amp; Educational Research"/>
    <x v="3"/>
    <s v="Education &amp; Educational Research"/>
    <s v="GU3DM"/>
    <s v=""/>
    <s v="Green Published, gold"/>
    <s v=""/>
    <s v=""/>
    <s v="2023-11-15"/>
    <x v="361"/>
    <s v="View Full Record in Web of Science"/>
  </r>
  <r>
    <s v="J"/>
    <s v="Tommasi, BL"/>
    <s v=""/>
    <s v=""/>
    <s v=""/>
    <s v="Tommasi, Brizio Leonardo"/>
    <s v=""/>
    <s v=""/>
    <s v="Project management and digital transformation. Performance measuring model of digital projects and archives"/>
    <s v="JLIS.IT"/>
    <s v=""/>
    <s v=""/>
    <s v="Italian"/>
    <x v="0"/>
    <s v=""/>
    <s v=""/>
    <s v=""/>
    <s v=""/>
    <s v=""/>
    <s v="Digital project; Digital project management; Digital economy; Archival economy; Digital archives; Games Theory; Digital records management"/>
    <s v=""/>
    <s v="Every organization and every innovation, including digital transformation, are based on projects; one third of the world's economy is based on projects. Digital-based innovations consist of multidisciplinary prospects based on juridical, organizational, archival and technological dimensions. Moreover the project has to use management methodologies: project management has become an important discipline in this context. The project and its management methodologies use a systemic approach for the management areas. Similarly digital archive innovations require a multidisciplinary approach: it identifies a transformation from the pure analytical approach towards a complex, multidisciplinary and interdependent systems. The project and digital archive initiatives have to strategically use the approach and project oriented organization, based on a multidisciplinary and systemic approach: the digital project. This approach requires to measure results of the used digital strategies and to evaluate the effects of relative projects. The strategic perspectives management consists of balanced indicators for the related disciplines, through using Digital Scorecard (DSC), digital archive performance named Overall digital Archive Effectiveness (OAE) and the Digital Manager based on an equilibrium of competences emerging from the application of games theory."/>
    <s v="[Tommasi, Brizio Leonardo] Univ Roma Tor Vergata, CONSOB Commiss Nazl Soc &amp; Borsa, Rome, Italy"/>
    <s v="University of Rome Tor Vergata"/>
    <s v="Tommasi, BL (corresponding author), Univ Roma Tor Vergata, CONSOB Commiss Nazl Soc &amp; Borsa, Rome, Italy."/>
    <s v="b.tommasi@consob.it"/>
    <s v=""/>
    <s v="Tommasi, Brizio Leonardo/0000-0003-3827-9361"/>
    <s v=""/>
    <s v=""/>
    <s v=""/>
    <s v=""/>
    <n v="36"/>
    <n v="2"/>
    <n v="2"/>
    <n v="5"/>
    <n v="80"/>
    <s v="UNIV STUDI FIRENZE, DIPT STUDI MEDIOEVO &amp; RINASCIMENTO"/>
    <s v="FLORENCE"/>
    <s v="PIAZZA BRUNELLESCHI 3-4, FLORENCE, 50121, ITALY"/>
    <s v="2038-5366"/>
    <s v="2038-1026"/>
    <s v=""/>
    <s v="JLIS.IT"/>
    <s v="JLIS.it"/>
    <s v=""/>
    <n v="2018"/>
    <n v="9"/>
    <n v="3"/>
    <s v=""/>
    <s v=""/>
    <s v=""/>
    <s v=""/>
    <n v="92"/>
    <n v="108"/>
    <s v=""/>
    <s v="10.4403/jlis.it-12420"/>
    <s v="http://dx.doi.org/10.4403/jlis.it-12420"/>
    <s v=""/>
    <s v=""/>
    <n v="17"/>
    <s v="Information Science &amp; Library Science"/>
    <x v="3"/>
    <s v="Information Science &amp; Library Science"/>
    <s v="GT5KZ"/>
    <s v=""/>
    <s v=""/>
    <s v=""/>
    <s v=""/>
    <s v="2023-11-15"/>
    <x v="362"/>
    <s v="View Full Record in Web of Science"/>
  </r>
  <r>
    <s v="J"/>
    <s v="Taloni, A; Font-Clos, F; Guidetti, L; Milan, S; Ascagni, M; Vasco, C; Pasini, ME; Gioria, MR; Ciusani, E; Zapperi, S; La Porta, CAM"/>
    <s v=""/>
    <s v=""/>
    <s v=""/>
    <s v="Taloni, Alessandro; Font-Clos, Francesc; Guidetti, Luca; Milan, Simone; Ascagni, Miriam; Vasco, Chiara; Pasini, Maria Enrica; Gioria, Maria Rosa; Ciusani, Emilio; Zapperi, Stefano; La Porta, Caterina A. M."/>
    <s v=""/>
    <s v=""/>
    <s v="Probing spermiogenesis: a digital strategy for mouse acrosome classification"/>
    <s v="SCIENTIFIC REPORTS"/>
    <s v=""/>
    <s v=""/>
    <s v="English"/>
    <x v="0"/>
    <s v=""/>
    <s v=""/>
    <s v=""/>
    <s v=""/>
    <s v=""/>
    <s v=""/>
    <s v="SPERM MORPHOMETRY; DIFFERENTIATION"/>
    <s v="Classification of morphological features in biological samples is usually performed by a trained eye but the increasing amount of available digital images calls for semi-automatic classification techniques. Here we explore this possibility in the context of acrosome morphological analysis during spermiogenesis. Our method combines feature extraction from three dimensional reconstruction of confocal images with principal component analysis and machine learning. The method could be particularly useful in cases where the amount of data does not allow for a direct inspection by trained eye."/>
    <s v="[Taloni, Alessandro; Guidetti, Luca; Milan, Simone; Zapperi, Stefano; La Porta, Caterina A. M.] Univ Milan, Ctr Complex &amp; Biosyst, Via Celoria 16, I-20133 Milan, Italy; [Taloni, Alessandro; Zapperi, Stefano] Univ Milan, Dept Phys, Via Celoria 16, I-20133 Milan, Italy; [Taloni, Alessandro] CNR, ISC, Via Taurini 19, I-00185 Rome, Italy; [Font-Clos, Francesc; Milan, Simone; Zapperi, Stefano] ISI Fdn, Via Chisola 5, I-10126 Turin, Italy; [Guidetti, Luca; Milan, Simone; La Porta, Caterina A. M.] Univ Milan, Dept Environm Sci &amp; Policy, Via Celoria 26, I-20133 Milan, Italy; [Ascagni, Miriam; Pasini, Maria Enrica; Gioria, Maria Rosa] Univ Milan, Dept Biosci, Via Celoria 26, I-20133 Milan, Italy; [Vasco, Chiara; Ciusani, Emilio] Ist Neurol Carlo Besta, Via Celoria 11, I-20133 Milan, Italy; [Zapperi, Stefano] Aalto Univ, Dept Appl Phys, POB 11100, FIN-00076 Espoo, Finland; [Zapperi, Stefano] CNR, ICMATE, Via Roberto Cozzi 53, I-20125 Milan, Italy"/>
    <s v="University of Milan; University of Milan; Consiglio Nazionale delle Ricerche (CNR); Istituto dei Sistemi Complessi (ISC-CNR); University of Milan; University of Milan; IRCCS Istituto Neurologico Besta; Aalto University; Consiglio Nazionale delle Ricerche (CNR); Istituto di Chimica della Materia Condensata e di Tecnologie per l Energia (ICMATE-CNR)"/>
    <s v="La Porta, CAM (corresponding author), Univ Milan, Ctr Complex &amp; Biosyst, Via Celoria 16, I-20133 Milan, Italy.;La Porta, CAM (corresponding author), Univ Milan, Dept Environm Sci &amp; Policy, Via Celoria 26, I-20133 Milan, Italy."/>
    <s v="caterina.laporta@unimi.it"/>
    <s v="Zapperi, Stefano/C-9473-2009; Ciusani, Emilio/J-9822-2016; Taloni, Alessandro/N-3121-2016; Vasco, Chiara/C-5637-2017; pasini, Maria Enrica/D-8785-2012; La Porta, Caterina/K-7345-2013; Taloni, Alessandro/AAF-1641-2020"/>
    <s v="Zapperi, Stefano/0000-0001-5692-5465; Ciusani, Emilio/0000-0002-7285-123X; Taloni, Alessandro/0000-0002-8863-7166; Vasco, Chiara/0000-0002-3788-778X; pasini, Maria Enrica/0000-0002-7476-6928; La Porta, Caterina/0000-0002-3010-8966; Taloni, Alessandro/0000-0002-8863-7166"/>
    <s v="ERC Advanced grant SIZEFFECTS"/>
    <s v="ERC Advanced grant SIZEFFECTS(European Research Council (ERC))"/>
    <s v="A.T., F.F.C. and S.Z. are supported by ERC Advanced grant SIZEFFECTS."/>
    <s v=""/>
    <n v="22"/>
    <n v="2"/>
    <n v="2"/>
    <n v="0"/>
    <n v="4"/>
    <s v="NATURE PUBLISHING GROUP"/>
    <s v="LONDON"/>
    <s v="MACMILLAN BUILDING, 4 CRINAN ST, LONDON N1 9XW, ENGLAND"/>
    <s v="2045-2322"/>
    <s v=""/>
    <s v=""/>
    <s v="SCI REP-UK"/>
    <s v="Sci Rep"/>
    <s v="JUN 16"/>
    <n v="2017"/>
    <n v="7"/>
    <s v=""/>
    <s v=""/>
    <s v=""/>
    <s v=""/>
    <s v=""/>
    <s v=""/>
    <s v=""/>
    <n v="3748"/>
    <s v="10.1038/s41598-017-03867-7"/>
    <s v="http://dx.doi.org/10.1038/s41598-017-03867-7"/>
    <s v=""/>
    <s v=""/>
    <n v="10"/>
    <s v="Multidisciplinary Sciences"/>
    <x v="2"/>
    <s v="Science &amp; Technology - Other Topics"/>
    <s v="EX7FN"/>
    <n v="28623263"/>
    <s v="Green Published, gold"/>
    <s v=""/>
    <s v=""/>
    <s v="2023-11-15"/>
    <x v="363"/>
    <s v="View Full Record in Web of Science"/>
  </r>
  <r>
    <s v="J"/>
    <s v="Reddy, AVJ; Rao, BM"/>
    <s v=""/>
    <s v=""/>
    <s v=""/>
    <s v="Reddy, Arenur Venkataswamy Jayapala; Rao, Bandlamudi Madhusdhan"/>
    <s v=""/>
    <s v=""/>
    <s v="Opportunities and challenges for Indian Pharmaceutical companies in overseas markets and need of digital tools for sustainable success"/>
    <s v="INDIAN JOURNAL OF PHARMACEUTICAL EDUCATION AND RESEARCH"/>
    <s v=""/>
    <s v=""/>
    <s v="English"/>
    <x v="0"/>
    <s v=""/>
    <s v=""/>
    <s v=""/>
    <s v=""/>
    <s v=""/>
    <s v="Indian pharma industry; Digital tools; Global markets; Globalization; Digital strategy; Automation in pharma; Pharma domain"/>
    <s v=""/>
    <s v="Background: The era of globalization has helped many Indian Pharma companies to expand operations beyond home turf. Changes in regulatory, patent and market trends will drive opportunities for generic drugs and hence very big opportunities for Indian pharmaceutical companies in global markets. India is the largest manufacturer and exporter of generic drugs in the world and considered as the pharmacy of the world. However many Indian pharma companies find it difficult to survive in global markets due to the competition, lack of market knowledge, complex regulatory pathway and not embracing the latest digital technologies adopted by global companies. Objective: The objective of this research is to study the need of various digital tools available for different domains of pharma industry to become successful in global markets. Methods: Researcher has adopted an empirical study to conduct this research using primary and secondary data. Primary research was done by identifying target participants from pharma industry and adopted purposive sampling technique to collect the data online through a structured and validated questionnaire. Data was extracted, analyzed and interpreted using graphical analysis. Results: The results of this study found that in all the questions in questionnaire, majority of the participants were in favor of adopting digital tools in pharma industry irrespective size and type organization. Conclusion: Based on the outcome of this empirical study, it was established that there is a clear need of domain based digital tools for Indian pharma companies to compete and sustain in global markets."/>
    <s v="[Reddy, Arenur Venkataswamy Jayapala] Vignans Univ, Sch Management Studies, Int Business, Vadlamudi, Andhra Prades, India; [Reddy, Arenur Venkataswamy Jayapala] Hetero Labs Ltd, Biol Business Dev, Hyderabad 500018, Telangana, India; [Rao, Bandlamudi Madhusdhan] Vignans Univ, Sch Management Studies, Vadlamudi, Andhra Prades, India"/>
    <s v="Vignan's Foundation for Science, Technology &amp; Research (VFSTR); Vignan's Foundation for Science, Technology &amp; Research (VFSTR)"/>
    <s v="Reddy, AVJ (corresponding author), Vignans Univ, Sch Management Studies, Int Business, Vadlamudi, Andhra Prades, India.;Reddy, AVJ (corresponding author), Hetero Labs Ltd, Biol Business Dev, Hyderabad 500018, Telangana, India."/>
    <s v="jayapala@gmail.com"/>
    <s v="Rao/ABF-8682-2020"/>
    <s v="Rao/0000-0002-1905-707X"/>
    <s v=""/>
    <s v=""/>
    <s v=""/>
    <s v=""/>
    <n v="19"/>
    <n v="2"/>
    <n v="2"/>
    <n v="0"/>
    <n v="13"/>
    <s v="ASSOC PHARMACEUTICAL TEACHERS INDIA"/>
    <s v="BANGALORE"/>
    <s v="AL-AMEEN COLL PHARMACY, OPP LALBACH MAIN GATE, HOSUR MAIN RD, BANGALORE, 560 027, INDIA"/>
    <s v="0019-5464"/>
    <s v=""/>
    <s v=""/>
    <s v="INDIAN J PHARM EDUC"/>
    <s v="Indian J. Pharm. Educ. Res."/>
    <s v="APR-JUN"/>
    <n v="2017"/>
    <n v="51"/>
    <n v="2"/>
    <s v=""/>
    <s v=""/>
    <s v=""/>
    <s v=""/>
    <n v="226"/>
    <n v="238"/>
    <s v=""/>
    <s v="10.5530/ijper.51.2.28"/>
    <s v="http://dx.doi.org/10.5530/ijper.51.2.28"/>
    <s v=""/>
    <s v=""/>
    <n v="13"/>
    <s v="Education, Scientific Disciplines; Pharmacology &amp; Pharmacy"/>
    <x v="2"/>
    <s v="Education &amp; Educational Research; Pharmacology &amp; Pharmacy"/>
    <s v="EY7FL"/>
    <s v=""/>
    <s v="Green Submitted, hybrid"/>
    <s v=""/>
    <s v=""/>
    <s v="2023-11-15"/>
    <x v="364"/>
    <s v="View Full Record in Web of Science"/>
  </r>
  <r>
    <s v="J"/>
    <s v="Batt, C"/>
    <s v=""/>
    <s v=""/>
    <s v=""/>
    <s v="Batt, Chris"/>
    <s v=""/>
    <s v=""/>
    <s v="Long-term digital strategy: do it once, do it right"/>
    <s v="INFORMATION AND LEARNING SCIENCE"/>
    <s v=""/>
    <s v=""/>
    <s v="English"/>
    <x v="0"/>
    <s v=""/>
    <s v=""/>
    <s v=""/>
    <s v=""/>
    <s v=""/>
    <s v="Strategic planning; Libraries; Internet; Museums; Archives; Digital innovation; Socio-technical change"/>
    <s v=""/>
    <s v="Purpose - Collecting Institutions in the Network Society is a multidisciplinary PhD study examining present practices and policies of collecting institutions (museums, galleries, libraries and archives) in their use and development of digital technologies, within the context of wider socio-technical change. It investigates whether existing service paradigms are best suited to future digital delivery of services in the emergent network society. Design/methodology/approach - It uses an interpretive methodological approach creating a body of phenomenological evidence enabling comparison between the organisational context, internal practices, histories and policies of collecting institutions, and the wider socio-technical impact of the internet. Literature reviews provide evidence from the outer world of internet developments and impact to establish four generic drivers of internet change. For the inner world of collecting institutions, organisational context and research and development on innovation are examined to analyse various perspectives on common approaches to service policy and practice. Additionally, textual analysis of institutional mission statements and policy documents is used to establish the degree of common purpose across collecting institutions and the preparedness of practitioners and policymakers to deal with rapid socio-technical change. Findings - The evidence is synthesised to define an institutional paradigm describing the present operational processes and practices of collecting institutions. This is compared with the four generic drivers to define opportunities and challenges that collecting institutions face in exploiting the internet. This synthesis demonstrates that the siloised and fragmented nature of the institutional paradigm creates significant barriers to effective exploitation. Evidence from the textual analysis is used to develop a shared mission statement for all collecting institutions as the foundation of a strategic digital future. Originality/value - The study proposes a radically new service paradigm (the digital knowledge ecology) enabling collecting institutions to achieve maximum user value in their delivery of digital services, and concludes with proposals for actions to build a collective strategy."/>
    <s v=""/>
    <s v=""/>
    <s v=""/>
    <s v="cbatt@mac.com"/>
    <s v=""/>
    <s v=""/>
    <s v=""/>
    <s v=""/>
    <s v=""/>
    <s v=""/>
    <n v="2"/>
    <n v="2"/>
    <n v="2"/>
    <n v="0"/>
    <n v="9"/>
    <s v="EMERALD GROUP PUBLISHING LTD"/>
    <s v="BINGLEY"/>
    <s v="HOWARD HOUSE, WAGON LANE, BINGLEY BD16 1WA, W YORKSHIRE, ENGLAND"/>
    <s v="2398-5348"/>
    <s v=""/>
    <s v=""/>
    <s v="INFORM LEARN SCI"/>
    <s v="Inf. Learn. Sci."/>
    <s v=""/>
    <n v="2017"/>
    <n v="118"/>
    <s v="5-6"/>
    <s v=""/>
    <s v=""/>
    <s v=""/>
    <s v=""/>
    <n v="331"/>
    <n v="335"/>
    <s v=""/>
    <s v="10.1108/ILS-06-2017-0058"/>
    <s v="http://dx.doi.org/10.1108/ILS-06-2017-0058"/>
    <s v=""/>
    <s v=""/>
    <n v="5"/>
    <s v="Information Science &amp; Library Science"/>
    <x v="3"/>
    <s v="Information Science &amp; Library Science"/>
    <s v="FY9HI"/>
    <s v=""/>
    <s v=""/>
    <s v=""/>
    <s v=""/>
    <s v="2023-11-15"/>
    <x v="365"/>
    <s v="View Full Record in Web of Science"/>
  </r>
  <r>
    <s v="J"/>
    <s v="Dechaux, J; Filiol, E"/>
    <s v=""/>
    <s v=""/>
    <s v=""/>
    <s v="Dechaux, Jonathan; Filiol, Eric"/>
    <s v=""/>
    <s v=""/>
    <s v="Proactive defense against malicious documents: formalization, implementation and case studies"/>
    <s v="JOURNAL OF COMPUTER VIROLOGY AND HACKING TECHNIQUES"/>
    <s v=""/>
    <s v=""/>
    <s v="English"/>
    <x v="0"/>
    <s v=""/>
    <s v=""/>
    <s v=""/>
    <s v=""/>
    <s v=""/>
    <s v=""/>
    <s v=""/>
    <s v="The current detection model used by modern antivirus software is based on the same basic principle. Any antivirus has to analyze the threat in order to protect the user afterwards. This implies to have first a few systems to be infected, then to perform a manual or partially automated analysis of the malware to finally update the malware databases. Quite no prevention model is considered to mitigate this inherent limitation of AV software. This issue becomes critical when considering office documents (Microsoft Office, Libre Office, PDF files ...) which become more and more vectors of targeted attacks and hence represent a major threat. The huge variability of documents makes the current detection model quite useless. To protect against the specific risks presented by these documents, we propose a new model of antiviral protection acting proactively and offering a strong prevention model. The document is transformed into an inactive file format to protect the user from any known or unknown threat. This module of proactive threat management has been implemented into the DAVFI project (French and International AntiVirus Demonstrator), funded by the French Strategic Digital Fund. Real and concrete cases of malicious office documents have been submitted to the analysis of this module as well as its transformation principles, demonstrating its effectiveness and accuracy."/>
    <s v="[Dechaux, Jonathan; Filiol, Eric] ESIEA, Operat Cryptol &amp; Virol Lab, Laval, France"/>
    <s v=""/>
    <s v="Filiol, E (corresponding author), ESIEA, Operat Cryptol &amp; Virol Lab, Laval, France."/>
    <s v="jonathan.dechaux@esiea.fr; efiliol@netc.fr"/>
    <s v=""/>
    <s v=""/>
    <s v=""/>
    <s v=""/>
    <s v=""/>
    <s v=""/>
    <n v="17"/>
    <n v="2"/>
    <n v="2"/>
    <n v="0"/>
    <n v="7"/>
    <s v="SPRINGER FRANCE"/>
    <s v="PARIS"/>
    <s v="22 RUE DE PALESTRO, PARIS, 75002, FRANCE"/>
    <s v="2263-8733"/>
    <s v=""/>
    <s v=""/>
    <s v="J COMPUT VIROL HACKI"/>
    <s v="J. Comput. Virol. Hacking Tech."/>
    <s v="AUG"/>
    <n v="2016"/>
    <n v="12"/>
    <n v="3"/>
    <s v=""/>
    <s v=""/>
    <s v="SI"/>
    <s v=""/>
    <n v="191"/>
    <n v="202"/>
    <s v=""/>
    <s v="10.1007/s11416-015-0259-6"/>
    <s v="http://dx.doi.org/10.1007/s11416-015-0259-6"/>
    <s v=""/>
    <s v=""/>
    <n v="12"/>
    <s v="Computer Science, Information Systems"/>
    <x v="3"/>
    <s v="Computer Science"/>
    <s v="EB1AW"/>
    <s v=""/>
    <s v=""/>
    <s v=""/>
    <s v=""/>
    <s v="2023-11-15"/>
    <x v="366"/>
    <s v="View Full Record in Web of Science"/>
  </r>
  <r>
    <s v="J"/>
    <s v="Ditchburn, JL; Marshall, A"/>
    <s v=""/>
    <s v=""/>
    <s v=""/>
    <s v="Ditchburn, J-L; Marshall, A."/>
    <s v=""/>
    <s v=""/>
    <s v="The Cumbria Rural Health Forum: initiating change and moving forward with technology"/>
    <s v="RURAL AND REMOTE HEALTH"/>
    <s v=""/>
    <s v=""/>
    <s v="English"/>
    <x v="0"/>
    <s v=""/>
    <s v=""/>
    <s v=""/>
    <s v=""/>
    <s v=""/>
    <s v="digital technology; e-health; England; health services; needs and demand; social care; strategy; telecare; telehealth; telemedicine"/>
    <s v="DELPHI TECHNIQUE; SOCIOECONOMIC-STATUS; TELEMEDICINE; COMMUNITY; MANAGEMENT; CARE; DEPRESSION; POLICY"/>
    <s v="Introduction: The Cumbria Rural Health Forum was formed by a number of public, private and voluntary sector organisations to collaboratively work on rural health and social care in the county of Cumbria, England. The aim of the forum is to improve health and social care delivery for rural communities, and share practical ideas and evidence - based best practice that can be implemented in Cumbria. The forum currently consists of approximately 50 organisations interested in and responsible for delivery of health and social care in Cumbria. An exploration of digital technologies for health and care was recognised as an initial priority. This article describes a hands - on approach undertaken within the forum, including its current progress and development. Methods: The forum used a modified Delphi technique to facilitate its work on discussing ideas and reaching consensus to formulate the Cumbria Strategy for Digital Technologies in Health and Social Care. The group communication process took place over meetings and workshops held at various locations in the county. Results: A roadmap for the implementation of digital technologies into health and social care was developed. The roadmap recommends the following: (i) to improve the health outcomes for targeted groups, within a unit, department or care pathway; (ii) to explain, clarify, share good (and bad) practice, assess impact and value through information sharing through conferences and events, influencing and advocacy for Cumbria; and (iii) to develop a digital - health - ready workforce where health and social care professionals can be supported to use digital technologies, and enhance recruitment and retention of staff. Conclusions: The forum experienced issues consistent with those in other Delphi studies, such as the repetition of ideas. Attendance was variable due to the unavailability of key people at times. Although the forum facilitated collective effort to address rural health issues, its power is limited to influencing and supporting implementation of change. Within the implementation phase, the forum has engaged in advising and facilitating policy change at all levels. Thus, the forum has become a voice to influence change towards the advancement of health and social care through digital technologies. The forum continues to serve as a think tank and influencer for change in rural health and social care issues in Cumbria. The forum has increased awareness of digital health and social care solutions, mapped best practice and developed a digital strategy for health and social care in Cumbria."/>
    <s v="[Ditchburn, J-L] Univ Cumbria Energus, Workington, Cumbria, England; [Marshall, A.] Univ Cumbria, Fac Hlth &amp; Sci, Cumbrian Ctr Hlth Technol CaCHeT, Cumbria, England"/>
    <s v="University of Cumbria"/>
    <s v="Ditchburn, JL (corresponding author), Univ Cumbria Energus, Workington, Cumbria, England."/>
    <s v=""/>
    <s v=""/>
    <s v=""/>
    <s v="Academic Health Science Network for North East and North Cumbria; North West Coast Academic Health Science Network"/>
    <s v="Academic Health Science Network for North East and North Cumbria; North West Coast Academic Health Science Network"/>
    <s v="The Cumbria Rural Health Forum was funded in this phase of its work by the Academic Health Science Network for North East and North Cumbria. Further funding for the implementation phase was secured from that network and from the North West Coast Academic Health Science Network. In-kind support has been provided by members, in particular by Cumbria Partnership Foundation National Health Service Trust, Cumbria Clinical Commissioning Group, Cumbria County Council, Action for Communities in Cumbria and University of Cumbria. The authors would like to thank Tom Bell for his involvement in the mapping work, engagement of health professionals and comments on the manuscript; Keith Jackson for his input in the literature search; and Peter Knock for his feedback on the manuscript. The authors are grateful for the support received by everyone who has participated in the forum events or contributed in one way or another."/>
    <s v=""/>
    <n v="62"/>
    <n v="2"/>
    <n v="2"/>
    <n v="0"/>
    <n v="8"/>
    <s v="COLL MEDICINE &amp; DENTISTRY JAMES COOK UNIV TOWNSVILLE"/>
    <s v="DOUGLAS"/>
    <s v="1 JAMES COOK DR, DOUGLAS, QUEENSLAND, AUSTRALIA"/>
    <s v="1445-6354"/>
    <s v=""/>
    <s v=""/>
    <s v="RURAL REMOTE HEALTH"/>
    <s v="Rural Remote Health"/>
    <s v="APR-JUN"/>
    <n v="2016"/>
    <n v="16"/>
    <n v="2"/>
    <s v=""/>
    <s v=""/>
    <s v=""/>
    <s v=""/>
    <s v=""/>
    <s v=""/>
    <n v="3738"/>
    <s v=""/>
    <s v=""/>
    <s v=""/>
    <s v=""/>
    <n v="18"/>
    <s v="Public, Environmental &amp; Occupational Health"/>
    <x v="1"/>
    <s v="Public, Environmental &amp; Occupational Health"/>
    <s v="EJ9YL"/>
    <n v="27269633"/>
    <s v=""/>
    <s v=""/>
    <s v=""/>
    <s v="2023-11-15"/>
    <x v="367"/>
    <s v="View Full Record in Web of Science"/>
  </r>
  <r>
    <s v="J"/>
    <s v="Tandazo, CVG; Galarza, FYP; Benavides, AVV"/>
    <s v=""/>
    <s v=""/>
    <s v=""/>
    <s v="Granda Tandazo, Carlos V.; Paladines Galarza, Fanny Y.; Velasquez Benavides, Andrea V."/>
    <s v=""/>
    <s v=""/>
    <s v="Digital strategic communication in Ecuador's public organisations. Current state and future projection"/>
    <s v="REVISTA LATINA DE COMUNICACION SOCIAL"/>
    <s v=""/>
    <s v=""/>
    <s v="Spanish"/>
    <x v="0"/>
    <s v=""/>
    <s v=""/>
    <s v=""/>
    <s v=""/>
    <s v=""/>
    <s v="Ecuador; digital media; public organisations; strategic communication; public communication"/>
    <s v=""/>
    <s v="Introduction: This article analyses how the digital revolution has forced Ecuador's public organisations to redesign their strategies in order to promote their services and interact with citizens. Method: The study follows a non-experimental, exploratory and descriptive approach based on a questionnaire survey applied to the chief communications officers of 52 public institutions. Results: The main findings are related to the structure of the communication departments of public institutions; the stage of development of public organisations in the design of social media strategies; the social networks and resources most commonly used by public institutions; and the tools used to measure their effectiveness. Discussion: The results indicate that public organisations need to professionalise their social media management team and to elevate their relationship with citizens to a strategic level. Conclusions: It is necessary to generate a professional strategy and structure to improve the management of social media."/>
    <s v="[Granda Tandazo, Carlos V.; Paladines Galarza, Fanny Y.; Velasquez Benavides, Andrea V.] Univ Tecn Particular Loja, Loja, Ecuador"/>
    <s v="Universidad Tecnica Particular de Loja"/>
    <s v="Tandazo, CVG; Galarza, FYP; Benavides, AVV (corresponding author), Univ Tecn Particular Loja, Loja, Ecuador."/>
    <s v="cwgranda@utpl.edu.ec; fypaladines@utpl.edu.ec; avvelasquez@utpl.edu.ec"/>
    <s v="Velásquez-Benavides, Andrea Victoria/AAR-4544-2021"/>
    <s v="Velasquez-Benavides, Andrea Victoria/0000-0003-0534-290X"/>
    <s v=""/>
    <s v=""/>
    <s v=""/>
    <s v=""/>
    <n v="24"/>
    <n v="2"/>
    <n v="4"/>
    <n v="0"/>
    <n v="6"/>
    <s v="LABORATORIO TECNOLOGIAS INFORMACION &amp; NUEVOS ANALISIS COMUNICACION SOCIAL"/>
    <s v="TENERIFE"/>
    <s v="PIRAMIDE CAMPUS GUAJARA, LA LAGUNA, TENERIFE, 38200, SPAIN"/>
    <s v="1138-5820"/>
    <s v=""/>
    <s v=""/>
    <s v="REV LAT COMUN SOC"/>
    <s v="Rev. Lat. Comun. Soc."/>
    <s v=""/>
    <n v="2016"/>
    <n v="71"/>
    <n v="2"/>
    <s v=""/>
    <s v=""/>
    <s v=""/>
    <s v=""/>
    <n v="211"/>
    <n v="231"/>
    <s v=""/>
    <s v="10.4185/RLCS-2016-1092"/>
    <s v="http://dx.doi.org/10.4185/RLCS-2016-1092"/>
    <s v=""/>
    <s v=""/>
    <n v="21"/>
    <s v="Communication"/>
    <x v="3"/>
    <s v="Communication"/>
    <s v="DL9KC"/>
    <s v=""/>
    <s v="Bronze"/>
    <s v=""/>
    <s v=""/>
    <s v="2023-11-15"/>
    <x v="368"/>
    <s v="View Full Record in Web of Science"/>
  </r>
  <r>
    <s v="J"/>
    <s v="Kroksmark, T"/>
    <s v=""/>
    <s v=""/>
    <s v=""/>
    <s v="Kroksmark, Tomas"/>
    <s v=""/>
    <s v=""/>
    <s v="The stretchiness of learning the digital mystery of learning in one-to-one environments in schools"/>
    <s v="EDUCATION AND INFORMATION TECHNOLOGIES"/>
    <s v=""/>
    <s v=""/>
    <s v="English"/>
    <x v="0"/>
    <s v=""/>
    <s v=""/>
    <s v=""/>
    <s v=""/>
    <s v=""/>
    <s v="One-to-one; Digital strategies for learning; Lifeworld; Phenomenographic narration"/>
    <s v="SOCIALIZATION"/>
    <s v="The aim of the study is to generate knowledge of how teachers change their teaching and how pupils change their learning as a consequence of working in One-to-One environments in schools. The result shows that teachers and students are changing their relation to teaching and learning when school is digitized. The most important dimension of this change is that content related knowledge of the digitized learning in a one-to-one school, is a prerequisite for improved quality and better results in schools where digital artefacts are used. The results also show in what ways teachers must understand that knowledge is stretched between analogue and digital teaching and learning in the classroom."/>
    <s v="[Kroksmark, Tomas] Jonkoping Univ, Jonkoping, Sweden"/>
    <s v="Jonkoping University"/>
    <s v="Kroksmark, T (corresponding author), Jonkoping Univ, Jonkoping, Sweden."/>
    <s v="tomas.kroksmark@hlk.hj.se"/>
    <s v=""/>
    <s v=""/>
    <s v=""/>
    <s v=""/>
    <s v=""/>
    <s v=""/>
    <n v="46"/>
    <n v="2"/>
    <n v="2"/>
    <n v="0"/>
    <n v="2"/>
    <s v="SPRINGER"/>
    <s v="NEW YORK"/>
    <s v="ONE NEW YORK PLAZA, SUITE 4600, NEW YORK, NY, UNITED STATES"/>
    <s v="1360-2357"/>
    <s v="1573-7608"/>
    <s v=""/>
    <s v="EDUC INF TECHNOL"/>
    <s v="Educ. Inf. Technol."/>
    <s v="JAN"/>
    <n v="2016"/>
    <n v="21"/>
    <n v="1"/>
    <s v=""/>
    <s v=""/>
    <s v=""/>
    <s v=""/>
    <n v="35"/>
    <n v="52"/>
    <s v=""/>
    <s v="10.1007/s10639-014-9308-x"/>
    <s v="http://dx.doi.org/10.1007/s10639-014-9308-x"/>
    <s v=""/>
    <s v=""/>
    <n v="18"/>
    <s v="Education &amp; Educational Research"/>
    <x v="3"/>
    <s v="Education &amp; Educational Research"/>
    <s v="FG5OR"/>
    <s v=""/>
    <s v=""/>
    <s v=""/>
    <s v=""/>
    <s v="2023-11-15"/>
    <x v="369"/>
    <s v="View Full Record in Web of Science"/>
  </r>
  <r>
    <s v="J"/>
    <s v="Bertini, MJ"/>
    <s v=""/>
    <s v=""/>
    <s v=""/>
    <s v="Bertini, Marie-Joseph"/>
    <s v=""/>
    <s v=""/>
    <s v="Figures of anonymity. What Banksy is-it the no ? A political economy of the visible"/>
    <s v="CAHIERS DE NARRATOLOGIE"/>
    <s v=""/>
    <s v=""/>
    <s v="French"/>
    <x v="0"/>
    <s v=""/>
    <s v=""/>
    <s v=""/>
    <s v=""/>
    <s v=""/>
    <s v=""/>
    <s v=""/>
    <s v="Refuse to be named, while pointing art as a new esthetic experience of politics, is a challenge nevertheless regularly damaged by the digital strategies of unveiling of the most famous unknown's name on the street-art area. With his anonymity, Banksy joins masters of the Renaissance whose artistic virtuosity was strengthened by the impossible identification of the author of the work. The analysis of its performances, the most recent to oldest, will try to understand the meaning of the agir banksyen, hollow artist and relief work."/>
    <s v="[Bertini, Marie-Joseph] Univ Sci Informat &amp; Commun, New Brunswick, NJ 08901 USA; [Bertini, Marie-Joseph] LIRCES, Paris, France"/>
    <s v=""/>
    <s v="Bertini, MJ (corresponding author), Univ Sci Informat &amp; Commun, New Brunswick, NJ 08901 USA."/>
    <s v=""/>
    <s v=""/>
    <s v=""/>
    <s v=""/>
    <s v=""/>
    <s v=""/>
    <s v=""/>
    <n v="20"/>
    <n v="2"/>
    <n v="2"/>
    <n v="0"/>
    <n v="2"/>
    <s v="LABORATOIRE INTERDISCIPLINAIRE RECITS, CULTURES, &amp; SOCIETES-LIRCES"/>
    <s v="NICE"/>
    <s v="UNIV NICE-SOPHIA ANTIPOLIS-UFR LASH, CAMPUS CARLONE, BP 3209, NICE, CEDEX 306204, FRANCE"/>
    <s v="0993-8516"/>
    <s v="1765-307X"/>
    <s v=""/>
    <s v="CAH NARRAT"/>
    <s v="Cah. Narrat."/>
    <s v=""/>
    <n v="2015"/>
    <s v=""/>
    <n v="29"/>
    <s v=""/>
    <s v=""/>
    <s v=""/>
    <s v=""/>
    <s v=""/>
    <s v=""/>
    <s v=""/>
    <s v="10.4000/narratologie.7398"/>
    <s v="http://dx.doi.org/10.4000/narratologie.7398"/>
    <s v=""/>
    <s v=""/>
    <n v="11"/>
    <s v="Literature"/>
    <x v="3"/>
    <s v="Literature"/>
    <s v="DK4ET"/>
    <s v=""/>
    <s v="gold"/>
    <s v=""/>
    <s v=""/>
    <s v="2023-11-15"/>
    <x v="370"/>
    <s v="View Full Record in Web of Science"/>
  </r>
  <r>
    <s v="J"/>
    <s v="Cantone, F"/>
    <s v=""/>
    <s v=""/>
    <s v=""/>
    <s v="Cantone, Francesca"/>
    <s v=""/>
    <s v=""/>
    <s v="THE FLOWER WOMAN FIGURINES FROM THE FOCE SELE HERA SANCTUARY. ANCIENT COROPLASTIC DIGITAL DATA MANAGEMENT, ANALYSIS, AND SHARING"/>
    <s v="ARCHEOLOGIA E CALCOLATORI"/>
    <s v=""/>
    <s v=""/>
    <s v="English"/>
    <x v="0"/>
    <s v=""/>
    <s v=""/>
    <s v=""/>
    <s v=""/>
    <s v=""/>
    <s v=""/>
    <s v=""/>
    <s v="The paper focuses on the digital strategies developed in the study of the corpus of flower woman terracotta figurines found in the excavations carried out by Paola Zancani Montuoro and Umberto Zanotti Bianco at the Foce Sele Hera Sanctuary and stored in the National Archaeological Museum of Paestum. The flower woman definition identifies the best known structure of the statuettes composed of a female bust supporting a flower orthogonal to the base. Actually, the scientific literature about these peculiar artifacts reveals a diffused vagueness and ambiguity in the definition, formalization, and functional exegesis, encouraging a new comprehensive study. The main results come from: digital management of the information; seriation analysis supported by a quantitative approach; visualization of occurrences in the Mediterranean Basin based on Fusion Tables; testing of multidisciplinary approaches to cooperative content building in archaeology. The study developed a whole technology- enhanced workflow, including multimedia data digital management and sharing; statistical techniques for the analysis of terracotta shrinkage in moulded coroplastic figurines seriation; webGIS visualization of occurrences in the ancient Mediterranean Basin and their relations."/>
    <s v="[Cantone, Francesca] CNR Napoli, Ist Ric Innovaz &amp; Serv Sviluppo, Naples, Italy"/>
    <s v="Consiglio Nazionale delle Ricerche (CNR); Istituto di Ricerca su Innovazione e Servizi per lo Sviluppo (IRISS-CNR)"/>
    <s v="Cantone, F (corresponding author), CNR Napoli, Ist Ric Innovaz &amp; Serv Sviluppo, Naples, Italy."/>
    <s v="francesca.cantone@unina.it"/>
    <s v=""/>
    <s v=""/>
    <s v=""/>
    <s v=""/>
    <s v=""/>
    <s v=""/>
    <n v="46"/>
    <n v="2"/>
    <n v="2"/>
    <n v="0"/>
    <n v="1"/>
    <s v="EDIZIONI ALL INSEGNA GIGLIO SAS-ITALIAN NATL RESEARCH COUNC"/>
    <s v="BORGO SAN LORENZO"/>
    <s v="VIA DELLA FANGOSA 38, BORGO SAN LORENZO, FI 50032, ITALY"/>
    <s v="1120-6861"/>
    <s v="2385-1953"/>
    <s v=""/>
    <s v="ARCHEOL CALC"/>
    <s v="Archeol. Calc."/>
    <s v=""/>
    <n v="2015"/>
    <n v="26"/>
    <s v=""/>
    <s v=""/>
    <s v=""/>
    <s v=""/>
    <s v=""/>
    <n v="95"/>
    <n v="114"/>
    <s v=""/>
    <s v=""/>
    <s v=""/>
    <s v=""/>
    <s v=""/>
    <n v="20"/>
    <s v="Archaeology"/>
    <x v="3"/>
    <s v="Archaeology"/>
    <s v="VI3DN"/>
    <s v=""/>
    <s v=""/>
    <s v=""/>
    <s v=""/>
    <s v="2023-11-15"/>
    <x v="371"/>
    <s v="View Full Record in Web of Science"/>
  </r>
  <r>
    <s v="J"/>
    <s v="Llamas, MS; Fernández, LR; Dulce, GB"/>
    <s v=""/>
    <s v=""/>
    <s v=""/>
    <s v="Saavedra Llamas, Marta; Rodriguez Fernandez, Leticia; Baron Dulce, Gemma"/>
    <s v=""/>
    <s v=""/>
    <s v="Social Audience in Spain: Succesful strategies in national TV"/>
    <s v="REVISTA ICONO 14-REVISTA CIENTIFICA DE COMUNICACION Y TECNOLOGIAS"/>
    <s v=""/>
    <s v=""/>
    <s v="Spanish"/>
    <x v="0"/>
    <s v=""/>
    <s v=""/>
    <s v=""/>
    <s v=""/>
    <s v=""/>
    <s v="Social audience; Digital strategies; Twitter; Transmedia; Gran Hermano; La Sexta Noche; Quien quiere casarse con mi hijo"/>
    <s v=""/>
    <s v="This research presents the concept of social audience, as a new narrative space born in the convergence of the TV audience and the user's conversations in Twitter, and examine strategies of TV programs in Spain with higher social audience. Understand what exactly the social audience is, how does it works or what kind of metrics are made for it, becomes more necessary than ever to deepen into the uses and opportunities facing both the television media and advertisers who choose to invest in a TV space. Through the study of successful cases already implemented is to establish formulas for success that achieve a more active participation of users, transfer from social to traditional audience and the profitable inclusion of brands in this full of possibilities new communication scenario."/>
    <s v="[Saavedra Llamas, Marta] Univ Nebrija, Fac Ciencias Comunicac, Calidad, Madrid, Spain; [Rodriguez Fernandez, Leticia] Univ Nebrija, Fac Ciencias Comunicac, Madrid, Spain; [Baron Dulce, Gemma] Univ Nebrija, Direcc Publicidad Integrada TBWA, Madrid, Spain"/>
    <s v="Universidad Antonio de Nebrija; Universidad Antonio de Nebrija; Universidad Antonio de Nebrija"/>
    <s v="Llamas, MS (corresponding author), Univ Nebrija, Fac Ciencias Comunicac, Calidad, Madrid, Spain."/>
    <s v=""/>
    <s v="Rodríguez, Leticia/AAB-4766-2019"/>
    <s v="Rodríguez, Leticia/0000-0002-7472-5472"/>
    <s v=""/>
    <s v=""/>
    <s v=""/>
    <s v=""/>
    <n v="20"/>
    <n v="2"/>
    <n v="2"/>
    <n v="0"/>
    <n v="20"/>
    <s v="ICONO 14"/>
    <s v="MADRID"/>
    <s v="C/ SALUD, 15 5OD, MADRID, 28013, SPAIN"/>
    <s v="1697-8293"/>
    <s v=""/>
    <s v=""/>
    <s v="REV ICONO 14"/>
    <s v="Rev. Icono 14"/>
    <s v=""/>
    <n v="2015"/>
    <n v="13"/>
    <n v="2"/>
    <s v=""/>
    <s v=""/>
    <s v=""/>
    <s v=""/>
    <n v="215"/>
    <n v="237"/>
    <s v=""/>
    <s v="10.7195/ri14.v13i2.822"/>
    <s v="http://dx.doi.org/10.7195/ri14.v13i2.822"/>
    <s v=""/>
    <s v=""/>
    <n v="23"/>
    <s v="Communication"/>
    <x v="3"/>
    <s v="Communication"/>
    <s v="CU8MG"/>
    <s v=""/>
    <s v="Green Submitted, gold"/>
    <s v=""/>
    <s v=""/>
    <s v="2023-11-15"/>
    <x v="372"/>
    <s v="View Full Record in Web of Science"/>
  </r>
  <r>
    <s v="J"/>
    <s v="Reynolds, CJ"/>
    <s v=""/>
    <s v=""/>
    <s v=""/>
    <s v="Reynolds, Carl J."/>
    <s v=""/>
    <s v=""/>
    <s v="Better value digital health: the medium, the market and the role of openness"/>
    <s v="CLINICAL MEDICINE"/>
    <s v=""/>
    <s v=""/>
    <s v="English"/>
    <x v="0"/>
    <s v=""/>
    <s v=""/>
    <s v=""/>
    <s v=""/>
    <s v=""/>
    <s v="Digital health services; digital health; digital strategy; open source; open governance"/>
    <s v=""/>
    <s v="The recent NHS 'hack days' have showcased the enthusiasm and talent of the junior doctor body as well as the potential of open source, open governance and small-medium enterprise. There still remains much scope for developing better value digital health services within the NHS. This article sets out the current state of NHS information technology (IT), how it fails to meet the needs of patients and professionals alike and suggests how better value digital health can be achieved."/>
    <s v="[Reynolds, Carl J.] Open Healthcare UK, London, England"/>
    <s v=""/>
    <s v="Reynolds, CJ (corresponding author), Flat 29 Blackmore House,Copenhagen St, London NI 0SE, England."/>
    <s v="carl.reynolds@openhealthcare.org.uk"/>
    <s v=""/>
    <s v="Reynolds, Carl/0000-0002-7415-258X"/>
    <s v="National Institute for Health Research [ACF-2013-21-023] Funding Source: researchfish"/>
    <s v="National Institute for Health Research(National Institutes of Health Research (NIHR))"/>
    <s v=""/>
    <s v=""/>
    <n v="15"/>
    <n v="2"/>
    <n v="2"/>
    <n v="2"/>
    <n v="12"/>
    <s v="ROY COLL PHYS LONDON EDITORIAL OFFICE"/>
    <s v="LONDON"/>
    <s v="11 ST ANDREWS PLACE REGENTS PARK, LONDON NW1 4LE, ENGLAND"/>
    <s v="1470-2118"/>
    <s v="1473-4893"/>
    <s v=""/>
    <s v="CLIN MED"/>
    <s v="Clin. Med."/>
    <s v="AUG"/>
    <n v="2013"/>
    <n v="13"/>
    <n v="4"/>
    <s v=""/>
    <s v=""/>
    <s v=""/>
    <s v=""/>
    <n v="336"/>
    <n v="339"/>
    <s v=""/>
    <s v="10.7861/clinmedicine.13-4-336"/>
    <s v="http://dx.doi.org/10.7861/clinmedicine.13-4-336"/>
    <s v=""/>
    <s v=""/>
    <n v="4"/>
    <s v="Medicine, General &amp; Internal"/>
    <x v="2"/>
    <s v="General &amp; Internal Medicine"/>
    <s v="242OE"/>
    <n v="23908499"/>
    <s v="Bronze, Green Published"/>
    <s v=""/>
    <s v=""/>
    <s v="2023-11-15"/>
    <x v="373"/>
    <s v="View Full Record in Web of Science"/>
  </r>
  <r>
    <s v="J"/>
    <s v="Metaxiotis, K; Larios, Y; Assimakopoulos, V"/>
    <s v=""/>
    <s v=""/>
    <s v=""/>
    <s v="Metaxiotis, Kostas; Larios, Yiannis; Assimakopoulos, Vassilis"/>
    <s v=""/>
    <s v=""/>
    <s v="Strengthening Governments to Formulate Integrated Digital Strategies"/>
    <s v="IEEE TECHNOLOGY AND SOCIETY MAGAZINE"/>
    <s v=""/>
    <s v=""/>
    <s v="English"/>
    <x v="0"/>
    <s v=""/>
    <s v=""/>
    <s v=""/>
    <s v=""/>
    <s v=""/>
    <s v=""/>
    <s v=""/>
    <s v=""/>
    <s v="[Metaxiotis, Kostas] Univ Piraeus, Piraeus 18534, Greece; [Larios, Yiannis; Assimakopoulos, Vassilis] Minist Econ &amp; Finance, Athens, Greece"/>
    <s v="University of Piraeus"/>
    <s v="Metaxiotis, K (corresponding author), Univ Piraeus, 80 Karaoli &amp; Dimitriou St, Piraeus 18534, Greece."/>
    <s v=""/>
    <s v=""/>
    <s v=""/>
    <s v=""/>
    <s v=""/>
    <s v=""/>
    <s v=""/>
    <n v="16"/>
    <n v="2"/>
    <n v="2"/>
    <n v="0"/>
    <n v="5"/>
    <s v="IEEE-INST ELECTRICAL ELECTRONICS ENGINEERS INC"/>
    <s v="PISCATAWAY"/>
    <s v="445 HOES LANE, PISCATAWAY, NJ 08855-4141 USA"/>
    <s v="0278-0097"/>
    <s v=""/>
    <s v=""/>
    <s v="IEEE TECHNOL SOC MAG"/>
    <s v="IEEE Technol. Soc. Mag."/>
    <s v="SUM"/>
    <n v="2010"/>
    <n v="29"/>
    <n v="2"/>
    <s v=""/>
    <s v=""/>
    <s v=""/>
    <s v=""/>
    <n v="54"/>
    <n v="62"/>
    <s v=""/>
    <s v="10.1109/MTS.2010.937028"/>
    <s v="http://dx.doi.org/10.1109/MTS.2010.937028"/>
    <s v=""/>
    <s v=""/>
    <n v="9"/>
    <s v="Engineering, Electrical &amp; Electronic"/>
    <x v="2"/>
    <s v="Engineering"/>
    <s v="607VR"/>
    <s v=""/>
    <s v=""/>
    <s v=""/>
    <s v=""/>
    <s v="2023-11-15"/>
    <x v="374"/>
    <s v="View Full Record in Web of Science"/>
  </r>
  <r>
    <s v="J"/>
    <s v="McAnulty, JD"/>
    <s v=""/>
    <s v=""/>
    <s v=""/>
    <s v="McAnulty, John D."/>
    <s v=""/>
    <s v=""/>
    <s v="Bringing Patient Recruitment Into Our Digital World"/>
    <s v="DRUG INFORMATION JOURNAL"/>
    <s v=""/>
    <s v=""/>
    <s v="English"/>
    <x v="0"/>
    <s v=""/>
    <s v=""/>
    <s v=""/>
    <s v=""/>
    <s v=""/>
    <s v="Clinical trials; Digital strategies; Patient recruitment; Media convergence"/>
    <s v=""/>
    <s v="Every day people search the Internet, seeking information, support, and treatment for many different diseases. Digital strategies, such as search engine marketing databases and web design, are effective ways to reach potential patients; pharmaceutical and biotechnology companies who do not include digital strategies are missing important patient targeting opportunities. This article explores the convergence of old and new media, and how new media affect and will continue to affect patient recruitment. Executing a digital strategy requires specialized skills, knowledge, and tools to effectively communicate with potential online study participants."/>
    <s v="[McAnulty, John D.] Fleishman Hillard Clin Trials Div, Kansas City, MO USA"/>
    <s v=""/>
    <s v="McAnulty, JD (corresponding author), 2405 Grand Blvd,Suite 700, Kansas City, MO 64108 USA."/>
    <s v="John.mcanulty@fleishman.com"/>
    <s v=""/>
    <s v=""/>
    <s v=""/>
    <s v=""/>
    <s v=""/>
    <s v=""/>
    <n v="6"/>
    <n v="2"/>
    <n v="2"/>
    <n v="0"/>
    <n v="4"/>
    <s v="DRUG INFORMATION ASSOC"/>
    <s v="HORSHAM"/>
    <s v="800 ENTERPRISE ROAD, SUITE 200, HORSHAM, PA 19044-3595 USA"/>
    <s v="0092-8615"/>
    <s v=""/>
    <s v=""/>
    <s v="DRUG INF J"/>
    <s v="Drug Inf. J."/>
    <s v="JUL"/>
    <n v="2009"/>
    <n v="43"/>
    <n v="4"/>
    <s v=""/>
    <s v=""/>
    <s v=""/>
    <s v=""/>
    <n v="501"/>
    <n v="508"/>
    <s v=""/>
    <s v="10.1177/009286150904300416"/>
    <s v="http://dx.doi.org/10.1177/009286150904300416"/>
    <s v=""/>
    <s v=""/>
    <n v="8"/>
    <s v="Health Care Sciences &amp; Services; Pharmacology &amp; Pharmacy"/>
    <x v="2"/>
    <s v="Health Care Sciences &amp; Services; Pharmacology &amp; Pharmacy"/>
    <s v="469EC"/>
    <s v=""/>
    <s v=""/>
    <s v=""/>
    <s v=""/>
    <s v="2023-11-15"/>
    <x v="375"/>
    <s v="View Full Record in Web of Science"/>
  </r>
  <r>
    <s v="J"/>
    <s v="Carnaby, P"/>
    <s v=""/>
    <s v=""/>
    <s v=""/>
    <s v="Carnaby, Penny"/>
    <s v=""/>
    <s v=""/>
    <s v="Libraries as a common denominator A view from New Zealand of the citizen, country and global perspective"/>
    <s v="PROGRAM-ELECTRONIC LIBRARY AND INFORMATION SYSTEMS"/>
    <s v=""/>
    <s v=""/>
    <s v="English"/>
    <x v="4"/>
    <s v="Bridging Worlds Conference"/>
    <s v="OCT 16-17, 2008"/>
    <s v="Singapore, SINGAPORE"/>
    <s v="Natl Lib Singapore"/>
    <s v=""/>
    <s v="Digital libraries; Management strategy; National libraries; New Zealand"/>
    <s v=""/>
    <s v="Purpose - The purpose of this paper is to show how libraries in New Zealand have developed their digital strategies in order to serve its citizens, the country and the world. Design/methodology/approach - A description of various New Zealand initiatives is given, many of which involve the National Library of New Zealand. Findings - The four components of the New Zealand Digital strategy: connection; content; confidence; and collaboration have been driven by the library and information sector. Originality/value - The paper provides a personal insight, by the National Librarian, into key digital developments in New Zealand"/>
    <s v="Natl Lib New Zealand, Wellington, New Zealand"/>
    <s v=""/>
    <s v="Carnaby, P (corresponding author), Natl Lib New Zealand, Wellington, New Zealand."/>
    <s v="penny.carnaby@natlib.govt.nz"/>
    <s v=""/>
    <s v=""/>
    <s v=""/>
    <s v=""/>
    <s v=""/>
    <s v=""/>
    <n v="0"/>
    <n v="2"/>
    <n v="2"/>
    <n v="1"/>
    <n v="2"/>
    <s v="EMERALD GROUP PUBLISHING LIMITED"/>
    <s v="BINGLEY"/>
    <s v="HOWARD HOUSE, WAGON LANE, BINGLEY BD16 1WA, W YORKSHIRE, ENGLAND"/>
    <s v="0033-0337"/>
    <s v=""/>
    <s v=""/>
    <s v="PROGRAM-ELECTRON LIB"/>
    <s v="Program-Electron. Libr. Inf. Syst."/>
    <s v=""/>
    <n v="2009"/>
    <n v="43"/>
    <n v="3"/>
    <s v=""/>
    <s v=""/>
    <s v=""/>
    <s v=""/>
    <n v="251"/>
    <n v="263"/>
    <s v=""/>
    <s v="10.1108/00330330910978554"/>
    <s v="http://dx.doi.org/10.1108/00330330910978554"/>
    <s v=""/>
    <s v=""/>
    <n v="13"/>
    <s v="Computer Science, Information Systems; Information Science &amp; Library Science"/>
    <x v="11"/>
    <s v="Computer Science; Information Science &amp; Library Science"/>
    <s v="490DU"/>
    <s v=""/>
    <s v=""/>
    <s v=""/>
    <s v=""/>
    <s v="2023-11-15"/>
    <x v="376"/>
    <s v="View Full Record in Web of Science"/>
  </r>
  <r>
    <s v="J"/>
    <s v="Cha, H; Choi, S; Han, BM"/>
    <s v=""/>
    <s v=""/>
    <s v=""/>
    <s v="Cha, Hanju; Choi, Soonho; Han, Byung-Moon"/>
    <s v=""/>
    <s v=""/>
    <s v="Comparison of PWM Strategies for Three-Phase Current-fed DC/DC Converters"/>
    <s v="JOURNAL OF POWER ELECTRONICS"/>
    <s v=""/>
    <s v=""/>
    <s v="English"/>
    <x v="0"/>
    <s v=""/>
    <s v=""/>
    <s v=""/>
    <s v=""/>
    <s v=""/>
    <s v="Three-phase dc/dc converter; Three-phase PWM strategy; Losses; Active clamp; Efficiency"/>
    <s v=""/>
    <s v="In this paper, three kinds of PWM strategies for a three-phase current-fed dc/dc converter are proposed and compared in terms of losses and voltage transfer ratio. Each PWM strategy is described graphically and their switching losses are analyzed. With the proposed PWM C strategy, one turn-off switching of each bridge switch is eliminated to reduce switching losses under the same switching frequency. In addition, RMS current through the bridge switches is lowered by using parallel connection between two bridge switches and thus, conduction losses of the switches are reduced. Further, copper losses of the transformer are decreased due to the reduced RMS current of each transformer's winding. Therefore, total losses are minimized and the efficiency of the converter is improved by using the proposed PWM C strategy. Digital signal processor (DSP: TI320LF2407) and a field-programmable gate array (FPGA: EPM7128) board are used to generate PWM patterns for three-phase bridge and clamp MOSFETs. A 500W prototype converter is built and its experimental results verify the validity of the proposed PWM strategies."/>
    <s v="[Cha, Hanju; Choi, Soonho] Chungnam Natl Univ, Dept Elect Engn, Taejon, South Korea; [Han, Byung-Moon] Myongji Univ, Dept Elect Engn, Yongin, South Korea"/>
    <s v="Chungnam National University; Myongji University"/>
    <s v="Cha, H (corresponding author), Chungnam Natl Univ, Dept Elect Engn, Taejon, South Korea."/>
    <s v="hjcha@cnu.ac.kr"/>
    <s v=""/>
    <s v="Cha, Hanju/0000-0002-9185-6124"/>
    <s v="Ministry of Knowledge and Economy (MKE)"/>
    <s v="Ministry of Knowledge and Economy (MKE)(Ministry of Trade, Industry &amp; Energy (MOTIE), Republic of Korea)"/>
    <s v="This work is the outcome of a Manpower Development Program for Energy &amp; Resources supported by the Ministry of Knowledge and Economy (MKE)"/>
    <s v=""/>
    <n v="9"/>
    <n v="2"/>
    <n v="2"/>
    <n v="0"/>
    <n v="3"/>
    <s v="SPRINGER HEIDELBERG"/>
    <s v="HEIDELBERG"/>
    <s v="TIERGARTENSTRASSE 17, D-69121 HEIDELBERG, GERMANY"/>
    <s v="1598-2092"/>
    <s v="2093-4718"/>
    <s v=""/>
    <s v="J POWER ELECTRON"/>
    <s v="J. Power Electron."/>
    <s v="OCT 20"/>
    <n v="2008"/>
    <n v="8"/>
    <n v="4"/>
    <s v=""/>
    <s v=""/>
    <s v=""/>
    <s v=""/>
    <n v="363"/>
    <n v="370"/>
    <s v=""/>
    <s v=""/>
    <s v=""/>
    <s v=""/>
    <s v=""/>
    <n v="8"/>
    <s v="Engineering, Electrical &amp; Electronic"/>
    <x v="2"/>
    <s v="Engineering"/>
    <s v="365XM"/>
    <s v=""/>
    <s v=""/>
    <s v=""/>
    <s v=""/>
    <s v="2023-11-15"/>
    <x v="377"/>
    <s v="View Full Record in Web of Science"/>
  </r>
  <r>
    <s v="J"/>
    <s v="Inouye, AS"/>
    <s v=""/>
    <s v=""/>
    <s v=""/>
    <s v="Inouye, AS"/>
    <s v=""/>
    <s v=""/>
    <s v="A digital strategy for the library of congress"/>
    <s v="COMMUNICATIONS OF THE ACM"/>
    <s v=""/>
    <s v=""/>
    <s v="English"/>
    <x v="0"/>
    <s v=""/>
    <s v=""/>
    <s v=""/>
    <s v=""/>
    <s v=""/>
    <s v=""/>
    <s v=""/>
    <s v=""/>
    <s v="Comp Sci &amp; Telecommun Board, Washington, DC USA"/>
    <s v=""/>
    <s v="Inouye, AS (corresponding author), Comp Sci &amp; Telecommun Board, Washington, DC USA."/>
    <s v=""/>
    <s v=""/>
    <s v="Hedstrom, Margaret/0000-0002-0356-6806"/>
    <s v=""/>
    <s v=""/>
    <s v=""/>
    <s v=""/>
    <n v="0"/>
    <n v="2"/>
    <n v="2"/>
    <n v="1"/>
    <n v="9"/>
    <s v="ASSOC COMPUTING MACHINERY"/>
    <s v="NEW YORK"/>
    <s v="1515 BROADWAY, NEW YORK, NY 10036 USA"/>
    <s v="0001-0782"/>
    <s v=""/>
    <s v=""/>
    <s v="COMMUN ACM"/>
    <s v="Commun. ACM"/>
    <s v="MAY"/>
    <n v="2001"/>
    <n v="44"/>
    <n v="5"/>
    <s v=""/>
    <s v=""/>
    <s v=""/>
    <s v=""/>
    <n v="43"/>
    <n v="43"/>
    <s v=""/>
    <s v="10.1145/374308.374336"/>
    <s v="http://dx.doi.org/10.1145/374308.374336"/>
    <s v=""/>
    <s v=""/>
    <n v="1"/>
    <s v="Computer Science, Hardware &amp; Architecture; Computer Science, Software Engineering; Computer Science, Theory &amp; Methods"/>
    <x v="2"/>
    <s v="Computer Science"/>
    <s v="428PH"/>
    <s v=""/>
    <s v="Bronze"/>
    <s v=""/>
    <s v=""/>
    <s v="2023-11-15"/>
    <x v="378"/>
    <s v="View Full Record in Web of Science"/>
  </r>
  <r>
    <s v="J"/>
    <s v="Lee, HYW"/>
    <s v=""/>
    <s v=""/>
    <s v=""/>
    <s v="Lee, Hyewon"/>
    <s v=""/>
    <s v=""/>
    <s v="The Dual Strategy for Textile and Fashion Production Using Clothing Waste"/>
    <s v="SUSTAINABILITY"/>
    <s v=""/>
    <s v=""/>
    <s v="English"/>
    <x v="0"/>
    <s v=""/>
    <s v=""/>
    <s v=""/>
    <s v=""/>
    <s v=""/>
    <s v="dual strategy; clothing waste; sustainable process; circular fashion"/>
    <s v="SUSTAINABILITY; DISPOSAL"/>
    <s v="This study aims to utilize a dual physical and digital strategy for the completion of a process that achieves two goals: the treatment of large amounts of clothing waste and the development of materials and products. This study expands the author's previous research on the feasibility of using clothing waste as a textile material and the development of weaving methods. The processes of material analysis, design, material development, and product production for clothing waste were connected by the dual strategy. The project was conducted by three groups of designers for ten months and evaluated by ten experts. A total of eighteen digital products were developed, including three physical products and one digital twin. Digital and physical models were dressed and subjected to objective and in-depth evaluations by experts. The experts determined that the match rate between the physical products and digital twins was over 90% and that each process step was conducted appropriately. The process was also deemed applicable for 50% of the industrial sector and 80% of the education sector. Therefore, this study connected the quantitative disposal of garment waste to the qualitative design and production of new material, introducing a new process strategy to maintain sustainability in the fashion industry."/>
    <s v="[Lee, Hyewon] Catholic Univ Korea, Dept Clothing &amp; Text, Bucheon 14662, South Korea"/>
    <s v="Catholic University of Korea"/>
    <s v="Lee, HYW (corresponding author), Catholic Univ Korea, Dept Clothing &amp; Text, Bucheon 14662, South Korea."/>
    <s v="hyewonlee@catholic.ac.kr"/>
    <s v=""/>
    <s v=""/>
    <s v=""/>
    <s v=""/>
    <s v=""/>
    <s v=""/>
    <n v="51"/>
    <n v="1"/>
    <n v="1"/>
    <n v="8"/>
    <n v="8"/>
    <s v="MDPI"/>
    <s v="BASEL"/>
    <s v="ST ALBAN-ANLAGE 66, CH-4052 BASEL, SWITZERLAND"/>
    <s v=""/>
    <s v="2071-1050"/>
    <s v=""/>
    <s v="SUSTAINABILITY-BASEL"/>
    <s v="Sustainability"/>
    <s v="AUG"/>
    <n v="2023"/>
    <n v="15"/>
    <n v="15"/>
    <s v=""/>
    <s v=""/>
    <s v=""/>
    <s v=""/>
    <s v=""/>
    <s v=""/>
    <n v="11509"/>
    <s v="10.3390/su151511509"/>
    <s v="http://dx.doi.org/10.3390/su151511509"/>
    <s v=""/>
    <s v=""/>
    <n v="20"/>
    <s v="Green &amp; Sustainable Science &amp; Technology; Environmental Sciences; Environmental Studies"/>
    <x v="1"/>
    <s v="Science &amp; Technology - Other Topics; Environmental Sciences &amp; Ecology"/>
    <s v="O7RU8"/>
    <s v=""/>
    <s v="gold"/>
    <s v=""/>
    <s v=""/>
    <s v="2023-11-15"/>
    <x v="379"/>
    <s v="View Full Record in Web of Science"/>
  </r>
  <r>
    <s v="J"/>
    <s v="Passos, L; de Vasconcellos, AB; Kanashiro, L; Kina, S"/>
    <s v=""/>
    <s v=""/>
    <s v=""/>
    <s v="Passos, Leandro; de Vasconcellos, Adalberto Bastos; Kanashiro, Lucio; Kina, Sidney"/>
    <s v=""/>
    <s v=""/>
    <s v="The natural CAD/CAM anterior implant single tooth restoration: A novel digital workflow"/>
    <s v="JOURNAL OF ESTHETIC AND RESTORATIVE DENTISTRY"/>
    <s v=""/>
    <s v=""/>
    <s v="English"/>
    <x v="2"/>
    <s v=""/>
    <s v=""/>
    <s v=""/>
    <s v=""/>
    <s v=""/>
    <s v="biomimetic; CAD; CAM; ceramics; composite resin; dental implant; digital dentistry; immediate loading"/>
    <s v="NETWORK PICN MATERIALS; AESTHETIC OUTCOMES; SURFACE TREATMENTS; BOND STRENGTH; HUMAN ENAMEL; PLACEMENT; IMMEDIATE; RESIN; BIOCOMPATIBILITY; TEETH"/>
    <s v="ObjectiveTo report a novel digital workflow to replace an anterior maxillary tooth lost due to trauma with an implant multilayer restoration by using the patient's extracted tooth as a final crown restoration using computer-aided design/computer-aided manufacturing (CAD/CAM) technology. Clinical ConsiderationsInstead of using the patient's natural tooth as an immediate provisional restoration to achieve predictable results in terms of esthetics and soft tissue structure, a novel digital strategy was performed to obtain a natural final crown restoration by using the patient's tooth associated with a lithium disilicate customized implant abutment. ConclusionsThe perspective of using this strategic approach for implant restorative dental treatments in patients with traumatic root fractures in the anterior region has great potential as it helps to maintain the emergence profile of the natural dentition and esthetics. Clinical SignificanceOptimal esthetic outcomes are challenging in implant dentistry regarding soft tissue structure and morphology factors. Using natural teeth from surgery to deliver the final restoration might be beneficial when an anterior tooth is lost due to trauma."/>
    <s v="[Passos, Leandro; de Vasconcellos, Adalberto Bastos] Univ N Carolina, Adams Sch Dent, Div Comprehens Oral Hlth, Operat Dent &amp; Biomat, Chapel Hill, NC USA; [Passos, Leandro] Univ N Carolina, Adams Sch Dent, Div Comprehens Oral Hlth, Operat Dent &amp; Biomat, 385 S Columbia St, Chapel Hill, NC 27599 USA"/>
    <s v="University of North Carolina; University of North Carolina Chapel Hill; University of North Carolina; University of North Carolina Chapel Hill"/>
    <s v="Passos, L (corresponding author), Univ N Carolina, Adams Sch Dent, Div Comprehens Oral Hlth, Operat Dent &amp; Biomat, 385 S Columbia St, Chapel Hill, NC 27599 USA."/>
    <s v="passos@ad.unc.edu"/>
    <s v=""/>
    <s v=""/>
    <s v=""/>
    <s v=""/>
    <s v=""/>
    <s v=""/>
    <n v="35"/>
    <n v="1"/>
    <n v="1"/>
    <n v="2"/>
    <n v="2"/>
    <s v="WILEY"/>
    <s v="HOBOKEN"/>
    <s v="111 RIVER ST, HOBOKEN 07030-5774, NJ USA"/>
    <s v="1496-4155"/>
    <s v="1708-8240"/>
    <s v=""/>
    <s v="J ESTHET RESTOR DENT"/>
    <s v="J. Esthet. Restor. Dent."/>
    <s v="2023 JUL 14"/>
    <n v="2023"/>
    <s v=""/>
    <s v=""/>
    <s v=""/>
    <s v=""/>
    <s v=""/>
    <s v=""/>
    <s v=""/>
    <s v=""/>
    <s v=""/>
    <s v="10.1111/jerd.13073"/>
    <s v="http://dx.doi.org/10.1111/jerd.13073"/>
    <s v=""/>
    <s v="JUL 2023"/>
    <n v="11"/>
    <s v="Dentistry, Oral Surgery &amp; Medicine"/>
    <x v="2"/>
    <s v="Dentistry, Oral Surgery &amp; Medicine"/>
    <s v="M1EU4"/>
    <n v="37449557"/>
    <s v=""/>
    <s v=""/>
    <s v=""/>
    <s v="2023-11-15"/>
    <x v="380"/>
    <s v="View Full Record in Web of Science"/>
  </r>
  <r>
    <s v="J"/>
    <s v="Mosch, P; Majocco, P; Obermaier, R"/>
    <s v=""/>
    <s v=""/>
    <s v=""/>
    <s v="Mosch, Philipp; Majocco, Philipp; Obermaier, Robert"/>
    <s v=""/>
    <s v=""/>
    <s v="Contrasting value creation strategies of industrial-IoT-platforms-a multiple case study"/>
    <s v="INTERNATIONAL JOURNAL OF PRODUCTION ECONOMICS"/>
    <s v=""/>
    <s v=""/>
    <s v="English"/>
    <x v="0"/>
    <s v=""/>
    <s v=""/>
    <s v=""/>
    <s v=""/>
    <s v=""/>
    <s v="Digital platform; Industrial internet-of-thing; Value creation logic; Multiple case study; Digital strategy"/>
    <s v="DIGITAL SERVITIZATION; BUSINESS MODELS; COMPETITION; TECHNOLOGIES; PERSPECTIVES; INNOVATION; ECONOMIES; FUTURE"/>
    <s v="Previous platform research has drawn attention primarily to digital consumer platforms, ignoring the specificities of industrial settings. Hence, existing research findings fall short regarding Industrial Internet-of-Things Plat-forms (IIoTP), which leads to an incomplete understanding of digital platforms. Particularly, IIoTPs from Internet technology firms (Hyperscalers) and incumbent industrial firms (Integrated IIoTPs) deserve special interest due to their coopetitive relationships. Addressing this research need, the study applies explorative multiple case study research to five of these IIoTPs, by analyzing 22 interviews, to describe this phenomenon in-depth in its contextual conditions. As a result, the authors empirically derive, based on existing frameworks and classifica-tions, (1) which strategic measures are needed for a successful evolvement, and (2) which dynamic strategic trajectories occur. We report several findings. First, this study contributes to the literature by showing that existing theories of digital platforms are fertile ground for further and more nuanced empirical research. Second, through the linkage of five strategic measures to the dominant value creation logics, the authors provide important contextualization on different vertical platform layers. Third, the study offers IIoTP managers insights by identifying dynamic strategic trajectories that reveal Hyperscalers are in the best position to profit from innovation, thereby reversing the common notion that downstream positioning is a prerequisite for success."/>
    <s v="[Mosch, Philipp; Majocco, Philipp; Obermaier, Robert] Univ Passau, Chair Business Econ Accounting &amp; Control, Passau, Germany; [Mosch, Philipp] Innstr 27, D-94032 Passau, Germany"/>
    <s v="University of Passau"/>
    <s v="Mosch, P (corresponding author), Innstr 27, D-94032 Passau, Germany."/>
    <s v="philipp.mosch@uni-passau.de; philipp.majocco@uni-passau.de; robert.obermaier@uni-passau.de"/>
    <s v=""/>
    <s v=""/>
    <s v=""/>
    <s v=""/>
    <s v=""/>
    <s v=""/>
    <n v="80"/>
    <n v="1"/>
    <n v="1"/>
    <n v="17"/>
    <n v="17"/>
    <s v="ELSEVIER"/>
    <s v="AMSTERDAM"/>
    <s v="RADARWEG 29, 1043 NX AMSTERDAM, NETHERLANDS"/>
    <s v="0925-5273"/>
    <s v="1873-7579"/>
    <s v=""/>
    <s v="INT J PROD ECON"/>
    <s v="Int. J. Prod. Econ."/>
    <s v="SEP"/>
    <n v="2023"/>
    <n v="263"/>
    <s v=""/>
    <s v=""/>
    <s v=""/>
    <s v=""/>
    <s v=""/>
    <s v=""/>
    <s v=""/>
    <n v="108937"/>
    <s v="10.1016/j.ijpe.2023.108937"/>
    <s v="http://dx.doi.org/10.1016/j.ijpe.2023.108937"/>
    <s v=""/>
    <s v="JUL 2023"/>
    <n v="14"/>
    <s v="Engineering, Industrial; Engineering, Manufacturing; Operations Research &amp; Management Science"/>
    <x v="2"/>
    <s v="Engineering; Operations Research &amp; Management Science"/>
    <s v="M7GK6"/>
    <s v=""/>
    <s v=""/>
    <s v=""/>
    <s v=""/>
    <s v="2023-11-15"/>
    <x v="381"/>
    <s v="View Full Record in Web of Science"/>
  </r>
  <r>
    <s v="J"/>
    <s v="Cavalieri, M; Ferrante, L; Martorana, M; Rizzo, I"/>
    <s v=""/>
    <s v=""/>
    <s v=""/>
    <s v="Cavalieri, Marina; Ferrante, Livio; Martorana, Marco; Rizzo, Ilde"/>
    <s v=""/>
    <s v=""/>
    <s v="The ICT strategy of Italian museums: institutional, supply and demand side drivers"/>
    <s v="ECONOMICS OF INNOVATION AND NEW TECHNOLOGY"/>
    <s v=""/>
    <s v=""/>
    <s v="English"/>
    <x v="2"/>
    <s v=""/>
    <s v=""/>
    <s v=""/>
    <s v=""/>
    <s v=""/>
    <s v="Museums; ICT; technological innovation; demand-side factors; Italy"/>
    <s v="TECHNOLOGIES; CULTURE; AUTHENTICITY; EXPERIENCE; PROVISION; HERITAGE; POLICY; AGE"/>
    <s v="It is common wisdom that the diffusion of information and communication technology (ICT) in cultural institutions can influence their mission and activities, reshaping their role as producers and distributors of cultural content. Nevertheless, the extent of ICT facilities in European museums has been rather scarce, although recently it has grown faster in response to the new challenges brought up by the COVID-19 crisis. This paper aims at exploring the drivers of the ICT strategy adopted by museums and similar institutions (in terms of both in situ and online services), considering not only supply-side but also demand-side characteristics. To the best of our knowledge, such an issue has not been investigated so far in a systematic way. We use a novel dataset based on three waves (2011, 2015, 2018) of a census survey carried out by the Italian National Statistical Office on all the cultural institutes spread over the Italian territory. Results show that supply-side, demand-side and contextual factors are significantly associated with the use of ICT by museums and similar institutions. Interestingly, we find that the relationship between demand features and museums' digital strategy is closely related to the type of services and to the presence of financial incentives."/>
    <s v="[Cavalieri, Marina; Ferrante, Livio; Martorana, Marco; Rizzo, Ilde] Univ Catania, Dept Econ &amp; Business, Catania, Italy"/>
    <s v="University of Catania"/>
    <s v="Ferrante, L (corresponding author), Univ Catania, Dept Econ &amp; Business, Catania, Italy."/>
    <s v="lferrante@unict.it"/>
    <s v=""/>
    <s v="Martorana, Marco Ferdinando/0000-0003-2616-4460"/>
    <s v=""/>
    <s v=""/>
    <s v=""/>
    <s v=""/>
    <n v="54"/>
    <n v="1"/>
    <n v="1"/>
    <n v="3"/>
    <n v="3"/>
    <s v="ROUTLEDGE JOURNALS, TAYLOR &amp; FRANCIS LTD"/>
    <s v="ABINGDON"/>
    <s v="2-4 PARK SQUARE, MILTON PARK, ABINGDON OX14 4RN, OXON, ENGLAND"/>
    <s v="1043-8599"/>
    <s v="1476-8364"/>
    <s v=""/>
    <s v="ECON INNOV NEW TECH"/>
    <s v="Econ. Innov. New Technol."/>
    <s v="2023 JUN 10"/>
    <n v="2023"/>
    <s v=""/>
    <s v=""/>
    <s v=""/>
    <s v=""/>
    <s v=""/>
    <s v=""/>
    <s v=""/>
    <s v=""/>
    <s v=""/>
    <s v="10.1080/10438599.2023.2222268"/>
    <s v="http://dx.doi.org/10.1080/10438599.2023.2222268"/>
    <s v=""/>
    <s v="JUN 2023"/>
    <n v="21"/>
    <s v="Economics"/>
    <x v="0"/>
    <s v="Business &amp; Economics"/>
    <s v="I7EP2"/>
    <s v=""/>
    <s v=""/>
    <s v=""/>
    <s v=""/>
    <s v="2023-11-15"/>
    <x v="382"/>
    <s v="View Full Record in Web of Science"/>
  </r>
  <r>
    <s v="J"/>
    <s v="Kraus, S; Vonmetz, K; Orlandi, LB; Zardini, A; Rossignoli, C"/>
    <s v=""/>
    <s v=""/>
    <s v=""/>
    <s v="Kraus, Sascha; Vonmetz, Katharina; Orlandi, Ludovico Bullini; Zardini, Alessandro; Rossignoli, Cecilia"/>
    <s v=""/>
    <s v=""/>
    <s v="Digital entrepreneurship: The role of entrepreneurial orientation and digitalization for disruptive innovation"/>
    <s v="TECHNOLOGICAL FORECASTING AND SOCIAL CHANGE"/>
    <s v=""/>
    <s v=""/>
    <s v="English"/>
    <x v="0"/>
    <s v=""/>
    <s v=""/>
    <s v=""/>
    <s v=""/>
    <s v=""/>
    <s v="Digital strategy; Disruptive innovation; Entrepreneurial orientation; Digitalization; digital entrepreneurship; Competing hypotheses"/>
    <s v="STRATEGIC ORIENTATIONS; PRODUCT INNOVATION; BUSINESS STRATEGY; PERFORMANCE; TECHNOLOGY; ENVIRONMENT; FIRMS; CAPABILITIES; DESTRUCTION; PERSPECTIVE"/>
    <s v="Innovation boosts economic growth, and one of the most critical factors when considering innovation-driven growth is the role of disruptive innovation, which is hailed as a lodestar by leaders of both small and large firms. However, little is known about the role of entrepreneurial orientation (EO) and digitalization strategy in enhancing or hindering firms' disruptive innovation. Our study thus addresses the relationships between EO and firms' ability to develop disruptive innovation under consideration of the firm's digital strategy. Our empirical analysis is based on quantitative survey data from a sample of 242 firms across a variety of industries, geographic locations, and sizes. Our results demonstrate that EO has a significant positive effect on disruptive innovation and that deployment of a digitalization strategy is perceived as a metaphorical cage for disruptive innovation among highly entrepreneurially oriented firms. However, a digitalization strategy supports disruptive innovation when firms are less entrepreneurially oriented. The insight of this work is that firms should focus on EO to allow disruptive innovation and increase or decrease digitalization strategy deployment and planning depending on the level of EO."/>
    <s v="[Kraus, Sascha; Vonmetz, Katharina] Free Univ Bozen Bolzano, Fac Econ &amp; Management, Piazza Univ 1, I-39100 Bolzano, Italy; [Orlandi, Ludovico Bullini] Univ Bologna, Dept Management, Via Capo Lucca 34, I-40126 Bologna, Italy; [Zardini, Alessandro; Rossignoli, Cecilia] Univ Verona, Dept Business Adm, Via Cantarane 24, I-37129 Verona, Italy; [Kraus, Sascha] Univ Johannesburg, Dept Business Management, ZA-2092 Johannesburg, South Africa"/>
    <s v="Free University of Bozen-Bolzano; University of Bologna; University of Verona; University of Johannesburg"/>
    <s v="Kraus, S (corresponding author), Free Univ Bozen Bolzano, Fac Econ &amp; Management, Piazza Univ 1, I-39100 Bolzano, Italy.;Kraus, S (corresponding author), Univ Johannesburg, Dept Business Management, ZA-2092 Johannesburg, South Africa."/>
    <s v="sascha.kraus@zfke.de"/>
    <s v="Zardini, Alessandro/J-8400-2014"/>
    <s v="Zardini, Alessandro/0000-0002-2598-9877"/>
    <s v="Open Access Publishing Fund by the Free University of Bozen-Bolzano"/>
    <s v="Open Access Publishing Fund by the Free University of Bozen-Bolzano"/>
    <s v="This work was supported by the Open Access Publishing Fund provided by the Free University of Bozen-Bolzano."/>
    <s v=""/>
    <n v="95"/>
    <n v="1"/>
    <n v="1"/>
    <n v="49"/>
    <n v="49"/>
    <s v="ELSEVIER SCIENCE INC"/>
    <s v="NEW YORK"/>
    <s v="STE 800, 230 PARK AVE, NEW YORK, NY 10169 USA"/>
    <s v="0040-1625"/>
    <s v="1873-5509"/>
    <s v=""/>
    <s v="TECHNOL FORECAST SOC"/>
    <s v="Technol. Forecast. Soc. Chang."/>
    <s v="AUG"/>
    <n v="2023"/>
    <n v="193"/>
    <s v=""/>
    <s v=""/>
    <s v=""/>
    <s v=""/>
    <s v=""/>
    <s v=""/>
    <s v=""/>
    <n v="122638"/>
    <s v="10.1016/j.techfore.2023.122638"/>
    <s v="http://dx.doi.org/10.1016/j.techfore.2023.122638"/>
    <s v=""/>
    <s v="MAY 2023"/>
    <n v="12"/>
    <s v="Business; Regional &amp; Urban Planning"/>
    <x v="0"/>
    <s v="Business &amp; Economics; Public Administration"/>
    <s v="J9RP2"/>
    <s v=""/>
    <s v="hybrid"/>
    <s v=""/>
    <s v=""/>
    <s v="2023-11-15"/>
    <x v="383"/>
    <s v="View Full Record in Web of Science"/>
  </r>
  <r>
    <s v="J"/>
    <s v="Behbehani, D; Komninos, N; Al-Begain, K; Rajarajan, M"/>
    <s v=""/>
    <s v=""/>
    <s v=""/>
    <s v="Behbehani, Dawood; Komninos, Nikos; Al-Begain, Khalid; Rajarajan, Muttukrishnan"/>
    <s v=""/>
    <s v=""/>
    <s v="Cloud Enterprise Dynamic Risk Assessment (CEDRA): a dynamic risk assessment using dynamic Bayesian networks for cloud environment"/>
    <s v="JOURNAL OF CLOUD COMPUTING-ADVANCES SYSTEMS AND APPLICATIONS"/>
    <s v=""/>
    <s v=""/>
    <s v="English"/>
    <x v="0"/>
    <s v=""/>
    <s v=""/>
    <s v=""/>
    <s v=""/>
    <s v=""/>
    <s v="Cloud risk assessment; Quantitative risk-analysis; Dynamic Bayesian Network"/>
    <s v="THREAT INTELLIGENCE; MODEL"/>
    <s v="Cloud computing adoption has been increasing rapidly amid COVID-19 as organisations accelerate the implementation of their digital strategies. Most models adopt traditional dynamic risk assessment, which does not adequately quantify or monetise risks to enable business-appropriate decision-making. In view of this challenge, a new model is proposed in this paper for assignment of monetary losses terms to the consequences nodes, thereby enabling experts to understand better the financial risks of any consequence. The proposed model is named Cloud Enterprise Dynamic Risk Assessment (CEDRA) model that uses CVSS, threat intelligence feeds and information about exploitation availability in the wild using dynamic Bayesian networks to predict vulnerability exploitations and financial losses. A case study of a scenario based on the Capital One breach attack was conducted to demonstrate experimentally the applicability of the model proposed in this paper. The methods presented in this study has improved vulnerability and financial losses prediction."/>
    <s v="[Behbehani, Dawood; Komninos, Nikos; Rajarajan, Muttukrishnan] City Univ London, Sch Math Comp Sci &amp; Engn, London, England; [Al-Begain, Khalid] Kuwait Coll Sci &amp; Technol, Kuwait, Kuwait"/>
    <s v="City University London; Kuwait College Science &amp; Technology"/>
    <s v="Behbehani, D (corresponding author), City Univ London, Sch Math Comp Sci &amp; Engn, London, England."/>
    <s v="dawood.behbehani@city.ac.uk"/>
    <s v=""/>
    <s v=""/>
    <s v=""/>
    <s v=""/>
    <s v=""/>
    <s v=""/>
    <n v="29"/>
    <n v="1"/>
    <n v="1"/>
    <n v="11"/>
    <n v="11"/>
    <s v="SPRINGER"/>
    <s v="NEW YORK"/>
    <s v="ONE NEW YORK PLAZA, SUITE 4600, NEW YORK, NY, UNITED STATES"/>
    <s v=""/>
    <s v="2192-113X"/>
    <s v=""/>
    <s v="J CLOUD COMPUT-ADV S"/>
    <s v="J. Cloud Comput.-Adv. Syst. Appl."/>
    <s v="MAY 17"/>
    <n v="2023"/>
    <n v="12"/>
    <n v="1"/>
    <s v=""/>
    <s v=""/>
    <s v=""/>
    <s v=""/>
    <s v=""/>
    <s v=""/>
    <n v="79"/>
    <s v="10.1186/s13677-023-00454-2"/>
    <s v="http://dx.doi.org/10.1186/s13677-023-00454-2"/>
    <s v=""/>
    <s v=""/>
    <n v="12"/>
    <s v="Computer Science, Information Systems"/>
    <x v="2"/>
    <s v="Computer Science"/>
    <s v="G4WN5"/>
    <n v="37220560"/>
    <s v="Green Submitted, Green Published, Green Accepted, gold"/>
    <s v=""/>
    <s v=""/>
    <s v="2023-11-15"/>
    <x v="384"/>
    <s v="View Full Record in Web of Science"/>
  </r>
  <r>
    <s v="J"/>
    <s v="Urbano, D; Aparicio, S; Scott, S; Martinez-Moya, D"/>
    <s v=""/>
    <s v=""/>
    <s v=""/>
    <s v="Urbano, David; Aparicio, Sebastian; Scott, Stephanie; Martinez-Moya, Diego"/>
    <s v=""/>
    <s v=""/>
    <s v="Inside out: The interplay between institutions and digital technologies for SMEs performance"/>
    <s v="ENTREPRENEURSHIP AND REGIONAL DEVELOPMENT"/>
    <s v=""/>
    <s v=""/>
    <s v="English"/>
    <x v="2"/>
    <s v=""/>
    <s v=""/>
    <s v=""/>
    <s v=""/>
    <s v=""/>
    <s v="Digital technology; institutions; regional context; total factor productivity; multilevel analysis; Latin America and the Caribbean"/>
    <s v="TOTAL FACTOR PRODUCTIVITY; FIRM-LEVEL EVIDENCE; ECONOMIC-GROWTH; ENTREPRENEURSHIP; TAXES; EDUCATION; IMPACT; DETERMINANTS; CONVERGENCE; CORRUPTION"/>
    <s v="An effective digital strategy provides multifaceted benefits for firms of all sizes, including operational oversight, learning, and effective market interactions. Yet, despite the burgeoning evidence that digitalization provides essential resources for firms, disparate observations on the link between SME performance and digitalization across regions are noted in the literature. There remain concerns about whether SMEs enact effective digital strategies to reap the rewards, especially given that some SMEs have reported entirely forgoing digital activities due to resource constraints and exogenous forces in the market. In light of the varying global observations, it is crucial to understand how regional and multi-layered institutional settings influence SMEs to adopt, implement, and utilize digital resources to form solid policies and appropriate facilitative mechanisms. Therefore, this study compiled 11,485 observations of SME digital activities and performance from 88 distinctive institutional regions within Latin America and the Caribbean from 2006 to 2018. The study used data from the World Bank's Enterprise Survey (WBES) and World Development Indicators (WDI) to reveal various institutional factors influencing SMEs' adoption of technologies and subsequent performance via multilevel regressions. The findings suggest institutional barriers become insignificant when firms use digital technologies and suggest that it may insulate SMEs from exogenous shocks."/>
    <s v="[Urbano, David; Aparicio, Sebastian] Univ Autonoma Barcelona, Dept Business, Edifici B Campus Bellaterra UAB, Bellaterra 08913, Barcelona, Spain; [Urbano, David; Aparicio, Sebastian] Univ Autonoma Barcelona, Ctr Entrepreneurship &amp; Social Innovat Res CREIS, Sabadell, Spain; [Scott, Stephanie] Univ Durham, Durham Univ Business Sch, Durham, England; [Martinez-Moya, Diego] Fdn ECSIM, Medellin, Colombia"/>
    <s v="Autonomous University of Barcelona; Autonomous University of Barcelona; Durham University"/>
    <s v="Urbano, D (corresponding author), Univ Autonoma Barcelona, Dept Business, Edifici B Campus Bellaterra UAB, Bellaterra 08913, Barcelona, Spain."/>
    <s v="david.urbano@uab.cat"/>
    <s v="Urbano, David/B-6879-2009"/>
    <s v="Urbano, David/0000-0001-7600-8656"/>
    <s v="Spanish Ministry of Economy &amp; Competitiveness [ECO2017-87885-P]; Economy &amp; Knowledge Department, Catalan Government [2017-SGR-1056]; ICREA under ICREA Academia programme; COLCIENCIAS Ph.D. programme [617/2013]; Sapiencia-Enlaza Mundos (Municipio de Medellin); Universidad EAFIT"/>
    <s v="Spanish Ministry of Economy &amp; Competitiveness(Spanish Government); Economy &amp; Knowledge Department, Catalan Government; ICREA under ICREA Academia programme; COLCIENCIAS Ph.D. programme(Departamento Administrativo de Ciencia, Tecnologia e Innovacion Colciencias); Sapiencia-Enlaza Mundos (Municipio de Medellin); Universidad EAFIT"/>
    <s v="David Urbano and Sebastian Aparicio acknowledge the financial support from the project ECO2017-87885-P (Spanish Ministry of Economy &amp; Competitiveness). Notably, David acknowledges the financial support from the 2017-SGR-1056 project (Economy &amp; Knowledge Department, Catalan Government) and ICREA under ICREA Academia programme. As a Serra Hunter Fellow, Sebastian Aparicio acknowledges the Serra Hunter Programme and the Catalan government for constant support. Additionally, Sebastian acknowledges the COLCIENCIAS Ph.D. programme (617/2013) and Sapiencia-Enlaza Mundos (Municipio de Medellin) for financial support during his Ph.D. studies. Stephanie Scott acknowledges Durham University Business School for its constant support. Diego Martinez-Moya acknowledges Universidad EAFIT for financial support during postgraduate studies and Fundacion ECSIM for constant support."/>
    <s v=""/>
    <n v="118"/>
    <n v="1"/>
    <n v="1"/>
    <n v="12"/>
    <n v="12"/>
    <s v="ROUTLEDGE JOURNALS, TAYLOR &amp; FRANCIS LTD"/>
    <s v="ABINGDON"/>
    <s v="2-4 PARK SQUARE, MILTON PARK, ABINGDON OX14 4RN, OXON, ENGLAND"/>
    <s v="0898-5626"/>
    <s v="1464-5114"/>
    <s v=""/>
    <s v="ENTREP REGION DEV"/>
    <s v="Entrep. Reg. Dev."/>
    <s v="2023 MAY 3"/>
    <n v="2023"/>
    <s v=""/>
    <s v=""/>
    <s v=""/>
    <s v=""/>
    <s v=""/>
    <s v=""/>
    <s v=""/>
    <s v=""/>
    <s v=""/>
    <s v="10.1080/08985626.2023.2208555"/>
    <s v="http://dx.doi.org/10.1080/08985626.2023.2208555"/>
    <s v=""/>
    <s v="MAY 2023"/>
    <n v="20"/>
    <s v="Business; Development Studies"/>
    <x v="0"/>
    <s v="Business &amp; Economics; Development Studies"/>
    <s v="F1DG1"/>
    <s v=""/>
    <s v=""/>
    <s v=""/>
    <s v=""/>
    <s v="2023-11-15"/>
    <x v="385"/>
    <s v="View Full Record in Web of Science"/>
  </r>
  <r>
    <s v="J"/>
    <s v="Yao, Q; Tang, HJ; Liu, YQ; Boadu, F"/>
    <s v=""/>
    <s v=""/>
    <s v=""/>
    <s v="Yao, Qi; Tang, Hongjuan; Liu, Yunqing; Boadu, Francis"/>
    <s v=""/>
    <s v=""/>
    <s v="The penetration effect of digital leadership on digital transformation: the role of digital strategy consensus and diversity types"/>
    <s v="JOURNAL OF ENTERPRISE INFORMATION MANAGEMENT"/>
    <s v=""/>
    <s v=""/>
    <s v="English"/>
    <x v="2"/>
    <s v=""/>
    <s v=""/>
    <s v=""/>
    <s v=""/>
    <s v=""/>
    <s v="Digital leadership; Digital transformation; Digital strategy consensus; Diversity; Organizational identification"/>
    <s v="ORGANIZATIONAL IDENTIFICATION; FIRM PERFORMANCE; MODERATING ROLE; TEAM COGNITION; INNOVATION; CAPABILITIES; IMPLEMENTATION; KNOWLEDGE; PAY"/>
    <s v="Purpose - Successful digital transformation involves all areas which bring new impacts and challenges to the leadership of the enterprise. From the perspective of organizational identification, the authors construct a theoretical model of digital leadership-digital strategic consensus-digital transformation and explore the different moderated mediation effects of diversity types.Design/methodology/approach - This paper obtains data from 351 Chinese science and technology enterprises and uses regression analysis and bootstrap analysis to test the research hypotheses.Findings - The results demonstrate that digital leadership has a positive impact on digital transformation. Digital strategic consensus partially mediates the linkage between digital leadership and digital transformation. Disparity diversity and variety diversity positively moderate the mediating role of digital strategic consensus between digital leadership and digital transformation, respectively; and separation diversity negatively moderates the mediating role of digital strategic consensus between digital leadership and digital transformation.Originality/value - The research innovatively measures digital leadership and digital transformation. It expands the application of leadership, strategic consensus, diversity and other related theories in a digital context and provides a decision-making basis for enterprises' digital transformation."/>
    <s v="[Yao, Qi; Tang, Hongjuan] Chongqing Jiaotong Univ, Sch Econ &amp; Management, Chongqing, Peoples R China; [Liu, Yunqing] Anhui Univ Finance &amp; Econ, Sch Finance &amp; Publ Adm, Bengbu, Peoples R China; [Boadu, Francis] Kumasi Tech Univ, Kumasi, Ghana"/>
    <s v="Chongqing Jiaotong University; Anhui University of Finance &amp; Economics"/>
    <s v="Liu, YQ (corresponding author), Anhui Univ Finance &amp; Econ, Sch Finance &amp; Publ Adm, Bengbu, Peoples R China."/>
    <s v="yaoqi@cqjtu.edu.cn; 201732110142@std.uestc.edu.cn; liuyunqing@aufe.edu.cn; linnacus@yahoo.com"/>
    <s v="Boadu, Francis/ABI-3509-2020; Boadu, Francis/AAA-2642-2021"/>
    <s v="Boadu, Francis/0000-0001-7029-2828; Tang, Hongjuan/0000-0003-2686-861X; Liu, Yunqing/0000-0003-2013-8747"/>
    <s v="National Natural Science Foundation of China [72172021, 71772021, 72202001]; Youth Project of Anhui Provincial Philosophy and Social Science Planning Fund [AHSKQ2022D054]; Chongqing Jiaotong University Graduate Scientific Research Innovation Project [CYB22240]"/>
    <s v="National Natural Science Foundation of China(National Natural Science Foundation of China (NSFC)); Youth Project of Anhui Provincial Philosophy and Social Science Planning Fund; Chongqing Jiaotong University Graduate Scientific Research Innovation Project"/>
    <s v="This work was supported by the National Natural Science Foundation of China (No. 72172021, 71772021 and 72202001); the Youth Project of Anhui Provincial Philosophy and Social Science Planning Fund (No. AHSKQ2022D054); and the Chongqing Jiaotong University Graduate Scientific Research Innovation Project (No. CYB22240)."/>
    <s v=""/>
    <n v="79"/>
    <n v="1"/>
    <n v="1"/>
    <n v="262"/>
    <n v="284"/>
    <s v="EMERALD GROUP PUBLISHING LTD"/>
    <s v="BINGLEY"/>
    <s v="HOWARD HOUSE, WAGON LANE, BINGLEY BD16 1WA, W YORKSHIRE, ENGLAND"/>
    <s v="1741-0398"/>
    <s v="1758-7409"/>
    <s v=""/>
    <s v="J ENTERP INF MANAG"/>
    <s v="J. Enterp. Inf. Manag."/>
    <s v="2023 APR 13"/>
    <n v="2023"/>
    <s v=""/>
    <s v=""/>
    <s v=""/>
    <s v=""/>
    <s v=""/>
    <s v=""/>
    <s v=""/>
    <s v=""/>
    <s v=""/>
    <s v="10.1108/JEIM-09-2022-0350"/>
    <s v="http://dx.doi.org/10.1108/JEIM-09-2022-0350"/>
    <s v=""/>
    <s v="APR 2023"/>
    <n v="25"/>
    <s v="Computer Science, Interdisciplinary Applications; Information Science &amp; Library Science; Management"/>
    <x v="0"/>
    <s v="Computer Science; Information Science &amp; Library Science; Business &amp; Economics"/>
    <s v="D3YV9"/>
    <s v=""/>
    <s v=""/>
    <s v=""/>
    <s v=""/>
    <s v="2023-11-15"/>
    <x v="386"/>
    <s v="View Full Record in Web of Science"/>
  </r>
  <r>
    <s v="J"/>
    <s v="Ruvalcaba-Gomez, EA; Cifuentes-Faura, J"/>
    <s v=""/>
    <s v=""/>
    <s v=""/>
    <s v="Ruvalcaba-Gomez, Edgar A.; Cifuentes-Faura, Javier"/>
    <s v=""/>
    <s v=""/>
    <s v="Analysis of the perception of digital government and artificial intelligence in the public sector in Jalisco, Mexico"/>
    <s v="INTERNATIONAL REVIEW OF ADMINISTRATIVE SCIENCES"/>
    <s v=""/>
    <s v=""/>
    <s v="English"/>
    <x v="2"/>
    <s v=""/>
    <s v=""/>
    <s v=""/>
    <s v=""/>
    <s v=""/>
    <s v="Digital government; artificial intelligence; public sector; public administration; Mexico"/>
    <s v="CAPABILITIES; BIG"/>
    <s v="The advancement and continuous development of information and communication technologies highlights the importance of analysing and monitoring the development and capabilities of governments to use and exploit the potential of new technologies. Digital government and artificial intelligence in the public sector are two trends associated with technological development. This research conducts an analysis of these elements from the perspective of public officials by conducting a factor analysis. The study is based on a survey administered to civil servants in the state of Jalisco in Mexico. An analysis was made of their training and knowledge of these aspects and whether there are significant differences according to gender, age, level of studies, area of knowledge and place of work. The results obtained show divergences and coincidences between variables and factors. The findings are useful as a reference for the government of Jalisco to promote measures aimed at improving the situation of digital government and artificial intelligence in the short to medium term, in order to optimize administrative management. Points for practitioners Knowing the perspective of public officials on digital government and artificial intelligence is important to evaluate and design a digital strategy in governments. Public officials in charge of technology areas in governments need constant training on emerging technological tools, mainly those related to artificial intelligence. There is a lack of knowledge about the use and implications of artificial intelligence in the public sector by public servants. Data interoperability and coordination between government agencies are relevant to the development of digital government."/>
    <s v="[Ruvalcaba-Gomez, Edgar A.] Univ Guadalajara, Univ Ctr Econ &amp; Adm Sci CUCEA, Dept Publ Policy, Guadalajara, Mexico; [Cifuentes-Faura, Javier] Univ Murcia, Fac Econ &amp; Business, Dept Financial Econ &amp; Accounting, Murcia, Spain; [Cifuentes-Faura, Javier] Univ Murcia, Fac Econ &amp; Business, s-n Campus Univ, Murcia 30100, Spain"/>
    <s v="Universidad de Guadalajara; University of Murcia; University of Murcia"/>
    <s v="Cifuentes-Faura, J (corresponding author), Univ Murcia, Fac Econ &amp; Business, s-n Campus Univ, Murcia 30100, Spain."/>
    <s v="javier.cifuentes@um.es"/>
    <s v=""/>
    <s v="Ruvalcaba-Gomez, Edgar Alejandro/0000-0003-0999-0680; Cifuentes-Faura, Javier/0000-0001-6763-8525"/>
    <s v="Madrid Institute for Advanced Study (MIAS); Instituto de Investigacion en Rendicion de Cuentas y Combate a la Corrupcion (IIRCCC)"/>
    <s v="Madrid Institute for Advanced Study (MIAS); Instituto de Investigacion en Rendicion de Cuentas y Combate a la Corrupcion (IIRCCC)"/>
    <s v="We thank the Centro de Estudios Estrategicos para el Desarrollo (CEED) of the Universidad de Guadalajara for providing us with information and data for this research. Also, we thank the Madrid Institute for Advanced Study (MIAS) and the Instituto de Investigacion en Rendicion de Cuentas y Combate a la Corrupcion (IIRCCC) for their support during the development of this research."/>
    <s v=""/>
    <n v="37"/>
    <n v="1"/>
    <n v="1"/>
    <n v="30"/>
    <n v="31"/>
    <s v="SAGE PUBLICATIONS LTD"/>
    <s v="LONDON"/>
    <s v="1 OLIVERS YARD, 55 CITY ROAD, LONDON EC1Y 1SP, ENGLAND"/>
    <s v="0020-8523"/>
    <s v="1461-7226"/>
    <s v=""/>
    <s v="INT REV ADM SCI"/>
    <s v="Int. Rev. Adm. Sci."/>
    <s v="2023 MAR 29"/>
    <n v="2023"/>
    <s v=""/>
    <s v=""/>
    <s v=""/>
    <s v=""/>
    <s v=""/>
    <s v=""/>
    <s v=""/>
    <s v=""/>
    <s v=""/>
    <s v="10.1177/00208523231164587"/>
    <s v="http://dx.doi.org/10.1177/00208523231164587"/>
    <s v=""/>
    <s v="MAR 2023"/>
    <n v="20"/>
    <s v="Public Administration"/>
    <x v="0"/>
    <s v="Public Administration"/>
    <s v="D1UJ8"/>
    <s v=""/>
    <s v=""/>
    <s v=""/>
    <s v=""/>
    <s v="2023-11-15"/>
    <x v="387"/>
    <s v="View Full Record in Web of Science"/>
  </r>
  <r>
    <s v="J"/>
    <s v="Dumbrell, J; Daneshvar, H; Oteo, A; Baldacchino, A; Matheson, C"/>
    <s v=""/>
    <s v=""/>
    <s v=""/>
    <s v="Dumbrell, Josh; Daneshvar, Hadi; Oteo, Alberto; Baldacchino, Alexander; Matheson, Catriona"/>
    <s v=""/>
    <s v=""/>
    <s v="The acceptability of overdose alert and response technologies: introducing the TPOM-ODART framework"/>
    <s v="HARM REDUCTION JOURNAL"/>
    <s v=""/>
    <s v=""/>
    <s v="English"/>
    <x v="0"/>
    <s v=""/>
    <s v=""/>
    <s v=""/>
    <s v=""/>
    <s v=""/>
    <s v="Opioids; People who use opioids (PWUO); Overdose (OD); Public health; Harm reduction; Overdose alert and response technologies (ODART); TPOM-ODART; Overdose digital technologies"/>
    <s v="TAKE-HOME NALOXONE"/>
    <s v="BackgroundOpioids were implicated in approximately 88,000 fatal overdoses (OD) globally. However, in principle all opioid OD are reversible with the timely administration of naloxone hydrochloride. Despite the widespread availability of naloxone among people who use opioids (PWUO), many who suffer fatal OD use alone, without others present to administer the reversal agent. Recognising this key aspect of the challenge calls for innovations, a number of technological approaches have emerged which aim to connect OD victims with naloxone. However, the acceptability of OD response technologies to PWUO is of key concern.MethodsDrawing on the Technology People Organisations Macroenvironment (TPOM) framework, this study sought to integrate acceptability-related findings in this space with primary research data from PWUO, affected family members and service providers to understand the factors involved in harm reduction technology acceptability.A qualitative study using a focus group methodology was conducted. The participant groups were people with lived experience of problem opioid use, affected family members and service providers. Data analysis followed a multi-stage approach to thematic analysis and utilised both inductive and deductive methods.ResultsThirty individuals participated in one of six focus groups between November 2021 and September 2022. The analysis generated six major themes, three of which are reported in this article-selected for their close relevance to PWUO and their importance to developers of digital technologies for this group. 'Trust-in technologies, systems and people' was a major theme and was closely linked to data security, privacy and confidentiality. 'Balancing harm reduction, safety and ambivalence' reflects the delicate balance technological solutions must achieve to be acceptable to PWUO. Lastly, 'readiness-a double bind' encapsulates the perception shared across participant groups, that those at the highest risk, may be the least able to engage with interventions.ConclusionEffective digital strategies to prevent fatal OD must be sensitive to the complex relationships between technological, social/human, organisational and wider macroenvironmental factors which can enable or impede intervention delivery. Trust, readiness and performance are central to technology acceptability for PWUO. An augmented TPOM was developed (the TPOM-ODART)."/>
    <s v="[Dumbrell, Josh] Univ Stirling, Drugs Res Network Scotland, Stirling, Scotland; [Daneshvar, Hadi; Matheson, Catriona] Univ Stirling, Fac Social Sci, Stirling, Scotland; [Oteo, Alberto; Baldacchino, Alexander] Univ St Andrews, Med Sch, St Andrews, Scotland"/>
    <s v="University of Stirling; University of Stirling; University of St Andrews"/>
    <s v="Dumbrell, J (corresponding author), Univ Stirling, Drugs Res Network Scotland, Stirling, Scotland."/>
    <s v="j.l.dumbrell@stir.ac.uk"/>
    <s v=""/>
    <s v="Baldacchino, Alex/0000-0002-5388-7376; Oteo Perez, Alberto/0000-0002-4239-9529"/>
    <s v="Scottish Government Technology Enabled Care Directorate"/>
    <s v="Scottish Government Technology Enabled Care Directorate"/>
    <s v="This study was funded by Scottish Government Technology Enabled Care Directorate."/>
    <s v=""/>
    <n v="49"/>
    <n v="1"/>
    <n v="1"/>
    <n v="1"/>
    <n v="2"/>
    <s v="BMC"/>
    <s v="LONDON"/>
    <s v="CAMPUS, 4 CRINAN ST, LONDON N1 9XW, ENGLAND"/>
    <s v=""/>
    <s v="1477-7517"/>
    <s v=""/>
    <s v="HARM REDUCT J"/>
    <s v="Harm Reduct. J."/>
    <s v="MAR 26"/>
    <n v="2023"/>
    <n v="20"/>
    <n v="1"/>
    <s v=""/>
    <s v=""/>
    <s v=""/>
    <s v=""/>
    <s v=""/>
    <s v=""/>
    <n v="40"/>
    <s v="10.1186/s12954-023-00763-4"/>
    <s v="http://dx.doi.org/10.1186/s12954-023-00763-4"/>
    <s v=""/>
    <s v=""/>
    <n v="10"/>
    <s v="Substance Abuse"/>
    <x v="0"/>
    <s v="Substance Abuse"/>
    <s v="A7QV7"/>
    <n v="36967388"/>
    <s v="gold, Green Published"/>
    <s v=""/>
    <s v=""/>
    <s v="2023-11-15"/>
    <x v="388"/>
    <s v="View Full Record in Web of Science"/>
  </r>
  <r>
    <s v="J"/>
    <s v="Cepa, K; Schildt, H"/>
    <s v=""/>
    <s v=""/>
    <s v=""/>
    <s v="Cepa, Katharina; Schildt, Henri"/>
    <s v=""/>
    <s v=""/>
    <s v="What to teach when we teach digital strategy? An exploration of the nascent field"/>
    <s v="LONG RANGE PLANNING"/>
    <s v=""/>
    <s v=""/>
    <s v="English"/>
    <x v="0"/>
    <s v=""/>
    <s v=""/>
    <s v=""/>
    <s v=""/>
    <s v=""/>
    <s v=""/>
    <s v="BIG DATA; MANAGEMENT RESEARCH; BUSINESS STRATEGY; MEDIATING ROLE; INNOVATION; KNOWLEDGE; TECHNOLOGY; RESOURCES; TOOLS; ORGANIZATIONS"/>
    <s v="Companies are increasingly pursuing competitive advantage through innovative use of advanced information technologies, such as artificial in-telligence. Management education must prepare students with the skills and knowledge needed to function effectively and ethically in this increasingly digitalized business environment. Yet, we have no consensus on what constitutes digital strategy, let alone how the topic ought to be taught. To advance the emerging subdiscipline of digital strategy, this article takes stock of the teaching in this nascent domain. We conducted an inductive analysis of twelve postgraduate modules and fifteen massive open online courses (MOOCs) to provide an empirically grounded framework. Our analysis categorizes digital strategy-related module content into four domains, constituted by thirteen topic areas. We further identify five distinct course profiles that digital strategy modules typically follow. This article contributes to the strategic management discipline by providing an exploration of digital strategy teaching and offering concrete guidelines for teaching digital strategy in business schools and universities, either as a module on its own right or as part of an existing strategy module."/>
    <s v="[Cepa, Katharina] Vrije Univ Amsterdam, Amsterdam, Netherlands; [Schildt, Henri] Aalto Univ, Espoo, Finland"/>
    <s v="Vrije Universiteit Amsterdam; Aalto University"/>
    <s v="Cepa, K (corresponding author), Vrije Univ Amsterdam, Amsterdam, Netherlands."/>
    <s v="k.c.cepa@vu.nl; henri.schildt@aalto.fi"/>
    <s v=""/>
    <s v="Cepa, Katharina/0000-0001-6934-8177"/>
    <s v=""/>
    <s v=""/>
    <s v=""/>
    <s v=""/>
    <n v="116"/>
    <n v="1"/>
    <n v="1"/>
    <n v="17"/>
    <n v="19"/>
    <s v="ELSEVIER SCI LTD"/>
    <s v="OXFORD"/>
    <s v="THE BOULEVARD, LANGFORD LANE, KIDLINGTON, OXFORD OX5 1GB, OXON, ENGLAND"/>
    <s v="0024-6301"/>
    <s v="1873-1872"/>
    <s v=""/>
    <s v="LONG RANGE PLANN"/>
    <s v="Long Range Plan."/>
    <s v="APR"/>
    <n v="2023"/>
    <n v="56"/>
    <n v="2"/>
    <s v=""/>
    <s v=""/>
    <s v=""/>
    <s v=""/>
    <s v=""/>
    <s v=""/>
    <n v="102271"/>
    <s v="10.1016/j.lrp.2022.102271"/>
    <s v="http://dx.doi.org/10.1016/j.lrp.2022.102271"/>
    <s v=""/>
    <s v="MAR 2023"/>
    <n v="18"/>
    <s v="Business; Development Studies; Management"/>
    <x v="0"/>
    <s v="Business &amp; Economics; Development Studies"/>
    <s v="A6AB7"/>
    <s v=""/>
    <s v="Green Published, hybrid"/>
    <s v=""/>
    <s v=""/>
    <s v="2023-11-15"/>
    <x v="389"/>
    <s v="View Full Record in Web of Science"/>
  </r>
  <r>
    <s v="J"/>
    <s v="Busco, C; González, F; Aránguiz, M"/>
    <s v=""/>
    <s v=""/>
    <s v=""/>
    <s v="Busco, Carolina; Gonzalez, Felipe; Aranguiz, Michelle"/>
    <s v=""/>
    <s v=""/>
    <s v="Factors that favor or hinder the acquisition of a digital culture in large organizations in Chile"/>
    <s v="FRONTIERS IN PSYCHOLOGY"/>
    <s v=""/>
    <s v=""/>
    <s v="English"/>
    <x v="0"/>
    <s v=""/>
    <s v=""/>
    <s v=""/>
    <s v=""/>
    <s v=""/>
    <s v="digital transformation; digital culture; digital leadership; digital strategy; Delphi method"/>
    <s v="DELPHI; TRANSFORMATION; READY"/>
    <s v="Organizational culture is often perceived as a valuable strategic asset supporting business transformation and the exploitation of digital technologies. Still, it can also be the source of inertia that impedes change. The research question proposed is What factors favor or hinder the acquisition of digital culture in large organizations in Chile? The aim is to rank factors that promote a digital culture based on the perception of executives using the Delphi method. The expert panel was selected with strategic criteria, considering practical knowledge, up-to-date experience on the subject, and having high decision-making positions in large companies in Chile. The main statistics used are media, maximum, minimum, and average range, along with the search for consensus determined by the interquartile range and Kendall's W concordance coefficient. Results show a high level of agreement on the importance of digital strategy and digital leadership factors when favoring a digital culture in large companies in Chile. However, large companies in Chile must pay attention to the conservative triad of elements that characterize Chilean work culture that considers the belief that changes are exclusively possible when commanded by the strategic apex, a hierarchical work culture that prevents collaborative work, and the rejection of disruptive change. These factors and cultural characteristics will likely hinder any attempt to succeed in a digital transformation plan."/>
    <s v="[Busco, Carolina; Gonzalez, Felipe; Aranguiz, Michelle] Univ Diego Portales, Fac Engn &amp; Sci, Dept Ind Engn, Santiago, Chile"/>
    <s v="University Diego Portales"/>
    <s v="Busco, C (corresponding author), Univ Diego Portales, Fac Engn &amp; Sci, Dept Ind Engn, Santiago, Chile."/>
    <s v="carolina.busco@mail.udp.cl"/>
    <s v=""/>
    <s v=""/>
    <s v="Universidad Diego Portales through the project Indicators of digital maturity in the Chilean industry; Universidad Diego Portales (UDP)"/>
    <s v="Universidad Diego Portales through the project Indicators of digital maturity in the Chilean industry; Universidad Diego Portales (UDP)"/>
    <s v="Research funding for women professors provided by Universidad Diego Portales through the project Indicators of digital maturity in the Chilean industry, awarded in 2022. Open access funding provided by Universidad Diego Portales (UDP)."/>
    <s v=""/>
    <n v="69"/>
    <n v="1"/>
    <n v="1"/>
    <n v="29"/>
    <n v="33"/>
    <s v="FRONTIERS MEDIA SA"/>
    <s v="LAUSANNE"/>
    <s v="AVENUE DU TRIBUNAL FEDERAL 34, LAUSANNE, CH-1015, SWITZERLAND"/>
    <s v="1664-1078"/>
    <s v=""/>
    <s v=""/>
    <s v="FRONT PSYCHOL"/>
    <s v="Front. Psychol."/>
    <s v="MAR 9"/>
    <n v="2023"/>
    <n v="14"/>
    <s v=""/>
    <s v=""/>
    <s v=""/>
    <s v=""/>
    <s v=""/>
    <s v=""/>
    <s v=""/>
    <n v="1153031"/>
    <s v="10.3389/fpsyg.2023.1153031"/>
    <s v="http://dx.doi.org/10.3389/fpsyg.2023.1153031"/>
    <s v=""/>
    <s v=""/>
    <n v="13"/>
    <s v="Psychology, Multidisciplinary"/>
    <x v="0"/>
    <s v="Psychology"/>
    <s v="A4BG5"/>
    <n v="36968717"/>
    <s v="gold, Green Published"/>
    <s v=""/>
    <s v=""/>
    <s v="2023-11-15"/>
    <x v="390"/>
    <s v="View Full Record in Web of Science"/>
  </r>
  <r>
    <s v="J"/>
    <s v="Navarro, JT; Santofimia, EO"/>
    <s v=""/>
    <s v=""/>
    <s v=""/>
    <s v="Tunon Navarro, Jorge; Oporto Santofimia, Emma"/>
    <s v=""/>
    <s v=""/>
    <s v="EU Member States' Institutional Twitter Campaigns on COVID-19 Vaccination: Analyses of Germany, Spain, France and Italy"/>
    <s v="VACCINES"/>
    <s v=""/>
    <s v=""/>
    <s v="English"/>
    <x v="0"/>
    <s v=""/>
    <s v=""/>
    <s v=""/>
    <s v=""/>
    <s v=""/>
    <s v="European Union; digital strategic communication; social networks; Twitter campaign; COVID-19; vaccination"/>
    <s v="ELECTORAL CAMPAIGN; HESITANCY; IMPACT; TIME; RISK"/>
    <s v="The development of an effective vaccine against the SARS-CoV-2 coronavirus became the hope for halting the spread of the disease. In recent years, social networks have become important tools for political and strategic communication in the dialogue with citizens. Therefore, the messages emitted through them were important to address vaccine hesitancy and achieve collective immunity. This paper analyses the use of Twitter by politicians and institutions in EU Member States during the first fifty days after the Commission's marketing authorisation of the first COVID-19 vaccine (21 December 2020 to 8 February 2021). To do so, a triple approach content analysis was carried out (quantitative, qualitative and discursive on feelings) applied to 1913 tweets published by the official profiles of the prime ministers, health ministers, governments and health ministries of Germany, Spain, France and Italy, the four most populous EU countries. The results point out that politicians and institutions gave preference to other issues on their political agenda over vaccine-related issues. Moreover, previous research hypotheses, such as those related to the underutilization of the Twitter tool as a two-way communication channel with citizens, are validated."/>
    <s v="[Tunon Navarro, Jorge; Oporto Santofimia, Emma] Carlos III Univ Madrid, Dept Commun, Calle Madrid 126, Getafe 28903, Madrid, Spain"/>
    <s v=""/>
    <s v="Navarro, JT (corresponding author), Carlos III Univ Madrid, Dept Commun, Calle Madrid 126, Getafe 28903, Madrid, Spain."/>
    <s v="jtunon@hum.uc3m.es"/>
    <s v=""/>
    <s v="TUNON NAVARRO, JORGE/0000-0003-0393-6560"/>
    <s v="European Education and Culture Executive Agency (EACEA) [101083334-EPP-1-2022-1-ES-EPPJMO-CHAIR]; MDPI"/>
    <s v="European Education and Culture Executive Agency (EACEA); MDPI"/>
    <s v="This research was funded by the European Education and Culture Executive Agency (EACEA), grant number 101083334-EPP-1-2022-1-ES-EPPJMO-CHAIR and The APC was funded by MDPI."/>
    <s v=""/>
    <n v="79"/>
    <n v="1"/>
    <n v="1"/>
    <n v="5"/>
    <n v="6"/>
    <s v="MDPI"/>
    <s v="BASEL"/>
    <s v="ST ALBAN-ANLAGE 66, CH-4052 BASEL, SWITZERLAND"/>
    <s v=""/>
    <s v="2076-393X"/>
    <s v=""/>
    <s v="VACCINES-BASEL"/>
    <s v="Vaccines"/>
    <s v="MAR"/>
    <n v="2023"/>
    <n v="11"/>
    <n v="3"/>
    <s v=""/>
    <s v=""/>
    <s v=""/>
    <s v=""/>
    <s v=""/>
    <s v=""/>
    <n v="619"/>
    <s v="10.3390/vaccines11030619"/>
    <s v="http://dx.doi.org/10.3390/vaccines11030619"/>
    <s v=""/>
    <s v=""/>
    <n v="27"/>
    <s v="Immunology; Medicine, Research &amp; Experimental"/>
    <x v="2"/>
    <s v="Immunology; Research &amp; Experimental Medicine"/>
    <s v="D4QW4"/>
    <n v="36992204"/>
    <s v="gold, Green Published"/>
    <s v=""/>
    <s v=""/>
    <s v="2023-11-15"/>
    <x v="391"/>
    <s v="View Full Record in Web of Science"/>
  </r>
  <r>
    <s v="J"/>
    <s v="Fowler, EF; Franz, MM; Neumann, M; Ridout, TN; Yao, JL"/>
    <s v=""/>
    <s v=""/>
    <s v=""/>
    <s v="Fowler, Erika Franklin; Franz, Michael M.; Neumann, Markus; Ridout, Travis N.; Yao, Jielu"/>
    <s v=""/>
    <s v=""/>
    <s v="Digital Advertising in the 2022 Midterms"/>
    <s v="FORUM-A JOURNAL OF APPLIED RESEARCH IN CONTEMPORARY POLITICS"/>
    <s v=""/>
    <s v=""/>
    <s v="English"/>
    <x v="2"/>
    <s v=""/>
    <s v=""/>
    <s v=""/>
    <s v=""/>
    <s v=""/>
    <s v="digital ads; elections; negative campaigns; abortion; Facebook; Google; Instagram; YouTube"/>
    <s v=""/>
    <s v="This analysis focuses on candidate-sponsored digital advertising spending in federal races in the 2022 midterm elections. We focus the analysis on spending on Meta (which includes Facebook and Instagram) and Google (which includes YouTube and search-related ads). We identify just under $150 million in candidate spending in federal races on these two platforms. We find, perhaps surprisingly, that combined spending on Meta and Google was lower in federal races compared to 2020 as a share of media spending. We also focus our analysis on measuring the tone of digital ads on Meta and identifying the goals pursued by candidates in these digital ad buys. Our results confirm prior work that digital advertising remains more positive than television (and less issue-focused than television ads), and we find that nearly half of the candidate-sponsored spending on Meta in the 2022 general election period made appeals for donations, with significant variation across campaigns. The Meta and Google ad libraries are invaluable sources of data for measuring the digital strategies of campaigns, but the declines from 2020, particularly on Meta, suggest candidates are likely pursuing diverse digital investments across platforms, some with no transparency or capacity to track spending and content."/>
    <s v="[Fowler, Erika Franklin; Neumann, Markus; Yao, Jielu] Wesleyan Univ, Middletown, CT 06459 USA; [Franz, Michael M.] Bowdoin Coll, Brunswick, ME USA; [Ridout, Travis N.] Washington State Univ, Pullman, WA USA"/>
    <s v="Wesleyan University; Bowdoin College; Washington State University"/>
    <s v="Fowler, EF (corresponding author), Wesleyan Univ, Middletown, CT 06459 USA."/>
    <s v="efowler@wesleyan.edu; mfranz@bowdoin.edu; mneumann01@wesleyan.edu; tnridout@wsu.edu; jyao01@wesleyan.edu"/>
    <s v=""/>
    <s v="Yao, Jielu/0000-0002-2787-3405; Franklin Fowler, Erika/0000-0003-3141-572X; Franz, Michael/0000-0001-5996-075X; Neumann, Markus/0000-0002-9681-4003"/>
    <s v=""/>
    <s v=""/>
    <s v=""/>
    <s v=""/>
    <n v="13"/>
    <n v="1"/>
    <n v="1"/>
    <n v="6"/>
    <n v="7"/>
    <s v="WALTER DE GRUYTER GMBH"/>
    <s v="BERLIN"/>
    <s v="GENTHINER STRASSE 13, D-10785 BERLIN, GERMANY"/>
    <s v="2194-6183"/>
    <s v="1540-8884"/>
    <s v=""/>
    <s v="FORUM-J APPL RES CON"/>
    <s v="Forum-A J. Appl. Res. Contemp. Polit."/>
    <s v="2023 FEB 20"/>
    <n v="2023"/>
    <s v=""/>
    <s v=""/>
    <s v=""/>
    <s v=""/>
    <s v=""/>
    <s v=""/>
    <s v=""/>
    <s v=""/>
    <s v=""/>
    <s v="10.1515/for-2023-2006"/>
    <s v="http://dx.doi.org/10.1515/for-2023-2006"/>
    <s v=""/>
    <s v="FEB 2023"/>
    <n v="21"/>
    <s v="Political Science"/>
    <x v="0"/>
    <s v="Government &amp; Law"/>
    <s v="9I9KA"/>
    <s v=""/>
    <s v="hybrid"/>
    <s v=""/>
    <s v=""/>
    <s v="2023-11-15"/>
    <x v="392"/>
    <s v="View Full Record in Web of Science"/>
  </r>
  <r>
    <s v="J"/>
    <s v="Le-Dain, MA; Benhayoun, L; Matthews, J; Liard, M"/>
    <s v=""/>
    <s v=""/>
    <s v=""/>
    <s v="Le-Dain, Marie-Anne; Benhayoun, Lamiae; Matthews, Judy; Liard, Marine"/>
    <s v=""/>
    <s v=""/>
    <s v="Barriers and opportunities of digital servitization for SMEs: the effect of smart Product-Service System business models"/>
    <s v="SERVICE BUSINESS"/>
    <s v=""/>
    <s v=""/>
    <s v="English"/>
    <x v="0"/>
    <s v=""/>
    <s v=""/>
    <s v=""/>
    <s v=""/>
    <s v=""/>
    <s v="Smart Product-Service System; Digital servitization; Barriers; Opportunities; SME"/>
    <s v="INDUSTRY 4.0; MANUFACTURING COMPANIES; INNOVATION DIFFUSION; FUTURE; PSS; TRANSFORMATION; DIGITIZATION; TECHNOLOGY; ADOPTION; DESIGN"/>
    <s v="Digital servitization enables SMEs to propose smart Product-Service Systems (PSS) integrating products and services. Limited discussion of this contemporary and challenging phenomena stimulated our in-depth literature review, which identified four key themes common to both barriers and opportunities: digital strategy, ecosystem network, internal and operational organization, and human capabilities. Industry expert focus group enabled enriching and refining these themes across smart PSS business models. Digital servitization was found to mostly benefit the SME's digital strategy and ecosystem network and is hindered by insufficient human capabilities and underdeveloped ecosystem networks. Opportunities and barriers vary as the smart PSS business model evolves."/>
    <s v="[Le-Dain, Marie-Anne; Liard, Marine] Univ Grenoble Alpes, Grenoble INP, CNRS, G SCOP, 46 Ave Felix Viallet, F-38000 Grenoble, France; [Benhayoun, Lamiae] Univ Internatl Rabat, Rabat Business Sch, Technopolis Rabat Shore, 11 103, Rabat, Morocco; [Matthews, Judy] Queensland Univ Technol, Sch Management, 2 George St, Brisbane, Qld 4000, Australia"/>
    <s v="Communaute Universite Grenoble Alpes; Institut National Polytechnique de Grenoble; Universite Grenoble Alpes (UGA); Centre National de la Recherche Scientifique (CNRS); Queensland University of Technology (QUT)"/>
    <s v="Le-Dain, MA (corresponding author), Univ Grenoble Alpes, Grenoble INP, CNRS, G SCOP, 46 Ave Felix Viallet, F-38000 Grenoble, France."/>
    <s v="marie-anne.le-dain@grenoble-inp.fr; lamiae.benhayoun@uir.ac.ma; jh.matthews@qut.edu.au; marine.liard@grenoble-inp.org"/>
    <s v="Matthews, Judy Helen/I-9723-2012"/>
    <s v="Matthews, Judy Helen/0000-0002-1117-0780; Le Dain, Marie-Anne/0000-0003-0075-4411"/>
    <s v=""/>
    <s v=""/>
    <s v=""/>
    <s v=""/>
    <n v="132"/>
    <n v="1"/>
    <n v="1"/>
    <n v="37"/>
    <n v="56"/>
    <s v="SPRINGER HEIDELBERG"/>
    <s v="HEIDELBERG"/>
    <s v="TIERGARTENSTRASSE 17, D-69121 HEIDELBERG, GERMANY"/>
    <s v="1862-8516"/>
    <s v="1862-8508"/>
    <s v=""/>
    <s v="SERV BUS"/>
    <s v="Serv. Bus."/>
    <s v="MAR"/>
    <n v="2023"/>
    <n v="17"/>
    <n v="1"/>
    <s v=""/>
    <s v=""/>
    <s v="SI"/>
    <s v=""/>
    <n v="359"/>
    <n v="393"/>
    <s v=""/>
    <s v="10.1007/s11628-023-00520-4"/>
    <s v="http://dx.doi.org/10.1007/s11628-023-00520-4"/>
    <s v=""/>
    <s v="FEB 2023"/>
    <n v="35"/>
    <s v="Business; Management"/>
    <x v="0"/>
    <s v="Business &amp; Economics"/>
    <s v="9V4LT"/>
    <s v=""/>
    <s v="Bronze"/>
    <s v=""/>
    <s v=""/>
    <s v="2023-11-15"/>
    <x v="393"/>
    <s v="View Full Record in Web of Science"/>
  </r>
  <r>
    <s v="J"/>
    <s v="Wang, MK; Lau, N"/>
    <s v=""/>
    <s v=""/>
    <s v=""/>
    <s v="Wang, Mingke; Lau, Newman"/>
    <s v=""/>
    <s v=""/>
    <s v="NFT Digital Twins: A Digitalization Strategy to Preserve and Sustain Miao Silver Craftsmanship in the Metaverse Era"/>
    <s v="HERITAGE"/>
    <s v=""/>
    <s v=""/>
    <s v="English"/>
    <x v="0"/>
    <s v=""/>
    <s v=""/>
    <s v=""/>
    <s v=""/>
    <s v=""/>
    <s v="cultural heritage preservation; digitalization strategy; cultural sustainability; handicrafts and craftsmanship; NFT; blockchain technology; metaverse"/>
    <s v="TRACEABILITY"/>
    <s v="Miao silver, generally referred to as the unique silver ornaments manufactured by the Miao ethnicity with over 400 years of history, was listed as a Chinese national intangible cultural heritage in 2006. Through primary research methods, including local investigation, interviews, and workshops at Maliao Village in Guizhou, this study found that sizeable industrial production shrank the market needs for traditional Miao silver handicrafts. A growing number of young Miao people pursue higher incomes and leave their hometowns to make a living in cities instead of engaging in Miao silver handcrafting in villages. Based on the difficulties encountered in the inheritance of Miao silver craftsmanship, this project creatively proposed a digital strategy based on the NFT digital twin application to preserve and maintain Miao silver technology in the context of the metaverse era. By conducting design experiments combining digital technology and the traditional Miao silver manufacturing techniques, a collection of NFT digital twins, digital duplications of Miao silver handicrafts that Miao silversmith jointly worked with 3D technologist, was created as a vital research outcome. The results show that this attempt is beneficial to help expand the use scenarios, extend the lifespan, and increase the commercial value of Miao silver. To sum up, taking Miao silverware handicrafts as a research case, this paper dialectically discusses the relationship between industrial manufacturing and traditional handicraft industries, making contributions to the inheritance and development of Miao silver and also putting forward innovative solutions to promote the prosperity of intangible cultural heritage worldwide."/>
    <s v="[Wang, Mingke] Univ Arts London, London Coll Fash, London W1G 0BJ, England; [Lau, Newman] Hong Kong Polytech Univ, Sch Design, Hung Hom, Hong Kong, Peoples R China"/>
    <s v="University of Arts London; Hong Kong Polytechnic University"/>
    <s v="Wang, MK (corresponding author), Univ Arts London, London Coll Fash, London W1G 0BJ, England."/>
    <s v="wang.mingke@outlook.com"/>
    <s v=", prophe/AAJ-5693-2020"/>
    <s v="LAU, Newman/0000-0001-8668-9467"/>
    <s v=""/>
    <s v=""/>
    <s v=""/>
    <s v=""/>
    <n v="42"/>
    <n v="1"/>
    <n v="1"/>
    <n v="20"/>
    <n v="32"/>
    <s v="MDPI"/>
    <s v="BASEL"/>
    <s v="ST ALBAN-ANLAGE 66, CH-4052 BASEL, SWITZERLAND"/>
    <s v="2571-9408"/>
    <s v=""/>
    <s v=""/>
    <s v="HERITAGE-BASEL"/>
    <s v="Heritage"/>
    <s v="FEB"/>
    <n v="2023"/>
    <n v="6"/>
    <n v="2"/>
    <s v=""/>
    <s v=""/>
    <s v=""/>
    <s v=""/>
    <n v="1921"/>
    <n v="1941"/>
    <s v=""/>
    <s v="10.3390/heritage6020103"/>
    <s v="http://dx.doi.org/10.3390/heritage6020103"/>
    <s v=""/>
    <s v=""/>
    <n v="21"/>
    <s v="Humanities, Multidisciplinary; Multidisciplinary Sciences"/>
    <x v="3"/>
    <s v="Arts &amp; Humanities - Other Topics; Science &amp; Technology - Other Topics"/>
    <s v="9H7WA"/>
    <s v=""/>
    <s v="gold"/>
    <s v=""/>
    <s v=""/>
    <s v="2023-11-15"/>
    <x v="394"/>
    <s v="View Full Record in Web of Science"/>
  </r>
  <r>
    <s v="J"/>
    <s v="Islam, MA; Islam, MA; Jacky, MAH; Al-Amin, M; Miah, MSU; Khan, MMI; Hossain, MI"/>
    <s v=""/>
    <s v=""/>
    <s v=""/>
    <s v="Islam, Md. Ariful; Islam, Md. Antonin; Jacky, Md. Amzad Hossain; Al-Amin, Md.; Miah, Md. Saef Ullah; Khan, Md. Muhidul Islam; Hossain, Md. Iqbal"/>
    <s v=""/>
    <s v=""/>
    <s v="Distributed Ledger Technology Based Integrated Healthcare Solution for Bangladesh"/>
    <s v="IEEE ACCESS"/>
    <s v=""/>
    <s v=""/>
    <s v="English"/>
    <x v="0"/>
    <s v=""/>
    <s v=""/>
    <s v=""/>
    <s v=""/>
    <s v=""/>
    <s v="Medical services; Distributed ledger; Blockchains; Security; Pediatrics; Government; Electronic healthcare; Smart contracts; Distributed ledger technology; integrated healthcare; blockchain; smart contract; hyperledger fabric; blockchain in healthcare"/>
    <s v="INTERNET; ARCHITECTURE; SECURE"/>
    <s v="Healthcare data is highly sensitive and must be safeguarded. Personal and sensitive data, such as names and addresses, is stored in Encrypted Electronic Health Records (EHRs). This paper proposes a Blockchain-based distributed application platform for Bangladesh's public and private healthcare service providers. The proposed application framework enables users to create secure digital agreements for commerce or collaboration by leveraging data immutability and smart contracts. As a result, all stakeholders can collaborate securely over the same Blockchain network, taking advantage of their data's openness and read/write nature. The proposed application is made up of various application interfaces for various stakeholders. The proposed solution employs Hyperledger Fabric and Blockchain to ensure data integrity, privacy, permissions, and service availability. In the application portal, each user has a profile. The creation of a unique identity for each user, as well as the establishment of digital information centers across the country, has greatly aided the process. This application collects health data from each user in a systematic manner, which is useful for research institutes and healthcare-related organizations. For this application, a national data warehouse in Bangladesh is feasible, and various healthcare-related analyses can be performed using the collected data, assisting the strategy and planning department in making informed decisions regarding the healthcare sector in Bangladesh. Because Bangladesh has both public and private healthcare providers, a simple digital strategy is essential for all organizations to accomplish their services. This study proposes a solution to achieve this goal."/>
    <s v="[Islam, Md. Ariful; Islam, Md. Antonin] Brain Stn 23 Ltd, Dhaka 1212, Bangladesh; [Jacky, Md. Amzad Hossain; Al-Amin, Md.; Miah, Md. Saef Ullah] Amer Int Univ Bangladesh, Fac Sci &amp; Technol, Dept Comp Sci, Dhaka 1229, Bangladesh; [Khan, Md. Muhidul Islam] Univ Stavanger, Dept Elect &amp; Comp Sci, N-4021 Stavanger, Norway; [Hossain, Md. Iqbal] Chakaria Un Hosp, Dept Paediat, Chattogram 4349, Bangladesh"/>
    <s v="American International University Bangladesh (AIUB); Universitetet i Stavanger"/>
    <s v="Khan, MMI (corresponding author), Univ Stavanger, Dept Elect &amp; Comp Sci, N-4021 Stavanger, Norway."/>
    <s v="md.m.khan@uis.no"/>
    <s v="MIAH, MD SAEF ULLAH/AAY-6237-2021"/>
    <s v="MIAH, MD SAEF ULLAH/0000-0003-4587-4636"/>
    <s v="Norwegian Research Council through the 5G Management and Orchestration for Data and Network Integration (5G-MODaNeI) [308909]"/>
    <s v="Norwegian Research Council through the 5G Management and Orchestration for Data and Network Integration (5G-MODaNeI)"/>
    <s v="This work was supported by the Norwegian Research Council through the 5G Management and Orchestration for Data and Network Integration (5G-MODaNeI) Project under Grant 308909."/>
    <s v=""/>
    <n v="101"/>
    <n v="1"/>
    <n v="1"/>
    <n v="1"/>
    <n v="1"/>
    <s v="IEEE-INST ELECTRICAL ELECTRONICS ENGINEERS INC"/>
    <s v="PISCATAWAY"/>
    <s v="445 HOES LANE, PISCATAWAY, NJ 08855-4141 USA"/>
    <s v="2169-3536"/>
    <s v=""/>
    <s v=""/>
    <s v="IEEE ACCESS"/>
    <s v="IEEE Access"/>
    <s v=""/>
    <n v="2023"/>
    <n v="11"/>
    <s v=""/>
    <s v=""/>
    <s v=""/>
    <s v=""/>
    <s v=""/>
    <n v="51527"/>
    <n v="51556"/>
    <s v=""/>
    <s v="10.1109/ACCESS.2023.3279724"/>
    <s v="http://dx.doi.org/10.1109/ACCESS.2023.3279724"/>
    <s v=""/>
    <s v=""/>
    <n v="30"/>
    <s v="Computer Science, Information Systems; Engineering, Electrical &amp; Electronic; Telecommunications"/>
    <x v="2"/>
    <s v="Computer Science; Engineering; Telecommunications"/>
    <s v="I9HK7"/>
    <s v=""/>
    <s v="gold, Green Submitted"/>
    <s v=""/>
    <s v=""/>
    <s v="2023-11-15"/>
    <x v="395"/>
    <s v="View Full Record in Web of Science"/>
  </r>
  <r>
    <s v="J"/>
    <s v="Papí-Gálvez, N; La Parra-Casado, D"/>
    <s v=""/>
    <s v=""/>
    <s v=""/>
    <s v="Papi-Galvez, Natalia; La Parra-Casado, Daniel"/>
    <s v=""/>
    <s v=""/>
    <s v="Age-Based Digital Divide: Uses of the Internet in People Over 54 Years Old"/>
    <s v="MEDIA AND COMMUNICATION"/>
    <s v=""/>
    <s v=""/>
    <s v="English"/>
    <x v="0"/>
    <s v=""/>
    <s v=""/>
    <s v=""/>
    <s v=""/>
    <s v=""/>
    <s v="digital competence; digital divide; grey divide; internet access; logistic regression; social context"/>
    <s v="ACCESS; TECHNOLOGY; MEDIA; ACCEPTANCE; LITERACY; SKILLS; LEVEL; MODEL"/>
    <s v="The digitization process is widespread and unrelenting. Compared with other European countries, Spain has a good pos-ition in the latest data compiled in the Digital Economy and Society Index. Direct use of communication and information technologies is high among the regions in Spain, where the national average in the region of Valencia stands out. However, despite this context, differences between population groups continue to be observed in different dimensions of the digital divide. This article explores this multidimensional gap among the midlife and older adult population. The research design adopts a mixed-method sequential design (questionnaire-based survey, follow-up with semi-structured interviews) to explore social positions in relation to access and use of technologies and the meanings that people ascribe to such positions and actions. A telephone survey was conducted with 1,800 people over 54 years of age residing in Valencia in September 2021, followed by 67 in-depth interviews. The results suggest that demographic and socioeconomic characteristics (level of education, age, and gender) determine people's position in the digital divide. Qualitative discourses qualify these results by elucidating key aspects that could be acting as protectors of digital and social exclusion. They are related to the social and family context and the characteristics of digital service providers. The findings are useful to guide both public policies to promote digital inclusion and private market actors when designing their digital strategies."/>
    <s v="[Papi-Galvez, Natalia] Univ Alicante, Dept Commun &amp; Social Psychol, San Vicente Del Raspeig, Spain; [La Parra-Casado, Daniel] Univ Alicante, Dept Sociol, San Vicente Del Raspeig, Spain"/>
    <s v="Universitat d'Alacant; Universitat d'Alacant"/>
    <s v="Papí-Gálvez, N (corresponding author), Univ Alicante, Dept Commun &amp; Social Psychol, San Vicente Del Raspeig, Spain."/>
    <s v="natalia.p@ua.es"/>
    <s v="La Parra-Casado, Daniel/I-5481-2016; Papí Gálvez, Natalia/A-1408-2019"/>
    <s v="La Parra-Casado, Daniel/0000-0002-9096-3972; Papí Gálvez, Natalia/0000-0002-4871-1691"/>
    <s v="Valencia Regional Government's Directorate General for the Fight Against the Digital Divide under the Regional Department of Innovation, Science, Universities, and Digital Society; Digital Society"/>
    <s v="Valencia Regional Government's Directorate General for the Fight Against the Digital Divide under the Regional Department of Innovation, Science, Universities, and Digital Society; Digital Society"/>
    <s v="This work was funded and supported by the Valencia Regional Government's Directorate General for the Fight Against the Digital Divide under the Regional Department of Innovation, Science, Universities, and Digital Society. This study was approved by the Ethics Committee at the University of Alicante with file number UA-2021-06-16."/>
    <s v=""/>
    <n v="63"/>
    <n v="1"/>
    <n v="1"/>
    <n v="30"/>
    <n v="30"/>
    <s v="COGITATIO PRESS"/>
    <s v="LISBON"/>
    <s v="RUA FIALHO ALMEIDA 14, 2 ESQ, LISBON, 1070-129, PORTUGAL"/>
    <s v="2183-2439"/>
    <s v=""/>
    <s v=""/>
    <s v="MEDIA COMMUN-LISBON"/>
    <s v="Media Commun."/>
    <s v=""/>
    <n v="2023"/>
    <n v="11"/>
    <n v="3"/>
    <s v=""/>
    <s v=""/>
    <s v=""/>
    <s v=""/>
    <n v="77"/>
    <n v="87"/>
    <s v=""/>
    <s v="10.17645/mac.v11i3.6744"/>
    <s v="http://dx.doi.org/10.17645/mac.v11i3.6744"/>
    <s v=""/>
    <s v=""/>
    <n v="11"/>
    <s v="Communication"/>
    <x v="0"/>
    <s v="Communication"/>
    <s v="O3EJ6"/>
    <s v=""/>
    <s v="Green Published, gold"/>
    <s v=""/>
    <s v=""/>
    <s v="2023-11-15"/>
    <x v="396"/>
    <s v="View Full Record in Web of Science"/>
  </r>
  <r>
    <s v="J"/>
    <s v="Ziehfreund, S; Reifenrath, J; Wijnen-Meijer, M; Welzel, J; Sauter, F; Wecker, H; Biedermann, T; Zink, A"/>
    <s v=""/>
    <s v=""/>
    <s v=""/>
    <s v="Ziehfreund, Stefanie; Reifenrath, Johannes; Wijnen-Meijer, Marjo; Welzel, Julia; Sauter, Fabian; Wecker, Hannah; Biedermann, Tilo; Zink, Alexander"/>
    <s v=""/>
    <s v=""/>
    <s v="Considering medical students' perception, concerns and needs for e-exam during COVID-19: a promising approach to improve subject specific e-exams"/>
    <s v="MEDICAL EDUCATION ONLINE"/>
    <s v=""/>
    <s v=""/>
    <s v="English"/>
    <x v="0"/>
    <s v=""/>
    <s v=""/>
    <s v=""/>
    <s v=""/>
    <s v=""/>
    <s v="e-assessment; e-exam; curriculum; medical students; e-learning"/>
    <s v="REMOTE E-EXAMS; OPEN-BOOK; EXPERIENCE"/>
    <s v="The COVID-19 pandemic forced a rapid shift to digital strategies including e-exams in medical schools. However, there are significant concerns, predominately from student perspectives, and further data is required to successfully establish e-assessment in the medical curricula. The objective of the study was to examine medical students' perceptions, concerns, and needs regarding e-assessment to establish a comprehensive e-exam based on these and previous findings and to evaluate its effectiveness in terms of examinee perceptions and further needs. During the 2021 summer term, a cross-sectional study using qualitative and quantitative methods was conducted among all 1077 students at the School of Medicine, Technical University of Munich. They were asked to provide information regarding their characteristics, preferred exam format, e-assessment perception, concerns, and needs in an online questionnaire. Based on these findings, a pilot e-exam including an e-exam preparation for the students were established and subsequently evaluated among 125 pilot e-exam examinees under study consideration via an online-questionnaire. Of the 317 pre-exam participants (73.2% female), 70.3% preferred in-person exams and showed concerns about the technological framework, privacy, and examination requirements. Qualitative analysis showed that these concerns lead to additional exam stress and fear of failure. The 34 (79.4% female) participants who participated in the evaluation survey showed a significantly more positive e-exam perception. The fairness of the platform, the independence from an internet connection, the organization including the e-exam preparation, and the consideration of participant needs were discussed as particularly positive in the open-ended comments. In both surveys, participants requested uniform platforms and processes for all subjects. This study provides evidence for a positive, complementary role of student participation in a successful e-exam implementation. Furthermore, when establishing an e-exam format in the medical curricula, e-exam training, equal accessibility, availability offline, and all-round fairness should be considered."/>
    <s v="[Ziehfreund, Stefanie; Sauter, Fabian; Wecker, Hannah; Biedermann, Tilo; Zink, Alexander] Tech Univ Munich, Sch Med, Dept Dermatol &amp; Allergy, Munich, Germany; [Ziehfreund, Stefanie] Tech Univ Munich, Sch Med, Inst Gen Practice &amp; Hlth Serv Res, Munich, Germany; [Reifenrath, Johannes; Wijnen-Meijer, Marjo] Tech Univ Munich, TUM Med Educ Ctr TUM MEC, Sch Med, Munich, Germany; [Welzel, Julia] Univ Hosp Augsburg, Dept Dermatol, Augsburg, Germany; [Sauter, Fabian] Tech Univ Munich, Dept Informat, Munich, Germany; [Zink, Alexander] Karolinska Inst, Dept Med Solna, Div Dermatol &amp; Venereol, Stockholm, Sweden"/>
    <s v="Technical University of Munich; Technical University of Munich; Technical University of Munich; Technical University of Munich; Karolinska Institutet"/>
    <s v="Ziehfreund, S (corresponding author), Tech Univ Munich, Sch Med, Dept Dermatol &amp; Allergy, Munich, Germany.;Ziehfreund, S (corresponding author), Tech Univ Munich, Sch Med, Inst Gen Practice &amp; Hlth Serv Res, Munich, Germany."/>
    <s v="stefanie.ziehfreund@tum.de"/>
    <s v=""/>
    <s v="Reifenrath, Johannes/0000-0002-7216-5926"/>
    <s v=""/>
    <s v=""/>
    <s v=""/>
    <s v=""/>
    <n v="38"/>
    <n v="1"/>
    <n v="1"/>
    <n v="4"/>
    <n v="9"/>
    <s v="TAYLOR &amp; FRANCIS LTD"/>
    <s v="ABINGDON"/>
    <s v="2-4 PARK SQUARE, MILTON PARK, ABINGDON OR14 4RN, OXON, ENGLAND"/>
    <s v="1087-2981"/>
    <s v=""/>
    <s v=""/>
    <s v="MED EDUC ONLINE"/>
    <s v="Med. Educ. Online"/>
    <s v="DEC 31"/>
    <n v="2022"/>
    <n v="27"/>
    <n v="1"/>
    <s v=""/>
    <s v=""/>
    <s v=""/>
    <s v=""/>
    <s v=""/>
    <s v=""/>
    <n v="2114131"/>
    <s v="10.1080/10872981.2022.2114131"/>
    <s v="http://dx.doi.org/10.1080/10872981.2022.2114131"/>
    <s v=""/>
    <s v=""/>
    <n v="11"/>
    <s v="Education &amp; Educational Research"/>
    <x v="0"/>
    <s v="Education &amp; Educational Research"/>
    <s v="3W5FN"/>
    <n v="35993348"/>
    <s v="Green Published, gold"/>
    <s v=""/>
    <s v=""/>
    <s v="2023-11-15"/>
    <x v="397"/>
    <s v="View Full Record in Web of Science"/>
  </r>
  <r>
    <s v="J"/>
    <s v="Baxter, J; Floyd, A; Jewitt, K"/>
    <s v=""/>
    <s v=""/>
    <s v=""/>
    <s v="Baxter, Jacqueline; Floyd, Alan; Jewitt, Katharine"/>
    <s v=""/>
    <s v=""/>
    <s v="Pandemic, a catalyst for change: Strategic planning for digital education in English secondary schools, before during and post Covid"/>
    <s v="BRITISH EDUCATIONAL RESEARCH JOURNAL"/>
    <s v=""/>
    <s v=""/>
    <s v="English"/>
    <x v="0"/>
    <s v=""/>
    <s v=""/>
    <s v=""/>
    <s v=""/>
    <s v=""/>
    <s v=""/>
    <s v="ICT"/>
    <s v="Following lockdowns in 2020 owing to Covid-19, schools needed to find a way to ensure the education of their pupils. In order to do this, they engaged in digital learning, to varying extents. Innovations emanated from all school staff including, for example, teachers, leaders and teaching assistants. Some were already innovating in this area and brought forward and implemented digital strategies, while others engaged with digital learning for the first time. While research is emerging about the effects of the pandemic restrictions on pupils and staff in relation to key issues such as mental health and educational attainment, very little is known about the impact on school leaders' strategic planning processes. To address this gap, this paper draws on a UK Research and Innovation funded study adopting a strategy as learning approach to report on 50 qualitative interviews with school leaders to examine digital strategy in English secondary schools, before, during and after July 2021, when restrictions were lifted in England. It draws on strategy as learning literature to evaluate if schools have changed their strategic planning for digital learning, as a direct response to having learned and innovated during the pandemic. The paper concludes that there is evidence that digital innovations during the pandemic have changed the ways in which leaders think about their digital strategy, thus supporting a strategy as learning approach. However it also concludes that although there is ample evidence that the pandemic has changed the way many schools view digital learning, for some schools, there remain persistent barriers to digital integration and planning. These emanate both from material and cultural considerations, as well as leader vision and belief in digital learning."/>
    <s v="[Baxter, Jacqueline] Open Univ, Dept Publ Leadership &amp; Social Enterprise, Business Sch, Milton Keynes, England; [Floyd, Alan] Univ Reading, Inst Educ, Reading, England; [Jewitt, Katharine] Open Univ, Open Univ UK, Milton Keynes, England; [Baxter, Jacqueline] Ctr Res &amp; Innovat Online Business &amp; Legal Educ, Dept Publ Leadership &amp; Social Enterprise, Milton Keynes, England"/>
    <s v="Open University - UK; University of Reading; Open University - UK"/>
    <s v="Baxter, J (corresponding author), Ctr Res &amp; Innovat Online Business &amp; Legal Educ, Dept Publ Leadership &amp; Social Enterprise, Milton Keynes, England."/>
    <s v="jacqueline.baxter@open.ac.uk"/>
    <s v="; Floyd, Alan/E-8017-2017"/>
    <s v="Baxter, Jacqueline/0000-0001-6650-2984; Floyd, Alan/0000-0002-2008-7831"/>
    <s v="Economic and Social Research Council"/>
    <s v="Economic and Social Research Council(UK Research &amp; Innovation (UKRI)Economic &amp; Social Research Council (ESRC))"/>
    <s v="Economic and Social Research Council"/>
    <s v=""/>
    <n v="48"/>
    <n v="1"/>
    <n v="1"/>
    <n v="8"/>
    <n v="14"/>
    <s v="WILEY"/>
    <s v="HOBOKEN"/>
    <s v="111 RIVER ST, HOBOKEN 07030-5774, NJ USA"/>
    <s v="0141-1926"/>
    <s v="1469-3518"/>
    <s v=""/>
    <s v="BRIT EDUC RES J"/>
    <s v="Br. Educ. Res. J."/>
    <s v="APR"/>
    <n v="2023"/>
    <n v="49"/>
    <n v="2"/>
    <s v=""/>
    <s v=""/>
    <s v=""/>
    <s v=""/>
    <n v="329"/>
    <n v="351"/>
    <s v=""/>
    <s v="10.1002/berj.3845"/>
    <s v="http://dx.doi.org/10.1002/berj.3845"/>
    <s v=""/>
    <s v="DEC 2022"/>
    <n v="23"/>
    <s v="Education &amp; Educational Research"/>
    <x v="0"/>
    <s v="Education &amp; Educational Research"/>
    <s v="C7UA0"/>
    <s v=""/>
    <s v="hybrid, Green Accepted"/>
    <s v=""/>
    <s v=""/>
    <s v="2023-11-15"/>
    <x v="398"/>
    <s v="View Full Record in Web of Science"/>
  </r>
  <r>
    <s v="J"/>
    <s v="Barile, D; Secundo, G; Del Vecchio, P"/>
    <s v=""/>
    <s v=""/>
    <s v=""/>
    <s v="Barile, Domenica; Secundo, Giustina; Del Vecchio, Pasquale"/>
    <s v=""/>
    <s v=""/>
    <s v="Food 4.0 for competing during the COVID-19 pandemic: experimenting digitalization in family firms"/>
    <s v="EUROPEAN JOURNAL OF INNOVATION MANAGEMENT"/>
    <s v=""/>
    <s v=""/>
    <s v="English"/>
    <x v="2"/>
    <s v=""/>
    <s v=""/>
    <s v=""/>
    <s v=""/>
    <s v=""/>
    <s v="Food 4; 0; Digital transformation; Digital marketing; Action research; Family firm"/>
    <s v="OPEN INNOVATION; BIG DATA; TECHNOLOGIES; BUSINESS; ENTREPRENEURSHIP; PERFORMANCE; CHALLENGES; MANAGEMENT; CREATION; SYSTEM"/>
    <s v="PurposeWithin food industry several changes and innovations are affecting the management of the entire supply chain (production, logistics, etc.). As strategy for the survival and competition, digitalization has assumed a crucial role during the pandemic emergence by causing the reconfiguration of traditional chains and business models. Framed in these premises, the research analyses how digital technologies have innovated the sub-chains of bakery products and pasta within food industry with reference to customers' interactions, delivery and marketing during the COVID-19 pandemic emergence.Design/methodology/approachMoving from a critical literature review about the perspectives of digital technologies within the tradition of food industry, action research has been adopted to analyze in deep a case study of the start-up ArteBianca Delivery located in South Italy. Through this method, researchers have been deeply involved within the start-up to face the challenge of transforming the marketing and customer care into digital ones due to the COVID-19 restriction.FindingsFindings provide empirical evidence about the reconfiguration of the traditional business model of a family firm in the food sector into a digital one with the start-up ArteBianca Delivery. The marketing, delivery, e-commerce and customer care components of the business models have been supported and enhanced through the adoption of digital tools, such as mobile applications and social technologies useful both for users and for a more urgent digitization of company.Practical implicationsImplications for practice can be identified into the pattern of digital transformation implemented as well as in the opportunity of replication and contextualization of the results to other companies looking for setting up a digital strategy.Originality/valueElements of original contribution can be identified into: (1) the exploration of digital transformation in food family firms caused by the pandemic emergence, (2) the contextualization of the digital transformation to the sub-chains of bakery and pasta and (3) the geographical location of the case."/>
    <s v="[Barile, Domenica; Secundo, Giustina; Del Vecchio, Pasquale] Univ LUM Giuseppe Degennaro, Dept Management Finance &amp; Technol, Casamassima, Italy"/>
    <s v=""/>
    <s v="Del Vecchio, P (corresponding author), Univ LUM Giuseppe Degennaro, Dept Management Finance &amp; Technol, Casamassima, Italy."/>
    <s v="barile.phdstudent@lum.it; secundo@lum.it; delvecchio@lum.it"/>
    <s v="Barile, Domenica/HNQ-0458-2023"/>
    <s v=""/>
    <s v=""/>
    <s v=""/>
    <s v=""/>
    <s v=""/>
    <n v="98"/>
    <n v="1"/>
    <n v="1"/>
    <n v="17"/>
    <n v="36"/>
    <s v="EMERALD GROUP PUBLISHING LTD"/>
    <s v="BINGLEY"/>
    <s v="HOWARD HOUSE, WAGON LANE, BINGLEY BD16 1WA, W YORKSHIRE, ENGLAND"/>
    <s v="1460-1060"/>
    <s v="1758-7115"/>
    <s v=""/>
    <s v="EUR J INNOV MANAG"/>
    <s v="Eur. J. Innov. Manag."/>
    <s v="2022 DEC 14"/>
    <n v="2022"/>
    <s v=""/>
    <s v=""/>
    <s v=""/>
    <s v=""/>
    <s v=""/>
    <s v=""/>
    <s v=""/>
    <s v=""/>
    <s v=""/>
    <s v="10.1108/EJIM-07-2022-0373"/>
    <s v="http://dx.doi.org/10.1108/EJIM-07-2022-0373"/>
    <s v=""/>
    <s v="DEC 2022"/>
    <n v="22"/>
    <s v="Business; Management"/>
    <x v="0"/>
    <s v="Business &amp; Economics"/>
    <s v="6Z5WV"/>
    <s v=""/>
    <s v=""/>
    <s v=""/>
    <s v=""/>
    <s v="2023-11-15"/>
    <x v="399"/>
    <s v="View Full Record in Web of Science"/>
  </r>
  <r>
    <s v="J"/>
    <s v="Li, X; Wu, T; Zhang, HJ; Yang, DY"/>
    <s v=""/>
    <s v=""/>
    <s v=""/>
    <s v="Li, Xing; Wu, Ting; Zhang, Hongjuan; Yang, Deyan"/>
    <s v=""/>
    <s v=""/>
    <s v="Digital Technology Adoption and Sustainable Development Performance of Strategic Emerging Industries: The Mediating Role of Digital Technology Capability and the Moderating Role of Digital Strategy"/>
    <s v="JOURNAL OF ORGANIZATIONAL AND END USER COMPUTING"/>
    <s v=""/>
    <s v=""/>
    <s v="English"/>
    <x v="0"/>
    <s v=""/>
    <s v=""/>
    <s v=""/>
    <s v=""/>
    <s v=""/>
    <s v="Digital technology adoption; Digital technology capability; Digital strategy; Strategic emerging industries; Sustainable development performance"/>
    <s v="BIG DATA ANALYTICS; FIRM PERFORMANCE; INNOVATION; TRANSFORMATION"/>
    <s v="Although digital technology adoption has received more attention from researchers in the field of innovation management research, the micro mechanism of the impact of digital technology adoption on the sustainable development of enterprises has not been fully investigated. The objective of this study is to identify the existing relationships between digital technology adoption, digital technology capability, digital strategy, and sustainable development performance of strategic emerging industries. A theoretical conceptual model was developed that analyzed the primary data from 385 sample enterprises in strategic emerging industries. The results indicated that digital technology adoption had a positive influence on both enterprises' economic performance and environmental performance in strategic emerging industries. Digital technology capability played a mediating role in the relationship between digital technology adoption and enterprises' economic performance and environmental performance. And digital strategy strengthened the influence of digital technology adoption on enterprises."/>
    <s v="[Li, Xing; Yang, Deyan] Jiangsu Normal Univ, Xuzhou, Peoples R China; [Wu, Ting] Anyang Univ, Anyang, Peoples R China; [Zhang, Hongjuan] Wuhan Univ Sci &amp; Technol, Wuhan, Peoples R China"/>
    <s v="Jiangsu Normal University; Wuhan University of Science &amp; Technology"/>
    <s v="Zhang, HJ (corresponding author), Wuhan Univ Sci &amp; Technol, Wuhan, Peoples R China."/>
    <s v=""/>
    <s v=""/>
    <s v=""/>
    <s v="National Natural Science Foundation of China [72064003]; MOE (Ministry of Education in China) Project of Humanities and Social Science [18YJCZH234]; Research Project of Philosophy and Social Sciences of Department of Education of Hubei Province [20D017]; High -Level Project Plan of Wuhan University of Science and Technology [W201804]; Humanities and Social Science Foundation Project of Ministry of Education [20YJC630185]; Social Science Foundation of Jiangsu Province [19GLB003]"/>
    <s v="National Natural Science Foundation of China(National Natural Science Foundation of China (NSFC)); MOE (Ministry of Education in China) Project of Humanities and Social Science; Research Project of Philosophy and Social Sciences of Department of Education of Hubei Province; High -Level Project Plan of Wuhan University of Science and Technology; Humanities and Social Science Foundation Project of Ministry of Education; Social Science Foundation of Jiangsu Province"/>
    <s v="Acknowledgment This work was supported by the National Natural Science Foundation of China [No. 72064003] , MOE (Ministry of Education in China) Project of Humanities and Social Science (No. 18YJCZH234) , Research Project of Philosophy and Social Sciences of Department of Education of Hubei Province [No.20D017] , High -Level Project Plan of Wuhan University of Science and Technology [No. W201804] , Humanities and Social Science Foundation Project of Ministry of Education [No. 20YJC630185] , and Social Science Foundation of Jiangsu Province [No.19GLB003] ."/>
    <s v=""/>
    <n v="67"/>
    <n v="1"/>
    <n v="1"/>
    <n v="181"/>
    <n v="234"/>
    <s v="IGI GLOBAL"/>
    <s v="HERSHEY"/>
    <s v="701 E CHOCOLATE AVE, STE 200, HERSHEY, PA 17033-1240 USA"/>
    <s v="1546-2234"/>
    <s v="1546-5012"/>
    <s v=""/>
    <s v="J ORGAN END USER COM"/>
    <s v="J. Organ. End User Comput."/>
    <s v="DEC"/>
    <n v="2022"/>
    <n v="34"/>
    <n v="8"/>
    <s v=""/>
    <s v=""/>
    <s v=""/>
    <s v=""/>
    <s v=""/>
    <s v=""/>
    <s v=""/>
    <s v="10.4018/JOEUC.315645"/>
    <s v="http://dx.doi.org/10.4018/JOEUC.315645"/>
    <s v=""/>
    <s v=""/>
    <n v="1"/>
    <s v="Computer Science, Information Systems; Information Science &amp; Library Science; Management"/>
    <x v="1"/>
    <s v="Computer Science; Information Science &amp; Library Science; Business &amp; Economics"/>
    <s v="9V9BL"/>
    <s v=""/>
    <s v="gold"/>
    <s v=""/>
    <s v=""/>
    <s v="2023-11-15"/>
    <x v="400"/>
    <s v="View Full Record in Web of Science"/>
  </r>
  <r>
    <s v="J"/>
    <s v="Flores, CC; Rezende, DA"/>
    <s v=""/>
    <s v=""/>
    <s v=""/>
    <s v="Flores, Carla Cavichiolo; Rezende, Denis Alcides"/>
    <s v=""/>
    <s v=""/>
    <s v="Crowdsourcing framework applied to strategic digital city projects"/>
    <s v="JOURNAL OF URBAN MANAGEMENT"/>
    <s v=""/>
    <s v=""/>
    <s v="English"/>
    <x v="0"/>
    <s v=""/>
    <s v=""/>
    <s v=""/>
    <s v=""/>
    <s v=""/>
    <s v="Crowdsourcing; Collective decision; e-participation; Social platforms; e-governance; Strategic digital city projects"/>
    <s v="LOCAL E-GOVERNMENT; SOCIAL MEDIA USE; E-PARTICIPATION; CHALLENGES; EPARTICIPATION; TRANSPARENCY; ALTERNATIVES; TECHNOLOGY; MOTIVATION; NETWORKS"/>
    <s v="If strategically implemented, crowdsourcing helps capture the intelligence of a variety of e -participation actors, enabling them to share the leading role with the government in decision -making processes. The objective is to elaborate an original crowdsourcing framework applied to strategic digital city projects. The research methodology is exploratory and descriptive. On the one hand, the model supports a systematic analysis of empowerment degrees of the e-participation actors to initiate task and innovation-oriented spontaneous crowdsourcing activities for solving wicked problems. On the other hand, strategic digital city projects play the role of passively monitoring spontaneous crowdsourcing activities, and actively planning and implementing gov-ernment initiatives. The conclusion shows that the framework can encourage local governments to identify talents, influencers, and partners among different stakeholders - to discover what moti-vates them to participate and the rewards they expect - thus evolving strategies to welcome innovative projects, processes, products, and ideas in a continuous learning cycle."/>
    <s v="[Flores, Carla Cavichiolo; Rezende, Denis Alcides] Pontificia Univ Catolica Parana PUCPR, Urban Management Postgrad Program, Curitiba, Brazil"/>
    <s v="Pontificia Universidade Catolica do Parana"/>
    <s v="Rezende, DA (corresponding author), Pontificia Univ Catolica Parana PUCPR, Urban Management Postgrad Program, Curitiba, Brazil."/>
    <s v="carla@copta.com.br; denis.rezende@pucpr.br"/>
    <s v=""/>
    <s v="Rezende, Denis Alcides/0000-0002-3327-0424"/>
    <s v=""/>
    <s v=""/>
    <s v=""/>
    <s v=""/>
    <n v="86"/>
    <n v="1"/>
    <n v="1"/>
    <n v="2"/>
    <n v="5"/>
    <s v="ELSEVIER"/>
    <s v="AMSTERDAM"/>
    <s v="RADARWEG 29, 1043 NX AMSTERDAM, NETHERLANDS"/>
    <s v="2226-5856"/>
    <s v="2589-0360"/>
    <s v=""/>
    <s v="J URBAN MANAG"/>
    <s v="J. Urban Manag."/>
    <s v="DEC"/>
    <n v="2022"/>
    <n v="11"/>
    <n v="4"/>
    <s v=""/>
    <s v=""/>
    <s v=""/>
    <s v=""/>
    <n v="467"/>
    <n v="478"/>
    <s v=""/>
    <s v="10.1016/j.jum.2022.08.004"/>
    <s v="http://dx.doi.org/10.1016/j.jum.2022.08.004"/>
    <s v=""/>
    <s v="NOV 2022"/>
    <n v="12"/>
    <s v="Urban Studies"/>
    <x v="3"/>
    <s v="Urban Studies"/>
    <s v="6W6FF"/>
    <s v=""/>
    <s v="Green Published"/>
    <s v=""/>
    <s v=""/>
    <s v="2023-11-15"/>
    <x v="401"/>
    <s v="View Full Record in Web of Science"/>
  </r>
  <r>
    <s v="J"/>
    <s v="Flores-Vivar, JM; Zaharía, AM"/>
    <s v=""/>
    <s v=""/>
    <s v=""/>
    <s v="Flores-Vivar, Jesus Miguel; Zaharia, Ana Maria"/>
    <s v=""/>
    <s v=""/>
    <s v="The praxis of clickbait and The Trust Project: Risks and challenges for Spanish digital newspapers"/>
    <s v="ANALISI-QUADERNS DE COMUNICACIO I CULTURA"/>
    <s v=""/>
    <s v=""/>
    <s v="Spanish"/>
    <x v="0"/>
    <s v=""/>
    <s v=""/>
    <s v=""/>
    <s v=""/>
    <s v=""/>
    <s v="clickbait; fake news; The Trust Project; misinformation; cybermedia"/>
    <s v="MEDIA"/>
    <s v="This paper analyses clickbait as an extra-journalistic viral technique and strategy of digital news media aiming to attract readers. It studies the effects of clickbait and identifies the stylistic techniques most frequently used in Spanish digital newspapers. Clickbait is growing exponentially in news media, in many cases to the detriment of the quality of the information provided. Thus, this study also looks at the adoption by the media of The Trust Project model, a system of trust indicators that aims to counteract the pernicious effects of fake news generated, very often, by the use of clickbait. The study analysed the ten digital newspapers in Spain with the highest readership according to the Reuters Institute (2020). A dual methodology was used: qualitative, focused on the analysis of academic and scientific works on clickbait and the transparency standards of The Trust Project against disinformation; and quantitative. Empirical research on 'bait' headlines found the use of clickbait in 505 out of 1321 news headlines, which suggests a high presence of clickbait content in the selected digital media. It is therefore a key tool for attracting readers, although less common in digital newspapers that have signed up to The Trust Project. The paper reveals, among other findings, that Spanish digital newspapers do not generate dicks through high quality content, but rather through the creation of suspense, exaggeration or lurid subject-matter in the information they publish. Among the paper's conclusions is the dear need for further academic research in this field, to improve strategic digital culture in journalism and communication studies."/>
    <s v="[Flores-Vivar, Jesus Miguel] Univ Complutense Madrid, Madrid, Spain; [Zaharia, Ana Maria] Univ Rey Juan Carlos, Madrid, Spain"/>
    <s v="Complutense University of Madrid; Universidad Rey Juan Carlos"/>
    <s v="Flores-Vivar, JM (corresponding author), Univ Complutense Madrid, Madrid, Spain."/>
    <s v="jmflores@ucm.es; anamaria.zaharia@urjc.es"/>
    <s v=""/>
    <s v=""/>
    <s v=""/>
    <s v=""/>
    <s v=""/>
    <s v=""/>
    <n v="32"/>
    <n v="1"/>
    <n v="1"/>
    <n v="3"/>
    <n v="8"/>
    <s v="UNIV AUTONOMA BARCELONA"/>
    <s v="CERDANYOLA DEL VALLES, BARCELONA"/>
    <s v="VICERECTORAT RELACIONS INSTITUCIONALS &amp; CULTURA, UNIV VALENCIA, VICERECTORAT INVESTIGACIO, CERDANYOLA DEL VALLES, BARCELONA, 08193, SPAIN"/>
    <s v="0211-2175"/>
    <s v="2340-5236"/>
    <s v=""/>
    <s v="ANALISI"/>
    <s v="Analisi"/>
    <s v="NOV"/>
    <n v="2022"/>
    <s v=""/>
    <s v=""/>
    <s v=""/>
    <s v=""/>
    <s v="SI"/>
    <s v=""/>
    <n v="5"/>
    <n v="23"/>
    <s v=""/>
    <s v="10.5565/rev/analisi.3463"/>
    <s v="http://dx.doi.org/10.5565/rev/analisi.3463"/>
    <s v=""/>
    <s v=""/>
    <n v="19"/>
    <s v="Communication"/>
    <x v="3"/>
    <s v="Communication"/>
    <s v="6Z6US"/>
    <s v=""/>
    <s v="Green Submitted, gold"/>
    <s v=""/>
    <s v=""/>
    <s v="2023-11-15"/>
    <x v="402"/>
    <s v="View Full Record in Web of Science"/>
  </r>
  <r>
    <s v="J"/>
    <s v="Karimikia, H; Bradshaw, R; Singh, H; Ojo, A; Donnellan, B; Guerin, M"/>
    <s v=""/>
    <s v=""/>
    <s v=""/>
    <s v="Karimikia, Hadi; Bradshaw, Robert; Singh, Harminder; Ojo, Adegboyega; Donnellan, Brian; Guerin, Michael"/>
    <s v=""/>
    <s v=""/>
    <s v="An emergent taxonomy of boundary spanning in the smart city context-The case of smart Dublin"/>
    <s v="TECHNOLOGICAL FORECASTING AND SOCIAL CHANGE"/>
    <s v=""/>
    <s v=""/>
    <s v="English"/>
    <x v="0"/>
    <s v=""/>
    <s v=""/>
    <s v=""/>
    <s v=""/>
    <s v=""/>
    <s v="Smart city; Governance; Boundary spanning; Taxonomy"/>
    <s v="KNOWLEDGE TRANSFORMATION; INTEGRATIVE FRAMEWORK; OPEN INNOVATION; ECO-CITY; CITIES; GOVERNANCE; WORK; ORGANIZATIONS; PARTICIPATION; PERFORMANCE"/>
    <s v="Smart cities emphasize the use of advanced technology to deliver better services to and improve the well-being of their residents. Since the administrative authorities that manage cities often lack the knowledge and skills needed to transform their operations in this way, smart city initiatives usually involve a complex set of actors, from local urban authorities and their technical departments to small and large IT firms, academics, and civic organizations, as well as individual citizens. Mediating organizations are often set up to coordinate and manage such interactions. However, little is known about the roles and activities of such bodies. Using data from the Dublin smart city projects, this study draws on the concept of boundary spanning to develop a taxonomy of the work of such intermediaries. Divided into technical, political, social, and cultural domains, the study demonstrates the critical role of the work done by such bodies in enhancing collaboration among and the participation of a diverse group of citizens, IT and digital strategy departments of local authorities, universities and local/international IT companies (e.g., Google, Facebook or Airbnb), leading to a bottom-up governance style of leading smart city initiatives and projects."/>
    <s v="[Karimikia, Hadi] Natl Univ Ireland, Lero Irish Software Res Ctr, Univ Coll Cork, Cork, Cork, Ireland; [Bradshaw, Robert] Maynooth Univ, Sci Fdn Ireland SFI, Maynooth, Kildare, Ireland; [Singh, Harminder] Auckland Univ Technol, AUT Business Sch, Business Informat Syst Dept, Auckland, New Zealand; [Ojo, Adegboyega] Carleton Univ, Sch Publ Policy &amp; Adm, Fac Publ Affairs, Ottawa, ON, Canada; [Ojo, Adegboyega; Donnellan, Brian] Maynooth Univ, Sch Business, Maynooth, Kildare, Ireland; [Donnellan, Brian] Maynooth Univ, Innovat Value Inst, Maynooth, Kildare, Ireland; [Guerin, Michael] Dublins Smart City Testbed Smart Docklands, Dublin, Co Dublin, Ireland"/>
    <s v="University College Cork; Maynooth University; Auckland University of Technology; Carleton University; Maynooth University; Maynooth University"/>
    <s v="Karimikia, H (corresponding author), Natl Univ Ireland, Lero Irish Software Res Ctr, Univ Coll Cork, Cork, Cork, Ireland."/>
    <s v="hkarimikia@ucc.ie; robert.bradshaw@mu.ie; harminder.singh@aut.ac.nz; adegboyega.ojo@carelton.ca; brian.donnellan@mu.ie; michael@smartdocklands.ie"/>
    <s v="Singh, Harminder/AAY-4506-2021"/>
    <s v="Singh, Harminder/0000-0001-7335-035X"/>
    <s v=""/>
    <s v=""/>
    <s v=""/>
    <s v=""/>
    <n v="163"/>
    <n v="1"/>
    <n v="1"/>
    <n v="5"/>
    <n v="11"/>
    <s v="ELSEVIER SCIENCE INC"/>
    <s v="NEW YORK"/>
    <s v="STE 800, 230 PARK AVE, NEW YORK, NY 10169 USA"/>
    <s v="0040-1625"/>
    <s v="1873-5509"/>
    <s v=""/>
    <s v="TECHNOL FORECAST SOC"/>
    <s v="Technol. Forecast. Soc. Chang."/>
    <s v="DEC"/>
    <n v="2022"/>
    <n v="185"/>
    <s v=""/>
    <s v=""/>
    <s v=""/>
    <s v=""/>
    <s v=""/>
    <s v=""/>
    <s v=""/>
    <n v="122100"/>
    <s v="10.1016/j.techfore.2022.122100"/>
    <s v="http://dx.doi.org/10.1016/j.techfore.2022.122100"/>
    <s v=""/>
    <s v="OCT 2022"/>
    <n v="22"/>
    <s v="Business; Regional &amp; Urban Planning"/>
    <x v="0"/>
    <s v="Business &amp; Economics; Public Administration"/>
    <s v="8C5SO"/>
    <s v=""/>
    <s v="Green Accepted"/>
    <s v=""/>
    <s v=""/>
    <s v="2023-11-15"/>
    <x v="403"/>
    <s v="View Full Record in Web of Science"/>
  </r>
  <r>
    <s v="J"/>
    <s v="Christodoulou, IP; Wasim, J; Reinhardt, RJ; Ivanov, K"/>
    <s v=""/>
    <s v=""/>
    <s v=""/>
    <s v="Christodoulou, Ioannis P.; Wasim, Jahangir; Reinhardt, Robert J.; Ivanov, Kirill"/>
    <s v=""/>
    <s v=""/>
    <s v="The strategic role of middle managers in the formulation and implementation of digital transformation projects"/>
    <s v="STRATEGIC CHANGE-BRIEFINGS IN ENTREPRENEURIAL FINANCE"/>
    <s v=""/>
    <s v=""/>
    <s v="English"/>
    <x v="0"/>
    <s v=""/>
    <s v=""/>
    <s v=""/>
    <s v=""/>
    <s v=""/>
    <s v=""/>
    <s v="INNOVATION; MODEL; ORGANIZATIONS; TECHNOLOGY"/>
    <s v="Middle managers play a crucial role in implementing digital strategy. They directly influence the success or failure of an organization's digital transformation. They are the enablers of digital strategy implementation and company transformation and sometimes can cast a sabotaging shadow side when not involved and engaged in the process. However, there are ways to engage them and divert their sabotaging behavior."/>
    <s v="[Christodoulou, Ioannis P.] Univ Westminster, London, England; [Wasim, Jahangir] Heriot Watt Univ Malaysia, Business &amp; Managment, Putrajaya, Malaysia; [Reinhardt, Robert J.] Sustainable Business Consultancy &amp; Res, Hohenzollernpl 7, D-53173 Bonn, Germany; [Ivanov, Kirill] St Petersburg State Univ, St Petersburg, Russia"/>
    <s v="University of Westminster; Heriot Watt University; Saint Petersburg State University"/>
    <s v="Reinhardt, RJ (corresponding author), Sustainable Business Consultancy &amp; Res, Hohenzollernpl 7, D-53173 Bonn, Germany."/>
    <s v="rr.robert.reinhardt@gmail.com"/>
    <s v=""/>
    <s v="Wasim, Jahangir/0000-0001-5699-9755"/>
    <s v=""/>
    <s v=""/>
    <s v=""/>
    <s v=""/>
    <n v="61"/>
    <n v="1"/>
    <n v="1"/>
    <n v="5"/>
    <n v="19"/>
    <s v="JOHN WILEY &amp; SONS LTD"/>
    <s v="CHICHESTER"/>
    <s v="THE ATRIUM, SOUTHERN GATE, CHICHESTER PO19 8SQ, W SUSSEX, ENGLAND"/>
    <s v="1086-1718"/>
    <s v="1099-1697"/>
    <s v=""/>
    <s v="STRATEG CHANG"/>
    <s v="Strateg. Chang."/>
    <s v="NOV"/>
    <n v="2022"/>
    <n v="31"/>
    <n v="6"/>
    <s v=""/>
    <s v=""/>
    <s v="SI"/>
    <s v=""/>
    <n v="613"/>
    <n v="622"/>
    <s v=""/>
    <s v="10.1002/jsc.2528"/>
    <s v="http://dx.doi.org/10.1002/jsc.2528"/>
    <s v=""/>
    <s v="OCT 2022"/>
    <n v="10"/>
    <s v="Business, Finance"/>
    <x v="3"/>
    <s v="Business &amp; Economics"/>
    <s v="5Z8FZ"/>
    <s v=""/>
    <s v="Green Published, Green Submitted"/>
    <s v=""/>
    <s v=""/>
    <s v="2023-11-15"/>
    <x v="404"/>
    <s v="View Full Record in Web of Science"/>
  </r>
  <r>
    <s v="J"/>
    <s v="Ibidunni, AS; Ayeni, AWA; Ogundana, OM; Otokiti, B; Mohalajeng, L"/>
    <s v=""/>
    <s v=""/>
    <s v=""/>
    <s v="Ibidunni, Ayodotun Stephen; Ayeni, Adebanji William Adejuwon; Ogundana, Oyedele Martins; Otokiti, Bisayo; Mohalajeng, Lerato"/>
    <s v=""/>
    <s v=""/>
    <s v="Survival during Times of Disruptions: Rethinking Strategies for Enabling Business Viability in the Developing Economy"/>
    <s v="SUSTAINABILITY"/>
    <s v=""/>
    <s v=""/>
    <s v="English"/>
    <x v="0"/>
    <s v=""/>
    <s v=""/>
    <s v=""/>
    <s v=""/>
    <s v=""/>
    <s v="environmental disruptions; small business survival; business environment; epidemics; pandemics; developing economies"/>
    <s v="DATA ARTICLE; ENTREPRENEURSHIP; PERFORMANCE; RESILIENCE; PERSPECTIVE; ENTERPRISES; MANAGEMENT; COVID-19; BARRIERS; MARKET"/>
    <s v="There exists a noticeable void in the literature about strategies that business operators, especially those in highly vulnerable economies, can adapt to sustain their survival and to achieve growth in economically turbulent times. This study investigated strategies that can support the viability and survival of businesses in times of environmental disruptions. The study adopted a qualitative research design that involved the interview of 31 business owners across different sectoral groups including fashion and telecommunication that are operating in Nigeria's Small and Medium Enterprises (SMEs) sector. The interview sessions were audio recorded, transcribed verbatim and thematically analysed. The findings reveal that amid disruptions, the business owners were resilient and established diverse digital strategies that helped them to keep their businesses afloat throughout the time of disruption. This finding contributes to the field of entrepreneurship as it offers practical strategies for supporting business owners during times of disruptions, especially in a developing country context."/>
    <s v="[Ibidunni, Ayodotun Stephen] Chrisl Univ, Dept Business Adm, Abeokuta 110118, Nigeria; [Ibidunni, Ayodotun Stephen] Shaveh Consulting, Int Ctr Policy Res &amp; Ind Linkages ICePRIL, Lagos 106104, Nigeria; [Ibidunni, Ayodotun Stephen] Covenant Univ, Ctr Econ Policy &amp; Dev Res CEPDeR, Ota 112104, Nigeria; [Ayeni, Adebanji William Adejuwon] Landmark Univ, Dept Business Adm, Omu Aran 251103, Nigeria; [Ogundana, Oyedele Martins] Nottingham Trent Univ, Accounting &amp; Finance Dept, Nottingham NG1 4FQ, England; [Otokiti, Bisayo] Kwara State Univ, Dept Business &amp; Entrepreneurship, Malete 241103, Nigeria; [Mohalajeng, Lerato] North West Univ, Dept Business Management, ZA-2531 Potchefstroom, South Africa"/>
    <s v="Covenant University; Landmark University; Nottingham Trent University; North West University - South Africa"/>
    <s v="Ibidunni, AS (corresponding author), Chrisl Univ, Dept Business Adm, Abeokuta 110118, Nigeria.;Ibidunni, AS (corresponding author), Shaveh Consulting, Int Ctr Policy Res &amp; Ind Linkages ICePRIL, Lagos 106104, Nigeria.;Ibidunni, AS (corresponding author), Covenant Univ, Ctr Econ Policy &amp; Dev Res CEPDeR, Ota 112104, Nigeria."/>
    <s v="aibidunni@chrislanduniversity.edu.ng"/>
    <s v="Ogundana, Oyedele Martins/R-9840-2018; Ayeni, Adebanji Adejuwon Ayobami William/R-4754-2017"/>
    <s v="Ogundana, Oyedele Martins/0000-0002-0121-7231; Ibidunni, Ayodotun Stephen/0000-0001-5790-3508; Ayeni, Adebanji Adejuwon Ayobami William/0000-0002-2409-0835"/>
    <s v=""/>
    <s v=""/>
    <s v=""/>
    <s v=""/>
    <n v="77"/>
    <n v="1"/>
    <n v="1"/>
    <n v="4"/>
    <n v="15"/>
    <s v="MDPI"/>
    <s v="BASEL"/>
    <s v="ST ALBAN-ANLAGE 66, CH-4052 BASEL, SWITZERLAND"/>
    <s v=""/>
    <s v="2071-1050"/>
    <s v=""/>
    <s v="SUSTAINABILITY-BASEL"/>
    <s v="Sustainability"/>
    <s v="OCT"/>
    <n v="2022"/>
    <n v="14"/>
    <n v="20"/>
    <s v=""/>
    <s v=""/>
    <s v=""/>
    <s v=""/>
    <s v=""/>
    <s v=""/>
    <n v="13549"/>
    <s v="10.3390/su142013549"/>
    <s v="http://dx.doi.org/10.3390/su142013549"/>
    <s v=""/>
    <s v=""/>
    <n v="14"/>
    <s v="Green &amp; Sustainable Science &amp; Technology; Environmental Sciences; Environmental Studies"/>
    <x v="1"/>
    <s v="Science &amp; Technology - Other Topics; Environmental Sciences &amp; Ecology"/>
    <s v="5P8DU"/>
    <s v=""/>
    <s v="Green Accepted, gold"/>
    <s v=""/>
    <s v=""/>
    <s v="2023-11-15"/>
    <x v="405"/>
    <s v="View Full Record in Web of Science"/>
  </r>
  <r>
    <s v="J"/>
    <s v="Chapano, M; Mey, MR; Werner, A"/>
    <s v=""/>
    <s v=""/>
    <s v=""/>
    <s v="Chapano, Munodani; Mey, Michelle R.; Werner, Amanda"/>
    <s v=""/>
    <s v=""/>
    <s v="Adoption of digital strategies across the human resource value chain"/>
    <s v="SA JOURNAL OF HUMAN RESOURCE MANAGEMENT"/>
    <s v=""/>
    <s v=""/>
    <s v="English"/>
    <x v="0"/>
    <s v=""/>
    <s v=""/>
    <s v=""/>
    <s v=""/>
    <s v=""/>
    <s v="HRM digitalisation; digital HRM technologies; HR value chain; digital HRM strategies; organisational objectives/performance; South Africa"/>
    <s v="E-HRM; MANAGEMENT; PERFORMANCE; FUTURE; IMPACT"/>
    <s v="Orientation: Digital technologies are transforming the way business functions operate, and this also applies to the human resource management (HRM) function. Research purpose: The purpose of this study is to determine the extent to which South African organisations have adopted digital HRM strategies across the human resource (HR) value chain and the extent to which these digital strategies are perceived to contribute to the achievement of business objectives. Motivation for the study: This study provides an indication of the trend of the adoption of digital HRM strategies and whether the digital strategies support business goals. Research approach/design and method: A quantitative research design using a cross-sectional survey was used. Data were collected by means of a survey with a questionnaire from 312 HRM professionals and line managers in the automotive industry in the Eastern Cape Province of South Africa. Purposive and snowball sampling was used, and data were analysed using exploratory factor analysis (EFA), descriptive, paired-sample tests, Pearson correlations and regression analysis. Main flndings: The findings of this study indicate that Digital HRM Strategies have been moderately adopted across the HR value chain. The perceived contribution of these digital strategies towards attainment of business objectives was high. Practical/managerial implications: Constraints such as lack of digital skills by HRM practitioners, which hinder the adoption of digital HRM strategies across the HR value chain, should be addressed. Contribution/value-add: This research assists HRM practitioners and leaders in South Africa regarding which digital strategies to adopt to contribute to the achievement of organisational objectives."/>
    <s v="[Chapano, Munodani; Mey, Michelle R.; Werner, Amanda] Nelson Mandela Univ, Fac Business &amp; Econ Sci, Dept Human Resources Management, Gqeberha, South Africa"/>
    <s v="Nelson Mandela University"/>
    <s v="Chapano, M (corresponding author), Nelson Mandela Univ, Fac Business &amp; Econ Sci, Dept Human Resources Management, Gqeberha, South Africa."/>
    <s v="mchapano@gmail.com"/>
    <s v="Chapano, Munodani/HNQ-6327-2023"/>
    <s v="Chapano, Munodani/0000-0003-4417-5964; Werner, Amanda/0000-0002-6849-6781; Mey, Michelle/0000-0001-5093-2162"/>
    <s v=""/>
    <s v=""/>
    <s v=""/>
    <s v=""/>
    <n v="58"/>
    <n v="1"/>
    <n v="1"/>
    <n v="13"/>
    <n v="22"/>
    <s v="AOSIS"/>
    <s v="Durbanville"/>
    <s v="Postnet Suite 110, Private Bag x 19, Durbanville, SOUTH AFRICA"/>
    <s v="1683-7584"/>
    <s v="2071-078X"/>
    <s v=""/>
    <s v="SA J HUM RESOUR MANA"/>
    <s v="SA J. Hum. Resour. Manag."/>
    <s v="SEP 22"/>
    <n v="2022"/>
    <n v="20"/>
    <s v=""/>
    <s v=""/>
    <s v=""/>
    <s v=""/>
    <s v=""/>
    <s v=""/>
    <s v=""/>
    <s v="a1992"/>
    <s v="10.4102/sajhrm.v20i0.1992"/>
    <s v="http://dx.doi.org/10.4102/sajhrm.v20i0.1992"/>
    <s v=""/>
    <s v=""/>
    <n v="12"/>
    <s v="Management"/>
    <x v="3"/>
    <s v="Business &amp; Economics"/>
    <s v="5N0QO"/>
    <s v=""/>
    <s v="gold"/>
    <s v=""/>
    <s v=""/>
    <s v="2023-11-15"/>
    <x v="406"/>
    <s v="View Full Record in Web of Science"/>
  </r>
  <r>
    <s v="J"/>
    <s v="Guo, Y; Zou, TT; Shan, ZW"/>
    <s v=""/>
    <s v=""/>
    <s v=""/>
    <s v="Guo, Yi; Zou, Tingting; Shan, Ziwei"/>
    <s v=""/>
    <s v=""/>
    <s v="Taxation strategies for the governance of digital business model-An example of China"/>
    <s v="FRONTIERS IN PSYCHOLOGY"/>
    <s v=""/>
    <s v=""/>
    <s v="English"/>
    <x v="0"/>
    <s v=""/>
    <s v=""/>
    <s v=""/>
    <s v=""/>
    <s v=""/>
    <s v="tax strategy management; digital business model; operations; digital ecosystem; digital technology"/>
    <s v="SERVICES TAX"/>
    <s v="The digital business model emerges as a new business model and gradually penetrates global industries, and countries are putting in place various digital strategies to support their development. As one of the important tools, taxation strategies are highly expected by countries, which not only describe the economic development pattern of a country but also show the digital leadership of a country. Some countries have introduced their own unilateral digital services tax to govern their digital business models, while others have looked more to the global minimum tax, resulting in the current situation of both a unilateral digital services tax and a global minimum tax. However, both of them are of great reference value for the tax governance of digital business models. This paper compares the development history of digital tax strategies, categorizes, and analyzes the design logic of existing digital tax strategies, and takes China, one of the major digital economy countries, as an example to propose China's digital tax strategies by drawing on international experience. We set an example for the design of digital economy tax strategies for countries around the world so that they can manage digital business models more efficiently."/>
    <s v="[Guo, Yi; Shan, Ziwei] Beijing Technol &amp; Business Univ, Sch Int Econ &amp; Management, Beijing, Peoples R China; [Zou, Tingting] Beijing Technol &amp; Business Univ, Sch Econ, Beijing, Peoples R China"/>
    <s v="Beijing Technology &amp; Business University; Beijing Technology &amp; Business University"/>
    <s v="Shan, ZW (corresponding author), Beijing Technol &amp; Business Univ, Sch Int Econ &amp; Management, Beijing, Peoples R China."/>
    <s v="shanzw@th.btbu.edu.cn"/>
    <s v=""/>
    <s v=""/>
    <s v="National Social Science Foundation of China; [21AGL012]"/>
    <s v="National Social Science Foundation of China(National Office of Philosophy and Social Sciences);"/>
    <s v="Funding Thanks to the support of the key project of the National Social Science Foundation of China (21AGL012)."/>
    <s v=""/>
    <n v="14"/>
    <n v="1"/>
    <n v="1"/>
    <n v="19"/>
    <n v="49"/>
    <s v="FRONTIERS MEDIA SA"/>
    <s v="LAUSANNE"/>
    <s v="AVENUE DU TRIBUNAL FEDERAL 34, LAUSANNE, CH-1015, SWITZERLAND"/>
    <s v="1664-1078"/>
    <s v=""/>
    <s v=""/>
    <s v="FRONT PSYCHOL"/>
    <s v="Front. Psychol."/>
    <s v="SEP 22"/>
    <n v="2022"/>
    <n v="13"/>
    <s v=""/>
    <s v=""/>
    <s v=""/>
    <s v=""/>
    <s v=""/>
    <s v=""/>
    <s v=""/>
    <n v="1013228"/>
    <s v="10.3389/fpsyg.2022.1013228"/>
    <s v="http://dx.doi.org/10.3389/fpsyg.2022.1013228"/>
    <s v=""/>
    <s v=""/>
    <n v="11"/>
    <s v="Psychology, Multidisciplinary"/>
    <x v="0"/>
    <s v="Psychology"/>
    <s v="6Q1XE"/>
    <n v="36211899"/>
    <s v="gold, Green Published"/>
    <s v=""/>
    <s v=""/>
    <s v="2023-11-15"/>
    <x v="407"/>
    <s v="View Full Record in Web of Science"/>
  </r>
  <r>
    <s v="J"/>
    <s v="Nakamura, CA; Scazufca, M; Moretti, FA; Didone, TVN; Martins, MMD; Pereira, LA; de Souza, CHQ; de Oliveira, GM; da Costa, MO; Machado, M; Bitencourt, ED; dos Santos, MS; Murdoch, J; van de Ven, P; Seward, N; Hollingworth, W; Peters, TJ; Araya, R"/>
    <s v=""/>
    <s v=""/>
    <s v=""/>
    <s v="Nakamura, Carina Akemi; Scazufca, Marcia; Moretti, Felipe Azevedo; Nadaleto Didone, Thiago Vinicius; de Sa Martins, Mariana Mendes; Pereira, Luara Aragoni; Queiroz de Souza, Caio Hudson; de Oliveira, Gabriel Macias; da Costa, Marcelo Oliveira; Machado, Marcelo; Bitencourt, Evelyn da Silva; dos Santos, Monica Souza; Murdoch, Jamie; van de Ven, Pepijn; Seward, Nadine; Hollingworth, William; Peters, Tim J.; Araya, Ricardo"/>
    <s v=""/>
    <s v=""/>
    <s v="Digital psychosocial intervention for depression among older adults in socioeconomically deprived areas in Brazil (PRODIGITAL-D): protocol for an individually randomised controlled trial"/>
    <s v="TRIALS"/>
    <s v=""/>
    <s v=""/>
    <s v="English"/>
    <x v="0"/>
    <s v=""/>
    <s v=""/>
    <s v=""/>
    <s v=""/>
    <s v=""/>
    <s v="Randomised controlled trial; Process evaluation; Depression; Digital intervention; Psychosocial intervention; Behavioural activation; Psychoeducation; Low- and middle-income countries; Brazil"/>
    <s v="PRIMARY-CARE; LOW-INCOME; SYMPTOMS; VALIDITY; PHQ-9"/>
    <s v="Background Depression in older adults is a challenge for health systems in most low- and middle-income countries (LMICs). Digital strategies for the management of this condition have been emerging worldwide, but the effectiveness of most of them is still unclear, especially among older adults. Thus, we aim to assess the effectiveness and cost-effectiveness of a digital psychosocial intervention to treat depression among older adults living in socioeconomically deprived areas in Guarulhos, Brazil. Methods We will conduct a two-arm individually randomised controlled trial with 1:1 allocation ratio. Five hundred older adults aged 60 years or over with depressive symptomatology (9-item Patient Health Questionnaire score, PHQ-9 &gt;= 10) and registered with one of the primary care clinics will be recruited to participate in this study. A 6-week digital psychosocial programme, named Viva Vida, will be delivered via WhatsApp to participants allocated to the intervention arm. The Viva Vida will send psychoeducational and behavioural activation audio and visual messages 4 days a week for 6 weeks. The control arm will only receive a single message with general information about depression. The primary outcome will be the proportion of depression recovery (PHQ-9 &lt; 10) assessed at 3 months. The cost-effectiveness of the intervention will be assessed at 5 months. A detailed process evaluation will be used to explore context and important implementation outcomes. Discussion This programme was based on the PROACTIVE intervention and designed to be delivered without face-to-face contact. If effective, it could be a simple treatment option, appropriate not only when social distancing is required, but it could also be included as a regular public health programme to initiate depression treatment, particularly in LMICs where resources allocated to mental health are scarce."/>
    <s v="[Nakamura, Carina Akemi; Scazufca, Marcia; Moretti, Felipe Azevedo; Nadaleto Didone, Thiago Vinicius; de Sa Martins, Mariana Mendes; Queiroz de Souza, Caio Hudson; de Oliveira, Gabriel Macias; da Costa, Marcelo Oliveira; dos Santos, Monica Souza] Univ Sao Paulo, Fac Med FMUSP, Dept Psiquiatria, Sao Paulo, Brazil; [Pereira, Luara Aragoni] Univ Sao Paulo, Fac Med, Hosp Clin HCF MUSP, Inst Psiquiatria, Sao Paulo, Brazil; [Machado, Marcelo] Debase Audiovisual, Sao Paulo, Brazil; [Bitencourt, Evelyn da Silva] Univ Sao Paulo, Fac Arquitetura &amp; Urbanismo FAU, Sao Paulo, Brazil; [Murdoch, Jamie] Kings Coll London, Dept Populat Hlth Sci, London, England; [van de Ven, Pepijn] Univ Limerick, Hlth Res Inst, Limerick, Ireland; [Seward, Nadine; Araya, Ricardo] Kings Coll London, Inst Psychiat Psychol &amp; Neurosci, Hlth Serv &amp; Populat Res, London, England; [Hollingworth, William] Univ Bristol, Bristol Med Sch, Hlth Econ Bristol, Populat Hlth Sci, Bristol, Avon, England; [Peters, Tim J.] Univ Bristol, Populat Hlth Sci, Bristol Med Sch, Bristol, Avon, England; [Peters, Tim J.] Univ Bristol, Bristol Dent Sch, Bristol, Avon, England"/>
    <s v="Universidade de Sao Paulo; Universidade de Sao Paulo; Universidade de Sao Paulo; University of London; King's College London; University of Limerick; University of London; King's College London; University of Bristol; University of Bristol; University of Bristol"/>
    <s v="Scazufca, M (corresponding author), Univ Sao Paulo, Fac Med FMUSP, Dept Psiquiatria, Sao Paulo, Brazil."/>
    <s v="scazufca@usp.br; ricardo.araya@kcl.ac.uk"/>
    <s v="Peters, Tim/HNI-2741-2023; Scazufca, Marcia/K-7418-2012; Bitencourt, Evelyn/AGY-7211-2022"/>
    <s v="Peters, Tim/0000-0003-2881-4180; Scazufca, Marcia/0000-0002-4545-006X; Nakamura, Carina Akemi/0000-0002-4761-4486; Araya, Ricardo/0000-0002-0420-5148; Seward, Nadine/0000-0002-4821-9437; Hollingworth, William/0000-0002-0840-6254; Murdoch, Jamie/0000-0002-9021-3629; Azevedo Moretti, Felipe/0000-0002-9747-7790"/>
    <s v="Sao Paulo Research Foundation (FAPESP) [2017/50094-2]; Joint Global Health Trials initiative - Medical Research Council; Wellcome Trust; UK Department for International Development (MRC) [MR/R006229/1]; FAPESP [2018/19343-9, 2020/02272-1, 2021/04493-8, 2021/03849-3, 2020/14504-4, 2021/04230-7, 2020/14768-1, 2021/10148-1]; CNPq-Brazil [307579/2019-0]"/>
    <s v="Sao Paulo Research Foundation (FAPESP)(Fundacao de Amparo a Pesquisa do Estado de Sao Paulo (FAPESP)); Joint Global Health Trials initiative - Medical Research Council; Wellcome Trust(Wellcome Trust); UK Department for International Development (MRC); FAPESP(Fundacao de Amparo a Pesquisa do Estado de Sao Paulo (FAPESP)); CNPq-Brazil(Conselho Nacional de Desenvolvimento Cientifico e Tecnologico (CNPQ))"/>
    <s v="This study was funded by Sao Paulo Research Foundation (FAPESP, process number 2017/50094-2) and the Joint Global Health Trials initiative jointly funded by Medical Research Council, Wellcome Trust, and the UK Department for International Development (MRC, process number MR/R006229/1). FAPESP supported CAN (2018/19343-9), FAM (2020/02272-1), TVND (2021/04493-8), MMSM (2021/03849-3), CHQS (2020/14504-4), GMO (2021/04230-7), MOC (2020/14768-1), and MSS (2021/10148-1). MS is supported by CNPq-Brazil (307579/2019-0). For the purpose of open access, the authors have applied a CC BY public copyright licence to any Author Accepted Manuscript version arising from this submission. The funding bodies did not have any role in the design of the study or data collection, analyses, or interpretation of the data or in writing the manuscript."/>
    <s v=""/>
    <n v="37"/>
    <n v="1"/>
    <n v="1"/>
    <n v="0"/>
    <n v="1"/>
    <s v="BMC"/>
    <s v="LONDON"/>
    <s v="CAMPUS, 4 CRINAN ST, LONDON N1 9XW, ENGLAND"/>
    <s v=""/>
    <s v="1745-6215"/>
    <s v=""/>
    <s v="TRIALS"/>
    <s v="Trials"/>
    <s v="SEP 7"/>
    <n v="2022"/>
    <n v="23"/>
    <n v="1"/>
    <s v=""/>
    <s v=""/>
    <s v=""/>
    <s v=""/>
    <s v=""/>
    <s v=""/>
    <n v="761"/>
    <s v="10.1186/s13063-022-06623-z"/>
    <s v="http://dx.doi.org/10.1186/s13063-022-06623-z"/>
    <s v=""/>
    <s v=""/>
    <n v="12"/>
    <s v="Medicine, Research &amp; Experimental"/>
    <x v="2"/>
    <s v="Research &amp; Experimental Medicine"/>
    <s v="4I8IC"/>
    <n v="36071463"/>
    <s v="gold, Green Published"/>
    <s v=""/>
    <s v=""/>
    <s v="2023-11-15"/>
    <x v="408"/>
    <s v="View Full Record in Web of Science"/>
  </r>
  <r>
    <s v="J"/>
    <s v="Díaz, GR"/>
    <s v=""/>
    <s v=""/>
    <s v=""/>
    <s v="Ruiz Diaz, Gonzalo"/>
    <s v=""/>
    <s v=""/>
    <s v="Private participation in government-led backbone network projects: Lessons from three Latin American experiments"/>
    <s v="TELECOMMUNICATIONS POLICY"/>
    <s v=""/>
    <s v=""/>
    <s v="English"/>
    <x v="0"/>
    <s v=""/>
    <s v=""/>
    <s v=""/>
    <s v=""/>
    <s v=""/>
    <s v="Backbone network; Public-private partnership; Broadband; Risk allocation"/>
    <s v=""/>
    <s v="This study presents an ex post comparative assessment of the relative performance of three Latin American broadband network emblematic projects implemented through public-private projects (PPP). Results show that the relative performance of these projects is extremely sensitive to differences in contractual design and regulatory approaches applied in each case. The detailed examination and comparative analysis of these experiences allowed us to extract important lessons in terms of design and implementation of PPP in telecommunications sector. In particular, our analysis finds that imperfect financing and demand risk allocations in projects can jeopardize their operational and financial sustainability. As well, the examination of these experiences allows us to conclude that in markets characterized by continuous economic and technological transformations, vertical separation restrictions imposed for reducing the risk of increasing market power and concentration may not be justified. As well, analysis shows that in such evolving contexts, a more flexible and adaptable regulatory approach is recommendable. Finally, our analysis reveals the role of complementary policies in the context of the implementation of countries' digital strategies, as a means that contribute to ensure the accomplishment of broadband accessibility national targets."/>
    <s v="[Ruiz Diaz, Gonzalo] Pontifical Catholic Univ Peru, Dept Econ, Lima, Peru"/>
    <s v="Pontificia Universidad Catolica del Peru"/>
    <s v="Díaz, GR (corresponding author), Pontifical Catholic Univ Peru, Dept Econ, Lima, Peru."/>
    <s v="gruiz@pucp.edu.pe"/>
    <s v="Ruiz Diaz, Gonzalo Martin/AGF-8317-2022"/>
    <s v="Ruiz Diaz, Gonzalo Martin/0000-0001-9972-9181"/>
    <s v=""/>
    <s v=""/>
    <s v=""/>
    <s v=""/>
    <n v="48"/>
    <n v="1"/>
    <n v="1"/>
    <n v="3"/>
    <n v="5"/>
    <s v="ELSEVIER SCI LTD"/>
    <s v="OXFORD"/>
    <s v="THE BOULEVARD, LANGFORD LANE, KIDLINGTON, OXFORD OX5 1GB, OXON, ENGLAND"/>
    <s v="0308-5961"/>
    <s v="1879-3258"/>
    <s v=""/>
    <s v="TELECOMMUN POLICY"/>
    <s v="Telecommun. Policy"/>
    <s v="SEP"/>
    <n v="2022"/>
    <n v="46"/>
    <n v="8"/>
    <s v=""/>
    <s v=""/>
    <s v=""/>
    <s v=""/>
    <s v=""/>
    <s v=""/>
    <n v="102367"/>
    <s v="10.1016/j.telpol.2022.102367"/>
    <s v="http://dx.doi.org/10.1016/j.telpol.2022.102367"/>
    <s v=""/>
    <s v=""/>
    <n v="14"/>
    <s v="Communication; Information Science &amp; Library Science; Telecommunications"/>
    <x v="1"/>
    <s v="Communication; Information Science &amp; Library Science; Telecommunications"/>
    <s v="8T1UH"/>
    <s v=""/>
    <s v=""/>
    <s v=""/>
    <s v=""/>
    <s v="2023-11-15"/>
    <x v="409"/>
    <s v="View Full Record in Web of Science"/>
  </r>
  <r>
    <s v="J"/>
    <s v="Ali, FH; Bandi, S"/>
    <s v=""/>
    <s v=""/>
    <s v=""/>
    <s v="Ali, Faris Hyder; Bandi, Shamsulhadi"/>
    <s v=""/>
    <s v=""/>
    <s v="Correlation between BIM data creation and big data attributes in construction"/>
    <s v="INTERNATIONAL JOURNAL OF CONSTRUCTION MANAGEMENT"/>
    <s v=""/>
    <s v=""/>
    <s v="English"/>
    <x v="2"/>
    <s v=""/>
    <s v=""/>
    <s v=""/>
    <s v=""/>
    <s v=""/>
    <s v="Building information modelling; big data; relationship"/>
    <s v="INTEGRATION; PROJECT; OPPORTUNITIES; TECHNOLOGIES; CAPABILITIES; MANAGEMENT; ANALYTICS; FRAMEWORK; INDUSTRY; DESIGN"/>
    <s v="Considerable effort to leverage digital data was exerted as construction adopts innovative work processes. Among these, Building Information Modelling (BIM) sat at the backbone of digital strategy, with the capability to create huge digital data through its realizable multifunctionality and integration capacity. Ubiquitous to construction, the explosion of huge data through BIM sparked the relevancy of big data. While it was logical that the volume of BIM data swells from the adoption of BIM, a question remains whether the creation of BIM data conjures to big data progression. Hence, this research aimed to examine the relationship between BIM data creation and big data attributes. The study was carried out by a combination of literature reviews and a questionnaire survey. The outcome indicates two groups which are cost and operation and maintenance (OM) data had a very low correlation due to irrefutable reasons, the remaining material, design and schedule data reflected a strong positive relationship. Therefore, the outcome reflects the earlier attestation of the technological fusion in construction."/>
    <s v="[Ali, Faris Hyder; Bandi, Shamsulhadi] Univ Technol Malaysia, Fac Built Environm &amp; Surveying, Johor Baharu, Malaysia"/>
    <s v="Universiti Teknologi Malaysia"/>
    <s v="Ali, FH (corresponding author), Univ Technol Malaysia, Fac Built Environm &amp; Surveying, Johor Baharu, Malaysia."/>
    <s v="faris.ha@graduate.utm.my"/>
    <s v=""/>
    <s v="Hyder Ali, Faris/0000-0001-7780-5577"/>
    <s v="Ministry of Higher Education under the Fundamental Research Grant Scheme (FRGS) [FRGS/1/2019/SS03/UTM/02/4]"/>
    <s v="Ministry of Higher Education under the Fundamental Research Grant Scheme (FRGS)"/>
    <s v="All these works are being supported/funded by Ministry of Higher Education under the Fundamental Research Grant Scheme (FRGS) (FRGS/1/2019/SS03/UTM/02/4)."/>
    <s v=""/>
    <n v="138"/>
    <n v="1"/>
    <n v="1"/>
    <n v="6"/>
    <n v="19"/>
    <s v="TAYLOR &amp; FRANCIS LTD"/>
    <s v="ABINGDON"/>
    <s v="2-4 PARK SQUARE, MILTON PARK, ABINGDON OR14 4RN, OXON, ENGLAND"/>
    <s v="1562-3599"/>
    <s v="2331-2327"/>
    <s v=""/>
    <s v="INT J CONSTR MANAG"/>
    <s v="Int. J. Constr. Manag."/>
    <s v="2022 AUG 29"/>
    <n v="2022"/>
    <s v=""/>
    <s v=""/>
    <s v=""/>
    <s v=""/>
    <s v=""/>
    <s v=""/>
    <s v=""/>
    <s v=""/>
    <s v=""/>
    <s v="10.1080/15623599.2022.2119071"/>
    <s v="http://dx.doi.org/10.1080/15623599.2022.2119071"/>
    <s v=""/>
    <s v="AUG 2022"/>
    <n v="10"/>
    <s v="Management"/>
    <x v="3"/>
    <s v="Business &amp; Economics"/>
    <s v="4K8FH"/>
    <s v=""/>
    <s v=""/>
    <s v=""/>
    <s v=""/>
    <s v="2023-11-15"/>
    <x v="410"/>
    <s v="View Full Record in Web of Science"/>
  </r>
  <r>
    <s v="J"/>
    <s v="Khalili-Mahani, N; Woods, S; Holowka, EM; Pahayahay, A; Roy, M"/>
    <s v=""/>
    <s v=""/>
    <s v=""/>
    <s v="Khalili-Mahani, Najmeh; Woods, Sandra; Holowka, Eileen Mary; Pahayahay, Amber; Roy, Mathieu"/>
    <s v=""/>
    <s v=""/>
    <s v="Toward a digital citizen lab for capturing data about alternative ways of self-managing chronic pain: An attitudinal user study"/>
    <s v="FRONTIERS IN REHABILITATION SCIENCES"/>
    <s v=""/>
    <s v=""/>
    <s v="English"/>
    <x v="0"/>
    <s v=""/>
    <s v=""/>
    <s v=""/>
    <s v=""/>
    <s v=""/>
    <s v="chronic pain; data sharing; citizen science; attitudinal survey study; non-pharmacological pain treatment; mHealth; mixed-methods research; patient-oriented research"/>
    <s v="SCIENCE; HEALTH"/>
    <s v="BackgroundMyriad psychosocial and cultural factors influence personal ways of coping with chronic pain (CP). Mobile health (mHealth) apps facilitate creation of citizen laboratories outside clinical frameworks. However, issues of safety, privacy and technostress must be addressed. This attitudinal user study aimed to assess whether persons with persistent pain (PwPP) would be open to sharing qualitative and quantitative data about their self-management of CP via mHealth platforms. MethodsIn March 2020, we invited PwPPs, their personal or medical caregivers, or those interested in the development of an app for researching alternative ways of self-managing CP to complete an anonymous survey. We formulated an attitudinal survey within the theoretical framework of stress to estimate whether the novelty, unpredictability, and risks of data-sharing via mHealth apps concerned users. Descriptive statistics (% Part/Group) were used to interpret the survey, and open comments were reflectively analyzed to identify emerging themes. ResultsOf 202 responses (June 2021), 127 identified as PwPPs (average age 43.86 +/- 14.97; 100/127 female), and listed several primary and secondary CP diagnoses. In almost 90% of PwPPs, physical and emotional wellbeing were affected by CP. More than 90% of PwPPs used alternative therapies (acupuncture, homeopathy, massage therapy, etc.). Attitude toward mHealth apps were positive even though nearly half of PwPPs were unfamiliar with them. More than 72% of respondents were open to using a health-related app as a research tool for data collection in real life situations. Comprehensive data collection (especially about psychosocial factors) was the most important requirement. More respondents (especially medical professionals) were concerned about health hazards of misinformation communicated via health-related information and communication systems (maximum 80%) than about privacy (maximum 40%). Qualitative analyses revealed several promises and impediments to creation of data-sharing platforms for CP. ConclusionsThis study shows a general willingness among PwPPs to become partners in studying alternative pain management. Despite a generally positive attitude toward the concept of sharing complex personal data to advance research, heterogeneity of attitudes shaped by personal experiences must be considered. Our study underlines the need for any digital strategy for CP research to be person-centered and flexible."/>
    <s v="[Khalili-Mahani, Najmeh] Montreal Neurol Inst, McGill Ctr Integrat Neurosci, Montreal, PQ, Canada; [Khalili-Mahani, Najmeh] Concordia Univ, Fac Fine Arts, Dept Design &amp; Computat Arts, Montreal, PQ, Canada; [Khalili-Mahani, Najmeh] Concordia Univ, PERFORM Ctr, Montreal, PQ, Canada; [Khalili-Mahani, Najmeh; Woods, Sandra; Roy, Mathieu] Quebec Pain Res Network QPRN, Sherbrooke, PQ, Canada; [Woods, Sandra] Patient Partner, Montreal, PQ, Canada; [Holowka, Eileen Mary] Concordia Univ, Fac Arts &amp; Sci, Dept Commun Studies, Montreal, PQ, Canada; [Pahayahay, Amber] Univ Waterloo, Sch Publ Hlth &amp; Hlth Syst, Waterloo, ON, Canada; [Roy, Mathieu] McGill Univ, Fac Sci, Dept Psychol, Montreal, PQ, Canada"/>
    <s v="McGill University; Concordia University - Canada; Concordia University - Canada; Concordia University - Canada; University of Waterloo; McGill University"/>
    <s v="Khalili-Mahani, N (corresponding author), Montreal Neurol Inst, McGill Ctr Integrat Neurosci, Montreal, PQ, Canada.;Khalili-Mahani, N (corresponding author), Concordia Univ, Fac Fine Arts, Dept Design &amp; Computat Arts, Montreal, PQ, Canada.;Khalili-Mahani, N (corresponding author), Concordia Univ, PERFORM Ctr, Montreal, PQ, Canada.;Khalili-Mahani, N (corresponding author), Quebec Pain Res Network QPRN, Sherbrooke, PQ, Canada."/>
    <s v="najmeh.khalilimahani@mcgill.ca"/>
    <s v=""/>
    <s v=""/>
    <s v=""/>
    <s v=""/>
    <s v=""/>
    <s v=""/>
    <n v="82"/>
    <n v="1"/>
    <n v="1"/>
    <n v="1"/>
    <n v="1"/>
    <s v="FRONTIERS MEDIA SA"/>
    <s v="LAUSANNE"/>
    <s v="AVENUE DU TRIBUNAL FEDERAL 34, LAUSANNE, CH-1015, SWITZERLAND"/>
    <s v=""/>
    <s v="2673-6861"/>
    <s v=""/>
    <s v="FRONT REHABIL SCI"/>
    <s v="Front. Rehabil. Sci."/>
    <s v="AUG 15"/>
    <n v="2022"/>
    <n v="3"/>
    <s v=""/>
    <s v=""/>
    <s v=""/>
    <s v=""/>
    <s v=""/>
    <s v=""/>
    <s v=""/>
    <n v="942822"/>
    <s v="10.3389/fresc.2022.942822"/>
    <s v="http://dx.doi.org/10.3389/fresc.2022.942822"/>
    <s v=""/>
    <s v=""/>
    <n v="19"/>
    <s v="Rehabilitation"/>
    <x v="3"/>
    <s v="Rehabilitation"/>
    <s v="J0LS0"/>
    <n v="36188996"/>
    <s v="gold, Green Published"/>
    <s v=""/>
    <s v=""/>
    <s v="2023-11-15"/>
    <x v="411"/>
    <s v="View Full Record in Web of Science"/>
  </r>
  <r>
    <s v="J"/>
    <s v="Remané, G; Schneider, S; Hanelt, A"/>
    <s v=""/>
    <s v=""/>
    <s v=""/>
    <s v="Remane, Gerrit; Schneider, Sabrina; Hanelt, Andre"/>
    <s v=""/>
    <s v=""/>
    <s v="DIGITAL BUSINESS MODEL TYPES: UNDERSTANDING THEIR MECHANISMS AS RECIPES TO COMMERCIALISE DIGITAL TECHNOLOGIES"/>
    <s v="INTERNATIONAL JOURNAL OF INNOVATION MANAGEMENT"/>
    <s v=""/>
    <s v=""/>
    <s v="English"/>
    <x v="0"/>
    <s v=""/>
    <s v=""/>
    <s v=""/>
    <s v=""/>
    <s v=""/>
    <s v="Digital business models; business model types; business model patterns; digital technologies; digital transformation; digital strategy; platforms"/>
    <s v="INNOVATION; SERVITIZATION; FIRMS"/>
    <s v="The increasingly digital business landscape has created manifold novel opportunities as well as threats to traditional business models. In consequence, a broad variety of digital business models emerged. Powerful tools and managerial guidance on how to shape digital strategies in this volatile and uncertain terrain are sought-after, but remain rare. Building on an analysis of the world's top-1.000 venture funded technology startups over the last decade, we identify 49 novel business model types that describe firms as vendors of digitally enabled products and services, as providers of resources and capabilities for digital business, and as facilitators of intermediation. Furthermore, we identify the novelties of these digital business models types in their components, i.c.. value proposition as well as their value creation, delivery, and capture processes. The result is a recipe collection of novel mechanisms to guide and inspire other firms when coirunercialising digital technologies in their business models."/>
    <s v="[Remane, Gerrit] Fachhochschule Wedel, Wedel, Germany; [Schneider, Sabrina] Management Ctr Innsbruck, Innsbruck, Austria; [Hanelt, Andre] Univ Kassel, Kassel, Germany"/>
    <s v="Universitat Kassel"/>
    <s v="Remané, G (corresponding author), Fachhochschule Wedel, Wedel, Germany."/>
    <s v="gerrit.remane@fh-wedel.de; sabrina.schneider@mci.edu; hanelt@uni-kassel.de"/>
    <s v=""/>
    <s v="Schneider, Sabrina/0000-0001-6027-5282"/>
    <s v=""/>
    <s v=""/>
    <s v=""/>
    <s v=""/>
    <n v="84"/>
    <n v="1"/>
    <n v="1"/>
    <n v="17"/>
    <n v="47"/>
    <s v="WORLD SCIENTIFIC PUBL CO PTE LTD"/>
    <s v="SINGAPORE"/>
    <s v="5 TOH TUCK LINK, SINGAPORE 596224, SINGAPORE"/>
    <s v="1363-9196"/>
    <s v="1757-5877"/>
    <s v=""/>
    <s v="INT J INNOV MANAG"/>
    <s v="Int. J. Innov. Manag."/>
    <s v="APR"/>
    <n v="2022"/>
    <n v="26"/>
    <n v="3"/>
    <s v=""/>
    <s v=""/>
    <s v=""/>
    <s v=""/>
    <s v=""/>
    <s v=""/>
    <n v="2240019"/>
    <s v="10.1142/S1363919622400199"/>
    <s v="http://dx.doi.org/10.1142/S1363919622400199"/>
    <s v=""/>
    <s v="AUG 2022"/>
    <n v="27"/>
    <s v="Management"/>
    <x v="3"/>
    <s v="Business &amp; Economics"/>
    <s v="4T1PW"/>
    <s v=""/>
    <s v=""/>
    <s v=""/>
    <s v=""/>
    <s v="2023-11-15"/>
    <x v="412"/>
    <s v="View Full Record in Web of Science"/>
  </r>
  <r>
    <s v="J"/>
    <s v="Schulte-Derne, D; Lehmann, C"/>
    <s v=""/>
    <s v=""/>
    <s v=""/>
    <s v="Schulte-Derne, Dorte; Lehmann, Claudia"/>
    <s v=""/>
    <s v=""/>
    <s v="HOW CAN MANAGERS DRIVE FIRM PERFORMANCE VIA DIGITAL INNOVATIONS?"/>
    <s v="INTERNATIONAL JOURNAL OF INNOVATION MANAGEMENT"/>
    <s v=""/>
    <s v=""/>
    <s v="English"/>
    <x v="0"/>
    <s v=""/>
    <s v=""/>
    <s v=""/>
    <s v=""/>
    <s v=""/>
    <s v="Digitalisation; digital transformation; value creation; productivity; managerial behaviour; servitisation; innovation management; firm performance"/>
    <s v="SERVITIZATION; INFORMATION; KNOWLEDGE; SYSTEMS"/>
    <s v="This paper focuses on challenges regarding managerial behaviour and productivity in the context of digitalisation. It is neither understood precisely how managerial behaviours transcribe digital strategy into economic success nor how opportunities from digital innovations are transferred into productivity. A systematic literature review (SLR) is applied to acquire an organised overview of the research question How does managerial behaviour concerning digital innovations change productivity? The outcomes of this paper are threefold: (1) The research question will be answered by showing several aspects managers can make use of to influence productivity. In this regard knowledge, change management and data-driven behaviours, the creation of collaborative settings. and (customer) co-creative aspects are of particular importance. (2) Executives will be motivated to reflect and calibrate their own practices. (3) The Gutenberg rooted framework of production factors is used to discuss the results and six suggestions are made to transform the model to digital readiness."/>
    <s v="[Schulte-Derne, Dorte; Lehmann, Claudia] LF Grp Chair Digital Innovat Serv Ind, HHL Leipzig Grad Sch Management, Jahnallee 59, D-04109 Leipzig, Germany"/>
    <s v="HHL Leipzig Graduate School of Management"/>
    <s v="Schulte-Derne, D (corresponding author), LF Grp Chair Digital Innovat Serv Ind, HHL Leipzig Grad Sch Management, Jahnallee 59, D-04109 Leipzig, Germany."/>
    <s v="doerte.schulte-derne@hhl.de; claudia.lehmann@hhl.de"/>
    <s v=""/>
    <s v=""/>
    <s v=""/>
    <s v=""/>
    <s v=""/>
    <s v=""/>
    <n v="72"/>
    <n v="1"/>
    <n v="1"/>
    <n v="10"/>
    <n v="34"/>
    <s v="WORLD SCIENTIFIC PUBL CO PTE LTD"/>
    <s v="SINGAPORE"/>
    <s v="5 TOH TUCK LINK, SINGAPORE 596224, SINGAPORE"/>
    <s v="1363-9196"/>
    <s v="1757-5877"/>
    <s v=""/>
    <s v="INT J INNOV MANAG"/>
    <s v="Int. J. Innov. Manag."/>
    <s v="APR"/>
    <n v="2022"/>
    <n v="26"/>
    <n v="3"/>
    <s v=""/>
    <s v=""/>
    <s v=""/>
    <s v=""/>
    <s v=""/>
    <s v=""/>
    <n v="2240020"/>
    <s v="10.1142/S1363919622400205"/>
    <s v="http://dx.doi.org/10.1142/S1363919622400205"/>
    <s v=""/>
    <s v="JUL 2022"/>
    <n v="33"/>
    <s v="Management"/>
    <x v="3"/>
    <s v="Business &amp; Economics"/>
    <s v="4T1PW"/>
    <s v=""/>
    <s v=""/>
    <s v=""/>
    <s v=""/>
    <s v="2023-11-15"/>
    <x v="413"/>
    <s v="View Full Record in Web of Science"/>
  </r>
  <r>
    <s v="J"/>
    <s v="Massa, A; Anzera, G"/>
    <s v=""/>
    <s v=""/>
    <s v=""/>
    <s v="Massa, Alessandra; Anzera, Giuseppe"/>
    <s v=""/>
    <s v=""/>
    <s v="The platformization of military communication: The digital strategy of the Israel Defense Forces on Twitter"/>
    <s v="MEDIA WAR AND CONFLICT"/>
    <s v=""/>
    <s v=""/>
    <s v="English"/>
    <x v="0"/>
    <s v=""/>
    <s v=""/>
    <s v=""/>
    <s v=""/>
    <s v=""/>
    <s v="conflict; Israel Defense Forces (IDF); military communication; online platforms; strategic narratives; Twitter"/>
    <s v="SOCIAL MEDIA; WAR; CONFLICT; CULTURE; IMAGES; POWER"/>
    <s v="Platforms are conditioning the way public communication is conducted while presenting themselves as neutral connectors. Social media logic encompasses norms, strategies, mechanisms and economies acting at the intersection between online platforms and society. Military communication is adapting itself to communicative and socio-technical innovations dictated by online platforms and social network sites. Armies are currently using digital media and online platforms in at least two different ways: a promotional one, based on the 'normalization' of militarism, and a conflictual one, based on the display and management of conflicts. In this article, the authors apply qualitative content analysis to investigate the platformed strategy of the Israel Defense Forces (IDF) Twitter account. Results show how the IDF embraces platformization and uses social media logic to develop a coherent narrative, projecting an attractive image, establishing an international positioning and defining international interlocutors. The institution of communicative formats, the multiplication of themes and representational artefacts, and a redefined aesthetics of army and violence are enabled by social media logic. Tweets from the IDF follow a dual path: they contribute to normalizing militarism and act on the conflictual display of current affairs."/>
    <s v="[Massa, Alessandra] Univ Cagliari, Cagliari, Italy; [Anzera, Giuseppe] Sapienza Univ Rome, Dept Commun &amp; Social Res, Rome, Italy"/>
    <s v="University of Cagliari; Sapienza University Rome"/>
    <s v="Massa, A (corresponding author), Univ Cagliari, Dept Polit &amp; Social Sci, S Ignazio St 78, I-09123 Cagliari, Italy."/>
    <s v="alessandra.massa86@unica.it"/>
    <s v="MASSA, ALESSANDRA/HTN-7674-2023"/>
    <s v="MASSA, ALESSANDRA/0000-0002-2360-6772"/>
    <s v=""/>
    <s v=""/>
    <s v=""/>
    <s v=""/>
    <n v="64"/>
    <n v="1"/>
    <n v="1"/>
    <n v="2"/>
    <n v="5"/>
    <s v="SAGE PUBLICATIONS LTD"/>
    <s v="LONDON"/>
    <s v="1 OLIVERS YARD, 55 CITY ROAD, LONDON EC1Y 1SP, ENGLAND"/>
    <s v="1750-6352"/>
    <s v="1750-6360"/>
    <s v=""/>
    <s v="MEDIA WAR CONFL"/>
    <s v="Media War Confl."/>
    <s v="SEP"/>
    <n v="2023"/>
    <n v="16"/>
    <n v="3"/>
    <s v=""/>
    <s v=""/>
    <s v=""/>
    <s v=""/>
    <n v="364"/>
    <n v="382"/>
    <s v=""/>
    <s v="10.1177/17506352221101257"/>
    <s v="http://dx.doi.org/10.1177/17506352221101257"/>
    <s v=""/>
    <s v="JUN 2022"/>
    <n v="19"/>
    <s v="Communication"/>
    <x v="3"/>
    <s v="Communication"/>
    <s v="Q1TJ1"/>
    <s v=""/>
    <s v=""/>
    <s v=""/>
    <s v=""/>
    <s v="2023-11-15"/>
    <x v="414"/>
    <s v="View Full Record in Web of Science"/>
  </r>
  <r>
    <s v="J"/>
    <s v="Chukwu, E; Garg, L; Foday, E; Konomanyi, A; Wright, R; Smart, F"/>
    <s v=""/>
    <s v=""/>
    <s v=""/>
    <s v="Chukwu, Emeka; Garg, Lalit; Foday, Edward; Konomanyi, Abdul; Wright, Royston; Smart, Francis"/>
    <s v=""/>
    <s v=""/>
    <s v="Digital Health Solutions and State of Interoperability: Landscape Analysis of Sierra Leone"/>
    <s v="JMIR FORMATIVE RESEARCH"/>
    <s v=""/>
    <s v=""/>
    <s v="English"/>
    <x v="0"/>
    <s v=""/>
    <s v=""/>
    <s v=""/>
    <s v=""/>
    <s v=""/>
    <s v="digital health; mHealth; mobile health; eHealth; Health information and communication technologies; Sierra Leone; big data; HIE; interoperability"/>
    <s v="BIG DATA"/>
    <s v="Background: The government and partners have invested heavily in the health information system (HIS) for service delivery, surveillance, reporting, and monitoring. Sierra Leone's government launched its first digital health strategy in 2018. In 2019, a broader national innovation and digital strategy was launched. The health pillar direction will use big data and artificial intelligence (AI) to improve health care in general and maternal and child health in particular. Understanding the number, distribution, and interoperability of digital health solutions is crucial for successful implementation strategies. Objective: This paper presents the state of digital health solutions in Sierra Leone and how these solutions currently interoperate. This study further presents opportunities for big data and AI applications. Methods: All the district health management teams, all digital health implementing organizations, and a stratified sample of 72 (out of 1284) health facilities were purposefully selected from all health districts and surveyed. Results: The National Health Management Information System's (NHMIS's) aggregate reporting solution populated by health facility forms HF1 to HF9 was, by far, the most used tool. A health facility-based weekly aggregate electronic integrated disease surveillance and response solution was also widely used. Half of the health facilities had more than 2 digital health solutions in use. The different digital health software solutions do not share data among one another, though aggregate reporting data were sent as necessary. None of the respondents use any of the health care registries for patient, provider, health facility, or terminology identification. Conclusions: Many digital health solutions are currently used at health facilities in Sierra Leone. The government can leverage current investment in HIS from surveillance and reporting for using big data and AI for care. The vision of using big data for health care is achievable if stakeholders prioritize individualized and longitudinal patient data exchange using agreed use cases from national strategies. This study has shown evidence of distribution, types, and scale of digital health solutions in health facilities and opportunities for leveraging big data to fill critical gaps necessary to achieve the national digital health vision."/>
    <s v="[Chukwu, Emeka; Garg, Lalit] Univ Malta, Fac Informat &amp; Commun Technol, Dept Comp Informat Syst, PG Room A24,Level 0, MSD-2080 Msida, Malta; [Foday, Edward; Smart, Francis] Minist Hlth &amp; Sanitat, Directorate Planning Policy &amp; Informat, Freetown, Sierra Leone; [Konomanyi, Abdul] Minist Informat &amp; Commun, Directorate eGovt, Freetown, Sierra Leone; [Wright, Royston] UNICEF, Monitoring &amp; Evaluat Unit, Hlth &amp; Nutr, Freetown, Sierra Leone"/>
    <s v="University of Malta; Ministry of Health &amp; Sanitation Sierra Leone"/>
    <s v="Chukwu, E (corresponding author), Univ Malta, Fac Informat &amp; Commun Technol, Dept Comp Informat Syst, PG Room A24,Level 0, MSD-2080 Msida, Malta."/>
    <s v="nnaemeka.ec@hotmail.com"/>
    <s v="Nasarian, Elham/ISB-6863-2023; Garg, Lalit/AAE-6453-2019"/>
    <s v="Garg, Lalit/0000-0002-3868-0481; Chukwu, Emeka/0000-0003-3474-8108; Foday, Edward/0000-0003-3075-0964; Smart, Francis/0000-0002-9389-4730"/>
    <s v="UNICEF; United States Agency for International Development; University of Malta"/>
    <s v="UNICEF; United States Agency for International Development(United States Agency for International Development (USAID)); University of Malta"/>
    <s v="The Ministry of Health and Sanitation was supported for this study by UNICEF with support from United States Agency for International Development. The University of Malta also supported this research. The authors would like to appreciate all survey respondents including district health medical officers, health facility officers in charge, Focus1000, eHealthAfrica, Emergency Operation Center, World Vision, GIZ, World Health Organization, UNICEF, Johns Hopkins University-Center for Communications Program, United Nations Population Fund, Cell, Care International, GOAL, Partners In Health, United Nations, Hellen Keller International, World Hope International, Community Health Workers Hub, and Monitoring and Evaluation, Directorate of Policy, Planning and Information."/>
    <s v=""/>
    <n v="19"/>
    <n v="1"/>
    <n v="1"/>
    <n v="0"/>
    <n v="2"/>
    <s v="JMIR PUBLICATIONS, INC"/>
    <s v="TORONTO"/>
    <s v="130 QUEENS QUAY East, Unit 1100, TORONTO, ON M5A 0P6, CANADA"/>
    <s v=""/>
    <s v="2561-326X"/>
    <s v=""/>
    <s v="JMIR FORM RES"/>
    <s v="JMIR Form. Res."/>
    <s v="JUN"/>
    <n v="2022"/>
    <n v="6"/>
    <n v="6"/>
    <s v=""/>
    <s v=""/>
    <s v=""/>
    <s v=""/>
    <s v=""/>
    <s v=""/>
    <s v="e29930"/>
    <s v="10.2196/29930"/>
    <s v="http://dx.doi.org/10.2196/29930"/>
    <s v=""/>
    <s v=""/>
    <n v="10"/>
    <s v="Health Care Sciences &amp; Services; Medical Informatics"/>
    <x v="3"/>
    <s v="Health Care Sciences &amp; Services; Medical Informatics"/>
    <s v="4N5SX"/>
    <n v="35687406"/>
    <s v="gold, Green Submitted, Green Published"/>
    <s v=""/>
    <s v=""/>
    <s v="2023-11-15"/>
    <x v="415"/>
    <s v="View Full Record in Web of Science"/>
  </r>
  <r>
    <s v="J"/>
    <s v="Högberg, K; Willermark, S"/>
    <s v=""/>
    <s v=""/>
    <s v=""/>
    <s v="Hogberg, Karin; Willermark, Sara"/>
    <s v=""/>
    <s v=""/>
    <s v="Strategic Responses to Digital Disruption in Incumbent Firms- A Strategy-as-Practice Perspective"/>
    <s v="JOURNAL OF COMPUTER INFORMATION SYSTEMS"/>
    <s v=""/>
    <s v=""/>
    <s v="English"/>
    <x v="0"/>
    <s v=""/>
    <s v=""/>
    <s v=""/>
    <s v=""/>
    <s v=""/>
    <s v="Digital business strategy; digital transformation; incumbent firms; disruptive digital innovations; hospitality industry"/>
    <s v="DYNAMIC CAPABILITIES; TRANSFORMATION; INNOVATION; TECHNOLOGY; HOTELS; FIELD"/>
    <s v="Hardly any organization remains unaffected by the digitalization of society and the whole global economy is shaken by disruptive digital innovations (DDI). This calls for strategic responses from incumbent firms to remain relevant in a changing environment. This study explores the phenomenon of digital transformation and the development of digital business strategy in the context of incumbent firms, in this case, the hotel industry. We address the following research questions: 1) How are hotel organizations disrupted by digital innovations? and 2) How do they respond strategically to these disruptions? The research approach consists of multiple longitudinal case studies of two international hotel chains, offering a rich dataset. Strategy-as-practice is used as a theoretical lens. The results show three overall organizational responses due to DDI including: 1) relating to a new digital business environment; 2) translating strategy to practices 3) renegotiating value. Contributions include extending the existing literature on digital strategies and responses to digital disruptions in incumbent firms as well as providing implications to practice."/>
    <s v="[Hogberg, Karin; Willermark, Sara] Univ West, Trollhattan, Sweden"/>
    <s v="University West - Sweden"/>
    <s v="Högberg, K (corresponding author), Univ West, Trollhattan, Sweden."/>
    <s v="karin.hogberg@hv.se"/>
    <s v=""/>
    <s v="Willermark, Sara/0000-0003-1390-8379"/>
    <s v=""/>
    <s v=""/>
    <s v=""/>
    <s v=""/>
    <n v="56"/>
    <n v="1"/>
    <n v="1"/>
    <n v="9"/>
    <n v="36"/>
    <s v="TAYLOR &amp; FRANCIS INC"/>
    <s v="PHILADELPHIA"/>
    <s v="530 WALNUT STREET, STE 850, PHILADELPHIA, PA 19106 USA"/>
    <s v="0887-4417"/>
    <s v="2380-2057"/>
    <s v=""/>
    <s v="J COMPUT INFORM SYST"/>
    <s v="J. Comput. Inf. Syst."/>
    <s v="MAR 4"/>
    <n v="2023"/>
    <n v="63"/>
    <n v="2"/>
    <s v=""/>
    <s v=""/>
    <s v=""/>
    <s v=""/>
    <n v="281"/>
    <n v="292"/>
    <s v=""/>
    <s v="10.1080/08874417.2022.2057373"/>
    <s v="http://dx.doi.org/10.1080/08874417.2022.2057373"/>
    <s v=""/>
    <s v="APR 2022"/>
    <n v="12"/>
    <s v="Computer Science, Information Systems"/>
    <x v="2"/>
    <s v="Computer Science"/>
    <s v="9L9NI"/>
    <s v=""/>
    <s v="hybrid"/>
    <s v=""/>
    <s v=""/>
    <s v="2023-11-15"/>
    <x v="416"/>
    <s v="View Full Record in Web of Science"/>
  </r>
  <r>
    <s v="J"/>
    <s v="Fonseca, DLD; Fonseca, MGFS"/>
    <s v=""/>
    <s v=""/>
    <s v=""/>
    <s v="de Souza Fonseca, Diego Leonardo; Severo Fonseca, Maria Gabriella Flores"/>
    <s v=""/>
    <s v=""/>
    <s v="TikTok as a tool for innovation in library information services"/>
    <s v="EM QUESTAO"/>
    <s v=""/>
    <s v=""/>
    <s v="Portuguese"/>
    <x v="0"/>
    <s v=""/>
    <s v=""/>
    <s v=""/>
    <s v=""/>
    <s v=""/>
    <s v="Social network; Innovation; Information services; Consumption of information; Libraries"/>
    <s v=""/>
    <s v="The study aims to analyze the digital positioning of some libraries in the social network TikTok, observing the use of this platform as an innovation strategy in services from the perspective of new trends in information consumption. This is a descriptive research of qualitative approach, whose study design was divided into two phases: bibliographic research (survey of research and experience reports on the theme) and survey of the profiles of libraries on the social network that use the platform. Five profiles were analyzed: Sierra Madre Public Library, Vancouver Public Library, Iowa Public Library, Dover Public Library, and Calgary Public Library. The research analysis process about the digital positioning of these spaces was carried out based on four aspects: marketing, engagement, interaction with users, and content production. It was observed that these libraries, by combining their professional character with the entertainment potential of the social network TikTok, developed a relationship of interaction and engagement with their users, which generated greater interest in their information services and products through digital marketing. They thus became innovative in their strategic digital positioning, following the new trends of information consumption by users."/>
    <s v="[de Souza Fonseca, Diego Leonardo] Univ Estadual Londrina, Londrina, Parana, Brazil; [Severo Fonseca, Maria Gabriella Flores] Univ Brasilia, Brasilia, DF, Brazil"/>
    <s v="Universidade Estadual de Londrina; Universidade de Brasilia"/>
    <s v="Fonseca, DLD (corresponding author), Univ Estadual Londrina, Londrina, Parana, Brazil."/>
    <s v="diego.leonardo@uel.br; gabriellafloress@hotmail.com"/>
    <s v=""/>
    <s v=""/>
    <s v=""/>
    <s v=""/>
    <s v=""/>
    <s v=""/>
    <n v="43"/>
    <n v="1"/>
    <n v="1"/>
    <n v="15"/>
    <n v="69"/>
    <s v="UNIV FEDERAL RIO GRANDE SUL, FAC BIBLIOTECONOMIA &amp; COMUNICACAO"/>
    <s v="PORTO ALEGRE"/>
    <s v="RUA RAMIRO BARCELOS, 2705, SALA 519, PORTO ALEGRE, RS 90040-060, BRAZIL"/>
    <s v="1807-8893"/>
    <s v="1808-5245"/>
    <s v=""/>
    <s v="EM QUESTAO"/>
    <s v="Em. Questao"/>
    <s v="APR-JUN"/>
    <n v="2022"/>
    <n v="28"/>
    <n v="2"/>
    <s v=""/>
    <s v=""/>
    <s v=""/>
    <s v=""/>
    <n v="13"/>
    <n v="39"/>
    <s v="e-116231"/>
    <s v="10.19132/1808-5245282.116231"/>
    <s v="http://dx.doi.org/10.19132/1808-5245282.116231"/>
    <s v=""/>
    <s v=""/>
    <n v="27"/>
    <s v="Information Science &amp; Library Science"/>
    <x v="3"/>
    <s v="Information Science &amp; Library Science"/>
    <s v="ZH5ZX"/>
    <s v=""/>
    <s v="gold"/>
    <s v=""/>
    <s v=""/>
    <s v="2023-11-15"/>
    <x v="417"/>
    <s v="View Full Record in Web of Science"/>
  </r>
  <r>
    <s v="J"/>
    <s v="Leiva, JJ; del Olmo, MJA; Aguilera, FJG; Villalba, MJS"/>
    <s v=""/>
    <s v=""/>
    <s v=""/>
    <s v="Leiva, Juan J.; Alcala del Olmo, Ma Jose; Garcia Aguilera, Francisco J.; Santos Villalba, Ma Jesus"/>
    <s v=""/>
    <s v=""/>
    <s v="Promotion of Intercultural Competencies and Use of ICT: Towards a Digitally Inclusive University"/>
    <s v="REICE-REVISTA IBEROAMERICANA SOBRE CALIDAD EFICACIA Y CAMBIO EN EDUCACION"/>
    <s v=""/>
    <s v=""/>
    <s v="Spanish"/>
    <x v="0"/>
    <s v=""/>
    <s v=""/>
    <s v=""/>
    <s v=""/>
    <s v=""/>
    <s v="Interculturality; Inclusion; Digital skill; Active methodologies; Educational innovation"/>
    <s v=""/>
    <s v="Intercultural and inclusive education has become a priority for higher education professionals due to the presence of cultural diversity in educational spaces and the heterogeneity of the student body. The university of the 21st century must promote the implementation of pedagogical guidelines aimed at facilitating the acquisition of intercultural and digital competences, with the aim of empowering students through ICT, favouring their integral development and the autonomous construction of their identity. The aim of this study is to find out teachers' evaluations of the potential of ICT to favour the acquisition of intercultural competences in their students. The methodology is qualitative through focus groups in which 14 teachers from the University of Malaga (Spain) participated. The content analysis followed a deductive category development model. The results reveal that the participating teachers use digital tools as a means of acquiring knowledge rather than to promote cultural interaction. The main conclusions include the importance of improving lifelong learning, more in line with participatory, creative, and digital strategies in university classrooms."/>
    <s v="[Leiva, Juan J.; Alcala del Olmo, Ma Jose; Garcia Aguilera, Francisco J.; Santos Villalba, Ma Jesus] Univ Malaga, Malaga, Spain"/>
    <s v="Universidad de Malaga"/>
    <s v="Leiva, JJ (corresponding author), Univ Malaga, Malaga, Spain."/>
    <s v="juanleiva@uma.es; mjalcaladelolmo@uma.es; fjgarciaa@uma.es; mjsantos@ugr.es"/>
    <s v="Aguilera, Francisco José García/AAE-5361-2021; Santos-Villalba, María Jesús/AAE-7185-2021"/>
    <s v="Aguilera, Francisco José García/0000-0002-5764-7409; Santos-Villalba, María Jesús/0000-0001-6641-0916"/>
    <s v=""/>
    <s v=""/>
    <s v=""/>
    <s v=""/>
    <n v="26"/>
    <n v="1"/>
    <n v="3"/>
    <n v="3"/>
    <n v="11"/>
    <s v="UNIV AUTONOMA MADRID, FAC FORMACION PROFESORADO &amp; EDUCACION"/>
    <s v="MADRID"/>
    <s v="MODULO III, DESPACHO 302, CAMPUS CANTOBLANCO, MADRID, 28049, SPAIN"/>
    <s v="1696-4713"/>
    <s v=""/>
    <s v=""/>
    <s v="REICE-REV IBEROAM CA"/>
    <s v="REICE-Rev. Iberoam. Calid. Efic. Cambio Educ."/>
    <s v="APR"/>
    <n v="2022"/>
    <n v="20"/>
    <n v="2"/>
    <s v=""/>
    <s v=""/>
    <s v=""/>
    <s v=""/>
    <n v="47"/>
    <n v="64"/>
    <s v=""/>
    <s v="10.15366/reice2022.20.2.003"/>
    <s v="http://dx.doi.org/10.15366/reice2022.20.2.003"/>
    <s v=""/>
    <s v=""/>
    <n v="18"/>
    <s v="Education &amp; Educational Research"/>
    <x v="3"/>
    <s v="Education &amp; Educational Research"/>
    <s v="1J4GD"/>
    <s v=""/>
    <s v="Green Submitted"/>
    <s v=""/>
    <s v=""/>
    <s v="2023-11-15"/>
    <x v="418"/>
    <s v="View Full Record in Web of Science"/>
  </r>
  <r>
    <s v="J"/>
    <s v="Almeida, S; Ramires, A; Marinho, J"/>
    <s v=""/>
    <s v=""/>
    <s v=""/>
    <s v="Almeida, Sofia; Ramires, Ana; Marinho, Joao"/>
    <s v=""/>
    <s v=""/>
    <s v="Hashtags - A Keystone of Instagram in the Hotel Digital Strategy. An Iberian Case Study"/>
    <s v="JOURNAL OF QUALITY ASSURANCE IN HOSPITALITY &amp; TOURISM"/>
    <s v=""/>
    <s v=""/>
    <s v="English"/>
    <x v="0"/>
    <s v=""/>
    <s v=""/>
    <s v=""/>
    <s v=""/>
    <s v=""/>
    <s v="Hotel sector; digital marketing; social media; instagram; hashtags; Portugal; Spain"/>
    <s v="NETNOGRAPHY"/>
    <s v="One of the ways hoteliers can gain a competitive advantage is by increasing their digital footprint, which includes a hashtag strategy. In fact, hashtags have become an integral part of social networks, but are often not properly implemented in the hotel sector. The purpose of this study is to explore the importance of hashtags as an effective tool for a hotel's online marketing strategy, with a particular focus on Instagram. The objective of this research is to provide an in-depth analysis of the hotel chains' Instagram accounts with the most followers in Portugal and Spain. To such end, ten hotel chains were analyzed in both countries. Desk research was carried out to identify the sample and to consider metrics such as: number of mentions, hashtag reach, likes, comments and followers. The hotel with the most Instagram mentions is the Ushuaia Beach Hotel in Spain and the Six Senses Douro Valley in Portugal. By means of this last example, results showed that the average of likes, and comments increased significantly with the use of hashtags. Therefore, it is possible to ascertain that the use of hashtags increases the engagement of followers with the hotel brand."/>
    <s v="[Almeida, Sofia] Univ Lisbon, Univ Europeia &amp; Ceg Igot, Fac Social Sci &amp; Technol, Lisbon, Portugal; [Ramires, Ana; Marinho, Joao] Univ Europeia, Fac Social Sci &amp; Technol, Lisbon, Portugal"/>
    <s v="Universidade de Lisboa; Universidade Europeia"/>
    <s v="Almeida, S (corresponding author), Univ Lisbon, Univ Europeia &amp; Ceg Igot, Fac Social Sci &amp; Technol, Lisbon, Portugal."/>
    <s v="salmeida@universidadeeuropeia.pt"/>
    <s v="Almeida, Sofia/HHC-1576-2022; Ramires, Ana/AAL-9851-2021"/>
    <s v="Almeida, Sofia/0000-0003-4561-6776; Ramires, Ana/0000-0002-3028-0563"/>
    <s v=""/>
    <s v=""/>
    <s v=""/>
    <s v=""/>
    <n v="48"/>
    <n v="1"/>
    <n v="1"/>
    <n v="1"/>
    <n v="6"/>
    <s v="ROUTLEDGE JOURNALS, TAYLOR &amp; FRANCIS LTD"/>
    <s v="ABINGDON"/>
    <s v="2-4 PARK SQUARE, MILTON PARK, ABINGDON OX14 4RN, OXON, ENGLAND"/>
    <s v="1528-008X"/>
    <s v="1528-0098"/>
    <s v=""/>
    <s v="J QUAL ASSUR HOSP TO"/>
    <s v="J. Qual. Assur. Hosp. Tour."/>
    <s v="MAY 4"/>
    <n v="2023"/>
    <n v="24"/>
    <n v="3"/>
    <s v=""/>
    <s v=""/>
    <s v=""/>
    <s v=""/>
    <n v="311"/>
    <n v="329"/>
    <s v=""/>
    <s v="10.1080/1528008X.2022.2050876"/>
    <s v="http://dx.doi.org/10.1080/1528008X.2022.2050876"/>
    <s v=""/>
    <s v="MAR 2022"/>
    <n v="19"/>
    <s v="Hospitality, Leisure, Sport &amp; Tourism"/>
    <x v="3"/>
    <s v="Social Sciences - Other Topics"/>
    <s v="E1TP7"/>
    <s v=""/>
    <s v=""/>
    <s v=""/>
    <s v=""/>
    <s v="2023-11-15"/>
    <x v="419"/>
    <s v="View Full Record in Web of Science"/>
  </r>
  <r>
    <s v="J"/>
    <s v="Jain, B; Bajaj, SS; Stanford, FC"/>
    <s v=""/>
    <s v=""/>
    <s v=""/>
    <s v="Jain, Bhav; Bajaj, Simar S.; Stanford, Fatima Cody"/>
    <s v=""/>
    <s v=""/>
    <s v="Randomized clinical trials of weight loss: Pragmatic and digital strategies and innovations"/>
    <s v="CONTEMPORARY CLINICAL TRIALS"/>
    <s v=""/>
    <s v=""/>
    <s v="English"/>
    <x v="0"/>
    <s v=""/>
    <s v=""/>
    <s v=""/>
    <s v=""/>
    <s v=""/>
    <s v="Digital trials; Weight loss trials; Remote clinical trials"/>
    <s v=""/>
    <s v="During the COVID-19 pandemic, digital strategies and decentralized approaches allowed for the continuation of weight loss clinical trials despite in-person engagement coming to a halt. In particular, trials leveraged remote mediums to measure data in real-time across a broad array of metrics while testing novel strategies to streamline patient care. Such approaches may address longstanding challenges with traditional trials, including attrition and underrepresentation of racial and ethnic minorities. Ultimately, emerging data from trials utilizing both digital and in-person strategies may indicate the promise of a hybrid approach in incorporating a robust virtual component for continuous patient monitoring and an in-person component for patient adherence and data standardization. In this commentary, we provide an overview of the most innovative digital approaches in clinical trials of weight loss during the COVID-19 era, as well as identify opportunities and challenges for these modes of research going forward."/>
    <s v="[Jain, Bhav] MIT, 77 Massachusetts Ave, Cambridge, MA 02139 USA; [Bajaj, Simar S.] Harvard Univ, Cambridge, MA 02138 USA; [Stanford, Fatima Cody] Massachusetts Gen Hosp, Dept Med, Neuroendocrine Unit, Boston, MA USA; [Stanford, Fatima Cody] Harvard Med Sch, Boston, MA 02115 USA; [Stanford, Fatima Cody] Nutr Obes Res Ctr Harvard NORCH, Dept Pediat, Div Endocrinol, 50 Staniford St, Boston, MA 02114 USA"/>
    <s v="Massachusetts Institute of Technology (MIT); Harvard University; Harvard University; Massachusetts General Hospital; Harvard University; Harvard Medical School"/>
    <s v="Stanford, FC (corresponding author), Weight Ctr, 4th Floor,50 Staniford St, Boston, MA 02114 USA."/>
    <s v="fstanford@mgh.harvard.edu"/>
    <s v="Stanford, Fatima Cody/H-3953-2019; Jain, Bhav/HLW-2803-2023"/>
    <s v="Stanford, Fatima Cody/0000-0003-4616-533X; Jain, Bhav/0000-0003-2648-4894; Bajaj, Simar/0000-0002-8498-9674"/>
    <s v="NIH NIDDK [P30 DK040561]"/>
    <s v="NIH NIDDK(United States Department of Health &amp; Human ServicesNational Institutes of Health (NIH) - USANIH National Institute of Diabetes &amp; Digestive &amp; Kidney Diseases (NIDDK))"/>
    <s v="NIH NIDDK P30 DK040561 (FCS)."/>
    <s v=""/>
    <n v="24"/>
    <n v="1"/>
    <n v="1"/>
    <n v="1"/>
    <n v="4"/>
    <s v="ELSEVIER SCIENCE INC"/>
    <s v="NEW YORK"/>
    <s v="STE 800, 230 PARK AVE, NEW YORK, NY 10169 USA"/>
    <s v="1551-7144"/>
    <s v="1559-2030"/>
    <s v=""/>
    <s v="CONTEMP CLIN TRIALS"/>
    <s v="Contemp. Clin. Trials"/>
    <s v="MAR"/>
    <n v="2022"/>
    <n v="114"/>
    <s v=""/>
    <s v=""/>
    <s v=""/>
    <s v=""/>
    <s v=""/>
    <s v=""/>
    <s v=""/>
    <n v="106687"/>
    <s v="10.1016/j.cct.2022.106687"/>
    <s v="http://dx.doi.org/10.1016/j.cct.2022.106687"/>
    <s v=""/>
    <s v="FEB 2022"/>
    <n v="4"/>
    <s v="Medicine, Research &amp; Experimental; Pharmacology &amp; Pharmacy"/>
    <x v="2"/>
    <s v="Research &amp; Experimental Medicine; Pharmacology &amp; Pharmacy"/>
    <s v="2Q2IR"/>
    <n v="35085830"/>
    <s v="Green Published"/>
    <s v=""/>
    <s v=""/>
    <s v="2023-11-15"/>
    <x v="420"/>
    <s v="View Full Record in Web of Science"/>
  </r>
  <r>
    <s v="J"/>
    <s v="Evans, JM; Baym, NK"/>
    <s v=""/>
    <s v=""/>
    <s v=""/>
    <s v="Evans, Jabari M.; Baym, Nancy K."/>
    <s v=""/>
    <s v=""/>
    <s v="The Audacity of Clout (Chasing): Digital Strategies of Black Youth in Chicago DIY Hip-Hop"/>
    <s v="INTERNATIONAL JOURNAL OF COMMUNICATION"/>
    <s v=""/>
    <s v=""/>
    <s v="English"/>
    <x v="0"/>
    <s v=""/>
    <s v=""/>
    <s v=""/>
    <s v=""/>
    <s v=""/>
    <s v="hip-hop; social media; media literacy; visibility labor; microcelebrity; platformed creation"/>
    <s v="SOCIAL MEDIA; MUSIC; RAP; INSTAGRAM; CULTURE; CAREERS; BRANDS; LABOR"/>
    <s v="Though many scholars have theorized about the communication of Black youth in digital spaces, academic work has generally not sought artist perspectives of how their platformed creation might be connected to relational labor. Using observations and interviews with artists, artist managers, and entrepreneurs, we examine relational practices of hip- hop youth on social media. We describe their work on social media toward acquiring clout-a digital form of influence self-described by emerging musicians as allowing them to leverage digital tools in building social and professional status, amplify authenticity, cultivate connections with fans, and connect with friends and other cultural producers. In this study, we detail examples of three relational strategies that our respondents used to acquire clout: (a) corralling (b) capping, and (c) cosigning. To conclude, we argue that Chicago's hip-hop scene provides an example of why formal institutions and researchers need to rethink how race, class, gender, and geography influence the digital interactions of young people and how their social practices add to the understanding of the counterpublics arising from globalizing social media."/>
    <s v="[Evans, Jabari M.] Univ South Carolina, Columbia, SC 29208 USA; [Baym, Nancy K.] Microsoft Res, Redmond, WA USA"/>
    <s v="University of South Carolina System; University of South Carolina Columbia; Microsoft"/>
    <s v="Evans, JM (corresponding author), Univ South Carolina, Columbia, SC 29208 USA."/>
    <s v="JE27@mailbox.sc.edu; baym@microsoft.com"/>
    <s v=""/>
    <s v=""/>
    <s v=""/>
    <s v=""/>
    <s v=""/>
    <s v=""/>
    <n v="68"/>
    <n v="1"/>
    <n v="1"/>
    <n v="0"/>
    <n v="0"/>
    <s v="USC ANNENBERG PRESS"/>
    <s v="LOS ANGELES"/>
    <s v="UNIV SOUTHERN CALIFORNIA, KERCKHOFF HALL, 734 W ADAMS BLVD, MC7725, LOS ANGELES, CA 90089 USA"/>
    <s v="1932-8036"/>
    <s v=""/>
    <s v=""/>
    <s v="INT J COMMUN-US"/>
    <s v="Int. J. Commun."/>
    <s v=""/>
    <n v="2022"/>
    <n v="16"/>
    <s v=""/>
    <s v=""/>
    <s v=""/>
    <s v=""/>
    <s v=""/>
    <n v="2669"/>
    <n v="2687"/>
    <s v=""/>
    <s v=""/>
    <s v=""/>
    <s v=""/>
    <s v=""/>
    <n v="19"/>
    <s v="Communication"/>
    <x v="0"/>
    <s v="Communication"/>
    <s v="T7KQ9"/>
    <s v=""/>
    <s v=""/>
    <s v=""/>
    <s v=""/>
    <s v="2023-11-15"/>
    <x v="421"/>
    <s v="View Full Record in Web of Science"/>
  </r>
  <r>
    <s v="J"/>
    <s v="Solar, BM; Reyes, RJ"/>
    <s v=""/>
    <s v=""/>
    <s v=""/>
    <s v="Solar, Belen Merino; Reyes, Rene Jara"/>
    <s v=""/>
    <s v=""/>
    <s v="Feminist Cyberactivism in Chile. The experience of the Observatory against Street Harassment"/>
    <s v="APUNTES-REVISTA DE CIENCIAS SOCIALES"/>
    <s v=""/>
    <s v=""/>
    <s v="Spanish"/>
    <x v="0"/>
    <s v=""/>
    <s v=""/>
    <s v=""/>
    <s v=""/>
    <s v=""/>
    <s v="Feminist Cyberactivism; Street Harassment; Gender Violence; Chile; OCAC (Observatory against Street harassment)"/>
    <s v="ACTIVISM; VIOLENCE"/>
    <s v="This article addresses the issue of feminist cyberactivism, focusing on the experience of the Observatory against Street Harassment (OCAC in Spanish) in Chile, between 2014 and 2017. Based on an analysis centred on its digital strategy, the article explores its effects on three areas: the organization of the collective, identity and their ability to put the issue of gender violence on the public agenda, by promoting a bill proposal named Respeto Callejero (Spanish for Respect in the Streets). Three study techniques were used: interviews with movement participants, analysis of Facebook metrics and keywords analysis in traditional and digital media. Amongst the results, we can point out that before the emergence of this organization there was no media coverage in Chile regarding Street Harassment, and, therefore, the digital strategy of positioning and call to action developed by the OCAC has allowed for a gradual change in these affairs, installing the matter of gender violence in public spaces."/>
    <s v="[Solar, Belen Merino; Reyes, Rene Jara] Univ Santiago Chile, Santiago, Chile"/>
    <s v="Universidad de Santiago de Chile"/>
    <s v="Solar, BM (corresponding author), Univ Santiago Chile, Santiago, Chile."/>
    <s v="belen.merino@usach.cl; rene.jara@usach.cl"/>
    <s v="jara reyes, rene/JAZ-0211-2023"/>
    <s v=""/>
    <s v=""/>
    <s v=""/>
    <s v=""/>
    <s v=""/>
    <n v="32"/>
    <n v="1"/>
    <n v="1"/>
    <n v="1"/>
    <n v="8"/>
    <s v="UNIV PACIFICO"/>
    <s v="LIMA"/>
    <s v="AVE SALAVERRY 2020, JESUS MARIA, LIMA, 11, PERU"/>
    <s v="0252-1865"/>
    <s v="2223-1757"/>
    <s v=""/>
    <s v="APUNTES-REV CIENC SO"/>
    <s v="Apuntes-Rev. Cienc. Soc."/>
    <s v=""/>
    <n v="2022"/>
    <n v="49"/>
    <n v="90"/>
    <s v=""/>
    <s v=""/>
    <s v=""/>
    <s v=""/>
    <n v="53"/>
    <n v="80"/>
    <s v=""/>
    <s v="10.21678/apuntes.90.1372"/>
    <s v="http://dx.doi.org/10.21678/apuntes.90.1372"/>
    <s v=""/>
    <s v=""/>
    <n v="28"/>
    <s v="Social Sciences, Interdisciplinary"/>
    <x v="3"/>
    <s v="Social Sciences - Other Topics"/>
    <s v="YP3BZ"/>
    <s v=""/>
    <s v="Green Submitted, gold"/>
    <s v=""/>
    <s v=""/>
    <s v="2023-11-15"/>
    <x v="422"/>
    <s v="View Full Record in Web of Science"/>
  </r>
  <r>
    <s v="J"/>
    <s v="Pereira, AC; da Silva, MAD; Patel, US; Tanday, A; Hill, KB; Walmsley, AD"/>
    <s v=""/>
    <s v=""/>
    <s v=""/>
    <s v="Pereira, Andresa Costa; Dias da Silva, Marco Antonio; Patel, Upen S.; Tanday, Ajit; Hill, Kirsty B.; Walmsley, Anthony Damien"/>
    <s v=""/>
    <s v=""/>
    <s v="Using quizzes to provide an effective and more enjoyable dental education: A pilot study"/>
    <s v="EUROPEAN JOURNAL OF DENTAL EDUCATION"/>
    <s v=""/>
    <s v=""/>
    <s v="English"/>
    <x v="0"/>
    <s v=""/>
    <s v=""/>
    <s v=""/>
    <s v=""/>
    <s v=""/>
    <s v="feedback; formative assessment; gamification; medical education; online quiz"/>
    <s v="GAME"/>
    <s v="Introduction Increasingly, dental education is using digital strategies to deliver teaching; however, not all of these learning materials are engaging and effective. Aim To evaluate the perception and knowledge retention of undergraduate dental students after using two different digital learning tools: quizzes and PDF. Methods Thirty-three students from a Dental School in the United Kingdom took part in the research. They received learning material derived from the Prosthodontic (Kennedy classification) or Paediatric dentistry content (Tooth classification). The same content was delivered in two different formats: quiz game (n = 17) and PDF file (n = 16). The PDF file had ten images and their classifications, whilst the quiz had the same images with a question about the classification, along with alternatives (single best answer). Results All students gave similar performances on the knowledge assessment; however, their perception about the learning material differed. Students using quizzes (88%) agreed that they were fun and an interesting way of learning, while only 37.5% had this opinion about PDF material (p = .002). When using quizzes, learners were more motivated and confident. They would frequently recommend quizzes to other colleagues; however, the use of PDF was not suggested as frequently (p = .039). As a learning strategy, 100% of the students using quizzes wanted more of the same to study other dental subjects. This was not the case with the PDF format (p = .005). Conclusion Despite quizzes and PDF files resulting in a similar understanding of dental subjects, learners prefer quizzes to supplement their studies. Educators should consider using this interactive digital tool to engage students, instead of PDF files."/>
    <s v="[Pereira, Andresa Costa; Dias da Silva, Marco Antonio; Patel, Upen S.; Tanday, Ajit; Hill, Kirsty B.; Walmsley, Anthony Damien] Univ Birmingham, Birmingham, W Midlands, England; [Pereira, Andresa Costa; Dias da Silva, Marco Antonio] Univ Fed Campina Grande, Patos de Minas, Brazil"/>
    <s v="University of Birmingham; Universidade Federal de Campina Grande"/>
    <s v="Pereira, AC (corresponding author), Univ Birmingham, Birmingham, W Midlands, England."/>
    <s v="andresa@cstr.ufcg.edu.br"/>
    <s v="da Silva, Marco Antonio Dias/K-4730-2012"/>
    <s v="da Silva, Marco Antonio Dias/0000-0002-2774-4769; Pereira, Andresa Costa/0000-0002-3654-6123; Walmsley, Anthony Damien/0000-0003-4970-0764"/>
    <s v=""/>
    <s v=""/>
    <s v=""/>
    <s v=""/>
    <n v="18"/>
    <n v="1"/>
    <n v="1"/>
    <n v="2"/>
    <n v="15"/>
    <s v="WILEY"/>
    <s v="HOBOKEN"/>
    <s v="111 RIVER ST, HOBOKEN 07030-5774, NJ USA"/>
    <s v="1396-5883"/>
    <s v="1600-0579"/>
    <s v=""/>
    <s v="EUR J DENT EDUC"/>
    <s v="Eur. J. Dent. Educ."/>
    <s v="MAY"/>
    <n v="2022"/>
    <n v="26"/>
    <n v="2"/>
    <s v=""/>
    <s v=""/>
    <s v=""/>
    <s v=""/>
    <n v="404"/>
    <n v="408"/>
    <s v=""/>
    <s v="10.1111/eje.12716"/>
    <s v="http://dx.doi.org/10.1111/eje.12716"/>
    <s v=""/>
    <s v="SEP 2021"/>
    <n v="5"/>
    <s v="Dentistry, Oral Surgery &amp; Medicine; Education, Scientific Disciplines"/>
    <x v="2"/>
    <s v="Dentistry, Oral Surgery &amp; Medicine; Education &amp; Educational Research"/>
    <s v="0H4UO"/>
    <n v="34510674"/>
    <s v=""/>
    <s v=""/>
    <s v=""/>
    <s v="2023-11-15"/>
    <x v="423"/>
    <s v="View Full Record in Web of Science"/>
  </r>
  <r>
    <s v="J"/>
    <s v="Campos, AC; de Rezende, DC; Leme, PHMV; de Brito, MJ; Antonialli, LM"/>
    <s v=""/>
    <s v=""/>
    <s v=""/>
    <s v="Campos, Alyce Cardoso; de Rezende, Daniel Carvalho; Montagnana Vicente Leme, Paulo Henrique; de Brito, Mozar Jose; Antonialli, Luiz Marcelo"/>
    <s v=""/>
    <s v=""/>
    <s v="DIGITAL MARKETING IN CRISIS TIME"/>
    <s v="GESTAO E DESENVOLVIMENTO"/>
    <s v=""/>
    <s v=""/>
    <s v="Portuguese"/>
    <x v="0"/>
    <s v=""/>
    <s v=""/>
    <s v=""/>
    <s v=""/>
    <s v=""/>
    <s v="Digital strategies; Crisis; Integrative literature review"/>
    <s v=""/>
    <s v="The crisis can affect an organization for many reasons, including changes that occur in the market, technology, competition or even a pandemic currently experienced. With this, it is necessary to find solutions so that it is possible to work around the situation and continue operating in the market. This article aims to analyze what are the digital marketing strategies adopted by organizations in different crisis situations, including the Covid-19 pandemic. For this purpose, an integrative review of articles published in the Web of Science, Scopus, SPELL and SciELO databases was carried out. The results show that several strategies in the digital environment are capable of collaborating with the challenges that organizations face with globalization, such as investing in their websites, acting on their social media with content and campaigns, applications, virtual assistants, advertising and others. A research framework was created with the aim of synthesizing the findings of this integrative review. Organizations from different sectors can mirror these strategies to deal with the crisis they face or even join them so that they are not hit by unexpected adversities, resulting in loss of space or even their withdrawal from the market."/>
    <s v="[Campos, Alyce Cardoso] Univ Fed Lavras, Adm, Lavras, Brazil; [de Rezende, Daniel Carvalho; Montagnana Vicente Leme, Paulo Henrique; de Brito, Mozar Jose; Antonialli, Luiz Marcelo] Univ Fed Lavras, Lavras, Brazil"/>
    <s v="Universidade Federal de Lavras; Universidade Federal de Lavras"/>
    <s v="Campos, AC (corresponding author), Univ Fed Lavras, Adm, Lavras, Brazil."/>
    <s v="alycecardosoc@yahoo.com.br; rezendedc@gmail.com; paulo.leme@ufla.br; mozarbrito@gmail.com; lmantonialli@gmail.com"/>
    <s v=""/>
    <s v=""/>
    <s v=""/>
    <s v=""/>
    <s v=""/>
    <s v=""/>
    <n v="34"/>
    <n v="1"/>
    <n v="1"/>
    <n v="5"/>
    <n v="35"/>
    <s v="UNIV FEEVALE, INST CIENCIAS SOCIAIS APLICADASICSA"/>
    <s v="NOVO HAMBURGO"/>
    <s v="ERS 239, 2755-B VILA NOVA, NOVO HAMBURGO, CEP93525-075, BRAZIL"/>
    <s v="1807-5436"/>
    <s v="2446-6875"/>
    <s v=""/>
    <s v="GEST DESENVOLV"/>
    <s v="GEST. Desenvolv."/>
    <s v="SEP-DEC"/>
    <n v="2021"/>
    <n v="18"/>
    <n v="3"/>
    <s v=""/>
    <s v=""/>
    <s v=""/>
    <s v=""/>
    <n v="102"/>
    <n v="130"/>
    <s v=""/>
    <s v="10.25112/rgd.v18i3.2784"/>
    <s v="http://dx.doi.org/10.25112/rgd.v18i3.2784"/>
    <s v=""/>
    <s v=""/>
    <n v="29"/>
    <s v="Business"/>
    <x v="3"/>
    <s v="Business &amp; Economics"/>
    <s v="XL4JV"/>
    <s v=""/>
    <s v="gold"/>
    <s v=""/>
    <s v=""/>
    <s v="2023-11-15"/>
    <x v="424"/>
    <s v="View Full Record in Web of Science"/>
  </r>
  <r>
    <s v="J"/>
    <s v="Elangovan, P; Seshadri, S; Seetharaman, P"/>
    <s v=""/>
    <s v=""/>
    <s v=""/>
    <s v="Elangovan, Porkkovan; Seshadri, Sosmeta; Seetharaman, Priya"/>
    <s v=""/>
    <s v=""/>
    <s v="6B Model for Business-Aligned Digital Transformation"/>
    <s v="IT PROFESSIONAL"/>
    <s v=""/>
    <s v=""/>
    <s v="English"/>
    <x v="0"/>
    <s v=""/>
    <s v=""/>
    <s v=""/>
    <s v=""/>
    <s v=""/>
    <s v="Analytical models; Digital transformation; Organizations; Information age; Planning; Monitoring"/>
    <s v=""/>
    <s v="Digital transformation is a moving target for most organizations. Firms continue to be primarily focused on their business strategy or they are ahead of the curve on their technology strategy. Only those who find their sweet spot between these two are able to successfully traverse the transformation path. Prior research also indicates many enterprises fail to garner business value from their digital transformation efforts. This article is aimed at dovetailing the strategy and implementation steps through a 6B customer centric model. It provides a framework that can be leveraged by any organization that seeks to measure its business performance and strengthen its competitive business strategy supported by a well-defined digital strategy, executed through a concerted organizational change management exercise and continuously monitored using a business outcome analytics model. We present specific frameworks for each of these through an illustrative case from practice."/>
    <s v="[Elangovan, Porkkovan] Cognizant Technol Solut, Teaneck, NJ 07666 USA; [Seshadri, Sosmeta] Cognizant Technol Solut, Chennai 600119, Tamil Nadu, India; [Seetharaman, Priya] Indian Inst Management Calcutta, Kolkata 700104, India"/>
    <s v="Indian Institute of Management (IIM System); Indian Institute of Management Calcutta"/>
    <s v="Elangovan, P (corresponding author), Cognizant Technol Solut, Teaneck, NJ 07666 USA."/>
    <s v=""/>
    <s v=""/>
    <s v=""/>
    <s v=""/>
    <s v=""/>
    <s v=""/>
    <s v=""/>
    <n v="1"/>
    <n v="1"/>
    <n v="1"/>
    <n v="6"/>
    <n v="42"/>
    <s v="IEEE COMPUTER SOC"/>
    <s v="LOS ALAMITOS"/>
    <s v="10662 LOS VAQUEROS CIRCLE, PO BOX 3014, LOS ALAMITOS, CA 90720-1314 USA"/>
    <s v="1520-9202"/>
    <s v="1941-045X"/>
    <s v=""/>
    <s v="IT PROF"/>
    <s v="IT Prof."/>
    <s v="SEPT 1"/>
    <n v="2021"/>
    <n v="23"/>
    <n v="5"/>
    <s v=""/>
    <s v=""/>
    <s v=""/>
    <s v=""/>
    <n v="17"/>
    <n v="22"/>
    <s v=""/>
    <s v="10.1109/MITP.2021.3069910"/>
    <s v="http://dx.doi.org/10.1109/MITP.2021.3069910"/>
    <s v=""/>
    <s v=""/>
    <n v="6"/>
    <s v="Computer Science, Information Systems; Computer Science, Software Engineering; Telecommunications"/>
    <x v="2"/>
    <s v="Computer Science; Telecommunications"/>
    <s v="WG2LT"/>
    <s v=""/>
    <s v=""/>
    <s v=""/>
    <s v=""/>
    <s v="2023-11-15"/>
    <x v="425"/>
    <s v="View Full Record in Web of Science"/>
  </r>
  <r>
    <s v="J"/>
    <s v="Arayesh, MB; Rezaeirad, M; Aidi, M; Lamuki, TG"/>
    <s v=""/>
    <s v=""/>
    <s v=""/>
    <s v="Arayesh, Mohammad Bagher; Rezaeirad, Mostafa; Aidi, Mohammad; Lamuki, Tohfeh Ghobadi"/>
    <s v=""/>
    <s v=""/>
    <s v="Modeling the platform-based banking in commercial banks of Iran"/>
    <s v="JOURNAL OF BANKING REGULATION"/>
    <s v=""/>
    <s v=""/>
    <s v="English"/>
    <x v="0"/>
    <s v=""/>
    <s v=""/>
    <s v=""/>
    <s v=""/>
    <s v=""/>
    <s v="Platform banking; Commercial banks; Grounded theory; The banking industry"/>
    <s v=""/>
    <s v="Platform-based banking provides opportunities for financial systems to increasing competition, stimulating a FinTech economy, and improving the availability and quality of service to the customers. Platform-based banking is a system that provides a user with a network of financial institution's data through the use of application programming interfaces. With the help of platform banking, it is easy to show how data be created, accessed, and shared. The purpose of this paper is to provide a model of platform banking in commercial banks of Iran by benefiting banking experts. A mixed method was used in the present research including qualitative and quantitative analysis. The qualitative strategy of the present study is based on the grounded theory method, and the quantitative strategy is conducted using the structural equation model based on the Strauss and Corbin model. The main tool for collecting qualitative information was semi-structured interviews, in which the data were coded in three stages: open, axial, and selective coding. In the quantitative phase, the descriptive survey method was used to analyze and explain the proposed model through structural equations and using SmartPLS software. According to the codes which were obtained from the interviews, the 373 final codes were extracted in the form of 51 concepts, 25 sub-categories, and 6 main categories. In the quantitative part of the research, causal relationships between variables and testing the research hypotheses were performed. The findings show that the platform banking model has six components such as economic management and banking process reform, customers experience management, infrastructure engineering, and implementation mechanisms, digital strategic management of customer, and facilitate the achievement of structural productivity and digital governance in the shadow of knowledge partnerships with competing partners. Developing a model of platform banking model depends on the superior management of these components. Also, the research results indicate the confirmation of the conceptual model presented using the structural equation model. All structural model fit indices had acceptable values."/>
    <s v="[Arayesh, Mohammad Bagher] Islamic Azad Univ, Dept Management, Hamedan Branch, Hamadan, Hamadan, Iran; [Rezaeirad, Mostafa] Univ Boalisina, Dept Management &amp; Accounting, Hamadan, Hamadan, Iran; [Aidi, Mohammad] Univ Ilam, Dept Management, Ilam, Iran; [Lamuki, Tohfeh Ghobadi] Islamic Azad Univ, Dept Management, Gonbad Kavoos Branch, Gonbad Kavoos, Iran"/>
    <s v="Islamic Azad University; Islamic Azad University"/>
    <s v="Rezaeirad, M (corresponding author), Univ Boalisina, Dept Management &amp; Accounting, Hamadan, Hamadan, Iran."/>
    <s v="m.rezaeirad@basu.ac.ir"/>
    <s v=""/>
    <s v=""/>
    <s v=""/>
    <s v=""/>
    <s v=""/>
    <s v=""/>
    <n v="39"/>
    <n v="1"/>
    <n v="1"/>
    <n v="2"/>
    <n v="13"/>
    <s v="PALGRAVE MACMILLAN LTD"/>
    <s v="BASINGSTOKE"/>
    <s v="BRUNEL RD BLDG, HOUNDMILLS, BASINGSTOKE RG21 6XS, HANTS, ENGLAND"/>
    <s v="1745-6452"/>
    <s v="1750-2071"/>
    <s v=""/>
    <s v="J BANK REGUL"/>
    <s v="J. Bank Regul."/>
    <s v="DEC"/>
    <n v="2022"/>
    <n v="23"/>
    <n v="4"/>
    <s v=""/>
    <s v=""/>
    <s v=""/>
    <s v=""/>
    <n v="351"/>
    <n v="367"/>
    <s v=""/>
    <s v="10.1057/s41261-021-00169-x"/>
    <s v="http://dx.doi.org/10.1057/s41261-021-00169-x"/>
    <s v=""/>
    <s v="JUL 2021"/>
    <n v="17"/>
    <s v="Business, Finance"/>
    <x v="3"/>
    <s v="Business &amp; Economics"/>
    <s v="5V1DW"/>
    <s v=""/>
    <s v=""/>
    <s v=""/>
    <s v=""/>
    <s v="2023-11-15"/>
    <x v="426"/>
    <s v="View Full Record in Web of Science"/>
  </r>
  <r>
    <s v="J"/>
    <s v="Khan, IA"/>
    <s v=""/>
    <s v=""/>
    <s v=""/>
    <s v="Khan, Intakhab Alam"/>
    <s v=""/>
    <s v=""/>
    <s v="Attention Deficit Hyperactivity Disorder among English language learners of Sterilization program amidst COVID-19"/>
    <s v="PAKISTAN JOURNAL OF MEDICAL &amp; HEALTH SCIENCES"/>
    <s v=""/>
    <s v=""/>
    <s v="English"/>
    <x v="0"/>
    <s v=""/>
    <s v=""/>
    <s v=""/>
    <s v=""/>
    <s v=""/>
    <s v="ADHD; English language; sterilization; Attention deficit hyperactivity; digital strategies; motivation"/>
    <s v="STUDENTS; ADHD"/>
    <s v="Background: This study explored the prevalence of Attention Deficit Hyperactivity Disorder (ADHD) among the students of 'sterilization program' while learning English language amidst COVID-19 in Saudi Arabia. Aim: To diagnose ADHD among the learners, and later propose some digital strategies to motivate the learners for resilience. Methods: A qualitative exploratory study was undertaken in April, 2020. A diagnostic tool was administered to 41 students pursuing 'Sterilization program' at king Abdulaziz University in Kingdom of Saudi Arabia (KSA). Later, learners with ADHD (N=9) were selected for in-depth study. Data was collected using the ADHD self-report scale V1.1 screener. Results Five professors from the concerned department were purposively selected for the interviews for qualitative analysis using thematic analysis. Confidentiality and anonymity was ensured as per the ethical standard. Many students demonstrate signs of ADHD, therefore there is a need of assessment and intervention. Teachers, counselors and managers need to take care of such learners. Conclusions: Conclusions were drawn that students with ADHD need relevant interventions in general and specific pedagogy."/>
    <s v="[Khan, Intakhab Alam] King Abdulaziz Univ, Jeddah, Saudi Arabia"/>
    <s v="King Abdulaziz University"/>
    <s v="Khan, IA (corresponding author), King Abdulaziz Univ, Jeddah, Saudi Arabia."/>
    <s v="ikhan1@kau.edu.sa"/>
    <s v="Khan, Intakhab Alam/J-4924-2012"/>
    <s v="Khan, Intakhab Alam/0000-0001-7058-2200"/>
    <s v="Deanship of Scientific Research (DSR), King Abdul Aziz University, Jeddah [D: 155-156-1435]; DSR"/>
    <s v="Deanship of Scientific Research (DSR), King Abdul Aziz University, Jeddah; DSR"/>
    <s v="This project was funded by the Deanship of Scientific Research (DSR), King Abdul Aziz University, Jeddah, under grant no. D: 155-156-1435. The author, therefore, acknowledges with thanks DSR technical and financial support."/>
    <s v=""/>
    <n v="12"/>
    <n v="1"/>
    <n v="1"/>
    <n v="0"/>
    <n v="5"/>
    <s v="LAHORE MEDICAL &amp; DENTAL COLL"/>
    <s v="LAHORE"/>
    <s v="CANAL BANK N, TULSPURA, LAHORE, 00000, PAKISTAN"/>
    <s v="1996-7195"/>
    <s v=""/>
    <s v=""/>
    <s v="PAK J MED HEALTH SCI"/>
    <s v="Pak. J. Med. Health Sci."/>
    <s v="JUL"/>
    <n v="2021"/>
    <n v="15"/>
    <n v="7"/>
    <s v=""/>
    <s v=""/>
    <s v=""/>
    <s v=""/>
    <n v="1668"/>
    <n v="1671"/>
    <s v=""/>
    <s v="10.53350/pjmhs211571668"/>
    <s v="http://dx.doi.org/10.53350/pjmhs211571668"/>
    <s v=""/>
    <s v=""/>
    <n v="4"/>
    <s v="Medicine, General &amp; Internal"/>
    <x v="3"/>
    <s v="General &amp; Internal Medicine"/>
    <s v="UI2PM"/>
    <s v=""/>
    <s v="Bronze"/>
    <s v=""/>
    <s v=""/>
    <s v="2023-11-15"/>
    <x v="427"/>
    <s v="View Full Record in Web of Science"/>
  </r>
  <r>
    <s v="J"/>
    <s v="Ponis, ST; Lada, C"/>
    <s v=""/>
    <s v=""/>
    <s v=""/>
    <s v="Ponis, Stavros T.; Lada, Chrysanthi"/>
    <s v=""/>
    <s v=""/>
    <s v="Digital transformation in the Greek fashion industry: A survey"/>
    <s v="INTERNATIONAL JOURNAL OF FASHION DESIGN TECHNOLOGY AND EDUCATION"/>
    <s v=""/>
    <s v=""/>
    <s v="English"/>
    <x v="0"/>
    <s v=""/>
    <s v=""/>
    <s v=""/>
    <s v=""/>
    <s v=""/>
    <s v="Digital transformation; Industry 4; 0; fashion industry; survey"/>
    <s v=""/>
    <s v="The purpose of this study is to explore the emerging issue of Digital Transformation (DT) in the Greek fashion industry, which according to literature, is highly fragmented, populated by a large number of digitally immature SMEs and financially strained, even before the outburst of the COVID-19 crisis. This paper aims to explore the current level of knowledge, understanding and adoption of Digital Transformation from fashion companies in Greece, by evaluating the results of an online survey of sixty middle and top-level executives from the fashion industry. The descriptive analysis of the survey data reveals the aforementioned technology lag and -among other findings- showcases the need for a more comprehensive, efficient, structured, less fragmented and coordinated approach towards developing a digital strategy and implementation roadmap that will guide fashion companies through the harsh realities of the post-COVID19 era, as dictated and imposed by the 'next normal' for manufacturers and retailers all over the world."/>
    <s v="[Ponis, Stavros T.; Lada, Chrysanthi] Natl Tech Univ Athens, Sch Mech Engn, Athens, Greece"/>
    <s v="National Technical University of Athens"/>
    <s v="Ponis, ST (corresponding author), Sch Mech Engn, Heroon Polytech 9, Athens 15780, Greece."/>
    <s v="staponis@central.ntua.gr"/>
    <s v="PONIS, STAVROS T/AAC-9945-2019"/>
    <s v="PONIS, STAVROS T/0000-0002-9544-9219"/>
    <s v=""/>
    <s v=""/>
    <s v=""/>
    <s v=""/>
    <n v="25"/>
    <n v="1"/>
    <n v="1"/>
    <n v="0"/>
    <n v="1"/>
    <s v="TAYLOR &amp; FRANCIS LTD"/>
    <s v="ABINGDON"/>
    <s v="2-4 PARK SQUARE, MILTON PARK, ABINGDON OR14 4RN, OXON, ENGLAND"/>
    <s v="1754-3266"/>
    <s v="1754-3274"/>
    <s v=""/>
    <s v="INT J FASH DES TECHN"/>
    <s v="Int. J. Fash. Des. Technol. Educ."/>
    <s v="MAY 4"/>
    <n v="2021"/>
    <n v="14"/>
    <n v="2"/>
    <s v=""/>
    <s v=""/>
    <s v=""/>
    <s v=""/>
    <n v="162"/>
    <n v="172"/>
    <s v=""/>
    <s v="10.1080/17543266.2021.1903085"/>
    <s v="http://dx.doi.org/10.1080/17543266.2021.1903085"/>
    <s v=""/>
    <s v=""/>
    <n v="11"/>
    <s v="Business; Materials Science, Textiles"/>
    <x v="3"/>
    <s v="Business &amp; Economics; Materials Science"/>
    <s v="7A2BX"/>
    <s v=""/>
    <s v=""/>
    <s v=""/>
    <s v=""/>
    <s v="2023-11-15"/>
    <x v="428"/>
    <s v="View Full Record in Web of Science"/>
  </r>
  <r>
    <s v="J"/>
    <s v="Soliman, M; Karia, N"/>
    <s v=""/>
    <s v=""/>
    <s v=""/>
    <s v="Soliman, Mohamed; Karia, Noorliza"/>
    <s v=""/>
    <s v=""/>
    <s v="Investigating ERP Readiness Enablers and Inhibitors Among Egyptian Higher Education Institutions"/>
    <s v="GLOBAL BUSINESS REVIEW"/>
    <s v=""/>
    <s v=""/>
    <s v="English"/>
    <x v="2"/>
    <s v=""/>
    <s v=""/>
    <s v=""/>
    <s v=""/>
    <s v=""/>
    <s v="Higher education; higher education institutions; enablers; inhibitors; technological readiness; TRI; enterprise resource planning adoption; Egypt"/>
    <s v="ORGANIZATION-ENVIRONMENT FRAMEWORK; CLOUD COMPUTING ADOPTION; INFORMATION-TECHNOLOGY; DETERMINANTS; SYSTEMS; IDENTIFICATION; MODEL"/>
    <s v="In light of higher education institutions (HEIs) need to implement intelligent, innovative systems for their digital strategic transformation to stay competitive, the enterprise resource planning (ERP) system can tailor solutions to such technological problems through its integration characteristic. The present study sheds light on the emergence of enablers and inhibitors, explaining technological readiness insight for ERP adoption. The study aims to understand better ERP readiness among HEIs to ease the substantial change required for the adoption process. The findings show a profound perception of ERP systems among 112 Egyptian HEIs, demonstrating that HEIs are technologically ready for adoption. Results reveal that HEIs have positive ERP readiness, although HEIs' managers are still uncertain and expect some ERP inhibitors. Therefore, ERP adoption is principally contingent on perceiving enablers and eliminating any inhibitors comprising ERP technological readiness. This study delivers practical verification to the higher education context by advancing ERP concepts and characteristics from the HEIs' perspective. This study, finally, suggests that ERP adoption is beneficial for HEIs"/>
    <s v="[Soliman, Mohamed; Karia, Noorliza] Univ Sains Malaysia, Sch Management, Gelugor 11800, Penang, Malaysia"/>
    <s v="Universiti Sains Malaysia"/>
    <s v="Karia, N (corresponding author), Univ Sains Malaysia, Sch Management, Gelugor 11800, Penang, Malaysia."/>
    <s v="noorliza@usm.my"/>
    <s v="Karia, Noorliza/E-3948-2012; Mohamed Soliman, Mohamed Soliman/I-1974-2018"/>
    <s v="Karia, Noorliza/0000-0002-1449-9979; Mohamed Soliman, Mohamed Soliman/0000-0003-2212-3813"/>
    <s v="USM fellowship from the Institute of Postgraduate Studies (IPS) in Universiti Sains Malaysia (USM)"/>
    <s v="USM fellowship from the Institute of Postgraduate Studies (IPS) in Universiti Sains Malaysia (USM)"/>
    <s v="This research is supported by the USM fellowship from the Institute of Postgraduate Studies (IPS) in Universiti Sains Malaysia (USM). The authors would like to thank the School of Management (SOM) for providing any facilities for this research. Also, the authors are grateful to the anonymous referees of the journal for their extremely useful suggestions to improve the quality of the article. Usual disclaimers apply."/>
    <s v=""/>
    <n v="80"/>
    <n v="1"/>
    <n v="1"/>
    <n v="2"/>
    <n v="15"/>
    <s v="SAGE PUBLICATIONS LTD"/>
    <s v="LONDON"/>
    <s v="1 OLIVERS YARD, 55 CITY ROAD, LONDON EC1Y 1SP, ENGLAND"/>
    <s v="0972-1509"/>
    <s v="0973-0664"/>
    <s v=""/>
    <s v="GLOB BUS REV"/>
    <s v="Glob. Bus. Rev."/>
    <s v="2021 APR 20"/>
    <n v="2021"/>
    <s v=""/>
    <s v=""/>
    <s v=""/>
    <s v=""/>
    <s v=""/>
    <s v=""/>
    <s v=""/>
    <s v=""/>
    <n v="972150920988652"/>
    <s v="10.1177/0972150920988652"/>
    <s v="http://dx.doi.org/10.1177/0972150920988652"/>
    <s v=""/>
    <s v="APR 2021"/>
    <n v="19"/>
    <s v="Business"/>
    <x v="3"/>
    <s v="Business &amp; Economics"/>
    <s v="RU5GQ"/>
    <s v=""/>
    <s v=""/>
    <s v=""/>
    <s v=""/>
    <s v="2023-11-15"/>
    <x v="429"/>
    <s v="View Full Record in Web of Science"/>
  </r>
  <r>
    <s v="J"/>
    <s v="Arayesh, MB; Rezaeirad, M; Aidi, M; Lamoki, TG"/>
    <s v=""/>
    <s v=""/>
    <s v=""/>
    <s v="Arayesh, Mohammad Bagher; Rezaeirad, Mostafa; Aidi, Mohammad; Lamoki, Tohfeh Ghobadi"/>
    <s v=""/>
    <s v=""/>
    <s v="Thematic analysis on a model of implementation of open and technological banking in commercial banks in Iran"/>
    <s v="REVISTA DE LA UNIVERSIDAD DEL ZULIA"/>
    <s v=""/>
    <s v=""/>
    <s v="English"/>
    <x v="0"/>
    <s v=""/>
    <s v=""/>
    <s v=""/>
    <s v=""/>
    <s v=""/>
    <s v="Open Banking; Thematic Analysis; Implementation; Commercial Banks of Iran"/>
    <s v=""/>
    <s v="The purpose of this study was the thematic analysis on a model of implementation of open and technological banking in commercial banks in Iran. It is an applied study; in terms of method, qualitative; And in terms of research philosophy, it is a kind of interpretive research. To analyze the data from the semi-structured interviews, a thematic analysis was used. The population of this study included 20 knowledgeable people (experts in banking and university professors in the field of open banking, as well as appropriate texts for the extraction of indicators). In this investigation a snowball approach was used to select samples. As a standard for the end of sampling, the thematic saturation method is used. The topics were obtained using the two sources of theoretical literature and semi-structured interviews. The result of the qualitative data analysis led to the identification of 25 basic issues, 6 organizational issues and finally 4 contextual issues including productivity and digital governance in the shadow of knowledge, alliances with competing partners, customer experience management, digital strategic management of economic and customer management, and reform of banking processes, all presented in the form of a model. Finally, suggestions were made in this area based on the results."/>
    <s v="[Arayesh, Mohammad Bagher] Islamic Azad Univ, Hamedan Branch, Business Management, Hamadan, Hamadan, Iran; [Rezaeirad, Mostafa] Univ Hamedan, Fac Humanities, Hamadan, Hamadan, Iran; [Aidi, Mohammad] Univ Ilam, Fac Humanities, Ilam, Iran; [Lamoki, Tohfeh Ghobadi] Islamic Azad Univ, Fac Humanities, Hamedan Branch, Hamadan, Hamadan, Iran"/>
    <s v="Islamic Azad University; Islamic Azad University"/>
    <s v="Arayesh, MB (corresponding author), Islamic Azad Univ, Hamedan Branch, Business Management, Hamadan, Hamadan, Iran."/>
    <s v="arayesh.b@gmail.com; m.rezaeirad@basu.ac.ir; M.aidi@ilam.ac.ir; t_ghobadi@yahoo.com"/>
    <s v=""/>
    <s v=""/>
    <s v=""/>
    <s v=""/>
    <s v=""/>
    <s v=""/>
    <n v="31"/>
    <n v="1"/>
    <n v="1"/>
    <n v="1"/>
    <n v="10"/>
    <s v="UNIV ZULIA, FAC HUMANIDADES EDUCACION, CENTRO INVE"/>
    <s v="MARACAIBO"/>
    <s v="APARTADO 526, MARACAIBO, ZULIA 00000, VENEZUELA"/>
    <s v="0041-8811"/>
    <s v=""/>
    <s v=""/>
    <s v="REV UNIV ZULIA"/>
    <s v="Rev. Univ. Zulia"/>
    <s v="JAN-APR"/>
    <n v="2021"/>
    <n v="12"/>
    <n v="32"/>
    <s v=""/>
    <s v=""/>
    <s v=""/>
    <s v=""/>
    <n v="414"/>
    <n v="443"/>
    <s v=""/>
    <s v="10.46925//rdluz.32.25"/>
    <s v="http://dx.doi.org/10.46925//rdluz.32.25"/>
    <s v=""/>
    <s v=""/>
    <n v="30"/>
    <s v="Social Sciences, Interdisciplinary"/>
    <x v="3"/>
    <s v="Social Sciences - Other Topics"/>
    <s v="QR6YK"/>
    <s v=""/>
    <s v="hybrid"/>
    <s v=""/>
    <s v=""/>
    <s v="2023-11-15"/>
    <x v="430"/>
    <s v="View Full Record in Web of Science"/>
  </r>
  <r>
    <s v="J"/>
    <s v="Atencio, P; Sánchez-Torres, G; Palomino, RI; Bedoya, JWB; Burgos, D"/>
    <s v=""/>
    <s v=""/>
    <s v=""/>
    <s v="Atencio, Pedro; Sanchez-Torres, German; Palomino, Rene Iral; Bedoya, John W. Branch; Burgos, Daniel"/>
    <s v=""/>
    <s v=""/>
    <s v="Conceptual architecture of the epidemiological surveillance technology platform for COVID-19"/>
    <s v="CAMPUS VIRTUALES"/>
    <s v=""/>
    <s v=""/>
    <s v="Spanish"/>
    <x v="0"/>
    <s v=""/>
    <s v=""/>
    <s v=""/>
    <s v=""/>
    <s v=""/>
    <s v="COVID-19; Artificial intelligence; Data analytics; Digital transformation"/>
    <s v="DIGITAL TRANSFORMATION"/>
    <s v="Since SARS-CoV-2 is likely to become endemic in many countries, it will require not only short-term support but also long-term support, as social distancing policies cannot be extended for long. Therefore, a technological platform for epidemiological surveillance can represent a fundamental tool. The impact of the project is essential for public health actors to design and evaluate policies aimed at the safe reactivation of social activities after social distancing policies are suspended. We also consider this software service as a basic piece in the Digital Transformation strategy, since it allows us to anticipate the behaviors and necessary resources that adapt the needs with the provision in a dynamic way, but adjusted to reality. This anticipation approach becomes a pillar in the digital strategy of any company, Administration and education center. The tool includes a mechanism based on Artificial Intelligence for data analysis in order to have a dynamic understanding of symptoms, evolution, social space-time data and the relationships between them, which will allow the relevant entities to optimize resources such as virus detection tests and positive test controls."/>
    <s v="[Atencio, Pedro] Inst Tecnol Metropolitano, Medellin, Colombia; [Sanchez-Torres, German] Univ Magdalena, Magdalena, Colombia; [Palomino, Rene Iral; Bedoya, John W. Branch] Univ Nacl Colombia, Sede Medellin, Medellin, Colombia; [Burgos, Daniel] Univ Int La Rioja UNIR, Logrono, Spain"/>
    <s v="Universidad del Magdalena; Universidad Nacional de Colombia; Universidad Internacional de La Rioja (UNIR)"/>
    <s v="Atencio, P (corresponding author), Inst Tecnol Metropolitano, Medellin, Colombia."/>
    <s v="pedroatencio@itm.edu.co; gsanchez@unimagdalena.edu.co; riral@unal.edu.co; jwbranch@unal.edu.co; daniel.burgos@unir.net"/>
    <s v=""/>
    <s v=""/>
    <s v=""/>
    <s v=""/>
    <s v=""/>
    <s v=""/>
    <n v="51"/>
    <n v="1"/>
    <n v="2"/>
    <n v="1"/>
    <n v="6"/>
    <s v="RED UNIV CAMPUS VIRTUALES"/>
    <s v="HUELVA"/>
    <s v="AVENIDA DE MARZO, HUELVA, 21071, SPAIN"/>
    <s v="2255-1514"/>
    <s v=""/>
    <s v=""/>
    <s v="CAMPUS VIRTUALES"/>
    <s v="Campus Virtuales"/>
    <s v="JAN"/>
    <n v="2021"/>
    <n v="10"/>
    <n v="1"/>
    <s v=""/>
    <s v=""/>
    <s v=""/>
    <s v=""/>
    <n v="21"/>
    <n v="34"/>
    <s v=""/>
    <s v=""/>
    <s v=""/>
    <s v=""/>
    <s v=""/>
    <n v="14"/>
    <s v="Education &amp; Educational Research"/>
    <x v="3"/>
    <s v="Education &amp; Educational Research"/>
    <s v="QB8UZ"/>
    <s v=""/>
    <s v=""/>
    <s v=""/>
    <s v=""/>
    <s v="2023-11-15"/>
    <x v="431"/>
    <s v="View Full Record in Web of Science"/>
  </r>
  <r>
    <s v="J"/>
    <s v="Lopera-Zuluaga, EC; Marín-Ochoa, BE; García-Franco, LL"/>
    <s v=""/>
    <s v=""/>
    <s v=""/>
    <s v="Camilo Lopera-Zuluaga, Edwar; Elena Marin-Ochoa, Beatriz; Luveny Garcia-Franco, Lady"/>
    <s v=""/>
    <s v=""/>
    <s v="Digital learnings built with children in situation of school socioeconomic segregation"/>
    <s v="REVISTA IBEROAMERICANA DE EDUCACION"/>
    <s v=""/>
    <s v=""/>
    <s v="Spanish"/>
    <x v="0"/>
    <s v=""/>
    <s v=""/>
    <s v=""/>
    <s v=""/>
    <s v=""/>
    <s v="Disadvantaged schools; elementary school students; learning strategies; action research; teacher researcher; technology education"/>
    <s v="EDUCATION; STUDENTS; CHOICE"/>
    <s v="We, teachers in Latin America, live between the potential of digital school and, at the same time, the actual situation of school socioeconomic segregation of our students. Therefore, we ask: how to build digital learning despite the situation of socioeconomic school segregation? When defining itself, what learning can boys and girls build? Both, a teacher researcher and 71 girls and boys between 9-13 years old, built an action research that consisted of the use of a digital strategy in computational thinking, in addition, the execution of class workshops, focus groups and a family recovery of the lived experience to capitalize built learning. We used a qualitative analysis assisted by the Atlas ti software -version 8-. We grounded on data eight learnings built by girls and boys: spontaneous learning; to censor content; to teach the family; to identify their own learning; to belong to online communities; to know how to play; feelings about learning; and, school usefulness of technology. Finally, we discuss the findings within the research background, its methodological and practical implications."/>
    <s v="[Camilo Lopera-Zuluaga, Edwar; Elena Marin-Ochoa, Beatriz] Univ Pontificia Bolivariana UPB, Medellin, Colombia; [Luveny Garcia-Franco, Lady] Secretaria Educ Bello, Bello, Colombia"/>
    <s v=""/>
    <s v="Lopera-Zuluaga, EC (corresponding author), Univ Pontificia Bolivariana UPB, Medellin, Colombia."/>
    <s v=""/>
    <s v=""/>
    <s v=""/>
    <s v=""/>
    <s v=""/>
    <s v=""/>
    <s v=""/>
    <n v="64"/>
    <n v="1"/>
    <n v="1"/>
    <n v="0"/>
    <n v="6"/>
    <s v="ORGANIZACION ESTADOS IBEROAMERICANOS EDUCACION CIENCIA &amp; CULTURA-OEI"/>
    <s v="MADRID"/>
    <s v="BRAVO MURILLO 38, MADRID, 28015, SPAIN"/>
    <s v="1022-6508"/>
    <s v="1681-5653"/>
    <s v=""/>
    <s v="REV IBEROAM EDUC"/>
    <s v="Rev. Iberoam. Educ."/>
    <s v="JAN-APR"/>
    <n v="2021"/>
    <n v="85"/>
    <n v="1"/>
    <s v=""/>
    <s v=""/>
    <s v=""/>
    <s v=""/>
    <n v="159"/>
    <n v="183"/>
    <s v=""/>
    <s v="10.35362/rie8514100"/>
    <s v="http://dx.doi.org/10.35362/rie8514100"/>
    <s v=""/>
    <s v=""/>
    <n v="25"/>
    <s v="Education &amp; Educational Research"/>
    <x v="3"/>
    <s v="Education &amp; Educational Research"/>
    <s v="PU9RS"/>
    <s v=""/>
    <s v="gold"/>
    <s v=""/>
    <s v=""/>
    <s v="2023-11-15"/>
    <x v="432"/>
    <s v="View Full Record in Web of Science"/>
  </r>
  <r>
    <s v="J"/>
    <s v="Jung, CM"/>
    <s v=""/>
    <s v=""/>
    <s v=""/>
    <s v="Jung, Chang Mo"/>
    <s v=""/>
    <s v=""/>
    <s v="DRIVERS AND CONSEQUENCES OF BUSINESS-REFERENCE-CONTENT (BRC): THE ROLE OF NARRATIVE TRANSPORTATION IN B2B COMMUNICATION"/>
    <s v="JOURNAL OF BUSINESS ECONOMICS AND MANAGEMENT"/>
    <s v=""/>
    <s v=""/>
    <s v="English"/>
    <x v="0"/>
    <s v=""/>
    <s v=""/>
    <s v=""/>
    <s v=""/>
    <s v=""/>
    <s v="B2B content marketing; business-reference content; B2B digital-marketing; narrative content; narrative transportation; B2B purchase risk"/>
    <s v="PERCEIVED RISK; CUSTOMER REFERENCES; SOCIAL MEDIA; ADS; METAANALYSIS; STORIES; WORK"/>
    <s v="COVID-19 is bringing changes in B2B sales and marketing strategies. Digital interaction with potential customers has become more critical. Business-reference content (BRC) is the most shared content, mainly using narrative format, available to potential customers through digital touchpoints. Reducing perceived purchasing risk has been recognized as the primary benefit of using BRC, but empirical research on this has been insufficient. Therefore, this research investigated the underlying mechanisms of BRC and related processes that lower risk perception based on narrative transportation theory. For empirical analysis, a serial-parallel mediating model was established in which BRC type (narrative versus non-narrative) influences purchase intention through the mediation of narrative transportation and perceived purchase risks - functional risk and financial risk. In this experimental study, an online survey was conducted in which 233 purchasing managers in Korean companies participated. The analysis confirmed that the BRC type had a significant effect on the level of receivers' narrative transportation. In addition, serial-parallel mediating effects through narrative transportation (primary mediator) and perceived functional risk and perceived financial risk (secondary mediators) were all significant. This research provides meaningful implications in that it broadens the theoretical understanding of BRC by presenting the integrated BRC effect model. Also, it clarifies the importance of narrative BRC in B2B marketing practices."/>
    <s v="[Jung, Chang Mo] Yonsei Univ, Sch Business Adm, Seoul, South Korea"/>
    <s v="Yonsei University"/>
    <s v="Jung, CM (corresponding author), Yonsei Univ, Sch Business Adm, Seoul, South Korea."/>
    <s v="2011313041@yonsei.ac.kr"/>
    <s v=""/>
    <s v="Jung, Chang Mo/0000-0003-4684-528X"/>
    <s v=""/>
    <s v=""/>
    <s v=""/>
    <s v=""/>
    <n v="65"/>
    <n v="1"/>
    <n v="1"/>
    <n v="8"/>
    <n v="67"/>
    <s v="VILNIUS GEDIMINAS TECH UNIV"/>
    <s v="VILNIUS"/>
    <s v="SAULETEKIO AL 11, VILNIUS, LT-10223, LITHUANIA"/>
    <s v="1611-1699"/>
    <s v="2029-4433"/>
    <s v=""/>
    <s v="J BUS ECON MANAG"/>
    <s v="J. Bus. Econ. Manag."/>
    <s v=""/>
    <n v="2021"/>
    <n v="22"/>
    <n v="5"/>
    <s v=""/>
    <s v=""/>
    <s v=""/>
    <s v=""/>
    <n v="1323"/>
    <n v="1341"/>
    <s v=""/>
    <s v="10.3846/jbem.2021.15527"/>
    <s v="http://dx.doi.org/10.3846/jbem.2021.15527"/>
    <s v=""/>
    <s v=""/>
    <n v="19"/>
    <s v="Business; Economics"/>
    <x v="0"/>
    <s v="Business &amp; Economics"/>
    <s v="WH2GJ"/>
    <s v=""/>
    <s v="gold"/>
    <s v=""/>
    <s v=""/>
    <s v="2023-11-15"/>
    <x v="433"/>
    <s v="View Full Record in Web of Science"/>
  </r>
  <r>
    <s v="J"/>
    <s v="Limongi, R; Dias, APC; da Silva, ALB; de Oliveira, DS; Freire, OBD"/>
    <s v=""/>
    <s v=""/>
    <s v=""/>
    <s v="Limongi, Ricardo; Candida Dias, Ana Paula; Barbosa da Silva, Andre Luiz; de Oliveira, Denise Santos; de Lamonica Freire, Otavio Bandeira"/>
    <s v=""/>
    <s v=""/>
    <s v="From Off to On in the Wholesale Fashion Market: the Potential of Digital Influencers"/>
    <s v="ADMINISTRACAO-ENSINO E PESQUISA"/>
    <s v=""/>
    <s v=""/>
    <s v="English"/>
    <x v="0"/>
    <s v=""/>
    <s v=""/>
    <s v=""/>
    <s v=""/>
    <s v=""/>
    <s v="digital influencers; shopping; digital marketing; fashion"/>
    <s v="CELEBRITY ENDORSEMENTS; SOCIAL MEDIA; ATTITUDES; BLOGGERS"/>
    <s v="This teaching case addresses implementing a wholesale fashion mall's online channel that previously had its non-offline marketing strategies. The mall managed the change due to the drop in the store occupancy rate between 2018 and 2019. The mall managers prioritized the marketing team that opted to evolve towards the digital environment, a newsletter for using the digital strategy with digital influencers. Thus, this case's objective is to promote the difficulties in choosing digital influencers and especially concerning the results selected in addition to digital media."/>
    <s v="[Limongi, Ricardo] Fundacao Getulio Vargas, Mkt, Goiania, Go, Brazil; [Candida Dias, Ana Paula] Pontificia Univ Catolica Goias, Adm, Goiania, Go, Brazil; [Barbosa da Silva, Andre Luiz] Fundacao Getulio Vargas, Adm, Goiania, Go, Brazil; [de Oliveira, Denise Santos] Univ Fed Goias, Adm, Brasilia, DF, Brazil; [de Lamonica Freire, Otavio Bandeira] Univ Sao Paulo, Comuncat, Sao Paulo, SP, Brazil"/>
    <s v="Escola de Pos-Graduacao em Economia (EPGE); Getulio Vargas Foundation; Pontificia Universidade Catolica de Goias; Escola de Pos-Graduacao em Economia (EPGE); Getulio Vargas Foundation; Universidade Federal de Goias; Universidade de Sao Paulo"/>
    <s v="Limongi, R (corresponding author), Fundacao Getulio Vargas, Mkt, Goiania, Go, Brazil."/>
    <s v="rocardolimongi@ufg.cr; apcdias@gmail.com; andre_luiz_b_silva@hotmail.com; deniseadm@hotmail.com; otfreire@usp.br"/>
    <s v="Freire, Otavio/AAC-6283-2020; Limongi, Ricardo/M-1250-2014"/>
    <s v="Freire, Otavio/0000-0002-9008-4273; Limongi, Ricardo/0000-0003-3231-7515"/>
    <s v=""/>
    <s v=""/>
    <s v=""/>
    <s v=""/>
    <n v="21"/>
    <n v="1"/>
    <n v="1"/>
    <n v="5"/>
    <n v="42"/>
    <s v="ASSOC NAC CURSOS GRADUACAO &amp; ADMINISTRACAO"/>
    <s v="RIO DE JANEIRO"/>
    <s v="AVE PRESIDENTE VARGAS, 590, GRUPO 1004 CENTRO, RIO DE JANEIRO, 20071-000, BRAZIL"/>
    <s v="2177-6083"/>
    <s v="2358-0917"/>
    <s v=""/>
    <s v="ADMINISTRACAO"/>
    <s v="Administracao"/>
    <s v="JAN-APR"/>
    <n v="2021"/>
    <n v="22"/>
    <n v="1"/>
    <s v=""/>
    <s v=""/>
    <s v=""/>
    <s v=""/>
    <n v="125"/>
    <n v="150"/>
    <s v=""/>
    <s v="10.13058/raep.2021.v22n1.1888"/>
    <s v="http://dx.doi.org/10.13058/raep.2021.v22n1.1888"/>
    <s v=""/>
    <s v=""/>
    <n v="26"/>
    <s v="Management"/>
    <x v="3"/>
    <s v="Business &amp; Economics"/>
    <s v="SE8YN"/>
    <s v=""/>
    <s v="gold"/>
    <s v=""/>
    <s v=""/>
    <s v="2023-11-15"/>
    <x v="434"/>
    <s v="View Full Record in Web of Science"/>
  </r>
  <r>
    <s v="J"/>
    <s v="Popova, I"/>
    <s v=""/>
    <s v=""/>
    <s v=""/>
    <s v="Popova, I"/>
    <s v=""/>
    <s v=""/>
    <s v="The Challenges of Implementing the EAEU's Digital Agenda"/>
    <s v="VESTNIK MEZHDUNARODNYKH ORGANIZATSII-INTERNATIONAL ORGANISATIONS RESEARCH JOURNAL"/>
    <s v=""/>
    <s v=""/>
    <s v="English"/>
    <x v="0"/>
    <s v=""/>
    <s v=""/>
    <s v=""/>
    <s v=""/>
    <s v=""/>
    <s v="EAEU; EAEU digital agenda until 2025; integration processes in the post-Soviet space; Eurasian Economic Commission; digital economy"/>
    <s v=""/>
    <s v="Digitalization is one of the dominant processes in contemporary economic development, both on the national level and globally. The process of articulating and implementing digital economy policies is underway in the member states of the Eurasian Economic Union (EAEU), and in 2017 the EAEU's Strategic Directions for the Development of the Digital Agenda Until 2025 was adopted. Identifying the specificities and challenges of the digital agenda's implementation in the context of integration processes in the region is the aim of this article. The study focuses on the interaction at the supranational level of decision-making within EAEU institutions, as well as the interaction of the national and supranational levels. The author concludes that the projects and initiatives are being implemented as a part of the agenda, albeit slowly. The other envisaged mechanisms require a much higher level of harmonization, for which EAEU leaders are not yet ready. The main features of the digital agenda's implementation in the EAEU are the primacy of sovereignty, diverging levels of digitalization of members in both access to infrastructure and regulatory frameworks, project-based approaches to implementation, absence of a digital agenda in the Treaty on the EAEU and involvement of expert communities. Based on analysis of the legal and regulatory framework, the following recommendations can be made: an institutional and legal framework for the digital agenda should be established, coordination between the national and supranational levels should be improved, digital strategies should be adopted and synchronized in all member states, the selection and implementation of initiatives should be improved, best practices should be adopted, and cooperation with international organizations and the European Union (EU) should be developed. For Russia, the development of a digital agenda within the EAEU and deepened integration (or development of cooperation) are necessary to ensure the realization of national interests in a priority region - the post-Soviet space especially given the increasingly active developing regulatory influence of other actors, primarily the EU. Given the growing importance of digitalization as a driver of economic growth and the increasing competition for influence on the regulation of the digital economy, a priority for the Russian Federation should be to resolve the contradiction between the principle of primacy of sovereignty and the development of integration. A possible way out could be an approach based on multi-speed integration, as tested in the EU. Another option could be a complete revision of the model of interaction with neighbours in the region."/>
    <s v="[Popova, I] Russian Presidential Acad Natl Econ &amp; Publ Adm, Ctr Int Inst Res, 11 Prechistenskaya Naberezhnaya, Moscow 119034, Russia"/>
    <s v="Russian Presidential Academy of National Economy &amp; Public Administration"/>
    <s v="Popova, I (corresponding author), Russian Presidential Acad Natl Econ &amp; Publ Adm, Ctr Int Inst Res, 11 Prechistenskaya Naberezhnaya, Moscow 119034, Russia."/>
    <s v="im-popova@ranepa.ru"/>
    <s v="Popova, Irina/Q-9590-2016"/>
    <s v="Popova, Irina/0000-0002-0849-7168"/>
    <s v=""/>
    <s v=""/>
    <s v=""/>
    <s v=""/>
    <n v="25"/>
    <n v="1"/>
    <n v="1"/>
    <n v="1"/>
    <n v="4"/>
    <s v="NATL RESEARCH UNIV HIGHER SCH ECONOMICS"/>
    <s v="MOSCOW"/>
    <s v="SHABOLOVKA, 26, MOSCOW, 119049, RUSSIA"/>
    <s v="1996-7845"/>
    <s v=""/>
    <s v=""/>
    <s v="VESTN MEZHDUNARODNYK"/>
    <s v="Vestn. Mezhdunarodnykh Organ."/>
    <s v=""/>
    <n v="2021"/>
    <n v="16"/>
    <n v="1"/>
    <s v=""/>
    <s v=""/>
    <s v=""/>
    <s v=""/>
    <n v="96"/>
    <n v="109"/>
    <s v=""/>
    <s v="10.17323/1996-7845-2021-01-06"/>
    <s v="http://dx.doi.org/10.17323/1996-7845-2021-01-06"/>
    <s v=""/>
    <s v=""/>
    <n v="14"/>
    <s v="International Relations"/>
    <x v="3"/>
    <s v="International Relations"/>
    <s v="TF0VP"/>
    <s v=""/>
    <s v="Bronze"/>
    <s v=""/>
    <s v=""/>
    <s v="2023-11-15"/>
    <x v="435"/>
    <s v="View Full Record in Web of Science"/>
  </r>
  <r>
    <s v="J"/>
    <s v="Motta, FMD; da Silva, RAR"/>
    <s v=""/>
    <s v=""/>
    <s v=""/>
    <s v="de Vasconcellos Motta, Fernanda Miranda; Rodrigues da Silva, Ronaldo Andre"/>
    <s v=""/>
    <s v=""/>
    <s v="THE ADOPTION OF DIGITAL TECHNOLOGIES IN THE RECONSTRUCTION OF HERITAGE: experience report of the National Museum, Brazil"/>
    <s v="INFORMACAO &amp; SOCIEDADE-ESTUDOS"/>
    <s v=""/>
    <s v=""/>
    <s v="Portuguese"/>
    <x v="0"/>
    <s v=""/>
    <s v=""/>
    <s v=""/>
    <s v=""/>
    <s v=""/>
    <s v="Heritage; Post-disaster Reconstruction; Digital Strategies; National Museum; Brazil"/>
    <s v=""/>
    <s v="In situations in which historic buildings and collections are damaged, digital technologies can be useful in the process of reconstructing this heritage. Is possible stimulate the engagement of audiences on collaborative platforms, conduct digital restoration processes of heritage, as well as to create dynamic experiences of museum. From this perspective, this article represents the continuity of a study presented at the IV ISKO Portugal-Spain, in 2019, advancing in the analysis of digital strategies applied to the National Museum's heritage, post-disaster. It takes into account the significant part of the museum's collection, with around 20 million items, was affected by a fire, which occurred in September 2018. The qualitative approach and the case study method are adopted, involving non-participant observation techniques, bibliographic and documentary research. Digital strategies that mobilize the public in activities of reconstruction of heritage are discussed, with emerging issues related to authority and informational curation. Regarding the reconstitution and restoration strategies of the collection, it's considered an innovative process of creating digital replicas, which incorporates materials from rescued artifacts. Also, are studied virtual visitation strategies as possibilities for develop unique museum experiences. It is inferred, therefore, that the National Museum's reconstruction process involves exchanges with agents and resources from its macroenvironment. It is also considered a temporal dimension of change and variability of heritage that is related to discursive and contextual practices, with the support of digital technologies."/>
    <s v="[de Vasconcellos Motta, Fernanda Miranda] Univ Fed Minas Gerais, Programa Posgrad Gestao &amp; Org Conhecimento, Belo Horizonte, MG, Brazil; [Rodrigues da Silva, Ronaldo Andre] Pontificia Univ Catolica Minas Gerais, Belo Horizonte, MG, Brazil"/>
    <s v="Universidade Federal de Minas Gerais; Pontificia Universidade Catolica de Minas Gerais"/>
    <s v="Motta, FMD (corresponding author), Univ Fed Minas Gerais, Programa Posgrad Gestao &amp; Org Conhecimento, Belo Horizonte, MG, Brazil."/>
    <s v="fernandavasc@gmail.com; ronaldoandre@gmail.com"/>
    <s v="Rodrigues da Silva, Ronaldo André/S-6349-2017"/>
    <s v="Rodrigues da Silva, Ronaldo André/0000-0002-0656-8671"/>
    <s v=""/>
    <s v=""/>
    <s v=""/>
    <s v=""/>
    <n v="27"/>
    <n v="1"/>
    <n v="1"/>
    <n v="1"/>
    <n v="11"/>
    <s v="UNIV FEDERAL CAMPINA GRANDE"/>
    <s v="CAMPINA GRANDE PB"/>
    <s v="RUA APRIGIO VELOSO 882, BODO CONGO, CAMPINA GRANDE PB, 58109 090, BRAZIL"/>
    <s v="0104-0146"/>
    <s v="1809-4783"/>
    <s v=""/>
    <s v="INFORM SOC-ESTUD"/>
    <s v="Inf. Soc.-Estud."/>
    <s v="APR-JUN"/>
    <n v="2020"/>
    <n v="30"/>
    <n v="2"/>
    <s v=""/>
    <s v=""/>
    <s v=""/>
    <s v=""/>
    <s v=""/>
    <s v=""/>
    <s v=""/>
    <s v=""/>
    <s v=""/>
    <s v=""/>
    <s v=""/>
    <n v="16"/>
    <s v="Information Science &amp; Library Science"/>
    <x v="0"/>
    <s v="Information Science &amp; Library Science"/>
    <s v="MD9ZS"/>
    <s v=""/>
    <s v=""/>
    <s v=""/>
    <s v=""/>
    <s v="2023-11-15"/>
    <x v="436"/>
    <s v="View Full Record in Web of Science"/>
  </r>
  <r>
    <s v="J"/>
    <s v="Mahrenbach, LC; Mayer, K"/>
    <s v=""/>
    <s v=""/>
    <s v=""/>
    <s v="Mahrenbach, Laura C.; Mayer, Katja"/>
    <s v=""/>
    <s v=""/>
    <s v="Framing Policy Visions of Big Data in Emerging States"/>
    <s v="CANADIAN JOURNAL OF COMMUNICATION"/>
    <s v=""/>
    <s v=""/>
    <s v="English"/>
    <x v="0"/>
    <s v=""/>
    <s v=""/>
    <s v=""/>
    <s v=""/>
    <s v=""/>
    <s v="Data policy; Big data; Emerging powers; frames; Digital strategy; Global South"/>
    <s v="PUBLIC-POLICY; SOCIAL MEDIA; DISCOURSE; POLITICS"/>
    <s v="Background Emerging states, such as Brazil, India, and China (the BICs), have big plans for big data and digitalization. Research has identified distinct policy visions regarding how technological advances can facilitate economic development and improve governance. Analysis This article examines how BIC governments frame data-driven ambitions across the diverse issue areas in which governments plan to use big data, as well as how they frame the role(s) of the government and citizens in the era of big data. Conclusion and implications We find clear differences in discussions of big data across the BICs and across issue areas. Moreover, we show the societal changes that governments seek to effect using big data vary greatly in scope, with Brazil and India seeking more fundamental changes than China."/>
    <s v="[Mahrenbach, Laura C.] Tech Univ Munich, Chair Computat Social Sci &amp; Big Data, Hsch Polit Munchen, Munich, Germany; [Mayer, Katja] Univ Vienna, Dept Sci &amp; Technol Studies, Interfaces Sci Technol &amp; Soc, Vienna, Austria"/>
    <s v="Technical University of Munich; University of Vienna"/>
    <s v="Mahrenbach, LC (corresponding author), Tech Univ Munich, Chair Computat Social Sci &amp; Big Data, Hsch Polit Munchen, Munich, Germany."/>
    <s v="laura.mahrenbach@hfp.tum.de; katja.mayer@univie.ac.at"/>
    <s v="Mayer, Katja/IYS-2014-2023"/>
    <s v="Mayer, Katja/0000-0003-1184-595X; Mahrenbach, Laura/0000-0002-8622-3242"/>
    <s v=""/>
    <s v=""/>
    <s v=""/>
    <s v=""/>
    <n v="51"/>
    <n v="1"/>
    <n v="1"/>
    <n v="1"/>
    <n v="17"/>
    <s v="CANADIAN JOURNAL COMMUNICATION"/>
    <s v="VANCOUVER"/>
    <s v="C/O SIMON FRASER UNIV, 515 WEST HASTINGS ST, VANCOUVER, BC V6B 5K3, CANADA"/>
    <s v="0705-3657"/>
    <s v="1499-6642"/>
    <s v=""/>
    <s v="CAN J COMMUN"/>
    <s v="Can. J. Commun."/>
    <s v=""/>
    <n v="2020"/>
    <n v="45"/>
    <n v="1"/>
    <s v=""/>
    <s v=""/>
    <s v=""/>
    <s v=""/>
    <n v="129"/>
    <n v="141"/>
    <s v=""/>
    <s v="10.22230/cjc.2020v45n1a3471"/>
    <s v="http://dx.doi.org/10.22230/cjc.2020v45n1a3471"/>
    <s v=""/>
    <s v=""/>
    <n v="13"/>
    <s v="Communication"/>
    <x v="3"/>
    <s v="Communication"/>
    <s v="ME8TZ"/>
    <s v=""/>
    <s v="hybrid, Green Submitted"/>
    <s v=""/>
    <s v=""/>
    <s v="2023-11-15"/>
    <x v="437"/>
    <s v="View Full Record in Web of Science"/>
  </r>
  <r>
    <s v="J"/>
    <s v="Saura, JR; Reyes-Menendez, A; de Matos, N; Correia, MB; Palos-Sanchez, P"/>
    <s v=""/>
    <s v=""/>
    <s v=""/>
    <s v="Saura, Jose Ramon; Reyes-Menendez, Ana; de Matos, Nelson; Correia, Marisol B.; Palos-Sanchez, Pedro"/>
    <s v=""/>
    <s v=""/>
    <s v="CONSUMER BEHAVIOR IN THE DIGITAL AGE"/>
    <s v="JOURNAL OF SPATIAL AND ORGANIZATIONAL DYNAMICS"/>
    <s v=""/>
    <s v=""/>
    <s v="English"/>
    <x v="0"/>
    <s v=""/>
    <s v=""/>
    <s v=""/>
    <s v=""/>
    <s v=""/>
    <s v="Consumer Behavior; Digital Age; Digital Strategies; Digital Business"/>
    <s v=""/>
    <s v="In recent decades, the Internet, evolving technologies, and social media have led to the evolution of consumer behavior. The changes in customer behavior driven by digital developments provide many opportunities and challenges that businesses also need to deal with online. The better companies know about the behavior of their customers, the easier they can engage with them using strategies such as content marketing, User Experience (UX), influencers marketing, User-Generated Content (UGC), or Electronic Word of Mouth (eWOM). These strategies are essential to get more sales and to develop businesses online, as such strategies increase the engagement with users and influence their behavior. This Special Edition of JOSD focuses on the analysis of consumer behavior in the digital age and, by doing so, contributes to extant knowledge about digital marketing strategies, online consumer behavior, and new digital business models such as mobile applications or shared economy."/>
    <s v="[Saura, Jose Ramon; Reyes-Menendez, Ana] Rey Juan Carlos Univ, Madrid, Spain; [de Matos, Nelson] Univ Algarve, Sch Management Hospitality &amp; Tourism ESGHT, Res Ctr Tourism Sustainabil &amp; Well Being CinTurs, Faro, Portugal; [Correia, Marisol B.] Univ Algarve, Sch Management Hospitality &amp; Tourism ESGHT, Faro, Portugal; [Correia, Marisol B.] Univ Lisbon, Ctr Tourism Res Dev &amp; Innovat CiTUR, Lisbon, Portugal; [Correia, Marisol B.] Univ Lisbon, Res Ctr Tourism Sustainabil &amp; Well Being CinTurs, Lisbon, Portugal; [Correia, Marisol B.] Univ Lisbon, CEG IST, Inst Super Tecn, Lisbon, Portugal; [Palos-Sanchez, Pedro] Univ Seville, Seville, Spain"/>
    <s v="Universidad Rey Juan Carlos; Universidade do Algarve; Universidade do Algarve; Universidade de Lisboa; Universidade de Lisboa; Universidade de Lisboa; Instituto Superior Tecnico; University of Sevilla"/>
    <s v="Saura, JR (corresponding author), Rey Juan Carlos Univ, Madrid, Spain."/>
    <s v="joseramon.saura@urjc.es; ana.reyes@urjc.es; nmmatos@ualg.pt; mcorreia@ualg.pt; ppalos@us.es"/>
    <s v="Palos-Sanchez, Pedro R./A-8952-2017; Saura, José Ramón/L-2861-2018; deMatos, Nelson/HNJ-6572-2023; Reyes-Menendez, Ana/X-5393-2018; deMatos, Nelson Manuel da Silva/AAP-1198-2020"/>
    <s v="Palos-Sanchez, Pedro R./0000-0001-9966-0698; Saura, José Ramón/0000-0002-9457-7745; Reyes-Menendez, Ana/0000-0003-0636-9573; deMatos, Nelson Manuel da Silva/0000-0002-6263-5007"/>
    <s v="FCT- Foundation for Science and Technology [UIDB/04020/2020]"/>
    <s v="FCT- Foundation for Science and Technology(Fundacao para a Ciencia e a Tecnologia (FCT))"/>
    <s v="This paper is financed by National Funds provided by FCT- Foundation for Science and Technology through project UIDB/04020/2020."/>
    <s v=""/>
    <n v="19"/>
    <n v="1"/>
    <n v="2"/>
    <n v="8"/>
    <n v="54"/>
    <s v="CIEO, RESEARCH CENTER SPATIAL &amp; ORGANIZATIONAL DYNAMICS"/>
    <s v="FARO"/>
    <s v="UNIV ALGARVE CAMPUS GAMBELAS, BUILDING 9, FARO, 8005-139, PORTUGAL"/>
    <s v="1647-3183"/>
    <s v=""/>
    <s v=""/>
    <s v="J SPAT ORGAN DYN"/>
    <s v="J. Spat. Organ. Dyn."/>
    <s v=""/>
    <n v="2020"/>
    <n v="8"/>
    <n v="3"/>
    <s v=""/>
    <s v=""/>
    <s v=""/>
    <s v=""/>
    <n v="190"/>
    <n v="196"/>
    <s v=""/>
    <s v=""/>
    <s v=""/>
    <s v=""/>
    <s v=""/>
    <n v="7"/>
    <s v="Social Sciences, Interdisciplinary"/>
    <x v="3"/>
    <s v="Social Sciences - Other Topics"/>
    <s v="NZ5JD"/>
    <s v=""/>
    <s v=""/>
    <s v=""/>
    <s v=""/>
    <s v="2023-11-15"/>
    <x v="438"/>
    <s v="View Full Record in Web of Science"/>
  </r>
  <r>
    <s v="J"/>
    <s v="Jenkins, K; Sun, KCY"/>
    <s v=""/>
    <s v=""/>
    <s v=""/>
    <s v="Jenkins, Kathleen; Sun, Ken Chih-Yan"/>
    <s v=""/>
    <s v=""/>
    <s v="Digital Strategies for Building Spiritual Intimacy: Families on a Wired Camino"/>
    <s v="QUALITATIVE SOCIOLOGY"/>
    <s v=""/>
    <s v=""/>
    <s v="English"/>
    <x v="0"/>
    <s v=""/>
    <s v=""/>
    <s v=""/>
    <s v=""/>
    <s v=""/>
    <s v="Technologies; Families; Spirituality; Reflexivity; Intimacy; Pilgrimage"/>
    <s v="RELIGION; PILGRIMAGE; FACEBOOK; FAITH; AGE; CONSTRUCTION; SANTIAGO; PARENTS"/>
    <s v="Researchers have explored the role that information and communication technologies (ICTs) play in mediating both religious practice and intergenerational family relationships. Few, however, have paid close attention to the interplay between ICTs and spiritual dimensions of intimacies. Drawing from an ethnographic case of parents and their young adult children from various countries who walk the Camino de Santiago together in northwest Spain, we examine family members' reflexive use of ICTs in ways that enhance intimacy. Our analysis of in-depth interviews, field observations, and online travel journals illustrates how digital technologies can be disciplined and activated to reinforce intimacy constructed through the sharing of spiritual practice. In particular, we highlight family strategies to limit ICT use on pilgrimage to mark tech-free sacred time, as well as their embracing of digital technologies as ritual tools in the construction of visual narratives of shared spiritual practice. Our analysis adds a micro relational case to the larger literature on intimacies and contemporary media forces, furthering the conceptualization of media and digital technologies as an integral force in the pursuit of transcendent interpersonal experiences."/>
    <s v="[Jenkins, Kathleen] William &amp; Mary, Dept Sociol, Morton Hall,Room 230, Williamsburg, VA 23185 USA; [Sun, Ken Chih-Yan] Villanova Univ, St Augustine Ctr, Dept Sociol &amp; Criminol, Room 204,800 Lancaster Ave, Villanova, PA 19085 USA"/>
    <s v="Villanova University"/>
    <s v="Jenkins, K (corresponding author), William &amp; Mary, Dept Sociol, Morton Hall,Room 230, Williamsburg, VA 23185 USA."/>
    <s v="kejenk@wm.edu; kcsun1015@gmail.com"/>
    <s v=""/>
    <s v=""/>
    <s v="Plumeri Award from the College of William and Mary"/>
    <s v="Plumeri Award from the College of William and Mary"/>
    <s v="We presented this paper in the 2017 annual meeting of American Sociological Association, and appreciate the helpful feedback of Dr. Erin A. Cech and other participants. This research is generously funded by a Plumeri Award from the College of William and Mary. We gratefully acknowledge the insightful comments of Wendy Cadge, Thomas J. Linneman, Yu-Hao Lee, David Smilde, and three anonymous reviewers at Qualitative Sociology."/>
    <s v=""/>
    <n v="58"/>
    <n v="1"/>
    <n v="1"/>
    <n v="0"/>
    <n v="17"/>
    <s v="SPRINGER"/>
    <s v="NEW YORK"/>
    <s v="ONE NEW YORK PLAZA, SUITE 4600, NEW YORK, NY, UNITED STATES"/>
    <s v="0162-0436"/>
    <s v="1573-7837"/>
    <s v=""/>
    <s v="QUAL SOCIOL"/>
    <s v="Qual. Sociol."/>
    <s v="DEC"/>
    <n v="2019"/>
    <n v="42"/>
    <n v="4"/>
    <s v=""/>
    <s v=""/>
    <s v=""/>
    <s v=""/>
    <n v="567"/>
    <n v="585"/>
    <s v=""/>
    <s v="10.1007/s11133-019-09432-0"/>
    <s v="http://dx.doi.org/10.1007/s11133-019-09432-0"/>
    <s v=""/>
    <s v=""/>
    <n v="19"/>
    <s v="Sociology"/>
    <x v="0"/>
    <s v="Sociology"/>
    <s v="JN0GK"/>
    <s v=""/>
    <s v=""/>
    <s v=""/>
    <s v=""/>
    <s v="2023-11-15"/>
    <x v="439"/>
    <s v="View Full Record in Web of Science"/>
  </r>
  <r>
    <s v="J"/>
    <s v="Campoamor, LM"/>
    <s v=""/>
    <s v=""/>
    <s v=""/>
    <s v="Campoamor, Leigh M."/>
    <s v=""/>
    <s v=""/>
    <s v="There's an App for That: Telecom, Children's Rights, and Conflicting Logics of Corporate Social Responsibility"/>
    <s v="AMERICAN ANTHROPOLOGIST"/>
    <s v=""/>
    <s v=""/>
    <s v="English"/>
    <x v="0"/>
    <s v=""/>
    <s v=""/>
    <s v=""/>
    <s v=""/>
    <s v=""/>
    <s v=""/>
    <s v="MEDIA; SOLIDARITY; ADVOCACY; POLITICS; LIMITS; LABOR; FACE"/>
    <s v="This article examines how a Spanish telecom giant legitimizes its market expansion through a corporate social responsibility (CSR) narrative that links generic notions of technological innovation and children's rights to projects of development and democracy. At a broad level, I explore how the neoliberal privatization of the telecommunications industry has involved a reconfiguration of corporate-state relations rather than an erasure of the state in corporate discourse. I trace how Telefonica accrues currency as a digital pioneer and provider of a social good by incorporating consumers, state actors, and other corporations into its moral apparatus. My point of entry is a smartphone application that the company's Colombian subsidiary developed and subsequently gamified to empower consumer-citizens to end street-based child labor. Within a digital economy of instant gratification and national context of securitization, the process whereby consumers are interpellated as citizen-activists highlights the thin line between profiling techniques and humanitarian action, and between surveillance and activism, while disguising the limits of the state bureaucracy and the company's own distance from its purported beneficiaries. Ultimately, I show how the company maintained its narrative about its innovative and sustainable commitment to children even when explaining the failures of its CSR strategy. [digital activism, corporate social responsibility, children's rights, corporate-state relations, urban Latin America]"/>
    <s v=""/>
    <s v=""/>
    <s v=""/>
    <s v="leigh.campoarnor@gmail.com"/>
    <s v=""/>
    <s v=""/>
    <s v=""/>
    <s v=""/>
    <s v=""/>
    <s v=""/>
    <n v="47"/>
    <n v="1"/>
    <n v="1"/>
    <n v="0"/>
    <n v="14"/>
    <s v="WILEY"/>
    <s v="HOBOKEN"/>
    <s v="111 RIVER ST, HOBOKEN 07030-5774, NJ USA"/>
    <s v="0002-7294"/>
    <s v="1548-1433"/>
    <s v=""/>
    <s v="AM ANTHROPOL"/>
    <s v="Am. Anthropol."/>
    <s v="SEP"/>
    <n v="2019"/>
    <n v="121"/>
    <n v="3"/>
    <s v=""/>
    <s v=""/>
    <s v=""/>
    <s v=""/>
    <n v="667"/>
    <n v="679"/>
    <s v=""/>
    <s v="10.1111/aman.13273"/>
    <s v="http://dx.doi.org/10.1111/aman.13273"/>
    <s v=""/>
    <s v=""/>
    <n v="13"/>
    <s v="Anthropology"/>
    <x v="0"/>
    <s v="Anthropology"/>
    <s v="IR9CH"/>
    <s v=""/>
    <s v=""/>
    <s v=""/>
    <s v=""/>
    <s v="2023-11-15"/>
    <x v="440"/>
    <s v="View Full Record in Web of Science"/>
  </r>
  <r>
    <s v="J"/>
    <s v="Ferlin, EP; Rezende, DA"/>
    <s v=""/>
    <s v=""/>
    <s v=""/>
    <s v="Ferlin, Edson Pedro; Rezende, Denis Alcides"/>
    <s v=""/>
    <s v=""/>
    <s v="Big data applied to strategic digital city: study on the volume of data in the smart city applications"/>
    <s v="REVISTA GESTAO &amp; TECNOLOGIA-JOURNAL OF MANAGEMENT AND TECHNOLOGY"/>
    <s v=""/>
    <s v=""/>
    <s v="Portuguese"/>
    <x v="0"/>
    <s v=""/>
    <s v=""/>
    <s v=""/>
    <s v=""/>
    <s v=""/>
    <s v="Smart City; Big Data; Strategic Digital City; Management of Cities; Information technology in Cities"/>
    <s v=""/>
    <s v="In the context of Strategic Digital City, the Smart Cities are cities that use information technologies to facilitate the performance of public services, reduce costs and enhance contact between citizens and Government. The Big Data can be the answer to which Governments can manipulate large sets of information generated from the digitalization of social life. The goal is to evaluate applications of Smart Cities from the perspective of the Big Data on service management and decision-making. The research methodology used is the study of Smart City applications and quantitative approach was used, involving the analysis of the data of applications. The results earned the importance of Big Data systems for Smart Cities. The conclusion reiterates that cases of Smart Cities are punctual and Big Data analysis is still not part of the design of policies of cities appearing as well as how to improve plans already established in cities."/>
    <s v="[Ferlin, Edson Pedro] Fac Integradas Camoes Parana, Curitiba, Parana, Brazil; [Rezende, Denis Alcides] Pontificia Univ Catolica Parana, CNPq Brasil, Curitiba, Parana, Brazil"/>
    <s v="Pontificia Universidade Catolica do Parana"/>
    <s v="Ferlin, EP (corresponding author), Fac Integradas Camoes Parana, Curitiba, Parana, Brazil."/>
    <s v="eferlin@live.com; dar@denisalcidesrezende.com.br"/>
    <s v="Ferlin, Edson Pedro/AAM-4371-2021"/>
    <s v="Ferlin, Edson Pedro/0000-0001-6626-1797"/>
    <s v=""/>
    <s v=""/>
    <s v=""/>
    <s v=""/>
    <n v="43"/>
    <n v="1"/>
    <n v="1"/>
    <n v="2"/>
    <n v="20"/>
    <s v="FUNDACAO PEDRO LEOPOLDO"/>
    <s v="PEDRO LEOPOLDO"/>
    <s v="AV LINCOLN DIOGO VIANA 830, PEDRO LEOPOLDO, MG 33600-000, BRAZIL"/>
    <s v="1677-9479"/>
    <s v="2177-6652"/>
    <s v=""/>
    <s v="REV GEST TECNOL"/>
    <s v="Rev. Gest. Tecnol."/>
    <s v="APR-JUN"/>
    <n v="2019"/>
    <n v="19"/>
    <n v="2"/>
    <s v=""/>
    <s v=""/>
    <s v=""/>
    <s v=""/>
    <n v="175"/>
    <n v="194"/>
    <s v=""/>
    <s v="10.20397/2177-6652/2019.v19i2.1533"/>
    <s v="http://dx.doi.org/10.20397/2177-6652/2019.v19i2.1533"/>
    <s v=""/>
    <s v=""/>
    <n v="20"/>
    <s v="Management"/>
    <x v="3"/>
    <s v="Business &amp; Economics"/>
    <s v="HR1RN"/>
    <s v=""/>
    <s v="gold"/>
    <s v=""/>
    <s v=""/>
    <s v="2023-11-15"/>
    <x v="441"/>
    <s v="View Full Record in Web of Science"/>
  </r>
  <r>
    <s v="S"/>
    <s v="Cepa, K; Schildt, H"/>
    <s v=""/>
    <s v="Sydow, J; Berends, H"/>
    <s v=""/>
    <s v="Cepa, Katharina; Schildt, Henri"/>
    <s v=""/>
    <s v=""/>
    <s v="TECHNOLOGICAL EMBEDDEDNESS OF INTER-ORGANIZATIONAL COLLABORATION PROCESSES"/>
    <s v="MANAGING INTER-ORGANIZATIONAL COLLABORATIONS: PROCESS VIEWS"/>
    <s v="Research in the Sociology of Organizations"/>
    <s v=""/>
    <s v="English"/>
    <x v="1"/>
    <s v=""/>
    <s v=""/>
    <s v=""/>
    <s v=""/>
    <s v=""/>
    <s v="Big data; digitalization; digital transformation; digital strategy; inter-organizational collaboration; embeddedness; transparency; adaptation"/>
    <s v="INFORMATION-TECHNOLOGY; STRATEGIC ALLIANCES; RELATIONAL GOVERNANCE; TRUST; INNOVATION; ROUTINES; EVOLUTION; DYNAMICS; AMBIDEXTERITY; PERFORMANCE"/>
    <s v="Advanced information technologies, and particularly big data, provide new affordances to facilitate inter-organizational collaboration. Rich flows of real-time data provide transparency across organizational boundaries and enable greater automation of inter-organizational routines. Taking stock of the literature and building on observations from the research in an industrial setting, the authors introduce the concept of technological embeddedness as an important characteristic of inter-organizational relationships, denoting the degree of monitoring, control, and optimization of intra- and inter-organizational tasks accomplished through technology at the interface of the inter-organizational relationship. The authors theorize how increasing technological embeddedness created by big data technologies affects the development of inter-organizational trust, mutual adaptation, and temporal structuring of collaboration. The propositions elaborate how greater technological embeddedness enables collaboration, and warn about the potential limiting effects of technological embeddedness on the development of interpersonal trust, strategic learning, and long-term orientation."/>
    <s v="[Cepa, Katharina] Univ Lancaster, Management Sch, Digital Strategy, Lancaster, England; [Schildt, Henri] Aalto Univ, Sch Business, Strategy, Dept Management Studies, Helsinki, Finland"/>
    <s v="Lancaster University; Aalto University"/>
    <s v="Cepa, K (corresponding author), Univ Lancaster, Management Sch, Digital Strategy, Lancaster, England."/>
    <s v=""/>
    <s v=""/>
    <s v="Cepa, Katharina/0000-0001-6934-8177"/>
    <s v=""/>
    <s v=""/>
    <s v=""/>
    <s v=""/>
    <n v="100"/>
    <n v="1"/>
    <n v="1"/>
    <n v="0"/>
    <n v="10"/>
    <s v="EMERALD GROUP PUBLISHING LTD"/>
    <s v="BINGLEY"/>
    <s v="HOWARD HOUSE, WAGON LANE, BINGLEY, W YORKSHIRE BD16 1WA, ENGLAND"/>
    <s v="0733-558X"/>
    <s v=""/>
    <s v="978-1-78756-591-3; 978-1-78756-592-0"/>
    <s v="RES SOCIOL ORGAN-RES"/>
    <s v=""/>
    <s v=""/>
    <n v="2019"/>
    <n v="64"/>
    <s v=""/>
    <s v=""/>
    <s v=""/>
    <s v=""/>
    <s v=""/>
    <n v="91"/>
    <n v="115"/>
    <s v=""/>
    <s v="10.1108/S0733-558X20190000064007"/>
    <s v="http://dx.doi.org/10.1108/S0733-558X20190000064007"/>
    <s v=""/>
    <s v=""/>
    <n v="25"/>
    <s v="Management; Sociology"/>
    <x v="4"/>
    <s v="Business &amp; Economics; Sociology"/>
    <s v="BQ5QL"/>
    <s v=""/>
    <s v="Green Published"/>
    <s v=""/>
    <s v=""/>
    <s v="2023-11-15"/>
    <x v="442"/>
    <s v="View Full Record in Web of Science"/>
  </r>
  <r>
    <s v="J"/>
    <s v="Pompili, I"/>
    <s v=""/>
    <s v=""/>
    <s v=""/>
    <s v="Pompili, Irene"/>
    <s v=""/>
    <s v=""/>
    <s v="ARCHAEOLOGY AND AUDIENCE DEVELOPMENT DIGITAL STRATEGIES: A RESEARCH CONDUCTED WITH THE TEAM OF ARCHEOLOGIA E CALCOLATORI"/>
    <s v="ARCHEOLOGIA E CALCOLATORI"/>
    <s v=""/>
    <s v=""/>
    <s v="English"/>
    <x v="0"/>
    <s v=""/>
    <s v=""/>
    <s v=""/>
    <s v=""/>
    <s v=""/>
    <s v=""/>
    <s v="COMMUNICATION"/>
    <s v="An internship at the CNR-ISMA was the starting point for the Master's Graduation thesis Audience Development in Archaeology: Strategies Based on Digital Innovation (Universita Commerciale Luigi Bocconi). The three-month internship was linked to several different educational initiatives carried out by the Institute. A series of activities was designed expressly: namely, analysis of the database of the scholarly journal Archeologia e Calcolatori, with a special focus on the articles related to data dissemination and education in archaeology, as well as Virtual Reality and multimedia projects; field observation of Audience Development initiatives in archaeology through on-site multimedia projects, presented in the cultural itinerary for the Virtual Museum of Archaeological Computing (Virtual Journey at Domus Romane di Palazzo Valentini); and finally focus-group interviews both with high-school students, taking part to the Alternanza Scuola-Lavoro (ASL) program, and with expert scholars."/>
    <s v="[Pompili, Irene] Univ Commerciale Luigi Bocconi, Milan, Italy"/>
    <s v="Bocconi University"/>
    <s v="Pompili, I (corresponding author), Univ Commerciale Luigi Bocconi, Milan, Italy."/>
    <s v="irepompili108@gmail.com"/>
    <s v=""/>
    <s v=""/>
    <s v=""/>
    <s v=""/>
    <s v=""/>
    <s v=""/>
    <n v="36"/>
    <n v="1"/>
    <n v="1"/>
    <n v="0"/>
    <n v="1"/>
    <s v="EDIZIONI ALL INSEGNA GIGLIO SAS-ITALIAN NATL RESEARCH COUNC"/>
    <s v="BORGO SAN LORENZO"/>
    <s v="VIA DELLA FANGOSA 38, BORGO SAN LORENZO, FI 50032, ITALY"/>
    <s v="1120-6861"/>
    <s v="2385-1953"/>
    <s v=""/>
    <s v="ARCHEOL CALC"/>
    <s v="Archeol. Calc."/>
    <s v=""/>
    <n v="2019"/>
    <n v="30"/>
    <s v=""/>
    <s v=""/>
    <s v=""/>
    <s v=""/>
    <s v=""/>
    <n v="123"/>
    <n v="138"/>
    <s v=""/>
    <s v=""/>
    <s v=""/>
    <s v=""/>
    <s v=""/>
    <n v="16"/>
    <s v="Archaeology"/>
    <x v="3"/>
    <s v="Archaeology"/>
    <s v="KM1PB"/>
    <s v=""/>
    <s v=""/>
    <s v=""/>
    <s v=""/>
    <s v="2023-11-15"/>
    <x v="443"/>
    <s v="View Full Record in Web of Science"/>
  </r>
  <r>
    <s v="J"/>
    <s v="Mathieson, J"/>
    <s v=""/>
    <s v=""/>
    <s v=""/>
    <s v="Mathieson, Jolene"/>
    <s v=""/>
    <s v=""/>
    <s v="The Body and the Possible Soul in Digital Ekphrastic Poetry"/>
    <s v="POETICS TODAY"/>
    <s v=""/>
    <s v=""/>
    <s v="English"/>
    <x v="0"/>
    <s v=""/>
    <s v=""/>
    <s v=""/>
    <s v=""/>
    <s v=""/>
    <s v="digital poetry; intermediation; metaphysics; dynamic heterarchy; digital ekphrasis"/>
    <s v=""/>
    <s v="New media technologies have inaugurated the most recent and important shift in our understanding of word-image relations. While seminal studies of new media poetry (Funkhouser 2012; Hayles 2006, 2008) and its potentially ekphrastic properties (Lindhe 2013) have been published in recent years, the close relationship between digital poetry and ekphrasis has yet to be convincingly theorized. This article focuses on new media poetry and the digital strategies it utilizes in the ekphrastic remediation of art images. Digital media may be unique in its ability to create highly immersive environments that more readily activate a holistically embodied and dialogical experience for the reader in represencing images, but digital ekphrastic praxis also exploits its multimodal, polysemiotic possibilities to critically reflect on the nature of the digital image and its relations to material ontology. This critique, and its emphasis on both representational and experiential reasoning, primarily takes the form of lyrical meditations on the material and immaterial realities of code, of computer-mediated poetry, of images, and of human-computer interaction. The result of these poetic meditations is a type of ekphrasis that is willfully metaphysical in tone and content, as will be evidenced via a close reading of two digital ekphrastic poems: Deena Larsen's Carving in Possibilities (2001) and Harry Giles's Photo of Maud Wagner (2013)."/>
    <s v="[Mathieson, Jolene] Univ Hamburg, Hamburg, Germany"/>
    <s v="University of Hamburg"/>
    <s v="Mathieson, J (corresponding author), Univ Hamburg, Hamburg, Germany."/>
    <s v=""/>
    <s v=""/>
    <s v=""/>
    <s v=""/>
    <s v=""/>
    <s v=""/>
    <s v=""/>
    <n v="32"/>
    <n v="1"/>
    <n v="1"/>
    <n v="0"/>
    <n v="4"/>
    <s v="DUKE UNIV PRESS"/>
    <s v="DURHAM"/>
    <s v="905 W MAIN ST, STE 18-B, DURHAM, NC 27701 USA"/>
    <s v="0333-5372"/>
    <s v=""/>
    <s v=""/>
    <s v="POETICS TODAY"/>
    <s v="Poetics Today"/>
    <s v="JUN"/>
    <n v="2018"/>
    <n v="39"/>
    <n v="2"/>
    <s v=""/>
    <s v=""/>
    <s v=""/>
    <s v=""/>
    <n v="359"/>
    <n v="382"/>
    <s v=""/>
    <s v="10.1215/03335372-4324505"/>
    <s v="http://dx.doi.org/10.1215/03335372-4324505"/>
    <s v=""/>
    <s v=""/>
    <n v="24"/>
    <s v="Literature"/>
    <x v="6"/>
    <s v="Literature"/>
    <s v="GR2EL"/>
    <s v=""/>
    <s v=""/>
    <s v=""/>
    <s v=""/>
    <s v="2023-11-15"/>
    <x v="444"/>
    <s v="View Full Record in Web of Science"/>
  </r>
  <r>
    <s v="J"/>
    <s v="Pires, DS; Boasquevisque, DD; Speciali, DS; Silva, GS; Conforto, AB"/>
    <s v=""/>
    <s v=""/>
    <s v=""/>
    <s v="Pires, Danielle Silveira; Boasquevisque, Danielle De Sa; Speciali, Danielli Souza; Silva, Gisele Sampaio; Conforto, Adriana Bastos"/>
    <s v=""/>
    <s v=""/>
    <s v="Success of promotion strategies for a stroke rehabilitation protocol"/>
    <s v="REVISTA DA ASSOCIACAO MEDICA BRASILEIRA"/>
    <s v=""/>
    <s v=""/>
    <s v="English"/>
    <x v="0"/>
    <s v=""/>
    <s v=""/>
    <s v=""/>
    <s v=""/>
    <s v=""/>
    <s v="Internet; Social media; Social networking; Neurology; Stroke; Physical therapy modalities"/>
    <s v="PARTICIPANT RECRUITMENT; CLINICAL-TRIALS; RISK-FACTORS; BRAZIL; PROGNOSIS; LESSONS; ISSUES; WOMEN"/>
    <s v="OBJECTIVE: To prospectively evaluate the success of promotion strategies for a protocol of motor rehabilitation strategies for patients with stroke at Albert Einstein Hospital. METHODS: In a clinical trial of neuromodulation and rehabilitation for patients with stroke, conventional methods of dissemination and publications about the research protocol in social networks or on the hospital's website were performed. Frequencies of types of advertisements that reached potentially eligible subjects were calculated. RESULTS: Data from 80 potentially eligible patients were analyzed. The types of ads that motivated contacts more frequently were social media (38.8%) and information provided to physicians from other hospitals (23.8%) (p=0,288). The frequencies of contacts motivated by publications on the internet (53%) and conventional strategies (47%) were similar. Facebook was the digital strategy associated with the higher number of contacts, followed by the hospital's website. CONCLUSION: Social networks and websites can be as effective as traditional methods of advertisement, in order to reach patients for stroke rehabilitation protocols. These results may have an impact on the planning of clinical trials, including studies that evaluate effects of rehabilitation interventions in patients with stroke."/>
    <s v="[Pires, Danielle Silveira] Univ Ctr United Metropolitan Fac FMU, Sao Paulo, SP, Brazil; [Boasquevisque, Danielle De Sa; Speciali, Danielli Souza; Silva, Gisele Sampaio; Conforto, Adriana Bastos] Albert Einstein Israelite Hosp, Sao Paulo, SP, Brazil"/>
    <s v="Hospital Israelita Albert Einstein"/>
    <s v="Pires, DS (corresponding author), Av Albert Einstein 627-701, BR-05652900 Sao Paulo, SP, Brazil."/>
    <s v="danielle.pires_93@hotmail.com; danidesa@hotmail.com; danielli.speciali@einstein.br; giselesampaio@hotmail.com; adriana.conforto@gmail.com"/>
    <s v="Marie, Suely Kazue Nagahashi/D-1870-2012; Silva, Gisele/H-3082-2013; Speciali, Danielli S/I-5693-2016"/>
    <s v="Marie, Suely Kazue Nagahashi/0000-0003-4419-7928; Silva, Gisele/0000-0002-3247-3123; Conforto, Adriana/0000-0001-7869-3490; Pires, Danielle Silveira/0000-0002-5424-3708"/>
    <s v="Uniemp Institute"/>
    <s v="Uniemp Institute"/>
    <s v="Author 1 was granted a Scientific Initiation funding, by the Uniemp Institute, in the amount of R$579.30 for the period from October 1st, 2015 to December 31st, 2016."/>
    <s v=""/>
    <n v="30"/>
    <n v="1"/>
    <n v="1"/>
    <n v="2"/>
    <n v="3"/>
    <s v="ASSOC MEDICA BRASILEIRA"/>
    <s v="SAO PAULO"/>
    <s v="RUA SAO CARLOS DO PINHAL 324, CAIXA POSTAL 8904, SAO PAULO, SP, BRAZIL"/>
    <s v="0104-4230"/>
    <s v=""/>
    <s v=""/>
    <s v="REV ASSOC MED BRAS"/>
    <s v="Rev. Assoc. Med. Bras."/>
    <s v="MAY"/>
    <n v="2018"/>
    <n v="64"/>
    <n v="5"/>
    <s v=""/>
    <s v=""/>
    <s v=""/>
    <s v=""/>
    <n v="443"/>
    <n v="447"/>
    <s v=""/>
    <s v="10.1590/1806-9282.64.05.443"/>
    <s v="http://dx.doi.org/10.1590/1806-9282.64.05.443"/>
    <s v=""/>
    <s v=""/>
    <n v="5"/>
    <s v="Medicine, General &amp; Internal"/>
    <x v="2"/>
    <s v="General &amp; Internal Medicine"/>
    <s v="GW0WY"/>
    <n v="30304144"/>
    <s v="Green Published, gold"/>
    <s v=""/>
    <s v=""/>
    <s v="2023-11-15"/>
    <x v="445"/>
    <s v="View Full Record in Web of Science"/>
  </r>
  <r>
    <s v="J"/>
    <s v="Kiran, F; Zubair, A; Shahzadi, I; Abbas, A"/>
    <s v=""/>
    <s v=""/>
    <s v=""/>
    <s v="Kiran, Faiqa; Zubair, Ahsan; Shahzadi, Irum; Abbas, Aamir"/>
    <s v=""/>
    <s v=""/>
    <s v="Internet-based digitalmarketing strategies fordata-rich environments: A social network perspective to study gossips"/>
    <s v="BOTTOM LINE"/>
    <s v=""/>
    <s v=""/>
    <s v="English"/>
    <x v="0"/>
    <s v=""/>
    <s v=""/>
    <s v=""/>
    <s v=""/>
    <s v=""/>
    <s v="Big data; Digital technology; Gossip; Friendship ties; Structural embeddedness; Workflow ties"/>
    <s v=""/>
    <s v="Purpose The purpose of this paper is to first bring to light the essential digital strategies to study organizations. Second, how businesses can improve their strategic capabilities by using the information gathered from internet sources or networks. Third, this study investigates how employees in an organization tend to engage in positive and/or negative gossip and how gossips affect coworker-rated informal influence in organization and supervisor-rated performance. Social network analysis is used to find the underlying relationships between gossips, coworker-rated influence and supervisor-rated performance. Design/methodology/approach This research paper is divided into two parts. The first study based on profound synthesis of literature. Major digital sources to study organizations are identified. The strategies requirement for each channel is identified. Suggestions are given to managers to improve strategic decision-making based on big data. The second study is a cross-sectional study where questionnaires (survey) are used to elicit data. Social network analysis is used to analyze the data using ucinet 6 software. Findings The findings of the study pinpoint the skills required to analyze large data, available in organizations. The second study finds out that close friends are more engaged in gossips than coworkers who have only working relationships. The friends having high structural embeddedness are more likely to be involved in negative gossips. Coworker perceives those employees who are engaged in negative gossips as having high informal influence. However, there is negative relationship between negative gossips and supervisor-rated influence. Research limitations/implications The research study is cross-sectional in design; however, longitudinal design can be used to gain more insights about negative gossips and their effects. Second, a very small sample is used in this study. Practical implications This study can be used to understand informal communication network in the organization. Managers can use this channel to pass information quickly, as informal channels are faster than formal communication channels. This research can be used to understand the underling relationships between the coworkers in organizations Originality/value This paper provides guidelines to organizational life and information on how the informal networks within organization can be studied."/>
    <s v="[Kiran, Faiqa] Natl Coll Business Adm &amp; Econ, Lahore, Pakistan; [Zubair, Ahsan] Govt Coll Univ, Faisalabad, Pakistan; [Shahzadi, Irum] Govt Coll Univ, Dept Business Adm, Faisalabad, Pakistan; [Abbas, Aamir] Univ Sargodha, Layallpur Campus, Faisalabad, Pakistan"/>
    <s v="Government College University Faisalabad; Government College University Faisalabad"/>
    <s v="Abbas, A (corresponding author), Univ Sargodha, Layallpur Campus, Faisalabad, Pakistan."/>
    <s v="faiqakiran@gmail.com; ahsan_zubair@hotmail.com; irum.shahzadi@gcuf.edu.pk; aamir.abbastuf@gmail.com"/>
    <s v="Zubair, Ahsan/ABS-9752-2022; Shahzadi, Irum/HCI-9514-2022; Kiran, Faiqa/AAK-6953-2021; Kiran, Faiqa/F-1788-2014"/>
    <s v="Zubair, Ahsan/0000-0003-3909-8490; Shahzadi, Irum/0000-0001-5353-4813; Kiran, Faiqa/0000-0003-3604-9132"/>
    <s v=""/>
    <s v=""/>
    <s v=""/>
    <s v=""/>
    <n v="35"/>
    <n v="1"/>
    <n v="1"/>
    <n v="1"/>
    <n v="4"/>
    <s v="EMERALD GROUP PUBLISHING LTD"/>
    <s v="BINGLEY"/>
    <s v="HOWARD HOUSE, WAGON LANE, BINGLEY BD16 1WA, W YORKSHIRE, ENGLAND"/>
    <s v="0888-045X"/>
    <s v="2054-1724"/>
    <s v=""/>
    <s v="BOTTOM LINE"/>
    <s v="Bottom Line"/>
    <s v=""/>
    <n v="2018"/>
    <n v="31"/>
    <n v="2"/>
    <s v=""/>
    <s v=""/>
    <s v=""/>
    <s v=""/>
    <n v="98"/>
    <n v="113"/>
    <s v=""/>
    <s v="10.1108/BL-03-2018-0012"/>
    <s v="http://dx.doi.org/10.1108/BL-03-2018-0012"/>
    <s v=""/>
    <s v=""/>
    <n v="16"/>
    <s v="Information Science &amp; Library Science"/>
    <x v="3"/>
    <s v="Information Science &amp; Library Science"/>
    <s v="GJ7HV"/>
    <s v=""/>
    <s v=""/>
    <s v=""/>
    <s v=""/>
    <s v="2023-11-15"/>
    <x v="446"/>
    <s v="View Full Record in Web of Science"/>
  </r>
  <r>
    <s v="S"/>
    <s v="Batt, C"/>
    <s v=""/>
    <s v="Baker, D; Evans, W"/>
    <s v=""/>
    <s v="Batt, Chris"/>
    <s v=""/>
    <s v=""/>
    <s v="NEW APPROACHES TO DIGITAL STRATEGY IN THE 21ST CENTURY"/>
    <s v="INNOVATION IN LIBRARIES AND INFORMATION SERVICES"/>
    <s v="Advances in Library Administration and Organization"/>
    <s v=""/>
    <s v="English"/>
    <x v="1"/>
    <s v=""/>
    <s v=""/>
    <s v=""/>
    <s v=""/>
    <s v=""/>
    <s v="Collecting institutions; internet; strategic planning; socio-technical determinism; innovation"/>
    <s v=""/>
    <s v="Purpose - To investigate how the United Kingdom's public museums, libraries and archives (collecting institutions) might, in the future, take strategic advantage of the dramatic changes in individual and social behaviours and expectations driven by the socio-technical determinism of the Internet since 2000. Methodology/approach - The chapter summarises the evidence and outcomes of PhD research completed in 2015 that used the tools of hermeneutic phenomenology and systems theory to examine the current state of digital strategy within the United Kingdom's collecting institutions and to compare this with the Internet's fundamental drivers of change and innovation. The research sought not to predict the future, but to define the key opportunities and challenges facing collecting institutions in face of sustained socio-technical change to maintain strategic fit, delivering maximum value in the digital space. Findings - The outcomes of the research demonstrated that libraries, like museums and archives, are ill-prepared to face continued socio-technical determinism. The key drivers of the Internet are single channel convergence, rapid innovation, instant two-way communication driving social interaction and dramatic change in the relationship between the supplier and the user. Collecting institutions, on the other hand, operate within vertically integrated silos restricting horizontal collaboration that has led to fragmentation of developments and constraints on strategy across and within the various institutional sectors. The major challenges that libraries must consider are summarised. Originality/value - The research takes an approach that has never before been attempted, either in scope or depth of analysis. The conclusions may not make comfortable reading for practitioners, but they offer an agenda for new ways of thinking about how public institutions must change to sustain their strategic fit in a digital future."/>
    <s v="[Batt, Chris] Museums Lib &amp; Arch Council MLA, Birmingham, W Midlands, England"/>
    <s v=""/>
    <s v="Batt, C (corresponding author), Museums Lib &amp; Arch Council MLA, Birmingham, W Midlands, England."/>
    <s v=""/>
    <s v=""/>
    <s v=""/>
    <s v=""/>
    <s v=""/>
    <s v=""/>
    <s v=""/>
    <n v="15"/>
    <n v="1"/>
    <n v="1"/>
    <n v="0"/>
    <n v="6"/>
    <s v="EMERALD GROUP PUBLISHING LTD"/>
    <s v="BINGLEY"/>
    <s v="HOWARD HOUSE, WAGON LANE, BINGLEY, W YORKSHIRE BD16 1WA, ENGLAND"/>
    <s v="0732-0671"/>
    <s v=""/>
    <s v="978-1-78560-730-1; 978-1-78560-731-8"/>
    <s v="ADV LIBR ADM ORGAN"/>
    <s v=""/>
    <s v=""/>
    <n v="2017"/>
    <n v="35"/>
    <s v=""/>
    <s v=""/>
    <s v=""/>
    <s v=""/>
    <s v=""/>
    <n v="289"/>
    <n v="311"/>
    <s v=""/>
    <s v="10.1108/S0732-067120160000035020"/>
    <s v="http://dx.doi.org/10.1108/S0732-067120160000035020"/>
    <s v=""/>
    <s v=""/>
    <n v="23"/>
    <s v="Information Science &amp; Library Science"/>
    <x v="4"/>
    <s v="Information Science &amp; Library Science"/>
    <s v="BI4IR"/>
    <s v=""/>
    <s v=""/>
    <s v=""/>
    <s v=""/>
    <s v="2023-11-15"/>
    <x v="447"/>
    <s v="View Full Record in Web of Science"/>
  </r>
  <r>
    <s v="B"/>
    <s v="Carvalho, L; van Tuijl, E"/>
    <s v=""/>
    <s v="Carvalho, L; VanDenBerg, L; Galal, H; Teunisse, P"/>
    <s v=""/>
    <s v="Carvalho, Luis; van Tuijl, Erwin"/>
    <s v=""/>
    <s v=""/>
    <s v="Digital Strategy (Manchester)"/>
    <s v="DELIVERING SUSTAINABLE COMPETITIVENESS: REVISITING THE ORGANISING CAPACITY OF CITIES"/>
    <s v="EURICUR Series"/>
    <s v=""/>
    <s v="English"/>
    <x v="1"/>
    <s v=""/>
    <s v=""/>
    <s v=""/>
    <s v=""/>
    <s v=""/>
    <s v=""/>
    <s v="REGENERATION"/>
    <s v=""/>
    <s v="[Carvalho, Luis] Univ Porto, European Inst Comparat Urban Res EURICUR, Oporto, Portugal; [Carvalho, Luis] Univ Porto, Ctr Studies Geog &amp; Spatial Planning CEGOT, Oporto, Portugal; [van Tuijl, Erwin] Erasmus Univ, Reg Port &amp; Transport Econ RHV, Rotterdam, Netherlands; [van Tuijl, Erwin] Erasmus Univ, European Inst Comparat Urban Res Euricur, Rotterdam, Netherlands"/>
    <s v="Universidade do Porto; Universidade do Porto; Erasmus University Rotterdam; Erasmus University Rotterdam - Excl Erasmus MC; Erasmus University Rotterdam - Excl Erasmus MC; Erasmus University Rotterdam"/>
    <s v="Carvalho, L (corresponding author), Univ Porto, European Inst Comparat Urban Res EURICUR, Oporto, Portugal.;Carvalho, L (corresponding author), Univ Porto, Ctr Studies Geog &amp; Spatial Planning CEGOT, Oporto, Portugal."/>
    <s v=""/>
    <s v="Carvalho, Luis/W-3271-2019"/>
    <s v="Carvalho, Luis/0000-0002-7700-4558; van Tuijl, Erwin/0000-0002-8239-8352"/>
    <s v=""/>
    <s v=""/>
    <s v=""/>
    <s v=""/>
    <n v="13"/>
    <n v="1"/>
    <n v="1"/>
    <n v="0"/>
    <n v="1"/>
    <s v="ROUTLEDGE"/>
    <s v="ABINGDON"/>
    <s v="2 PARK SQ, MILTON PARK, ABINGDON OX14 4RN, OXFORD, ENGLAND"/>
    <s v=""/>
    <s v=""/>
    <s v="978-1-315-57636-7; 978-1-4724-8267-9"/>
    <s v="EURICUR SER"/>
    <s v=""/>
    <s v=""/>
    <n v="2017"/>
    <s v=""/>
    <s v=""/>
    <s v=""/>
    <s v=""/>
    <s v=""/>
    <s v=""/>
    <n v="19"/>
    <n v="40"/>
    <s v=""/>
    <s v=""/>
    <s v=""/>
    <s v=""/>
    <s v=""/>
    <n v="22"/>
    <s v="Economics; Urban Studies"/>
    <x v="4"/>
    <s v="Business &amp; Economics; Urban Studies"/>
    <s v="BH9RZ"/>
    <s v=""/>
    <s v=""/>
    <s v=""/>
    <s v=""/>
    <s v="2023-11-15"/>
    <x v="448"/>
    <s v="View Full Record in Web of Science"/>
  </r>
  <r>
    <s v="J"/>
    <s v="Fernández, LR; Llamas, MS"/>
    <s v=""/>
    <s v=""/>
    <s v=""/>
    <s v="Rodriguez Fernandez, Leticia; Saavedra Llamas, Marta"/>
    <s v=""/>
    <s v=""/>
    <s v="13-J Election Debate: Social Audience in Digital Strategy of Political Parties"/>
    <s v="TRIPODOS"/>
    <s v=""/>
    <s v=""/>
    <s v="Spanish"/>
    <x v="0"/>
    <s v=""/>
    <s v=""/>
    <s v=""/>
    <s v=""/>
    <s v=""/>
    <s v="electoral debate; television; social media audience; politics; Twitter"/>
    <s v="TWITTER"/>
    <s v="Social networks have transformed political communication, and now political parties face new challenges in approaching citizens, combining Twitter with the use of traditional media in their communication strategy. In this digital context, the social media audience has established itself as a faithful and participatory community that continues to gain importance in television channels' transmedia strategy, while creating new challenges for these organizations. This article examines the digital strategy for social media audiences used by the main political parties during the electoral debate on June 13, 2016. Broadcast on 17 television channels, it was the fifth most watched debate in Spanish history, and it generated 1.8 million tweets. Analysis has been carried out on the production of content shared on Twitter by each political group and the relationship established with the community to determine if political parties incorporated the social media audience in their strategies."/>
    <s v="[Rodriguez Fernandez, Leticia] Univ Antonio Nebrija, Comunicac Org, Madrid, Spain; [Saavedra Llamas, Marta] Univ Antonio Nebrija, Madrid, Spain"/>
    <s v="Universidad Antonio de Nebrija; Universidad Antonio de Nebrija"/>
    <s v="Fernández, LR (corresponding author), Univ Antonio Nebrija, Comunicac Org, Madrid, Spain."/>
    <s v="leticiarofer@gmail.com; msaavedr@nebrjia.es"/>
    <s v="Rodríguez, Leticia/AAB-4766-2019"/>
    <s v="Rodríguez, Leticia/0000-0002-7472-5472"/>
    <s v=""/>
    <s v=""/>
    <s v=""/>
    <s v=""/>
    <n v="20"/>
    <n v="1"/>
    <n v="1"/>
    <n v="0"/>
    <n v="3"/>
    <s v="UNIV RAMON LLULL, FAC CIENCIES COMUNICACIO BLANQUERNA"/>
    <s v="BARCELONA"/>
    <s v="C VALLDONZELLA, 23, BARCELONA, 08001, SPAIN"/>
    <s v="1138-3305"/>
    <s v="2340-5007"/>
    <s v=""/>
    <s v="TRIPODOS"/>
    <s v="Tripodos"/>
    <s v=""/>
    <n v="2017"/>
    <s v=""/>
    <n v="41"/>
    <s v=""/>
    <s v=""/>
    <s v=""/>
    <s v=""/>
    <n v="173"/>
    <n v="191"/>
    <s v=""/>
    <s v=""/>
    <s v=""/>
    <s v=""/>
    <s v=""/>
    <n v="19"/>
    <s v="Communication"/>
    <x v="3"/>
    <s v="Communication"/>
    <s v="GM0HU"/>
    <s v=""/>
    <s v=""/>
    <s v=""/>
    <s v=""/>
    <s v="2023-11-15"/>
    <x v="449"/>
    <s v="View Full Record in Web of Science"/>
  </r>
  <r>
    <s v="B"/>
    <s v="Sandoval-Almazán, R; Luna-Reyes, LF; Luna-Reyes, DE; Gil-Garcia, JR; Puron-Cid, G; Picazo-Vela, S"/>
    <s v="SandovalAlmazan, R; LunaReyes, LF; LunaReyes, DE; GilGarcia, JR; PuronCid, G; PicazoVela, S"/>
    <s v=""/>
    <s v=""/>
    <s v="Sandoval-Almazan, Rodrigo; Luna-Reyes, Luis F.; Luna-Reyes, Dolores E.; Ramon Gil-Garcia, J.; Puron-Cid, Gabriel; Picazo-Vela, Sergio"/>
    <s v="SandovalAlmazan, R; LunaReyes, LF; LunaReyes, DE; GilGarcia, JR; PuronCid, G; PicazoVela, S"/>
    <s v=""/>
    <s v="Developing a Digital Government Strategy for Public Value Creation"/>
    <s v="BUILDING DIGITAL GOVERNMENT STRATEGIES: PRINCIPLES AND PRACTICES"/>
    <s v="Public Administration and Information Technology"/>
    <s v=""/>
    <s v="English"/>
    <x v="1"/>
    <s v=""/>
    <s v=""/>
    <s v=""/>
    <s v=""/>
    <s v=""/>
    <s v=""/>
    <s v=""/>
    <s v="This chapter introduces the concept of digital government and its potential to transform government operations at two different levels. The first broader level refers to the conceptualization of a national digital strategy as a way to promote social and economic development of a society as a whole. Such national digital strategy is the result of negotiations among a multitude of actors within and outside the government and involves managing challenges resulting from power imbalances among key stakeholders and the creation of appropriate institutions to ensure a long-term vision. The second level, which we call enterprise strategy, focuses on developing plans and implementing programs to facilitate the creation of technology infrastructure and systems that support the substantive work of government. Digital government enterprise strategy encompasses those who are responsible for managing information technology and systems in different government agencies and working closely with the programmatic areas to plan and implement technology initiatives that deliver public value."/>
    <s v="[Sandoval-Almazan, Rodrigo] Autonomous Univ State Mexico, Polit &amp; Social Sci Sch, Toluca, Mexico; [Luna-Reyes, Luis F.; Ramon Gil-Garcia, J.] SUNY Albany, Dept Publ Adm &amp; Policy, Albany, NY 12222 USA; [Luna-Reyes, Dolores E.] Univ Americas Puebla, Dept Ind &amp; Mech Engn, Cholula, Puebla, Mexico; [Ramon Gil-Garcia, J.] SUNY Albany, Ctr Technol Govt, Albany, NY 12222 USA; [Puron-Cid, Gabriel] Ctr Invest &amp; Docencia Econ AC CIDE, Dept Publ Adm, Aguascalientes, Aguascalientes, Mexico; [Picazo-Vela, Sergio] Univ Americas Puebla, Dept Business Adm, Cholula, Mexico"/>
    <s v="Universidad Autonoma del Estado de Mexico; State University of New York (SUNY) System; State University of New York (SUNY) Albany; Universidad Americas Puebla (UDLAP); State University of New York (SUNY) System; State University of New York (SUNY) Albany; Universidad Americas Puebla (UDLAP)"/>
    <s v="Sandoval-Almazán, R (corresponding author), Autonomous Univ State Mexico, Polit &amp; Social Sci Sch, Toluca, Mexico."/>
    <s v=""/>
    <s v="Luna, Dolores E/T-4076-2017; Luna-Reyes, Luis/G-5548-2012; Gil-Garcia, J. Ramon/A-9636-2009; Puron-Cid, Gabriel/AAY-5661-2021"/>
    <s v="Luna, Dolores E/0000-0002-0601-5006; Luna-Reyes, Luis/0000-0002-0852-404X; Gil-Garcia, J. Ramon/0000-0002-1033-4974; Puron-Cid, Gabriel/0000-0002-6272-7374"/>
    <s v=""/>
    <s v=""/>
    <s v=""/>
    <s v=""/>
    <n v="20"/>
    <n v="1"/>
    <n v="1"/>
    <n v="0"/>
    <n v="8"/>
    <s v="SPRINGER"/>
    <s v="NEW YORK"/>
    <s v="233 SPRING STREET, NEW YORK, NY 10013, UNITED STATES"/>
    <s v=""/>
    <s v=""/>
    <s v="978-3-319-60348-3; 978-3-319-60347-6"/>
    <s v="PUB ADMIN INF TECH"/>
    <s v=""/>
    <s v=""/>
    <n v="2017"/>
    <n v="16"/>
    <s v=""/>
    <s v=""/>
    <s v=""/>
    <s v=""/>
    <s v=""/>
    <n v="7"/>
    <n v="20"/>
    <s v=""/>
    <s v="10.1007/978-3-319-60348-3_2"/>
    <s v="http://dx.doi.org/10.1007/978-3-319-60348-3_2"/>
    <s v="10.1007/978-3-319-60348-3"/>
    <s v=""/>
    <n v="14"/>
    <s v="Management; Public Administration"/>
    <x v="4"/>
    <s v="Business &amp; Economics; Public Administration"/>
    <s v="BK6DZ"/>
    <s v=""/>
    <s v=""/>
    <s v=""/>
    <s v=""/>
    <s v="2023-11-15"/>
    <x v="450"/>
    <s v="View Full Record in Web of Science"/>
  </r>
  <r>
    <s v="J"/>
    <s v="Schutte, J"/>
    <s v=""/>
    <s v=""/>
    <s v=""/>
    <s v="Schutte, Johann"/>
    <s v=""/>
    <s v=""/>
    <s v="The future of student life: participating"/>
    <s v="ON THE HORIZON"/>
    <s v=""/>
    <s v=""/>
    <s v="English"/>
    <x v="0"/>
    <s v=""/>
    <s v=""/>
    <s v=""/>
    <s v=""/>
    <s v=""/>
    <s v="Higher education; Governance; Activism; Student needs; Civic engagement; Participating"/>
    <s v=""/>
    <s v="Purpose - A research project exploring emerging student needs explored six aspects of student life: living, learning, working, playing, connecting and participating. Participating is explored here. This aspect focuses on the ways that students may become active citizens by participating in civic life. Insights are gained as to how students may engage with universities and governments and how they will contribute to the public sphere. Themes such as voting, (h) activism, transparency and digital strategies to improve governance are explored. This paper aims to summarize two scenarios about the Participating domain from the Student Needs 2025+ project and highlight implications for the future of higher education. Design/methodology/approach - A modified version of the University of Houston's Framework Foresight method was used to explore the future of six aspects of future student life. Findings - The ability of students and citizens to innovate and affect change should not be underestimated. The maker movement and the life hacking meme are symbols of the hidden societal energy available to governments to improve the world and solve our pressing issues. For this to be effective, the role of the hacker, and hacktivism in general as a form of civic participation, should be reframed as a positive contributor of change. The relationship between governing bodies and activism is at a crossroads. The current age of interconnectivity offers tremendous potential for governing bodies to include civil contributions and innovation in a powerful, net-positive way. However, the status quo is so often the opposite and those who are being governed are perceived as a threat. There is a need for key players and leaders to creatively act according to innovative paradigms and principles that strategically reconcile the hacked and the hacking for the greater good of society. Research limitations/implications - In terms of research limitations, the paper is focused on the needs of students and does not purport to be an exhaustive analysis of all of the issues influencing higher education. It views the future of higher education through the lens of students and their emerging needs. Originality/value - This paper explores student life in its totality as a way to more accurately identify student needs in the future."/>
    <s v="[Schutte, Johann] Houston Foresight Program, Houston, TX 77204 USA"/>
    <s v=""/>
    <s v="Schutte, J (corresponding author), Houston Foresight Program, Houston, TX 77204 USA."/>
    <s v="johann@joevillage.org.za"/>
    <s v=""/>
    <s v=""/>
    <s v=""/>
    <s v=""/>
    <s v=""/>
    <s v=""/>
    <n v="0"/>
    <n v="1"/>
    <n v="1"/>
    <n v="0"/>
    <n v="8"/>
    <s v="EMERALD GROUP PUBLISHING LTD"/>
    <s v="BINGLEY"/>
    <s v="HOWARD HOUSE, WAGON LANE, BINGLEY BD16 1WA, W YORKSHIRE, ENGLAND"/>
    <s v="1074-8121"/>
    <s v="2054-1708"/>
    <s v=""/>
    <s v="HORIZON"/>
    <s v="Horizon"/>
    <s v=""/>
    <n v="2017"/>
    <n v="25"/>
    <n v="3"/>
    <s v=""/>
    <s v=""/>
    <s v="SI"/>
    <s v=""/>
    <n v="177"/>
    <n v="180"/>
    <s v=""/>
    <s v="10.1108/OTH-05-2017-0025"/>
    <s v="http://dx.doi.org/10.1108/OTH-05-2017-0025"/>
    <s v=""/>
    <s v=""/>
    <n v="4"/>
    <s v="Education &amp; Educational Research"/>
    <x v="3"/>
    <s v="Education &amp; Educational Research"/>
    <s v="FD5UF"/>
    <s v=""/>
    <s v=""/>
    <s v=""/>
    <s v=""/>
    <s v="2023-11-15"/>
    <x v="451"/>
    <s v="View Full Record in Web of Science"/>
  </r>
  <r>
    <s v="J"/>
    <s v="Kandiuk, M"/>
    <s v=""/>
    <s v=""/>
    <s v=""/>
    <s v="Kandiuk, Mary"/>
    <s v=""/>
    <s v=""/>
    <s v="The Rhetoric of Digitization and the Politicization of Canadian Heritage"/>
    <s v="LIBRARY TRENDS"/>
    <s v=""/>
    <s v=""/>
    <s v="English"/>
    <x v="4"/>
    <s v="IFLA World Library and Information Congress on Libraries, Citizens, Societies - Confluence for Knowledge"/>
    <s v="AUG, 2014"/>
    <s v="Lyon, FRANCE"/>
    <s v="Int Federat Lib Assoc &amp; Inst"/>
    <s v=""/>
    <s v=""/>
    <s v=""/>
    <s v="Canadian heritage institutions are perceived as being used as political instruments of nation-branding to advance a government ideological agenda. Faced with budget reductions and increased federal government oversight, the national library and archives of Canada, titled Library and Archives Canada (LAC), has, in the eyes of stakeholders, abdicated its stewardship role and responsibility for all of the nation's collections and records to focus on government priorities. Behind what has been described as a smokescreen of digitization, a modernization approach at LAC has resulted in the loss of expertise, a moratorium on acquisitions, and the elimination of national archival development and interlibrary loan programs. This paper examines the new strategic priorities of LAC with respect to digitization and resource allocation against a failed digital strategy, which has impacted its ability to fulfill its legislated responsibility for acquisition, preservation, and access; explores the ramifications and barriers created by the digital priorities and strategy of LAC for underserved populations, with a focus on Canada's Indigenous peoples; and concludes with a discussion of the findings and recommendations of the 2014 Royal Society of Canada's expert panel's report, The Future Now: Canada's Libraries, Archives, and Public Memory."/>
    <s v="[Kandiuk, Mary] York Univ Lib, Toronto, ON, Canada"/>
    <s v="York University - Canada"/>
    <s v="Kandiuk, M (corresponding author), York Univ Lib, Toronto, ON, Canada."/>
    <s v=""/>
    <s v=""/>
    <s v=""/>
    <s v=""/>
    <s v=""/>
    <s v=""/>
    <s v=""/>
    <n v="56"/>
    <n v="1"/>
    <n v="1"/>
    <n v="0"/>
    <n v="15"/>
    <s v="JOHNS HOPKINS UNIV PRESS"/>
    <s v="BALTIMORE"/>
    <s v="JOURNALS PUBLISHING DIVISION, 2715 NORTH CHARLES ST, BALTIMORE, MD 21218-4363 USA"/>
    <s v="0024-2594"/>
    <s v="1559-0682"/>
    <s v=""/>
    <s v="LIBR TRENDS"/>
    <s v="Libr. Trends"/>
    <s v="FAL"/>
    <n v="2016"/>
    <n v="65"/>
    <n v="2"/>
    <s v=""/>
    <s v=""/>
    <s v=""/>
    <s v=""/>
    <n v="165"/>
    <n v="179"/>
    <s v=""/>
    <s v="10.1353/lib.2016.0029"/>
    <s v="http://dx.doi.org/10.1353/lib.2016.0029"/>
    <s v=""/>
    <s v=""/>
    <n v="15"/>
    <s v="Information Science &amp; Library Science"/>
    <x v="7"/>
    <s v="Information Science &amp; Library Science"/>
    <s v="EC9CI"/>
    <s v=""/>
    <s v="Green Published"/>
    <s v=""/>
    <s v=""/>
    <s v="2023-11-15"/>
    <x v="452"/>
    <s v="View Full Record in Web of Science"/>
  </r>
  <r>
    <s v="J"/>
    <s v="Ding, HF; Zhou, J; Xu, Y; Ding, TH; Xiao, HX; Li, L; Hu, JH"/>
    <s v=""/>
    <s v=""/>
    <s v=""/>
    <s v="Ding, Hongfa; Zhou, Jun; Xu, Yun; Ding, Tonghai; Xiao, Houxiu; Li, Liang; Hu, Jihui"/>
    <s v=""/>
    <s v=""/>
    <s v="Design of a Current-Controlled Power Supply for High-Stability Flat-Top Pulsed Magnetic Field"/>
    <s v="IEEE TRANSACTIONS ON APPLIED SUPERCONDUCTIVITY"/>
    <s v=""/>
    <s v=""/>
    <s v="English"/>
    <x v="0"/>
    <s v=""/>
    <s v=""/>
    <s v=""/>
    <s v=""/>
    <s v=""/>
    <s v="Auxiliary power supply; current-controlled power supply; current injection; flat-top pulsed field"/>
    <s v="FACILITY; SYSTEM"/>
    <s v="A flat-top pulsed magnetic field is of great interest for scientific experiments that need both high strength and high stability in the magnetic field. A battery bank with advantages of large energy storage and relative voltage stability is an ideal power supply for a flat-top pulsed field. However, due to the change of magnet resistance during discharge progress, the battery system is unable to maintain a flat-top magnetic field alone. This paper presents a current-controlled power supply based on batteries for a high-stability flat-top pulsed magnetic field at the Wuhan National High Magnetic Field Center. An active parallel circuit is proposed as an auxiliary power supply integrating the present battery system to be a current-controlled power supply, which can sustain a 35-T/270-ms flat-top pulsed field with the ripple less than 100 ppm. The prototype of the scheme has been developed, and experiments will be carried out in early 2016 on schedule. After introduction of the circuit topology and control strategy, digital simulation results are discussed in this paper."/>
    <s v="[Ding, Hongfa; Zhou, Jun; Xu, Yun; Ding, Tonghai; Xiao, Houxiu; Li, Liang] Huazhong Univ Sci &amp; Technol, Wuhan Natl High Magnet Field Ctr, Wuhan 430074, Peoples R China; [Hu, Jihui] Huazhong Univ Sci &amp; Technol, Sch Math &amp; Stat, Wuhan 430074, Peoples R China"/>
    <s v="Huazhong University of Science &amp; Technology; Huazhong University of Science &amp; Technology"/>
    <s v="Ding, HF (corresponding author), Huazhong Univ Sci &amp; Technol, Wuhan Natl High Magnet Field Ctr, Wuhan 430074, Peoples R China.;Hu, JH (corresponding author), Huazhong Univ Sci &amp; Technol, Sch Math &amp; Stat, Wuhan 430074, Peoples R China."/>
    <s v="15827204180@163.com; hujihui_hust@sina.com"/>
    <s v="li, li/HII-4157-2022; Li, Li/AEM-3636-2022; LI, LI/GVS-5344-2022; LI, LI QING/GRR-8855-2022; li, li/GPX-3938-2022; li, long/HOF-6990-2023; li, li/AAT-2097-2020"/>
    <s v=""/>
    <s v="Program for New Century Excellent Talents in University; Chinese National Natural Science Foundation [51177062, 51207067]"/>
    <s v="Program for New Century Excellent Talents in University(Program for New Century Excellent Talents in University (NCET)); Chinese National Natural Science Foundation(National Natural Science Foundation of China (NSFC))"/>
    <s v="This work was supported in part by the Program for New Century Excellent Talents in University and by the Chinese National Natural Science Foundation under Grant 51177062 and Grant 51207067."/>
    <s v=""/>
    <n v="13"/>
    <n v="1"/>
    <n v="1"/>
    <n v="1"/>
    <n v="11"/>
    <s v="IEEE-INST ELECTRICAL ELECTRONICS ENGINEERS INC"/>
    <s v="PISCATAWAY"/>
    <s v="445 HOES LANE, PISCATAWAY, NJ 08855-4141 USA"/>
    <s v="1051-8223"/>
    <s v="1558-2515"/>
    <s v=""/>
    <s v="IEEE T APPL SUPERCON"/>
    <s v="IEEE Trans. Appl. Supercond."/>
    <s v="JUN"/>
    <n v="2016"/>
    <n v="26"/>
    <n v="4"/>
    <s v=""/>
    <s v=""/>
    <s v=""/>
    <s v=""/>
    <s v=""/>
    <s v=""/>
    <n v="600105"/>
    <s v="10.1109/TASC.2015.2513211"/>
    <s v="http://dx.doi.org/10.1109/TASC.2015.2513211"/>
    <s v=""/>
    <s v=""/>
    <n v="5"/>
    <s v="Engineering, Electrical &amp; Electronic; Physics, Applied"/>
    <x v="2"/>
    <s v="Engineering; Physics"/>
    <s v="DC2WC"/>
    <s v=""/>
    <s v=""/>
    <s v=""/>
    <s v=""/>
    <s v="2023-11-15"/>
    <x v="453"/>
    <s v="View Full Record in Web of Science"/>
  </r>
  <r>
    <s v="J"/>
    <s v="Evens, T"/>
    <s v=""/>
    <s v=""/>
    <s v=""/>
    <s v="Evens, Tom"/>
    <s v=""/>
    <s v=""/>
    <s v="Creative Commons licences in cultural heritage institutions in Flanders"/>
    <s v="JOURNAL OF LIBRARIANSHIP AND INFORMATION SCIENCE"/>
    <s v=""/>
    <s v=""/>
    <s v="English"/>
    <x v="0"/>
    <s v=""/>
    <s v=""/>
    <s v=""/>
    <s v=""/>
    <s v=""/>
    <s v="Creative Commons; cultural heritage; digital strategy; Flanders; information management; survey"/>
    <s v=""/>
    <s v="Cultural heritage institutions increasingly consider Creative Commons licences as a useful model for overcoming the barriers created by traditional copyright frameworks and for opening up archives, databases and collections for public use. However, there is little empirical evidence to support this claim. This article therefore focuses on the use of Creative Commons among cultural heritage institutions in Flanders (the northern part of Belgium) and presents the results of two sector surveys held in 2008 and 2012. Using two data points, the study provides an overview of the evolution of the use of Creative Commons and reveals the copyright policies of cultural heritage institutions."/>
    <s v="[Evens, Tom] Univ Ghent, Res Grp Media &amp; ICT IMinds MICT, B-9000 Ghent, Belgium"/>
    <s v="Ghent University; IMEC"/>
    <s v="Evens, T (corresponding author), Univ Ghent, IMinds MICT, Korte Meer 7-9-11, B-9000 Ghent, Belgium."/>
    <s v="Tom.Evens@UGent.be"/>
    <s v="Ajmi, Ghalia Al/AAB-6467-2019"/>
    <s v="Evens, Tom/0000-0002-7274-7432"/>
    <s v="iMinds; EWI-IWT"/>
    <s v="iMinds; EWI-IWT"/>
    <s v="This article is based on the research projects, PokuMOn and Archipel, both granted by iMinds and EWI-IWT."/>
    <s v=""/>
    <n v="24"/>
    <n v="1"/>
    <n v="1"/>
    <n v="3"/>
    <n v="21"/>
    <s v="SAGE PUBLICATIONS LTD"/>
    <s v="LONDON"/>
    <s v="1 OLIVERS YARD, 55 CITY ROAD, LONDON EC1Y 1SP, ENGLAND"/>
    <s v="0961-0006"/>
    <s v="1741-6477"/>
    <s v=""/>
    <s v="J LIBR INF SCI"/>
    <s v="J. Libr. Inf. Sci."/>
    <s v="JUN"/>
    <n v="2016"/>
    <n v="48"/>
    <n v="2"/>
    <s v=""/>
    <s v=""/>
    <s v=""/>
    <s v=""/>
    <n v="209"/>
    <n v="217"/>
    <s v=""/>
    <s v="10.1177/0961000615591649"/>
    <s v="http://dx.doi.org/10.1177/0961000615591649"/>
    <s v=""/>
    <s v=""/>
    <n v="9"/>
    <s v="Information Science &amp; Library Science"/>
    <x v="0"/>
    <s v="Information Science &amp; Library Science"/>
    <s v="DO9YC"/>
    <s v=""/>
    <s v=""/>
    <s v=""/>
    <s v=""/>
    <s v="2023-11-15"/>
    <x v="454"/>
    <s v="View Full Record in Web of Science"/>
  </r>
  <r>
    <s v="J"/>
    <s v="Beltran, CYB"/>
    <s v=""/>
    <s v=""/>
    <s v=""/>
    <s v="Builes Beltran, Claudia Y."/>
    <s v=""/>
    <s v=""/>
    <s v="Kioscos Vive Digital: A digital strategy to promote the connectivity and social inclusion in rural communities in Colombia"/>
    <s v="INTERNATIONAL JOURNAL OF PSYCHOLOGICAL RESEARCH"/>
    <s v=""/>
    <s v=""/>
    <s v="Spanish"/>
    <x v="0"/>
    <s v=""/>
    <s v=""/>
    <s v=""/>
    <s v=""/>
    <s v=""/>
    <s v="kioscos vive digital; social inclusion; CIT; social psychology; digital communications"/>
    <s v=""/>
    <s v="This article explores the scope of CIT in the recovery of the social background and the development of rural and isolate communities, with little access to computing resources and internet in Colombia. This model has been implemented successfully in South America, contributing to the development of processes of social inclusion for access to digital communities, virtual education and social networks, as mechanisms of connectivity which favor concerning a social identity and provide social development with equity. For this, the kiosk lives Digital, constitute a strategy for access to connectivity based on the recovery of communities through interaction in a virtual scenario tested purposefully by social psychology and neuroscience which benefit the consolidation of social networks and the entrance to the information as a central axis for balance and social inclusion."/>
    <s v="[Builes Beltran, Claudia Y.] Univ San Buenaventura, Grp Invest Salud Comportamenal &amp; Org, Medellin, Colombia"/>
    <s v=""/>
    <s v="Beltran, CYB (corresponding author), Gemprecol, Medellin, Colombia."/>
    <s v="coordinaciondecampo@genmprecol.com.co"/>
    <s v=""/>
    <s v=""/>
    <s v=""/>
    <s v=""/>
    <s v=""/>
    <s v=""/>
    <n v="11"/>
    <n v="1"/>
    <n v="1"/>
    <n v="1"/>
    <n v="7"/>
    <s v="UNIV SAN BUENAVENTURA, MEDELLIN"/>
    <s v="MEDELLIN"/>
    <s v="DEPT FORMACION HUMANA &amp; BIOETICA, SAN BENITO CENTRO, CARRERA 56C NO 51-90, MEDELLIN, 00000, COLOMBIA"/>
    <s v="2011-7922"/>
    <s v="2011-2084"/>
    <s v=""/>
    <s v="INT J PSYCHOL RES"/>
    <s v="Int. J. Psychol. Res."/>
    <s v=""/>
    <n v="2016"/>
    <n v="9"/>
    <n v="1"/>
    <s v=""/>
    <s v=""/>
    <s v=""/>
    <s v=""/>
    <n v="126"/>
    <n v="130"/>
    <s v=""/>
    <s v=""/>
    <s v=""/>
    <s v=""/>
    <s v=""/>
    <n v="5"/>
    <s v="Psychology, Multidisciplinary"/>
    <x v="0"/>
    <s v="Psychology"/>
    <s v="ED1AW"/>
    <s v=""/>
    <s v=""/>
    <s v=""/>
    <s v=""/>
    <s v="2023-11-15"/>
    <x v="455"/>
    <s v="View Full Record in Web of Science"/>
  </r>
  <r>
    <s v="J"/>
    <s v="Costales, JR"/>
    <s v=""/>
    <s v=""/>
    <s v=""/>
    <s v="Rivera Costales, Jose"/>
    <s v=""/>
    <s v=""/>
    <s v="Rafael Correa and the 2006 elections Marketing and digital political communication in Ecuador"/>
    <s v="CHASQUI-REVISTA LATINOAMERICANA DE COMUNICACION"/>
    <s v=""/>
    <s v=""/>
    <s v="Spanish"/>
    <x v="0"/>
    <s v=""/>
    <s v=""/>
    <s v=""/>
    <s v=""/>
    <s v=""/>
    <s v="Rafael Correa; Elections; Marketing; Digital Political Communications; Digital Government"/>
    <s v=""/>
    <s v="This work aims to deal with the changes that have occurred in the Ecuadorian Political Marketing since the adoption of new technology tools as a strategy concerning the 2006 electoral campaign. In this context, the article analyzes the specific case of one candidate, Rafael Correa Delgado, as well as the digital strategies used in his political campaign. With the analysis of the channels that have been employed, one can know the level of importance that they gave to these alternative ways of promotion. lt is interesting to note that the incursion of the candidate into digital space radically transformed the way politics works in Ecuador, and set the tone for the now President's performing as well as his strong interest in developing an environment of Digital Government at the service of the citizen."/>
    <s v="[Rivera Costales, Jose] Univ San Francisco Quito, Pontificia Univ Catolica, Quito, Ecuador; [Rivera Costales, Jose] Univ Politecn Salesiana, Cuenca, Ecuador; [Rivera Costales, Jose] Univ Cent Ecuador, Quito, Ecuador; [Rivera Costales, Jose] Univ Las Amer UDLA, Quito, Ecuador"/>
    <s v="Universidad San Francisco de Quito; Pontificia Universidad Catolica del Ecuador; Universidad Politecnica Salesiana; Universidad Central del Ecuador; Universidad de Las Americas - Ecuador"/>
    <s v="Costales, JR (corresponding author), Univ San Francisco Quito, Pontificia Univ Catolica, Quito, Ecuador."/>
    <s v="tikinauta@gmail.com"/>
    <s v=""/>
    <s v=""/>
    <s v=""/>
    <s v=""/>
    <s v=""/>
    <s v=""/>
    <n v="18"/>
    <n v="1"/>
    <n v="1"/>
    <n v="0"/>
    <n v="0"/>
    <s v="CENTRO INT ESTUDIOS SUPERIORES COMUNICACION AMER LATINA-CIESPAL"/>
    <s v="QUITO"/>
    <s v="AVE DIEGO ALMAGRO N32-133 &amp; ANDRADE MARIN, QUITO, 00000, ECUADOR"/>
    <s v="1390-1079"/>
    <s v="1390-924X"/>
    <s v=""/>
    <s v="CHASQUI-REV LAT COM"/>
    <s v="CHASQUI"/>
    <s v="OCT"/>
    <n v="2014"/>
    <s v=""/>
    <n v="126"/>
    <s v=""/>
    <s v=""/>
    <s v=""/>
    <s v=""/>
    <n v="116"/>
    <n v="123"/>
    <s v=""/>
    <s v=""/>
    <s v=""/>
    <s v=""/>
    <s v=""/>
    <n v="8"/>
    <s v="Communication"/>
    <x v="3"/>
    <s v="Communication"/>
    <s v="VH7LO"/>
    <s v=""/>
    <s v=""/>
    <s v=""/>
    <s v=""/>
    <s v="2023-11-15"/>
    <x v="456"/>
    <s v="View Full Record in Web of Science"/>
  </r>
  <r>
    <s v="J"/>
    <s v="Chen, LZ; Xu, MH; Zou, YW; Xu, LS"/>
    <s v=""/>
    <s v=""/>
    <s v=""/>
    <s v="Chen, Lizhao; Xu, Minhui; Zou, Yongwen; Xu, Lunshan"/>
    <s v=""/>
    <s v=""/>
    <s v="Clinical Study of the Role of 64-Slice CT Cerebra Angiography in Aneurysmal Subarachnoid Hemorrhage"/>
    <s v="CELL BIOCHEMISTRY AND BIOPHYSICS"/>
    <s v=""/>
    <s v=""/>
    <s v="English"/>
    <x v="0"/>
    <s v=""/>
    <s v=""/>
    <s v=""/>
    <s v=""/>
    <s v=""/>
    <s v="Acute subarachnoid hemorrhage; Aneurysm; CTA"/>
    <s v="RUPTURED INTRACRANIAL ANEURYSMS; DIGITAL-SUBTRACTION"/>
    <s v="The objective of this study is to assess the clinical role of computed tomography angiography (CTA) in determining the etiology of aneurysmal subarachnoid hemorrhage (ASAH) and selecting the treatment options. A total of 452 patients with ASAH underwent a 64-slice CTA examination to determine the etiology and select the treatment strategies. Digital subtraction angiography (DSA) or clipping operation confirmed the detection from the CTA. The CTA results of 452 patients with ASAH were confirmed through the DSA or clipping operation and the CTA results of 451 cases were consistent with what were seen during the DSA or clipping operation. The treatment choices for 451 patients (99.8 %) were based on the CTA results. A total of 90 cases (19.9 %) underwent endovascular embolization and 362 cases (80.1 %) underwent clipping operation. The other one patient underwent endovascular embolization after the DSA examination due to insufficient information from the CTA. Also, there was one patient who was misdiagnosed in the CTA. In conclusion, a 64-slice CTA can accurately detect intracranial aneurysms and is helpful in choosing the best treatment option."/>
    <s v="[Chen, Lizhao; Xu, Minhui; Zou, Yongwen; Xu, Lunshan] Third Mil Med Univ, Inst Surg Res, Daping Hosp, Dept Neurosurg, Chongqing 400042, Peoples R China"/>
    <s v="Army Medical University"/>
    <s v="Xu, LS (corresponding author), Third Mil Med Univ, Inst Surg Res, Daping Hosp, Dept Neurosurg, 10 Changjiang Branch, Chongqing 400042, Peoples R China."/>
    <s v="chenLiZhao1971@163.com; Xulunshan1972@163.com"/>
    <s v=""/>
    <s v=""/>
    <s v=""/>
    <s v=""/>
    <s v=""/>
    <s v=""/>
    <n v="7"/>
    <n v="1"/>
    <n v="2"/>
    <n v="0"/>
    <n v="0"/>
    <s v="HUMANA PRESS INC"/>
    <s v="TOTOWA"/>
    <s v="999 RIVERVIEW DRIVE SUITE 208, TOTOWA, NJ 07512 USA"/>
    <s v="1085-9195"/>
    <s v="1559-0283"/>
    <s v=""/>
    <s v="CELL BIOCHEM BIOPHYS"/>
    <s v="Cell Biochem. Biophys."/>
    <s v="JUL"/>
    <n v="2014"/>
    <n v="69"/>
    <n v="3"/>
    <s v=""/>
    <s v=""/>
    <s v=""/>
    <s v=""/>
    <n v="573"/>
    <n v="575"/>
    <s v=""/>
    <s v="10.1007/s12013-014-9834-6"/>
    <s v="http://dx.doi.org/10.1007/s12013-014-9834-6"/>
    <s v=""/>
    <s v=""/>
    <n v="3"/>
    <s v="Biochemistry &amp; Molecular Biology; Biophysics; Cell Biology"/>
    <x v="2"/>
    <s v="Biochemistry &amp; Molecular Biology; Biophysics; Cell Biology"/>
    <s v="AJ6GC"/>
    <n v="24554484"/>
    <s v=""/>
    <s v=""/>
    <s v=""/>
    <s v="2023-11-15"/>
    <x v="457"/>
    <s v="View Full Record in Web of Science"/>
  </r>
  <r>
    <s v="B"/>
    <s v="Nelson, R"/>
    <s v=""/>
    <s v="Carson, C; Kirwan, P"/>
    <s v=""/>
    <s v="Nelson, Ryan"/>
    <s v=""/>
    <s v=""/>
    <s v="Developing a digital strategy Engaging audiences at Shakespeare's Globe"/>
    <s v="SHAKESPEARE AND THE DIGITAL WORLD: REDEFINING SCHOLARSHIP AND PRACTICE"/>
    <s v=""/>
    <s v=""/>
    <s v="English"/>
    <x v="1"/>
    <s v=""/>
    <s v=""/>
    <s v=""/>
    <s v=""/>
    <s v=""/>
    <s v=""/>
    <s v=""/>
    <s v=""/>
    <s v="[Nelson, Ryan] Barbican Ctr, London, England; [Nelson, Ryan] Google, Mountain View, CA USA; [Nelson, Ryan] The Guardian, London, England"/>
    <s v="Google Incorporated"/>
    <s v="Nelson, R (corresponding author), Barbican Ctr, London, England."/>
    <s v=""/>
    <s v=""/>
    <s v=""/>
    <s v=""/>
    <s v=""/>
    <s v=""/>
    <s v=""/>
    <n v="10"/>
    <n v="1"/>
    <n v="1"/>
    <n v="0"/>
    <n v="1"/>
    <s v="CAMBRIDGE UNIV PRESS"/>
    <s v="CAMBRIDGE"/>
    <s v="THE PITT BUILDING, TRUMPINGTON ST, CAMBRIDGE CB2 1RP, CAMBS, ENGLAND"/>
    <s v=""/>
    <s v=""/>
    <s v="978-1-107-66078-6; 978-1-107-06436-2"/>
    <s v=""/>
    <s v=""/>
    <s v=""/>
    <n v="2014"/>
    <s v=""/>
    <s v=""/>
    <s v=""/>
    <s v=""/>
    <s v=""/>
    <s v=""/>
    <n v="202"/>
    <n v="211"/>
    <s v=""/>
    <s v=""/>
    <s v=""/>
    <s v="10.1017/CBO9781107587526"/>
    <s v=""/>
    <n v="10"/>
    <s v="Education &amp; Educational Research; Literary Theory &amp; Criticism"/>
    <x v="4"/>
    <s v="Education &amp; Educational Research; Literature"/>
    <s v="BB0CS"/>
    <s v=""/>
    <s v=""/>
    <s v=""/>
    <s v=""/>
    <s v="2023-11-15"/>
    <x v="458"/>
    <s v="View Full Record in Web of Science"/>
  </r>
  <r>
    <s v="J"/>
    <s v="Tomas, K"/>
    <s v=""/>
    <s v=""/>
    <s v=""/>
    <s v="Tomas, Kelly"/>
    <s v=""/>
    <s v=""/>
    <s v="Virtual Reality: Why Magazines Should Adopt a Mobile-First Publishing Strategy"/>
    <s v="PUBLISHING RESEARCH QUARTERLY"/>
    <s v=""/>
    <s v=""/>
    <s v="English"/>
    <x v="0"/>
    <s v=""/>
    <s v=""/>
    <s v=""/>
    <s v=""/>
    <s v=""/>
    <s v="Digital publishing; Digital strategy; Mobile-first; Mobile publishing; Publishing industry; Publishing strategy"/>
    <s v=""/>
    <s v="This paper examines the state of the magazine industry in the US and offers research to show why publishers should shift their thinking from a print- or digital-first publishing strategy to a mobile-first publishing strategy. The publishing industry faces increasing challenges to generate a profit and grow their audience. These challenges are compounded by a difficult economy, the proliferation of new technological devices, and consumers' changing reading habits. Mobile publishing offers new and expanding ways for the magazine industry to diversity income, expand readership, and position their titles for future growth."/>
    <s v=""/>
    <s v=""/>
    <s v="Tomas, K (corresponding author), 208 Kingston Circle, Birmingham, AL 35211 USA."/>
    <s v="kellybtomas@gmail.com"/>
    <s v=""/>
    <s v=""/>
    <s v=""/>
    <s v=""/>
    <s v=""/>
    <s v=""/>
    <n v="45"/>
    <n v="1"/>
    <n v="1"/>
    <n v="0"/>
    <n v="0"/>
    <s v="SPRINGER"/>
    <s v="NEW YORK"/>
    <s v="233 SPRING ST, NEW YORK, NY 10013 USA"/>
    <s v="1053-8801"/>
    <s v="1936-4792"/>
    <s v=""/>
    <s v="PUBLISH RES Q"/>
    <s v="Publ. Res. Q."/>
    <s v="DEC"/>
    <n v="2013"/>
    <n v="29"/>
    <n v="4"/>
    <s v=""/>
    <s v=""/>
    <s v=""/>
    <s v=""/>
    <n v="301"/>
    <n v="317"/>
    <s v=""/>
    <s v="10.1007/s12109-013-9330-7"/>
    <s v="http://dx.doi.org/10.1007/s12109-013-9330-7"/>
    <s v=""/>
    <s v=""/>
    <n v="17"/>
    <s v="Information Science &amp; Library Science"/>
    <x v="3"/>
    <s v="Information Science &amp; Library Science"/>
    <s v="VG7PH"/>
    <s v=""/>
    <s v=""/>
    <s v=""/>
    <s v=""/>
    <s v="2023-11-15"/>
    <x v="459"/>
    <s v="View Full Record in Web of Science"/>
  </r>
  <r>
    <s v="J"/>
    <s v="Loudini, M; Rezig, S; Hidouci, WK; Salhi, Y"/>
    <s v=""/>
    <s v=""/>
    <s v=""/>
    <s v="Loudini, Malik; Rezig, Sawsen; Hidouci, Walid-Khaled; Salhi, Yahia"/>
    <s v=""/>
    <s v=""/>
    <s v="Design and Application of Intelligent Control Schemes for the Performance Enhancement of a Web Server"/>
    <s v="CONTROL ENGINEERING AND APPLIED INFORMATICS"/>
    <s v=""/>
    <s v=""/>
    <s v="English"/>
    <x v="0"/>
    <s v=""/>
    <s v=""/>
    <s v=""/>
    <s v=""/>
    <s v=""/>
    <s v="Quality of service; Web server; differentiated service; service delay guarantee; absolute delay (AD); relative delay (RD); difference equation (DE); fuzzy logic controller; tabu search"/>
    <s v="PROPORTIONAL DELAY DIFFERENTIATION; FUZZY-LOGIC; SERVICE DIFFERENTIATION; ADMISSION CONTROL; FEEDBACK-CONTROL; QUALITY; OPTIMIZATION; MANAGEMENT; ALGORITHM; MODEL"/>
    <s v="This paper considers the design problem of efficient feedback control schemes to enhance the quality of service (QoS) of a web server (WS) whose input/output dynamic behavior is modeled by discrete mathematical representations. Discrete models allowing the digital simulation of the WS responses to different scenarios of client requests are adopted. The capabilities to guarantee performing service delays, under dynamic workload variations, are the main investigations of this work. To try to provide prospective solutions, advanced feedback control strategies are proposed. First, a fuzzy logic controller (FLC) is implemented as a regulating solution in a closed-loop control architecture. Then, the tabu search (TS) algorithm (TSA) is used to optimize the PLC parameters with innovative tuning procedures. The TS optimized PLC (TSOFLC) is also implemented and applied to attempt to improve the WS QoS. To demonstrate the effectiveness of the adopted closed-loop intelligent control strategies, digital simulation experiments are carried out and examined."/>
    <s v="[Loudini, Malik; Rezig, Sawsen; Hidouci, Walid-Khaled; Salhi, Yahia] Ecole Natl Super Informat ESI, LCSI, Algiers 16270, Algeria"/>
    <s v="Ecole Nationale Superieure d'Informatique"/>
    <s v="Loudini, M (corresponding author), Ecole Natl Super Informat ESI, LCSI, BP 68M, Algiers 16270, Algeria."/>
    <s v="m_loudini@esi.dz; s_rezig@esi.dz; w_hidouci@esi.dz; yah_alg@yahoo.fr"/>
    <s v=""/>
    <s v=""/>
    <s v=""/>
    <s v=""/>
    <s v=""/>
    <s v=""/>
    <n v="57"/>
    <n v="1"/>
    <n v="1"/>
    <n v="0"/>
    <n v="2"/>
    <s v="ROMANIAN SOC CONTROL TECH INFORMATICS"/>
    <s v="BUCHAREST"/>
    <s v="313 SPLAIUL INDEPENDENTEI, BUCHAREST, 060042, ROMANIA"/>
    <s v="1454-8658"/>
    <s v=""/>
    <s v=""/>
    <s v="CONTROL ENG APPL INF"/>
    <s v="Control Eng. Appl. Inform."/>
    <s v="JUN"/>
    <n v="2013"/>
    <n v="15"/>
    <n v="2"/>
    <s v=""/>
    <s v=""/>
    <s v=""/>
    <s v=""/>
    <n v="54"/>
    <n v="66"/>
    <s v=""/>
    <s v=""/>
    <s v=""/>
    <s v=""/>
    <s v=""/>
    <n v="13"/>
    <s v="Automation &amp; Control Systems"/>
    <x v="2"/>
    <s v="Automation &amp; Control Systems"/>
    <s v="174KZ"/>
    <s v=""/>
    <s v=""/>
    <s v=""/>
    <s v=""/>
    <s v="2023-11-15"/>
    <x v="460"/>
    <s v="View Full Record in Web of Science"/>
  </r>
  <r>
    <s v="B"/>
    <s v="Premat, C"/>
    <s v="GilGarcia, JR"/>
    <s v=""/>
    <s v=""/>
    <s v="Premat, Christophe"/>
    <s v="GilGarcia, JR"/>
    <s v=""/>
    <s v="How do French Municipalities Communicate on Citizen Involvement? The Success of Participatory Democracy in France"/>
    <s v="E-GOVERNMENT SUCCESS AROUND THE WORLD: CASES, EMPIRICAL STUDIES, AND PRACTICAL RECOMMENDATIONS"/>
    <s v=""/>
    <s v=""/>
    <s v="English"/>
    <x v="1"/>
    <s v=""/>
    <s v=""/>
    <s v=""/>
    <s v=""/>
    <s v=""/>
    <s v=""/>
    <s v="E-GOVERNMENT; INTERNET"/>
    <s v="The chapter updates a former study on digital communication at local level in France in 2006. The goal is to analyse the explanatory factors which influence the digital communication of municipalities on participatory democracy. Why are there municipalities which communicate more on these resources than others? It is important to compare the situation of these municipalities in 2006 and in 2012 because there was a power shift after the last municipal election in 2008. The focus will be on municipalities of more than 30.000 inhabitants as they have the possible resources to support a digital strategy. A quantitative method was used to select the variables which affect the communication on participatory tools. In other words, the article deals with the way politicians promote citizen engagement at local level through updated websites."/>
    <s v="[Premat, Christophe] Sci Po Bordeaux, Ctr Emile Durkheim, Bordeaux, France; [Premat, Christophe] Inst Francais Sweden, Stockholm, Sweden"/>
    <s v="Centre National de la Recherche Scientifique (CNRS)"/>
    <s v="Premat, C (corresponding author), Sci Po Bordeaux, Ctr Emile Durkheim, Bordeaux, France."/>
    <s v=""/>
    <s v="Premat, Christophe/I-2355-2018"/>
    <s v="Premat, Christophe/0000-0001-6107-735X"/>
    <s v=""/>
    <s v=""/>
    <s v=""/>
    <s v=""/>
    <n v="112"/>
    <n v="1"/>
    <n v="1"/>
    <n v="1"/>
    <n v="2"/>
    <s v="IGI GLOBAL"/>
    <s v="HERSEY"/>
    <s v="701 E CHOCOLATE AVE, STE 200, HERSEY, PA 17033-1240 USA"/>
    <s v=""/>
    <s v=""/>
    <s v="978-1-4666-4174-7; 978-1-4666-4173-0"/>
    <s v=""/>
    <s v=""/>
    <s v=""/>
    <n v="2013"/>
    <s v=""/>
    <s v=""/>
    <s v=""/>
    <s v=""/>
    <s v=""/>
    <s v=""/>
    <n v="321"/>
    <n v="340"/>
    <s v=""/>
    <s v="10.4018/978-1-4666-4173-0.ch016"/>
    <s v="http://dx.doi.org/10.4018/978-1-4666-4173-0.ch016"/>
    <s v="10.4018/978-1-4666-4173-0"/>
    <s v=""/>
    <n v="20"/>
    <s v="Computer Science, Interdisciplinary Applications; Public Administration"/>
    <x v="10"/>
    <s v="Computer Science; Public Administration"/>
    <s v="BH2BS"/>
    <s v=""/>
    <s v=""/>
    <s v=""/>
    <s v=""/>
    <s v="2023-11-15"/>
    <x v="461"/>
    <s v="View Full Record in Web of Science"/>
  </r>
  <r>
    <s v="J"/>
    <s v="Tsai, ZR"/>
    <s v=""/>
    <s v=""/>
    <s v=""/>
    <s v="Tsai, Zhi-Ren"/>
    <s v=""/>
    <s v=""/>
    <s v="Neural-Fuzzy Digital Strategy of Continuous-Time Nonlinear Systems Using Adaptive Prediction and Random-Local-Optimization Design"/>
    <s v="MATHEMATICAL PROBLEMS IN ENGINEERING"/>
    <s v=""/>
    <s v=""/>
    <s v="English"/>
    <x v="0"/>
    <s v=""/>
    <s v=""/>
    <s v=""/>
    <s v=""/>
    <s v=""/>
    <s v=""/>
    <s v="OUTPUT-FEEDBACK CONTROL; H-INFINITY CONTROL; DYNAMIC-SYSTEMS; STABILITY; DELAYS; STABILIZATION"/>
    <s v="A tracking problem, time-delay, uncertainty and stability analysis of a predictive control system are considered. The predictive control design is based on the input and output of neural plant model (NPM), and a recursive fuzzy predictive tracker has scaling factors which limit the value zone of measured data and cause the tuned parameters to converge to obtain a robust control performance. To improve the further control performance, the proposed random-local-optimization design (RLO) for a model/controller uses offline initialization to obtain a near global optimal model/ controller. Other issues are the considerations of modeling error, input-delay, sampling distortion, cost, greater flexibility, and highly reliable digital products of the model-based controller for the continuous-time (CT) nonlinear system. They are solved by a recommended two-stage control design with the first-stage (offline) RLO and second-stage (online) adaptive steps. A theorizing method is then put forward to replace the sensitivity calculation, which reduces the calculation of Jacobin matrices of the back-propagation (BP) method. Finally, the feedforward input of reference signals helps the digital fuzzy controller improve the control performance, and the technique works to control the CT systems precisely."/>
    <s v="Asia Univ, Dept Comp Sci &amp; Informat Engn, Taichung 41354, Taiwan"/>
    <s v="Asia University Taiwan"/>
    <s v="Tsai, ZR (corresponding author), Asia Univ, Dept Comp Sci &amp; Informat Engn, Taichung 41354, Taiwan."/>
    <s v="ren@asia.edu.tw"/>
    <s v=""/>
    <s v=""/>
    <s v="National Science Council; Asia University [NSC-97-2218-E-468-009, NSC-98-2221-E-468-022, NSC-99-2628-E-468-023, NSC-100-2628-E-468-001, NSC-101-2221-E-468-024, 98-ASIA-02, 100-asia-35, 101-asia-29]"/>
    <s v="National Science Council(Ministry of Science and Technology, Taiwan); Asia University"/>
    <s v="The author would like to thank the National Science Council and Asia University for the support under Contracts nos. NSC-97-2218-E-468-009, NSC-98-2221-E-468-022, NSC-99-2628-E-468-023, NSC-100-2628-E-468-001, NSC-101-2221-E-468-024, 98-ASIA-02, 100-asia-35, and 101-asia-29."/>
    <s v=""/>
    <n v="29"/>
    <n v="1"/>
    <n v="1"/>
    <n v="0"/>
    <n v="8"/>
    <s v="HINDAWI LTD"/>
    <s v="LONDON"/>
    <s v="ADAM HOUSE, 3RD FLR, 1 FITZROY SQ, LONDON, W1T 5HF, ENGLAND"/>
    <s v="1024-123X"/>
    <s v="1563-5147"/>
    <s v=""/>
    <s v="MATH PROBL ENG"/>
    <s v="Math. Probl. Eng."/>
    <s v=""/>
    <n v="2013"/>
    <n v="2013"/>
    <s v=""/>
    <s v=""/>
    <s v=""/>
    <s v=""/>
    <s v=""/>
    <s v=""/>
    <s v=""/>
    <n v="836414"/>
    <s v="10.1155/2013/836414"/>
    <s v="http://dx.doi.org/10.1155/2013/836414"/>
    <s v=""/>
    <s v=""/>
    <n v="12"/>
    <s v="Engineering, Multidisciplinary; Mathematics, Interdisciplinary Applications"/>
    <x v="2"/>
    <s v="Engineering; Mathematics"/>
    <s v="141XW"/>
    <s v=""/>
    <s v="gold, Green Submitted"/>
    <s v=""/>
    <s v=""/>
    <s v="2023-11-15"/>
    <x v="462"/>
    <s v="View Full Record in Web of Science"/>
  </r>
  <r>
    <s v="S"/>
    <s v="Fielden, K; Malcolm, P"/>
    <s v=""/>
    <s v="Reddick, CG"/>
    <s v=""/>
    <s v="Fielden, Kay; Malcolm, Pam"/>
    <s v=""/>
    <s v=""/>
    <s v="E-government in New Zealand: Local Governments, Digital Divides and the National Digital Strategy"/>
    <s v="COMPARATIVE E-GOVERNMENT"/>
    <s v="Integrated Series in Information Systems"/>
    <s v=""/>
    <s v="English"/>
    <x v="1"/>
    <s v=""/>
    <s v=""/>
    <s v=""/>
    <s v=""/>
    <s v=""/>
    <s v=""/>
    <s v="INFORMATION; TECHNOLOGY"/>
    <s v="Research carried out in 2009 on New Zealand's local government e-readiness with respect to the national digital strategy has discovered that there is a wide maturity range. In the first part of this chapter, an e-readiness maturity model is presented that indicates to what extent local governments, both urban and rural have met the national strategy guidelines. These results are contextualised within the international literature on local e-government maturity. In the second part of this chapter, challenges for four diverse and marginalised user groups are considered. Factors that affect end-users in New Zealand include: inequitable infrastructure provision, a shift in emphasis and ownership of technical knowledge and skills required to gain access to government services, and the differences in benefits and challenges for both majority and minority end-user groups. This analysis has been embedded in a theoretical framework informed by social informatics (Sawyer, 2005), digital inclusion/exclusion models (Cushman &amp; McLean, 2008), boundary conditioning modelling (Cordoba &amp; Midgley, 2008) and an e-government to e-governance model proposed by Dawes (2008)."/>
    <s v="[Fielden, Kay; Malcolm, Pam] Unitec Inst Technol, Auckland, New Zealand"/>
    <s v="Unitec NZ"/>
    <s v="Fielden, K (corresponding author), Unitec Inst Technol, Auckland, New Zealand."/>
    <s v="kfielden@unitec.ac.nz; pmalcolm@unitec.ac.nz"/>
    <s v=""/>
    <s v=""/>
    <s v=""/>
    <s v=""/>
    <s v=""/>
    <s v=""/>
    <n v="55"/>
    <n v="1"/>
    <n v="1"/>
    <n v="0"/>
    <n v="4"/>
    <s v="SPRINGER"/>
    <s v="NEW YORK"/>
    <s v="233 SPRING STREET, NEW YORK, NY 10013, UNITED STATES"/>
    <s v="1571-0270"/>
    <s v=""/>
    <s v="978-1-4419-6535-6"/>
    <s v="INTEGR SER INFORM SY"/>
    <s v=""/>
    <s v=""/>
    <n v="2010"/>
    <n v="25"/>
    <s v=""/>
    <s v=""/>
    <s v=""/>
    <s v=""/>
    <s v=""/>
    <n v="505"/>
    <n v="524"/>
    <s v=""/>
    <s v="10.1007/978-1-4419-6536-3_26"/>
    <s v="http://dx.doi.org/10.1007/978-1-4419-6536-3_26"/>
    <s v="10.1007/978-1-4419-6536-3"/>
    <s v=""/>
    <n v="20"/>
    <s v="Computer Science, Information Systems; Operations Research &amp; Management Science"/>
    <x v="12"/>
    <s v="Computer Science; Operations Research &amp; Management Science"/>
    <s v="BQV43"/>
    <s v=""/>
    <s v=""/>
    <s v=""/>
    <s v=""/>
    <s v="2023-11-15"/>
    <x v="463"/>
    <s v="View Full Record in Web of Science"/>
  </r>
  <r>
    <s v="J"/>
    <s v="Van Audenhove, L; Delaere, S; Ballon, P"/>
    <s v=""/>
    <s v=""/>
    <s v=""/>
    <s v="Van Audenhove, Leo; Delaere, Simon; Ballon, Pieter"/>
    <s v=""/>
    <s v=""/>
    <s v="Newspapers on Electronic Paper Devices: A Scenario Analysis of Possible Business Models"/>
    <s v="JOURNAL OF MEDIA BUSINESS STUDIES"/>
    <s v=""/>
    <s v=""/>
    <s v="English"/>
    <x v="0"/>
    <s v=""/>
    <s v=""/>
    <s v=""/>
    <s v=""/>
    <s v=""/>
    <s v="newspaper; electronic newspaper; electronic paper; business model; digital strategy"/>
    <s v=""/>
    <s v="The article analyses the changes in business models employed by the stakeholders in the newspaper value network, in view of the introduction of mobile devices using electronic paper. These devices hold the promise of a mobile digital reading experience close to that of 'real' paper. The potential impact of massive digitally distributed reading content on the traditional publishing value chain could be significant. This article develops four scenarios outlining possible business models."/>
    <s v="[Van Audenhove, Leo; Delaere, Simon; Ballon, Pieter] SMIT Vrije Univ Brussel, IBBT, Brussels, Belgium"/>
    <s v=""/>
    <s v="Van Audenhove, L (corresponding author), SMIT Vrije Univ Brussel, IBBT, Brussels, Belgium."/>
    <s v=""/>
    <s v=""/>
    <s v="Ballon, Pieter/0000-0001-6066-3242; Van Audenhove, Leo/0000-0002-1093-9041; Delaere, Simon/0000-0003-3775-6592"/>
    <s v=""/>
    <s v=""/>
    <s v=""/>
    <s v=""/>
    <n v="20"/>
    <n v="1"/>
    <n v="1"/>
    <n v="0"/>
    <n v="1"/>
    <s v="ROUTLEDGE JOURNALS, TAYLOR &amp; FRANCIS LTD"/>
    <s v="ABINGDON"/>
    <s v="2-4 PARK SQUARE, MILTON PARK, ABINGDON OX14 4RN, OXON, ENGLAND"/>
    <s v="1652-2354"/>
    <s v="2376-2977"/>
    <s v=""/>
    <s v="J MEDIA RES STUD"/>
    <s v="J. Media Res. Stud."/>
    <s v=""/>
    <n v="2008"/>
    <n v="5"/>
    <n v="2"/>
    <s v=""/>
    <s v=""/>
    <s v=""/>
    <s v=""/>
    <n v="47"/>
    <n v="69"/>
    <s v=""/>
    <s v="10.1080/16522354.2008.11073466"/>
    <s v="http://dx.doi.org/10.1080/16522354.2008.11073466"/>
    <s v=""/>
    <s v=""/>
    <n v="23"/>
    <s v="Business"/>
    <x v="3"/>
    <s v="Business &amp; Economics"/>
    <s v="VA2DB"/>
    <s v=""/>
    <s v=""/>
    <s v=""/>
    <s v=""/>
    <s v="2023-11-15"/>
    <x v="464"/>
    <s v="View Full Record in Web of Science"/>
  </r>
  <r>
    <s v="J"/>
    <s v="De Venuto, D; Reyneri, L"/>
    <s v=""/>
    <s v=""/>
    <s v=""/>
    <s v="De Venuto, Daniela; Reyneri, Leonardo"/>
    <s v=""/>
    <s v=""/>
    <s v="Fully digital strategy for fast calibration and test of ΣΔ ADC's"/>
    <s v="MICROELECTRONICS JOURNAL"/>
    <s v=""/>
    <s v=""/>
    <s v="English"/>
    <x v="0"/>
    <s v=""/>
    <s v=""/>
    <s v=""/>
    <s v=""/>
    <s v=""/>
    <s v="test tecnique; high resolution sigma delta ADC"/>
    <s v="SELF-TEST"/>
    <s v="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6 Elsevier Ltd. All rights reserved."/>
    <s v="Politecn Bari, Dipartimento Elettrotecn &amp; Elettron, I-70125 Bari, Italy; Politecn Torino, Dipartimento Elettron, I-10129 Turin, Italy"/>
    <s v="Politecnico di Bari; Polytechnic University of Turin"/>
    <s v="Venuto, D (corresponding author), Politecn Bari, Dipartimento Elettrotecn &amp; Elettron, Via Orabona 4, I-70125 Bari, Italy."/>
    <s v="d.devenuto@poliba.it; leonardo.reyneri@polito.it"/>
    <s v=""/>
    <s v="DE VENUTO, Daniela/0000-0003-4563-7614"/>
    <s v=""/>
    <s v=""/>
    <s v=""/>
    <s v=""/>
    <n v="13"/>
    <n v="1"/>
    <n v="1"/>
    <n v="0"/>
    <n v="2"/>
    <s v="ELSEVIER SCI LTD"/>
    <s v="OXFORD"/>
    <s v="THE BOULEVARD, LANGFORD LANE, KIDLINGTON, OXFORD OX5 1GB, OXON, ENGLAND"/>
    <s v="0026-2692"/>
    <s v=""/>
    <s v=""/>
    <s v="MICROELECTRON J"/>
    <s v="Microelectron. J."/>
    <s v="JAN"/>
    <n v="2007"/>
    <n v="38"/>
    <n v="1"/>
    <s v=""/>
    <s v=""/>
    <s v=""/>
    <s v=""/>
    <n v="140"/>
    <n v="147"/>
    <s v=""/>
    <s v="10.1016/j.mejo.2006.08.002"/>
    <s v="http://dx.doi.org/10.1016/j.mejo.2006.08.002"/>
    <s v=""/>
    <s v=""/>
    <n v="8"/>
    <s v="Engineering, Electrical &amp; Electronic; Nanoscience &amp; Nanotechnology"/>
    <x v="2"/>
    <s v="Engineering; Science &amp; Technology - Other Topics"/>
    <s v="130XM"/>
    <s v=""/>
    <s v=""/>
    <s v=""/>
    <s v=""/>
    <s v="2023-11-15"/>
    <x v="465"/>
    <s v="View Full Record in Web of Science"/>
  </r>
  <r>
    <s v="J"/>
    <s v="Davarpanah, MR; Khaleghi, N"/>
    <s v=""/>
    <s v=""/>
    <s v=""/>
    <s v="Davarpanah, M. R.; Khaleghi, Narges"/>
    <s v=""/>
    <s v=""/>
    <s v="Evaluating websites A systematic investigation of internet site quality from a single country domain name"/>
    <s v="LIBRARY REVIEW"/>
    <s v=""/>
    <s v=""/>
    <s v="English"/>
    <x v="0"/>
    <s v=""/>
    <s v=""/>
    <s v=""/>
    <s v=""/>
    <s v=""/>
    <s v="Worldwide web; Iran; Internet"/>
    <s v=""/>
    <s v="Purpose - The objective of this research paper is to evaluate websites freely available on the internet from one country - Iran and to provide information about the quality of their content. Design/methodology/approach - General quality criteria were used for the evaluation. These included ownership and authorship, type of websites, purpose and scope of the sites, language, links, domain types, currency/updating of information, accessibility, services and facilities. Thus, in May and June 2004, 328 websites were selected using Yahoo, Google, Lycos, Iran Digest, and A Guide to Iranian Websites, to conduct searches. A check list was drawn up to review the information from the tools. Findings - The research revealed that among Iranian websites providing information on the internet, private sites were much more likely to be of poorer quality compared to sites of governmental organizations. Research limitations/implications - Because there are no authoritative search engines which are specifically Iranian, the data were collected by using a selection of five search tools over a limited period of time. Using only these search tools, 3735 websites were found. While this paper has surveyed the content of the websites, more research is needed to highlight the nature of the internet infrastructure and its use in this country. Originality/value - The websites of each country are regarded as a prime national gateway of information. The paper uses other work on evaluating national web presence and gives clear insight into Iran's websites and gives a model for evaluating the national web presence in any one country. Based on the results, national digital strategies can be devised to help make progress towards an effective and high quality national portfolio of websites."/>
    <s v="[Davarpanah, M. R.] Ferdowsi Univ Mashhad, Dept Lib &amp; Informat Sci, Mashhad, Iran; [Khaleghi, Narges] Qume Univ, Dept Lib &amp; Informat Sci, Qume, Iran"/>
    <s v="Ferdowsi University Mashhad"/>
    <s v="Davarpanah, MR (corresponding author), Ferdowsi Univ Mashhad, Dept Lib &amp; Informat Sci, Mashhad, Iran."/>
    <s v="mrdavarpanah@yahoo.com"/>
    <s v=""/>
    <s v="khaleghi, narges/0000-0003-3770-2789"/>
    <s v=""/>
    <s v=""/>
    <s v=""/>
    <s v=""/>
    <n v="11"/>
    <n v="1"/>
    <n v="1"/>
    <n v="0"/>
    <n v="0"/>
    <s v="EMERALD GROUP PUBLISHING LTD"/>
    <s v="BINGLEY"/>
    <s v="HOWARD HOUSE, WAGON LANE, BINGLEY BD16 1WA, W YORKSHIRE, ENGLAND"/>
    <s v="0024-2535"/>
    <s v="1758-793X"/>
    <s v=""/>
    <s v="LIBR REV"/>
    <s v="Libr. Rev."/>
    <s v=""/>
    <n v="2006"/>
    <n v="55"/>
    <n v="9"/>
    <s v=""/>
    <s v=""/>
    <s v=""/>
    <s v=""/>
    <n v="621"/>
    <s v="+"/>
    <s v=""/>
    <s v="10.1108/00242530610706806"/>
    <s v="http://dx.doi.org/10.1108/00242530610706806"/>
    <s v=""/>
    <s v=""/>
    <n v="12"/>
    <s v="Information Science &amp; Library Science"/>
    <x v="3"/>
    <s v="Information Science &amp; Library Science"/>
    <s v="V93GA"/>
    <s v=""/>
    <s v=""/>
    <s v=""/>
    <s v=""/>
    <s v="2023-11-15"/>
    <x v="466"/>
    <s v="View Full Record in Web of Science"/>
  </r>
  <r>
    <s v="J"/>
    <s v="Senna, PP; Barros, AC; Roca, JB; Azevedo, A"/>
    <s v=""/>
    <s v=""/>
    <s v=""/>
    <s v="Senna, Pedro P.; Barros, Ana C.; Roca, Jaime Bonnin; Azevedo, Americo"/>
    <s v=""/>
    <s v=""/>
    <s v="Development of a digital maturity model for Industry 4.0 based on the technology-organization-environment framework"/>
    <s v="COMPUTERS &amp; INDUSTRIAL ENGINEERING"/>
    <s v=""/>
    <s v=""/>
    <s v="English"/>
    <x v="0"/>
    <s v=""/>
    <s v=""/>
    <s v=""/>
    <s v=""/>
    <s v=""/>
    <s v="Digital maturity model; Industry 4.0; Technology management; Industrial management; Systematic literature review; Case research"/>
    <s v="READINESS ASSESSMENT; SUPPLY CHAIN; SMES"/>
    <s v="The successful adoption of Industry 4.0 technologies by firms requires them to formulate a digital strategy and implementation roadmap. An established approach to assess firms' needs towards digitalization is through maturity models. While there is a large number of maturity models in the literature, they present several limi-tations related to their generalizability and theoretical foundations. Our study aims to build and empirically validate an Industry 4.0 digital maturity model, based on the Technology-Organization-Environment framework. We conducted a systematic literature review of 55 digital maturity models, which we synthesized to create an integrated digital maturity assessment model. We tested our model through a focus group with industry experts and 24 companies from various manufacturing sectors. Our review suggests that existing digital maturity models have underestimated the relevance of the Environment dimension. Our empirical data suggests that companies often invest in digital technologies without considering critical organizational and environmental constraints."/>
    <s v="[Senna, Pedro P.; Barros, Ana C.; Azevedo, Americo] INESC TEC, Ctr Enterprise Syst Engn, Campus FEUP,Rua Dr Roberto Frias, P-4200465 Porto, Portugal; [Senna, Pedro P.; Azevedo, Americo] Univ Porto, Fac Engn, Rua Dr Roberto Frias, P-4200465 Porto, Portugal; [Roca, Jaime Bonnin] Eindhoven Univ Technol, Dept Ind Engn &amp; Innovat Sci, POB 513, NL-5600 MB Eindhoven, Netherlands"/>
    <s v="Universidade do Porto; INESC TEC; Universidade do Porto; Eindhoven University of Technology"/>
    <s v="Roca, JB (corresponding author), Eindhoven Univ Technol, Dept Ind Engn &amp; Innovat Sci, POB 513, NL-5600 MB Eindhoven, Netherlands."/>
    <s v="j.bonnin.roca@tue.nl"/>
    <s v="Senna, Pedro Pinho/GRS-5705-2022"/>
    <s v="Senna, Pedro Pinho/0000-0002-4025-5716"/>
    <s v="National Funds through the Portuguese funding agency, FCT - Fundacao para a Ciencia e a Tecnologia [UIDB/50014/2020]"/>
    <s v="National Funds through the Portuguese funding agency, FCT - Fundacao para a Ciencia e a Tecnologia(Fundacao para a Ciencia e a Tecnologia (FCT))"/>
    <s v="This work was financed by National Funds through the Portuguese funding agency, FCT - Fundacao para a Ciencia e a Tecnologia, within project UIDB/50014/2020."/>
    <s v=""/>
    <n v="55"/>
    <n v="0"/>
    <n v="0"/>
    <n v="1"/>
    <n v="1"/>
    <s v="PERGAMON-ELSEVIER SCIENCE LTD"/>
    <s v="OXFORD"/>
    <s v="THE BOULEVARD, LANGFORD LANE, KIDLINGTON, OXFORD OX5 1GB, ENGLAND"/>
    <s v="0360-8352"/>
    <s v="1879-0550"/>
    <s v=""/>
    <s v="COMPUT IND ENG"/>
    <s v="Comput. Ind. Eng."/>
    <s v="NOV"/>
    <n v="2023"/>
    <n v="185"/>
    <s v=""/>
    <s v=""/>
    <s v=""/>
    <s v=""/>
    <s v=""/>
    <s v=""/>
    <s v=""/>
    <n v="109645"/>
    <s v="10.1016/j.cie.2023.109645"/>
    <s v="http://dx.doi.org/10.1016/j.cie.2023.109645"/>
    <s v=""/>
    <s v=""/>
    <n v="19"/>
    <s v="Computer Science, Interdisciplinary Applications; Engineering, Industrial"/>
    <x v="2"/>
    <s v="Computer Science; Engineering"/>
    <s v="U8FF1"/>
    <s v=""/>
    <s v="hybrid"/>
    <s v=""/>
    <s v=""/>
    <s v="2023-11-15"/>
    <x v="467"/>
    <s v="View Full Record in Web of Science"/>
  </r>
  <r>
    <s v="J"/>
    <s v="Guio, J; Melo, A; Saldarriaga, MM; Fuentes, C; Tíjaro-Ovalle, N; Borda, A; Guzmán, Y; Bolaños, E; Quintero, G; Duarte, M; Agudelo, C; Aparicio, S; Cuellar, G; Bernal, P; Paéz, M; Rueda, E; Rodriguez, A; Alvarado, F; Pinzón, O; Romero, M"/>
    <s v=""/>
    <s v=""/>
    <s v=""/>
    <s v="Guio, Juan; Melo, Andres; Saldarriaga, Mateo Mejia; Fuentes, Cynthia; Tijaro-Ovalle, Natalia; Borda, Andres; Guzman, Yuli; Bolanos, Elias; Quintero, Guillermo; Duarte, Monica; Agudelo, Claudia; Aparicio, Soraya; Cuellar, Gina; Bernal, Patricia; Paez, Marco; Rueda, Erica; Rodriguez, Agustina; Alvarado, Fernando; Pinzon, Oscar; Romero, Martha"/>
    <s v=""/>
    <s v=""/>
    <s v="A Novel Digital Educational Strategy Improves Treatment Adherence and Quality of Life in Patients with Multiple Myeloma"/>
    <s v="JOURNAL OF CANCER EDUCATION"/>
    <s v=""/>
    <s v=""/>
    <s v="English"/>
    <x v="2"/>
    <s v=""/>
    <s v=""/>
    <s v=""/>
    <s v=""/>
    <s v=""/>
    <s v="Multiple myeloma; Digital education program; Medication adherence; Quality of life"/>
    <s v=""/>
    <s v="Multiple myeloma, the second most common hematologic malignancy worldwide, is an aggressive disease with high morbidity and mortality rates. Although myeloma remains incurable, new treatments have improved patients' life expectancy and quality of life. However, as these therapies are administered for prolonged and often indefinite periods, their success depends on high treatment adherence and significant patient engagement. This study aimed to evaluate the impact of a novel digital educational strategy on treatment adherence, quality of life, and the development of complications in patients with newly diagnosed myeloma. To this end, a two-arm, randomized, prospective, double-blind study was conducted to compare the conventional educational approach alone or combined with the novel digital strategy. This strategy was based on some principles of the Persuasive Systems Design model and incorporated the educational recommendations of patients and caregivers. Compared to the control group that only received information through the conventional educational approach, patients randomized to the digital strategy showed significantly higher treatment adherence and quality of life, associated with increased functionality and rapid reincorporation into daily routines. The digital strategy empowered patients and caregivers to understand the disease and therapeutic options and helped patients recall treatment information and implement healthy lifestyle habits. These results support that patient-targeted educational strategies can positively influence treatment adherence and thus improve their quality of life."/>
    <s v="[Guio, Juan; Melo, Andres; Fuentes, Cynthia; Borda, Andres; Guzman, Yuli; Quintero, Guillermo; Duarte, Monica; Agudelo, Claudia; Aparicio, Soraya; Cuellar, Gina; Bernal, Patricia; Paez, Marco; Rueda, Erica; Rodriguez, Agustina; Alvarado, Fernando; Romero, Martha] Hosp Univ Fdn Santa Fe Bogota, Ctr Excellence Multiple Myeloma, Bogota, Colombia; [Guio, Juan; Cuellar, Gina; Paez, Marco; Romero, Martha] Hosp Univ Fdn Santa Fe Bogota, Dept Pathol &amp; Lab, Bogota, Colombia; [Melo, Andres] Hosp Clin San Carlos, Hematol &amp; Hemotherapy Div, Madrid, Spain; [Saldarriaga, Mateo Mejia] Weill Cornell Med New York Presbyterian, Hematol &amp; Oncol Div, New York, NY USA; [Tijaro-Ovalle, Natalia] Yale Sch Med, Internal Med, New Haven, CT USA; [Borda, Andres; Quintero, Guillermo; Duarte, Monica; Agudelo, Claudia; Rueda, Erica] Univ Hosp Fdn Santa Fe Bogota, Canc Inst, Bogota, Colombia; [Bolanos, Elias] Univ Hosp Fdn Santa Fe Bogota, Educ &amp; Knowledge Management, Bogota, Colombia; [Aparicio, Soraya] Univ Hosp Fdn Santa Fe Bogota, Dept Psychiat, Bogota, Colombia; [Bernal, Patricia] Univ Hosp Fdn Santa Fe Bogota, Nucl Med, Bogota, Colombia; [Pinzon, Oscar] Mem Hermann Hlth Syst, Enterprise Analyt Div, Houston, TX USA"/>
    <s v="Hospital Clinico San Carlos; Cornell University; Weill Cornell Medicine; Yale University"/>
    <s v="Romero, M (corresponding author), Hosp Univ Fdn Santa Fe Bogota, Ctr Excellence Multiple Myeloma, Bogota, Colombia.;Romero, M (corresponding author), Hosp Univ Fdn Santa Fe Bogota, Dept Pathol &amp; Lab, Bogota, Colombia."/>
    <s v="martha.romero@fsfb.org.co"/>
    <s v=""/>
    <s v="GUIO OROS, JUAN FRANCISCO/0000-0003-0235-3195"/>
    <s v="We thank Dr Marta Mesa for English review, editing and correction."/>
    <s v="We thank Dr Marta Mesa for English review, editing and correction."/>
    <s v="We thank Dr Marta Mesa for English review, editing and correction."/>
    <s v=""/>
    <n v="22"/>
    <n v="0"/>
    <n v="0"/>
    <n v="0"/>
    <n v="0"/>
    <s v="SPRINGER"/>
    <s v="NEW YORK"/>
    <s v="ONE NEW YORK PLAZA, SUITE 4600, NEW YORK, NY, UNITED STATES"/>
    <s v="0885-8195"/>
    <s v="1543-0154"/>
    <s v=""/>
    <s v="J CANCER EDUC"/>
    <s v="J. Cancer Educ."/>
    <s v="2023 OCT 24"/>
    <n v="2023"/>
    <s v=""/>
    <s v=""/>
    <s v=""/>
    <s v=""/>
    <s v=""/>
    <s v=""/>
    <s v=""/>
    <s v=""/>
    <s v=""/>
    <s v="10.1007/s13187-023-02374-w"/>
    <s v="http://dx.doi.org/10.1007/s13187-023-02374-w"/>
    <s v=""/>
    <s v="OCT 2023"/>
    <n v="8"/>
    <s v="Oncology; Education, Scientific Disciplines; Public, Environmental &amp; Occupational Health"/>
    <x v="2"/>
    <s v="Oncology; Education &amp; Educational Research; Public, Environmental &amp; Occupational Health"/>
    <s v="U9LY0"/>
    <n v="37875743"/>
    <s v=""/>
    <s v=""/>
    <s v=""/>
    <s v="2023-11-15"/>
    <x v="468"/>
    <s v="View Full Record in Web of Science"/>
  </r>
  <r>
    <s v="J"/>
    <s v="Youssofi, A; Jeannot, F; Jongmans, E; Dampérat, M"/>
    <s v=""/>
    <s v=""/>
    <s v=""/>
    <s v="Youssofi, Alexandra; Jeannot, Florence; Jongmans, Eline; Damperat, Maud"/>
    <s v=""/>
    <s v=""/>
    <s v="Designing the digitalized guest experience: A comprehensive framework and research agenda"/>
    <s v="PSYCHOLOGY &amp; MARKETING"/>
    <s v=""/>
    <s v=""/>
    <s v="English"/>
    <x v="2"/>
    <s v=""/>
    <s v=""/>
    <s v=""/>
    <s v=""/>
    <s v=""/>
    <s v="artificial intelligence; digital technology; hospitality; intented digitalized guest experience; self-service technology"/>
    <s v="CUSTOMER EXPERIENCE; MANAGEMENT; HOSPITALITY; HOTELS"/>
    <s v="Digital transformation has emerged as a critical necessity for hospitality, a sector that traditionally prioritizes human interaction and personalized experiences. While prior research has explored the impact of digital technologies on the realized guest experience, there is a lack of work that studies their influence on the intended guest experience, as designed by hoteliers. Drawing on existing literature on customer experience management and digitalization in hospitality, this research aims to understand the psychological mechanisms by which digital technologies enhance the intended digitalized guest experience. We conducted two qualitative studies, involving 22 hotel professionals and 18 consumers. By consolidating these different theoretical and practical perspectives, we propose a conceptualization of the intended digitalized guest experience and present an integrative framework that includes the mediating and reciprocal role of consumer- and professional-based psychological mechanisms, along with antecedents, outcomes, and contingency factors. These findings have practical implications for hotel professionals, enabling them to leverage appropriate digital strategies for successful guest experiences. The article concludes with specific recommendations to managers on how to design a unique guest experience. These recommendations include designing a game-like experience, developing care as a new source of digital value creation, and providing training to the staff to enhance their creativity."/>
    <s v="[Youssofi, Alexandra] COACTIS, INSEEC Grande Ecole, OMNES Educ, Lyon, France; [Jeannot, Florence] CERAG, INSEEC Grande Ecole, OMNES Educ, Lyon, France; [Jongmans, Eline] Univ Grenoble Alpes, Grenoble INP, CERAG, Grenoble, France; [Damperat, Maud] Univ Lyon 2, UR COACTIS, MSH, Lyon, France; [Jeannot, Florence] 25 Rue Univ, F-69007 Lyon, France"/>
    <s v="Communaute Universite Grenoble Alpes; Institut National Polytechnique de Grenoble; Universite Grenoble Alpes (UGA); Centre National de la Recherche Scientifique (CNRS); Communaute Universite Grenoble Alpes; Institut National Polytechnique de Grenoble; Universite Grenoble Alpes (UGA); Centre National de la Recherche Scientifique (CNRS); Universite Lyon 2"/>
    <s v="Jeannot, F (corresponding author), 25 Rue Univ, F-69007 Lyon, France."/>
    <s v="fjeannot@inseec.com"/>
    <s v=""/>
    <s v=""/>
    <s v=""/>
    <s v=""/>
    <s v=""/>
    <s v=""/>
    <n v="60"/>
    <n v="0"/>
    <n v="0"/>
    <n v="1"/>
    <n v="1"/>
    <s v="WILEY"/>
    <s v="HOBOKEN"/>
    <s v="111 RIVER ST, HOBOKEN 07030-5774, NJ USA"/>
    <s v="0742-6046"/>
    <s v="1520-6793"/>
    <s v=""/>
    <s v="PSYCHOL MARKET"/>
    <s v="Psychol. Mark."/>
    <s v="2023 OCT 20"/>
    <n v="2023"/>
    <s v=""/>
    <s v=""/>
    <s v=""/>
    <s v=""/>
    <s v=""/>
    <s v=""/>
    <s v=""/>
    <s v=""/>
    <s v=""/>
    <s v="10.1002/mar.21929"/>
    <s v="http://dx.doi.org/10.1002/mar.21929"/>
    <s v=""/>
    <s v="OCT 2023"/>
    <n v="20"/>
    <s v="Business; Psychology, Applied"/>
    <x v="0"/>
    <s v="Business &amp; Economics; Psychology"/>
    <s v="U6RQ1"/>
    <s v=""/>
    <s v="hybrid"/>
    <s v=""/>
    <s v=""/>
    <s v="2023-11-15"/>
    <x v="469"/>
    <s v="View Full Record in Web of Science"/>
  </r>
  <r>
    <s v="J"/>
    <s v="Wright, C; Kelly, JT; Byrnes, J; Campbell, KL; Healy, R; Musial, J; Hamilton, K"/>
    <s v=""/>
    <s v=""/>
    <s v=""/>
    <s v="Wright, Charlene; Kelly, Jaimon T.; Byrnes, Joshua; Campbell, Katrina L.; Healy, Rebecca; Musial, Jane; Hamilton, Kyra"/>
    <s v=""/>
    <s v=""/>
    <s v="A non-randomised feasibility study of a mHealth follow-up program in bariatric surgery"/>
    <s v="PILOT AND FEASIBILITY STUDIES"/>
    <s v=""/>
    <s v=""/>
    <s v="English"/>
    <x v="0"/>
    <s v=""/>
    <s v=""/>
    <s v=""/>
    <s v=""/>
    <s v=""/>
    <s v="Bariatric surgery; mHealth; Mixed methods; Text messages; Email newsletter; Online resources; Feasibility; Acceptability; Cost analysis"/>
    <s v="HEALTH OUTCOMES; INTERVENTION"/>
    <s v="BackgroundBehavioural support via mobile health (mHealth) is emerging. This study aimed to assess the feasibility, acceptability, cost, and potential effect on weight of a mHealth follow-up program in bariatric surgery.MethodsThis was a non-randomised feasibility study describing intervention development and proof in the concept of a mHealth follow-up program in bariatric surgery. The study compares a prospective cohort with a historical control group and was conducted in a tertiary bariatric surgery service in Australia. The intervention group included individuals who had bariatric surgery (2019-2021) and owned a smart device, and the historical control group received usual postoperative care (2018). The intervention involved usual care plus codesigned biweekly text messages, monthly email newsletters, and online resources/videos over a 6-month period. The primary outcome measures included feasibility (via recruitment and retention rate), acceptability (via mixed methods), marginal costs, and weight 12 months postoperatively. Quantitative analysis was performed, including descriptive statistics and inferential and regression analysis. Multivariate linear regression and mixed-effects models were undertaken to test the potential intervention effect. Qualitative analysis was performed using inductive content analysis.ResultsThe study included 176 participants (n = 129 historical control, n = 47 intervention group; mean age 56 years). Of the 50 eligible patients, 48 consented to participate (96% recruitment rate). One participant opted out of the mHealth program entirely without disclosing their reason (98% retention rate). The survey response rate was low (n = 16/47, 34%). Participants agreed/strongly agreed that text messages supported new behaviours (n = 13/15, 87%); however, few agreed/strongly agreed that the messages motivated goal setting and self-monitoring (n = 8/15, 53%), dietary change (n = 6/15, 40%), or physical activity (n = 5/15, 33%). Interviews generated four main themes (n = 12): 'motivators and expectations', 'preferences and relevance', 'reinforced information, and 'wanting social support'. The intervention reinforced information, email newsletters were lengthy/challenging to read, and text messages were favoured, yet tailoring was recommended. The intervention cost AUD 11.04 per person. The mean 12-month weight was 86 +/- 16 kg and 90 +/- 16 kg (intervention and historical control) with no statistically significant difference. Intervention recipients enrolled at 3 months postoperatively demonstrated a statistically significant difference in 12-month weight (p = 0.014).ConclusionAlthough this study observed high rates of recruitment and retention, findings should be considered with caution as mHealth may have been embraced more by the intervention cohort as a result of the 2019 coronavirus pandemic. Of the various digital strategies developed and tested, the text message approach was the most acceptable; however, future intervention iterations could be strengthened through tailoring information when possible. The use of email newsletters and online resources/videos requires further testing of effectiveness to determine their value for continued use in bariatric surgery services."/>
    <s v="[Wright, Charlene; Hamilton, Kyra] Griffith Univ, Sch Appl Psychol, 176 Messines Ridge Rd, Mt Gravatt, Qld, Australia; [Wright, Charlene; Campbell, Katrina L.; Hamilton, Kyra] Griffith Univ, Menzies Hlth Inst Queensland, 176 Messines Ridge Rd, Mt Gravatt, Qld 4122, Australia; [Kelly, Jaimon T.] Univ Queensland, Fac Med, Ctr Online Hlth, Woolloongabba, Qld, Australia; [Kelly, Jaimon T.] Univ Queensland, Fac Med, Ctr Hlth Serv Res, Herston, Qld, Australia; [Byrnes, Joshua; Campbell, Katrina L.] Griffith Univ, Ctr Appl Hlth Econ, Sch Med &amp; Dent, 170 Kessels Rd, Nathan, Qld, Australia; [Campbell, Katrina L.] Metro North Hosp &amp; Hlth Serv, Healthcare Excellence &amp; Innovat, Butterfield St, Herston, Qld, Australia; [Healy, Rebecca] Royal Brisbane &amp; Womens Hosp, Nutr &amp; Dietet Dept, Butterfield St, Herston, Qld, Australia; [Musial, Jane] Princess Alexandra Hosp, Nutr &amp; Dietet Dept, 199 Ipswich Rd, Woolloongabba, Australia; [Hamilton, Kyra] Univ Calif, Hlth Sci Res Inst, 5200 Lake Rd, Merced, CA 95343 USA; [Hamilton, Kyra] Univ Jyvaskyla, Fac Sport &amp; Hlth Sci, Jyvaskyla, Finland"/>
    <s v="Griffith University; Griffith University - Mount Gravatt Campus; Griffith University; Griffith University - Mount Gravatt Campus; University of Queensland; University of Queensland; Griffith University; Royal Brisbane &amp; Women's Hospital; University of California System; University of California Merced; University of Jyvaskyla"/>
    <s v="Wright, C (corresponding author), Griffith Univ, Sch Appl Psychol, 176 Messines Ridge Rd, Mt Gravatt, Qld, Australia.;Wright, C (corresponding author), Griffith Univ, Menzies Hlth Inst Queensland, 176 Messines Ridge Rd, Mt Gravatt, Qld 4122, Australia."/>
    <s v="charlene.wright@griffithuni.edu.au"/>
    <s v=""/>
    <s v="Hamilton, Kyra/0000-0001-9975-685X; Wright, Charlene/0000-0003-2918-6032"/>
    <s v="We would like to acknowledge the individuals who generously shared their time and experience, along with the Royal Brisbane and Women's Hospital multidisciplinary team for their contribution to the intervention development. The aforementioned have provided"/>
    <s v="We would like to acknowledge the individuals who generously shared their time and experience, along with the Royal Brisbane and Women's Hospital multidisciplinary team for their contribution to the intervention development. The aforementioned have provided"/>
    <s v="We would like to acknowledge the individuals who generously shared their time and experience, along with the Royal Brisbane and Women's Hospital multidisciplinary team for their contribution to the intervention development. The aforementioned have provided permission for this acknowledgement."/>
    <s v=""/>
    <n v="48"/>
    <n v="0"/>
    <n v="0"/>
    <n v="0"/>
    <n v="0"/>
    <s v="BMC"/>
    <s v="LONDON"/>
    <s v="CAMPUS, 4 CRINAN ST, LONDON N1 9XW, ENGLAND"/>
    <s v=""/>
    <s v="2055-5784"/>
    <s v=""/>
    <s v="PILOT FEASIBILITY ST"/>
    <s v="Pilot Feasibility Stud."/>
    <s v="OCT 17"/>
    <n v="2023"/>
    <n v="9"/>
    <n v="1"/>
    <s v=""/>
    <s v=""/>
    <s v=""/>
    <s v=""/>
    <s v=""/>
    <s v=""/>
    <n v="176"/>
    <s v="10.1186/s40814-023-01401-3"/>
    <s v="http://dx.doi.org/10.1186/s40814-023-01401-3"/>
    <s v=""/>
    <s v=""/>
    <n v="14"/>
    <s v="Medicine, Research &amp; Experimental"/>
    <x v="3"/>
    <s v="Research &amp; Experimental Medicine"/>
    <s v="W3BG0"/>
    <n v="37848959"/>
    <s v="gold"/>
    <s v=""/>
    <s v=""/>
    <s v="2023-11-15"/>
    <x v="470"/>
    <s v="View Full Record in Web of Science"/>
  </r>
  <r>
    <s v="J"/>
    <s v="Ren, XM; Jing, H; Zhang, YY"/>
    <s v=""/>
    <s v=""/>
    <s v=""/>
    <s v="Ren, Xingmin; Jing, Hao; Zhang, Yaoyao"/>
    <s v=""/>
    <s v=""/>
    <s v="Construction of Digital Transformation Capability of Manufacturing Enterprises: Qualitative Meta-Analysis Based on Current Research"/>
    <s v="SUSTAINABILITY"/>
    <s v=""/>
    <s v=""/>
    <s v="English"/>
    <x v="0"/>
    <s v=""/>
    <s v=""/>
    <s v=""/>
    <s v=""/>
    <s v=""/>
    <s v="digital transformation capability; digital transformation; manufacture; qualitative meta-analysis"/>
    <s v="RESOURCE-BASED VIEW; DYNAMIC-CAPABILITIES; INNOVATION; STRATEGY; FIRM"/>
    <s v="Competitive advantage in enterprises can be substantially enhanced by the strategic deployment of digital transformation capabilities, which can be considered as distinctive resources. Within the domain of manufacturing enterprises, the discernment and classification of the structural dimensions inherent in digital transformation capabilities can serve as a pivotal factor in facilitating a more adaptable and seamless progression through the digital transformation journey. In pursuit of this objective, 22 typical manufacturing enterprises are selected as data samples, and a four-dimensional digital transformation capability system is constructed through the processes of excerpt, coding, classification, reliability and validity, etc. Combined with the view of capability hierarchy, a three-level capability structure model of digital transformation capability is constructed. The results show that digital transformation capability includes digital technology capability, digital operation capability, digital organization capability and digital strategic capability, and it is found that there is a hierarchical relationship among the capabilities of each dimension. The research findings have extended the theoretical boundaries of digital transformation, augmented the applicability scenarios of dynamic capability theory, and established a foundational framework for future empirical investigations into the digital capabilities of manufacturing enterprises."/>
    <s v="[Ren, Xingmin; Jing, Hao; Zhang, Yaoyao] Shenyang Aerosp Univ, Sch Econ &amp; Management, Shenyang 110136, Peoples R China"/>
    <s v="Shenyang Aerospace University"/>
    <s v="Ren, XM; Jing, H (corresponding author), Shenyang Aerosp Univ, Sch Econ &amp; Management, Shenyang 110136, Peoples R China."/>
    <s v="nicole_works@163.com; jing_16@163.com; zhangyaoyao0117@163.com"/>
    <s v=""/>
    <s v=""/>
    <s v="Major project of Liaoning Provincial Philosophy and Social Science Foundation [L21ZD009]"/>
    <s v="Major project of Liaoning Provincial Philosophy and Social Science Foundation"/>
    <s v="This research was funded by the Major project of Liaoning Provincial Philosophy and Social Science Foundation (L21ZD009)"/>
    <s v=""/>
    <n v="60"/>
    <n v="0"/>
    <n v="0"/>
    <n v="2"/>
    <n v="2"/>
    <s v="MDPI"/>
    <s v="BASEL"/>
    <s v="ST ALBAN-ANLAGE 66, CH-4052 BASEL, SWITZERLAND"/>
    <s v=""/>
    <s v="2071-1050"/>
    <s v=""/>
    <s v="SUSTAINABILITY-BASEL"/>
    <s v="Sustainability"/>
    <s v="OCT"/>
    <n v="2023"/>
    <n v="15"/>
    <n v="19"/>
    <s v=""/>
    <s v=""/>
    <s v=""/>
    <s v=""/>
    <s v=""/>
    <s v=""/>
    <n v="14168"/>
    <s v="10.3390/su151914168"/>
    <s v="http://dx.doi.org/10.3390/su151914168"/>
    <s v=""/>
    <s v=""/>
    <n v="37"/>
    <s v="Green &amp; Sustainable Science &amp; Technology; Environmental Sciences; Environmental Studies"/>
    <x v="1"/>
    <s v="Science &amp; Technology - Other Topics; Environmental Sciences &amp; Ecology"/>
    <s v="U6JU3"/>
    <s v=""/>
    <s v="gold"/>
    <s v=""/>
    <s v=""/>
    <s v="2023-11-15"/>
    <x v="471"/>
    <s v="View Full Record in Web of Science"/>
  </r>
  <r>
    <s v="J"/>
    <s v="Ren, Y; Wu, KJ; Lim, MK; Tseng, ML"/>
    <s v=""/>
    <s v=""/>
    <s v=""/>
    <s v="Ren, Yu; Wu, Kuo-Jui; Lim, Ming K.; Tseng, Ming-Lang"/>
    <s v=""/>
    <s v=""/>
    <s v="Technology transfer adoption to achieve a circular economy model under resource-based view: A high-tech firm"/>
    <s v="INTERNATIONAL JOURNAL OF PRODUCTION ECONOMICS"/>
    <s v=""/>
    <s v=""/>
    <s v="English"/>
    <x v="0"/>
    <s v=""/>
    <s v=""/>
    <s v=""/>
    <s v=""/>
    <s v=""/>
    <s v="Circular economy principles; Technology transfer; Resource-based view; Fuzzy synthetic method; Decision-making trial and evaluation; laboratory"/>
    <s v="BIG-DATA"/>
    <s v="This study explores technology transfer with public expectations and expert guidance to achieve a circular economy model under resource-based view. This study aims to (1) build a model to apply technology transfer to achieve circular economy principles under public expectations and expert guidance, (2) construct a valid theoretical structure using experts' perspectives, and (3) provide practical criteria for improvement under resource constraints. High-tech firms seek to apply technology transfer to achieve circular economy principles under resource constraints and to meet public expectations. However, there is always a discrepancy between expectations and expert guidance. Exploratory factor analysis is used to confirm the reliability and validity of the attributes. The linguistic preferences are converted into crisp values using the fuzzy synthesis method. Finally, the decision-making trial and evaluation laboratory is applied to understand the gaps between public expecta-tions and expert guidance in technology transfer adoption to achieve a circular economy model under resource constraints. The results show that technology collaboration in line with a circular strategy, digital workforce skill development, technology sharing to achieve circular co-benefits, and stakeholder engagement for technology transfer are important aspects."/>
    <s v="[Ren, Yu] Univ Malaya, Asia Europe Inst, Kuala Lumpur, Malaysia; [Wu, Kuo-Jui] Hainan Univ, Management Sch, Haikou 570228, Hainan, Peoples R China; [Lim, Ming K.] Univ Glasgow, Adam Smith Business Sch, Glasgow, Scotland; [Tseng, Ming-Lang] Asia Univ, Inst Innovat &amp; Circular Econ, Taichung, Taiwan; [Tseng, Ming-Lang] China Med Univ, China Med Univ Hosp, Dept Med Res, Taichung, Taiwan; [Lim, Ming K.; Tseng, Ming-Lang] Univ Kebangsaan Malaysia, UKM Grad Sch Business, Bangi 43000, Selangor, Malaysia; [Tseng, Ming-Lang] De La Salle Univ, Ramon V Del Rosario Coll Business, Manila, Philippines"/>
    <s v="Universiti Malaya; Hainan University; University of Glasgow; Asia University Taiwan; China Medical University Taiwan; China Medical University Hospital - Taiwan; Universiti Kebangsaan Malaysia; De La Salle University"/>
    <s v="Tseng, ML (corresponding author), Asia Univ, Inst Innovat &amp; Circular Econ, Taichung, Taiwan."/>
    <s v="799700645ry@gmail.com; garykjwu@gmail.com; Ming.Lim@glasgow.ac.uk; tsengminglang@gmail.com"/>
    <s v="Lim, Ming K/D-1476-2017; Wu, Kuo-Jui/N-1926-2019; Tseng, Ming Lang/M-9051-2014"/>
    <s v="Lim, Ming K/0000-0003-0809-9431; Wu, Kuo-Jui/0000-0002-6246-8245; Tseng, Ming Lang/0000-0002-2702-3590"/>
    <s v="Scientific Research Foundation of Hainan University [kyqd (sk) 2330]; Hainan Provincial Natural Science Foundation of China [523QN214]; NSTC [111-2221-E-468-008-MY3]"/>
    <s v="Scientific Research Foundation of Hainan University; Hainan Provincial Natural Science Foundation of China; NSTC"/>
    <s v="This study was partially supported by the Scientific Research Foundation of Hainan University (Grant Number: kyqd (sk) 2330) , Hainan Provincial Natural Science Foundation of China (Grant Number: 523QN214) and NSTC 111-2221-E-468-008-MY3."/>
    <s v=""/>
    <n v="89"/>
    <n v="0"/>
    <n v="0"/>
    <n v="7"/>
    <n v="7"/>
    <s v="ELSEVIER"/>
    <s v="AMSTERDAM"/>
    <s v="RADARWEG 29, 1043 NX AMSTERDAM, NETHERLANDS"/>
    <s v="0925-5273"/>
    <s v="1873-7579"/>
    <s v=""/>
    <s v="INT J PROD ECON"/>
    <s v="Int. J. Prod. Econ."/>
    <s v="OCT"/>
    <n v="2023"/>
    <n v="264"/>
    <s v=""/>
    <s v=""/>
    <s v=""/>
    <s v=""/>
    <s v=""/>
    <s v=""/>
    <s v=""/>
    <n v="108983"/>
    <s v="10.1016/j.ijpe.2023.108983"/>
    <s v="http://dx.doi.org/10.1016/j.ijpe.2023.108983"/>
    <s v=""/>
    <s v=""/>
    <n v="16"/>
    <s v="Engineering, Industrial; Engineering, Manufacturing; Operations Research &amp; Management Science"/>
    <x v="2"/>
    <s v="Engineering; Operations Research &amp; Management Science"/>
    <s v="P3DL8"/>
    <s v=""/>
    <s v=""/>
    <s v=""/>
    <s v=""/>
    <s v="2023-11-15"/>
    <x v="472"/>
    <s v="View Full Record in Web of Science"/>
  </r>
  <r>
    <s v="J"/>
    <s v="Chawla, RN; Goyal, P; Saxena, DK"/>
    <s v=""/>
    <s v=""/>
    <s v=""/>
    <s v="Chawla, Raghu Nandan; Goyal, Praveen; Saxena, Deepak Kumar"/>
    <s v=""/>
    <s v=""/>
    <s v="The role of CIO in digital transformation: an exploratory study"/>
    <s v="INFORMATION SYSTEMS AND E-BUSINESS MANAGEMENT"/>
    <s v=""/>
    <s v=""/>
    <s v="English"/>
    <x v="2"/>
    <s v=""/>
    <s v=""/>
    <s v=""/>
    <s v=""/>
    <s v=""/>
    <s v="Digital transformation; Chief Information Officer; DT; CIO; Leadership"/>
    <s v="NEXT-GENERATION; MANAGEMENT; STRATEGY; BUSINESS; CAPABILITIES; ANTECEDENTS; PERFORMANCE; LEADERSHIP; VISION; FUTURE"/>
    <s v="With a continuous stream of emerging technologies, organizations are increasingly seeking to digitally transform their business towards ever efficient, intelligent, and self-learning business models. As the recognized head of IT, the Chief Information Officer (CIO) is often tasked with the responsibility of successfully implementing Digital Transformation (DT) initiatives. While there are independent studies on CIO role, and on the impact of DT, the role of CIO is not sufficiently examined in the DT context. This study fills this gap by conducting multiple case study of six organizations engaged in DT. Following the role theory, the study emphasizes the CIO as an actor focused on digital strategy and empirically delineates the multidimensional task demands associated with DT regarding the CIO role under the new strategic realities of the digital age. We find that while traditional CIO roles still apply, the DT context adds more nuances in such roles. Moreover, some new roles (e.g., legacy systems integration, risk management and IT security) have become crucial that are not adequately captured in extant literature on CIO roles."/>
    <s v="[Chawla, Raghu Nandan; Goyal, Praveen] Birla Inst Technol &amp; Sci BITS Pilani, Dept Management, Pilani, India; [Saxena, Deepak Kumar] Indian Inst Technol IIT, Dept Management, Jodhpur, India"/>
    <s v="Birla Institute of Technology &amp; Science Pilani (BITS Pilani); Indian Institute of Technology System (IIT System); Indian Institute of Technology (IIT) - Madras; Indian Institute of Technology (IIT) - Jodhpur"/>
    <s v="Chawla, RN (corresponding author), Birla Inst Technol &amp; Sci BITS Pilani, Dept Management, Pilani, India."/>
    <s v="raghuchawla@gmail.com; praveen.goyal@pilani.bits-pilani.ac.in; saxenad@iitj.ac.in"/>
    <s v=""/>
    <s v=""/>
    <s v=""/>
    <s v=""/>
    <s v=""/>
    <s v=""/>
    <n v="144"/>
    <n v="0"/>
    <n v="0"/>
    <n v="1"/>
    <n v="1"/>
    <s v="SPRINGER HEIDELBERG"/>
    <s v="HEIDELBERG"/>
    <s v="TIERGARTENSTRASSE 17, D-69121 HEIDELBERG, GERMANY"/>
    <s v="1617-9846"/>
    <s v="1617-9854"/>
    <s v=""/>
    <s v="INF SYST E-BUS MANAG"/>
    <s v="Inf. Syst. E-Bus. Manag."/>
    <s v="2023 SEP 28"/>
    <n v="2023"/>
    <s v=""/>
    <s v=""/>
    <s v=""/>
    <s v=""/>
    <s v=""/>
    <s v=""/>
    <s v=""/>
    <s v=""/>
    <s v=""/>
    <s v="10.1007/s10257-023-00651-1"/>
    <s v="http://dx.doi.org/10.1007/s10257-023-00651-1"/>
    <s v=""/>
    <s v="SEP 2023"/>
    <n v="39"/>
    <s v="Business; Management"/>
    <x v="0"/>
    <s v="Business &amp; Economics"/>
    <s v="T0JE9"/>
    <s v=""/>
    <s v=""/>
    <s v=""/>
    <s v=""/>
    <s v="2023-11-15"/>
    <x v="473"/>
    <s v="View Full Record in Web of Science"/>
  </r>
  <r>
    <s v="J"/>
    <s v="Ryu, G; Kim, GB; Yu, T; Lee, SY"/>
    <s v=""/>
    <s v=""/>
    <s v=""/>
    <s v="Ryu, Gahyeon; Kim, Gi Bae; Yu, Taeho; Lee, Sang Yup"/>
    <s v=""/>
    <s v=""/>
    <s v="Deep learning for metabolic pathway design"/>
    <s v="METABOLIC ENGINEERING"/>
    <s v=""/>
    <s v=""/>
    <s v="English"/>
    <x v="0"/>
    <s v=""/>
    <s v=""/>
    <s v=""/>
    <s v=""/>
    <s v=""/>
    <s v="Deep learning; Enzyme discovery; Machine learning; Metabolic pathway design; Systems metabolic engineering"/>
    <s v="ENZYME FUNCTION PREDICTION; ESCHERICHIA-COLI; BIOCHEMICAL REACTIONS; NEURAL-NETWORKS; RETROSYNTHESIS; RESOURCE; TOOL; METANETX/MNXREF; IDENTIFICATION; PROMISCUITY"/>
    <s v="The establishment of a bio-based circular economy is imperative in tackling the climate crisis and advancing sustainable development. In this realm, the creation of microbial cell factories is central to generating a variety of chemicals and materials. The design of metabolic pathways is crucial in shaping these microbial cell factories, especially when it comes to producing chemicals with yet-to-be-discovered biosynthetic routes. To aid in navi-gating the complexities of chemical and metabolic domains, computer-supported tools for metabolic pathway design have emerged. In this paper, we evaluate how digital strategies can be employed for pathway prediction and enzyme discovery. Additionally, we touch upon the recent strides made in using deep learning techniques for metabolic pathway prediction. These computational tools and strategies streamline the design of metabolic pathways, facilitating the development of microbial cell factories. Leveraging the capabilities of deep learning in metabolic pathway design is profoundly promising, potentially hastening the advent of a bio-based circular economy."/>
    <s v="[Ryu, Gahyeon; Kim, Gi Bae; Yu, Taeho; Lee, Sang Yup] Korea Adv Inst Sci &amp; Technol KAIST, Metab &amp; Biomol Engn Natl Res Lab, Dept Chem &amp; Biomol Engn Four BK21, KAIST Inst BioCentury, Daejeon 34141, South Korea; [Ryu, Gahyeon; Kim, Gi Bae; Yu, Taeho; Lee, Sang Yup] Korea Adv Inst Sci &amp; Technol, Syst Metab Engn &amp; Syst Healthcare Cross Generat Co, Daejeon 34141, South Korea; [Lee, Sang Yup] Korea Adv Inst Sci &amp; Technol, BioProc Engn Res Ctr, Daejeon 34141, South Korea; [Lee, Sang Yup] Korea Adv Inst Sci &amp; Technol, BioInformat Res Ctr, Daejeon 34141, South Korea; [Lee, Sang Yup] Korea Adv Inst Sci &amp; Technol, Grad Sch Engn Biol, Daejeon 34141, South Korea"/>
    <s v="Korea Advanced Institute of Science &amp; Technology (KAIST); Korea Advanced Institute of Science &amp; Technology (KAIST); Korea Advanced Institute of Science &amp; Technology (KAIST); Korea Advanced Institute of Science &amp; Technology (KAIST); Korea Advanced Institute of Science &amp; Technology (KAIST)"/>
    <s v="Lee, SY (corresponding author), Korea Adv Inst Sci &amp; Technol KAIST, Metab &amp; Biomol Engn Natl Res Lab, Dept Chem &amp; Biomol Engn Four BK21, KAIST Inst BioCentury, Daejeon 34141, South Korea."/>
    <s v="leesy@kaist.ac.kr"/>
    <s v="Lee, Sang Yup/C-1526-2011"/>
    <s v="Lee, Sang Yup/0000-0003-0599-3091"/>
    <s v="Bio &amp; Medical Technology Development Program of the National Research Foundation (NRF) - Korean government (MSIT) [2021M3A9I5023245]; KAIST Cross-Generation Collaborative Lab project"/>
    <s v="Bio &amp; Medical Technology Development Program of the National Research Foundation (NRF) - Korean government (MSIT)(National Research Foundation of KoreaMinistry of Science &amp; ICT (MSIT), Republic of Korea); KAIST Cross-Generation Collaborative Lab project"/>
    <s v="We would like to thank Professor H.U. Kim for discussions regarding the structure of the paper. This work is supported by the Bio &amp; Medical Technology Development Program of the National Research Foundation (NRF) &amp; funded by the Korean government (MSIT) (No. 2021M3A9I5023245) and KAIST Cross-Generation Collaborative Lab project."/>
    <s v=""/>
    <n v="123"/>
    <n v="0"/>
    <n v="0"/>
    <n v="12"/>
    <n v="12"/>
    <s v="ACADEMIC PRESS INC ELSEVIER SCIENCE"/>
    <s v="SAN DIEGO"/>
    <s v="525 B ST, STE 1900, SAN DIEGO, CA 92101-4495 USA"/>
    <s v="1096-7176"/>
    <s v="1096-7184"/>
    <s v=""/>
    <s v="METAB ENG"/>
    <s v="Metab. Eng."/>
    <s v="NOV"/>
    <n v="2023"/>
    <n v="80"/>
    <s v=""/>
    <s v=""/>
    <s v=""/>
    <s v=""/>
    <s v=""/>
    <n v="130"/>
    <n v="141"/>
    <s v=""/>
    <s v="10.1016/j.ymben.2023.09.012"/>
    <s v="http://dx.doi.org/10.1016/j.ymben.2023.09.012"/>
    <s v=""/>
    <s v="SEP 2023"/>
    <n v="12"/>
    <s v="Biotechnology &amp; Applied Microbiology"/>
    <x v="2"/>
    <s v="Biotechnology &amp; Applied Microbiology"/>
    <s v="U6PP5"/>
    <n v="37734652"/>
    <s v=""/>
    <s v=""/>
    <s v=""/>
    <s v="2023-11-15"/>
    <x v="474"/>
    <s v="View Full Record in Web of Science"/>
  </r>
  <r>
    <s v="J"/>
    <s v="Bosua, R; Evans, N"/>
    <s v=""/>
    <s v=""/>
    <s v=""/>
    <s v="Bosua, Rachelle; Evans, Nina"/>
    <s v=""/>
    <s v=""/>
    <s v="Going digital: Developing social capital through online social networks in regional SMEs-An Australian study"/>
    <s v="KNOWLEDGE AND PROCESS MANAGEMENT"/>
    <s v=""/>
    <s v=""/>
    <s v="English"/>
    <x v="2"/>
    <s v=""/>
    <s v=""/>
    <s v=""/>
    <s v=""/>
    <s v=""/>
    <s v=""/>
    <s v="KNOWLEDGE CREATION; BUSINESS; MEDIA; PERFORMANCE; COMMUNITIES; MANAGEMENT; CUSTOMERS; ADOPTION"/>
    <s v="In an increasingly competitive and digitalized business environment, regional SMEs have multiple opportunities to extend their face-to-face networking activities to the digital realm. However, there is scant research on regional Australian SMEs use of online social networks (OSNs) to network and develop social capital. This paper follows an interpretive qualitative research approach to identify how 13 regional Australian SMEs from four sparsely populated regional areas use OSNs to enable knowledge sharing and the development of social capital. Our empirical findings classified regional Australian SMEs' use of OSNs into three categories: low, medium, and high, while also identifying OSN use opportunities. We propose four propositions related to OSN adoption and use to share knowledge and develop SC: (i) implementing an OSN adoption and use strategy as part of a larger digital strategy, (ii) investing in and adopting a variety of OSN channels for knowledge sharing, (iii) gradually replacing face-to-face knowledge sharing with OSNs, and (iv) controlling the sharing of competitive SME knowledge when using different OSN channels. These findings are significant to encourage regional Australian SMEs to adopt and use OSN to improve innovation opportunities through networking and collaboration in an increasingly digitalized realm."/>
    <s v="[Bosua, Rachelle] Univ Melbourne, Sch Comp &amp; Informat Syst, Melbourne, Australia; [Bosua, Rachelle] Open Univ Netherlands, Informat Sci, Heerlen, Limburg, Netherlands; [Evans, Nina] Univ South Australia, UniSA STEM, Adelaide, SA, Australia; [Bosua, Rachelle] Open Univ Netherlands, Informat Sci, Utrecht, Netherlands"/>
    <s v="University of Melbourne; Open University Netherlands; University of South Australia; Open University Netherlands"/>
    <s v="Bosua, R (corresponding author), Open Univ Netherlands, Informat Sci, Utrecht, Netherlands."/>
    <s v="rachelle.bosua@unimelb.edu.au"/>
    <s v="Evans, Nina/F-4616-2013"/>
    <s v="Evans, Nina/0000-0002-6028-0142"/>
    <s v="The authors acknowledge The University of Melbourneamp;apos;s Open Access Agreement with Wiley to publish this paper. Open access publishing facilitated by The University of Melbourne, as part of the Wiley - The University of Melbourne agreement via the C; University of Melbourneamp;apos;s Open Access Agreement with Wiley; University of Melbourne, as part of the Wiley - The University of Melbourne agreement via the Council of Australian University Librarians"/>
    <s v="The authors acknowledge The University of Melbourneamp;apos;s Open Access Agreement with Wiley to publish this paper. Open access publishing facilitated by The University of Melbourne, as part of the Wiley - The University of Melbourne agreement via the C; University of Melbourneamp;apos;s Open Access Agreement with Wiley; University of Melbourne, as part of the Wiley - The University of Melbourne agreement via the Council of Australian University Librarians"/>
    <s v="The authors acknowledge The University of Melbourne &amp; apos;s Open Access Agreement with Wiley to publish this paper. Open access publishing facilitated by The University of Melbourne, as part of the Wiley - The University of Melbourne agreement via the Council of Australian University Librarians."/>
    <s v=""/>
    <n v="69"/>
    <n v="0"/>
    <n v="0"/>
    <n v="0"/>
    <n v="0"/>
    <s v="WILEY"/>
    <s v="HOBOKEN"/>
    <s v="111 RIVER ST, HOBOKEN 07030-5774, NJ USA"/>
    <s v="1092-4604"/>
    <s v="1099-1441"/>
    <s v=""/>
    <s v="KNOWL PROCESS MANAG"/>
    <s v="Knowl. Process Manag."/>
    <s v="2023 SEP 26"/>
    <n v="2023"/>
    <s v=""/>
    <s v=""/>
    <s v=""/>
    <s v=""/>
    <s v=""/>
    <s v=""/>
    <s v=""/>
    <s v=""/>
    <s v=""/>
    <s v="10.1002/kpm.1765"/>
    <s v="http://dx.doi.org/10.1002/kpm.1765"/>
    <s v=""/>
    <s v="SEP 2023"/>
    <n v="12"/>
    <s v="Management"/>
    <x v="3"/>
    <s v="Business &amp; Economics"/>
    <s v="S6AW5"/>
    <s v=""/>
    <s v="hybrid"/>
    <s v=""/>
    <s v=""/>
    <s v="2023-11-15"/>
    <x v="475"/>
    <s v="View Full Record in Web of Science"/>
  </r>
  <r>
    <s v="J"/>
    <s v="Priharsari, D; Abedin, B; Burdon, S; Clegg, S; Clay, J"/>
    <s v=""/>
    <s v=""/>
    <s v=""/>
    <s v="Priharsari, Diah; Abedin, Babak; Burdon, Steve; Clegg, Stewart; Clay, John"/>
    <s v=""/>
    <s v=""/>
    <s v="National digital strategy development: Guidelines and lesson learnt from Asia Pacific countries"/>
    <s v="TECHNOLOGICAL FORECASTING AND SOCIAL CHANGE"/>
    <s v=""/>
    <s v=""/>
    <s v="English"/>
    <x v="0"/>
    <s v=""/>
    <s v=""/>
    <s v=""/>
    <s v=""/>
    <s v=""/>
    <s v="Digital economy strategy; Digital ecosystem; Economic growth; Productivity; Asia productivity organization"/>
    <s v="INFORMATION"/>
    <s v="Adoption of information and communication technology (ICT) to create a digital ecosystem gives rise to substantial economic and social benefits. Therefore, many countries develop National digital strategies (NDSs) to establish objectives, policy priorities and outline necessary actions for implementation of digital transformation. However, given the digital divide between different economies, it is difficult to compare consistently the priorities of NDS across various countries. This paper is an effort to explicate various priorities on different country groups. Using a macro-analysis lens, this research project explored specific policies and regulations that are perceived useful in identifying strategies for strengthening ICT adoption for economic and digital growth. We surveyed members of Asia Productivity Organization (APO) from mid-2020 to 2021 and interviewed three member countries (Indonesia, Malaysia, and the Republic of Korea). Findings offer a guideline for countries to develop their NDS and discuss implications for policy makers in the Asia Pacific region."/>
    <s v="[Priharsari, Diah] Univ Brawijaya, Fak Ilmu Komputer, Gedung A,Jl Vet 8, Malang 65113, Indonesia; [Abedin, Babak] Macquarie Univ, Macquarie Business Sch, 4 Eastern Rd, Macquarie Pk, NSW 2113, Australia; [Burdon, Steve] Univ Technol Sydney, Sch Comp Sci, 15 Broadway, Ultimo, NSW, Australia; [Clegg, Stewart] Univ Sydney, Fac Engn, Sch Project Management, John Grill Inst Project Leadership, K06A-21 Ross St Building, Camperdown, Australia; [Clay, John] Univ Technol Sydney, Business Sch, Bldg 8,14/28 Ultimo Rd, Ultimo, NSW 2007, Australia"/>
    <s v="Brawijaya University; Macquarie University; University of Technology Sydney; University of Sydney; University of Technology Sydney"/>
    <s v="Priharsari, D (corresponding author), Univ Brawijaya, Fak Ilmu Komputer, Gedung A,Jl Vet 8, Malang 65113, Indonesia."/>
    <s v="diah.priharsari@ub.ac.id; Babak.Abedin@mq.edu.au; Steve.Burdon@uts.edu.au; Stewart.Clegg@sydney.edu.au; John.Clay@uts.edu.au"/>
    <s v=""/>
    <s v="Burdon, Stephen/0000-0003-0073-8593"/>
    <s v="Asian Productivity Organization"/>
    <s v="Asian Productivity Organization"/>
    <s v="The research work presented in this paper was funded by the Asian Productivity Organization under a project on powering national out-comes through new digital technologies (Project Title: Research on digital disruption: policy tasks and responses by governments) ."/>
    <s v=""/>
    <n v="39"/>
    <n v="0"/>
    <n v="0"/>
    <n v="2"/>
    <n v="2"/>
    <s v="ELSEVIER SCIENCE INC"/>
    <s v="NEW YORK"/>
    <s v="STE 800, 230 PARK AVE, NEW YORK, NY 10169 USA"/>
    <s v="0040-1625"/>
    <s v="1873-5509"/>
    <s v=""/>
    <s v="TECHNOL FORECAST SOC"/>
    <s v="Technol. Forecast. Soc. Chang."/>
    <s v="NOV"/>
    <n v="2023"/>
    <n v="196"/>
    <s v=""/>
    <s v=""/>
    <s v=""/>
    <s v=""/>
    <s v=""/>
    <s v=""/>
    <s v=""/>
    <n v="122855"/>
    <s v="10.1016/j.techfore.2023.122855"/>
    <s v="http://dx.doi.org/10.1016/j.techfore.2023.122855"/>
    <s v=""/>
    <s v="SEP 2023"/>
    <n v="11"/>
    <s v="Business; Regional &amp; Urban Planning"/>
    <x v="0"/>
    <s v="Business &amp; Economics; Public Administration"/>
    <s v="T9XZ5"/>
    <s v=""/>
    <s v=""/>
    <s v=""/>
    <s v=""/>
    <s v="2023-11-15"/>
    <x v="476"/>
    <s v="View Full Record in Web of Science"/>
  </r>
  <r>
    <s v="J"/>
    <s v="Abdullahi, I; Watters, C; Kapogiannis, G; Lemanski, MK"/>
    <s v=""/>
    <s v=""/>
    <s v=""/>
    <s v="Abdullahi, Iliyasu; Watters, Casey; Kapogiannis, Georgios; Lemanski, Michal K."/>
    <s v=""/>
    <s v=""/>
    <s v="Role of Digital Strategy in Managing the Planning Complexity of Mega Construction Projects"/>
    <s v="SUSTAINABILITY"/>
    <s v=""/>
    <s v=""/>
    <s v="English"/>
    <x v="0"/>
    <s v=""/>
    <s v=""/>
    <s v=""/>
    <s v=""/>
    <s v=""/>
    <s v="construction planning; information and communication technology; construction site; supply chain; technology; information management systems; BIM"/>
    <s v="SUPPLY CHAIN; FRAMEWORK; QUANTIFICATION; PERSPECTIVE; PERFORMANCE; SYSTEM; CHINA"/>
    <s v="Background: This study investigates the potential of digital construction to enhance the planning competence of project managers in dealing with the complexities of mega construction projects. Traditional project strategies often struggle to adapt in dynamic situations, particularly evident in mega construction endeavours. Drawing inspiration from successful digital strategies in manufacturing, this research proposes that adopting digital techniques could bolster project managers' ability to navigate complexity during construction, leading to improved infrastructure delivery within budget and on schedule. Methods: Employing a quantitative approach, this study utilized an online questionnaire to gather insights from project managers. The proposed hypothesis was assessed using a one-sample t-test. Additionally, Pearson's correlation coefficient was employed to gauge the strength of the relationship between various constructs. This approach aimed to determine the extent to which digital construction can support effective complexity management during mega construction projects. Results: The results indicate that digital construction equips project managers with enhanced capabilities to efficiently coordinate and allocate resources in real-time within complex construction environments, thereby optimizing overall project performance. Despite these advantages, the findings also reveal that managers continue to encounter challenges overseeing numerous participants during infrastructure construction. This suggests that while digital construction contributes to improved planning against complexity, addressing the management of multiple stakeholders remains an ongoing challenge. Conclusions: This study presents a novel contribution to the construction industry by demonstrating the potential of synergizing various digital tools throughout construction processes to empower project managers in effectively addressing the complexities inherent in mega construction planning. Furthermore, it underscores how digital construction confers a dynamic advantage for project managers in navigating complexities and enhancing overall project performance."/>
    <s v="[Abdullahi, Iliyasu] Univ Nottingham Ningo China, Nottingham Univ, Business Sch China, Ningbo 315104, Peoples R China; [Watters, Casey] Bond Univ, Fac Law, Robina, Qld 4226, Australia; [Kapogiannis, Georgios] Liverpool John Moores Univ, Oryx Universal Coll Partnership, POB 12253, Doha, Qatar; [Lemanski, Michal K.] WU Vienna, Inst Human Resource Management, Welthandelspl 1, A-1020 Vienna, Austria"/>
    <s v="Bond University"/>
    <s v="Watters, C (corresponding author), Bond Univ, Fac Law, Robina, Qld 4226, Australia."/>
    <s v="cwatters@bond.edu.au"/>
    <s v=""/>
    <s v="Kapogiannis, Georgios/0000-0002-1738-6734"/>
    <s v="The authors thank CGC Nigeria Ltd. for their financial support and FOCI members' willingness to participate in the study.; CGC Nigeria Ltd."/>
    <s v="The authors thank CGC Nigeria Ltd. for their financial support and FOCI members' willingness to participate in the study.; CGC Nigeria Ltd."/>
    <s v="The authors thank CGC Nigeria Ltd. for their financial support and FOCI members' willingness to participate in the study."/>
    <s v=""/>
    <n v="97"/>
    <n v="0"/>
    <n v="0"/>
    <n v="5"/>
    <n v="5"/>
    <s v="MDPI"/>
    <s v="BASEL"/>
    <s v="ST ALBAN-ANLAGE 66, CH-4052 BASEL, SWITZERLAND"/>
    <s v=""/>
    <s v="2071-1050"/>
    <s v=""/>
    <s v="SUSTAINABILITY-BASEL"/>
    <s v="Sustainability"/>
    <s v="SEP"/>
    <n v="2023"/>
    <n v="15"/>
    <n v="18"/>
    <s v=""/>
    <s v=""/>
    <s v=""/>
    <s v=""/>
    <s v=""/>
    <s v=""/>
    <n v="13809"/>
    <s v="10.3390/su151813809"/>
    <s v="http://dx.doi.org/10.3390/su151813809"/>
    <s v=""/>
    <s v=""/>
    <n v="18"/>
    <s v="Green &amp; Sustainable Science &amp; Technology; Environmental Sciences; Environmental Studies"/>
    <x v="1"/>
    <s v="Science &amp; Technology - Other Topics; Environmental Sciences &amp; Ecology"/>
    <s v="S6NB7"/>
    <s v=""/>
    <s v="gold"/>
    <s v=""/>
    <s v=""/>
    <s v="2023-11-15"/>
    <x v="477"/>
    <s v="View Full Record in Web of Science"/>
  </r>
  <r>
    <s v="J"/>
    <s v="Botrugno, C"/>
    <s v=""/>
    <s v=""/>
    <s v=""/>
    <s v="Botrugno, Carlo"/>
    <s v=""/>
    <s v=""/>
    <s v="Cybersecurity, privacy, and health data protection in the digital strategy of the European Union"/>
    <s v="REVISTA DE ESTUDOS CONSTITUCIONAIS HERMENEUTICA E TEORIA DO DIREITO-RECHTD"/>
    <s v=""/>
    <s v=""/>
    <s v="English"/>
    <x v="0"/>
    <s v=""/>
    <s v=""/>
    <s v=""/>
    <s v=""/>
    <s v=""/>
    <s v="cybersecurity; privacy; data protection; health data; EU digital strategy; information; and communication technologies"/>
    <s v=""/>
    <s v="Contemporary societies increasingly rely on the opportunities created by technologies that make possible the production, collection, processing, and reuse of huge datasets to obtain inferences that can be used in the most disparate fields. Among these, healthcare stands out in importance since in medical practice a considerable series of personal information is exchanged and shared. The protection needs of the individual sphere in the healthcare sector acquire a specific scope with reference to the use of information and communication technologies, which allow patients and healthcare professionals to communicate, or the latter among them, in view of the achievement of a series of goals that pertain to the diagnosis, prevention, monitoring, rehabilitation and treatment of an increasingly large number of diseases. In such a context, this works aims at proving a synthetic overview on the whole architecture adopted by the European Union in the field of cybersecurity, privacy, and health data protection, which appears fundamental for guaranteeing the fundamental rights of European citizens but also to deal with the challenges posed by the digital transition of contemporary societies."/>
    <s v="[Botrugno, Carlo] Univ Firenze UNIFI, Florence, Italy; [Botrugno, Carlo] Univ Florence, Dept Legal Sci, Florence, Italy; [Botrugno, Carlo] Univ Firenze, LAltro Diritto Interuniv Res Ctr, Res Unit Everyday Bioeth &amp; Ethics Sci, Via Pandette,35, I-50127 Florence, Tuscany, Italy"/>
    <s v="University of Florence; University of Florence"/>
    <s v="Botrugno, C (corresponding author), Univ Firenze UNIFI, Florence, Italy.;Botrugno, C (corresponding author), Univ Florence, Dept Legal Sci, Florence, Italy.;Botrugno, C (corresponding author), Univ Firenze, LAltro Diritto Interuniv Res Ctr, Res Unit Everyday Bioeth &amp; Ethics Sci, Via Pandette,35, I-50127 Florence, Tuscany, Italy."/>
    <s v="carlo.botrugno@unifi.it"/>
    <s v=""/>
    <s v=""/>
    <s v=""/>
    <s v=""/>
    <s v=""/>
    <s v=""/>
    <n v="23"/>
    <n v="0"/>
    <n v="0"/>
    <n v="2"/>
    <n v="2"/>
    <s v="UNIV VALE DORIO SINOS-UNISINOS"/>
    <s v="SAO LEOPOLDO"/>
    <s v="UNIDADE ACADEMICA DE PESQUISA E POS-GRADUACAO, EDITORIA PERIODICOS CIENTIFICOS, AV UNISINOS, 950, SAO LEOPOLDO, RS 93 022-000, BRAZIL"/>
    <s v=""/>
    <s v="2175-2168"/>
    <s v=""/>
    <s v="REV ESTUD CONST HERM"/>
    <s v="Rev. Estud. Const. Hermeneutica Teor. Direito-RECHTD"/>
    <s v="SEP-DEC"/>
    <n v="2023"/>
    <n v="14"/>
    <n v="3"/>
    <s v=""/>
    <s v=""/>
    <s v=""/>
    <s v=""/>
    <n v="300"/>
    <n v="312"/>
    <s v=""/>
    <s v="10.4013/rechtd.2022.143.01"/>
    <s v="http://dx.doi.org/10.4013/rechtd.2022.143.01"/>
    <s v=""/>
    <s v=""/>
    <n v="13"/>
    <s v="Law"/>
    <x v="3"/>
    <s v="Government &amp; Law"/>
    <s v="P6OR6"/>
    <s v=""/>
    <s v="gold"/>
    <s v=""/>
    <s v=""/>
    <s v="2023-11-15"/>
    <x v="478"/>
    <s v="View Full Record in Web of Science"/>
  </r>
  <r>
    <s v="J"/>
    <s v="Fernandes, N; Casteleiro-Pitrez, J"/>
    <s v=""/>
    <s v=""/>
    <s v=""/>
    <s v="Fernandes, Natacha; Casteleiro-Pitrez, Joana"/>
    <s v=""/>
    <s v=""/>
    <s v="Augmented Reality in Portuguese Museums: A Grounded Theory Study on the Museum Professionals' Perspectives"/>
    <s v="MULTIMODAL TECHNOLOGIES AND INTERACTION"/>
    <s v=""/>
    <s v=""/>
    <s v="English"/>
    <x v="0"/>
    <s v=""/>
    <s v=""/>
    <s v=""/>
    <s v=""/>
    <s v=""/>
    <s v="augmented reality; AR; museum; museology; museum professionals; Portuguese museums; AR museum experiences"/>
    <s v=""/>
    <s v="Augmented Reality (AR) is increasingly present in several fields, including the museological space, where the challenges of presenting objects interactively and attractively are constant, especially with the sociocultural changes of recent decades. Although there are numerous studies on AR in museums, the perspective of museum professionals on the technology still needs to be explored. Thus, in this study, we use a qualitative design and conduct in-depth interviews with professionals from 10 Portuguese museums involved in creating or applying AR within these environments. Applying the grounded theory, the researchers propose a framework to understand Portuguese museum professionals' practices, perceptions, and experiences with AR in museum environments. The findings allow the creation of a theoretical framework divided into four levels, namely the perceptions of museum professionals on the role and use of AR, the understanding of departments, museum teams, and digital strategies, the perceived challenges, limitations, and advantages in the use of augmented reality technologies, and the future perspectives of AR in museums. The theory resulting from this study may also contribute suggestions for the design and implementation of AR in museums, which both museum professionals and designers can use."/>
    <s v="[Fernandes, Natacha; Casteleiro-Pitrez, Joana] Univ Beira Interior, Fac Arts &amp; Letters, P-6201001 Covilha, Portugal"/>
    <s v="Universidade da Beira Interior"/>
    <s v="Casteleiro-Pitrez, J (corresponding author), Univ Beira Interior, Fac Arts &amp; Letters, P-6201001 Covilha, Portugal."/>
    <s v="natacha.mpf@gmail.com; joana.casteleiro.ferreira@ubi.pt"/>
    <s v=""/>
    <s v=""/>
    <s v="The researchers would like to extend their gratitude to all the museum professionals who took part in this study, acknowledging their time, co-operation, and invaluable perspectives offered, allowing for the obtaining of essential information for the reali"/>
    <s v="The researchers would like to extend their gratitude to all the museum professionals who took part in this study, acknowledging their time, co-operation, and invaluable perspectives offered, allowing for the obtaining of essential information for the reali"/>
    <s v="The researchers would like to extend their gratitude to all the museum professionals who took part in this study, acknowledging their time, co-operation, and invaluable perspectives offered, allowing for the obtaining of essential information for the realization of this work."/>
    <s v=""/>
    <n v="47"/>
    <n v="0"/>
    <n v="0"/>
    <n v="5"/>
    <n v="5"/>
    <s v="MDPI"/>
    <s v="BASEL"/>
    <s v="ST ALBAN-ANLAGE 66, CH-4052 BASEL, SWITZERLAND"/>
    <s v=""/>
    <s v="2414-4088"/>
    <s v=""/>
    <s v="MULTIMODAL TECHNOLOG"/>
    <s v="Multimodal Technol. Interaction"/>
    <s v="SEP"/>
    <n v="2023"/>
    <n v="7"/>
    <n v="9"/>
    <s v=""/>
    <s v=""/>
    <s v=""/>
    <s v=""/>
    <s v=""/>
    <s v=""/>
    <n v="87"/>
    <s v="10.3390/mti7090087"/>
    <s v="http://dx.doi.org/10.3390/mti7090087"/>
    <s v=""/>
    <s v=""/>
    <n v="24"/>
    <s v="Computer Science, Artificial Intelligence; Computer Science, Cybernetics; Computer Science, Information Systems"/>
    <x v="3"/>
    <s v="Computer Science"/>
    <s v="S6XY5"/>
    <s v=""/>
    <s v="gold"/>
    <s v=""/>
    <s v=""/>
    <s v="2023-11-15"/>
    <x v="479"/>
    <s v="View Full Record in Web of Science"/>
  </r>
  <r>
    <s v="J"/>
    <s v="Li, RY; Zhang, KW; Li, SM; Zhang, Y; Tian, JX; Lu, ZC; Li, HQ; Wang, LY; Wan, XH; Zhang, FJ; Li, L; Jin, ZB; Wang, NL; Liu, HR"/>
    <s v=""/>
    <s v=""/>
    <s v=""/>
    <s v="Li, Ruyue; Zhang, Kaiwen; Li, Shi-Ming; Zhang, Yue; Tian, Jiaxin; Lu, Zhecheng; Li, Huiqi; Wang, Liyuan; Wan, Xiuhua; Zhang, Fengju; Li, Li; Jin, Zi-Bing; Wang, Ningli; Liu, Hanruo"/>
    <s v=""/>
    <s v=""/>
    <s v="Implementing a digital comprehensive myopia prevention and control strategy for children and adolescents in China: a cost- effectiveness analysis"/>
    <s v="LANCET REGIONAL HEALTH-WESTERN PACIFIC"/>
    <s v=""/>
    <s v=""/>
    <s v="English"/>
    <x v="0"/>
    <s v=""/>
    <s v=""/>
    <s v=""/>
    <s v=""/>
    <s v=""/>
    <s v="Myopia; Digital; Cost-effectiveness; Health education; Screening"/>
    <s v="REFRACTIVE ERRORS; SCHOOL; SPECTACLES; EPIDEMIC; VISION"/>
    <s v="Background Children and adolescents' myopia is a major public problem. Although the clinical effect of various interventions has been extensively studied, there is a lack of national-level and integral assessments to simultaneously quantify the economics and effectiveness of comprehensive myopia prevention and control programs. We aimed to compare the cost-effectiveness between traditional myopia prevention and control strategy, digital comprehensive myopia prevention and control strategy and school-based myopia screening program in China.Methods A Markov model was used to compare the cost-utility and cost-effectiveness among school-based myopia screening, traditional myopia prevention and control strategy, and digital comprehensive myopia prevention and control strategy among 6 to 18-year-old rural and urban schoolchildren. Parameters were collected from published sources. The primary outcomes were quality-adjusted life-year, disability-adjusted life-year, incremental cost-utility ratio, and incremental cost-effectiveness ratio. Extensive sensitivity analyses were performed to test the robustness and sensitivity of base-case analysis.Findings Compared with school-based myopia screening strategy, after implementing digital comprehensive myopia prevention and control strategy, the prevalence of myopia among 18-year-old students in rural and urban areas was reduced by 3.79% and 3.48%, respectively. The incremental cost-utility ratio per quality-adjusted life-year gained with the digital myopia management plan ($11,301 for rural setting, and $10,707 for urban setting) was less than 3 times the per capita gross domestic product in rural settings ($30,501) and less than 1 time the per capita gross domestic product in urban settings ($13,856). In cost-effectiveness analysis, the incremental cost-effectiveness ratio produced by digital comprehensive myopia management strategy ($37,446 and $41,814 per disability-adjusted life-year averted in rural and urban settings) slightly exceeded the cost-effectiveness threshold. When assuming perfect compliance, full coverage of outdoor activities and spectacles satisfied the cost-effectiveness threshold, and full coverage of outdoor activities produced the lowest cost ($321 for rural settings and $808 for urban settings).Interpretations Health economic evidence confirmed the cost-effectiveness of promoting digital comprehensive myopia prevention and control strategies for schoolchildren at the national level. Sufficient evidence provides an economic and public health reference for further action by governments, policy-makers and other myopia-endemic countries."/>
    <s v="[Jin, Zi-Bing; Wang, Ningli; Liu, Hanruo] Beijing Inst Ophthalmol, Beijing 100730, Peoples R China; [Li, Ruyue; Zhang, Kaiwen; Li, Shi-Ming; Zhang, Yue; Tian, Jiaxin; Lu, Zhecheng; Wan, Xiuhua; Zhang, Fengju; Jin, Zi-Bing; Wang, Ningli; Liu, Hanruo] Capital Med Univ, Beijing Tongren Eye Ctr, Beijing Tongren Hosp, Beijing 100730, Peoples R China; [Li, Huiqi; Wang, Ningli; Liu, Hanruo] Beijing Inst Technol, Sch Med Technol, Beijing 102488, Peoples R China; [Wang, Liyuan] Harbin Med Univ, Dept Ophthalmol, Harbin 150000, Peoples R China; [Li, Li] Capital Med Univ, Beijing Childrens Hosp, Dept Ophthalmol, Natl Key Discipline Pediat,Minist Educ, Beijing 100045, Peoples R China; [Wang, Ningli; Liu, Hanruo] Peking Univ, Natl Inst Hlth Data Sci, Beijing 100000, Peoples R China"/>
    <s v="Capital Medical University; Beijing Institute of Technology; Harbin Medical University; Capital Medical University; Peking University"/>
    <s v="Jin, ZB; Wang, NL; Liu, HR (corresponding author), Beijing Inst Ophthalmol, Beijing 100730, Peoples R China."/>
    <s v="jinzb502@ccmu.edu.cn; wningli@vip.163.com; hanruo.liu@hotmail.co.uk"/>
    <s v=""/>
    <s v=""/>
    <s v="National Natural Science Foundation of China, NSFC [82171051, JQ20029, 2020-2-1081]; Beijing Natural Science Foundation [82071000]; Capital Health Research and Development of Special [8197030562]"/>
    <s v="National Natural Science Foundation of China, NSFC(National Natural Science Foundation of China (NSFC)); Beijing Natural Science Foundation(Beijing Natural Science Foundation); Capital Health Research and Development of Special"/>
    <s v="&amp; nbsp;National Natural Science Foundation of China, NSFC (82171051), Beijing Natural Science Foundation (JQ20029), Capital Health Research and Development of Special (2020-2-1081), National Natural Science Foundation of China, NSFC (82071000), National Natural Science Foundation of China, NSFC (8197030562)."/>
    <s v=""/>
    <n v="36"/>
    <n v="0"/>
    <n v="0"/>
    <n v="7"/>
    <n v="7"/>
    <s v="ELSEVIER"/>
    <s v="AMSTERDAM"/>
    <s v="RADARWEG 29, 1043 NX AMSTERDAM, NETHERLANDS"/>
    <s v=""/>
    <s v="2666-6065"/>
    <s v=""/>
    <s v="LANCET REG HEALTH-W"/>
    <s v="Lancet Reg. Health-W. Pac."/>
    <s v="SEP"/>
    <n v="2023"/>
    <n v="38"/>
    <s v=""/>
    <s v=""/>
    <s v=""/>
    <s v=""/>
    <s v=""/>
    <s v=""/>
    <s v=""/>
    <n v="100837"/>
    <s v="10.1016/j.lanwpc.2023.100837"/>
    <s v="http://dx.doi.org/10.1016/j.lanwpc.2023.100837"/>
    <s v=""/>
    <s v=""/>
    <n v="10"/>
    <s v="Health Care Sciences &amp; Services; Public, Environmental &amp; Occupational Health"/>
    <x v="1"/>
    <s v="Health Care Sciences &amp; Services; Public, Environmental &amp; Occupational Health"/>
    <s v="Q5SN0"/>
    <n v="37520278"/>
    <s v="gold, Green Published"/>
    <s v=""/>
    <s v=""/>
    <s v="2023-11-15"/>
    <x v="480"/>
    <s v="View Full Record in Web of Science"/>
  </r>
  <r>
    <s v="J"/>
    <s v="Parrinello, S; Picchio, F"/>
    <s v=""/>
    <s v=""/>
    <s v=""/>
    <s v="Parrinello, Sandro; Picchio, Francesca"/>
    <s v=""/>
    <s v=""/>
    <s v="Digital Strategies to Enhance Cultural Heritage Routes: From Integrated Survey to Digital Twins of Different European Architectural Scenarios"/>
    <s v="DRONES"/>
    <s v=""/>
    <s v=""/>
    <s v="English"/>
    <x v="0"/>
    <s v=""/>
    <s v=""/>
    <s v=""/>
    <s v=""/>
    <s v=""/>
    <s v="integrated survey; digital documentation; UAVs; scan-to-BIM; digital twins; extended reality; cultural routes; interactive informative platform; H2020 Prometheus"/>
    <s v="INFORMATION; PROTECTION; MANAGEMENT; MODELS; CITY; WEB"/>
    <s v="This paper focuses on a research project for the acquisition and post-production of digital data to create informative virtual representations and digital twins of different European Cultural Heritage sites. The goal was to establish a reliable database for a multi-scalar web platform, also accessible through extended reality (XR) tools. This initiative aims to support the promotion and management of cultural and historical monuments within the context of European Cultural Routes supported by the Council of Europe. The project involves different case studies spanning European geographic regions, such as the Upper Kama in Russia, the Valencian Routes of Jaime I in Spain, and the Gdansk fortresses in Poland. The methodology employed in this effort primarily relies on integrated rapid survey techniques. Unmanned aerial vehicles (UAVs) and simultaneous localization and mapping (SLAM) technologies were used for data collection. These methods contribute to the creation of accurate 3D databases and models that transform the cultural routes into a digital format accessible via an informative platform. The actions presented in this paper are part of the European project PROMETHEUS, which is funded by the Horizon 2020 program of the European Union. The project involves collaboration between universities and enterprises, fostering inter-sectoral cooperation. Various techniques such as photographic archives, census analysis, and scan-to-BIM (building information modeling) processes are employed to develop this method further. In fact, the ultimate goal of the project is to establish a framework that can be replicated in other cultural contexts, enhancing the digital documentation and valorization of heritage sites."/>
    <s v="[Parrinello, Sandro] Univ Florence, Dept Architecture, I-50121 Florence, Italy; [Picchio, Francesca] Univ Pavia, Dept Civil Engn &amp; Architecture, I-27100 Pavia, Italy"/>
    <s v="University of Florence; University of Pavia"/>
    <s v="Picchio, F (corresponding author), Univ Pavia, Dept Civil Engn &amp; Architecture, I-27100 Pavia, Italy."/>
    <s v="sandro.parrinello@unifi.it; francesca.picchio@unipv.it"/>
    <s v=""/>
    <s v=""/>
    <s v="The study is strictly linked to and supported by the research project entitled: Prometheus: PROtocols for information Models librariEs Tested on HEritage of Upper Kama Sites-a project for the documentation of the architectural heritage of the monuments w [2022, 2023]"/>
    <s v="The study is strictly linked to and supported by the research project entitled: Prometheus: PROtocols for information Models librariEs Tested on HEritage of Upper Kama Sites-a project for the documentation of the architectural heritage of the monuments w"/>
    <s v="The study is strictly linked to and supported by the research project entitled: Prometheus: PROtocols for information Models librariEs Tested on HEritage of Upper Kama Sites-a project for the documentation of the architectural heritage of the monuments within Cultural Heritage Routes. Part of the work has been developed inside International Summer schools, coordinated by University of Pavia, in Russia (2019), Spain (2022), Poland (2023). They have seen professors, researchers, experts, and students from different universities involved participate in the development of digital strategies to build digital twins of cultural heritage."/>
    <s v=""/>
    <n v="46"/>
    <n v="0"/>
    <n v="0"/>
    <n v="4"/>
    <n v="4"/>
    <s v="MDPI"/>
    <s v="BASEL"/>
    <s v="ST ALBAN-ANLAGE 66, CH-4052 BASEL, SWITZERLAND"/>
    <s v=""/>
    <s v="2504-446X"/>
    <s v=""/>
    <s v="DRONES-BASEL"/>
    <s v="Drones-Basel"/>
    <s v="SEP"/>
    <n v="2023"/>
    <n v="7"/>
    <n v="9"/>
    <s v=""/>
    <s v=""/>
    <s v=""/>
    <s v=""/>
    <s v=""/>
    <s v=""/>
    <n v="576"/>
    <s v="10.3390/drones7090576"/>
    <s v="http://dx.doi.org/10.3390/drones7090576"/>
    <s v=""/>
    <s v=""/>
    <n v="23"/>
    <s v="Remote Sensing"/>
    <x v="2"/>
    <s v="Remote Sensing"/>
    <s v="S9TC1"/>
    <s v=""/>
    <s v="gold"/>
    <s v=""/>
    <s v=""/>
    <s v="2023-11-15"/>
    <x v="481"/>
    <s v="View Full Record in Web of Science"/>
  </r>
  <r>
    <s v="J"/>
    <s v="Qi, PP; Xu, C; Wang, Q"/>
    <s v=""/>
    <s v=""/>
    <s v=""/>
    <s v="Qi, Peipei; Xu, Can; Wang, Qi"/>
    <s v=""/>
    <s v=""/>
    <s v="What Determines the Digital Transformation of SRDI Enterprises?-A Study of the TOE Framework-Based Configuration"/>
    <s v="SUSTAINABILITY"/>
    <s v=""/>
    <s v=""/>
    <s v="English"/>
    <x v="0"/>
    <s v=""/>
    <s v=""/>
    <s v=""/>
    <s v=""/>
    <s v=""/>
    <s v="SRDI enterprises; digital transformation; TOE framework; fsQCA"/>
    <s v=""/>
    <s v="SRDI enterprises are a strong engine for the high-quality development of the economy and an important implementation body for the construction of a strong digital country. With the booming development of digital economy, digital transformation is one of the effective paths to empower the high-quality development of small and medium-sized enterprises. However, the digital transformation of SRDI enterprises is not a simple stacked combination of elements, but rather a complex linkage system that contains many conditional elements. The cracking of the digital transformation of SRDI enterprises urgently needs to be explored by the academic community. In order to analyze the key success factors of digital transformation in SRDI enterprises, to determine whether individual elements constitute the necessary conditions for the digital transformation of an enterprise, and to explore which antecedent configurations are more conducive to the success of an enterprise's digital transformation, this study takes 39 SRDI enterprises in Zhejiang Province as samples and uses the Fuzzy Set Qualitative Comparative Analysis (fsQCA) method. Based on the technology-organization-environment framework, it examines the digital transformation path of SRDI enterprises from a configurational perspective. The following results were found in this study: the group patterns leading to high levels of digital transformation can be divided into the following four types: organization-environment linkage, pressure-strategy synergy, organization-led, and total-factor-driven. The group patterns leading to low levels of digital transformation can be divided into the following four types: total-factor-deficient, single-technology type, technology-biased, and organization-deficient. A digital strategy is an important condition for SRDI enterprises to realize high-level digital transformation, and the external environmental influences contribute to the realization of digital transformation and upgrading of enterprises, with the pressure of industry competition being more critical."/>
    <s v="[Qi, Peipei; Xu, Can] Ningbo Univ Finance &amp; Econ, Coll Wealth Management, Ningbo 315175, Peoples R China; [Wang, Qi] NingboTech Univ, Sch Mechatron &amp; Energy Engn, Ningbo 315100, Peoples R China"/>
    <s v="Ningbo University of Finance &amp; Economics; NingboTech University"/>
    <s v="Wang, Q (corresponding author), NingboTech Univ, Sch Mechatron &amp; Energy Engn, Ningbo 315100, Peoples R China."/>
    <s v="qipeipei@nbufe.edu.cn; wq001115@126.com"/>
    <s v=""/>
    <s v=""/>
    <s v="We are very grateful to all of the editors and anonymous reviewers."/>
    <s v="We are very grateful to all of the editors and anonymous reviewers."/>
    <s v="We are very grateful to all of the editors and anonymous reviewers."/>
    <s v=""/>
    <n v="47"/>
    <n v="0"/>
    <n v="0"/>
    <n v="21"/>
    <n v="21"/>
    <s v="MDPI"/>
    <s v="BASEL"/>
    <s v="ST ALBAN-ANLAGE 66, CH-4052 BASEL, SWITZERLAND"/>
    <s v=""/>
    <s v="2071-1050"/>
    <s v=""/>
    <s v="SUSTAINABILITY-BASEL"/>
    <s v="Sustainability"/>
    <s v="SEP"/>
    <n v="2023"/>
    <n v="15"/>
    <n v="18"/>
    <s v=""/>
    <s v=""/>
    <s v=""/>
    <s v=""/>
    <s v=""/>
    <s v=""/>
    <n v="13607"/>
    <s v="10.3390/su151813607"/>
    <s v="http://dx.doi.org/10.3390/su151813607"/>
    <s v=""/>
    <s v=""/>
    <n v="16"/>
    <s v="Green &amp; Sustainable Science &amp; Technology; Environmental Sciences; Environmental Studies"/>
    <x v="1"/>
    <s v="Science &amp; Technology - Other Topics; Environmental Sciences &amp; Ecology"/>
    <s v="S6NL9"/>
    <s v=""/>
    <s v="gold"/>
    <s v=""/>
    <s v=""/>
    <s v="2023-11-15"/>
    <x v="482"/>
    <s v="View Full Record in Web of Science"/>
  </r>
  <r>
    <s v="J"/>
    <s v="Wang, HJ; Jiao, SP; Bu, K; Wang, YB; Wang, YX"/>
    <s v=""/>
    <s v=""/>
    <s v=""/>
    <s v="Wang, Haijun; Jiao, Shuaipeng; Bu, Kun; Wang, Yebin; Wang, Yaxian"/>
    <s v=""/>
    <s v=""/>
    <s v="Digital transformation and manufacturing companies' ESG responsibility performance"/>
    <s v="FINANCE RESEARCH LETTERS"/>
    <s v=""/>
    <s v=""/>
    <s v="English"/>
    <x v="0"/>
    <s v=""/>
    <s v=""/>
    <s v=""/>
    <s v=""/>
    <s v=""/>
    <s v="Digital transformation; ESG responsibility performance; Manufacturing companies; Digital strategy"/>
    <s v=""/>
    <s v="Digital transformation improves the efficiency and perception of companies. This paper investigates the impact of digital transformation in improving the environmental, social, and governance (ESG) responsibility performance of manufacturing companies in China. The results show that digital transformation can significantly improve manufacturing companies' ESG responsibility performance. Every 1% increase in the degree of digital transformation will improve the ESG responsibility performance of manufacturing companies by 0.124%. Among the digital transformation techniques, digital strategy plays a more significant role than digital technology in improving manufacturing companies' ESG responsibility performance. Total factor productivity, information transparency and investor stickiness moderate how digital transformation affects manufacturing companies' ESG responsibility performance. The findings of this paper enrich and expand the research on the effects of digital transformation on manufacturing companies and provide a novel perspective to accelerate the progress of manufacturing companies worldwide in fulfilling ESG responsibilities and achieving global carbon emission reduction targets."/>
    <s v="[Wang, Haijun; Jiao, Shuaipeng; Wang, Yaxian] Beijing Wuzi Univ, Sch Econ, Beijing 101149, Peoples R China; [Bu, Kun] State Grid Beijing Elect Power Co, Mkt Dept, Beijing 100176, Peoples R China; [Wang, Yebin] Guangxi Univ Finance &amp; Econ, Sch Econ &amp; Trade, Nanning 53000, Guangxi, Peoples R China"/>
    <s v="Beijing Wuzi University; State Grid Corporation of China; Guangxi University of Finance &amp; Economics"/>
    <s v="Wang, YX (corresponding author), Beijing Wuzi Univ, Sch Econ, Beijing 101149, Peoples R China."/>
    <s v="wangyaxian@buw.edu.cn"/>
    <s v=""/>
    <s v="Wang, Haijun/0000-0002-3240-0469"/>
    <s v="Project of Cultivation for young top -motch Talents of Beijing Municipal Institutions [BPHR202203158]"/>
    <s v="Project of Cultivation for young top -motch Talents of Beijing Municipal Institutions"/>
    <s v="Funding This work was supported by The Project of Cultivation for young top -motch Talents of Beijing Municipal Institutions (No: BPHR202203158) ."/>
    <s v=""/>
    <n v="9"/>
    <n v="0"/>
    <n v="0"/>
    <n v="99"/>
    <n v="99"/>
    <s v="ACADEMIC PRESS INC ELSEVIER SCIENCE"/>
    <s v="SAN DIEGO"/>
    <s v="525 B ST, STE 1900, SAN DIEGO, CA 92101-4495 USA"/>
    <s v="1544-6123"/>
    <s v="1544-6131"/>
    <s v=""/>
    <s v="FINANC RES LETT"/>
    <s v="Financ. Res. Lett."/>
    <s v="DEC"/>
    <n v="2023"/>
    <n v="58"/>
    <s v=""/>
    <s v="B"/>
    <s v=""/>
    <s v=""/>
    <s v=""/>
    <s v=""/>
    <s v=""/>
    <n v="104370"/>
    <s v="10.1016/j.frl.2023.104370"/>
    <s v="http://dx.doi.org/10.1016/j.frl.2023.104370"/>
    <s v=""/>
    <s v="SEP 2023"/>
    <n v="6"/>
    <s v="Business, Finance"/>
    <x v="0"/>
    <s v="Business &amp; Economics"/>
    <s v="S4HA7"/>
    <s v=""/>
    <s v=""/>
    <s v=""/>
    <s v=""/>
    <s v="2023-11-15"/>
    <x v="483"/>
    <s v="View Full Record in Web of Science"/>
  </r>
  <r>
    <s v="J"/>
    <s v="Ribeiro-Navarrete, B; López-Cabarcos, MA; Piñeiro-Chousa, J; Simón-Moya, V"/>
    <s v=""/>
    <s v=""/>
    <s v=""/>
    <s v="Ribeiro-Navarrete, Belen; Lopez-Cabarcos, M. Angeles; Pineiro-Chousa, Juan; Simon-Moya, Virginia"/>
    <s v=""/>
    <s v=""/>
    <s v="The moment is now! From digital transformation to environmental performance"/>
    <s v="VENTURE CAPITAL"/>
    <s v=""/>
    <s v=""/>
    <s v="English"/>
    <x v="2"/>
    <s v=""/>
    <s v=""/>
    <s v=""/>
    <s v=""/>
    <s v=""/>
    <s v="Digital transformation; digital vision; digital orientation; digital strategy; transformation management intensity; digital management and departmental agility; environmental performance"/>
    <s v="INFORMATION-TECHNOLOGY CAPABILITY; INDUSTRY 4.0 TECHNOLOGIES; RESOURCE-BASED VIEW; MARKET ORIENTATION; COMPETITIVE ADVANTAGE; SUSTAINABLE DEVELOPMENT; DYNAMIC CAPABILITIES; EMPIRICAL-ANALYSIS; STRATEGIC AGILITY; FIRM PERFORMANCE"/>
    <s v="Technological development has experienced exponential growth in recent years, giving rise to important digital transformation processes at the company level. In order to ensure that these digital transformation processes achieve the desired results, it is essential to draw a strategic roadmap of the processes from vision to implementation. This implies combining design and management activities with thought and action abilities. Digital transformation, always complex, becomes less certain and more interesting when considering results related to environmental issues. This study aims to analyze how the combined effect of five variables (digital vision, digital orientation, digital strategy, transformation management intensity, digital management and departmental agility) - related to digital transformation and categorized as design, management, thought and action - lead to environmental performance. The study uses a sample of agro-industrial cooperatives and fuzzy-set qualitative comparative analysis. The results of the necessity and sufficiency analysis indicate that some of the design variables (especially digital vision and digital strategy) need to be present to lead to environmental performance. Likewise, the absence of the two management variables (especially digital management transformation) leads to the absence of environmental performance. The paper demonstrates the need to combine design and management activities and thought and action abilities to lead to the presence of environmental performance."/>
    <s v="[Ribeiro-Navarrete, Belen] Univ Valencia, IUDESCOOP, Valencia, Spain; [Lopez-Cabarcos, M. Angeles] Santiago de Compostela Univ, Business Adm Dept, Lugo, Spain; [Pineiro-Chousa, Juan] Santiago de Compostela Univ, Accounting &amp; Finance Dept, Lugo, Spain; [Simon-Moya, Virginia] Univ Valencia, Business Adm Dept, Valencia, Spain; [Lopez-Cabarcos, M. Angeles] Santiago de Compostela Univ, Business Adm Fac, Avda Alfonso X El Sabio S-N, Lugo 27002, Spain"/>
    <s v="University of Valencia; Universidade de Santiago de Compostela; Universidade de Santiago de Compostela; University of Valencia; Universidade de Santiago de Compostela"/>
    <s v="López-Cabarcos, MA (corresponding author), Santiago de Compostela Univ, Business Adm Fac, Avda Alfonso X El Sabio S-N, Lugo 27002, Spain."/>
    <s v=""/>
    <s v=""/>
    <s v=""/>
    <s v=""/>
    <s v=""/>
    <s v=""/>
    <s v=""/>
    <n v="208"/>
    <n v="0"/>
    <n v="0"/>
    <n v="11"/>
    <n v="11"/>
    <s v="ROUTLEDGE JOURNALS, TAYLOR &amp; FRANCIS LTD"/>
    <s v="ABINGDON"/>
    <s v="2-4 PARK SQUARE, MILTON PARK, ABINGDON OX14 4RN, OXON, ENGLAND"/>
    <s v="1369-1066"/>
    <s v="1464-5343"/>
    <s v=""/>
    <s v="VENTUR CAP"/>
    <s v="Ventur. Cap."/>
    <s v="2023 AUG 28"/>
    <n v="2023"/>
    <s v=""/>
    <s v=""/>
    <s v=""/>
    <s v=""/>
    <s v=""/>
    <s v=""/>
    <s v=""/>
    <s v=""/>
    <s v=""/>
    <s v="10.1080/13691066.2023.2249231"/>
    <s v="http://dx.doi.org/10.1080/13691066.2023.2249231"/>
    <s v=""/>
    <s v="AUG 2023"/>
    <n v="36"/>
    <s v="Business, Finance"/>
    <x v="0"/>
    <s v="Business &amp; Economics"/>
    <s v="Q8ZH8"/>
    <s v=""/>
    <s v=""/>
    <s v=""/>
    <s v=""/>
    <s v="2023-11-15"/>
    <x v="484"/>
    <s v="View Full Record in Web of Science"/>
  </r>
  <r>
    <s v="J"/>
    <s v="Erjavec, J; Stemberger, MI; Jaklic, J"/>
    <s v=""/>
    <s v=""/>
    <s v=""/>
    <s v="Erjavec, Jure; Stemberger, Mojca Indihar; Jaklic, Jurij"/>
    <s v=""/>
    <s v=""/>
    <s v="How to Develop Organizational Forms for a Successful Digital Transformation? Findings from Two Case Studies"/>
    <s v="JOURNAL OF THE KNOWLEDGE ECONOMY"/>
    <s v=""/>
    <s v=""/>
    <s v="English"/>
    <x v="2"/>
    <s v=""/>
    <s v=""/>
    <s v=""/>
    <s v=""/>
    <s v=""/>
    <s v="Digital transformation; Organizational form; Digital transformation actions; Influence factors; Dynamic capabilities; Case study"/>
    <s v="DYNAMIC CAPABILITIES; FIRM PERFORMANCE; STRATEGY; INNOVATION; OFFICERS; IMPACT; MODEL; KEY"/>
    <s v="Previous research has increased our understanding of individual digital transformation (DT) activities, roles, responsibilities, and related dilemmas, yet a comprehensive insight is missing with respect to the organizational forms that are most appropriate for developing the capabilities needed for successful DT. The purpose of this paper is to identify the main organizational characteristics and organizational forms for a successful DT and to identify influential factors that impact decisions about suitable organizational forms. Drawing on two case studies, we look at how companies can develop digital capabilities through different configurations of organizational forms. Findings show that decisions on organizational forms have to be influenced by digital culture, IT department's role, and the goals of DT. Moreover, top management leadership is more important than a formal digital strategy, and DT projects must be executed by coordinated interdisciplinary teams. The presented research offers a comprehensive insight on how companies can develop digital capabilities that enable a successful DT by developing their organizational forms, i.e., by combining the different DT actions, actors, their roles and responsibilities, their interplay, implementing DT strategies, and combining the design of digital software solutions with the design of organizational routines and practices."/>
    <s v="[Erjavec, Jure; Stemberger, Mojca Indihar; Jaklic, Jurij] Univ Ljubljana, Sch Econ &amp; Business, Kardeljeva Ploscad 17, Ljubljana 1000, Slovenia"/>
    <s v="University of Ljubljana"/>
    <s v="Erjavec, J (corresponding author), Univ Ljubljana, Sch Econ &amp; Business, Kardeljeva Ploscad 17, Ljubljana 1000, Slovenia."/>
    <s v="jure.erjavec@ef.uni-lj.si; mojca.stemberger@ef.uni-lj.si; jurij.jaklic@ef.uni-lj.si"/>
    <s v=""/>
    <s v=""/>
    <s v=""/>
    <s v=""/>
    <s v=""/>
    <s v=""/>
    <n v="64"/>
    <n v="0"/>
    <n v="0"/>
    <n v="2"/>
    <n v="2"/>
    <s v="SPRINGER"/>
    <s v="NEW YORK"/>
    <s v="ONE NEW YORK PLAZA, SUITE 4600, NEW YORK, NY, UNITED STATES"/>
    <s v="1868-7865"/>
    <s v="1868-7873"/>
    <s v=""/>
    <s v="J KNOWL ECON"/>
    <s v="J. Knowl. Econ."/>
    <s v="2023 AUG 23"/>
    <n v="2023"/>
    <s v=""/>
    <s v=""/>
    <s v=""/>
    <s v=""/>
    <s v=""/>
    <s v=""/>
    <s v=""/>
    <s v=""/>
    <s v=""/>
    <s v="10.1007/s13132-023-01479-3"/>
    <s v="http://dx.doi.org/10.1007/s13132-023-01479-3"/>
    <s v=""/>
    <s v="AUG 2023"/>
    <n v="21"/>
    <s v="Economics"/>
    <x v="0"/>
    <s v="Business &amp; Economics"/>
    <s v="T6XT5"/>
    <s v=""/>
    <s v="hybrid"/>
    <s v=""/>
    <s v=""/>
    <s v="2023-11-15"/>
    <x v="485"/>
    <s v="View Full Record in Web of Science"/>
  </r>
  <r>
    <s v="J"/>
    <s v="Negash, YT; Sarmiento, LSC; Tseng, SW; Lim, MK; Tseng, ML"/>
    <s v=""/>
    <s v=""/>
    <s v=""/>
    <s v="Negash, Yeneneh Tamirat; Sarmiento, Liria Salome Calahorrano; Tseng, Shuan-Wei; Lim, Ming K.; Tseng, Ming-Lang"/>
    <s v=""/>
    <s v=""/>
    <s v="A circular waste bioeconomy development model in the Ecuadorian fishery industry: the impact of government strategy on supply chain integration and smart operations"/>
    <s v="ENVIRONMENTAL SCIENCE AND POLLUTION RESEARCH"/>
    <s v=""/>
    <s v=""/>
    <s v="English"/>
    <x v="0"/>
    <s v=""/>
    <s v=""/>
    <s v=""/>
    <s v=""/>
    <s v=""/>
    <s v="Circular waste bioeconomy; Supply chain integration; Smart operations; Government strategies; Fuzzy Delphi method; Fuzzy decision-making trial and evaluation laboratory"/>
    <s v="PERFORMANCE; TECHNOLOGY"/>
    <s v="This study develops a set of measures to address the interrelationship among circular waste-based bioeconomy (CWBE) attributes, including those of government strategy, digital collaboration, supply chain integration, smart operations, and a green supply chain, to build a circular bioeconomy that feeds fish waste back into the economy. CWBE development is a potential solution to the problem of waste reuse in the fish supply chain; however, this potential remains untapped, and prior studies have failed to provide the criteria to guide its practices. Such an analytical framework requires qualitative assessment, which is subject to uncertainty due to the linguistic preferences of decision makers. Hence, this study adopts the fuzzy Delphi method to obtain a valid set of attributes. A fuzzy decision-making trial and evaluation was applied to address the attribute relationships and determine the driving criteria of CWBE development. The results showed that government strategies play a causal role in CWBE development and drive digital collaboration, smart operations, and supply chain integration. The findings also indicated that smart manufacturing technology, organizational policies, market enhancement, supply chain analytics, and operational innovation are drivers of waste integration from fisheries into the circular economy through waste-based bioeconomy processes."/>
    <s v="[Negash, Yeneneh Tamirat] Asia Univ, Dept Business Adm, Taichung, Taiwan; [Negash, Yeneneh Tamirat; Tseng, Ming-Lang] Asia Univ, Inst Innovat &amp; Circular Econ, Taichung, Taiwan; [Sarmiento, Liria Salome Calahorrano] Univ Amer, Quito 170125, Ecuador; [Tseng, Shuan-Wei] Wuhan Univ, Sch Phys &amp; Technol, Wuhan, Peoples R China; [Lim, Ming K.] Univ Glasgow, Adam Smith Business Sch, Glasgow, Scotland; [Tseng, Ming-Lang] China Med Univ, China Med Univ Hosp, Dept Med Res, Taichung, Taiwan; [Tseng, Ming-Lang] Univ Kebangsaan Malaysia, UKM Grad Sch Business, Bangi 43000, Selangor, Malaysia"/>
    <s v="Asia University Taiwan; Asia University Taiwan; Universidad de Las Americas - Ecuador; Wuhan University; University of Glasgow; China Medical University Taiwan; China Medical University Hospital - Taiwan; Universiti Kebangsaan Malaysia"/>
    <s v="Tseng, ML (corresponding author), Asia Univ, Inst Innovat &amp; Circular Econ, Taichung, Taiwan.;Tseng, ML (corresponding author), China Med Univ, China Med Univ Hosp, Dept Med Res, Taichung, Taiwan.;Tseng, ML (corresponding author), Univ Kebangsaan Malaysia, UKM Grad Sch Business, Bangi 43000, Selangor, Malaysia."/>
    <s v="yeneneh@asia.edu.tw; liria.calahorrano@gmail.com; AndreatsengAx0104@outlook.com; Ming.Lim@glasgow.ac.uk; tsengminglang@gmail.com"/>
    <s v="Tseng, Ming Lang/M-9051-2014"/>
    <s v="Tseng, Ming Lang/0000-0002-2702-3590"/>
    <s v="MOST [111-2221-E-468-009 -MY3]; Ministry of Science and Technology, Taiwan"/>
    <s v="MOST; Ministry of Science and Technology, Taiwan(Ministry of Science and Technology, Taiwan)"/>
    <s v="This study was partially supported by MOST 111-2221-E-468-009 -MY3, Ministry of Science and Technology, Taiwan."/>
    <s v=""/>
    <n v="56"/>
    <n v="0"/>
    <n v="0"/>
    <n v="9"/>
    <n v="9"/>
    <s v="SPRINGER HEIDELBERG"/>
    <s v="HEIDELBERG"/>
    <s v="TIERGARTENSTRASSE 17, D-69121 HEIDELBERG, GERMANY"/>
    <s v="0944-1344"/>
    <s v="1614-7499"/>
    <s v=""/>
    <s v="ENVIRON SCI POLLUT R"/>
    <s v="Environ. Sci. Pollut. Res."/>
    <s v="SEP"/>
    <n v="2023"/>
    <n v="30"/>
    <n v="43"/>
    <s v=""/>
    <s v=""/>
    <s v=""/>
    <s v=""/>
    <n v="98156"/>
    <n v="98182"/>
    <s v=""/>
    <s v="10.1007/s11356-023-29333-8"/>
    <s v="http://dx.doi.org/10.1007/s11356-023-29333-8"/>
    <s v=""/>
    <s v="AUG 2023"/>
    <n v="27"/>
    <s v="Environmental Sciences"/>
    <x v="2"/>
    <s v="Environmental Sciences &amp; Ecology"/>
    <s v="R7ZT1"/>
    <n v="37608173"/>
    <s v=""/>
    <s v=""/>
    <s v=""/>
    <s v="2023-11-15"/>
    <x v="486"/>
    <s v="View Full Record in Web of Science"/>
  </r>
  <r>
    <s v="J"/>
    <s v="Calzati, S; Van Loenen, B"/>
    <s v=""/>
    <s v=""/>
    <s v=""/>
    <s v="Calzati, Stefano; Van Loenen, Bastiaan"/>
    <s v=""/>
    <s v=""/>
    <s v="Beyond federated data: a data commoning proposition for the EU's citizen-centric digital strategy"/>
    <s v="AI &amp; SOCIETY"/>
    <s v=""/>
    <s v=""/>
    <s v="English"/>
    <x v="2"/>
    <s v=""/>
    <s v=""/>
    <s v=""/>
    <s v=""/>
    <s v=""/>
    <s v="EU digital strategy; Citizen-centric; Data governance; Federated data; Digital single market; Data commons"/>
    <s v="GOVERNMENT; CITIES"/>
    <s v="In various official documents, the European Union has declared its goal to pursue a citizen-centric governance of digital transformation. Through a critical review of several of these documents, here we show how citizen-centric is more a glamouring than a driving concept. De facto, the EU is enabling a federated data system that is corporate-driven, economic-oriented, and GDPR-compliant; in other words, a Digital Single Market (DSM). This leaves out societal and collective-level dimensions of digital transformation-such as social inclusion, digital sovereignty, and environmental sustainability-which are acknowledged, but not operationalized, by the EU as pillars of a citizen-centric governance. Hence, the door is open to a complementary approach to the governance of digital transformation. We argue that, while a federated data model can constitute the tech-legal backbone of the emerging DSM, a commoning of data, as an ecosystemic approach that maintains a societal and collective outlook by default, can represent a complement to enact a truly citizen-centric governance."/>
    <s v="[Calzati, Stefano; Van Loenen, Bastiaan] Delft Univ Technol, Dept Urbanism, Urban Data Sci Sect, Delft, Netherlands"/>
    <s v="Delft University of Technology"/>
    <s v="Calzati, S (corresponding author), Delft Univ Technol, Dept Urbanism, Urban Data Sci Sect, Delft, Netherlands."/>
    <s v="s.calzati@tudelft.nl"/>
    <s v=""/>
    <s v="van Loenen, Bastiaan/0000-0001-8847-6334"/>
    <s v=""/>
    <s v=""/>
    <s v=""/>
    <s v=""/>
    <n v="81"/>
    <n v="0"/>
    <n v="0"/>
    <n v="1"/>
    <n v="1"/>
    <s v="SPRINGER"/>
    <s v="NEW YORK"/>
    <s v="ONE NEW YORK PLAZA, SUITE 4600, NEW YORK, NY, UNITED STATES"/>
    <s v="0951-5666"/>
    <s v="1435-5655"/>
    <s v=""/>
    <s v="AI SOC"/>
    <s v="AI Soc."/>
    <s v="2023 AUG 21"/>
    <n v="2023"/>
    <s v=""/>
    <s v=""/>
    <s v=""/>
    <s v=""/>
    <s v=""/>
    <s v=""/>
    <s v=""/>
    <s v=""/>
    <s v=""/>
    <s v="10.1007/s00146-023-01743-9"/>
    <s v="http://dx.doi.org/10.1007/s00146-023-01743-9"/>
    <s v=""/>
    <s v="AUG 2023"/>
    <n v="13"/>
    <s v="Computer Science, Artificial Intelligence"/>
    <x v="3"/>
    <s v="Computer Science"/>
    <s v="P6UR9"/>
    <s v=""/>
    <s v="hybrid"/>
    <s v=""/>
    <s v=""/>
    <s v="2023-11-15"/>
    <x v="487"/>
    <s v="View Full Record in Web of Science"/>
  </r>
  <r>
    <s v="J"/>
    <s v="Sharon, T; Gellert, R"/>
    <s v=""/>
    <s v=""/>
    <s v=""/>
    <s v="Sharon, Tamar; Gellert, Raphael"/>
    <s v=""/>
    <s v=""/>
    <s v="Regulating Big Tech expansionism? Sphere transgressions and the limits of Europe's digital regulatory strategy"/>
    <s v="INFORMATION COMMUNICATION &amp; SOCIETY"/>
    <s v=""/>
    <s v=""/>
    <s v="English"/>
    <x v="2"/>
    <s v=""/>
    <s v=""/>
    <s v=""/>
    <s v=""/>
    <s v=""/>
    <s v="Big Tech expansionism; sphere transgressions; EU digital regulatory strategy; technology regulation; &gt;"/>
    <s v=""/>
    <s v="The increasing power of Big Tech is a growing concern for regulators globally. The European Union has positioned itself as a leader in the stride to contain this expansionism; first with the GDPR and recently with a series of proposals including the DMA, the DSA, the AI Act, and others. In this paper we analyse if these instruments sufficiently address the risks raised by Big Tech expansionism. We argue that when this phenomenon is understood in terms of 'sphere transgressions' - i.e., conversions of advantages based on digital expertise into advantages in other spheres of society - Europe's digital regulatory strategy falls short. In particular, seen through the lens of sphere transgressions, Big Tech expansionism raises three risks in addition to well-known privacy and data protection risks, which this regulatory strategy does not properly address. These are: non-equitable returns to the public sector; the reshaping of sectors in line with the interests of technology firms; and new dependencies on technology firms for the provision of basic goods. Our analysis shows that this mismatch may be inherent to Europe's digital strategy, insofar as it focusses on data protection - while data is not always at stake in sphere transgressions; on political and civil rights - while socio-economic rights may be more at risk; and on fair markets - while the sectors being transgressed into by Big Tech, such as health and education, are not markets that require fairer competition, but societal spheres which need protection from market (and digital) logics."/>
    <s v="[Sharon, Tamar] Radboud Univ Nijmegen, Dept Ethics &amp; Polit Philosophy, Nijmegen, Netherlands; [Sharon, Tamar; Gellert, Raphael] Radboud Univ Nijmegen, Interdisciplinary Hub Digitalizat &amp; Soc, Nijmegen, Netherlands; [Gellert, Raphael] Radboud Univ Nijmegen, Dept Private Law, Nijmegen, Netherlands; [Sharon, Tamar] Radboud Univ Nijmegen, Dept Ethics &amp; Polit Philosophy, Erasmuspl 1, NL-6525 HT Nijmegen, Netherlands; [Sharon, Tamar] Radboud Univ Nijmegen, Interdisciplinary Hub Digitalizat &amp; Soc, Erasmuspl 1, NL-6525 HT Nijmegen, Netherlands"/>
    <s v="Radboud University Nijmegen; Radboud University Nijmegen; Radboud University Nijmegen; Radboud University Nijmegen; Radboud University Nijmegen"/>
    <s v="Sharon, T (corresponding author), Radboud Univ Nijmegen, Dept Ethics &amp; Polit Philosophy, Erasmuspl 1, NL-6525 HT Nijmegen, Netherlands.;Sharon, T (corresponding author), Radboud Univ Nijmegen, Interdisciplinary Hub Digitalizat &amp; Soc, Erasmuspl 1, NL-6525 HT Nijmegen, Netherlands."/>
    <s v="tamar.sharon@ru.nl"/>
    <s v=""/>
    <s v=""/>
    <s v="European Research Council [804985]; European Research Council (ERC) [804985] Funding Source: European Research Council (ERC)"/>
    <s v="European Research Council(European Research Council (ERC)); European Research Council (ERC)(European Research Council (ERC)Spanish Government)"/>
    <s v="This work was supported in part by the European Research Council under Grant number 804985."/>
    <s v=""/>
    <n v="65"/>
    <n v="0"/>
    <n v="0"/>
    <n v="11"/>
    <n v="11"/>
    <s v="ROUTLEDGE JOURNALS, TAYLOR &amp; FRANCIS LTD"/>
    <s v="ABINGDON"/>
    <s v="2-4 PARK SQUARE, MILTON PARK, ABINGDON OX14 4RN, OXON, ENGLAND"/>
    <s v="1369-118X"/>
    <s v="1468-4462"/>
    <s v=""/>
    <s v="INFORM COMMUN SOC"/>
    <s v="Info. Commun. Soc."/>
    <s v="2023 AUG 17"/>
    <n v="2023"/>
    <s v=""/>
    <s v=""/>
    <s v=""/>
    <s v=""/>
    <s v=""/>
    <s v=""/>
    <s v=""/>
    <s v=""/>
    <s v=""/>
    <s v="10.1080/1369118X.2023.2246526"/>
    <s v="http://dx.doi.org/10.1080/1369118X.2023.2246526"/>
    <s v=""/>
    <s v="AUG 2023"/>
    <n v="18"/>
    <s v="Communication; Sociology"/>
    <x v="0"/>
    <s v="Communication; Sociology"/>
    <s v="P2QL5"/>
    <s v=""/>
    <s v="hybrid"/>
    <s v=""/>
    <s v=""/>
    <s v="2023-11-15"/>
    <x v="488"/>
    <s v="View Full Record in Web of Science"/>
  </r>
  <r>
    <s v="J"/>
    <s v="Raja, M; Kymre, IG; Bjerkan, J; Galvin, KT; Uhrenfeldt, L"/>
    <s v=""/>
    <s v=""/>
    <s v=""/>
    <s v="Raja, Moonika; Kymre, Ingjerd G.; Bjerkan, Jorunn; Galvin, Kathleen T.; Uhrenfeldt, Lisbeth"/>
    <s v=""/>
    <s v=""/>
    <s v="National digital strategies and innovative eHealth policies concerning older adults' dignity: a document analysis in three Scandinavian countries"/>
    <s v="BMC HEALTH SERVICES RESEARCH"/>
    <s v=""/>
    <s v=""/>
    <s v="English"/>
    <x v="0"/>
    <s v=""/>
    <s v=""/>
    <s v=""/>
    <s v=""/>
    <s v=""/>
    <s v="Digital strategies; Dignity; Document analysis; eHealth; Older adults; Qualitative"/>
    <s v="HEALTH-CARE"/>
    <s v="BackgroundScandinavian countries are internationally recognised for leading the way in older adult care and in digitally transforming healthcare. Dignity has become a central value in care for older adults in all three Scandinavian countries. Investigating documents about digitalisation in these countries can offer insights into how the dignity of older adults is impacted by digitally transforming healthcare. This study aims to provide knowledge about digital strategies and eHealth policies concerning older adults' dignity in three Scandinavian countries: Norway, Sweden and Denmark.MethodsNational-level documents by the Norwegian Directorate of eHealth, the Norwegian Directorate of Health, the Swedish Ministry of Health and Social Affairs and the Danish Ministry of Health concerning older adults were used as data sources. In addition, a systematic search of databases, informed by the Joanna Briggs Institute framework for systematic reviews of text and opinion papers, was undertaken to find relevant papers. All extracts concerning national digital strategies or innovative eHealth policies were deductively coded. Thereafter, extracts concerning older adults were inductively coded using a thematic analytic approach.ResultsA total of 26 sources satisfied the inclusion criteria, 14 governmental papers and 12 other papers. The three countries' national digital strategies focused on access to digital technologies and continuous learning for digital skills. The included papers describing national eHealth policies underlined the importance of placing the patient at the centre of healthcare and how digital systems can increase feelings of safety. Both types of documents concerned access to data, digital device security and the human dimension of care.ConclusionThe findings present evidence on Scandinavian countries' national digital strategies and innovative eHealth policies concerning older adults' dignity. The documents describe a lack of digital competence among older adults, resulting disengagement may put their well-being and human dignity at risk. Findings also underline the importance of security and at the same time the human dimension of care: Use of new digital systems must be meaningfully integrated into digital strategies and eHealth policies. All three Scandinavian countries strategies and policies underline the importance of equal access to healthcare services, as thus they promote a stance of dignified care."/>
    <s v="[Raja, Moonika; Kymre, Ingjerd G.; Uhrenfeldt, Lisbeth] Nord Univ, Fac Nursing &amp; Hlth Sci, Bodo, Norway; [Bjerkan, Jorunn] Nord Univ, Fac Nursing &amp; Hlth Sci, Levanger, Norway; [Galvin, Kathleen T.] Univ Brighton, Sch Sport &amp; Hlth Sci, Brighton, England; [Uhrenfeldt, Lisbeth] Kolding Cty Hosp, Ortoped Surg, Kolding, Denmark; [Uhrenfeldt, Lisbeth] Southern Danish Univ, Inst Reg Hlth Res, Odense, Denmark"/>
    <s v="Nord University; Nord University; University of Brighton; Kolding Hospital; University of Southern Denmark"/>
    <s v="Raja, M (corresponding author), Nord Univ, Fac Nursing &amp; Hlth Sci, Bodo, Norway."/>
    <s v="moonika.raja@nord.no"/>
    <s v="Mondaca Gómez, Katherine/JED-5127-2023"/>
    <s v=""/>
    <s v="European Union [813928]"/>
    <s v="European Union(European Union (EU))"/>
    <s v="This project has received funding from the European Union's Horizon 2020 research and innovation programme under grant No. 813928"/>
    <s v=""/>
    <n v="89"/>
    <n v="0"/>
    <n v="0"/>
    <n v="3"/>
    <n v="3"/>
    <s v="BMC"/>
    <s v="LONDON"/>
    <s v="CAMPUS, 4 CRINAN ST, LONDON N1 9XW, ENGLAND"/>
    <s v=""/>
    <s v="1472-6963"/>
    <s v=""/>
    <s v="BMC HEALTH SERV RES"/>
    <s v="BMC Health Serv. Res."/>
    <s v="AUG 10"/>
    <n v="2023"/>
    <n v="23"/>
    <n v="1"/>
    <s v=""/>
    <s v=""/>
    <s v=""/>
    <s v=""/>
    <s v=""/>
    <s v=""/>
    <n v="848"/>
    <s v="10.1186/s12913-023-09867-w"/>
    <s v="http://dx.doi.org/10.1186/s12913-023-09867-w"/>
    <s v=""/>
    <s v=""/>
    <n v="15"/>
    <s v="Health Care Sciences &amp; Services"/>
    <x v="2"/>
    <s v="Health Care Sciences &amp; Services"/>
    <s v="P1YO5"/>
    <n v="37563599"/>
    <s v="Green Published, gold"/>
    <s v=""/>
    <s v=""/>
    <s v="2023-11-15"/>
    <x v="489"/>
    <s v="View Full Record in Web of Science"/>
  </r>
  <r>
    <s v="J"/>
    <s v="Plombon, S; Rudin, RS; Flores, JS; Goolkasian, G; Sousa, J; Rodriguez, J; Lipsitz, S; Foer, D; Dalal, AK"/>
    <s v=""/>
    <s v=""/>
    <s v=""/>
    <s v="Plombon, Savanna; Rudin, Robert S.; Flores, Jorge Sulca; Goolkasian, Gillian; Sousa, Jessica; Rodriguez, Jorge; Lipsitz, Stuart; Foer, Dinah; Dalal, Anuj K."/>
    <s v=""/>
    <s v=""/>
    <s v="Assessing Equitable Recruitment in a Digital Health Trial for Asthma"/>
    <s v="APPLIED CLINICAL INFORMATICS"/>
    <s v=""/>
    <s v=""/>
    <s v="English"/>
    <x v="0"/>
    <s v=""/>
    <s v=""/>
    <s v=""/>
    <s v=""/>
    <s v=""/>
    <s v="asthma; electronic health records; patient portal; health equity; human"/>
    <s v="PATIENT; OUTCOMES; COMMUNITY; VISITS"/>
    <s v="Objective This study aimed to assess a multipronged strategy using primarily digital methods to equitably recruit asthma patients into a clinical trial of a digital health intervention.Methods We approached eligible patients using at least one of eight recruitment strategies. We recorded approach dates and the strategy that led to completion of a web-based eligibility questionnaire that was reported during the verbal consent phone call. Study team members conducted monthly sessions using a structured guide to identify recruitment barriers and facilitators. The proportion of participants who reported being recruited by a portal or nonportal strategy was measured as our outcomes. We used Fisher's exact test to compare outcomes by equity variable, and multivariable logistic regression to control for each covariate and adjust effect size estimates. Using grounded theory, we coded and extracted themes regarding recruitment barriers and facilitators.Results The majority (84.4%) of patients who met study inclusion criteria were patient portal enrollees. Of 6,366 eligible patients who were approached, 627 completed the eligibility questionnaire and were less frequently Hispanic, less frequently Spanish-speaking, and more frequently patient portal enrollees. Of 445 patients who consented to participate, 241 (54.2%) reported completing the eligibility questionnaire after being contacted by a patient portal message. In adjusted analysis, only race (odds ratio [OR]: 0.46, 95% confidence interval [CI]: 0.28-0.77, p = 0.003) and college education (OR: 0.60, 95% CI: 0.39-0.91, p = 0.016) remained significant. Key recruitment barriers included technology issues (e.g., lack of email access) and facilitators included bilingual study staff, Spanish-language recruitment materials, targeted phone calls, and clinician-initiated 1-click referrals.Conclusion A primarily digital strategy to recruit patients into a digital health trial is unlikely to achieve equitable participation, even in a population overrepresented by patient portal enrollees. Nondigital recruitment methods that address racial and educational disparities and less active portal enrollees are necessary to ensure equity in clinical trial enrollment."/>
    <s v="[Plombon, Savanna; Flores, Jorge Sulca; Goolkasian, Gillian; Rodriguez, Jorge; Lipsitz, Stuart; Dalal, Anuj K.] Brigham &amp; Womens Hosp, Div Gen Internal Med Primary Care, Boston, MA USA; [Rudin, Robert S.; Sousa, Jessica] RAND Corp, Healthcare Div, Boston, MA USA; [Rodriguez, Jorge; Lipsitz, Stuart; Foer, Dinah; Dalal, Anuj K.] Harvard Med Sch, Boston, MA USA; [Foer, Dinah] Brigham &amp; Womens Hosp, Div Gen Internal Med, Boston, MA USA; [Foer, Dinah] Brigham &amp; Womens Hosp, Div Allergy &amp; Clin Immunol, Boston, MA USA; [Plombon, Savanna] Brigham &amp; Womens Hosp, Brigham Circle,1620 Tremont St,Suite BC-3-002HH, Boston, MA 02120 USA"/>
    <s v="Harvard University; Brigham &amp; Women's Hospital; RAND Corporation; Harvard University; Harvard Medical School; Harvard University; Brigham &amp; Women's Hospital; Harvard University; Brigham &amp; Women's Hospital; Harvard University; Brigham &amp; Women's Hospital"/>
    <s v="Plombon, S (corresponding author), Brigham &amp; Womens Hosp, Brigham Circle,1620 Tremont St,Suite BC-3-002HH, Boston, MA 02120 USA."/>
    <s v="splombon@bwh.harvard.edu"/>
    <s v=""/>
    <s v=""/>
    <s v="Agency for Healthcare Research and Quality [R18HS026432, R18HS02643202S1]"/>
    <s v="Agency for Healthcare Research and Quality(United States Department of Health &amp; Human ServicesAgency for Healthcare Research &amp; Quality)"/>
    <s v="This project was supported by grant numbers R18HS026432 and R18HS026432-02S1 from the Agency for Healthcare Research and Quality. The content is solely the responsibility of the authors and does not necessarily represent the official views of the NIH or Agency for Healthcare Research and Quality."/>
    <s v=""/>
    <n v="40"/>
    <n v="0"/>
    <n v="0"/>
    <n v="1"/>
    <n v="1"/>
    <s v="GEORG THIEME VERLAG KG"/>
    <s v="STUTTGART"/>
    <s v="RUDIGERSTR 14, D-70469 STUTTGART, GERMANY"/>
    <s v="1869-0327"/>
    <s v=""/>
    <s v=""/>
    <s v="APPL CLIN INFORM"/>
    <s v="Appl. Clin. Inform."/>
    <s v="AUG"/>
    <n v="2023"/>
    <n v="14"/>
    <n v="4"/>
    <s v=""/>
    <s v=""/>
    <s v=""/>
    <s v=""/>
    <n v="620"/>
    <n v="631"/>
    <s v=""/>
    <s v="10.1055/a-2090-5745"/>
    <s v="http://dx.doi.org/10.1055/a-2090-5745"/>
    <s v=""/>
    <s v=""/>
    <n v="12"/>
    <s v="Medical Informatics"/>
    <x v="2"/>
    <s v="Medical Informatics"/>
    <s v="O6PM8"/>
    <n v="37164328"/>
    <s v=""/>
    <s v=""/>
    <s v=""/>
    <s v="2023-11-15"/>
    <x v="490"/>
    <s v="View Full Record in Web of Science"/>
  </r>
  <r>
    <s v="J"/>
    <s v="Le, QH; Tan, LP; Hoang, TH"/>
    <s v=""/>
    <s v=""/>
    <s v=""/>
    <s v="Le, Quynh Hoa; Tan, Luc Phan; Hoang, Thu-Hang"/>
    <s v=""/>
    <s v=""/>
    <s v="Brand posts and brand co-creation in higher education communities: a social communication process theory"/>
    <s v="JOURNAL OF MARKETING FOR HIGHER EDUCATION"/>
    <s v=""/>
    <s v=""/>
    <s v="English"/>
    <x v="2"/>
    <s v=""/>
    <s v=""/>
    <s v=""/>
    <s v=""/>
    <s v=""/>
    <s v="Brand posts; brand co-creation; online community; social communication; higher education"/>
    <s v="ELABORATION LIKELIHOOD MODEL; ONLINE REVIEWS; PERSUASIVE MESSAGES; MODERATING ROLE; MEDIA; UNIVERSITIES; INTENTION; BEHAVIOR; CONCEPTUALIZATION; PERSPECTIVES"/>
    <s v="Creating brand posts that stimulate customer interaction in online communities is both vital and challenging to marketing managers. Using social communication process theoretical framework (i.e. SMCR), the current study examines the impact of brand posts in online brand communities on students' responses in ways that potentially co-create value for universities and illustrate the moderating role of community types. Results show that source credibility and argument quality of online posts are positively associated with both cognitive and affective response, thus motivating brand co-creation activities, while information quantity has insignificant effect on affective response. Additionally, members of communities managed by different parties (student-created vs university-created communities) exhibit a different tendency to develop community and contribute to brand value. Thus, different digital strategies depending on the type of community host are suggested to capture the highest possible co-creation value from these communities."/>
    <s v="[Le, Quynh Hoa; Hoang, Thu-Hang] Univ Econ Ho Chi Minh City, Sch Int Business Mkt, Ho Chi Minh City, Vietnam; [Tan, Luc Phan] Univ Econ Ho Chi Minh City, Sch Management, Ho Chi Minh City, Vietnam"/>
    <s v="Ho Chi Minh City University Economics; Ho Chi Minh City University Economics"/>
    <s v="Tan, LP (corresponding author), Univ Econ Ho Chi Minh City, Sch Management, Ho Chi Minh City, Vietnam."/>
    <s v="lucpt@tdmu.edu.vn"/>
    <s v="Thu Hằng, Hoàng/JFT-0586-2023; Phan Tan, Luc/S-3347-2018"/>
    <s v="Hoang, Thu Hang/0000-0003-2787-1618; Le, Quynh Hoa/0000-0002-8897-1615; Phan Tan, Luc/0000-0001-5603-3918"/>
    <s v="University of Economics Ho Chi Minh City"/>
    <s v="University of Economics Ho Chi Minh City"/>
    <s v="This research is funded by University of Economics Ho Chi Minh City, Vietnam."/>
    <s v=""/>
    <n v="74"/>
    <n v="0"/>
    <n v="0"/>
    <n v="4"/>
    <n v="4"/>
    <s v="ROUTLEDGE JOURNALS, TAYLOR &amp; FRANCIS LTD"/>
    <s v="ABINGDON"/>
    <s v="2-4 PARK SQUARE, MILTON PARK, ABINGDON OX14 4RN, OXON, ENGLAND"/>
    <s v="0884-1241"/>
    <s v="1540-7144"/>
    <s v=""/>
    <s v="J MARK HIGH EDUC"/>
    <s v="J. Mark. High. Educ."/>
    <s v="2023 JUL 25"/>
    <n v="2023"/>
    <s v=""/>
    <s v=""/>
    <s v=""/>
    <s v=""/>
    <s v=""/>
    <s v=""/>
    <s v=""/>
    <s v=""/>
    <s v=""/>
    <s v="10.1080/08841241.2023.2239756"/>
    <s v="http://dx.doi.org/10.1080/08841241.2023.2239756"/>
    <s v=""/>
    <s v="JUL 2023"/>
    <n v="24"/>
    <s v="Business; Education &amp; Educational Research"/>
    <x v="0"/>
    <s v="Business &amp; Economics; Education &amp; Educational Research"/>
    <s v="M9EG0"/>
    <s v=""/>
    <s v=""/>
    <s v=""/>
    <s v=""/>
    <s v="2023-11-15"/>
    <x v="491"/>
    <s v="View Full Record in Web of Science"/>
  </r>
  <r>
    <s v="J"/>
    <s v="Wegmann, E; Schiebener, J; Brand, M"/>
    <s v=""/>
    <s v=""/>
    <s v=""/>
    <s v="Wegmann, Elisa; Schiebener, Johannes; Brand, Matthias"/>
    <s v=""/>
    <s v=""/>
    <s v="Social-networks use as adaptive or maladaptive strategy for coping with stress"/>
    <s v="SCIENTIFIC REPORTS"/>
    <s v=""/>
    <s v=""/>
    <s v="English"/>
    <x v="0"/>
    <s v=""/>
    <s v=""/>
    <s v=""/>
    <s v=""/>
    <s v=""/>
    <s v=""/>
    <s v="ADDICTION; FACEBOOK; DISORDERS; SUPPORT; SITES; MOOD"/>
    <s v="Social networks are frequently used to distract, procrastinate, or cope with stress. We aimed to investigate how (problematic) social-networks use affect stress perception in interaction with different stress recovery conditions. A total of 104 participants were randomly assigned to one of four groups. Three groups underwent a stress induction with subsequent stress recovery via (1) using Facebook, (2) reading magazines, or (3) waiting. Another group (4) waited without stress induction. Stress perception was repeatedly assessed with the State-Trait-Anxiety-Inventory. Facebook use and reading magazines decreased acute stress indicating adaptive coping strategies. Stress-recovery conditions and symptom severity showed significant interactions. Facebook use was not effective for individuals with high symptom severity in contrast to non-digital strategies or for individuals with low symptom severity. The usage of social networks may be an adaptive strategy for coping with stress for some people, it is maladaptive for individuals having a problematic usage."/>
    <s v="[Wegmann, Elisa; Schiebener, Johannes; Brand, Matthias] Univ Duisburg Essen, Cognit &amp; Ctr Behav Addict Res CeBAR, Dept Gen Psychol, Forsthausweg 2, D-47057 Duisburg, Germany; [Brand, Matthias] Erwin L Hahn Inst Magnet Resonance Imaging, Essen, Germany"/>
    <s v="University of Duisburg Essen; University of Duisburg Essen"/>
    <s v="Wegmann, E (corresponding author), Univ Duisburg Essen, Cognit &amp; Ctr Behav Addict Res CeBAR, Dept Gen Psychol, Forsthausweg 2, D-47057 Duisburg, Germany."/>
    <s v="elisa.wegmann@uni-due.de"/>
    <s v=""/>
    <s v=""/>
    <s v="Projekt DEAL; University of Duisburg-Essen"/>
    <s v="Projekt DEAL; University of Duisburg-Essen"/>
    <s v="Open Access funding enabled and organized by Projekt DEAL. The authors received no specific funding for this work. They acknowledge support by the Open Access Publication Fund of the University of Duisburg-Essen."/>
    <s v=""/>
    <n v="41"/>
    <n v="0"/>
    <n v="0"/>
    <n v="4"/>
    <n v="4"/>
    <s v="NATURE PORTFOLIO"/>
    <s v="BERLIN"/>
    <s v="HEIDELBERGER PLATZ 3, BERLIN, 14197, GERMANY"/>
    <s v="2045-2322"/>
    <s v=""/>
    <s v=""/>
    <s v="SCI REP-UK"/>
    <s v="Sci Rep"/>
    <s v="JUL 23"/>
    <n v="2023"/>
    <n v="13"/>
    <n v="1"/>
    <s v=""/>
    <s v=""/>
    <s v=""/>
    <s v=""/>
    <s v=""/>
    <s v=""/>
    <n v="11895"/>
    <s v="10.1038/s41598-023-39042-4"/>
    <s v="http://dx.doi.org/10.1038/s41598-023-39042-4"/>
    <s v=""/>
    <s v=""/>
    <n v="9"/>
    <s v="Multidisciplinary Sciences"/>
    <x v="2"/>
    <s v="Science &amp; Technology - Other Topics"/>
    <s v="N1PH6"/>
    <n v="37482602"/>
    <s v="Green Published, gold"/>
    <s v=""/>
    <s v=""/>
    <s v="2023-11-15"/>
    <x v="492"/>
    <s v="View Full Record in Web of Science"/>
  </r>
  <r>
    <s v="J"/>
    <s v="Jiang, ZH; Shi, JR"/>
    <s v=""/>
    <s v=""/>
    <s v=""/>
    <s v="Jiang, Zihao; Shi, Jiarong"/>
    <s v=""/>
    <s v=""/>
    <s v="Can firm R&amp;D benefit from digital technologies? Evidence from Chinese high-speed rail industry"/>
    <s v="KYBERNETES"/>
    <s v=""/>
    <s v=""/>
    <s v="English"/>
    <x v="2"/>
    <s v=""/>
    <s v=""/>
    <s v=""/>
    <s v=""/>
    <s v=""/>
    <s v="High-speed rail industry; Digital transformation; Innovation efficiency; Human capital"/>
    <s v="OPEN INNOVATION; ABSORPTIVE-CAPACITY; INFORMATION-TECHNOLOGY; EMPIRICAL-ANALYSIS; PERFORMANCE; EFFICIENCY; IMPACT; CREATION; MODEL; ENTREPRENEURSHIP"/>
    <s v="PurposeAs an emerging socio-technical paradigm, high-speed railways profoundly change individuals' lifestyle and allow for the shift toward a green transportation. Digital technologies open an opportunity window for the development of enterprises. This study aims to clarify the impact of firm digitalization on the innovation efficiency of the Chinese high-speed rail industry. In addition, human capital is the important non-physical capital of enterprises. The authors also elucidate the moderating role of human capital on the above relationship.Design/methodology/approachBased on the data of Chinese high-speed railway listed companies from 2015 to 2021, this study explores the impact of digital transformation on the innovation efficiency, and further clarifies the boundary role of human capital with two-way fixed effect regression models.FindingsThe empirical results indicate that digital transformation has a positive impact on the innovation efficiency of the Chinese high-speed railway enterprises. Furthermore, human capital significantly enhances the above relationship. In addition, digital transformation fosters the innovation efficiency of small- and medium-sized enterprises and private-owned enterprises, but the correlation coefficients between digital transformation and the innovation efficiency of large enterprises and state-owned enterprises are not significant.Originality/valueThis is one of the earliest studies to explore how digital technologies shape R &amp; D activities. From the perspective of relative efficiency, this study evaluates the effectiveness of digital transformation and provides empirical evidence for the formulation and implementation of corporate digital strategies. Moreover, this study links human capital with digital transformation and identifies condition factors that affect the effectiveness of digital transformation, thereby supplementing existing knowledge."/>
    <s v="[Jiang, Zihao; Shi, Jiarong] Univ Sci &amp; Technol China, Sch Management, Hefei, Peoples R China"/>
    <s v="Chinese Academy of Sciences; University of Science &amp; Technology of China, CAS"/>
    <s v="Shi, JR (corresponding author), Univ Sci &amp; Technol China, Sch Management, Hefei, Peoples R China."/>
    <s v="jiangzihao0827@163.com; 2063658340@qq.com"/>
    <s v=""/>
    <s v=""/>
    <s v=""/>
    <s v=""/>
    <s v=""/>
    <s v=""/>
    <n v="122"/>
    <n v="0"/>
    <n v="0"/>
    <n v="16"/>
    <n v="16"/>
    <s v="EMERALD GROUP PUBLISHING LTD"/>
    <s v="BINGLEY"/>
    <s v="HOWARD HOUSE, WAGON LANE, BINGLEY BD16 1WA, W YORKSHIRE, ENGLAND"/>
    <s v="0368-492X"/>
    <s v="1758-7883"/>
    <s v=""/>
    <s v="KYBERNETES"/>
    <s v="Kybernetes"/>
    <s v="2023 JUL 19"/>
    <n v="2023"/>
    <s v=""/>
    <s v=""/>
    <s v=""/>
    <s v=""/>
    <s v=""/>
    <s v=""/>
    <s v=""/>
    <s v=""/>
    <s v=""/>
    <s v="10.1108/K-04-2023-0677"/>
    <s v="http://dx.doi.org/10.1108/K-04-2023-0677"/>
    <s v=""/>
    <s v="JUL 2023"/>
    <n v="24"/>
    <s v="Computer Science, Cybernetics"/>
    <x v="2"/>
    <s v="Computer Science"/>
    <s v="M5OW9"/>
    <s v=""/>
    <s v=""/>
    <s v=""/>
    <s v=""/>
    <s v="2023-11-15"/>
    <x v="493"/>
    <s v="View Full Record in Web of Science"/>
  </r>
  <r>
    <s v="J"/>
    <s v="Liu, QR; Liu, JM; He, ZP"/>
    <s v=""/>
    <s v=""/>
    <s v=""/>
    <s v="Liu, Qian-Ru; Liu, Jian-Mei; He, Zhen-Peng"/>
    <s v=""/>
    <s v=""/>
    <s v="Digital transformation ambidexterity and business performance"/>
    <s v="JOURNAL OF ENTERPRISE INFORMATION MANAGEMENT"/>
    <s v=""/>
    <s v=""/>
    <s v="English"/>
    <x v="0"/>
    <s v=""/>
    <s v=""/>
    <s v=""/>
    <s v=""/>
    <s v=""/>
    <s v="Digital transformation ambidexterity; Non-digital firms; Business performance; Efficiency; Growth; Text mining"/>
    <s v="DYNAMIC CAPABILITIES; INDUSTRY 4.0; INNOVATION; STRATEGY; SYSTEMS; ORGANIZATIONS; FIRMS; TECHNOLOGY; PLATFORMS; COMPANIES"/>
    <s v="PurposeWhat distinguishes digital transformation from other traditional IT transformations is its involvement of the entire organization, rather than merely the IT department. Thus, instead of taking a perspective that is confined to the IT department, this paper studies the ambidextrous nature of digital transformation (DT) from the standpoint of the whole firm. The authors define DT ambidexterity as the capability to utilize digital technology to simultaneously improve the efficiency of existing businesses (DT exploitation) and to promote business growth (DT exploration).Design/methodology/approachUsing annual reports of Chinese firms as a mining material, this paper deploys text mining and word frequency analysis to develop a data set of digital transformation to construct DT exploitation, DT exploration and DT ambidexterity, so that the authors can examine and compare their impact on business performance.FindingsThis study's statistics show that observations in this research sample mainly manifest DT ambidexterity and DT exploitation, while DT exploration makes up the smallest proportion. The authors find that DT exploitation, DT exploration, and DT ambidexterity have positive, yet heterogeneous effects on business performance.Research limitations/implicationsThis study expands the existing literature of IT-related ambidexterity by examining the ambidextrous nature of DT from the angle of company-wide strategy instead of the perspective from IT-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Originality/valueThis study expands the existing literature of IT-related ambidexterity by examining the ambidexterity nature of DT from the angle of company-wide strategy instead of the perspective from IT 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
    <s v="[Liu, Qian-Ru] Guangdong Univ Foreign Studies, Dept Accounting, Guangzhou, Peoples R China; [Liu, Jian-Mei] Tianjin Univ Finance &amp; Econ, Tianjin, Peoples R China; [He, Zhen-Peng] Univ Int Business &amp; Econ, Beijing, Peoples R China"/>
    <s v="Guangdong University of Foreign Studies; Tianjin University of Finance &amp; Economics; University of International Business &amp; Economics"/>
    <s v="Liu, JM (corresponding author), Tianjin Univ Finance &amp; Econ, Tianjin, Peoples R China."/>
    <s v="iamliuqianru@126.com; weifangljm@126.com; cherrohaw@foxmail.com"/>
    <s v=""/>
    <s v=""/>
    <s v="National Natural Foundation [71702123]; Social Science Foundation of the Ministry of Education of China [19YJC630105, 17YJC790095]; Tianjin University of Finance and Economics Outstanding Young Teachers Support Program"/>
    <s v="National Natural Foundation(National Natural Science Foundation of China (NSFC)); Social Science Foundation of the Ministry of Education of China(Ministry of Education, China); Tianjin University of Finance and Economics Outstanding Young Teachers Support Program"/>
    <s v="The authors really appreciate the funding from the National Natural Foundation (Grant number: 71702123), the Social Science Foundation of the Ministry of Education of China (Grant number: 19YJC630105 and 17YJC790095) and Tianjin University of Finance and Economics Outstanding Young Teachers Support Program. The authors would like to thank the undergraduate students, Ziyu Chen and Qiaomin Li, at Guangdong University of Foreign Studies for their excellent research assitance in this paper."/>
    <s v=""/>
    <n v="72"/>
    <n v="0"/>
    <n v="0"/>
    <n v="53"/>
    <n v="53"/>
    <s v="EMERALD GROUP PUBLISHING LTD"/>
    <s v="BINGLEY"/>
    <s v="HOWARD HOUSE, WAGON LANE, BINGLEY BD16 1WA, W YORKSHIRE, ENGLAND"/>
    <s v="1741-0398"/>
    <s v="1758-7409"/>
    <s v=""/>
    <s v="J ENTERP INF MANAG"/>
    <s v="J. Enterp. Inf. Manag."/>
    <s v="AUG 16"/>
    <n v="2023"/>
    <n v="36"/>
    <n v="5"/>
    <s v=""/>
    <s v=""/>
    <s v=""/>
    <s v=""/>
    <n v="1402"/>
    <n v="1420"/>
    <s v=""/>
    <s v="10.1108/JEIM-08-2022-0280"/>
    <s v="http://dx.doi.org/10.1108/JEIM-08-2022-0280"/>
    <s v=""/>
    <s v="JUL 2023"/>
    <n v="19"/>
    <s v="Computer Science, Interdisciplinary Applications; Information Science &amp; Library Science; Management"/>
    <x v="0"/>
    <s v="Computer Science; Information Science &amp; Library Science; Business &amp; Economics"/>
    <s v="O7IN8"/>
    <s v=""/>
    <s v=""/>
    <s v=""/>
    <s v=""/>
    <s v="2023-11-15"/>
    <x v="494"/>
    <s v="View Full Record in Web of Science"/>
  </r>
  <r>
    <s v="J"/>
    <s v="Sonar, H; Ghag, N; Kharde, Y; Singodia, M"/>
    <s v=""/>
    <s v=""/>
    <s v=""/>
    <s v="Sonar, Harshad; Ghag, Nikhil; Kharde, Yashomandira; Singodia, Mamta"/>
    <s v=""/>
    <s v=""/>
    <s v="Digital innovations for micro, small and medium enterprises in the net zero economy: A strategic perspective"/>
    <s v="BUSINESS STRATEGY AND DEVELOPMENT"/>
    <s v=""/>
    <s v=""/>
    <s v="English"/>
    <x v="2"/>
    <s v=""/>
    <s v=""/>
    <s v=""/>
    <s v=""/>
    <s v=""/>
    <s v="digital innovation; digital transformation; MSMEs; net zero; sustainability"/>
    <s v="INDICATORS; CHALLENGES; TOURISM"/>
    <s v="In order to achieve a net zero economy, there must be a thorough digital revolution where sustainability is given top priority by spurring innovation, generating efficiencies, and improving services. Data show that digitalization is essential to reaching sustainable development goals as the world community struggles to meet the urgent need to combat climate change. Therefore, this study aims at identifying important barriers to digital innovation for MSMEs in a net-zero economy. This study used past academic literature and the fuzzy-Delphi method to identify important barriers and the weighted influence nonlinear gauge system (WINGS) method to prioritize and develop contextual relationships between identified barriers. As per the findings, lack of organizational resources and support is the most crucial barrier to digital innovation. This is followed by challenges in designing a digital strategy. The novelty of this study is the identification of digital innovation barriers for MSMEs from net-zero perspectives and prioritizing them using the WINGS method. This work will help practitioners to define clear organizational policies on digital innovation which will offer great promise for MSMEs to increase their performance."/>
    <s v="[Sonar, Harshad; Kharde, Yashomandira; Singodia, Mamta] Symbiosis Inst Operat Management SIOM, Operat &amp; Supply Chain Management, Nasik, India; [Ghag, Nikhil] Natl Inst Ind Engn NITIE, Operat &amp; Supply Chain Management, Mumbai, India"/>
    <s v="Symbiosis International University; Symbiosis Institute of Operations Management (SIOM); National Institute of Industrial Engineering (NITIE)"/>
    <s v="Sonar, H (corresponding author), Symbiosis Inst Operat Management SIOM, Operat &amp; Supply Chain Management, Nasik, India."/>
    <s v="harshad.sonar@siom.in"/>
    <s v="Kharde, Dr Yashomandira Pravin/JMR-0741-2023; Ghag, Nikhil/HTS-6859-2023"/>
    <s v="Kharde, Dr Yashomandira Pravin/0000-0002-4705-1038; Ghag, Nikhil/0000-0002-6823-3279; Sonar, Dr. Harshad C./0000-0001-9114-7785"/>
    <s v=""/>
    <s v=""/>
    <s v=""/>
    <s v=""/>
    <n v="65"/>
    <n v="0"/>
    <n v="0"/>
    <n v="8"/>
    <n v="8"/>
    <s v="WILEY"/>
    <s v="HOBOKEN"/>
    <s v="111 RIVER ST, HOBOKEN 07030-5774, NJ USA"/>
    <s v=""/>
    <s v="2572-3170"/>
    <s v=""/>
    <s v="BUS STRATEGY DEV"/>
    <s v="Bus. Strategy Dev."/>
    <s v="2023 JUL 13"/>
    <n v="2023"/>
    <s v=""/>
    <s v=""/>
    <s v=""/>
    <s v=""/>
    <s v=""/>
    <s v=""/>
    <s v=""/>
    <s v=""/>
    <s v=""/>
    <s v="10.1002/bsd2.264"/>
    <s v="http://dx.doi.org/10.1002/bsd2.264"/>
    <s v=""/>
    <s v="JUL 2023"/>
    <n v="12"/>
    <s v="Business; Environmental Studies"/>
    <x v="3"/>
    <s v="Business &amp; Economics; Environmental Sciences &amp; Ecology"/>
    <s v="M3ZI3"/>
    <s v=""/>
    <s v="Bronze"/>
    <s v=""/>
    <s v=""/>
    <s v="2023-11-15"/>
    <x v="495"/>
    <s v="View Full Record in Web of Science"/>
  </r>
  <r>
    <s v="J"/>
    <s v="Gezer, M; Hunter, B; Hocking, JS; Manski-Nankervis, JA; Goller, JL"/>
    <s v=""/>
    <s v=""/>
    <s v=""/>
    <s v="Gezer, Melis; Hunter, Barbara; Hocking, Jane S. S.; Manski-Nankervis, Jo-Anne; Goller, Jane L. L."/>
    <s v=""/>
    <s v=""/>
    <s v="Informing the design of a digital intervention to support sexually transmissible infection care in general practice: a qualitative study exploring the views of clinicians"/>
    <s v="SEXUAL HEALTH"/>
    <s v=""/>
    <s v=""/>
    <s v="English"/>
    <x v="2"/>
    <s v=""/>
    <s v=""/>
    <s v=""/>
    <s v=""/>
    <s v=""/>
    <s v="Australia; chlamydia; clinical decision support; digital; electronic medical record; general practice; gonorrhoea; primary care; STI management; STIs; syphilis"/>
    <s v="BARRIERS; TOOL"/>
    <s v="Background. Strengthening sexually transmissible infection (STI) management in general practice is prioritised in Australian STI strategy. Digital interventions incorporating clinical decision support offer a mechanism to assist general practitioners (GPs) in STI care. This study explored clinicians' views towards a proposed digital intervention for supporting STI care in Australian general practice as a first step in the tool's design. Methods. Semi-structured one-to-one interviews were conducted during 2021 with sexual health physicians (n = 2) and GPs (n = 7) practicing in the state of Victoria, Australia. Interviews explored views on a proposed STI digital intervention for general practice. We applied the Theoretical Domains Framework (TDF), a behaviour change framework to our analysis. This involved: (1) directed content analysis of transcripts into TDF domains; and (2) thematic analysis to identify sub-themes within relevant TDF domains. Subthemes were subsequently categorised into enablers and barriers to the use and implementation of a STI computerised clinical decision support system (CDSS). Results. All interviewees viewed a digital intervention for STI care favourably, expressing confidence in its potential to improve care and support management. Within the relevant TDF domains (e.g. environmental context and resources), subthemes emerged as barriers (e.g. lack of sensitivity to patient context) or enablers (e.g. clear communication and guidance) to the use and implementation of a STI CDSS in primary care. Multiple subthemes (e.g. time constraints) have the potential to be a barrier or an enabler, and is largely dependent on end-user needs being met and clinical context being appropriately addressed. Conclusions. A digital intervention incorporating clinical decision support was viewed favourably, indicating a possible role for such a tool in Australian general practice. Co-design with end-users and prototype evaluation with health consumers is recommended to ensure relevance and usefulness."/>
    <s v="[Gezer, Melis; Hocking, Jane S. S.; Goller, Jane L. L.] Univ Melbourne, Melbourne Sch Populat &amp; Global Hlth, 207 Bouverie St, Carlton, Vic 3053, Australia; [Hunter, Barbara; Manski-Nankervis, Jo-Anne] Univ Melbourne, Dept Gen Practice, Melbourne, Vic, Australia"/>
    <s v="University of Melbourne; University of Melbourne"/>
    <s v="Goller, JL (corresponding author), Univ Melbourne, Melbourne Sch Populat &amp; Global Hlth, 207 Bouverie St, Carlton, Vic 3053, Australia."/>
    <s v="jane.goller@unimelb.edu.au"/>
    <s v=""/>
    <s v="Hocking, Jane/0000-0001-9329-8501; Goller, Jane/0000-0001-5580-360X; Hunter, Barbara/0000-0002-1268-3166"/>
    <s v=""/>
    <s v=""/>
    <s v=""/>
    <s v=""/>
    <n v="38"/>
    <n v="0"/>
    <n v="0"/>
    <n v="2"/>
    <n v="2"/>
    <s v="CSIRO PUBLISHING"/>
    <s v="CLAYTON"/>
    <s v="UNIPARK, BLDG 1, LEVEL 1, 195 WELLINGTON RD, LOCKED BAG 10, CLAYTON, VIC 3168, AUSTRALIA"/>
    <s v="1448-5028"/>
    <s v="1449-8987"/>
    <s v=""/>
    <s v="SEX HEALTH"/>
    <s v="Sex Health"/>
    <s v="2023 JUL 6"/>
    <n v="2023"/>
    <s v=""/>
    <s v=""/>
    <s v=""/>
    <s v=""/>
    <s v=""/>
    <s v=""/>
    <s v=""/>
    <s v=""/>
    <s v=""/>
    <s v="10.1071/SH22191"/>
    <s v="http://dx.doi.org/10.1071/SH22191"/>
    <s v=""/>
    <s v="JUL 2023"/>
    <n v="10"/>
    <s v="Public, Environmental &amp; Occupational Health; Infectious Diseases"/>
    <x v="1"/>
    <s v="Public, Environmental &amp; Occupational Health; Infectious Diseases"/>
    <s v="L6IL8"/>
    <n v="37407286"/>
    <s v="hybrid"/>
    <s v=""/>
    <s v=""/>
    <s v="2023-11-15"/>
    <x v="496"/>
    <s v="View Full Record in Web of Science"/>
  </r>
  <r>
    <s v="J"/>
    <s v="Baldassarre, D; Iacoviello, L; Baetta, R; Roncaglioni, MC; Condorelli, G; Remuzzi, G; Gensini, G; Frati, L; Ricciardi, W; Conaldi, PG; Uccelli, A; Blandini, F; Bosari, S; Scambia, G; Fini, M; Di Malta, A; Amato, M; Veglia, F; Bonomi, A; Klersy, C; Colazzo, F; Pengo, M; Gorini, F; Auteri, L; Ferrante, G; Baviera, M; Ambrosio, G; Catapano, A; Gialluisi, A; Malavazos, AE; Castelvecchio, S; Corsi-Romanelli, MM; Cardani, R; La Rovere, MT; Agnese, V; Pane, B; Prati, D; Spinardi, L; Liuzzo, G; Arbustini, E; Volterrani, M; Visconti, M; Werba, JP; Genovese, S; Bilo, G; Invitti, C; Di Blasio, A; Lombardi, C; Faini, A; Rosa, D; Ojeda-Fernández, L; Foresta, A; De Curtis, A; Di Castelnuovo, A; Scalvini, S; Pierobon, A; Gorini, A; Valenti, L; Luzi, L; Racca, A; Bandi, M; Tremoli, E; Menicanti, L; Parati, G; Pompilio, G"/>
    <s v=""/>
    <s v=""/>
    <s v=""/>
    <s v="Baldassarre, Damiano; Iacoviello, Licia; Baetta, Roberta; Roncaglioni, Maria Carla; Condorelli, Gianluigi; Remuzzi, Giuseppe; Gensini, Gianfranco; Frati, Luigi; Ricciardi, Walter; Conaldi, Pier Giulio; Uccelli, Antonio; Blandini, Fabio; Bosari, Silvano; Scambia, Giovanni; Fini, Massimo; Di Malta, Antonio; Amato, Mauro; Veglia, Fabrizio; Bonomi, Alice; Klersy, Catherine; Colazzo, Francesca; Pengo, Martino; Gorini, Francesca; Auteri, Luciana; Ferrante, Giuseppe; Baviera, Marta; Ambrosio, Giuseppe; Catapano, Alberico; Gialluisi, Alessandro; Malavazos, Alexis Elias; Castelvecchio, Serenella; Corsi-Romanelli, Massimiliano Marco; Cardani, Rosanna; La Rovere, Maria Teresa; Agnese, Valentina; Pane, Bianca; Prati, Daniele; Spinardi, Laura; Liuzzo, Giovanna; Arbustini, Eloisa; Volterrani, Maurizio; Visconti, Marco; Werba, Jose Pablo; Genovese, Stefano; Bilo, Grzegorz; Invitti, Cecilia; Di Blasio, Anna; Lombardi, Carolina; Faini, Andrea; Rosa, Debora; Ojeda-Fernandez, Luisa; Foresta, Andreana; De Curtis, Amalia; Di Castelnuovo, Augusto; Scalvini, Simonetta; Pierobon, Antonia; Gorini, Alessandra; Valenti, Luca; Luzi, Livio; Racca, Annarosa; Bandi, Manuela; Tremoli, Elena; Menicanti, Lorenzo; Parati, Gianfranco; Pompilio, Giulio"/>
    <s v=""/>
    <s v=""/>
    <s v="Rationale and design of the CV-PREVITAL study: an Italian multiple cohort randomised controlled trial investigating innovative digital strategies in primary cardiovascular prevention"/>
    <s v="BMJ OPEN"/>
    <s v=""/>
    <s v=""/>
    <s v="English"/>
    <x v="0"/>
    <s v=""/>
    <s v=""/>
    <s v=""/>
    <s v=""/>
    <s v=""/>
    <s v="PREVENTIVE MEDICINE; Health informatics; Cardiac Epidemiology; Clinical trials"/>
    <s v="RISK; DISEASE; VALIDATION; STANDARD; SCORE"/>
    <s v="Introduction Prevention of cardiovascular disease (CVD) is of key importance in reducing morbidity, disability and mortality worldwide. Observational studies suggest that digital health interventions can be an effective strategy to reduce cardiovascular (CV) risk. However, evidence from large randomised clinical trials is lacking. Methods and analysis The CV-PREVITAL study is a multicentre, prospective, randomised, controlled, open-label interventional trial designed to compare the effectiveness of an educational and motivational mobile health (mHealth) intervention versus usual care in reducing CV risk. The intervention aims at improving diet, physical activity, sleep quality, psycho-behavioural aspects, as well as promoting smoking cessation and adherence to pharmacological treatment for CV risk factors. The trial aims to enrol approximately 80 000 subjects without overt CVDs referring to general practitioners' offices, community pharmacies or clinics of Scientific Institute for Research, Hospitalization and Health Care (Italian acronym IRCCS) affiliated with the Italian Cardiology Network. All participants are evaluated at baseline and after 12 months to assess the effectiveness of the intervention on short-term endpoints, namely improvement in CV risk score and reduction of major CV risk factors. Beyond the funded life of the study, a long-term (7 years) follow-up is also planned to assess the effectiveness of the intervention on the incidence of major adverse CV events. A series of ancillary studies designed to evaluate the effect of the mHealth intervention on additional risk biomarkers are also performed. Ethics and dissemination This study received ethics approval from the ethics committee of the coordinating centre (Monzino Cardiology Center; R1256/20-CCM 1319) and from all other relevant IRBs and ethics committees. Findings are disseminated through scientific meetings and peer-reviewed journals and via social media. Partners are informed about the study's course and findings through regular meetings."/>
    <s v="[Baldassarre, Damiano; Baetta, Roberta; Amato, Mauro; Bonomi, Alice; Colazzo, Francesca; Werba, Jose Pablo; Genovese, Stefano; Pompilio, Giulio] Ctr Cardiol Monzino IRCCS, Milan, Italy; [Baldassarre, Damiano] Univ Milan, Dept Med Biotechnol &amp; Translat Med, Milan, Italy; [Iacoviello, Licia; Gialluisi, Alessandro; De Curtis, Amalia] IRCCS Ist Neurol Mediterraneo NEUROMED, Dept Epidemiol &amp; Prevent, Pozzilli, Italy; [Iacoviello, Licia; Gialluisi, Alessandro] Res Ctr Epidemiol &amp; Prevent Med EPIMED, Varese, Italy; [Roncaglioni, Maria Carla; Baviera, Marta; Ojeda-Fernandez, Luisa; Foresta, Andreana] Ist Ric Farmacol Mario Negri IRCCS, Lab Cardiovasc Prevent, Milan, Italy; [Condorelli, Gianluigi; Ferrante, Giuseppe] IRCCS Humanitas Res Hosp, Dept Cardiovasc Med, Rozzano, Italy; [Condorelli, Gianluigi; Ferrante, Giuseppe] Humanitas Univ, Dept Biomed Sci, Milan, Italy; [Remuzzi, Giuseppe] Ist Ric Farmacog Mario Negri IRCCS, Milan, Italy; [Gensini, Gianfranco; Catapano, Alberico; Luzi, Livio] IRCCS Multimed, Milan, Italy; [Frati, Luigi] IRCCS Ist Neurol Mediterraneo NEUROMED, Pozzilli, Italy; [Ricciardi, Walter] Ist Clin Sci Maugeri IRCCS Pavia, Pavia, Italy; [Ricciardi, Walter; Scambia, Giovanni; Liuzzo, Giovanna] Univ Cattolica Sacro Cuore, Campus Roma, Rome, Italy; [Conaldi, Pier Giulio; Agnese, Valentina] IRCCS ISMETT Mediterranean Inst Transplantat &amp; Adv, Palermo, Italy; [Uccelli, Antonio; Pane, Bianca] IRCCS Osped Policlin San Martino, Genoa, Italy; [Blandini, Fabio; Bosari, Silvano; Spinardi, Laura] Fdn IRCCS Ca Granda Osped Maggiore Policlin, Milan, Italy; [Scambia, Giovanni] Fdn Policlin Univ Agostino Gemelli IRCCS, Rome, Italy; [Fini, Massimo] IRCCS San Raffaele, Rome, Italy; [Di Malta, Antonio; Visconti, Marco] Co S Consorzio San Study Ctr, Soresina, Italy; [Veglia, Fabrizio; Tremoli, Elena] Maria Cecilia Hosp, GVM Care &amp; Res, Cotignola, Ravenna, Italy; [Klersy, Catherine] Fdn IRCCS Policlin San Matteo, Unit Clin Epidemiol &amp; Biostat, Pavia, Italy; [Pengo, Martino; Gorini, Francesca; Auteri, Luciana; Bilo, Grzegorz; Invitti, Cecilia; Di Blasio, Anna; Lombardi, Carolina; Faini, Andrea; Rosa, Debora; Parati, Gianfranco] Ist Auxol Italiano IRCCS, Milan, Italy; [Pengo, Martino; Bilo, Grzegorz; Lombardi, Carolina; Parati, Gianfranco] Univ Milano Bicocca, Dept Med &amp; Surg, Milan, Italy; [Ambrosio, Giuseppe] Univ Perugia, Cardiol, Sch Med, Perugia, Italy; [Catapano, Alberico] Univ Milan, Dept Pharmacol &amp; Biomol Sci, Milan, Italy; [Malavazos, Alexis Elias] IRCCS Policlin San Donato, Clin Nutr &amp; Cardiovasc Prevent Serv, Endocrinol Unit, San Donato Milanese, Italy; [Malavazos, Alexis Elias; Pompilio, Giulio] Univ Milan, Dept Biomed Surg &amp; Dent Sci, Milan, Italy; [Castelvecchio, Serenella; Menicanti, Lorenzo] IRCCS Policlin San Donato, Dept Cardiac Surg, San Donato Milanese, Italy; [Corsi-Romanelli, Massimiliano Marco] IRCCS Policlin SAN DONATO, UOC SMEL 1, San Donato Milanese, Italy; [Corsi-Romanelli, Massimiliano Marco; Luzi, Livio] Univ Milan, Dept Hlth &amp; Biomed Sci, Milan, Italy; [Cardani, Rosanna] IRCCS Policlin San Donato, BioCor Biobank, UOC SMEL 1 Clin Pathol, San Donato Milanese, Italy; [La Rovere, Maria Teresa; Pierobon, Antonia] Ist Clin Sci Maugeri IRCCS Montescano, Montescano, Italy; [Pane, Bianca] Univ Genoa, Dipartimento Sci Chirurg &amp; Diagnost Integrate, Genoa, Italy; [Prati, Daniele; Valenti, Luca] Fdn IRCCS Ca Granda Osped Maggiore Policlin, Dept Transfus Med &amp; Haematol, Milan, Italy; [Liuzzo, Giovanna] Fdn Policlin Gemelli IRCCS, Dipartimento Sci Cardiovascolari, Rome, Italy; [Arbustini, Eloisa] Fdn IRCCS Policlin San Matteo, Ctr Malattie Genet Cardiovasc, Pavia, Italy; [Volterrani, Maurizio] IRCCS San Raffaele, Cardio Pulm Dept, Rome, Italy; [Volterrani, Maurizio] San Raffaele Open Univ, Exercise Sci &amp; Med, Rome, Italy; [Faini, Andrea] Politecn Milan, Dipartimento Elettron Informaz &amp; Bioingn, Milan, Italy; [Di Castelnuovo, Augusto] Mediterranea Cardioctr, Naples, Italy; [Scalvini, Simonetta] Ist Clin Sci Maugeri IRCCS Lumezzane, Lumezzane, Italy; [Gorini, Alessandra] Ist Clin Sci Maugeri IRCCS Milano, Milan, Italy; [Gorini, Alessandra] Univ Milan, Dipartimento Sci Clin &amp; Comun, Milan, Italy; [Valenti, Luca] Univ Milan, Dipartimento Fisiopatol &amp; Trapianti, Milan, Italy; [Racca, Annarosa; Bandi, Manuela] Federfarma Lombardia &amp; Fdn Guido Muralti, Milan, Italy"/>
    <s v="IRCCS Centro Cardiologico Monzino; University of Milan; IRCCS Neuromed; Istituto di Ricerche Farmacologiche Mario Negri IRCCS; Humanitas University; IRCCS Multimedica; IRCCS Neuromed; Catholic University of the Sacred Heart; IRCCS Policlinico Gemelli; IRCCS Ca Granda Ospedale Maggiore Policlinico; Catholic University of the Sacred Heart; IRCCS Policlinico Gemelli; IRCCS San Raffaele Pisana; Vita-Salute San Raffaele University; IRCCS Ospedale San Raffaele; Maria Cecilia Hospital; IRCCS Fondazione San Matteo; IRCCS Istituto Auxologico Italiano; University of Milano-Bicocca; University of Perugia; University of Milan; IRCCS Policlinico San Donato; University of Milan; IRCCS Policlinico San Donato; IRCCS Policlinico San Donato; University of Milan; IRCCS Policlinico San Donato; University of Genoa; IRCCS Ca Granda Ospedale Maggiore Policlinico; Catholic University of the Sacred Heart; IRCCS Policlinico Gemelli; IRCCS Fondazione San Matteo; Vita-Salute San Raffaele University; IRCCS Ospedale San Raffaele; IRCCS San Raffaele Pisana; Polytechnic University of Milan; Istituti Clinici Scientifici Maugeri IRCCS; University of Milan; University of Milan"/>
    <s v="Baldassarre, D (corresponding author), Ctr Cardiol Monzino IRCCS, Milan, Italy.;Baldassarre, D (corresponding author), Univ Milan, Dept Med Biotechnol &amp; Translat Med, Milan, Italy."/>
    <s v="damiano.baldassarre@cardiologicomonzino.it"/>
    <s v="Pompilio, Giulio/J-6701-2014; Pierobon, Antonia/AAA-2859-2021; Vinci, Ramona/AAJ-9226-2020; Colombo, Gualtiero I./B-4737-2010; caminiti, giuseppe/K-5068-2016; La Rovere, Maria Teresa/D-6796-2019; Remuzzi, Giuseppe/V-9766-2017; Iacoviello, Licia/K-4676-2016; Baldassarre, Damiano/J-3295-2016; Valenti, Luca/B-3695-2009; Veglia, Fabrizio/K-1958-2016"/>
    <s v="Pompilio, Giulio/0000-0003-2581-5735; Pierobon, Antonia/0000-0002-4678-781X; Vinci, Ramona/0000-0003-3632-5934; Colombo, Gualtiero I./0000-0002-7348-1939; caminiti, giuseppe/0000-0001-7820-567X; La Rovere, Maria Teresa/0000-0002-1884-5058; Remuzzi, Giuseppe/0000-0002-6194-3446; Iacoviello, Licia/0000-0003-0514-5885; Baldassarre, Damiano/0000-0002-2766-8882; Valenti, Luca/0000-0001-8909-0345; Malavazos, Alexis Elias/0000-0002-0852-9625; Veglia, Fabrizio/0000-0002-9378-8874"/>
    <s v="Italian Ministry of Health (Ministero della Salute) [RCR- 2019- 23669116_001]"/>
    <s v="Italian Ministry of Health (Ministero della Salute)(Ministry of Health, Italy)"/>
    <s v="The CV- PREVITAL study is carried out through funding by the Italian Ministry of Health (Ministero della Salute), Project Code RCR- 2019- 23669116_001. The finantial support includes the cost of developing the app used in the study. The app was built with the technical collaboration of a mobile solutions provider (YouCo s.r.l.) selected through a European tender carried out under Article 60 of Legislative Decree 50/2016 as amended. Ownership of the app is held by the Italian Cardiology Network. Funding source (Italian Ministry of Health) and technical partner (YouCo) are not involved in study execution, data analyses and interpretation, or decision to submit results."/>
    <s v=""/>
    <n v="35"/>
    <n v="0"/>
    <n v="0"/>
    <n v="2"/>
    <n v="2"/>
    <s v="BMJ PUBLISHING GROUP"/>
    <s v="LONDON"/>
    <s v="BRITISH MED ASSOC HOUSE, TAVISTOCK SQUARE, LONDON WC1H 9JR, ENGLAND"/>
    <s v="2044-6055"/>
    <s v=""/>
    <s v=""/>
    <s v="BMJ OPEN"/>
    <s v="BMJ Open"/>
    <s v="JUL"/>
    <n v="2023"/>
    <n v="13"/>
    <n v="7"/>
    <s v=""/>
    <s v=""/>
    <s v=""/>
    <s v=""/>
    <s v=""/>
    <s v=""/>
    <s v="e072040"/>
    <s v="10.1136/bmjopen-2023-072040"/>
    <s v="http://dx.doi.org/10.1136/bmjopen-2023-072040"/>
    <s v=""/>
    <s v=""/>
    <n v="11"/>
    <s v="Medicine, General &amp; Internal"/>
    <x v="2"/>
    <s v="General &amp; Internal Medicine"/>
    <s v="O2JX0"/>
    <n v="37451717"/>
    <s v="gold, Green Published"/>
    <s v=""/>
    <s v=""/>
    <s v="2023-11-15"/>
    <x v="497"/>
    <s v="View Full Record in Web of Science"/>
  </r>
  <r>
    <s v="J"/>
    <s v="Lerario, A"/>
    <s v=""/>
    <s v=""/>
    <s v=""/>
    <s v="Lerario, Antonella"/>
    <s v=""/>
    <s v=""/>
    <s v="The Communication Challenge in Archaeological Museums in Puglia: Insights into the Contribution of Social Media and ICTs to Small-Scale Institutions"/>
    <s v="HERITAGE"/>
    <s v=""/>
    <s v=""/>
    <s v="English"/>
    <x v="0"/>
    <s v=""/>
    <s v=""/>
    <s v=""/>
    <s v=""/>
    <s v=""/>
    <s v="digital museum communication; Apulian museum; digital collections; museum websites; virtual museums; social networks; museum networks"/>
    <s v="VIRTUAL MUSEUMS"/>
    <s v="Archaeological museums play a vital role in regions with ancient roots, holding a millennial image as the cradle of civilization. In the South of Italy (former Magna Graecia) and particularly in Puglia-a melting pot of cultures where ancient Messapian, Byzantine, Roman, and Greek civilizations followed one another in ages, bequeathing a wealth of testimonies-institutions are disseminated across the region, and almost every small municipality has its own archaeological museum hosting a wealth of valuable objects and remains. The gradual structural changes in the role of museums over the last decades and the recent COVID-19 pandemic outbreak, with the sudden closing and subsequent re-opening of facilities, forced institutions to re-think and re-develop their communication practices everywhere. Museums across the world have since been conceiving original and effective strategies based on social media and ICTs. After framing the problem background, the article introduces an overview of good practice and virtuous examples in the museum field and a questionnaire-based focus survey on a sample of archaeological museums in Puglia in order to assess the status of local communication strategies' implementation against the potential of modern technologies. The survey results allowed identifying a peculiar mix of emergency and evolutional approaches in the sample analyzed, main concerns and barriers to the adoption of digital strategies, but also specific strategic drivers for innovation in the very nature of local small institutions. The study's outcomes offer a potential contribution to the alignment of institutions to current standards through informed policies that can be usefully shared in other similar contexts across Europe."/>
    <s v="[Lerario, Antonella] CNR, Ist Tecnol Costruz, I-70124 Bari, Italy"/>
    <s v="Consiglio Nazionale delle Ricerche (CNR); Istituto per le Tecnologie della Costruzione (ITC-CNR)"/>
    <s v="Lerario, A (corresponding author), CNR, Ist Tecnol Costruz, I-70124 Bari, Italy."/>
    <s v="antonella.lerario@itc.cnr.it"/>
    <s v=""/>
    <s v=""/>
    <s v=""/>
    <s v=""/>
    <s v=""/>
    <s v=""/>
    <n v="139"/>
    <n v="0"/>
    <n v="0"/>
    <n v="3"/>
    <n v="3"/>
    <s v="MDPI"/>
    <s v="BASEL"/>
    <s v="ST ALBAN-ANLAGE 66, CH-4052 BASEL, SWITZERLAND"/>
    <s v="2571-9408"/>
    <s v=""/>
    <s v=""/>
    <s v="HERITAGE-BASEL"/>
    <s v="Heritage"/>
    <s v="JUL"/>
    <n v="2023"/>
    <n v="6"/>
    <n v="7"/>
    <s v=""/>
    <s v=""/>
    <s v=""/>
    <s v=""/>
    <n v="4956"/>
    <n v="4992"/>
    <s v=""/>
    <s v="10.3390/heritage6070264"/>
    <s v="http://dx.doi.org/10.3390/heritage6070264"/>
    <s v=""/>
    <s v=""/>
    <n v="37"/>
    <s v="Humanities, Multidisciplinary; Multidisciplinary Sciences"/>
    <x v="3"/>
    <s v="Arts &amp; Humanities - Other Topics; Science &amp; Technology - Other Topics"/>
    <s v="N3NX0"/>
    <s v=""/>
    <s v="gold"/>
    <s v=""/>
    <s v=""/>
    <s v="2023-11-15"/>
    <x v="498"/>
    <s v="View Full Record in Web of Science"/>
  </r>
  <r>
    <s v="J"/>
    <s v="Luo, T; Xie, CY; Wu, JC; Zhu, JK; Yu, HY"/>
    <s v=""/>
    <s v=""/>
    <s v=""/>
    <s v="Luo, Tian; Xie, Chenyang; Wu, Jiacheng; Zhu, Jiakang; Yu, Haiyang"/>
    <s v=""/>
    <s v=""/>
    <s v="A digital strategy for intraoperative acquisition of actual drill position and rapid assessment of bony preparation accuracy using an intraoral scanner"/>
    <s v="HELIYON"/>
    <s v=""/>
    <s v=""/>
    <s v="English"/>
    <x v="0"/>
    <s v=""/>
    <s v=""/>
    <s v=""/>
    <s v=""/>
    <s v=""/>
    <s v="Intraoral scan; Scan body; Polyetheretherketone; Bony preparation accuracy; Implant surgery"/>
    <s v="IMPLANT IMPRESSIONS"/>
    <s v="A digital workflow to acquire actual position of the drill and assess bony preparation accuracy intraoperatively was described. Based on the widely used intraoral scanner, this digital workflow was a relatively practical and economical option for digital intraoperative measurement. As a result, it could help the clinician in accurate verification and immediate correction of the drill position and consequently facilitating the accurate implant placement in implant surgery."/>
    <s v="[Luo, Tian; Zhu, Jiakang; Yu, Haiyang] Sichuan Univ, West China Hosp Stomatol, Natl Clin Res Ctr Oral Dis, State Key Lab Oral Dis, Chengdu, Peoples R China; [Xie, Chenyang; Wu, Jiacheng] Sichuan Univ, West China Hosp Stomatol, Dept Dent Technol, Chengdu, Peoples R China"/>
    <s v="Sichuan University; Sichuan University"/>
    <s v="Yu, HY (corresponding author), Sichuan Univ, West China Hosp Stomatol, Natl Clin Res Ctr Oral Dis, State Key Lab Oral Dis, Chengdu, Peoples R China."/>
    <s v="YHYmechanics@163.com"/>
    <s v=""/>
    <s v=""/>
    <s v="Sichuan University Horizontal Research Foundation [21Z0019]"/>
    <s v="Sichuan University Horizontal Research Foundation"/>
    <s v="Funding statement This work was supported by the Sichuan University Horizontal Research Foundation [Grant Number: 21Z0019] ."/>
    <s v=""/>
    <n v="16"/>
    <n v="0"/>
    <n v="0"/>
    <n v="1"/>
    <n v="1"/>
    <s v="CELL PRESS"/>
    <s v="CAMBRIDGE"/>
    <s v="50 HAMPSHIRE ST, FLOOR 5, CAMBRIDGE, MA 02139 USA"/>
    <s v=""/>
    <s v="2405-8440"/>
    <s v=""/>
    <s v="HELIYON"/>
    <s v="Heliyon"/>
    <s v="JUL"/>
    <n v="2023"/>
    <n v="9"/>
    <n v="7"/>
    <s v=""/>
    <s v=""/>
    <s v=""/>
    <s v=""/>
    <s v=""/>
    <s v=""/>
    <s v="e18004"/>
    <s v="10.1016/j.heliyon.2023.e18004"/>
    <s v="http://dx.doi.org/10.1016/j.heliyon.2023.e18004"/>
    <s v=""/>
    <s v=""/>
    <n v="8"/>
    <s v="Multidisciplinary Sciences"/>
    <x v="2"/>
    <s v="Science &amp; Technology - Other Topics"/>
    <s v="P1KP6"/>
    <n v="37483804"/>
    <s v="gold, Green Published"/>
    <s v=""/>
    <s v=""/>
    <s v="2023-11-15"/>
    <x v="499"/>
    <s v="View Full Record in Web of Science"/>
  </r>
  <r>
    <s v="J"/>
    <s v="Machline-Carrion, MJ; Girotto, AN; Nieri, J; Pereira, PM; Monfardini, F; Forestiero, F; Raupp, P; Roveda, F; Santo, K; Berwanger, O; Santos, RD"/>
    <s v=""/>
    <s v=""/>
    <s v=""/>
    <s v="Machline-Carrion, M. Julia; Girotto, Alysson Nathan; Nieri, Josue; Pereira, Pedro Marton; Monfardini, Frederico; Forestiero, Francisco; Raupp, Priscila; Roveda, Fabiana; Santo, Karla; Berwanger, Otavio; Santos, Raul D."/>
    <s v=""/>
    <s v=""/>
    <s v="Assessing statins use in a real-world primary care digital strategy: a cross-sectional analysis of a population-wide digital health approach"/>
    <s v="LANCET REGIONAL HEALTH-AMERICAS"/>
    <s v=""/>
    <s v=""/>
    <s v="English"/>
    <x v="0"/>
    <s v=""/>
    <s v=""/>
    <s v=""/>
    <s v=""/>
    <s v=""/>
    <s v="Primary care; Digital health; Statins use; Dyslipidaemia"/>
    <s v="CARDIOVASCULAR-DISEASE; MIDDLE-INCOME; SECONDARY PREVENTION; MEDICATION USE; COUNTRIES; DYSLIPIDEMIAS; PRESCRIPTION; COMMUNITY; UPDATE; BRAZIL"/>
    <s v="Background The digitization of the primary care system provides an opportunity to evaluate the current use of statins in secondary prevention populations (myocardial infarction or stroke).Methods We conducted a cross-sectional study (ClinicalTrials.gov, NCT05285085), analysing anonymised data routinely collected by community health workers (CHW) in Brazil between May 2016 and September 2021 to assess the proportion of self-reported statins use and associated factors. Findings From the 2,133,900 individuals on the database, 35,103 (1.6%), mean age 66.2 years (SD14.6), 49.5% (17,382/35,103) male sex, 50.5% (17,721/35,103) female sex, and 29.6% (10,381/34,975) Caucasians, had a previous myocardial infarction (MI) (n = 11,628; 33.1%) or stroke (n = 25,925; 73.9%). Approximately 50% (17,020/35,103) were from the Northeast region, 78.7% (27,605) from urban zones, and 39.4% (13,845) with social development index (SDI) &gt;0.7. Overall, 6.7% (2346) and 0.6% (212) reported statins and high dose statins use, respectively. Age over 60 years old (OR 1.32 [95% CI 1.19-1.47), living in the Southern region (OR 4.53 [95% CI 3.66-5.60]), having a previous diagnosis of MI (OR 4.53 [95% CI 3.66-5.60]), heart failure (OR 2.29 [95% CI 1.13-1.47]), diabetes (OR 1.50 [95% CI 1.37-1.64]), dyslipidaemia (OR 2.90 [95% CI 2.55-3.29]), chronic kidney disease (OR 1.27 [95% CI 1.08-1.48]) and use of anti-hypertensives (OR 5.47 [95% CI 4.60-6.47]) were associated with statin use.Interpretation The analysis of a real-world database from a digitized primary care system, allowed us to identify a very low use of statins in secondary prevention Brazilian patients, mostly influenced by socio-demographic factors and co-morbidities."/>
    <s v="[Machline-Carrion, M. Julia; Girotto, Alysson Nathan; Pereira, Pedro Marton] EpHealth Primary Care Solut, Florianopolis, SC, Brazil; [Nieri, Josue; Monfardini, Frederico; Santo, Karla; Berwanger, Otavio; Santos, Raul D.] Hosp Israelita Albert Einstein HIAE, Acad Res Org ARO, Sao Paulo, SP, Brazil; [Forestiero, Francisco; Raupp, Priscila; Roveda, Fabiana] Novartis Pharmaceut Brazil, Sao Paulo, SP, Brazil; [Berwanger, Otavio] George Inst Global Hlth, London, England; [Berwanger, Otavio] Imperial Coll London, London, England; [Santos, Raul D.] Univ Sao Paulo, Lipid Clin Heart Inst InCor, Med Sch Hosp, Sao Paulo, SP, Brazil; [Machline-Carrion, M. Julia] EpHealth Primary Care Solut, 3339 Dr Antonio Luiz Moura Gonzaga Rd, Florianopolis, SC, Brazil"/>
    <s v="Hospital Israelita Albert Einstein; Imperial College London; Universidade de Sao Paulo"/>
    <s v="Machline-Carrion, MJ (corresponding author), EpHealth Primary Care Solut, 3339 Dr Antonio Luiz Moura Gonzaga Rd, Florianopolis, SC, Brazil."/>
    <s v="julia@ephealth.com.br"/>
    <s v=""/>
    <s v="Monfardini, Frederico/0000-0002-9590-5448"/>
    <s v="Novartis Biociencias, Brazil"/>
    <s v="Novartis Biociencias, Brazil"/>
    <s v="Novartis Biociencias, Brazil"/>
    <s v=""/>
    <n v="42"/>
    <n v="0"/>
    <n v="0"/>
    <n v="0"/>
    <n v="0"/>
    <s v="ELSEVIER"/>
    <s v="AMSTERDAM"/>
    <s v="RADARWEG 29, 1043 NX AMSTERDAM, NETHERLANDS"/>
    <s v="2667-193X"/>
    <s v=""/>
    <s v=""/>
    <s v="LANCET REG HEALTH-AM"/>
    <s v="Lancet Regional Health-Americas"/>
    <s v="JUL"/>
    <n v="2023"/>
    <n v="23"/>
    <s v=""/>
    <s v=""/>
    <s v=""/>
    <s v=""/>
    <s v=""/>
    <s v=""/>
    <s v=""/>
    <n v="100534"/>
    <s v="10.1016/j.lana.2023.100534"/>
    <s v="http://dx.doi.org/10.1016/j.lana.2023.100534"/>
    <s v=""/>
    <s v=""/>
    <n v="10"/>
    <s v="Health Care Sciences &amp; Services; Public, Environmental &amp; Occupational Health"/>
    <x v="3"/>
    <s v="Health Care Sciences &amp; Services; Public, Environmental &amp; Occupational Health"/>
    <s v="R1AM1"/>
    <n v="37497398"/>
    <s v="Green Published, gold"/>
    <s v=""/>
    <s v=""/>
    <s v="2023-11-15"/>
    <x v="500"/>
    <s v="View Full Record in Web of Science"/>
  </r>
  <r>
    <s v="J"/>
    <s v="McCarthy, SE; Hogan, C; Jenkins, L; Schwanberg, L; Williams, DJ; Mellon, L; Walsh, A; Keane, T; Rafter, N"/>
    <s v=""/>
    <s v=""/>
    <s v=""/>
    <s v="McCarthy, Siobhan E.; Hogan, Catherine; Jenkins, Loretta; Schwanberg, Lorraine; Williams, David J.; Mellon, Lisa; Walsh, Aisling; Keane, Theresa; Rafter, Natasha"/>
    <s v=""/>
    <s v=""/>
    <s v="Videos of simulated after action reviews: a training resource to support social and inclusive learning from patient safety events"/>
    <s v="BMJ OPEN QUALITY"/>
    <s v=""/>
    <s v=""/>
    <s v="English"/>
    <x v="0"/>
    <s v=""/>
    <s v=""/>
    <s v=""/>
    <s v=""/>
    <s v=""/>
    <s v="Hand-off; Patient safety; Simulation; Teamwork; Medical education"/>
    <s v="BEHAVIOR"/>
    <s v="Innovation in the education and training of healthcare staff is required to support complementary approaches to learning from patient safety and everyday events in healthcare. Debriefing is a commonly used learning tool in healthcare education but not in clinical practice. Little is known about how to implement debriefing as an approach to safety learning across a health system. After action review (AAR) is a debriefing approach designed to help groups come to a shared mental model about what happened, why it happened and to identify learning and improvement. This paper describes a digital-based implementation strategy adapted to the Irish healthcare system to promote AAR uptake. The digital strategy aims to assist implementation of national level incident management policies and was collaboratively developed by the RCSI University of Medicine and Health Sciences and the National Quality and Patient Safety Directorate of the Health Service Executive. During the COVID-19 pandemic, a well-established in-person AAR training programme was disrupted and this led to the development of a series of open access videos on AAR facilitation skills (which accompany the online version of this paper). These provide: (1) an introduction to the AAR facilitation process; (2) a simulation of a facilitated formal AAR; (3) techniques for handling challenging situations that may arise in an AAR and a (4) reflection on the benefits of the AAR process. These have the potential to be used widely to support learning from patient safety and everyday events including excellent care."/>
    <s v="[McCarthy, Siobhan E.; Keane, Theresa] RCSI Univ Med &amp; Hlth Sci, Grad Sch Healthcare Management, Dublin, Ireland; [Hogan, Catherine; Jenkins, Loretta; Schwanberg, Lorraine] Natl Qual &amp; Patient Safety Directorate, Hlth Serv Execut, Off Chief Clin Officer, Dublin, Ireland; [Williams, David J.] RCSI Univ Med &amp; Hlth Sci, Dept Geriatr &amp; Stroke Med, Dublin, Ireland; [Mellon, Lisa] RCSI Univ Med &amp; Hlth Sci, Sch Populat Hlth, Dept Hlth Psychol, Dublin, Ireland; [Walsh, Aisling; Rafter, Natasha] RCSI Univ Med &amp; Hlth Sci, Sch Populat Hlth, Dept Publ Hlth &amp; Epidemiol, Dublin, Ireland"/>
    <s v=""/>
    <s v="McCarthy, SE (corresponding author), RCSI Univ Med &amp; Hlth Sci, Grad Sch Healthcare Management, Dublin, Ireland."/>
    <s v="smccarthy@rcsi.ie"/>
    <s v=""/>
    <s v="Walsh, Aisling/0000-0002-5312-5101"/>
    <s v=""/>
    <s v=""/>
    <s v=""/>
    <s v=""/>
    <n v="20"/>
    <n v="0"/>
    <n v="0"/>
    <n v="0"/>
    <n v="0"/>
    <s v="BMJ PUBLISHING GROUP"/>
    <s v="LONDON"/>
    <s v="BRITISH MED ASSOC HOUSE, TAVISTOCK SQUARE, LONDON WC1H 9JR, ENGLAND"/>
    <s v=""/>
    <s v="2399-6641"/>
    <s v=""/>
    <s v="BMJ OPEN QUAL"/>
    <s v="BMJ Open Qual."/>
    <s v="JUL"/>
    <n v="2023"/>
    <n v="12"/>
    <n v="3"/>
    <s v=""/>
    <s v=""/>
    <s v=""/>
    <s v=""/>
    <s v=""/>
    <s v=""/>
    <s v="e002270"/>
    <s v="10.1136/bmjoq-2023-002270"/>
    <s v="http://dx.doi.org/10.1136/bmjoq-2023-002270"/>
    <s v=""/>
    <s v=""/>
    <n v="5"/>
    <s v="Health Care Sciences &amp; Services; Medicine, General &amp; Internal"/>
    <x v="3"/>
    <s v="Health Care Sciences &amp; Services; General &amp; Internal Medicine"/>
    <s v="O6TQ4"/>
    <n v="37553274"/>
    <s v="gold, Green Published"/>
    <s v=""/>
    <s v=""/>
    <s v="2023-11-15"/>
    <x v="501"/>
    <s v="View Full Record in Web of Science"/>
  </r>
  <r>
    <s v="J"/>
    <s v="Morán, AMI; Gómez, LKA; Villanueva, LKB; Hernández, SDA"/>
    <s v=""/>
    <s v=""/>
    <s v=""/>
    <s v="Moran, Aida Margarita Izquierdo; Gomez, Lyzbeth Kruscthalia alvarez; Villanueva, Lisenia Karina Baque; Hernandez, Sary del Rocio alvarez"/>
    <s v=""/>
    <s v=""/>
    <s v="DEVELOPMENT OF DIGITAL MARKETING STRATEGIES TO IMPROVE THE COMMERCIALIZATION OF HARDWARE PRODUCTS IN THE COMPANY FERROMETALES ALLAN DEL CANTÓN QUEVEDO"/>
    <s v="REVISTA UNIVERSIDAD Y SOCIEDAD"/>
    <s v=""/>
    <s v=""/>
    <s v="Spanish"/>
    <x v="0"/>
    <s v=""/>
    <s v=""/>
    <s v=""/>
    <s v=""/>
    <s v=""/>
    <s v="digital strategies; administrative sciences; qualitative and quantitative methodology; organizational actions"/>
    <s v=""/>
    <s v="After overcoming the COVID-19 pandemic, the business market experienced significant expansion, which spurred the development of new business ventures in a variety of industries, including corporate, industrial, and textile, among others. Many companies have been affected by the global economic downturn, requiring the implementation of new strategies to drive sales and improve product marketing. In order to develop digital marketing strategies for the company, a descriptive qualitative and quantitative methodology was used, with the application of analytical, synthetic, inductive and deductive methods, as well as the particular method of administrative sciences. Survey techniques were used to obtain relevant information on the object of study. The results obtained through the application of the SWOT matrix allowed the establishment of clear objectives, the development of the appropriate commercial direction, the creation of the digital strategy and the improvement of the structure of processes and procedures through the execution of the necessary internal organizational actions, to increase the competitiveness of the ferret company Allan del Canton Quevedo."/>
    <s v="[Moran, Aida Margarita Izquierdo; Gomez, Lyzbeth Kruscthalia alvarez; Villanueva, Lisenia Karina Baque] Univ Reg Autonoma Los Andes Quevedo, Quevedo, Ecuador; [Hernandez, Sary del Rocio alvarez] Univ Reg Autonoma Los Andes Ibarra, Ibarra, Ecuador"/>
    <s v=""/>
    <s v="Morán, AMI (corresponding author), Univ Reg Autonoma Los Andes Quevedo, Quevedo, Ecuador."/>
    <s v="uq.aidaizquierdo@uniandes.edu.ec; uq.lyzbethalvarez@uniandes.edu.ec; uq.liseniabaque@uniandes.edu.ec; ui.saryalvarez@uniandes.edu.ec"/>
    <s v=""/>
    <s v=""/>
    <s v=""/>
    <s v=""/>
    <s v=""/>
    <s v=""/>
    <n v="18"/>
    <n v="0"/>
    <n v="0"/>
    <n v="0"/>
    <n v="0"/>
    <s v="UNIV CIENFUEGOS"/>
    <s v="CIENFUEGOS"/>
    <s v="CARRETERA RODAS KM 4, CUATRO CAMINOS, CIENFUEGOS, 00000, CUBA"/>
    <s v="2218-3620"/>
    <s v=""/>
    <s v=""/>
    <s v="REV UNIV SOC"/>
    <s v="Rev. Univ. Soc."/>
    <s v="JUL-AUG"/>
    <n v="2023"/>
    <n v="15"/>
    <n v="4"/>
    <s v=""/>
    <s v=""/>
    <s v=""/>
    <s v=""/>
    <n v="76"/>
    <n v="84"/>
    <s v=""/>
    <s v=""/>
    <s v=""/>
    <s v=""/>
    <s v=""/>
    <n v="9"/>
    <s v="Social Sciences, Interdisciplinary"/>
    <x v="3"/>
    <s v="Social Sciences - Other Topics"/>
    <s v="W1AA1"/>
    <s v=""/>
    <s v=""/>
    <s v=""/>
    <s v=""/>
    <s v="2023-11-15"/>
    <x v="502"/>
    <s v="View Full Record in Web of Science"/>
  </r>
  <r>
    <s v="J"/>
    <s v="Nazarko, A; Fedotov, O"/>
    <s v=""/>
    <s v=""/>
    <s v=""/>
    <s v="Nazarko, Artem; Fedotov, Oleksii"/>
    <s v=""/>
    <s v=""/>
    <s v="The Power of Digitization: Transforming Ukraine's Customs Service"/>
    <s v="GLOBAL TRADE AND CUSTOMS JOURNAL"/>
    <s v=""/>
    <s v=""/>
    <s v="English"/>
    <x v="0"/>
    <s v=""/>
    <s v=""/>
    <s v=""/>
    <s v=""/>
    <s v=""/>
    <s v="customs; digital transformation; digitalization; information technology; electronic customs procedures; automation; Customs Service of Ukraine"/>
    <s v=""/>
    <s v="The article analyses the specifics of implementing the processes of digital development, digital transformation, and digitalization of the State Customs Service of Ukraine. The article scrutinizes the legal norms regulating the digital transformation of the State Customs Service of Ukraine to ensure qualitatively new, convenient, and accelerated processes of customs affairs in Ukraine. The article analyses the trend formulated at the normative level regarding the fulfilment by Ukraine of the international legal obligations of the State Customs Service of Ukraine. The article emphasizes that the implementation of relevant measures should be carried out with the help of timely corrections of national legislation. The article focuses on the fact that the world trends of digitalization set new tasks to ensure the functioning of modern, accessible, managed, and cyber-secure electronic information systems that work under the fundamental principles of customs affairs effectiveness. The article outlines the directions of further implementation of the processes of digital development, digital transformation, and digitalization of the State Customs Service of Ukraine in accordance with European and international requirements in the context of the digital strategy of the development of society. The authors conclude that a new cyber-physical system began to form due to innovations in Ukraine. All elements and participants continuously interact with each other, ensuring the constant optimization of the integrated digital system."/>
    <s v="[Nazarko, Artem] London South Bank Univ, London, England; [Nazarko, Artem] Natl Univ Odesa, Law Acad, Odesa, Ukraine; [Fedotov, Oleksii] Natl Univ Odesa, Law Acad, Customs Law, Odesa, Ukraine"/>
    <s v="London South Bank University; Ministry of Education &amp; Science of Ukraine; National University Odesa Law Academy; Ministry of Education &amp; Science of Ukraine; National University Odesa Law Academy"/>
    <s v="Nazarko, A (corresponding author), London South Bank Univ, London, England.;Nazarko, A (corresponding author), Natl Univ Odesa, Law Acad, Odesa, Ukraine."/>
    <s v="nazzarkoartem@gmail.com; fedotov_ap@ukr.net"/>
    <s v=""/>
    <s v=""/>
    <s v=""/>
    <s v=""/>
    <s v=""/>
    <s v=""/>
    <n v="32"/>
    <n v="0"/>
    <n v="0"/>
    <n v="2"/>
    <n v="2"/>
    <s v="KLUWER LAW INT"/>
    <s v="ALPHEN AAN DEN RIJN"/>
    <s v="ZUIDPOOLSINGEL 2, PO BOX 316, 2400 AH ALPHEN AAN DEN RIJN, NETHERLANDS"/>
    <s v="1569-755X"/>
    <s v="1875-6468"/>
    <s v=""/>
    <s v="GLOB TRADE CUST J"/>
    <s v="Glob. Trade Cust. J."/>
    <s v="JUL"/>
    <n v="2023"/>
    <n v="18"/>
    <s v="7-8"/>
    <s v=""/>
    <s v=""/>
    <s v=""/>
    <s v=""/>
    <n v="253"/>
    <n v="260"/>
    <s v=""/>
    <s v=""/>
    <s v=""/>
    <s v=""/>
    <s v=""/>
    <n v="8"/>
    <s v="International Relations"/>
    <x v="3"/>
    <s v="International Relations"/>
    <s v="L0WP4"/>
    <s v=""/>
    <s v=""/>
    <s v=""/>
    <s v=""/>
    <s v="2023-11-15"/>
    <x v="503"/>
    <s v="View Full Record in Web of Science"/>
  </r>
  <r>
    <s v="J"/>
    <s v="Bonfanti, A; Vigolo, V; Vannucci, V; Brunetti, F"/>
    <s v=""/>
    <s v=""/>
    <s v=""/>
    <s v="Bonfanti, Angelo; Vigolo, Vania; Vannucci, Virginia; Brunetti, Federico"/>
    <s v=""/>
    <s v=""/>
    <s v="Creating memorable shopping experiences to meet phygital customers' needs: evidence from sporting goods stores"/>
    <s v="INTERNATIONAL JOURNAL OF RETAIL &amp; DISTRIBUTION MANAGEMENT"/>
    <s v=""/>
    <s v=""/>
    <s v="English"/>
    <x v="0"/>
    <s v=""/>
    <s v=""/>
    <s v=""/>
    <s v=""/>
    <s v=""/>
    <s v="Customer experience management; In-store technology; Customer engagement; Phygital retailing; Retail store experience; Sporting goods stores"/>
    <s v="RETAIL ATMOSPHERICS; CONSUMER-BEHAVIOR; FRAMEWORK; IMPACT; MOTIVATION"/>
    <s v="PurposeThis study focuses on memorable customer shopping experience design in the sporting goods retail setting. It aims to identify the phygital customers' needs and expectations that are satisfied through in-store technologies and to detect the in-store strategies that use these technologies to make the store attractive and experiential.Design/methodology/approachThis exploratory study adopted a qualitative research methodology, specifically a multiple-case study, by performing semi-structured interviews with sporting goods store managers.FindingsSporting goods retailers use various in-store technologies to create a phygital customer shopping experience, including devices, mobile apps, wireless communication technologies, in-store activations, support devices, intelligent stations, and sensors. To improve the phygital customer journey and the phygital shopping experience, retailers meet customers' needs for utilitarian, hedonic, social, and playfulness experiences. Purely physical or digital strategies, as well as phygital strategies, are identified. This research also proposes a model of in-store phygital customer shopping experience design for sporting goods retailers.Practical implicationsSporting goods managers can invest in multiple technologies by designing a physical environment according to the customers' needs for utilitarian, hedonic, social, and playful experiences. In addition, they can improve the phygital customer shopping experience with specific push strategies that increase customer engagement and, in turn, brand and store loyalty.Originality/valueThis study highlights how the phygital customer experiential journey can be created through new technologies and improved with specific reference to the sporting goods stores."/>
    <s v="[Bonfanti, Angelo; Vigolo, Vania; Brunetti, Federico] Univ Verona, Dept Management, Verona, Italy; [Vannucci, Virginia] Univ Bologna, Dipartimento Sci Aziendali, Bologna, Italy"/>
    <s v="University of Verona; University of Bologna"/>
    <s v="Bonfanti, A (corresponding author), Univ Verona, Dept Management, Verona, Italy."/>
    <s v="angelo.bonfanti@univr.it; vania.vigolo@univr.it; v.vannucci@unibo.it; federico.brunetti@univr.it"/>
    <s v="Rau, Lea/IXW-9119-2023"/>
    <s v="BONFANTI, Angelo/0000-0002-3332-9780"/>
    <s v=""/>
    <s v=""/>
    <s v=""/>
    <s v=""/>
    <n v="51"/>
    <n v="0"/>
    <n v="0"/>
    <n v="17"/>
    <n v="17"/>
    <s v="EMERALD GROUP PUBLISHING LTD"/>
    <s v="BINGLEY"/>
    <s v="HOWARD HOUSE, WAGON LANE, BINGLEY BD16 1WA, W YORKSHIRE, ENGLAND"/>
    <s v="0959-0552"/>
    <s v="1758-6690"/>
    <s v=""/>
    <s v="INT J RETAIL DISTRIB"/>
    <s v="Int. J. Retail Distrib. Manag."/>
    <s v="JUN 30"/>
    <n v="2023"/>
    <n v="51"/>
    <n v="13"/>
    <s v=""/>
    <s v=""/>
    <s v=""/>
    <s v=""/>
    <n v="81"/>
    <n v="100"/>
    <s v=""/>
    <s v="10.1108/IJRDM-12-2021-0588"/>
    <s v="http://dx.doi.org/10.1108/IJRDM-12-2021-0588"/>
    <s v=""/>
    <s v=""/>
    <n v="20"/>
    <s v="Business; Management"/>
    <x v="0"/>
    <s v="Business &amp; Economics"/>
    <s v="K9WK6"/>
    <s v=""/>
    <s v="hybrid"/>
    <s v=""/>
    <s v=""/>
    <s v="2023-11-15"/>
    <x v="504"/>
    <s v="View Full Record in Web of Science"/>
  </r>
  <r>
    <s v="J"/>
    <s v="Soloaga, PD; Dominguez, GM; Zhou, J"/>
    <s v=""/>
    <s v=""/>
    <s v=""/>
    <s v="Soloaga, Paloma Diaz; Dominguez, Gemma Munoz; Zhou, Jing"/>
    <s v=""/>
    <s v=""/>
    <s v="Legacy transmission through fashion films: Visual and narrative brand heritage integration"/>
    <s v="JOURNAL OF GLOBAL FASHION MARKETING"/>
    <s v=""/>
    <s v=""/>
    <s v="English"/>
    <x v="0"/>
    <s v=""/>
    <s v=""/>
    <s v=""/>
    <s v=""/>
    <s v=""/>
    <s v="Brand heritage; communication; digital strategy; fashion film; luxury brand"/>
    <s v="COMMUNICATION; OUTCOMES"/>
    <s v="On this research, we analyze how fashion houses transmit the spirit of the brands, convey the values that constitute their identity and show their heritage through fashion films. High end luxury brands with a long heritage such as Dior and Chanel, use audiovisual narratives fashion films, a form of visual and artistic communication, where the content establishes an emotional relationship between brand and customers and recreates the origins of the brand. Authors primarily selected, classified, and analyzed all fashion films that Chanel and Dior had published on YouTube, and then study a series of representative samples selected from all those contents created by fashion brands. Based on the number of views, likes and comments of each video, it is possible to see the interaction between the brand and the audience and the engagement among the different fashion films. It also delves into the key of the brand to unearth the inheritance and tradition of its origin, trying to record the history of Maison to reach a wider audience and convey a series of values to new digital consumers. The combination of heritage and vitality through digital activities is oriented to deliver values that have a significant impact on the audience."/>
    <s v="[Soloaga, Paloma Diaz; Dominguez, Gemma Munoz; Zhou, Jing] Univ Complutense Madrid, Madrid, Spain"/>
    <s v="Complutense University of Madrid"/>
    <s v="Soloaga, PD (corresponding author), Univ Complutense Madrid, Madrid, Spain."/>
    <s v="pdiaz@ucm.es"/>
    <s v=""/>
    <s v="ZHOU, JING/0009-0000-4307-5924; Munoz Dominguez, Gemma/0000-0003-0854-5534; Diaz Soloaga, Paloma/0000-0003-1798-1768"/>
    <s v=""/>
    <s v=""/>
    <s v=""/>
    <s v=""/>
    <n v="31"/>
    <n v="0"/>
    <n v="0"/>
    <n v="4"/>
    <n v="4"/>
    <s v="TAYLOR &amp; FRANCIS LTD"/>
    <s v="ABINGDON"/>
    <s v="2-4 PARK SQUARE, MILTON PARK, ABINGDON OR14 4RN, OXON, ENGLAND"/>
    <s v="2093-2685"/>
    <s v="2325-4483"/>
    <s v=""/>
    <s v="J GLOB FASH MARK"/>
    <s v="J. Glob. Fash. Mark."/>
    <s v="OCT 2"/>
    <n v="2023"/>
    <n v="14"/>
    <n v="4"/>
    <s v=""/>
    <s v=""/>
    <s v="SI"/>
    <s v=""/>
    <n v="429"/>
    <n v="448"/>
    <s v=""/>
    <s v="10.1080/20932685.2023.2214164"/>
    <s v="http://dx.doi.org/10.1080/20932685.2023.2214164"/>
    <s v=""/>
    <s v="JUN 2023"/>
    <n v="20"/>
    <s v="Business"/>
    <x v="3"/>
    <s v="Business &amp; Economics"/>
    <s v="R8TW2"/>
    <s v=""/>
    <s v=""/>
    <s v=""/>
    <s v=""/>
    <s v="2023-11-15"/>
    <x v="505"/>
    <s v="View Full Record in Web of Science"/>
  </r>
  <r>
    <s v="J"/>
    <s v="Dittrich, F; Albrecht, UV"/>
    <s v=""/>
    <s v=""/>
    <s v=""/>
    <s v="Dittrich, Florian; Albrecht, Urs-Vito"/>
    <s v=""/>
    <s v=""/>
    <s v="Secure app usage-Evaluation benchmarks for medical apps Quality aspects for health apps based on 9 key criteria"/>
    <s v="ORTHOPADIE"/>
    <s v=""/>
    <s v=""/>
    <s v="German"/>
    <x v="2"/>
    <s v=""/>
    <s v=""/>
    <s v=""/>
    <s v=""/>
    <s v=""/>
    <s v="Consensus development; Data security; Mobile apps; Risk-benefit assessment; Smartphone"/>
    <s v=""/>
    <s v="Smartphones and health apps are an integral part of everyday life. They are increasingly being used for medical purposes. However, there is no fundamental basis or consensus on the evidence on which decisions are made towards a unified digital strategy. Consequently, the understanding of the quality of health apps is only inconsistent and fuzzily defined. The 9 quality criteria presented by the Association of Medical Societies (AWMF)-transparency, appropriateness, risk appropriateness, ethical harmlessness, legal conformity, content validity, technical appropriateness, usability, resource efficiency-serve as a guide for individual and institutionalized quality assessment. The principles are based on a comprehensive compilation of existing (inter-) national standards and evaluation benchmarks. Analogously to usual medical practice, it is also obligatory to conduct one's own research for a suitable app and to weigh up the risks and benefits when using an app."/>
    <s v="[Dittrich, Florian] Gelenkzentrum Berg Land, Remscheid, Germany; [Dittrich, Florian] Univ Saarland, Klin Orthopadie &amp; Orthopad Chirurg, Homburg, Germany; [Dittrich, Florian; Albrecht, Urs-Vito] Univ Bielefeld, Med Fak OWL, AG 4 Digitale Med, Bielefeld, Germany"/>
    <s v="Saarland University; University of Bielefeld"/>
    <s v="Dittrich, F (corresponding author), Univ Bielefeld, Med Fak OWL, AG 4 Digitale Med, Bielefeld, Germany."/>
    <s v="dittrich@gelenkzentrum-bergischland.de"/>
    <s v=""/>
    <s v=""/>
    <s v=""/>
    <s v=""/>
    <s v=""/>
    <s v=""/>
    <n v="25"/>
    <n v="0"/>
    <n v="0"/>
    <n v="0"/>
    <n v="0"/>
    <s v="SPRINGER"/>
    <s v="NEW YORK"/>
    <s v="ONE NEW YORK PLAZA, SUITE 4600, NEW YORK, NY, UNITED STATES"/>
    <s v="2731-7145"/>
    <s v="2731-7153"/>
    <s v=""/>
    <s v="ORTHOPADIE"/>
    <s v="Orthopadie"/>
    <s v="2023 JUN 22"/>
    <n v="2023"/>
    <s v=""/>
    <s v=""/>
    <s v=""/>
    <s v=""/>
    <s v=""/>
    <s v=""/>
    <s v=""/>
    <s v=""/>
    <s v=""/>
    <s v="10.1007/s00132-023-04395-1"/>
    <s v="http://dx.doi.org/10.1007/s00132-023-04395-1"/>
    <s v=""/>
    <s v="JUN 2023"/>
    <n v="8"/>
    <s v="Orthopedics"/>
    <x v="2"/>
    <s v="Orthopedics"/>
    <s v="K9BK3"/>
    <n v="37347272"/>
    <s v=""/>
    <s v=""/>
    <s v=""/>
    <s v="2023-11-15"/>
    <x v="506"/>
    <s v="View Full Record in Web of Science"/>
  </r>
  <r>
    <s v="J"/>
    <s v="Kiernan, A; Boland, F; Moneley, D; Doyle, F; Harkin, DW"/>
    <s v=""/>
    <s v=""/>
    <s v=""/>
    <s v="Kiernan, Aoife; Boland, Fiona; Moneley, Daragh; Doyle, Frank; Harkin, Denis W."/>
    <s v=""/>
    <s v=""/>
    <s v="Varicose Vein Education and Informed coNsent (VVEIN) study: a randomised controlled pilot feasibility study"/>
    <s v="PILOT AND FEASIBILITY STUDIES"/>
    <s v=""/>
    <s v=""/>
    <s v="English"/>
    <x v="0"/>
    <s v=""/>
    <s v=""/>
    <s v=""/>
    <s v=""/>
    <s v=""/>
    <s v="Consent; Digital consent; Health education tool; Endovenous thermal ablation; Vascular surgery; Venous disease"/>
    <s v="SHARED DECISION-MAKING; VASCULAR-SURGERY; SURGICAL-PROCEDURES; PATIENT; CLAIMS; CARE; RECOMMENDATIONS; ABLATION; SIZE"/>
    <s v="Introduction Doctors have a legal requirement and duty of care to ensure patients are enabled to make an informed decision about their treatment, including discussion of the benefits, risks and alternatives to a procedure. A patient-centred approach to consent has been firmly established in Ireland, and fundamental to this is the ability to engage in a dialogue that offers comprehensible information to patients. Telemedicine has revolutionised the way we can deliver care to patients in the modern era of computers, tablets, and smartphones, and its use has been rapidly expanded. Novel digital strategies to improve the informed consent process for surgical procedures have been increasingly under investigation over the last 10-15 years and may offer a low cost, accessible and tailored solution to consent for surgical interventions. Within vascular surgery, superficial venous interventions have been associated with a high number medicolegal claims and also represents an area within the specialty with rapidly evolving technology and techniques. The ability to communicate comprehensible information to patients has never been greater. Thus, the author's aim is to explore whether it is feasible and acceptable to deliver a digital health education intervention to patients undergoing endovenous thermal ablation (EVTA) to supplement the consent process. Methods This is a prospective, single centre, randomised controlled, feasibility trial recruiting patients with chronic venous disease deemed suitable to undergo EVTA. Patients will be randomised to receive either standard consent (SC) or a newly developed digital health education tool (dHET). The primary outcome is feasibility; assessing the recruitment and retention rate of participants and assessing acceptability of the intervention. Secondary outcomes include knowledge retention, anxiety and satisfaction. This feasibility trial is designed to recruit 40 patients, which will allow for a moderate dropout rate. This pilot study will inform the authors of the appropriateness of an adequately powered multicentre trial. Discussion To examine the role of a digital consent solution for EVTA. This may improve and standardise the consent dialogue with patients and may have the potential to reduce claims related to poor consent processes and disclosure of risks. Ethical committee reference Ethical approval has been sought and received from both the Bon Secours Hospital and RCSI (202109017), on 14 May 2021 and 10 October 2021, respectively. Trial registration ClinicalTrials.gov Identifier: NCT05261412, registered on 1 March 2022"/>
    <s v="[Kiernan, Aoife; Harkin, Denis W.] Royal Coll Surg, Strateg Acad Res StAR Programme, Dublin, Ireland; [Kiernan, Aoife; Moneley, Daragh; Harkin, Denis W.] Bon Secours Hlth Syst, Dept Vasc Surg, Dublin, Ireland; [Boland, Fiona] RCSI Univ Med &amp; Hlth Sci, Data Sci Ctr, Sch Populat Hlth, Dublin, Ireland; [Moneley, Daragh] Beaumont Hosp, Dept Vasc Surg, Dublin, Ireland; [Doyle, Frank] RCSI Univ Med &amp; Hlth Sci, Sch Populat Hlth, Dept Hlth Psychol, Dublin, Ireland; [Harkin, Denis W.] RCSI Univ Med &amp; Hlth Sci, Dept Med Professionalism, Dublin, Ireland"/>
    <s v="Royal College of Surgeons - Ireland"/>
    <s v="Kiernan, A (corresponding author), Royal Coll Surg, Strateg Acad Res StAR Programme, Dublin, Ireland.;Kiernan, A (corresponding author), Bon Secours Hlth Syst, Dept Vasc Surg, Dublin, Ireland."/>
    <s v="aoifekiernan.ak@gmail.com"/>
    <s v=""/>
    <s v="Harkin, Denis/0000-0002-4701-8350"/>
    <s v="Bon Secours Health System (Ireland) [DC21139A01]"/>
    <s v="Bon Secours Health System (Ireland)"/>
    <s v="EIDOTM healthcare will be providing the consent suite free of charge (co-designed with AK, primary investigator), for the duration of the trial. EIDO have no involvement in the design or running of this feasibility study.The Royal College of Surgeons in Ireland, Strategic Academic Research (StAR) programme together with the Bon Secours Health System (Ireland) are sponsoring this study through a research grant DC21139A01"/>
    <s v=""/>
    <n v="47"/>
    <n v="0"/>
    <n v="0"/>
    <n v="0"/>
    <n v="0"/>
    <s v="BMC"/>
    <s v="LONDON"/>
    <s v="CAMPUS, 4 CRINAN ST, LONDON N1 9XW, ENGLAND"/>
    <s v=""/>
    <s v="2055-5784"/>
    <s v=""/>
    <s v="PILOT FEASIBILITY ST"/>
    <s v="Pilot Feasibility Stud."/>
    <s v="JUN 22"/>
    <n v="2023"/>
    <n v="9"/>
    <n v="1"/>
    <s v=""/>
    <s v=""/>
    <s v=""/>
    <s v=""/>
    <s v=""/>
    <s v=""/>
    <n v="104"/>
    <s v="10.1186/s40814-023-01336-9"/>
    <s v="http://dx.doi.org/10.1186/s40814-023-01336-9"/>
    <s v=""/>
    <s v=""/>
    <n v="10"/>
    <s v="Medicine, Research &amp; Experimental"/>
    <x v="3"/>
    <s v="Research &amp; Experimental Medicine"/>
    <s v="K7UU7"/>
    <n v="37349825"/>
    <s v="gold, Green Published"/>
    <s v=""/>
    <s v=""/>
    <s v="2023-11-15"/>
    <x v="507"/>
    <s v="View Full Record in Web of Science"/>
  </r>
  <r>
    <s v="J"/>
    <s v="Gaynor, SW; Gimpel, JG"/>
    <s v=""/>
    <s v=""/>
    <s v=""/>
    <s v="Gaynor, SoRelle W.; Gimpel, James G."/>
    <s v=""/>
    <s v=""/>
    <s v="Building Support Through the Personalization of Twitter Messages in a Permanent Campaign"/>
    <s v="AMERICAN POLITICS RESEARCH"/>
    <s v=""/>
    <s v=""/>
    <s v="English"/>
    <x v="0"/>
    <s v=""/>
    <s v=""/>
    <s v=""/>
    <s v=""/>
    <s v=""/>
    <s v="political campaigns; social media; digital strategy; twitter; incumbency"/>
    <s v="SOCIAL MEDIA; CANDIDATES USE; INTERACTIVITY; ORIENTATION; EXTREMISTS; KNOWLEDGE; AGE"/>
    <s v="Not all aspects of a campaign are issue-oriented, nor are many voters. A candidate builds mass support largely by appearing warm, friendly, and likable, not only by propagating their viewpoints on controversial issues. Based on a prominent candidate's Twitter accounts and the associated analytics, our research analyzes the online content and reaction to every post across a four-year period, both before and after a major general election. Twitter's analytic measures demonstrate how a campaign uses social media to accomplish very different outreach goals. Warm and non-politically oriented messages attract broad support in the form of audience likes but are not retweeted with as much frequency as messages that are less liked but more politically pointed. The undeniable popularity of personal, earnest messages underscores the power of the social media platform to present candidates in an approachable and convivial way, despite the necessity of taking positions on difficult issues."/>
    <s v="[Gaynor, SoRelle W.] Coll Holy Cross, Dept Polit Sci, Worcester, MA USA; [Gimpel, James G.] Univ Maryland, Dept Govt &amp; Polit, College Pk, MD USA; [Gimpel, James G.] Univ Maryland, Dept Govt &amp; Polit, 3140 Tydings Hall, College Pk, MD 20742 USA"/>
    <s v="College of the Holy Cross; University System of Maryland; University of Maryland College Park; University System of Maryland; University of Maryland College Park"/>
    <s v="Gimpel, JG (corresponding author), Univ Maryland, Dept Govt &amp; Polit, 3140 Tydings Hall, College Pk, MD 20742 USA."/>
    <s v="jgimpel@gvpt.umd.edu"/>
    <s v=""/>
    <s v=""/>
    <s v=""/>
    <s v=""/>
    <s v=""/>
    <s v=""/>
    <n v="88"/>
    <n v="0"/>
    <n v="0"/>
    <n v="6"/>
    <n v="6"/>
    <s v="SAGE PUBLICATIONS INC"/>
    <s v="THOUSAND OAKS"/>
    <s v="2455 TELLER RD, THOUSAND OAKS, CA 91320 USA"/>
    <s v="1532-673X"/>
    <s v="1552-3373"/>
    <s v=""/>
    <s v="AM POLIT RES"/>
    <s v="Am. Polit. Res."/>
    <s v="SEP"/>
    <n v="2023"/>
    <n v="51"/>
    <n v="5"/>
    <s v=""/>
    <s v=""/>
    <s v=""/>
    <s v=""/>
    <n v="570"/>
    <n v="587"/>
    <s v=""/>
    <s v="10.1177/1532673X231184434"/>
    <s v="http://dx.doi.org/10.1177/1532673X231184434"/>
    <s v=""/>
    <s v="JUN 2023"/>
    <n v="18"/>
    <s v="Political Science"/>
    <x v="0"/>
    <s v="Government &amp; Law"/>
    <s v="Q7HZ6"/>
    <s v=""/>
    <s v=""/>
    <s v=""/>
    <s v=""/>
    <s v="2023-11-15"/>
    <x v="508"/>
    <s v="View Full Record in Web of Science"/>
  </r>
  <r>
    <s v="J"/>
    <s v="Lestari, D; Ma, SG; Jun, AL"/>
    <s v=""/>
    <s v=""/>
    <s v=""/>
    <s v="Lestari, Diyan; Ma, Shiguang; Jun, Aelee"/>
    <s v=""/>
    <s v=""/>
    <s v="Enhancing bank stability from diversification and digitalization perspective in ASEAN"/>
    <s v="STUDIES IN ECONOMICS AND FINANCE"/>
    <s v=""/>
    <s v=""/>
    <s v="English"/>
    <x v="0"/>
    <s v=""/>
    <s v=""/>
    <s v=""/>
    <s v=""/>
    <s v=""/>
    <s v="Diversification; Digitalization; Stability"/>
    <s v="INCOME DIVERSIFICATION; PANEL-DATA; REVENUE DIVERSIFICATION; RISK EVIDENCE; MARKET POWER; COMPETITION; BUSINESS; IMPACT; PERFORMANCE; TECHNOLOGY"/>
    <s v="PurposeThe financial sector's resilience is associated with greater prosperity and a better average income. Banks have evolved their business model and diversified their sources of income, and bank digitalization has become one of the prominent strategies. The purpose of this study is to examine how bank service expansion represented by revenue diversification activities and digital strategy will enhance bank stability in ASEAN countries from 2010 to 2021. Design/methodology/approachThis study uses information from the Datastream database and banks' annual reports to measure bank stability, diversification and market power, which also provide information for bank digital strategy. This study uses the two-step system generalized method of moments to investigate the effect of diversification and digitalization on bank stability in ASEAN. FindingsThe results of this study show that bank revenue diversification has no effect on bank stability, and the presence of the chief digital officer and digital disclosure improves banks' stability. However, alliance strategy with financial technology companies does not significantly impact bank stability and might increase bank risk. Practical implicationsThe findings of this study provide relevant policy implications: the regulation should support bank business to diversify the source of income; regulators and policymakers should regulate and enhance the Information and Communication Technology infrastructure; and banks should design their strategy comprehensively. Originality/valueThis study provides new evidence of the essential role of digital strategy in enhancing bank stability in ASEAN. In addition, this study also shows how banks diversify their business in a competitive environment."/>
    <s v="[Lestari, Diyan; Ma, Shiguang; Jun, Aelee] Univ Wollongong, Sch Business, Wollongong, Australia; [Lestari, Diyan] Inst Teknol &amp; Bisnis Kalbis, Fac Business &amp; Commun, Jakarta, Indonesia"/>
    <s v="University of Wollongong"/>
    <s v="Lestari, D (corresponding author), Univ Wollongong, Sch Business, Wollongong, Australia.;Lestari, D (corresponding author), Inst Teknol &amp; Bisnis Kalbis, Fac Business &amp; Commun, Jakarta, Indonesia."/>
    <s v="diyan.lestari@kalbis.ac.id; shiguang@uow.edu.au; ajun@uow.edu.au"/>
    <s v=""/>
    <s v="ma, shiguang/0000-0003-4510-4236"/>
    <s v=""/>
    <s v=""/>
    <s v=""/>
    <s v=""/>
    <n v="77"/>
    <n v="0"/>
    <n v="0"/>
    <n v="2"/>
    <n v="2"/>
    <s v="EMERALD GROUP PUBLISHING LTD"/>
    <s v="BINGLEY"/>
    <s v="HOWARD HOUSE, WAGON LANE, BINGLEY BD16 1WA, W YORKSHIRE, ENGLAND"/>
    <s v="1086-7376"/>
    <s v="1755-6791"/>
    <s v=""/>
    <s v="STUD ECON FINANC"/>
    <s v="Stud. Econ. Financ."/>
    <s v="AUG 22"/>
    <n v="2023"/>
    <n v="40"/>
    <n v="4"/>
    <s v=""/>
    <s v=""/>
    <s v="SI"/>
    <s v=""/>
    <n v="606"/>
    <n v="624"/>
    <s v=""/>
    <s v="10.1108/SEF-12-2022-0554"/>
    <s v="http://dx.doi.org/10.1108/SEF-12-2022-0554"/>
    <s v=""/>
    <s v="JUN 2023"/>
    <n v="19"/>
    <s v="Business, Finance"/>
    <x v="3"/>
    <s v="Business &amp; Economics"/>
    <s v="P4QX4"/>
    <s v=""/>
    <s v=""/>
    <s v=""/>
    <s v=""/>
    <s v="2023-11-15"/>
    <x v="509"/>
    <s v="View Full Record in Web of Science"/>
  </r>
  <r>
    <s v="J"/>
    <s v="Aspiranti, T; Ali, Q; Amaliah, I"/>
    <s v=""/>
    <s v=""/>
    <s v=""/>
    <s v="Aspiranti, Tasya; Ali, Qaisar; Amaliah, Ima"/>
    <s v=""/>
    <s v=""/>
    <s v="Big Data Analytics to Support Open Innovation Strategies in Banks"/>
    <s v="RISKS"/>
    <s v=""/>
    <s v=""/>
    <s v="English"/>
    <x v="0"/>
    <s v=""/>
    <s v=""/>
    <s v=""/>
    <s v=""/>
    <s v=""/>
    <s v="open innovation; big data analytics; strategic resources; digital strategy; financial sector"/>
    <s v="RESEARCH-AND-DEVELOPMENT; MANAGEMENT CAPABILITY; DYNAMIC CAPABILITIES; FINANCIAL OPENNESS; SERVICE INNOVATION; BUSINESS PROCESSES; PARTNER SELECTION; FIRM RESOURCES; HUMAN SIDE; PERFORMANCE"/>
    <s v="Today's dynamic business environment has pushed service-oriented firms such as banks to collaborate with external partners through open innovation (OI) to address issues of service differentiation, optimize customer experience, and create effective open innovation strategies (OIS). However, the essential elements required to design OIS and the methods to manage these strategies are missing. Therefore, this study aims to investigate the strategic resources essential to creating OIS and identify the tools to manage these resources. Following the fundamentals of the resource-based view (RBV), bank openness (BOP), selection of external partners (SEP), open innovation methods (OIM), formalizing collaboration processes (FCP), and banks' internal practices (BIP) are identified as the strategic elements required for creating OIS, and the role of big data analytics (BDA) in these strategic resources is examined. The data were collected through a survey questionnaire from 425 bank executives employed at different digital banks located in Malaysia. To achieve our research objectives, a quantitative deductive research design was employed and the collected data were processed in WarPLS using the structural equation modeling (SEM) technique to test the research hypotheses of this study. The empirical results reveal that BDA has a significant positive impact on BOP, SEP, and FCP, whereas OIM and BIP have an insignificant positive impact. The findings of this study contribute to designing a robust digital strategy to enhance the banking sector's contribution to the development of financial industries in developing countries by employing BDA as a major strategic policy tool of OIS"/>
    <s v="[Aspiranti, Tasya; Ali, Qaisar; Amaliah, Ima] Univ Islam Bandung, Fac Econ &amp; Business, Bandung 40116, Indonesia"/>
    <s v=""/>
    <s v="Aspiranti, T (corresponding author), Univ Islam Bandung, Fac Econ &amp; Business, Bandung 40116, Indonesia."/>
    <s v="tasya@unisba.ac.id; qaisarali@unisba.ac.id; ima@unisba.ac.id"/>
    <s v=""/>
    <s v="Ali, Qaisar/0000-0002-6825-650X"/>
    <s v=""/>
    <s v=""/>
    <s v=""/>
    <s v=""/>
    <n v="125"/>
    <n v="0"/>
    <n v="0"/>
    <n v="5"/>
    <n v="5"/>
    <s v="MDPI"/>
    <s v="BASEL"/>
    <s v="ST ALBAN-ANLAGE 66, CH-4052 BASEL, SWITZERLAND"/>
    <s v=""/>
    <s v="2227-9091"/>
    <s v=""/>
    <s v="RISKS"/>
    <s v="Risks"/>
    <s v="JUN"/>
    <n v="2023"/>
    <n v="11"/>
    <n v="6"/>
    <s v=""/>
    <s v=""/>
    <s v=""/>
    <s v=""/>
    <s v=""/>
    <s v=""/>
    <n v="106"/>
    <s v="10.3390/risks11060106"/>
    <s v="http://dx.doi.org/10.3390/risks11060106"/>
    <s v=""/>
    <s v=""/>
    <n v="23"/>
    <s v="Business, Finance"/>
    <x v="3"/>
    <s v="Business &amp; Economics"/>
    <s v="K3YZ7"/>
    <s v=""/>
    <s v="gold"/>
    <s v=""/>
    <s v=""/>
    <s v="2023-11-15"/>
    <x v="510"/>
    <s v="View Full Record in Web of Science"/>
  </r>
  <r>
    <s v="J"/>
    <s v="Bursic, E; Golja, T; Benassi, HM"/>
    <s v=""/>
    <s v=""/>
    <s v=""/>
    <s v="Bursic, Edgar; Golja, Tea; Benassi, Hermina Maras"/>
    <s v=""/>
    <s v=""/>
    <s v="ANALYSIS OF CROATIAN PUBLIC MUSEUMS' DIGITAL INITIATIVES AMID COVID-19 AND RECOMMENDATIONS FOR MUSEUM MANAGEMENT AND GOVERNANCE"/>
    <s v="MANAGEMENT-JOURNAL OF CONTEMPORARY MANAGEMENT ISSUES"/>
    <s v=""/>
    <s v=""/>
    <s v="English"/>
    <x v="0"/>
    <s v=""/>
    <s v=""/>
    <s v=""/>
    <s v=""/>
    <s v=""/>
    <s v="museum management and governance; digitisation; digital strategies; innovative museum experiences; digital transformation"/>
    <s v="TOURISM"/>
    <s v="The COVID-19 pandemic has presented challenges for public museums in Croatia. This study examines how museum management and professionals have responded to the closure of museums during the pandemic by exploring digital initiatives and online engagement with remote audiences. The authors analysed data from 162 Croatian museums registered in the Museum Documentation Centre in Zagreb to investigate the relationship between socioeconomic and demographic indicators and museums' digital activities using multiple regression analysis. The findings revealed that half of the museums in the sample were active online, with social media being a commonly used platform. Interestingly, museums with a stronger online presence, lower regional unemployment rates, and a lower tourism development index were more likely to engage in activities during the pandemic. The authors conclude with recommendations for museum management and governance to embrace digital acceleration and adapt to the digital age. The study findings hold significant relevance for museums preparing for future pandemics or crises as they highlight the importance of digital initiatives and online presence in ensuring continued engagement with audiences during periods of closure. By leveraging digital tools and platforms, museums can overcome physical limitations and effectively reach remote audiences, thereby enhancing their resilience and adaptability in times of crisis. This study contributes to the understanding of museums' digital transformation in response to the COVID-19 pandemic and provides valuable insights for museum practitioners, policy-makers, and researchers to shape future strategies. Further research could explore the long-term impacts of digital initiatives on museums' sustainability and visitor engagement beyond the pandemic context."/>
    <s v="[Bursic, Edgar] Juraj Dobrila Univ Pula, Fac Humanities, Ronjgova 1, Pula 52100, Croatia; [Golja, Tea] Juraj Dobrila Univ Pula, Fac Econ &amp; Tourism Dr Mijo Mirkov, Preradoviceva 1-1, Pula 52100, Croatia; [Benassi, Hermina Maras] Univ Primorska, Fac Tourism Studies Turist, Obala 11a, Portoroz 6320, Slovenia"/>
    <s v="University of Juraj Dobrila Pula; University of Juraj Dobrila Pula; University of Primorska"/>
    <s v="Golja, T (corresponding author), Juraj Dobrila Univ Pula, Fac Econ &amp; Tourism Dr Mijo Mirkov, Preradoviceva 1-1, Pula 52100, Croatia."/>
    <s v="edgar.bursic@unipu.hr; tea.golja@unipu.hr; hermina.maras@yahoo.com"/>
    <s v=""/>
    <s v="Golja, Tea/0000-0003-3665-8181; Bursic, Edgar/0000-0001-7664-4804; Maras Benassi, Hermina/0000-0003-4606-5427"/>
    <s v=""/>
    <s v=""/>
    <s v=""/>
    <s v=""/>
    <n v="73"/>
    <n v="0"/>
    <n v="0"/>
    <n v="5"/>
    <n v="5"/>
    <s v="UNIV SPLIT, FAC ECONOMICS"/>
    <s v="SPLIT"/>
    <s v="MATICE HRVATSKE 31, SPLIT, 21000, CROATIA"/>
    <s v="1331-0194"/>
    <s v="1846-3363"/>
    <s v=""/>
    <s v="MANAG-J CONTEMP MANA"/>
    <s v="Manag.-J. Contemp. Manag. Issues"/>
    <s v="JUN"/>
    <n v="2023"/>
    <n v="28"/>
    <n v="1"/>
    <s v=""/>
    <s v=""/>
    <s v=""/>
    <s v=""/>
    <n v="211"/>
    <n v="226"/>
    <s v=""/>
    <s v="10.30924/mjcmi.28.1.14"/>
    <s v="http://dx.doi.org/10.30924/mjcmi.28.1.14"/>
    <s v=""/>
    <s v=""/>
    <n v="16"/>
    <s v="Management"/>
    <x v="3"/>
    <s v="Business &amp; Economics"/>
    <s v="L4EQ7"/>
    <s v=""/>
    <s v="gold"/>
    <s v=""/>
    <s v=""/>
    <s v="2023-11-15"/>
    <x v="511"/>
    <s v="View Full Record in Web of Science"/>
  </r>
  <r>
    <s v="J"/>
    <s v="Ren, CM; Lin, XX"/>
    <s v=""/>
    <s v=""/>
    <s v=""/>
    <s v="Ren, Changman; Lin, Xiaoxing"/>
    <s v=""/>
    <s v=""/>
    <s v="Research on digital spillover effect of internet enterprises - an exploratory study based on grounded theory"/>
    <s v="APPLIED ECONOMICS"/>
    <s v=""/>
    <s v=""/>
    <s v="English"/>
    <x v="2"/>
    <s v=""/>
    <s v=""/>
    <s v=""/>
    <s v=""/>
    <s v=""/>
    <s v="Digital spillover; grounded theory; internet enterprises; digital strategy"/>
    <s v="SUPPLY CHAIN; TRANSFORMATION; CAPABILITIES; INNOVATION; STRATEGY; THINGS; SMART"/>
    <s v="In the wave of digital change, identifying the digital spillover effect of the Internet industry plays a vital role in promoting high-quality economic development. There is still a lack of academic discussion on the connotation of digital spillover of internet enterprises and a lack of shared understanding of the digital spillover effect dimension. This study comprehensively reviews the annual reports and analysis reports of internet enterprises, studies 50 internet enterprises' textual data through theoretical methods, and explores and constructs a complete set of internet enterprises' digital spillover effects model through the process of 'input-process-output'. The study finds that the digital spillover effect of internet enterprises is divided into five dimensions: digital production elements, digital practices, improving internal competitiveness, improving external competitiveness, and improving supply chain efficiency. Digital production elements are the production conditions of digital spillover of internet enterprises, digital practices are the practical actions of digital spillover of internet enterprises, and improving internal and external competitiveness as well as supply chain efficiency are the results of digital spillover of internet enterprises. This study enriches the theoretical framework related to the effect of digital spillover of internet enterprises and provides help to accelerate the promotion of digital practices of enterprises."/>
    <s v="[Ren, Changman] Ningde Normal Univ, Dept Business Adm, Ningde, Peoples R China; [Lin, Xiaoxing] Wuhan Univ Technol, Dept Business Adm, Wuhan, Peoples R China"/>
    <s v="Ningde Normal University; Wuhan University of Technology"/>
    <s v="Lin, XX (corresponding author), Wuhan Univ Technol, Dept Business Adm, Wuhan, Peoples R China."/>
    <s v="1020445267@qq.com"/>
    <s v=""/>
    <s v=""/>
    <s v=""/>
    <s v=""/>
    <s v=""/>
    <s v=""/>
    <n v="48"/>
    <n v="0"/>
    <n v="0"/>
    <n v="20"/>
    <n v="20"/>
    <s v="ROUTLEDGE JOURNALS, TAYLOR &amp; FRANCIS LTD"/>
    <s v="ABINGDON"/>
    <s v="2-4 PARK SQUARE, MILTON PARK, ABINGDON OX14 4RN, OXON, ENGLAND"/>
    <s v="0003-6846"/>
    <s v="1466-4283"/>
    <s v=""/>
    <s v="APPL ECON"/>
    <s v="Appl. Econ."/>
    <s v="2023 MAY 29"/>
    <n v="2023"/>
    <s v=""/>
    <s v=""/>
    <s v=""/>
    <s v=""/>
    <s v=""/>
    <s v=""/>
    <s v=""/>
    <s v=""/>
    <s v=""/>
    <s v="10.1080/00036846.2023.2216439"/>
    <s v="http://dx.doi.org/10.1080/00036846.2023.2216439"/>
    <s v=""/>
    <s v="MAY 2023"/>
    <n v="15"/>
    <s v="Economics"/>
    <x v="0"/>
    <s v="Business &amp; Economics"/>
    <s v="H4VU6"/>
    <s v=""/>
    <s v=""/>
    <s v=""/>
    <s v=""/>
    <s v="2023-11-15"/>
    <x v="512"/>
    <s v="View Full Record in Web of Science"/>
  </r>
  <r>
    <s v="J"/>
    <s v="Borrero, JD; Borrero-Domínguez, JD"/>
    <s v=""/>
    <s v=""/>
    <s v=""/>
    <s v="Borrero, Juan D.; Borrero-Dominguez, Juan-Diego"/>
    <s v=""/>
    <s v=""/>
    <s v="Enhancing Short-Term Berry Yield Prediction for Small Growers Using a Novel Hybrid Machine Learning Model"/>
    <s v="HORTICULTURAE"/>
    <s v=""/>
    <s v=""/>
    <s v="English"/>
    <x v="0"/>
    <s v=""/>
    <s v=""/>
    <s v=""/>
    <s v=""/>
    <s v=""/>
    <s v="time series; nonlinear autoregressive neural networks; support vector regression; Kalman filter; digital marketing strategies; supply chain management; supply forecasting; horticultural industry"/>
    <s v="TIME-SERIES; ORDER FULFILLMENT; NEURAL-NETWORK; BIG DATA; DEMAND; ARIMA; PRICE; GREENHOUSE; FORECAST; PAKISTAN"/>
    <s v="This study presents a novel hybrid model that combines two different algorithms to increase the accuracy of short-term berry yield prediction using only previous yield data. The model integrates both autoregressive integrated moving average (ARIMA) with Kalman filter refinement and neural network techniques, specifically support vector regression (SVR), and nonlinear autoregressive (NAR) neural networks, to improve prediction accuracy by correcting the errors generated by the system. In order to enhance the prediction performance of the ARIMA model, an innovative method is introduced that reduces randomness and incorporates only observed variables and system errors into the state-space system. The results indicate that the proposed hybrid models exhibit greater accuracy in predicting weekly production, with a goodness-of-fit value above 0.95 and lower root mean square error (RMSE) and mean absolute error (MAE) values compared with non-hybrid models. The study highlights several implications, including the potential for small growers to use digital strategies that offer crop forecasts to increase sales and promote loyalty in relationships with large food retail chains. Additionally, accurate yield forecasting can help berry growers plan their production schedules and optimize resource use, leading to increased efficiency and profitability. The proposed model may serve as a valuable information source for European food retailers, enabling growers to form strategic alliances with their customers."/>
    <s v="[Borrero, Juan D.] Univ Huelva, Dept Management &amp; Mkt, Pza Merced S-N, Huelva 21002, Spain; [Borrero-Dominguez, Juan-Diego] Univ Huelva, Agr Econ Res Grp, Pza Merced S-N, Huelva 21002, Spain"/>
    <s v="Universidad de Huelva; Universidad de Huelva"/>
    <s v="Borrero, JD (corresponding author), Univ Huelva, Dept Management &amp; Mkt, Pza Merced S-N, Huelva 21002, Spain."/>
    <s v="jdiego@uhu.es"/>
    <s v="Borrero-Sanchez, Juan Diego/K-5943-2017"/>
    <s v="Borrero-Sanchez, Juan Diego/0000-0003-0219-2539"/>
    <s v=""/>
    <s v=""/>
    <s v=""/>
    <s v=""/>
    <n v="130"/>
    <n v="0"/>
    <n v="0"/>
    <n v="7"/>
    <n v="7"/>
    <s v="MDPI"/>
    <s v="BASEL"/>
    <s v="ST ALBAN-ANLAGE 66, CH-4052 BASEL, SWITZERLAND"/>
    <s v=""/>
    <s v="2311-7524"/>
    <s v=""/>
    <s v="HORTICULTURAE"/>
    <s v="Horticulturae"/>
    <s v="MAY 3"/>
    <n v="2023"/>
    <n v="9"/>
    <n v="5"/>
    <s v=""/>
    <s v=""/>
    <s v=""/>
    <s v=""/>
    <s v=""/>
    <s v=""/>
    <n v="549"/>
    <s v="10.3390/horticulturae9050549"/>
    <s v="http://dx.doi.org/10.3390/horticulturae9050549"/>
    <s v=""/>
    <s v=""/>
    <n v="18"/>
    <s v="Horticulture"/>
    <x v="2"/>
    <s v="Agriculture"/>
    <s v="H7QJ0"/>
    <s v=""/>
    <s v="Green Published, gold"/>
    <s v=""/>
    <s v=""/>
    <s v="2023-11-15"/>
    <x v="513"/>
    <s v="View Full Record in Web of Science"/>
  </r>
  <r>
    <s v="J"/>
    <s v="Fan, XY; Zhao, SK; Zhang, BC; Wang, S; Shao, D"/>
    <s v=""/>
    <s v=""/>
    <s v=""/>
    <s v="Fan, Xueyuan; Zhao, Shukuan; Zhang, Bochen; Wang, Shuang; Shao, Dong"/>
    <s v=""/>
    <s v=""/>
    <s v="The impact of corporate digital strategic orientation on innovation output"/>
    <s v="HELIYON"/>
    <s v=""/>
    <s v=""/>
    <s v="English"/>
    <x v="0"/>
    <s v=""/>
    <s v=""/>
    <s v=""/>
    <s v=""/>
    <s v=""/>
    <s v="Digital strategy orientation; Innovation; Executive incentives; State ownership"/>
    <s v=""/>
    <s v="Given the development of the digital economy, the shift to digitalization is an inevitable direction for corporate strategic planning. This empirical study investigates the impact of corporate digital strategic orientation on innovation output. It also examines the moderating effects of executive equity and compensation incentives on the relationship between corporate digital strategic orientation and innovation output. We selected a sample of Chinese listed companies and adopted the Heckman two-stage and two-stage least square (2 S LS) methods to control for potential endogenous problems. Our findings indicate that corporate digital strategic orientation significantly enhances innovation output. Additionally, we found that executive compensation and equity incentives positively moderate the impact of corporate digital strategic orientation on innovation output, with equity incentives having a greater moderating effect than compensation incentives. Further analysis shows that the impact of corporate digital strategic orientation on innovation output is greater in non-manufacturing industries and non-state-owned enterprises. Our study provides policy insights on how companies can enhance their innovation capability in the digital economy."/>
    <s v="[Fan, Xueyuan; Zhao, Shukuan; Zhang, Bochen] Jilin Univ, Sch Business &amp; Management, Changchun 130022, Peoples R China; [Wang, Shuang; Shao, Dong] Northeast Normal Univ, Sch Business, Changchun, Peoples R China"/>
    <s v="Jilin University; Northeast Normal University - China"/>
    <s v="Zhao, SK (corresponding author), Jilin Univ, Sch Business &amp; Management, Changchun 130022, Peoples R China."/>
    <s v="zhaosk@jlu.edu.cn"/>
    <s v=""/>
    <s v=""/>
    <s v="National Natural Science Foundation of China [72174073]"/>
    <s v="National Natural Science Foundation of China(National Natural Science Foundation of China (NSFC))"/>
    <s v="Funding statement Shukuan Zhao was supported by National Natural Science Foundation of China [No. 72174073] . Data availability statement This study data mainly from CSMAR database ( www.gtarsc.com .cn) and Wind database ( www.wind.com .cn) ."/>
    <s v=""/>
    <n v="46"/>
    <n v="0"/>
    <n v="0"/>
    <n v="32"/>
    <n v="32"/>
    <s v="CELL PRESS"/>
    <s v="CAMBRIDGE"/>
    <s v="50 HAMPSHIRE ST, FLOOR 5, CAMBRIDGE, MA 02139 USA"/>
    <s v=""/>
    <s v="2405-8440"/>
    <s v=""/>
    <s v="HELIYON"/>
    <s v="Heliyon"/>
    <s v="MAY"/>
    <n v="2023"/>
    <n v="9"/>
    <n v="5"/>
    <s v=""/>
    <s v=""/>
    <s v=""/>
    <s v=""/>
    <s v=""/>
    <s v=""/>
    <s v="e16371"/>
    <s v="10.1016/j.heliyon.2023.e16371"/>
    <s v="http://dx.doi.org/10.1016/j.heliyon.2023.e16371"/>
    <s v=""/>
    <s v=""/>
    <n v="12"/>
    <s v="Multidisciplinary Sciences"/>
    <x v="2"/>
    <s v="Science &amp; Technology - Other Topics"/>
    <s v="L9GY7"/>
    <n v="37251887"/>
    <s v="Green Published, gold"/>
    <s v=""/>
    <s v=""/>
    <s v="2023-11-15"/>
    <x v="514"/>
    <s v="View Full Record in Web of Science"/>
  </r>
  <r>
    <s v="J"/>
    <s v="Giannopoulos, G; Podimatas, I; Stephanopoulos, G"/>
    <s v=""/>
    <s v=""/>
    <s v=""/>
    <s v="Giannopoulos, G.; Podimatas, I.; Stephanopoulos, G."/>
    <s v=""/>
    <s v=""/>
    <s v="Interventions suggested for the functional upgrading of the two most critical digital health services in Greece"/>
    <s v="ARCHIVES OF HELLENIC MEDICINE"/>
    <s v=""/>
    <s v=""/>
    <s v="Greek"/>
    <x v="0"/>
    <s v=""/>
    <s v=""/>
    <s v=""/>
    <s v=""/>
    <s v=""/>
    <s v="Electronic health record; Electronic prescription system; ICD-10 and ICPC-2 disease coding systems"/>
    <s v=""/>
    <s v="In Greece, the national electronic health record (EHR) has not been adequately integrated as an organic function-al element of the health care system. On the contrary, the national e-prescription system (e-PS) has been universally implemented, being the exclusive digital health service that defines the relationship between patients and physicians. This is a peculiarity for the country, not in agreement with international standards, which must be resolved with the implementation of a digital transformation. The EHR must become the main system defining the patients -physicians relationship, with the e-PS functionally intergraded. As part of a broad spectrum of strategic digital health transformation, both, EHR and e-PS infrastructure, need to be upgraded and properly aligned. An important part of this upgrade would be a new tool comprising the necessary clinical codes and terms for managing physician's con-cise clinical diagnosis entries for every patient in the EHR and e-PS."/>
    <s v="[Giannopoulos, G.] Alexandra Gen Hosp, Rheumatol Unit, Athens, Greece; [Podimatas, I.; Stephanopoulos, G.] Elect Engn &amp; Comp Sci, Athens, Greece; [Giannopoulos, G.] Alexandra Gen Hosp, Rheumatol Unit, 7 Lampsakou St, Athens 11528, Greece"/>
    <s v="Alexandra Hospital; Alexandra Hospital"/>
    <s v="Giannopoulos, G (corresponding author), Alexandra Gen Hosp, Rheumatol Unit, 7 Lampsakou St, Athens 11528, Greece."/>
    <s v="George.yiannop@gmail.com"/>
    <s v=""/>
    <s v=""/>
    <s v=""/>
    <s v=""/>
    <s v=""/>
    <s v=""/>
    <n v="6"/>
    <n v="0"/>
    <n v="0"/>
    <n v="0"/>
    <n v="0"/>
    <s v="ATHENS MEDICAL SOC"/>
    <s v="ATHENS"/>
    <s v="23 MAEANDROU ST, ATHENS, 115 28, GREECE"/>
    <s v="1105-3992"/>
    <s v=""/>
    <s v=""/>
    <s v="ARCH HELL MED"/>
    <s v="Arch. Hell. Med."/>
    <s v="MAY-JUN"/>
    <n v="2023"/>
    <n v="40"/>
    <n v="3"/>
    <s v=""/>
    <s v=""/>
    <s v=""/>
    <s v=""/>
    <n v="406"/>
    <n v="413"/>
    <s v=""/>
    <s v=""/>
    <s v=""/>
    <s v=""/>
    <s v=""/>
    <n v="8"/>
    <s v="Medicine, General &amp; Internal"/>
    <x v="3"/>
    <s v="General &amp; Internal Medicine"/>
    <s v="J7OK7"/>
    <s v=""/>
    <s v=""/>
    <s v=""/>
    <s v=""/>
    <s v="2023-11-15"/>
    <x v="515"/>
    <s v="View Full Record in Web of Science"/>
  </r>
  <r>
    <s v="J"/>
    <s v="Hurtado-Mazeyra, A; Núñez-Pacheco, R; Alejandro-Oviedo, O"/>
    <s v=""/>
    <s v=""/>
    <s v=""/>
    <s v="Hurtado-Mazeyra, Alejandra; Nunez-Pacheco, Rosa; Melina Alejandro-Oviedo, Olga"/>
    <s v=""/>
    <s v=""/>
    <s v="Digital Storytelling as educational tool and strategy in 2D and 3D versions for the development of narrative competence in early childhood education"/>
    <s v="PIXEL-BIT- REVISTA DE MEDIOS Y EDUCACION"/>
    <s v=""/>
    <s v=""/>
    <s v="English"/>
    <x v="0"/>
    <s v=""/>
    <s v=""/>
    <s v=""/>
    <s v=""/>
    <s v=""/>
    <s v="Narrativa digital; competencia narrativa; educacion infantil; casa cuna; realidad aumentada Digital Storytelling; narrative competence; early childhood education; crib house; augmented reality"/>
    <s v=""/>
    <s v="Digital Storytelling (DST) is a digital strategy that has a multiformat character, which allows enhancing narrative skills in students of different educational levels. A research was conducted with the main objective of verifying the improvement of narrative competence after an educational experience with the use of Sumac Willaquy software (Cuento bonito), which allows the application of the DST strategy. The study is quantitative and pre-experimental. Seventy 5-and 6-year-old children from a Peruvian children's center participated, distributed in three experimental groups under two intervention modalities in 2D and 3D. An instrument on children's narrative competence was adapted to suit the characteristics of five-year-old children in the Peruvian context. The results indicated that in the posttest measurement, the children obtained better scores in narrative competence with the use of the 3D version than with the 2D version. In this sense, it is concluded that the DST is more effective in its augmented reality version."/>
    <s v="[Hurtado-Mazeyra, Alejandra; Nunez-Pacheco, Rosa; Melina Alejandro-Oviedo, Olga] Univ Nacl San Agustin Arequipa, Arequipa, Peru"/>
    <s v="Universidad Nacional de San Agustin de Arequipa"/>
    <s v="Hurtado-Mazeyra, A (corresponding author), Univ Nacl San Agustin Arequipa, Arequipa, Peru."/>
    <s v=""/>
    <s v="Hurtado Mazeyra, Alejandra/JNR-3104-2023"/>
    <s v=""/>
    <s v="Universidad Nacional de San Agustin de Arequipa, UNSA [IBA-CS-08-2020-UNSA]"/>
    <s v="Universidad Nacional de San Agustin de Arequipa, UNSA"/>
    <s v="We thank the Universidad Nacional de San Agustin de Arequipa, UNSA, for funding the research project under Contract N degrees IBA-CS-08-2020-UNSA."/>
    <s v=""/>
    <n v="28"/>
    <n v="0"/>
    <n v="0"/>
    <n v="4"/>
    <n v="4"/>
    <s v="UNIV SEVILLA, EDITORIAL"/>
    <s v="SEVILLE"/>
    <s v="SECRETARIADO PUBLICACIONES, C/ PORVENIR, NO 27, SEVILLE, 41013, SPAIN"/>
    <s v="1133-8482"/>
    <s v="2171-7966"/>
    <s v=""/>
    <s v="PIXEL-BIT"/>
    <s v="Pixel-Bit"/>
    <s v="MAY"/>
    <n v="2023"/>
    <s v=""/>
    <n v="67"/>
    <s v=""/>
    <s v=""/>
    <s v=""/>
    <s v=""/>
    <s v=""/>
    <s v=""/>
    <s v=""/>
    <s v="10.12795/pixelbit.97769"/>
    <s v="http://dx.doi.org/10.12795/pixelbit.97769"/>
    <s v=""/>
    <s v=""/>
    <n v="37"/>
    <s v="Education &amp; Educational Research"/>
    <x v="3"/>
    <s v="Education &amp; Educational Research"/>
    <s v="H5QS3"/>
    <s v=""/>
    <s v="gold"/>
    <s v=""/>
    <s v=""/>
    <s v="2023-11-15"/>
    <x v="516"/>
    <s v="View Full Record in Web of Science"/>
  </r>
  <r>
    <s v="J"/>
    <s v="Ivanova, N; Nazarko, S; Denysenko, T; Kublitska, O; Kononenko, S"/>
    <s v=""/>
    <s v=""/>
    <s v=""/>
    <s v="Ivanova, Nataliia; Nazarko, Svitlana; Denysenko, Tetana; Kublitska, Olena; Kononenko, Serhii"/>
    <s v=""/>
    <s v=""/>
    <s v="Business Strategy Transformation: The Impact of Global Digitalization and COVID-19 Pandemic Factors"/>
    <s v="REVISTA DE LA UNIVERSIDAD DEL ZULIA"/>
    <s v=""/>
    <s v=""/>
    <s v="English"/>
    <x v="0"/>
    <s v=""/>
    <s v=""/>
    <s v=""/>
    <s v=""/>
    <s v=""/>
    <s v="Digital transformation; digitalization; business strategy; e-commerce; COVID-19"/>
    <s v=""/>
    <s v="The article aims to consider the business strategy transformation process in the context of global digitalization and the COVID-1 9 pandemic in business and the economy. To achieve the goal, the authors analyzed the notions of IT strategy, digital strategy and digital transformation strategy and established their hierarchy; the key features of the strategy in the digital world are identified, namely: risk as the basis for development, people as the main business value and the formation of the right mindset of participants in digital transformation; the process of implementing the digital transformation strategy in the company is considered. The objective of the article was achieved through a review of the literature and the use of scientific methods, namely: comparative analysis, synthesis, and historical and logical methods. The results obtained contribute to the understanding of scientists and professionals about the development management process in the digital world."/>
    <s v="[Ivanova, Nataliia; Denysenko, Tetana] Chernihiv Polytech Natl Univ, Dept Entrepreneurship &amp; Trade, Chernihiv, Ukraine; [Nazarko, Svitlana] Interreg Acad Personnel Management, Higher Educ Inst, North Ukrainian Inst, Kiev, Ukraine; [Kublitska, Olena; Kononenko, Serhii] Chernihiv Polytech Natl Univ, Dept Management &amp; Civil Serv, Chernihiv, Ukraine"/>
    <s v="Ministry of Education &amp; Science of Ukraine; Chernihiv Polytechnic National University; Interregional Academy of Personnel Management; Ministry of Education &amp; Science of Ukraine; National Pedagogical Dragomanov University; Ministry of Education &amp; Science of Ukraine; Chernihiv Polytechnic National University"/>
    <s v="Ivanova, N (corresponding author), Chernihiv Polytech Natl Univ, Dept Entrepreneurship &amp; Trade, Chernihiv, Ukraine."/>
    <s v="ivanova.nat.vlad@gmail.com; s.nazarko@ukr.net; tanjadeni@ukr.net; le.kulit@gmail.com; job.s.kononenko@gmail.com"/>
    <s v="Nazarko, Svitlana/IAO-0813-2023; Ivanova, Nataliia/I-3574-2016; Denysenko, Tetiana/G-6003-2014"/>
    <s v="Nazarko, Svitlana/0000-0002-4841-9201; Ivanova, Nataliia/0000-0001-6622-7310; Denysenko, Tetiana/0000-0002-7022-5884; Kublitska, Olena/0000-0001-5897-1393"/>
    <s v=""/>
    <s v=""/>
    <s v=""/>
    <s v=""/>
    <n v="37"/>
    <n v="0"/>
    <n v="0"/>
    <n v="4"/>
    <n v="4"/>
    <s v="UNIV ZULIA, FAC HUMANIDADES EDUCACION, CENTRO INVE"/>
    <s v="MARACAIBO"/>
    <s v="APARTADO 526, MARACAIBO, ZULIA 00000, VENEZUELA"/>
    <s v="0041-8811"/>
    <s v="2665-0428"/>
    <s v=""/>
    <s v="REV UNIV ZULIA"/>
    <s v="Rev. Univ. Zulia"/>
    <s v="MAY-AUG"/>
    <n v="2023"/>
    <n v="14"/>
    <n v="40"/>
    <s v=""/>
    <s v=""/>
    <s v=""/>
    <s v=""/>
    <n v="486"/>
    <n v="505"/>
    <s v=""/>
    <s v="10.46925//rdluz.40.27"/>
    <s v="http://dx.doi.org/10.46925//rdluz.40.27"/>
    <s v=""/>
    <s v=""/>
    <n v="21"/>
    <s v="Social Sciences, Interdisciplinary"/>
    <x v="3"/>
    <s v="Social Sciences - Other Topics"/>
    <s v="H3CG8"/>
    <s v=""/>
    <s v="hybrid, Green Submitted"/>
    <s v=""/>
    <s v=""/>
    <s v="2023-11-15"/>
    <x v="517"/>
    <s v="View Full Record in Web of Science"/>
  </r>
  <r>
    <s v="J"/>
    <s v="Pierce, P; Whitten, M; Hillman, S"/>
    <s v=""/>
    <s v=""/>
    <s v=""/>
    <s v="Pierce, Poppy; Whitten, Melissa; Hillman, Sara"/>
    <s v=""/>
    <s v=""/>
    <s v="The impact of digital healthcare on vulnerable pregnant women: A review of the use of the MyCare app in the maternity department at a central London tertiary unit"/>
    <s v="FRONTIERS IN DIGITAL HEALTH"/>
    <s v=""/>
    <s v=""/>
    <s v="English"/>
    <x v="0"/>
    <s v=""/>
    <s v=""/>
    <s v=""/>
    <s v=""/>
    <s v=""/>
    <s v="electronic health records systems; pregnancy; e-health; technology; vulnerable pregnant women; digital divide"/>
    <s v="LANGUAGE; PATIENT"/>
    <s v="IntroductionDigitalisation offers innovative solutions within maternity services; however, vulnerable groups risk being overlooked. University College London Hospital's (UCLH) successful implementation of a digital maternity app, MyCare, gives women access to test results, information about appointments, and enables communication with healthcare professionals (HCPs). Yet, little is known about access and engagement among vulnerable pregnant women. MethodologyResearch was conducted over a 3-month period (April-June 2022) in the Maternity Department at UCLH, UK. MyCare datasets were analysed, and anonymised surveys completed by vulnerable pregnant women and HCPs. ResultsLower rates of utilisation and engagement with MyCare were seen in vulnerable pregnant women especially among refugee/asylum seekers, those with mental health issues, and those facing domestic violence. Non-users were also more likely to be individuals from ethnic minority backgrounds, with a lower average social-deprivation-index decile, whose first language was not English, and with a significant history of non-attendance to appointments. Patient and HCP surveys highlighted various barriers to MyCare engagement, including a lack of motivation, limited language options, low e-literacy levels, and complex app interfaces. ConclusionThe use of a single digital tool, without a formulated pathway to identify and assist those not accessing or engaging with it, risks unequal care provision which may exacerbate health inequalities. This research advances the idea that digital exclusion is not necessarily a matter of access to technology, but an issue of a lack of engagement with these tools. Therefore, vulnerable women and HCPs must be integral to the implementation of digital strategies, to ensure no one is left behind."/>
    <s v="[Pierce, Poppy] UCL, Fac Med Sci, Med Sch, London, England; [Whitten, Melissa; Hillman, Sara] Univ Coll London Hosp NHS Fdn Trust, Womens Hlth Div, Elizabeth Garrett Anderson Wing, London, England; [Whitten, Melissa; Hillman, Sara] UCL, EGA Inst Womens Hlth, Dept Maternal &amp; Fetal Med, London, England"/>
    <s v="University of London; University College London; University of London; University College London; University College London Hospitals NHS Foundation Trust; University of London; University College London"/>
    <s v="Pierce, P (corresponding author), UCL, Fac Med Sci, Med Sch, London, England."/>
    <s v="poppy.pierce.19@ucl.ac.uk"/>
    <s v=""/>
    <s v=""/>
    <s v=""/>
    <s v=""/>
    <s v=""/>
    <s v=""/>
    <n v="44"/>
    <n v="0"/>
    <n v="0"/>
    <n v="0"/>
    <n v="0"/>
    <s v="FRONTIERS MEDIA SA"/>
    <s v="LAUSANNE"/>
    <s v="AVENUE DU TRIBUNAL FEDERAL 34, LAUSANNE, CH-1015, SWITZERLAND"/>
    <s v=""/>
    <s v="2673-253X"/>
    <s v=""/>
    <s v="FRONT DIGIT HEALTH"/>
    <s v="Front. Digit. Health"/>
    <s v="APR 21"/>
    <n v="2023"/>
    <n v="5"/>
    <s v=""/>
    <s v=""/>
    <s v=""/>
    <s v=""/>
    <s v=""/>
    <s v=""/>
    <s v=""/>
    <n v="1155708"/>
    <s v="10.3389/fdgth.2023.1155708"/>
    <s v="http://dx.doi.org/10.3389/fdgth.2023.1155708"/>
    <s v=""/>
    <s v=""/>
    <n v="11"/>
    <s v="Health Care Sciences &amp; Services; Medical Informatics"/>
    <x v="3"/>
    <s v="Health Care Sciences &amp; Services; Medical Informatics"/>
    <s v="M4TO9"/>
    <n v="37153515"/>
    <s v="Green Published, gold"/>
    <s v=""/>
    <s v=""/>
    <s v="2023-11-15"/>
    <x v="518"/>
    <s v="View Full Record in Web of Science"/>
  </r>
  <r>
    <s v="J"/>
    <s v="Mihu, C; Pitic, AG; Bayraktar, D"/>
    <s v=""/>
    <s v=""/>
    <s v=""/>
    <s v="Mihu, Cantemir; Pitic, Antoniu Gabriel; Bayraktar, Dorin"/>
    <s v=""/>
    <s v=""/>
    <s v="Drivers of Digital Transformation and their Impact on Organizational Management"/>
    <s v="STUDIES IN BUSINESS AND ECONOMICS"/>
    <s v=""/>
    <s v=""/>
    <s v="English"/>
    <x v="0"/>
    <s v=""/>
    <s v=""/>
    <s v=""/>
    <s v=""/>
    <s v=""/>
    <s v="Management; Digital Transformation; Driver; Digital Culture; Digital Strategy"/>
    <s v="INFORMATION-TECHNOLOGY; LEADERSHIP; STRATEGY; ADOPT"/>
    <s v="Digital transformation has become a critical topic for organizations that want to stay competitive in today's digital age. The widespread use of digital technologies has brought significant changes to the way organizations exist, operate and interact with customers. They are going through a process of reshaping and reorganizing processes and operations, as well as rethinking and redefining the human role in the value creation process. However, digital technologies and their diffusion are not the only driver of digital transformation, as the success of such change initiatives depends on many other factors, the definition of which is crucial to the success of digital transformation. The objective of this paper is to explore the drivers of digital transformation and their impact on management. The work presents a comprehensive review of the literature on digital transformation, identifying the main drivers that influence the success of digital transformation initiatives. It also defines the impact of these drivers on the management of organizations, identifying how the role of the executive is being redefined in today's digital age."/>
    <s v="[Mihu, Cantemir; Pitic, Antoniu Gabriel; Bayraktar, Dorin] Lucian Blaga Univ Sibiu, Sibiu, Romania"/>
    <s v="Lucian Blaga University of Sibiu"/>
    <s v="Mihu, C (corresponding author), Lucian Blaga Univ Sibiu, Sibiu, Romania."/>
    <s v=""/>
    <s v=""/>
    <s v=""/>
    <s v=""/>
    <s v=""/>
    <s v=""/>
    <s v=""/>
    <n v="131"/>
    <n v="0"/>
    <n v="0"/>
    <n v="30"/>
    <n v="30"/>
    <s v="SCIENDO"/>
    <s v="WARSAW"/>
    <s v="BOGUMILA ZUGA 32A, WARSAW, MAZOVIA, POLAND"/>
    <s v="1842-4120"/>
    <s v="2344-5416"/>
    <s v=""/>
    <s v="STUD BUS ECON-ROM"/>
    <s v="Stud. Bus. Econ."/>
    <s v="APR 1"/>
    <n v="2023"/>
    <n v="18"/>
    <n v="1"/>
    <s v=""/>
    <s v=""/>
    <s v=""/>
    <s v=""/>
    <n v="149"/>
    <n v="170"/>
    <s v=""/>
    <s v="10.2478/sbe-2023-0009"/>
    <s v="http://dx.doi.org/10.2478/sbe-2023-0009"/>
    <s v=""/>
    <s v=""/>
    <n v="22"/>
    <s v="Economics"/>
    <x v="3"/>
    <s v="Business &amp; Economics"/>
    <s v="G4MB7"/>
    <s v=""/>
    <s v="gold"/>
    <s v=""/>
    <s v=""/>
    <s v="2023-11-15"/>
    <x v="519"/>
    <s v="View Full Record in Web of Science"/>
  </r>
  <r>
    <s v="J"/>
    <s v="Schachtner, C"/>
    <s v=""/>
    <s v=""/>
    <s v=""/>
    <s v="Schachtner, Christian"/>
    <s v=""/>
    <s v=""/>
    <s v="The Role Chief Digital Officer (CDO) in Public Municipalities-The Conceptual Effect of a Functional Profile for Successful Transformation"/>
    <s v="SMART CITIES"/>
    <s v=""/>
    <s v=""/>
    <s v="English"/>
    <x v="0"/>
    <s v=""/>
    <s v=""/>
    <s v=""/>
    <s v=""/>
    <s v=""/>
    <s v="CDO; governance; transformation; digital trends; framework; function"/>
    <s v="GOVERNMENT; FRAMEWORK; INTERNET; THINGS"/>
    <s v="The objectives of this study are to demonstrate the effect of a function called 'Chief Digital Office' as a responsible positioning of digitization at the C-level. This is intended to show both the importance of digitization measures and the effect of change projects with a methodical approach in cross-sectional tasks for strategic work. The previous work shows different functional layouts and individual responsibilities without conceptual foundations in the implementation of digital strategies. To provide the first contribution to a common framework for the work of CDOs, a basic concept for public administration based on the municipalities is to be launched. The results lead to statements about the optimization potentials of the status of the study survey of the digitization of German municipalities: Digital Vorangehen [Leading the way digitally] (2020). In particular, this includes the development of a holistic digital agenda, the use of future technologies and the mindset for the development of innovative implementation solutions in both internal service provision and outward-looking services. The value lies in contributing to the establishment of the framework of 'Public Digital Transformation Governance' to transfer the fundamental standardization of the action strands into a functional profile."/>
    <s v="[Schachtner, Christian] IU Int Hsch, Kaiserpl 1, D-83435 Bad Reichenhall, Germany"/>
    <s v=""/>
    <s v="Schachtner, C (corresponding author), IU Int Hsch, Kaiserpl 1, D-83435 Bad Reichenhall, Germany."/>
    <s v="christian.schachtner@iu.org"/>
    <s v=""/>
    <s v="Schachtner, Christian/0000-0001-5332-6280"/>
    <s v=""/>
    <s v=""/>
    <s v=""/>
    <s v=""/>
    <n v="25"/>
    <n v="0"/>
    <n v="0"/>
    <n v="5"/>
    <n v="5"/>
    <s v="MDPI"/>
    <s v="BASEL"/>
    <s v="ST ALBAN-ANLAGE 66, CH-4052 BASEL, SWITZERLAND"/>
    <s v=""/>
    <s v="2624-6511"/>
    <s v=""/>
    <s v="SMART CITIES-BASEL"/>
    <s v="Smart Cities"/>
    <s v="APR"/>
    <n v="2023"/>
    <n v="6"/>
    <n v="2"/>
    <s v=""/>
    <s v=""/>
    <s v=""/>
    <s v=""/>
    <n v="809"/>
    <n v="818"/>
    <s v=""/>
    <s v="10.3390/smartcities6020039"/>
    <s v="http://dx.doi.org/10.3390/smartcities6020039"/>
    <s v=""/>
    <s v=""/>
    <n v="10"/>
    <s v="Engineering, Electrical &amp; Electronic; Urban Studies"/>
    <x v="3"/>
    <s v="Engineering; Urban Studies"/>
    <s v="E8NS6"/>
    <s v=""/>
    <s v="gold"/>
    <s v=""/>
    <s v=""/>
    <s v="2023-11-15"/>
    <x v="520"/>
    <s v="View Full Record in Web of Science"/>
  </r>
  <r>
    <s v="J"/>
    <s v="Lema, MLD; Rossi, L; Soncin, M"/>
    <s v=""/>
    <s v=""/>
    <s v=""/>
    <s v="Lema, Melisa L. Diaz L.; Rossi, Lidia; Soncin, Mara"/>
    <s v=""/>
    <s v=""/>
    <s v="Teaching away from school: do school digital support influence teachers' well-being during Covid-19 emergency?"/>
    <s v="LARGE-SCALE ASSESSMENTS IN EDUCATION"/>
    <s v=""/>
    <s v=""/>
    <s v="English"/>
    <x v="0"/>
    <s v=""/>
    <s v=""/>
    <s v=""/>
    <s v=""/>
    <s v=""/>
    <s v="Teachers' well-being; School digital support; REDS data; School effect; Covid-19"/>
    <s v=""/>
    <s v="The Covid-19 pandemic coerced the closure of most schools around the world and forced teachers and students to change teaching and learning methods. Emergency Remote Teaching (ERT) generated consequences to teachers and students in terms of learning outcomes and personal well-being. This study focuses on teachers' individual and working environment well-being in ERT conditions and intends to explore which factors related to the provision of digital equipment and the implementation of digital strategies by schools explain the school effect on both typologies of well-being during the Covid-19 emergency. To do so, data collected in the Responses to Educational Disruption Survey (REDS) across three countries were used, and a two-step analysis was conducted. A first step involves the use of linear mixed effect models to assess the school effect on teachers individual and working environment well-being. In the second step Regression Trees (RT) are used to investigate which factors and policies related to digital tools explained the identified school effects. The results show that schools and countries played a role in determining teachers perceived well-being during the Covid-19 disruption, in particular the school level explains more than 7% of the work environment well-being and 8% of individual one. In the second step of the analysis results show that a high positive effect on school environment well-being is observed when the school's activity is not influenced by policies limiting the use of online tools and when teacher's readiness for remote teaching, like the development of technical skills and the provision of internet access and digital devices, is met. To the best of our knowledge, this is the first study that evaluates the impact of digital tactics and instruments provided by schools on teachers' well-being on a large scale."/>
    <s v="[Lema, Melisa L. Diaz L.; Rossi, Lidia; Soncin, Mara] Sch Management Politecn Milano, Via Lambruschini 4-B, Milan, Italy"/>
    <s v=""/>
    <s v="Rossi, L (corresponding author), Sch Management Politecn Milano, Via Lambruschini 4-B, Milan, Italy."/>
    <s v="lidia.rossi@polimi.it"/>
    <s v="Soncin, Mara/AAL-5559-2020"/>
    <s v="Rossi, Lidia/0000-0002-6151-2910"/>
    <s v=""/>
    <s v=""/>
    <s v=""/>
    <s v=""/>
    <n v="35"/>
    <n v="0"/>
    <n v="0"/>
    <n v="3"/>
    <n v="4"/>
    <s v="SPRINGER"/>
    <s v="NEW YORK"/>
    <s v="ONE NEW YORK PLAZA, SUITE 4600, NEW YORK, NY, UNITED STATES"/>
    <s v=""/>
    <s v="2196-0739"/>
    <s v=""/>
    <s v="LARGE-SCALE ASSESS E"/>
    <s v="Large-Scale Assess. Educ."/>
    <s v="MAR 27"/>
    <n v="2023"/>
    <n v="11"/>
    <n v="1"/>
    <s v=""/>
    <s v=""/>
    <s v=""/>
    <s v=""/>
    <s v=""/>
    <s v=""/>
    <n v="10"/>
    <s v="10.1186/s40536-023-00159-7"/>
    <s v="http://dx.doi.org/10.1186/s40536-023-00159-7"/>
    <s v=""/>
    <s v=""/>
    <n v="20"/>
    <s v="Education &amp; Educational Research"/>
    <x v="3"/>
    <s v="Education &amp; Educational Research"/>
    <s v="A2RK7"/>
    <n v="37008281"/>
    <s v="gold, Green Published"/>
    <s v=""/>
    <s v=""/>
    <s v="2023-11-15"/>
    <x v="521"/>
    <s v="View Full Record in Web of Science"/>
  </r>
  <r>
    <s v="J"/>
    <s v="Lotto, M; Hanjahanja-Phiri, T; Padalko, H; Oetomo, A; Butt, ZA; Boger, J; Millar, J; Cruvinel, T; Morita, PP"/>
    <s v=""/>
    <s v=""/>
    <s v=""/>
    <s v="Lotto, Matheus; Hanjahanja-Phiri, Thokozani; Padalko, Halyna; Oetomo, Arlene; Butt, Zahid Ahmad; Boger, Jennifer; Millar, Jason; Cruvinel, Thiago; Morita, Plinio P."/>
    <s v=""/>
    <s v=""/>
    <s v="Ethical principles for infodemiology and infoveillance studies concerning infodemic management on social media"/>
    <s v="FRONTIERS IN PUBLIC HEALTH"/>
    <s v=""/>
    <s v=""/>
    <s v="English"/>
    <x v="0"/>
    <s v=""/>
    <s v=""/>
    <s v=""/>
    <s v=""/>
    <s v=""/>
    <s v="health information; infodemic; infoveillance; misinformation; social media"/>
    <s v=""/>
    <s v="Big data originating from user interactions on social media play an essential role in infodemiology and infoveillance outcomes, supporting the planning and implementation of public health actions. Notably, the extrapolation of these data requires an awareness of different ethical elements. Previous studies have investigated and discussed the adoption of conventional ethical approaches in the contemporary public health digital surveillance space. However, there is a lack of specific ethical guidelines to orient infodemiology and infoveillance studies concerning infodemic on social media, making it challenging to design digital strategies to combat this phenomenon. Hence, it is necessary to explore if traditional ethical pillars can support digital purposes or whether new ones must be proposed since we are confronted with a complex online misinformation scenario. Therefore, this perspective provides an overview of the current scenario of ethics-related issues of infodemiology and infoveillance on social media for infodemic studies."/>
    <s v="[Lotto, Matheus; Cruvinel, Thiago] Univ Sao Paulo, Bauru Sch Dent, Dept Pediat Dent Orthodont &amp; Publ Hlth, Bauru, Brazil; [Lotto, Matheus; Hanjahanja-Phiri, Thokozani; Padalko, Halyna; Oetomo, Arlene; Butt, Zahid Ahmad; Morita, Plinio P.] Univ Waterloo, Sch Publ Hlth Sci, Waterloo, ON, Canada; [Boger, Jennifer; Morita, Plinio P.] Univ Waterloo, Dept Syst Design Engn, Waterloo, ON, Canada; [Millar, Jason] Univ Ottawa, Fac Engn, Sch Engn Design &amp; Teaching Innovat, Ottawa, ON, Canada; [Morita, Plinio P.] Univ Waterloo, Res Inst Aging, Waterloo, ON, Canada; [Morita, Plinio P.] Univ Hlth Network, Techna Inst, Ctr Digital Therapeut, Toronto, ON, Canada; [Morita, Plinio P.] Univ Toronto, Inst Hlth Policy Management &amp; Evaluat, Dalla Lana Sch Publ Hlth, Toronto, ON, Canada"/>
    <s v="Universidade de Sao Paulo; University of Waterloo; University of Waterloo; University of Ottawa; University of Waterloo; University of Toronto; University Health Network Toronto; University of Toronto"/>
    <s v="Morita, PP (corresponding author), Univ Waterloo, Sch Publ Hlth Sci, Waterloo, ON, Canada.;Morita, PP (corresponding author), Univ Waterloo, Dept Syst Design Engn, Waterloo, ON, Canada.;Morita, PP (corresponding author), Univ Waterloo, Res Inst Aging, Waterloo, ON, Canada.;Morita, PP (corresponding author), Univ Hlth Network, Techna Inst, Ctr Digital Therapeut, Toronto, ON, Canada.;Morita, PP (corresponding author), Univ Toronto, Inst Hlth Policy Management &amp; Evaluat, Dalla Lana Sch Publ Hlth, Toronto, ON, Canada."/>
    <s v="plinio.morita@uwaterloo.ca"/>
    <s v="Lotto, Matheus/V-4759-2018; Cruvinel, Thiago/K-2707-2012"/>
    <s v="Lotto, Matheus/0000-0002-0121-4006;"/>
    <s v="Sao Paulo Research Foundation [2021/10732-5]"/>
    <s v="Sao Paulo Research Foundation(Fundacao de Amparo a Pesquisa do Estado de Sao Paulo (FAPESP))"/>
    <s v="This work was supported by the Sao Paulo Research Foundation (grant #2021/10732-5)."/>
    <s v=""/>
    <n v="61"/>
    <n v="0"/>
    <n v="0"/>
    <n v="8"/>
    <n v="9"/>
    <s v="FRONTIERS MEDIA SA"/>
    <s v="LAUSANNE"/>
    <s v="AVENUE DU TRIBUNAL FEDERAL 34, LAUSANNE, CH-1015, SWITZERLAND"/>
    <s v=""/>
    <s v="2296-2565"/>
    <s v=""/>
    <s v="FRONT PUBLIC HEALTH"/>
    <s v="Front. Public Health"/>
    <s v="MAR 23"/>
    <n v="2023"/>
    <n v="11"/>
    <s v=""/>
    <s v=""/>
    <s v=""/>
    <s v=""/>
    <s v=""/>
    <s v=""/>
    <s v=""/>
    <n v="1130079"/>
    <s v="10.3389/fpubh.2023.1130079"/>
    <s v="http://dx.doi.org/10.3389/fpubh.2023.1130079"/>
    <s v=""/>
    <s v=""/>
    <n v="6"/>
    <s v="Public, Environmental &amp; Occupational Health"/>
    <x v="1"/>
    <s v="Public, Environmental &amp; Occupational Health"/>
    <s v="C6HT1"/>
    <n v="37033062"/>
    <s v="Green Published, gold"/>
    <s v=""/>
    <s v=""/>
    <s v="2023-11-15"/>
    <x v="522"/>
    <s v="View Full Record in Web of Science"/>
  </r>
  <r>
    <s v="J"/>
    <s v="Webb, JB; Ford, NM; Padro, MP"/>
    <s v=""/>
    <s v=""/>
    <s v=""/>
    <s v="Webb, Jennifer B.; Ford, Nataya M.; Padro, Meagan P."/>
    <s v=""/>
    <s v=""/>
    <s v="Fashion versus fitspo: The effect of viewing images of contemporary Barbie? dolls in passive versus active poses on college women?s body image and affect"/>
    <s v="BODY IMAGE"/>
    <s v=""/>
    <s v=""/>
    <s v="English"/>
    <x v="0"/>
    <s v=""/>
    <s v=""/>
    <s v=""/>
    <s v=""/>
    <s v=""/>
    <s v="Barbie? dolls; Thin-ideal; Athletic-ideal; Fitspiration; Body image; College women"/>
    <s v="SELF-OBJECTIFICATION; GIRLS; DISSATISFACTION; EXPOSURE; THIN; INTERNALIZATION; FUNCTIONALITY; SKINNY; FORM; KEN"/>
    <s v="The modern millennial-and Gen Z-targeted Barbiecore feminist movement has emerged in tandem with Barbie (R)'s reinvention to inspire inclusion and active play. Stimulated by these media trends, the present study using a pre-post experimental design evaluated whether exposure to images depicting contemporary passively-posed Barbie Fashionista (R) (BF) dolls versus images of actively-posed Barbie Made to Move (R) (M2M) fitspiration dolls versus images of Lego Friends (R) (LF) scenes would differentially affect aspects of state body image and affect in a sample of 106 racially-diverse young adult college women (MAge = 19.2, SD = 1.39). ANCOVA models assessed the effects of condition on post state measures while controlling for baseline state measures. Results indicated that participants exposed to the BF images reported significantly lower body appreciation relative to those who viewed the LF play sets. A similar trend emerged for par-ticipants shown the newer M2M doll images. Additionally, viewing images of the actively-posed M2M dolls was associated with marginally higher appearance comparison scores versus the LF control. These initial findings have implications for considering the relevance of expanded digital strategies for marketing more realistically appearing and functioning Barbie (R) dolls in affecting the body image experiences and potential purchasing choices of young adult female consumers.(c) 2023 Elsevier Ltd. All rights reserved."/>
    <s v="[Webb, Jennifer B.; Ford, Nataya M.] Univ North Carolina Charlotte, Dept Psychol Sci, Charlotte, NC USA; [Webb, Jennifer B.] Univ North Carolina Charlotte, Hlth Psychol PhD Program, Charlotte, NC USA; [Padro, Meagan P.] Univ North Carolina Chapel Hill, Sch Psychol PhD Program, Charlotte, NC USA; [Webb, Jennifer B.] UNC Charlotte, Dept Psychol Sci, 9201 Univ City Blvd, Charlotte, NC 28223 USA"/>
    <s v="University of North Carolina; University of North Carolina Charlotte; University of North Carolina; University of North Carolina Charlotte; University of North Carolina; University of North Carolina Chapel Hill; University of North Carolina; University of North Carolina Charlotte"/>
    <s v="Webb, JB (corresponding author), UNC Charlotte, Dept Psychol Sci, 9201 Univ City Blvd, Charlotte, NC 28223 USA."/>
    <s v="jennifer.webb@uncc.edu"/>
    <s v=""/>
    <s v=""/>
    <s v=""/>
    <s v=""/>
    <s v=""/>
    <s v=""/>
    <n v="54"/>
    <n v="0"/>
    <n v="0"/>
    <n v="16"/>
    <n v="17"/>
    <s v="ELSEVIER"/>
    <s v="AMSTERDAM"/>
    <s v="RADARWEG 29, 1043 NX AMSTERDAM, NETHERLANDS"/>
    <s v="1740-1445"/>
    <s v="1873-6807"/>
    <s v=""/>
    <s v="BODY IMAGE"/>
    <s v="Body Image"/>
    <s v="JUN"/>
    <n v="2023"/>
    <n v="45"/>
    <s v=""/>
    <s v=""/>
    <s v=""/>
    <s v=""/>
    <s v=""/>
    <n v="201"/>
    <n v="209"/>
    <s v=""/>
    <s v="10.1016/j.bodyim.2023.03.004"/>
    <s v="http://dx.doi.org/10.1016/j.bodyim.2023.03.004"/>
    <s v=""/>
    <s v="MAR 2023"/>
    <n v="9"/>
    <s v="Psychology, Clinical; Psychiatry; Psychology, Multidisciplinary"/>
    <x v="0"/>
    <s v="Psychology; Psychiatry"/>
    <s v="D0CB7"/>
    <n v="36958174"/>
    <s v=""/>
    <s v=""/>
    <s v=""/>
    <s v="2023-11-15"/>
    <x v="523"/>
    <s v="View Full Record in Web of Science"/>
  </r>
  <r>
    <s v="J"/>
    <s v="Pandita, D; Vapiwala, F"/>
    <s v=""/>
    <s v=""/>
    <s v=""/>
    <s v="Pandita, Deepika; Vapiwala, Fatima"/>
    <s v=""/>
    <s v=""/>
    <s v="Waving the flames of fan engagement: strategies for coping with the digital transformation in sports organizations"/>
    <s v="JOURNAL OF STRATEGY AND MANAGEMENT"/>
    <s v=""/>
    <s v=""/>
    <s v="English"/>
    <x v="2"/>
    <s v=""/>
    <s v=""/>
    <s v=""/>
    <s v=""/>
    <s v=""/>
    <s v="Fan engagement; Fan experience; Social media; Digital transformation; Sports organization"/>
    <s v="SOCIAL MEDIA; CO-CREATION; CUSTOMER; INVOLVEMENT; CLUBS"/>
    <s v="Purpose - The purpose of this study is to understand the factors responsible for social media fan engagement and experience. The research study also attempts to analyze the significance of adopting digital strategies with a fan-centric approach for sports organizations. Design/methodology/approach - The authors conducted 18 semi-structured interviews with managers in different sports organizations and fans of various popular sports leagues and clubs in India. The authors used a qualitative exploratory approach by applying coding and thematic analysis to arrive at findings and conclusions. Findings - The responses led to the emergence of three major themes comprising effective planning, harnessing fan participation and boosting the quality of experience. Building on these themes, the authors recommended the PRIME model for sports organizations. Research limitations/implications - As this study explores the growing importance of fan engagement from the top three sports leagues in India, future researchers can focus on obtaining data from multiple countries and multiple leagues to enhance fan engagement's generalizability. Also with the growing popularity of eSports, the scope of the present study may be expanded based on eSports. Practical implications - The authors' study acts as an eye-opener for managers revealing that to get active participation from fans, sports organizations will have to be active in social media initiatives. In addition to this, the authors also propose the PRIME model, which elaborates on the aspects of Planning social media programs, Regularization of content creation, increased Interaction with the fan base, Motivation through rewards and Enriching fan experience for effectively harnessing fan engagement and experience. Originality/value - In the pandemic era, engaging with fans on social media can enable sports organizations to thrive. The authors suggest a PRIME model which can aid sports managers in effectively harnessing fan engagement and experience for the managers of sports organizations. The model can also be applied beyond the sports context in anchoring customer engagement and experience through the social media of other business organizations."/>
    <s v="[Pandita, Deepika; Vapiwala, Fatima] Symbiosis Int Deemed Univ, Symbiosis Inst Business Management Pune, Pune, India"/>
    <s v="Symbiosis International University; Symbiosis Institute of Business Management (SIBM) Pune"/>
    <s v="Pandita, D (corresponding author), Symbiosis Int Deemed Univ, Symbiosis Inst Business Management Pune, Pune, India."/>
    <s v="deepikapandita@sibmpune.edu.in; fatimavapi.jrf@sibmpune.edu.in"/>
    <s v=""/>
    <s v="Vapiwala, Fatima/0000-0003-0300-4157"/>
    <s v=""/>
    <s v=""/>
    <s v=""/>
    <s v=""/>
    <n v="56"/>
    <n v="0"/>
    <n v="0"/>
    <n v="6"/>
    <n v="11"/>
    <s v="EMERALD GROUP PUBLISHING LTD"/>
    <s v="BINGLEY"/>
    <s v="HOWARD HOUSE, WAGON LANE, BINGLEY BD16 1WA, W YORKSHIRE, ENGLAND"/>
    <s v="1755-425X"/>
    <s v=""/>
    <s v=""/>
    <s v="J STRATEGY MANAG"/>
    <s v="J. Strategy Manag."/>
    <s v="2023 MAR 14"/>
    <n v="2023"/>
    <s v=""/>
    <s v=""/>
    <s v=""/>
    <s v=""/>
    <s v=""/>
    <s v=""/>
    <s v=""/>
    <s v=""/>
    <s v=""/>
    <s v="10.1108/JSMA-02-2022-0041"/>
    <s v="http://dx.doi.org/10.1108/JSMA-02-2022-0041"/>
    <s v=""/>
    <s v="MAR 2023"/>
    <n v="17"/>
    <s v="Management"/>
    <x v="3"/>
    <s v="Business &amp; Economics"/>
    <s v="9W0ZQ"/>
    <s v=""/>
    <s v=""/>
    <s v=""/>
    <s v=""/>
    <s v="2023-11-15"/>
    <x v="524"/>
    <s v="View Full Record in Web of Science"/>
  </r>
  <r>
    <s v="J"/>
    <s v="Foria, F; Calicchio, M; Miceli, G"/>
    <s v=""/>
    <s v=""/>
    <s v=""/>
    <s v="Foria, Federico; Calicchio, Mario; Miceli, Gabriele"/>
    <s v=""/>
    <s v=""/>
    <s v="Automatization, artificial intelligence and digital strategies in the maintenance of railway TBM tunnels"/>
    <s v="GALLERIE E GRANDI OPERE SOTTERRANEE"/>
    <s v=""/>
    <s v=""/>
    <s v="English"/>
    <x v="0"/>
    <s v=""/>
    <s v=""/>
    <s v=""/>
    <s v=""/>
    <s v=""/>
    <s v="TBM tunnels maintenance; serviceability; long-term behavior; tunnelling automatization and artificial Intelligence; monitoring"/>
    <s v=""/>
    <s v="The aspects related to the serviceability and long-term of TBM tunnels have assumed increasing relevance in the design, maintenance and management of infrastructures. To guarantee a high level of knowledge through time and improve durability, it is fundamental to carry out new strategies able to digitalize and automatize the aforementioned factors reducing time and costs. ETS introduced a new method for the diagnostic of existing tunnels through an innovative multi-dimensional survey system (ARCHITA), and a new approach for the Management and Identification of the Risk for Existing Tunnels (MIRET). A detailed preliminary assessment of the tunnel condition is obtained through laser scanning and high-definition photo, with minimal impact on the serviceability of the line. Results are digitalized and manipulated, allowing the development of deep learning-based methods for the segmentation of defects with AI algorithms. The paper explains the framework of digital strategies, automatization and artificial intelligence for TBM tunnelling."/>
    <s v="[Foria, Federico; Calicchio, Mario; Miceli, Gabriele] ETS Srl, Rome, Italy"/>
    <s v=""/>
    <s v="Foria, F (corresponding author), ETS Srl, Rome, Italy."/>
    <s v="federico.foria@etsingegneria.it"/>
    <s v=""/>
    <s v=""/>
    <s v=""/>
    <s v=""/>
    <s v=""/>
    <s v=""/>
    <n v="12"/>
    <n v="0"/>
    <n v="0"/>
    <n v="1"/>
    <n v="1"/>
    <s v="PATRON EDITORE S R L"/>
    <s v="BOLOGNA"/>
    <s v="VIA BADINI 12, QUARTO INFERIORE, BOLOGNA, 00000, ITALY"/>
    <s v="0393-1641"/>
    <s v=""/>
    <s v=""/>
    <s v="GALLERIE GD OPER SOT"/>
    <s v="Gallerie Gd. Opere Sotter."/>
    <s v="MAR"/>
    <n v="2023"/>
    <s v=""/>
    <n v="145"/>
    <s v=""/>
    <s v=""/>
    <s v=""/>
    <s v=""/>
    <n v="15"/>
    <n v="20"/>
    <s v=""/>
    <s v=""/>
    <s v=""/>
    <s v=""/>
    <s v=""/>
    <n v="6"/>
    <s v="Engineering, Civil"/>
    <x v="3"/>
    <s v="Engineering"/>
    <s v="M3QR9"/>
    <s v=""/>
    <s v=""/>
    <s v=""/>
    <s v=""/>
    <s v="2023-11-15"/>
    <x v="525"/>
    <s v="View Full Record in Web of Science"/>
  </r>
  <r>
    <s v="J"/>
    <s v="Qi, YD; Du, B; Wen, X"/>
    <s v=""/>
    <s v=""/>
    <s v=""/>
    <s v="Qi, Yudong; Du, Bo; Wen, Xin"/>
    <s v=""/>
    <s v=""/>
    <s v="Strategic Digital Transformation of State-owned Enterprises: Mission Embedding and Mode Selection-A Case Study Based on the Typical Digital Transformation of Three State-owned Enterprises"/>
    <s v="FRONTIERS OF BUSINESS RESEARCH IN CHINA"/>
    <s v=""/>
    <s v=""/>
    <s v="English"/>
    <x v="0"/>
    <s v=""/>
    <s v=""/>
    <s v=""/>
    <s v=""/>
    <s v=""/>
    <s v="national mission; state-owned enterprises (SOEs); functional classification; two-way embedding; digital strategic transformation"/>
    <s v="INFORMATION-TECHNOLOGY; INNOVATION"/>
    <s v="China's state-owned enterprises (SOEs) are facing an embedded integration of new functional mission, new classification reform and new digital development. These new tasks require SOEs to embrace digital strategic transformation and innovation for high-quality fulfillment of their national mission. Studying their digital transformation practices, this paper systematically explores the mechanism and path of embedding national mission into SOE digital transformation, and the mode selection of SOE digital transformation under different mission guidance. The findings are: (1) The SOE functional mission focusing on economic development, strategic support and public services in the new era is undertaken by for-profit, strategic and public functional SOEs; (2) the foreign circulation path based on the positioning mechanism-mapping mechanism and the internal consumption connection path for the state capital strategic positioning constitute a double two-way mechanism of embedding the national mission to the SOE digital strategic transformation, leading SOEs to build market-oriented, capacity-oriented and public-oriented digital transformation modes; (3) the three types of reform modes have respectively produced the action mechanism featuring agile strengthening, toughness strengthening and adaptability strengthening, which support the SOE classification performance. This paper attempts to make up for the research gap such as the lack of integration of the SOE digital strategic transformation mode by constructing the theoretical mode of SOE digital strategic transformation under the guidance of national mission, and reveals the intermediary mechanism of digital strategic transformation to support SOEs for fulfilling their functional missions."/>
    <s v="[Qi, Yudong; Du, Bo] Beijing Normal Univ, Business Sch, Beijing 100875, Peoples R China; [Wen, Xin] Beijing Normal Univ Sch, Sch Govt, Beijing 100875, Peoples R China"/>
    <s v="Beijing Normal University"/>
    <s v="Qi, YD (corresponding author), Beijing Normal Univ, Business Sch, Beijing 100875, Peoples R China."/>
    <s v=""/>
    <s v=""/>
    <s v=""/>
    <s v="Major Project of the National Social Science Fund of China  Research on the Mechanism and Path of Promoting Digital Industry Innovation by Technical Standards and Knowledge of Property Rights  [19ZDA077]"/>
    <s v="Major Project of the National Social Science Fund of China  Research on the Mechanism and Path of Promoting Digital Industry Innovation by Technical Standards and Knowledge of Property Rights "/>
    <s v="Acknowledgments This paper is supported by the Major Project of the National Social Science Fund of China  Research on the Mechanism and Path of Promoting Digital Industry Innovation by Technical Standards and Knowledge of Property Rights  (No. 19ZDA077) ."/>
    <s v=""/>
    <n v="49"/>
    <n v="0"/>
    <n v="0"/>
    <n v="0"/>
    <n v="0"/>
    <s v="HIGHER EDUCATION PRESS"/>
    <s v="BEIJING"/>
    <s v="CHAOYANG DIST, 4, HUIXINDONGJIE, FUSHENG BLDG, BEIJING 100029, PEOPLES R CHINA"/>
    <s v="1673-7326"/>
    <s v="1673-7431"/>
    <s v=""/>
    <s v="FRONT BUS RES CHINA"/>
    <s v="Front. Bus. Res. China"/>
    <s v="MAR"/>
    <n v="2023"/>
    <n v="17"/>
    <n v="1"/>
    <s v=""/>
    <s v=""/>
    <s v=""/>
    <s v=""/>
    <n v="74"/>
    <n v="125"/>
    <s v=""/>
    <s v="10.3868/s070-008-023-0005-7"/>
    <s v="http://dx.doi.org/10.3868/s070-008-023-0005-7"/>
    <s v=""/>
    <s v=""/>
    <n v="52"/>
    <s v="Business"/>
    <x v="3"/>
    <s v="Business &amp; Economics"/>
    <s v="W1ZA6"/>
    <s v=""/>
    <s v=""/>
    <s v=""/>
    <s v=""/>
    <s v="2023-11-15"/>
    <x v="526"/>
    <s v="View Full Record in Web of Science"/>
  </r>
  <r>
    <s v="J"/>
    <s v="Valverde, MTC; Garcia, MG; Alcaraz, PP"/>
    <s v=""/>
    <s v=""/>
    <s v=""/>
    <s v="Valverde, Maria Teresa Caro; Garcia, Maria Gonzalez; Alcaraz, Patricia Perez"/>
    <s v=""/>
    <s v=""/>
    <s v="STUDENT CO-EVALUATION OF METACOGNITIVE AND ARGUMENTATIVE TEXT COMMENTARIES: ANALYSIS OF A FORMATIVE PROCESS WITH DIGITAL RESOURCES"/>
    <s v="PERSPECTIVA EDUCACIONAL"/>
    <s v=""/>
    <s v=""/>
    <s v="English"/>
    <x v="0"/>
    <s v=""/>
    <s v=""/>
    <s v=""/>
    <s v=""/>
    <s v=""/>
    <s v="Argumentation; text commentary; formative assessment; learning process; information and communication technologies; peace"/>
    <s v=""/>
    <s v="Research This research responds to the objective of analyzing a digital corpus of academic documents with a processual approach, prepared by university students during an educational intervention intended for developing their discursive competence with an argumentative commentary model of multimodal texts in the teaching of Spanish as a mother tongue. A qualitative discourse analysis method has been used both in its linguistic manifestations and in the socio-educational micro-ethnographic interaction carried out in a scenario and the process of its formative evaluation. The digital corpus collects written tests from students who have taken the subject called Strategies for the Teaching of Language and Literature from the Degree in Primary Education of the Education Faculty of the University of Murcia (Spain) during the academic year 2021-2022. Specifically, it collects two types of comments housed in their virtual classroom portfolios: first, their textualized group argumentative comments in intertextual, coherent and negotiated alignment with the individual argumentative comments they had previously written about a patrimonial tale selected and interpreted in their argumentative power; second, their group metacognitive comments focused on the peer-assessment of their group argumentative comments, which had the formative background of self-assessment and peer-review of their individual argumentative comments. The analytical knowledge generated by the students in their peer-assessor metacognitive comments about their group argumentative comments is strategically supported by various previous pedagogical organizers, and, especially, in a rubric with discursive quality indicators on three sections of interest: the argumentative sequence of their individual intertextual comments; the coherence, cohesion and adequacy that articulate the logical artifice of their linguistic communication competence; the intertextual arguments contributed by the commentators. With this, the cooperative evaluative feedback of academic works has been mediated from the strategic digital recursion of a personal learning environment (PLE) that includes both resources and tasks enabled in the university virtual classroom of this university subject as informal interaction supports through Google Drive and Zoom. The formative process from which this student co-evaluation procedure has been analyzed from participant observation in field work by teachers according to the scientific-technical framework of an R+D+i project about epistemic innovation of a multimodal argumentative commentary model that has been funded by the Ministry of Science and Innovation of the Spanish Government (PGC2018-101457-B-100). The results of this analysis reveal three conclusions: first, the discursive interaction between students democratizes the process of their formative evaluation in academic works, since the typical logocentric pattern of the unique hetero-evaluation of student products due to teaching authoritarianism is overcome with a new heteroglossic and co-responsible matrix for student processes co -evaluation in academic works mediated with the instructive, informative, communicative and collaborative digital applications used; second, the importance of posing complex academic writing tasks to achieve authentic learning; third, the need to improve the student's discursive competence in the verbal expression of metacognitive and intertextual arguments that promote self-awareness and the originality of their comments."/>
    <s v="[Valverde, Maria Teresa Caro; Garcia, Maria Gonzalez; Alcaraz, Patricia Perez] Univ Murcia, Murcia, Spain"/>
    <s v="University of Murcia"/>
    <s v="Valverde, MTC (corresponding author), Univ Murcia, Fac Educ, Campus Espinardo, Murcia, Spain."/>
    <s v="maytecar@um.es"/>
    <s v=""/>
    <s v=""/>
    <s v=""/>
    <s v=""/>
    <s v=""/>
    <s v=""/>
    <n v="41"/>
    <n v="0"/>
    <n v="0"/>
    <n v="3"/>
    <n v="3"/>
    <s v="EDICIONES UNIV VALPARAISO"/>
    <s v="VALPARAISO"/>
    <s v="CASILLA 1415, VALPARAISO, 00000, CHILE"/>
    <s v="0718-9729"/>
    <s v=""/>
    <s v=""/>
    <s v="PERSPECT EDUCAC"/>
    <s v="Perspect. Educac."/>
    <s v="MAR"/>
    <n v="2023"/>
    <n v="62"/>
    <n v="2"/>
    <s v=""/>
    <s v=""/>
    <s v=""/>
    <s v=""/>
    <n v="165"/>
    <n v="193"/>
    <s v=""/>
    <s v="10.4151/07189729-Vol.62-Iss.2-Art.1422"/>
    <s v="http://dx.doi.org/10.4151/07189729-Vol.62-Iss.2-Art.1422"/>
    <s v=""/>
    <s v=""/>
    <n v="29"/>
    <s v="Education &amp; Educational Research"/>
    <x v="3"/>
    <s v="Education &amp; Educational Research"/>
    <s v="Q8BH3"/>
    <s v=""/>
    <s v="gold"/>
    <s v=""/>
    <s v=""/>
    <s v="2023-11-15"/>
    <x v="527"/>
    <s v="View Full Record in Web of Science"/>
  </r>
  <r>
    <s v="J"/>
    <s v="Kalra, A; Itani, OS; Rostami, A"/>
    <s v=""/>
    <s v=""/>
    <s v=""/>
    <s v="Kalra, Ashish; Itani, Omar S. S.; Rostami, Amin"/>
    <s v=""/>
    <s v=""/>
    <s v="Can salespeople use social media to enhance brand awareness and sales performance? The role of manager empowerment and creativity"/>
    <s v="JOURNAL OF BUSINESS &amp; INDUSTRIAL MARKETING"/>
    <s v=""/>
    <s v=""/>
    <s v="English"/>
    <x v="0"/>
    <s v=""/>
    <s v=""/>
    <s v=""/>
    <s v=""/>
    <s v=""/>
    <s v="Salesperson social media use; Creativity; Manager empowerment; Brand awareness; Company performance"/>
    <s v="B2B SALES; CUSTOMER ENGAGEMENT; SERVICE BEHAVIORS; TECHNOLOGY FIT; EMPIRICAL-TEST; CO-CREATION; IMPACT; COMMON; IDENTIFICATION; ANTECEDENTS"/>
    <s v="PurposeAlthough research analyzing the consequences of salesperson social media use in driving sales behaviors and performance outcomes has proliferated in the recent past, there are significant research gaps in the domain. Grounded in task-technology fit theory, this paper aims to propose a conceptual framework that integrates between previously disjointed areas of research and analyzes the relationships between salesperson social media use, brand awareness, creativity, manager empowerment and company performance. Design/methodology/approachSurvey responses were collected from a multi-industry sample of 158 business-to-business salespeople. Structural relationships were tested using partial least squares structural equation modeling. FindingsThe analysis shows that salesperson social media use positively affects brand awareness. The relationship between social media and brand awareness is magnified with the increase in salesperson creativity. Findings also show that manager empowerment increases salesperson creativity. Finally, brand awareness positively affects company performance. Practical implicationsSales organizations should focus on developing digital strategies, especially focusing on salesperson social media use to enhance company's brand awareness, which in turn increases company performance. Moreover, sales managers should also follow empowering leader behaviors to enhance creativity. Originality/valueThe authors amalgamate salesperson social media use literature and branding literature by proposing salesperson social media use's positive effects on brand awareness. This study also expands the knowledge by exploring the moderating effect of individual-level variables such as salesperson creativity on driving the effects of salesperson social media use."/>
    <s v="[Kalra, Ashish] Univ Dayton, Sch Business Adm, Dept Mkt, Dayton, OH 45469 USA; [Itani, Omar S. S.] Lebanese Amer Univ, Dept Mkt, Beirut, Lebanon; [Rostami, Amin] Univ Minnesota Duluth, Dept Mkt, Duluth, MN USA"/>
    <s v="University of Dayton; Lebanese American University; University of Minnesota System; University of Minnesota Twin Cities; University of Minnesota Hospital; University of Minnesota Duluth"/>
    <s v="Kalra, A (corresponding author), Univ Dayton, Sch Business Adm, Dept Mkt, Dayton, OH 45469 USA."/>
    <s v="kalra.ashishk@gmail.com; omar.itani@lau.edu.lb; rostami@d.umn.edu"/>
    <s v="Itani, Omar S./P-2233-2019"/>
    <s v="Itani, Omar S./0000-0003-2258-7837"/>
    <s v=""/>
    <s v=""/>
    <s v=""/>
    <s v=""/>
    <n v="102"/>
    <n v="0"/>
    <n v="0"/>
    <n v="10"/>
    <n v="18"/>
    <s v="EMERALD GROUP PUBLISHING LTD"/>
    <s v="BINGLEY"/>
    <s v="HOWARD HOUSE, WAGON LANE, BINGLEY BD16 1WA, W YORKSHIRE, ENGLAND"/>
    <s v="0885-8624"/>
    <s v="2052-1189"/>
    <s v=""/>
    <s v="J BUS IND MARK"/>
    <s v="J. Bus. Ind. Mark."/>
    <s v="JUN 27"/>
    <n v="2023"/>
    <n v="38"/>
    <n v="8"/>
    <s v=""/>
    <s v=""/>
    <s v="SI"/>
    <s v=""/>
    <n v="1738"/>
    <n v="1753"/>
    <s v=""/>
    <s v="10.1108/JBIM-01-2022-0056"/>
    <s v="http://dx.doi.org/10.1108/JBIM-01-2022-0056"/>
    <s v=""/>
    <s v="FEB 2023"/>
    <n v="16"/>
    <s v="Business"/>
    <x v="0"/>
    <s v="Business &amp; Economics"/>
    <s v="K7XI8"/>
    <s v=""/>
    <s v=""/>
    <s v=""/>
    <s v=""/>
    <s v="2023-11-15"/>
    <x v="528"/>
    <s v="View Full Record in Web of Science"/>
  </r>
  <r>
    <s v="J"/>
    <s v="Atici, SG"/>
    <s v=""/>
    <s v=""/>
    <s v=""/>
    <s v="Atici, Selim Gokce"/>
    <s v=""/>
    <s v=""/>
    <s v="Abstract socialities: digital advertising work and behavioural data modelling in Istanbul"/>
    <s v="SUBJECTIVITY"/>
    <s v=""/>
    <s v=""/>
    <s v="English"/>
    <x v="0"/>
    <s v=""/>
    <s v=""/>
    <s v=""/>
    <s v=""/>
    <s v=""/>
    <s v="Algorithmic data; Infrastructure; Digital work and labour; Advertisement; Affects; Turkey"/>
    <s v="POLITICS; SEMIOTICS"/>
    <s v="Behavioural advertising and algorithmic data trade found fertile ground in Turkey in 2014 as government sponsored corporations demanded image adjustment. Based on five months of participant observation and work as a digital strategist in a digital advertising agency, JazzRabbit, I analyze the significance of algorithmic data in relation to workers who negotiate work and life through predictions based on data traces and consumer categories. Devaluing their embodied labour, they construe online interactions as fungible things while social classes are rendered as tangible digital collectivities. I demonstrate that visions of corporate social welfare and workspace control precarious working conditions against the background of an economy undergirded by high youth unemployment and flexible digital labour markets. I argue that the conditions of digital work reproduce the differential constitution of algorithmic technologies and worker subjectivity. I call for research about multiple histories of algorithmic work and how they give rise to specific imaginations about social classes."/>
    <s v="[Atici, Selim Gokce] Stanford Univ, Anthropol Dept, Stanford, CA 94305 USA"/>
    <s v="Stanford University"/>
    <s v="Atici, SG (corresponding author), Stanford Univ, Anthropol Dept, Stanford, CA 94305 USA."/>
    <s v="sgatici@gmail.com"/>
    <s v=""/>
    <s v=""/>
    <s v="Bogazici University Sociology Department in Istanbul"/>
    <s v="Bogazici University Sociology Department in Istanbul(Bogazici University)"/>
    <s v="This research was supported by Bogazici University Sociology Department in Istanbul"/>
    <s v=""/>
    <n v="58"/>
    <n v="0"/>
    <n v="0"/>
    <n v="0"/>
    <n v="0"/>
    <s v="PALGRAVE MACMILLAN LTD"/>
    <s v="BASINGSTOKE"/>
    <s v="BRUNEL RD BLDG, HOUNDMILLS, BASINGSTOKE RG21 6XS, HANTS, ENGLAND"/>
    <s v="1755-6341"/>
    <s v="1755-635X"/>
    <s v=""/>
    <s v="SUBJECTIVITY"/>
    <s v="Subjectivity"/>
    <s v="MAR"/>
    <n v="2023"/>
    <n v="30"/>
    <n v="1"/>
    <s v=""/>
    <s v=""/>
    <s v=""/>
    <s v=""/>
    <n v="70"/>
    <n v="90"/>
    <s v=""/>
    <s v="10.1057/s41286-023-00148-9"/>
    <s v="http://dx.doi.org/10.1057/s41286-023-00148-9"/>
    <s v=""/>
    <s v="FEB 2023"/>
    <n v="21"/>
    <s v="Social Sciences, Interdisciplinary"/>
    <x v="3"/>
    <s v="Social Sciences - Other Topics"/>
    <s v="G3PZ8"/>
    <s v=""/>
    <s v=""/>
    <s v=""/>
    <s v=""/>
    <s v="2023-11-15"/>
    <x v="529"/>
    <s v="View Full Record in Web of Science"/>
  </r>
  <r>
    <s v="J"/>
    <s v="Moen, LA"/>
    <s v=""/>
    <s v=""/>
    <s v=""/>
    <s v="Moen, Lars Arvei"/>
    <s v=""/>
    <s v=""/>
    <s v="DIVERSIFY OR DOUBLING DOWN: CHOOSING A DIGITAL GROWTH STRATEGY"/>
    <s v="INTERNATIONAL JOURNAL OF INNOVATION MANAGEMENT"/>
    <s v=""/>
    <s v=""/>
    <s v="English"/>
    <x v="0"/>
    <s v=""/>
    <s v=""/>
    <s v=""/>
    <s v=""/>
    <s v=""/>
    <s v="Digital strategy; growth strategy; business strategy; business development; digital business; digitalisation"/>
    <s v="BUSINESS MODEL INNOVATION; DYNAMIC CAPABILITIES; RELATIONAL VALUE; CAPTURING VALUE; BIG DATA; MARKET; IMPACT; FIRMS; TRANSFORMATION; PERFORMANCE"/>
    <s v="Digital transformation has led to several improvements in performance and efficiency, but its impact on growth patterns needs to be clarified. Two schools of thought dominate the literature on digital growth strategies. One stream advocates that digital firms should focus only on scaling their core position, while the other contends that firms should envelop into multiple complimentary markets. This seeming paradox in the strategic management literature, between advocates of a focus and a diversification growth strategy, shows a need for critical review and clarification of this literature. This paper synthesizes both views and argues that the distinct growth strategies are contextual and that a new catalyst, the relative level of digital transformation of firms in each market, influences their optimal strategy. A new conceptual model illustrates how digital firms may move between different strategies depending on their perceived market opportunities, competitive advantages, and the relative level of digital transformation of their competitors. Hereby, this paper contributes to a better understanding of the growth strategies of digital businesses."/>
    <s v="[Moen, Lars Arvei] Norwegian Sch Econ, Dept Strategy &amp; Management, Breiviksveien 40, N-5045 Bergen, Norway"/>
    <s v="Norwegian School of Economics (NHH)"/>
    <s v="Moen, LA (corresponding author), Norwegian Sch Econ, Dept Strategy &amp; Management, Breiviksveien 40, N-5045 Bergen, Norway."/>
    <s v="lars.moen@nhh.no"/>
    <s v=""/>
    <s v=""/>
    <s v=""/>
    <s v=""/>
    <s v=""/>
    <s v=""/>
    <n v="129"/>
    <n v="0"/>
    <n v="0"/>
    <n v="5"/>
    <n v="5"/>
    <s v="WORLD SCIENTIFIC PUBL CO PTE LTD"/>
    <s v="SINGAPORE"/>
    <s v="5 TOH TUCK LINK, SINGAPORE 596224, SINGAPORE"/>
    <s v="1363-9196"/>
    <s v="1757-5877"/>
    <s v=""/>
    <s v="INT J INNOV MANAG"/>
    <s v="Int. J. Innov. Manag."/>
    <s v="FEB"/>
    <n v="2023"/>
    <n v="27"/>
    <s v="01N02"/>
    <s v=""/>
    <s v=""/>
    <s v=""/>
    <s v=""/>
    <s v=""/>
    <s v=""/>
    <n v="2350011"/>
    <s v="10.1142/S1363919623500111"/>
    <s v="http://dx.doi.org/10.1142/S1363919623500111"/>
    <s v=""/>
    <s v=""/>
    <n v="34"/>
    <s v="Management"/>
    <x v="3"/>
    <s v="Business &amp; Economics"/>
    <s v="Q6SR5"/>
    <s v=""/>
    <s v=""/>
    <s v=""/>
    <s v=""/>
    <s v="2023-11-15"/>
    <x v="530"/>
    <s v="View Full Record in Web of Science"/>
  </r>
  <r>
    <s v="J"/>
    <s v="Nikopoulou, M; Kourouthanassis, P; Chasapi, G; Pateli, A; Mylonas, N"/>
    <s v=""/>
    <s v=""/>
    <s v=""/>
    <s v="Nikopoulou, Maria; Kourouthanassis, Panos; Chasapi, Giota; Pateli, Adamantia; Mylonas, Naoum"/>
    <s v=""/>
    <s v=""/>
    <s v="Determinants of Digital Transformation in the Hospitality Industry: Technological, Organizational, and Environmental Drivers"/>
    <s v="SUSTAINABILITY"/>
    <s v=""/>
    <s v=""/>
    <s v="English"/>
    <x v="0"/>
    <s v=""/>
    <s v=""/>
    <s v=""/>
    <s v=""/>
    <s v=""/>
    <s v="digital technologies; TOE framework; hospitality; digital maturity; COVID-19; digital transformation"/>
    <s v="PARTIAL LEAST-SQUARES; INFORMATION-TECHNOLOGY; E-BUSINESS; FIRM-LEVEL; ADOPTION; PERFORMANCE; READINESS; COVID-19; TOURISM; ACCEPTANCE"/>
    <s v="The current study aims to investigate the factors that affect a hotels' decision to adopt digital technologies. Our theoretical grounding builds on the Technology-Organization-Environment (TOE) research framework. Our research model was validated through a survey of 502 hoteliers and managers using the Partial Least Squares-Structural Equation Modeling (PLS-SEM) statistical method. The results indicated that micro, small and medium-sized enterprise (MSME) hotels affected by the COVID-19 outbreak are more likely to adopt digital technologies. The intention to adopt digital technology is positively and significantly influenced by the digital maturity of organizations, financial resource availability and government regulations. The current study investigates rather less explored factors, such as the organizational digital maturity, which consists of a multi-dimensional latent variable. Our findings may be employed to guide the formulation of digital strategies by hospitality industry organizations."/>
    <s v="[Nikopoulou, Maria; Kourouthanassis, Panos; Chasapi, Giota; Pateli, Adamantia] Ionian Univ, Dept Informat, Tsirigoti Sq 7, Corfu 49100, Greece; [Mylonas, Naoum] Ionian Univ, Dept Tourism, P Vraila Armeni 4, Corfu 49132, Greece"/>
    <s v="Ionian University; Ionian University"/>
    <s v="Mylonas, N (corresponding author), Ionian Univ, Dept Tourism, P Vraila Armeni 4, Corfu 49132, Greece."/>
    <s v="nmylonas@ionio.gr"/>
    <s v=""/>
    <s v=""/>
    <s v=""/>
    <s v=""/>
    <s v=""/>
    <s v=""/>
    <n v="106"/>
    <n v="0"/>
    <n v="0"/>
    <n v="25"/>
    <n v="36"/>
    <s v="MDPI"/>
    <s v="BASEL"/>
    <s v="ST ALBAN-ANLAGE 66, CH-4052 BASEL, SWITZERLAND"/>
    <s v=""/>
    <s v="2071-1050"/>
    <s v=""/>
    <s v="SUSTAINABILITY-BASEL"/>
    <s v="Sustainability"/>
    <s v="FEB"/>
    <n v="2023"/>
    <n v="15"/>
    <n v="3"/>
    <s v=""/>
    <s v=""/>
    <s v=""/>
    <s v=""/>
    <s v=""/>
    <s v=""/>
    <n v="2736"/>
    <s v="10.3390/su15032736"/>
    <s v="http://dx.doi.org/10.3390/su15032736"/>
    <s v=""/>
    <s v=""/>
    <n v="20"/>
    <s v="Green &amp; Sustainable Science &amp; Technology; Environmental Sciences; Environmental Studies"/>
    <x v="1"/>
    <s v="Science &amp; Technology - Other Topics; Environmental Sciences &amp; Ecology"/>
    <s v="8Y3FE"/>
    <s v=""/>
    <s v="gold"/>
    <s v=""/>
    <s v=""/>
    <s v="2023-11-15"/>
    <x v="531"/>
    <s v="View Full Record in Web of Science"/>
  </r>
  <r>
    <s v="J"/>
    <s v="Rodríguez-Bolaños, R; Ramírez-Palacios, P; Bolaños, A; Lara, D; Millan, G; Gallegos-Carrillo, K; Flores, YN; Mejia, RM; Cupertino, AP; Cartujano-Barrera, F"/>
    <s v=""/>
    <s v=""/>
    <s v=""/>
    <s v="Rodriguez-Bolanos, Rosibel; Ramirez-Palacios, Paula; Bolanos, Alejandra; Lara, Daimarelys; Millan, Gabriel; Gallegos-Carrillo, Katia; Flores, Yvonne N.; Mejia, Raul M.; Cupertino, Ana Paula; Cartujano-Barrera, Francisco"/>
    <s v=""/>
    <s v=""/>
    <s v="Decidetexto Mexico: Recruitment and baseline characteristics of Mexican individuals who smoke in a cessation study"/>
    <s v="TOBACCO USE INSIGHTS"/>
    <s v=""/>
    <s v=""/>
    <s v="English"/>
    <x v="0"/>
    <s v=""/>
    <s v=""/>
    <s v=""/>
    <s v=""/>
    <s v=""/>
    <s v="smoking cessation; tobacco control; Recruitment"/>
    <s v="TOBACCO CONTROL RESEARCH; CARE"/>
    <s v="The objective of this study was to evaluate the effectiveness of digital and traditional methods and strategies in the recruitment of Mexican individuals who smoke into a cessation study. Recruitment method refers in general to either digital or traditional recruitment. Recruitment strategies refer to the particular recruitment type utilized within each recruitment method. Traditional recruitment strategies included radio interviews, word of mouth, newspaper advertisement, posters/banners placed in primary healthcare clinics, and medical referrals. Digital recruitment strategies involved emails and study advertisements through social media (i.e., Facebook, Instagram and Twitter) and website. In a 4-month period, 100 Mexican individuals who smoke were successfully enrolled into a smoking cessation study. The majority of participants were enrolled via traditional recruitment strategies (86%) compared to the digital recruitment strategies (14%). Individuals screened in the digital method were more likely to be eligible to participate in the study, compared to the traditional method. Similarly, in comparison to the traditional method, individuals in the digital method were more likely to enroll in the study. However, these differences were not statistically significant. Both traditional and digital strategies made important contributions to the overall recruitment effort."/>
    <s v="[Rodriguez-Bolanos, Rosibel; Bolanos, Alejandra; Millan, Gabriel] Inst Nacl Salud Publ, Dept Invest Tabaco, Cuernavaca, Morelos, Mexico; [Ramirez-Palacios, Paula; Gallegos-Carrillo, Katia; Flores, Yvonne N.] Inst Mexicano Seguro Social, Unidad Invest Epidemiol, Cuernavaca, Morelos, Mexico; [Ramirez-Palacios, Paula; Gallegos-Carrillo, Katia; Flores, Yvonne N.] Inst Mexicano Seguro Social, Serv Salud Delegac Morelos, Cuernavaca, Morelos, Mexico; [Lara, Daimarelys; Cupertino, Ana Paula; Cartujano-Barrera, Francisco] Univ Rochester, Med Ctr, Dept Publ Hlth Sci, 265 Crittenden Blvd, Rochester, NY 14642 USA; [Mejia, Raul M.] Univ Buenos Aires, Dept Med Ambulatoria, Buenos Aires, DF, Argentina"/>
    <s v="Instituto Nacional de Salud Publica; Instituto Mexicano del Seguro Social; Instituto Mexicano del Seguro Social; University of Rochester; University of Buenos Aires"/>
    <s v="Cartujano-Barrera, F (corresponding author), Univ Rochester, Med Ctr, Dept Publ Hlth Sci, 265 Crittenden Blvd, Rochester, NY 14642 USA."/>
    <s v="Francisco_Cartujano@urmc.rochester.edu"/>
    <s v=""/>
    <s v=""/>
    <s v="National Cancer Institute (NCI) [R01CA212189]"/>
    <s v="National Cancer Institute (NCI)(United States Department of Health &amp; Human ServicesNational Institutes of Health (NIH) - USANIH National Cancer Institute (NCI))"/>
    <s v="The author(s) disclosed receipt of the following financial support for the research, authorship, and/or publication of this article: Research reported in this publication was supported by the National Cancer Institute (NCI) under an Administrative Supplement to Stimulate or Strengthen Global Cancer Health Disparities Research to grant R01CA212189. The content is solely the responsibility of the authors and does not necessarily represent the official views of the NCI."/>
    <s v=""/>
    <n v="25"/>
    <n v="0"/>
    <n v="0"/>
    <n v="2"/>
    <n v="2"/>
    <s v="SAGE PUBLICATIONS LTD"/>
    <s v="LONDON"/>
    <s v="1 OLIVERS YARD, 55 CITY ROAD, LONDON EC1Y 1SP, ENGLAND"/>
    <s v="1179-173X"/>
    <s v=""/>
    <s v=""/>
    <s v="TOB USE INSIGHTS"/>
    <s v="Tob. Use Insights"/>
    <s v="FEB"/>
    <n v="2023"/>
    <n v="16"/>
    <s v=""/>
    <s v=""/>
    <s v=""/>
    <s v=""/>
    <s v=""/>
    <s v=""/>
    <s v=""/>
    <s v="1179173X231157378"/>
    <s v="10.1177/1179173X231157378"/>
    <s v="http://dx.doi.org/10.1177/1179173X231157378"/>
    <s v=""/>
    <s v=""/>
    <n v="8"/>
    <s v="Public, Environmental &amp; Occupational Health"/>
    <x v="3"/>
    <s v="Public, Environmental &amp; Occupational Health"/>
    <s v="8V7FO"/>
    <n v="37425216"/>
    <s v="Green Published, gold"/>
    <s v=""/>
    <s v=""/>
    <s v="2023-11-15"/>
    <x v="532"/>
    <s v="View Full Record in Web of Science"/>
  </r>
  <r>
    <s v="J"/>
    <s v="Cinelli, G; Croci, I; Gesualdo, F; Pandolfi, E; Miller, KP; Tozzi, AE"/>
    <s v=""/>
    <s v=""/>
    <s v=""/>
    <s v="Cinelli, Giulia; Croci, Ileana; Gesualdo, Francesco; Pandolfi, Elisabetta; Miller, Kiersten Pilar; Tozzi, Alberto Eugenio"/>
    <s v=""/>
    <s v=""/>
    <s v="Public Engagement in Digital Recommendations for Promoting Healthy Parental Behaviours from Preconception through the First 1000 Days"/>
    <s v="INTERNATIONAL JOURNAL OF ENVIRONMENTAL RESEARCH AND PUBLIC HEALTH"/>
    <s v=""/>
    <s v=""/>
    <s v="English"/>
    <x v="0"/>
    <s v=""/>
    <s v=""/>
    <s v=""/>
    <s v=""/>
    <s v=""/>
    <s v="1000 days; digital communication; innovation"/>
    <s v="INFORMATION-SEEKING; PHYSICAL-ACTIVITY; DECISION-MAKING; INTERNET USE; PREGNANCY; CARE"/>
    <s v="Web-based digital interventions may play a central role for health promoting strategies in the first 1000 days, from conception through the first 2 years of life. We developed a web platform providing evidence-based recommendations in the first 1000 days through short videos, and we studied engagement by users from preconception through parenthood in the second year of life. We described the access to videos by topic and used a multilevel model to explore the user characteristics associated with access to the video recommendations. Overall, breastfeeding, physical activity and nutrition were the most popular topics (normalized views: 89.2%, 87.2% and 86.4% respectively), while content on paternal health and smoking and alcohol was less engaging (37.3% and 42.0%). Nutrition content was the most viewed in the preconception period and during the first two trimesters of pregnancy. Nutrition and breastfeeding were also the most popular topics for users with children less than 2 years old. Higher levels of health literacy were associated only with child health content. The study findings indicate that digital strategies should be adapted according to the time period in the first 1000 days. Alternative digital promotion strategies for the less engaging topics should be considered."/>
    <s v="[Cinelli, Giulia; Croci, Ileana; Gesualdo, Francesco; Pandolfi, Elisabetta; Miller, Kiersten Pilar; Tozzi, Alberto Eugenio] Bambino Gesu Pediat Hosp, Predict &amp; Prevent Med Res Unit, IRCCS, I-00165 Rome, Italy"/>
    <s v="IRCCS Bambino Gesu"/>
    <s v="Croci, I (corresponding author), Bambino Gesu Pediat Hosp, Predict &amp; Prevent Med Res Unit, IRCCS, I-00165 Rome, Italy."/>
    <s v="ileana.croci@opbg.net"/>
    <s v="Tozzi, Alberto Eugenio/F-9494-2012; Gesualdo, Francesco/H-9221-2012"/>
    <s v="Tozzi, Alberto Eugenio/0000-0002-6884-984X; Gesualdo, Francesco/0000-0002-9087-4398; Croci, Ileana/0000-0002-3448-6059; Miller, Kiersten/0000-0002-0087-2867"/>
    <s v="Italian Ministry of Health"/>
    <s v="Italian Ministry of Health(Ministry of Health, Italy)"/>
    <s v="This work was supported also by the Italian Ministry of Health with Current Research funds."/>
    <s v=""/>
    <n v="42"/>
    <n v="0"/>
    <n v="0"/>
    <n v="3"/>
    <n v="4"/>
    <s v="MDPI"/>
    <s v="BASEL"/>
    <s v="ST ALBAN-ANLAGE 66, CH-4052 BASEL, SWITZERLAND"/>
    <s v=""/>
    <s v="1660-4601"/>
    <s v=""/>
    <s v="INT J ENV RES PUB HE"/>
    <s v="Int. J. Environ. Res. Public Health"/>
    <s v="JAN"/>
    <n v="2023"/>
    <n v="20"/>
    <n v="2"/>
    <s v=""/>
    <s v=""/>
    <s v=""/>
    <s v=""/>
    <s v=""/>
    <s v=""/>
    <n v="1329"/>
    <s v="10.3390/ijerph20021329"/>
    <s v="http://dx.doi.org/10.3390/ijerph20021329"/>
    <s v=""/>
    <s v=""/>
    <n v="12"/>
    <s v="Environmental Sciences; Public, Environmental &amp; Occupational Health"/>
    <x v="1"/>
    <s v="Environmental Sciences &amp; Ecology; Public, Environmental &amp; Occupational Health"/>
    <s v="8D0CR"/>
    <n v="36674084"/>
    <s v="gold, Green Published"/>
    <s v=""/>
    <s v=""/>
    <s v="2023-11-15"/>
    <x v="533"/>
    <s v="View Full Record in Web of Science"/>
  </r>
  <r>
    <s v="J"/>
    <s v="Egodawele, M; Sedera, D; Walton, VG; Seneviratne, D; Sooriyapperuma, B"/>
    <s v=""/>
    <s v=""/>
    <s v=""/>
    <s v="Egodawele, Mekhala; Sedera, Darshana; Walton, Varun Grover; Seneviratne, Dilanjan; Sooriyapperuma, Banura"/>
    <s v=""/>
    <s v=""/>
    <s v="Shooting 'Yohani' to Global Stardom: A Teaching Case of Social Media Strategy of a Top-10 YouTuber"/>
    <s v="COMMUNICATIONS OF THE ASSOCIATION FOR INFORMATION SYSTEMS"/>
    <s v=""/>
    <s v=""/>
    <s v="English"/>
    <x v="0"/>
    <s v=""/>
    <s v=""/>
    <s v=""/>
    <s v=""/>
    <s v=""/>
    <s v="Social Media; Digital Strategy; YouTuber; Teaching Case"/>
    <s v=""/>
    <s v="This teaching case is about 'Yohani' - a Global YouTube sensation. Yohani's song 'Menike Mage Hithe' reached the top hits of Amazon Music and Spotify, eventually making its way to the YouTube Top-10 global charts in September 2021. Gathering in-depth insights from the executive staff behind her record label company and her creative company, this teaching case demonstrates (i) the role of a social media strategy in contemporary businesses and entrepreneurs; (ii) social media hygiene factors that one must consider; (iii) how social media insights gained through analytics assisted in delivering a carefully orchestrated business strategy, and (iv) how a combination of social media platforms was employed while considering a range of technological, geographical, financial and social factors. The case and its teaching notes are suitable for undergraduate and postgraduate students studying a contemporary information systems management course."/>
    <s v="[Egodawele, Mekhala; Sedera, Darshana] Southern Cross Univ, Fac Business Law &amp; Arts, Gold Coast, Australia; [Walton, Varun Grover] Univ Arkansas, Walton Sch Business, Fayetteville, AR USA; [Seneviratne, Dilanjan] Pettah Effect, Colombo, Sri Lanka; [Sooriyapperuma, Banura] Theewra Worldwide Pvt Ltd, Colombo, Sri Lanka"/>
    <s v="Southern Cross University; University of Arkansas System; University of Arkansas Fayetteville"/>
    <s v="Egodawele, M (corresponding author), Southern Cross Univ, Fac Business Law &amp; Arts, Gold Coast, Australia."/>
    <s v=""/>
    <s v=""/>
    <s v=""/>
    <s v=""/>
    <s v=""/>
    <s v=""/>
    <s v=""/>
    <n v="0"/>
    <n v="0"/>
    <n v="0"/>
    <n v="0"/>
    <n v="0"/>
    <s v="ASSOC INFORMATION SYSTEMS"/>
    <s v="ATLANTA"/>
    <s v="GEORGIA STATE UNIV, 35 BROAD STREET, STE 916-917, ATLANTA, GA 30303 USA"/>
    <s v="1529-3181"/>
    <s v=""/>
    <s v=""/>
    <s v="COMMUN ASSOC INF SYS"/>
    <s v="Commun. Assoc. Inf. Syst."/>
    <s v=""/>
    <n v="2023"/>
    <n v="52"/>
    <s v=""/>
    <s v=""/>
    <s v=""/>
    <s v=""/>
    <s v=""/>
    <n v="500"/>
    <n v="517"/>
    <s v=""/>
    <s v="10.17705/1CAIS.05220"/>
    <s v="http://dx.doi.org/10.17705/1CAIS.05220"/>
    <s v=""/>
    <s v=""/>
    <n v="19"/>
    <s v="Computer Science, Information Systems"/>
    <x v="3"/>
    <s v="Computer Science"/>
    <s v="L5VZ0"/>
    <s v=""/>
    <s v="Bronze"/>
    <s v=""/>
    <s v=""/>
    <s v="2023-11-15"/>
    <x v="534"/>
    <s v="View Full Record in Web of Science"/>
  </r>
  <r>
    <s v="J"/>
    <s v="Foria, F; Calicchio, M; Moretti, L; Loprencipe, G"/>
    <s v=""/>
    <s v=""/>
    <s v=""/>
    <s v="Foria, Federico; Calicchio, Mario; Moretti, Laura; Loprencipe, Giuseppe"/>
    <s v=""/>
    <s v=""/>
    <s v="MULTIDIMENSIONAL MOBILE MAPPING AND INTEGRATED APPROACH FOR THE DIGITALISATION OF UNDERGROUND TRANSPORT INFRASTRUCTURE"/>
    <s v="ACTA POLYTECHNICA"/>
    <s v=""/>
    <s v=""/>
    <s v="English"/>
    <x v="0"/>
    <s v=""/>
    <s v=""/>
    <s v=""/>
    <s v=""/>
    <s v=""/>
    <s v="MIRET; ARCHITA; mobile mapping; tunnel defects; railway tunnels"/>
    <s v="INSPECTION"/>
    <s v="The tunnel industry has started focusing on the maintenance and management challenges of an existing infrastructure. It is an urgent matter in industrialised countries, where the stakeholders' attention is increasing at a fast pace considering the incidents and the disruptions caused by improper monitoring and maintenance. This paper presents an innovative methodology to survey and inspect existing railway tunnels through multi-dimensional mobile mapping systems. The proposed approach belongs to the digital strategies for infrastructure maintenance. An integrated multidimensional survey system (ARCHITA) allows for collecting information necessary for the diagnostics of a structure with non-destructive tests. Linear cameras, thermographic cameras, and ground-penetrating radars acquire data to be digitalised and manipulated in different IT environments. The results, in terms of the collected data on structural defects, allow for a new approach for the Management and Identification of the Risk for Existing Tunnels (MIRET). The innovative approach aims at a smart integration of information and models for the Facility Management of the transport system. The workflow for the digitalisation and diagnosis from mobile mapping data has been implemented on two 40km-long metro tunnels."/>
    <s v="[Foria, Federico; Calicchio, Mario] ETS Srl, Via Appia Nuova 59, I-00183 Rome, Italy; [Moretti, Laura; Loprencipe, Giuseppe] Sapienza Univ Rome, Dept Civil Construct &amp; Environm Engn, Via Eudossiana 18, I-00184 Rome, Italy"/>
    <s v="Sapienza University Rome"/>
    <s v="Moretti, L (corresponding author), Sapienza Univ Rome, Dept Civil Construct &amp; Environm Engn, Via Eudossiana 18, I-00184 Rome, Italy."/>
    <s v="laura.moretti@uniromal.it"/>
    <s v="Loprencipe, Giuseppe/C-2223-2013"/>
    <s v="Loprencipe, Giuseppe/0000-0003-1003-8849"/>
    <s v=""/>
    <s v=""/>
    <s v=""/>
    <s v=""/>
    <n v="38"/>
    <n v="0"/>
    <n v="0"/>
    <n v="0"/>
    <n v="0"/>
    <s v="CZECH TECHNICAL UNIV PRAGUE"/>
    <s v="PRAGUE 6"/>
    <s v="ZIKOVA 4, PRAGUE 6, 16636, CZECH REPUBLIC"/>
    <s v="1210-2709"/>
    <s v="1805-2363"/>
    <s v=""/>
    <s v="ACTA POLYTECH"/>
    <s v="Acta Polytech."/>
    <s v=""/>
    <n v="2023"/>
    <n v="63"/>
    <n v="2"/>
    <s v=""/>
    <s v=""/>
    <s v=""/>
    <s v=""/>
    <n v="111"/>
    <n v="122"/>
    <s v=""/>
    <s v="10.14311/AP.2023.63.0111"/>
    <s v="http://dx.doi.org/10.14311/AP.2023.63.0111"/>
    <s v=""/>
    <s v=""/>
    <n v="12"/>
    <s v="Engineering, Multidisciplinary"/>
    <x v="3"/>
    <s v="Engineering"/>
    <s v="M8ET7"/>
    <s v=""/>
    <s v=""/>
    <s v=""/>
    <s v=""/>
    <s v="2023-11-15"/>
    <x v="535"/>
    <s v="View Full Record in Web of Science"/>
  </r>
  <r>
    <s v="J"/>
    <s v="Gurung, S; Jones, SS; Mehta, K; Budhwani, H; MacDonell, K; Belzer, M; Naar, S"/>
    <s v=""/>
    <s v=""/>
    <s v=""/>
    <s v="Gurung, Sitaji; Jones, Stephen Scott; Mehta, Kripa; Budhwani, Henna; MacDonell, Karen; Belzer, Marvin; Naar, Sylvie"/>
    <s v=""/>
    <s v=""/>
    <s v="Examining Recruitment Strategies in the Enrollment Cascade of Youth Living With HIV: Descriptive Findings From a Nationwide Web-Based Adherence Protocol"/>
    <s v="JMIR FORMATIVE RESEARCH"/>
    <s v=""/>
    <s v=""/>
    <s v="English"/>
    <x v="0"/>
    <s v=""/>
    <s v=""/>
    <s v=""/>
    <s v=""/>
    <s v=""/>
    <s v="recruitment methods; enrollment challenges; digital technology; adherence protocol; youth living with HIV; COVID-19"/>
    <s v="SOCIAL MEDIA; TRIALS; ADOLESCENTS; RISK"/>
    <s v="Background: Digital strategies and broadened eligibility criteria may optimize the enrollment of youth living with HIV in mobile health adaptive interventions. Prior research suggests that digital recruitment strategies are more efficient than traditional methods for overcoming enrollment challenges of youth living with HIV in the United States.Objective: This study highlights the challenges and strategies that explain screening and enrollment milestones in a national web-based adherence protocol for youth living with HIV.Methods: Baseline data from a national web-based HIV adherence protocol for youth living with HIV, collected from July 2018 to February 2021, were analyzed. A centralized recruitment procedure was developed, which used web-based recruitment via Online Master Screener; paid targeted advertisements on social media platforms (eg, Facebook and Reddit) and geosocial networking dating apps (eg, Grindr and Jack'd); and site and provider referrals from Subject Recruitment Venues and other AIDS service organizations, website referrals, and text-in recruitment.Results: A total of 3 distinct cohorts of youth living with HIV were identified, marked by changes in recruitment strategies. Overall, 3270 individuals consented to screening, 2721 completed screening, 581 were eligible, and 83 completed enrollment. We examined sociodemographic and behavioral differences in completing milestones from eligibility to full enrollment (ie, submitting antiretroviral therapy and viral load data and completing the baseline web-based survey). Those with the most recent viral load tests &gt;6 months ago were half as likely to enroll (odds ratio 0.45, 95% CI 0.21-0.94). Moreover, eligible participants with self-reported antiretroviral therapy adherence (SRA) between 50% and 80% were statistically significant (P&lt;.001 to P=.03) and more likely to enroll than those with SRA &gt;80%.Conclusions: The findings add to our knowledge on the use of digital technologies for youth living with HIV before and during the COVID-19 pandemic and provide insight into the impact of expanding eligibility criteria on enrollment. As the COVID-19 pandemic continues and the use of and engagement with social media and dating apps among youth living with HIV changes, these platforms should continue to be investigated as potential recruitment tools. Using a wide variety of recruitment strategies such as using social media and dating apps as well as provider referral mechanisms, increasing compensation amounts, and including SRA in enrollment criteria should continue to be studied with respect to their ability to successfully recruit and enroll eligible participants.International Registered Report Identifier (IRRID): RR2-10.2196/11183"/>
    <s v="[Gurung, Sitaji] CUNY, New York City Coll Technol, Dept Hlth Sci, Brooklyn, NY USA; [Jones, Stephen Scott; Mehta, Kripa] CUNY Hunter Coll, Dept Psychol, New York, NY USA; [Budhwani, Henna] Florida State Univ, Coll Nursing, Tallahassee, FL USA; [MacDonell, Karen; Naar, Sylvie] Florida State Univ, Coll Med, Ctr Translat Behavorial Sci, Dept Behav Sci &amp; Social Med, Tallahassee, FL USA; [Belzer, Marvin] Childrens Hosp Los Angeles, Los Angeles, CA USA; [Gurung, Sitaji] CUNY, New York City Coll Technol, Dept Hlth Sci, 285 Jay St,A811F, Brooklyn, NY 11201 USA"/>
    <s v="City University of New York (CUNY) System; City University of New York (CUNY) System; Hunter College (CUNY); State University System of Florida; Florida State University; State University System of Florida; Florida State University; Children's Hospital Los Angeles; City University of New York (CUNY) System"/>
    <s v="Gurung, S (corresponding author), CUNY, New York City Coll Technol, Dept Hlth Sci, 285 Jay St,A811F, Brooklyn, NY 11201 USA."/>
    <s v="Sitaji.Gurung65@citytech.cuny.edu"/>
    <s v=""/>
    <s v="Gurung, Sitaji/0000-0003-4713-4228; Jones, Stephen Scott/0000-0002-5361-8088; Budhwani, Henna/0000-0002-6716-9754; Belzer, Marvin/0000-0002-8870-9326; MacDonell, Karen/0000-0001-8916-624X; Mehta, Kripa/0000-0001-8286-8468"/>
    <s v=""/>
    <s v=""/>
    <s v=""/>
    <s v=""/>
    <n v="44"/>
    <n v="0"/>
    <n v="0"/>
    <n v="0"/>
    <n v="0"/>
    <s v="JMIR PUBLICATIONS, INC"/>
    <s v="TORONTO"/>
    <s v="130 QUEENS QUAY East, Unit 1100, TORONTO, ON M5A 0P6, CANADA"/>
    <s v=""/>
    <s v="2561-326X"/>
    <s v=""/>
    <s v="JMIR FORM RES"/>
    <s v="JMIR Form. Res."/>
    <s v=""/>
    <n v="2023"/>
    <n v="7"/>
    <s v=""/>
    <s v=""/>
    <s v=""/>
    <s v=""/>
    <s v=""/>
    <s v=""/>
    <s v=""/>
    <s v=""/>
    <s v="10.2196/40077"/>
    <s v="http://dx.doi.org/10.2196/40077"/>
    <s v=""/>
    <s v=""/>
    <n v="18"/>
    <s v="Health Care Sciences &amp; Services; Medical Informatics"/>
    <x v="3"/>
    <s v="Health Care Sciences &amp; Services; Medical Informatics"/>
    <s v="H8RF2"/>
    <n v="36745773"/>
    <s v="Green Published, gold"/>
    <s v=""/>
    <s v=""/>
    <s v="2023-11-15"/>
    <x v="536"/>
    <s v="View Full Record in Web of Science"/>
  </r>
  <r>
    <s v="J"/>
    <s v="Kim, D; Cho, KT"/>
    <s v=""/>
    <s v=""/>
    <s v=""/>
    <s v="Kim, Donggi; Cho, Keuntae"/>
    <s v=""/>
    <s v=""/>
    <s v="Digital Transformation Characteristics of the Semiconductor Industry Ecosystem"/>
    <s v="SUSTAINABILITY"/>
    <s v=""/>
    <s v=""/>
    <s v="English"/>
    <x v="0"/>
    <s v=""/>
    <s v=""/>
    <s v=""/>
    <s v=""/>
    <s v=""/>
    <s v="semiconductor; ecosystem; digital transformation; digital drivers; digital competencies; business model; management performance"/>
    <s v="TECHNOLOGICAL CAPABILITY; PERFORMANCE; INNOVATION; PRODUCTS"/>
    <s v="This study investigates the characteristics of competitive strategies, digital competencies, and management performance as digital drivers in the semiconductor industry. We constructed a conceptual research model and proposed five research hypotheses based on previous studies and analyzed the fit of the research model using IBM SPSS AMOS software. In total, 131 companies specializing in semiconductor materials, components, equipment, and fabless design comprised the sample for analysis. To improve the fit of the research model, several unnecessary paths and measurement items were removed, the final research model was selected, and the five hypotheses were tested. The results indicate that digital drivers positively affect digital competencies, which, in turn, positively affect efficiency-centered and novelty-centered business models. Regarding the relationship between these business models and management performance, only the novelty-centered business model positively affects non-financial performance. These findings could help formulate digital transformation strategies related to products/services, processes, and business models at the firm level, as well as establish policies such as regulation and support programs at the government level."/>
    <s v="[Kim, Donggi] Sungkyunkwan Univ, Grad Sch Management Technol, Chunchundong 300, Suwon 440746, South Korea; [Cho, Keuntae] Sungkyunkwan Univ, Grad Sch Management Technol, Dept Syst Management Engn, Chunchundong 300, Suwon 440746, South Korea"/>
    <s v="Sungkyunkwan University (SKKU); Sungkyunkwan University (SKKU)"/>
    <s v="Cho, KT (corresponding author), Sungkyunkwan Univ, Grad Sch Management Technol, Dept Syst Management Engn, Chunchundong 300, Suwon 440746, South Korea."/>
    <s v="ktcho@skku.edu"/>
    <s v=""/>
    <s v="Kim, Donggi/0009-0008-9340-5205"/>
    <s v=""/>
    <s v=""/>
    <s v=""/>
    <s v=""/>
    <n v="49"/>
    <n v="0"/>
    <n v="0"/>
    <n v="11"/>
    <n v="21"/>
    <s v="MDPI"/>
    <s v="BASEL"/>
    <s v="ST ALBAN-ANLAGE 66, CH-4052 BASEL, SWITZERLAND"/>
    <s v=""/>
    <s v="2071-1050"/>
    <s v=""/>
    <s v="SUSTAINABILITY-BASEL"/>
    <s v="Sustainability"/>
    <s v="JAN"/>
    <n v="2023"/>
    <n v="15"/>
    <n v="1"/>
    <s v=""/>
    <s v=""/>
    <s v=""/>
    <s v=""/>
    <s v=""/>
    <s v=""/>
    <n v="483"/>
    <s v="10.3390/su15010483"/>
    <s v="http://dx.doi.org/10.3390/su15010483"/>
    <s v=""/>
    <s v=""/>
    <n v="19"/>
    <s v="Green &amp; Sustainable Science &amp; Technology; Environmental Sciences; Environmental Studies"/>
    <x v="1"/>
    <s v="Science &amp; Technology - Other Topics; Environmental Sciences &amp; Ecology"/>
    <s v="7P8CK"/>
    <s v=""/>
    <s v="gold"/>
    <s v=""/>
    <s v=""/>
    <s v="2023-11-15"/>
    <x v="537"/>
    <s v="View Full Record in Web of Science"/>
  </r>
  <r>
    <s v="J"/>
    <s v="Medel, IL"/>
    <s v=""/>
    <s v=""/>
    <s v=""/>
    <s v="Medel, Ismael Lopez"/>
    <s v=""/>
    <s v=""/>
    <s v="Social Media Will Tell Your Story: The Digital Strategy of #Ham4Ham"/>
    <s v="EUROPEAN JOURNAL OF AMERICAN STUDIES"/>
    <s v=""/>
    <s v=""/>
    <s v="English"/>
    <x v="0"/>
    <s v=""/>
    <s v=""/>
    <s v=""/>
    <s v=""/>
    <s v=""/>
    <s v="Hamilton; #Ham4Ham; Mike Karns; Marathon Digital; creative proximity"/>
    <s v=""/>
    <s v="During the first two years of the Hamilton show on Broadway, the #Ham4Ham lottery system provided fans waiting outside the theater with live performances that included the show's original cast. These included Hamilton songs, covers of other musicals, and different performing arts. Seeking to reach a non-traditional theater audience, Marathon Digital, a digital agency specializing in Broadway shows, turned the performances into a viral campaign utilizing social media outlets to create proximity to the fans through content relevant to the audience."/>
    <s v="[Medel, Ismael Lopez] Univ CEU San Pablo, Madrid, Spain"/>
    <s v="San Pablo CEU University"/>
    <s v="Medel, IL (corresponding author), Univ CEU San Pablo, Madrid, Spain."/>
    <s v=""/>
    <s v=""/>
    <s v=""/>
    <s v=""/>
    <s v=""/>
    <s v=""/>
    <s v=""/>
    <n v="28"/>
    <n v="0"/>
    <n v="0"/>
    <n v="0"/>
    <n v="0"/>
    <s v="EUROPEAN ASSOC AMER STUDIES"/>
    <s v="LONDON"/>
    <s v="C/O PHILIP JOHN DAVIES, ECCLES CENTRE AMERICAN STUDIES, LONDON, NW1 2DB, ENGLAND"/>
    <s v="1991-9336"/>
    <s v=""/>
    <s v=""/>
    <s v="EUR J AM STUD"/>
    <s v="Eur. J. Am. Stud."/>
    <s v=""/>
    <n v="2023"/>
    <n v="18"/>
    <n v="1"/>
    <s v=""/>
    <s v=""/>
    <s v="SI"/>
    <s v=""/>
    <s v=""/>
    <s v=""/>
    <s v=""/>
    <s v=""/>
    <s v=""/>
    <s v=""/>
    <s v=""/>
    <n v="12"/>
    <s v="Humanities, Multidisciplinary"/>
    <x v="3"/>
    <s v="Arts &amp; Humanities - Other Topics"/>
    <s v="H0ZL1"/>
    <s v=""/>
    <s v=""/>
    <s v=""/>
    <s v=""/>
    <s v="2023-11-15"/>
    <x v="538"/>
    <s v="View Full Record in Web of Science"/>
  </r>
  <r>
    <s v="J"/>
    <s v="Perdana, A; Wang, TW"/>
    <s v=""/>
    <s v=""/>
    <s v=""/>
    <s v="Perdana, Arif; Wang, Tawei"/>
    <s v=""/>
    <s v=""/>
    <s v="Harnessing Data and Embracing Digital Strategy at Zalora"/>
    <s v="JOURNAL OF EMERGING TECHNOLOGIES IN ACCOUNTING"/>
    <s v=""/>
    <s v=""/>
    <s v="English"/>
    <x v="0"/>
    <s v=""/>
    <s v=""/>
    <s v=""/>
    <s v=""/>
    <s v=""/>
    <s v="digital transformation; digital technology; information systems and technology; digital strategy"/>
    <s v="TRANSFORMATION"/>
    <s v="This case analyzes how Zalora has applied various strategies to gain a sustainable advantage in the e-commerce industry and provide solutions that continuously add value for its customers, even during the COVID-19 pandemic. It describes the company's efforts to capitalize on customer demand and external and internal forces to be more agile and nimble in an increasingly competitive environment. Zalora has introduced several technologies that reflect its digitization, digitalization, and digital transformation efforts. The use of digital technologies has helped Zalora to capture and analyze relevant data from its business processes and customer interactions. The information and automation generated by the technologies have enabled Zalora to continuously improve and reinvent itself to stay ahead of the competition. The challenges and opportunities of digital transformation are also discussed."/>
    <s v="[Perdana, Arif] Monash Univ, Data Sci Program, Tangerang, Banten, Indonesia; [Wang, Tawei] DePaul Univ, Sch Accountancy &amp; MIS, Chicago, IL USA"/>
    <s v="DePaul University"/>
    <s v="Perdana, A (corresponding author), Monash Univ, Data Sci Program, Tangerang, Banten, Indonesia."/>
    <s v=""/>
    <s v=""/>
    <s v=""/>
    <s v=""/>
    <s v=""/>
    <s v=""/>
    <s v=""/>
    <n v="65"/>
    <n v="0"/>
    <n v="0"/>
    <n v="5"/>
    <n v="5"/>
    <s v="AMER ACCOUNTING ASSOC"/>
    <s v="Lakewood Ranch"/>
    <s v="9009 Town Center Parkway, Lakewood Ranch, FL, UNITED STATES"/>
    <s v="1554-1908"/>
    <s v="1558-7940"/>
    <s v=""/>
    <s v="J EMERG TECHNOL ACCO"/>
    <s v="J. Emerg. Technol. Account."/>
    <s v=""/>
    <n v="2023"/>
    <n v="20"/>
    <n v="1"/>
    <s v=""/>
    <s v=""/>
    <s v=""/>
    <s v=""/>
    <n v="111"/>
    <n v="123"/>
    <s v=""/>
    <s v="10.2308/JETA-2022-013"/>
    <s v="http://dx.doi.org/10.2308/JETA-2022-013"/>
    <s v=""/>
    <s v=""/>
    <n v="13"/>
    <s v="Business, Finance"/>
    <x v="3"/>
    <s v="Business &amp; Economics"/>
    <s v="I2KF4"/>
    <s v=""/>
    <s v=""/>
    <s v=""/>
    <s v=""/>
    <s v="2023-11-15"/>
    <x v="539"/>
    <s v="View Full Record in Web of Science"/>
  </r>
  <r>
    <s v="J"/>
    <s v="Rezende, DA"/>
    <s v=""/>
    <s v=""/>
    <s v=""/>
    <s v="Rezende, Denis Alcides"/>
    <s v=""/>
    <s v=""/>
    <s v="Strategic digital city: Concept, model, and research cases"/>
    <s v="JOURNAL OF INFRASTRUCTURE POLICY AND DEVELOPMENT"/>
    <s v=""/>
    <s v=""/>
    <s v="English"/>
    <x v="0"/>
    <s v=""/>
    <s v=""/>
    <s v=""/>
    <s v=""/>
    <s v=""/>
    <s v="city strategies; city information; public services to citizens; information technology in cities; strategic digital city; urban management"/>
    <s v="SMART GOVERNANCE; PUBLIC-SERVICES; COPRODUCTION; CITIZENS; INFORMATION; CITIES"/>
    <s v="Cities, in addition to being physical, are also digital, requiring the use of information technology resources and strategies, information, and services to make appropriate decisions. The objective is to present the strategic digital city (SDC) concept and project model and its research considering the subprojects: city strategies; city information; public services to citizens; and information technology resources applied in cities. The research methodology comprises approaches mixing techniques in respective phases, including bibliometrics assignment, and model theory applied in SDC cases with more than 11 doctoral, 100 master's, undergraduate, scientific initiation, and postdoctoral program orientations obtained from more than 300 cities since 2003. The results showed that the SDC can be understood as a social project of public policy and is on the city managers' agenda, as demonstrated in the 8 cases researched and in the more than 86 publications in different scientific international journals in the recent decade. The conclusion reiterates the importance of the participatory and democratic SDC original project accepted to contribute to the proper city management and the citizens' quality of life expansion, including infrastructure, policy, and city development. Then, the SDC contemporary concept and model have been maintained regularly over the 10 years."/>
    <s v="[Rezende, Denis Alcides] Pontificia Univ Catolica Parana, BR-0215901 Curitiba, Brazil"/>
    <s v="Pontificia Universidade Catolica do Parana"/>
    <s v="Rezende, DA (corresponding author), Pontificia Univ Catolica Parana, BR-0215901 Curitiba, Brazil."/>
    <s v="denis.rezende@pucpr.br"/>
    <s v=""/>
    <s v=""/>
    <s v=""/>
    <s v=""/>
    <s v=""/>
    <s v=""/>
    <n v="74"/>
    <n v="0"/>
    <n v="0"/>
    <n v="0"/>
    <n v="0"/>
    <s v="ENPRESS PUBL LLC"/>
    <s v="TUSTIN"/>
    <s v="14701 MYFORD RD, STE B-1, TUSTIN, CA, UNITED STATES"/>
    <s v="2572-7923"/>
    <s v="2572-7931"/>
    <s v=""/>
    <s v="J INFRASTRUCT POLICY"/>
    <s v="J. Infrastruct. Policy Dev."/>
    <s v=""/>
    <n v="2023"/>
    <n v="7"/>
    <n v="2"/>
    <s v=""/>
    <s v=""/>
    <s v=""/>
    <s v=""/>
    <s v=""/>
    <s v=""/>
    <n v="2177"/>
    <s v="10.24294/jipd.v7i2.2177"/>
    <s v="http://dx.doi.org/10.24294/jipd.v7i2.2177"/>
    <s v=""/>
    <s v=""/>
    <n v="16"/>
    <s v="Management"/>
    <x v="3"/>
    <s v="Business &amp; Economics"/>
    <s v="U4PU0"/>
    <s v=""/>
    <s v="gold"/>
    <s v=""/>
    <s v=""/>
    <s v="2023-11-15"/>
    <x v="540"/>
    <s v="View Full Record in Web of Science"/>
  </r>
  <r>
    <s v="J"/>
    <s v="Rezende, DA"/>
    <s v=""/>
    <s v=""/>
    <s v=""/>
    <s v="Rezende, Denis Alcides"/>
    <s v=""/>
    <s v=""/>
    <s v="Strategic digital city: Concept, model, and research cases"/>
    <s v="JOURNAL OF INFRASTRUCTURE POLICY AND DEVELOPMENT"/>
    <s v=""/>
    <s v=""/>
    <s v="English"/>
    <x v="0"/>
    <s v=""/>
    <s v=""/>
    <s v=""/>
    <s v=""/>
    <s v=""/>
    <s v="city strategies; city information; public services to citizens; information technology in cities; strategic digital city; urban management"/>
    <s v="SMART GOVERNANCE; COPRODUCTION; CITIES"/>
    <s v="Cities, in addition to being physical, are also digital, requiring the use of information technology resources and strategies, information, and services to make appropriate decisions. The objective is to present the strategic digital city (SDC) concept and project model and its research considering the subprojects: city strategies; city information; public services to citizens; and information technology resources applied in cities. The research methodology comprises approaches mixing techniques in respective phases, including bibliometrics assignment, and model theory applied in SDC cases with more than 11 doctoral, 100 master's, undergraduate, scientific initiation, and postdoctoral program orientations obtained from more than 300 cities since 2003. The results showed that the SDC can be understood as a social project of public policy and is on the city managers' agenda, as demonstrated in the 8 cases researched and in the more than 86 publications in different scientific international journals in the recent decade. The conclusion reiterates the importance of the participatory and democratic SDC original project accepted to contribute to the proper city management and the citizens' quality of life expansion, including infrastructure, policy, and city development. Then, the SDC contemporary concept and model have been maintained regularly over the 10 years."/>
    <s v="[Rezende, Denis Alcides] Pontificia Univ Catolica Parana, BR-80215901 Curitiba, Brazil"/>
    <s v="Pontificia Universidade Catolica do Parana"/>
    <s v="Rezende, DA (corresponding author), Pontificia Univ Catolica Parana, BR-80215901 Curitiba, Brazil."/>
    <s v="denis.rezende@pucpr.br"/>
    <s v=""/>
    <s v=""/>
    <s v=""/>
    <s v=""/>
    <s v=""/>
    <s v=""/>
    <n v="52"/>
    <n v="0"/>
    <n v="0"/>
    <n v="0"/>
    <n v="0"/>
    <s v="ENPRESS PUBL LLC"/>
    <s v="TUSTIN"/>
    <s v="14701 MYFORD RD, STE B-1, TUSTIN, CA, UNITED STATES"/>
    <s v="2572-7923"/>
    <s v="2572-7931"/>
    <s v=""/>
    <s v="J INFRASTRUCT POLICY"/>
    <s v="J. Infrastruct. Policy Dev."/>
    <s v=""/>
    <n v="2023"/>
    <n v="7"/>
    <n v="2"/>
    <s v=""/>
    <s v=""/>
    <s v=""/>
    <s v=""/>
    <s v=""/>
    <s v=""/>
    <n v="2177"/>
    <s v="10.24294/jipd.v7i2.2177"/>
    <s v="http://dx.doi.org/10.24294/jipd.v7i2.2177"/>
    <s v=""/>
    <s v=""/>
    <n v="16"/>
    <s v="Management"/>
    <x v="3"/>
    <s v="Business &amp; Economics"/>
    <s v="U2ZU9"/>
    <s v=""/>
    <s v="gold"/>
    <s v=""/>
    <s v=""/>
    <s v="2023-11-15"/>
    <x v="541"/>
    <s v="View Full Record in Web of Science"/>
  </r>
  <r>
    <s v="J"/>
    <s v="Roesler, DA; Rezende, DA; de Almeida, GGF"/>
    <s v=""/>
    <s v=""/>
    <s v=""/>
    <s v="Roesler, Douglas Andre; Rezende, Denis Alcides; de Almeida, Giovana Goretti Feijo"/>
    <s v=""/>
    <s v=""/>
    <s v="Digital strategies and public services and relations with strategic digital city sub-projects: cases Brazil and Germany"/>
    <s v="REVISTA DE GESTAO E SECRETARIADO-GESEC"/>
    <s v=""/>
    <s v=""/>
    <s v="English"/>
    <x v="0"/>
    <s v=""/>
    <s v=""/>
    <s v=""/>
    <s v=""/>
    <s v=""/>
    <s v="City Strategies; Digital Public Services; Strategic Digital City; Public Administration; Information Technology"/>
    <s v="CITIZENS"/>
    <s v="Public managers seek in city strategies and public services to expand the quality of life of citizens, drawing on effective public policies. The objective is to analyze the city strategies and digital public services and their relations with strategic digital city subprojects. The research methodology emphasized the study of multiple cases in the cities of Toledo-Brazil and Oldenburg-Germany, using a protocol with 5 variables. The results showed 308 municipal strategies in Toledo: social (34.41%); human development (25%); rural, urban and environment (21%); economic and management (8.44%); institutional (10.71%); and community participation strategies (46.14%) related mainly to the themes: social and education. Of the 47 digital public services available, 25.53% enable digital interaction with the user, and 74.47% refer to information services (without digital interaction). In Oldenburg 34 municipal strategies were identified: social (20.58%), health (14.70%), environment (11.76%), and science and technology (11.76%), related to the themes: urban infrastructure and transportation (31.25%), and public management (18.75%). Of the 76 digital public services available, only 21.05% allow digital interaction with the user, and 78.95% refer to information services (without digital interaction). The conclusion reiterates that the articulation between city strategies and digital public services characterizes the existence of an informal strategic digital city project, facilitating the city management through public administration, public policies and extending the citizens' quality of life, as well as the interaction between managers and citizens."/>
    <s v="[Roesler, Douglas Andre] Univ Estadual Oeste Parana UNIOESTE, Campus Marechal Candido Rondon,R Pernambuco 1777, BR-85960000 Mal Candido Rondon, PR, Brazil; [Rezende, Denis Alcides] Pontificia Univ Catolica Parana PUCPR, R Imac Conceicao 1155, BR-80215901 Curitiba, PR, Brazil; [de Almeida, Giovana Goretti Feijo] Polytech Univ Leiria, CiTUR, R Gen Norton de Matos Apartado 4133, P-2411901 Leiria, Portugal"/>
    <s v="Universidade Estadual do Oeste do Parana"/>
    <s v="Roesler, DA (corresponding author), Univ Estadual Oeste Parana UNIOESTE, Campus Marechal Candido Rondon,R Pernambuco 1777, BR-85960000 Mal Candido Rondon, PR, Brazil."/>
    <s v="douglasroesler@gmail.com; denis.rezende@pucpr.br; goretti.giovana@gmail.com"/>
    <s v="Almeida, Giovana Goretti Feijó de/I-2491-2016"/>
    <s v="Almeida, Giovana Goretti Feijó de/0000-0003-0956-1341"/>
    <s v=""/>
    <s v=""/>
    <s v=""/>
    <s v=""/>
    <n v="67"/>
    <n v="0"/>
    <n v="0"/>
    <n v="4"/>
    <n v="5"/>
    <s v="SINDICATO SECRETARIAS ESTADO SAO PAULO"/>
    <s v="SAO PAULO"/>
    <s v="RUA TUPI 118, SAO PAULO, 01233-000, BRAZIL"/>
    <s v="2178-9010"/>
    <s v=""/>
    <s v=""/>
    <s v="REV GEST SECR-GESEC"/>
    <s v="Rec. Gest. Secr.-GeSeC"/>
    <s v=""/>
    <n v="2023"/>
    <n v="14"/>
    <n v="3"/>
    <s v=""/>
    <s v=""/>
    <s v=""/>
    <s v=""/>
    <n v="3443"/>
    <n v="3468"/>
    <s v=""/>
    <s v="10.7769/gesec.v14i3.1821"/>
    <s v="http://dx.doi.org/10.7769/gesec.v14i3.1821"/>
    <s v=""/>
    <s v=""/>
    <n v="26"/>
    <s v="Management"/>
    <x v="3"/>
    <s v="Business &amp; Economics"/>
    <s v="A4OE3"/>
    <s v=""/>
    <s v="gold"/>
    <s v=""/>
    <s v=""/>
    <s v="2023-11-15"/>
    <x v="542"/>
    <s v="View Full Record in Web of Science"/>
  </r>
  <r>
    <s v="J"/>
    <s v="Velasco-Molpeceres, A; Zarauza-Castro, J; Pérez-Curiel, C; Mateos-González, S"/>
    <s v=""/>
    <s v=""/>
    <s v=""/>
    <s v="Velasco-Molpeceres, Ana; Zarauza-Castro, Jorge; Perez-Curiel, Concha; Mateos-Gonzalez, Sophia"/>
    <s v=""/>
    <s v=""/>
    <s v="Slow Fashion as a Communication Strategy of Fashion Brands on Instagram"/>
    <s v="SUSTAINABILITY"/>
    <s v=""/>
    <s v=""/>
    <s v="English"/>
    <x v="0"/>
    <s v=""/>
    <s v=""/>
    <s v=""/>
    <s v=""/>
    <s v=""/>
    <s v="slow fashion; sustainability; Instagram; influencers; greenwashing; fast fashion; fashion"/>
    <s v="OPPORTUNITIES"/>
    <s v="The objective of this research is to study the reasons for the growing impact of sustainable slow fashion brands in the fashion industry and, in particular, how they manage their communication and which digital strategies they employ. We applied a mixed research methodology: a comparative content analysis of qualitative and quantitative indicators, as well as in-depth interviews with 10 professionals and experts in fashion and digital communication, with the aim of contrasting their opinions with the results of the study. The five sustainable fashion brands (YosoLOVEamor, LIFEGIST, ECOALF, Alohas, and ECOOLOGY) chosen are distinguished by the fact that they base their business projects on social and environmental responsibility, and their Instagram accounts were studied over a period. This paper demonstrates the social interest in and concern for sustainability, ethics, and corporate social responsibility in the fashion industry. Additionally, it is evident that slow fashion brands need to have a good online strategy, as it is the future of fashion. No greenwashing was found, but sustainable fashion is a controversial issue with no regulation and a short history, so it has to develop."/>
    <s v="[Velasco-Molpeceres, Ana] Univ Complutense Madrid, Fac Ciencias Informac, Madrid 28040, Spain; [Zarauza-Castro, Jorge] Ctr Univ San Isidoro, Dept Ciencias Sociales &amp; Salud, Seville 41092, Spain; [Perez-Curiel, Concha] Univ Seville, Fac Comunicac, Seville 41092, Spain; [Mateos-Gonzalez, Sophia] Univ Europea Miguel de Cervantes, Fac Ciencias Sociales, Valladolid 47012, Spain"/>
    <s v="Complutense University of Madrid; University of Sevilla; Miguel de Cervantes European University (UEMC)"/>
    <s v="Velasco-Molpeceres, A (corresponding author), Univ Complutense Madrid, Fac Ciencias Informac, Madrid 28040, Spain."/>
    <s v="anamavel@ucm.es"/>
    <s v="Velasco Molpeceres, Ana/P-4568-2016; Perez-Curiel, Concha/O-4919-2018"/>
    <s v="Velasco Molpeceres, Ana/0000-0002-0593-0325; Zarauza Castro, Jorge/0000-0001-6319-7080; Perez-Curiel, Concha/0000-0002-1888-0451"/>
    <s v=""/>
    <s v=""/>
    <s v=""/>
    <s v=""/>
    <n v="41"/>
    <n v="0"/>
    <n v="0"/>
    <n v="22"/>
    <n v="54"/>
    <s v="MDPI"/>
    <s v="BASEL"/>
    <s v="ST ALBAN-ANLAGE 66, CH-4052 BASEL, SWITZERLAND"/>
    <s v=""/>
    <s v="2071-1050"/>
    <s v=""/>
    <s v="SUSTAINABILITY-BASEL"/>
    <s v="Sustainability"/>
    <s v="JAN"/>
    <n v="2023"/>
    <n v="15"/>
    <n v="1"/>
    <s v=""/>
    <s v=""/>
    <s v=""/>
    <s v=""/>
    <s v=""/>
    <s v=""/>
    <n v="423"/>
    <s v="10.3390/su15010423"/>
    <s v="http://dx.doi.org/10.3390/su15010423"/>
    <s v=""/>
    <s v=""/>
    <n v="17"/>
    <s v="Green &amp; Sustainable Science &amp; Technology; Environmental Sciences; Environmental Studies"/>
    <x v="1"/>
    <s v="Science &amp; Technology - Other Topics; Environmental Sciences &amp; Ecology"/>
    <s v="7P5BT"/>
    <s v=""/>
    <s v="Green Published, gold"/>
    <s v=""/>
    <s v=""/>
    <s v="2023-11-15"/>
    <x v="543"/>
    <s v="View Full Record in Web of Science"/>
  </r>
  <r>
    <s v="J"/>
    <s v="Babkin, A; Shkarupeta, E; Kabasheva, I; Rudaleva, I; Vicentiy, A"/>
    <s v=""/>
    <s v=""/>
    <s v=""/>
    <s v="Babkin, Aleksandr; Shkarupeta, Elena; Kabasheva, Irina; Rudaleva, Irina; Vicentiy, Alexander"/>
    <s v=""/>
    <s v=""/>
    <s v="A Framework for Digital Development of Industrial Systems in the Strategic Drift to Industry 5.0"/>
    <s v="INTERNATIONAL JOURNAL OF TECHNOLOGY"/>
    <s v=""/>
    <s v=""/>
    <s v="English"/>
    <x v="0"/>
    <s v=""/>
    <s v=""/>
    <s v=""/>
    <s v=""/>
    <s v=""/>
    <s v="Digital strategizing; Framework; Industrial system; Industry 5.0; Strategic drift"/>
    <s v="TRANSFORMATION STRATEGY"/>
    <s v="Industry 5.0 is an integral driving force for industrial development to overcome a resurgent strategic drift. This solution is a perfect tool to ensure a sustainable, human-centered, and resilient industry and encourage man-machine collaboration within intelligent cyber-social systems. A complete shift to Industry 5.0 is only feasible when industrial systems apply digital strategizing to enhance digital development. That would invite technologies and humans to facilitate all operational and customer dealings, significantly increasing the rate of innovation. This research aims to articulate a multi-perspective conceptual framework based on the premises of digital development of industrial systems in the strategic drift to Industry 5.0. The methodology implied in this research rests on an interview with industry experts, a case study of digitalization leaders in 2021, extensive and systematic literature review and scientometric analytical tools, content analysis and foresight. In this paper, the authors reframe the concept of digital strategy and consider it as a notion independent of digitalization strategy and digital transformation strategy that is traditionally based on the formation of digital thinking, implementation of digital behavior patterns, the transformation of mindset, and strategic wisdom. As a result, a brand-new perspective on Industry 5.0 is suggested - Nooindustry 5.0. This digital development framework provides grounds for a digital business strategy to advance and shapes a platform-operating model to nurture the digital maturity of industrial systems. This research identifies key strategies for the transformation of an industrial system into a bionic one to sail through the current strategic drift. Further scientific work has to be carried out in order to assess the impact and effects of digital development of industrial systems while shifting to Industry 5.0."/>
    <s v="[Babkin, Aleksandr] Peter Great St Petersburg Polytech Univ, Polytech Sskaia St 29, St Petersburg 195251, Russia; [Shkarupeta, Elena] Voronezh State Tech Univ, 20 letiia Oktiabria St 84, Voronezh 394071, Russia; [Kabasheva, Irina; Rudaleva, Irina] Kazan Volga reg Fed Univ, Kremlevskaya St 18, Kazan 420008, Russia; [Vicentiy, Alexander] Murmansk Arctic State Univ, Russian Acad Sci, Putilov Inst Informat &amp; Math Modeling, Kola Sci Ctr,Apatity branch, Fersman St 24a, Apatity 184209, Russia"/>
    <s v="Peter the Great St. Petersburg Polytechnic University; Voronezh State Technical University; Kazan Federal University; Russian Academy of Sciences; Kola Science Centre of the Russian Academy of Sciences; Murmansk Arctic State University"/>
    <s v="Babkin, A (corresponding author), Peter Great St Petersburg Polytech Univ, Polytech Sskaia St 29, St Petersburg 195251, Russia."/>
    <s v="al-vas@mail.ru"/>
    <s v="Shkarupeta, Elena/Q-4229-2017"/>
    <s v="Shkarupeta, Elena/0000-0003-3644-4239"/>
    <s v="Russian Foundation for Basic Research; [20-010-00942A]; [2020-2022]"/>
    <s v="Russian Foundation for Basic Research(Russian Foundation for Basic Research (RFBR)Spanish Government); ;"/>
    <s v="Acknowledgments The research was carried out within the framework of project No. 20-010-00942A of the Russian Foundation for Basic Research (2020-2022) ."/>
    <s v=""/>
    <n v="38"/>
    <n v="0"/>
    <n v="0"/>
    <n v="11"/>
    <n v="19"/>
    <s v="UNIV INDONESIA, FAC ENGINEERING"/>
    <s v="DEPOK"/>
    <s v="KAMPUS UI DEPOK, DEPOK, 16424, INDONESIA"/>
    <s v="2086-9614"/>
    <s v="2087-2100"/>
    <s v=""/>
    <s v="INT J TECHNOL"/>
    <s v="Int. J. Technol."/>
    <s v="DEC 27"/>
    <n v="2022"/>
    <n v="13"/>
    <n v="7"/>
    <s v=""/>
    <s v=""/>
    <s v=""/>
    <s v=""/>
    <n v="1373"/>
    <n v="1382"/>
    <s v=""/>
    <s v="10.14716/ijtech.v13i7.6193"/>
    <s v="http://dx.doi.org/10.14716/ijtech.v13i7.6193"/>
    <s v=""/>
    <s v=""/>
    <n v="10"/>
    <s v="Engineering, Multidisciplinary"/>
    <x v="3"/>
    <s v="Engineering"/>
    <s v="7M5TB"/>
    <s v=""/>
    <s v="gold"/>
    <s v=""/>
    <s v=""/>
    <s v="2023-11-15"/>
    <x v="544"/>
    <s v="View Full Record in Web of Science"/>
  </r>
  <r>
    <s v="J"/>
    <s v="Zimmermann, L; Sobolev, M"/>
    <s v=""/>
    <s v=""/>
    <s v=""/>
    <s v="Zimmermann, Laura; Sobolev, Michael"/>
    <s v=""/>
    <s v=""/>
    <s v="Digital Strategies for Screen Time Reduction: A Randomized Field Experiment"/>
    <s v="CYBERPSYCHOLOGY BEHAVIOR AND SOCIAL NETWORKING"/>
    <s v=""/>
    <s v=""/>
    <s v="English"/>
    <x v="0"/>
    <s v=""/>
    <s v=""/>
    <s v=""/>
    <s v=""/>
    <s v=""/>
    <s v="screen time; smartphone; digital nudge; goal-setting; time limits; design friction"/>
    <s v="IMPLEMENTATION INTENTIONS; ACADEMIC-PERFORMANCE; SMARTPHONE USAGE; BEHAVIOR; DISTRACTION; SYSTEM; COLOR"/>
    <s v="Many consumers nowadays wish to reduce their smartphone usage in the hope of improving productivity and well-being. We conducted a pre-registered field experiment (N = 112) over a period of several weeks to test the effectiveness of two widely available digital strategies for screen time reduction. The effectiveness of a design friction intervention (i.e., activating grayscale mode) was compared with a goal-setting intervention (i.e., self-commitment to time limits) and a control condition (i.e., self-monitoring). The design friction intervention led to an immediate, significant reduction of objectively measured screen time compared with the control condition. Conversely, the goal-setting intervention led to a smaller and more gradual screen time reduction. In contrast to the popular belief that reducing screen time has broad benefits, we found no immediate causal effect of reducing usage on subjective well-being and academic performance."/>
    <s v="[Zimmermann, Laura] IE Univ, IE Tower,Paseo Castellana 259E, Madrid 28046, Spain; [Sobolev, Michael] Cornell Tech, New York, NY USA"/>
    <s v="IE University"/>
    <s v="Zimmermann, L (corresponding author), IE Univ, IE Tower,Paseo Castellana 259E, Madrid 28046, Spain."/>
    <s v="laura.zimmermann@ie.edu"/>
    <s v=""/>
    <s v="Zimmermann, Laura/0000-0001-8174-9459"/>
    <s v=""/>
    <s v=""/>
    <s v=""/>
    <s v=""/>
    <n v="61"/>
    <n v="0"/>
    <n v="0"/>
    <n v="10"/>
    <n v="22"/>
    <s v="MARY ANN LIEBERT, INC"/>
    <s v="NEW ROCHELLE"/>
    <s v="140 HUGUENOT STREET, 3RD FL, NEW ROCHELLE, NY 10801 USA"/>
    <s v="2152-2715"/>
    <s v="2152-2723"/>
    <s v=""/>
    <s v="CYBERPSYCH BEH SOC N"/>
    <s v="Cyberpsychology Behav. Soc. Netw."/>
    <s v="JAN 1"/>
    <n v="2023"/>
    <n v="26"/>
    <n v="1"/>
    <s v=""/>
    <s v=""/>
    <s v=""/>
    <s v=""/>
    <n v="42"/>
    <n v="49"/>
    <s v=""/>
    <s v="10.1089/cyber.2022.0027"/>
    <s v="http://dx.doi.org/10.1089/cyber.2022.0027"/>
    <s v=""/>
    <s v="DEC 2022"/>
    <n v="8"/>
    <s v="Psychology, Social"/>
    <x v="0"/>
    <s v="Psychology"/>
    <s v="8C9YR"/>
    <n v="36577008"/>
    <s v=""/>
    <s v=""/>
    <s v=""/>
    <s v="2023-11-15"/>
    <x v="545"/>
    <s v="View Full Record in Web of Science"/>
  </r>
  <r>
    <s v="J"/>
    <s v="Clark, S; Gallagher, E; Boyle, N; Barrett, M; Hughes, C; O'Malley, N; Sanchez, A; Ebuenyi, I; Smith, E; Marshall, K; O'Sullivan, K"/>
    <s v=""/>
    <s v=""/>
    <s v=""/>
    <s v="Clark, Serena; Gallagher, Ellen; Boyle, Neasa; Barrett, Michael; Hughes, Corey; O'Malley, Niamh; Sanchez, Ana; Ebuenyi, Ikenna; Smith, Emma; Marshall, Kevin; O'Sullivan, Katriona"/>
    <s v=""/>
    <s v=""/>
    <s v="The International Education Index: A global approach to education policy analysis, performance and sustainable development"/>
    <s v="BRITISH EDUCATIONAL RESEARCH JOURNAL"/>
    <s v=""/>
    <s v=""/>
    <s v="English"/>
    <x v="0"/>
    <s v=""/>
    <s v=""/>
    <s v=""/>
    <s v=""/>
    <s v=""/>
    <s v="change and sustainability; COVID-19; education policy; policy analysis"/>
    <s v=""/>
    <s v="Before the COVID-19 pandemic, the world struggled to address growing educational inequalities and fulfil the commitment to Sustainable Development Goal 4, which seeks to ensure inclusive and equitable quality education and promote lifelong learning opportunities for all. The pandemic has exacerbated these inequalities and changed how education functions, moving to online and hybrid methods. The challenges in global education highlighted and worsened by the pandemic make it necessary to re-evaluate education systems and the policies in place to support access, quality and equal opportunity. This article focuses on analysing education policies at a national level. It tests a pilot policy analysis tool, the International Education Index (IEI), developed as a starting point to begin this reconsideration and create an accessible and comprehensive way to evaluate national education systems to inform decision-making and policies in the new context. This research uses Ireland and Northern Ireland to test the IEI pilot tool. The IEI consists of 54 questions across nine indicators, including institutional frameworks, education strategies, digital skills and infrastructure, twenty-first century skills, access to basic social services, adherence to international standards, legal frameworks, data gathering and availability and international partnerships. Countries can score 108 points to be categorised as having developed, emerging or nascent national education systems. Ireland scored 94 and Northern Ireland 81, indicating that they have developed national education systems."/>
    <s v="[Clark, Serena; Gallagher, Ellen; Boyle, Neasa; Sanchez, Ana; Ebuenyi, Ikenna; Smith, Emma; O'Sullivan, Katriona] Maynooth Univ, Maynooth, Kildare, Ireland; [Barrett, Michael; Hughes, Corey; O'Malley, Niamh; Marshall, Kevin] Microsoft Ireland, South Cty Business Pk,One Microsoft Pl, Dublin, Ireland"/>
    <s v="Maynooth University"/>
    <s v="O'Sullivan, K (corresponding author), Maynooth Univ, Maynooth, Kildare, Ireland."/>
    <s v="katriona.osullivan@mu.ie"/>
    <s v=""/>
    <s v="O'Sullivan, Katriona/0000-0001-7202-0033; Clark, Serena/0000-0001-8405-576X; Boyle, Neasa/0000-0003-4226-0751; Marshall, Kevin/0000-0002-6793-5535"/>
    <s v=""/>
    <s v=""/>
    <s v=""/>
    <s v=""/>
    <n v="62"/>
    <n v="0"/>
    <n v="0"/>
    <n v="14"/>
    <n v="21"/>
    <s v="WILEY"/>
    <s v="HOBOKEN"/>
    <s v="111 RIVER ST, HOBOKEN 07030-5774, NJ USA"/>
    <s v="0141-1926"/>
    <s v="1469-3518"/>
    <s v=""/>
    <s v="BRIT EDUC RES J"/>
    <s v="Br. Educ. Res. J."/>
    <s v="APR"/>
    <n v="2023"/>
    <n v="49"/>
    <n v="2"/>
    <s v=""/>
    <s v=""/>
    <s v=""/>
    <s v=""/>
    <n v="266"/>
    <n v="287"/>
    <s v=""/>
    <s v="10.1002/berj.3842"/>
    <s v="http://dx.doi.org/10.1002/berj.3842"/>
    <s v=""/>
    <s v="DEC 2022"/>
    <n v="22"/>
    <s v="Education &amp; Educational Research"/>
    <x v="0"/>
    <s v="Education &amp; Educational Research"/>
    <s v="C7UA0"/>
    <s v=""/>
    <s v="hybrid"/>
    <s v=""/>
    <s v=""/>
    <s v="2023-11-15"/>
    <x v="546"/>
    <s v="View Full Record in Web of Science"/>
  </r>
  <r>
    <s v="J"/>
    <s v="Weerabahu, WMSK; Samaranayake, P; Nakandala, D; Lau, H; Malaarachchi, DN"/>
    <s v=""/>
    <s v=""/>
    <s v=""/>
    <s v="Weerabahu, Weerabahu Mudiyanselage Samanthi Kumari; Samaranayake, Premaratne; Nakandala, Dilupa; Lau, Henry; Malaarachchi, Dasun Nirmala"/>
    <s v=""/>
    <s v=""/>
    <s v="Barriers to the adoption of digital servitization: a case of the Sri Lankan manufacturing sector"/>
    <s v="INTERNATIONAL JOURNAL OF EMERGING MARKETS"/>
    <s v=""/>
    <s v=""/>
    <s v="English"/>
    <x v="2"/>
    <s v=""/>
    <s v=""/>
    <s v=""/>
    <s v=""/>
    <s v=""/>
    <s v="Digital servitization; Industry 4; 0; Manufacturing; Barriers of digital servitization"/>
    <s v="DYNAMIC CAPABILITIES; MODELING ENABLERS; INDUSTRY 4.0; MANAGEMENT; INNOVATION; TRANSFORMATION; DIGITIZATION; PERSPECTIVE"/>
    <s v="PurposeThis research aims to identify, examine and evaluate barriers to the adoption of digital servitization in manufacturing firms in the case of the Sri Lankan manufacturing sector and analyze the inter-relationships among digital servitization barriers.Design/methodology/approachBased on the comprehensive literature review, 13 barriers were identified. The grey decision-making trial and evaluation laboratory (grey-DEMATEL) approach was used to uncover and analyze the relationships among barriers in terms of their overall influence and dependencies.FindingsA prominent barrier to the success of adopting digital servitization in the Sri Lankan manufacturing sector is the lack of digital strategy in developing activities related to the design of digital service packages, organizational structures and processes. Supply chain integration is the most influential factor, which plays an important role in developing a competitive advantage by encouraging innovation process capabilities in servitized companies.Practical implicationsIndustry practitioners can develop guidelines for adopting digital servitization practices based on the importance and interdependencies of different barriers and thereby prioritize projects within a program of digital servitization adoption in their organizations.Originality/valueResearch studies on barriers to digital servitization are limited to exploratory nature and have adopted mainly the qualitative approach, such as in-depth interviews. No empirical study has investigated the inter-relationships among digital servitization adoption barriers in the manufacturing sector. This study provides a holistic view of different barriers to the adoption of digital servitization in the manufacturing sector as a basis for developing comprehensive digital servitization strategies to manage and leverage complexity in digital transformation."/>
    <s v="[Weerabahu, Weerabahu Mudiyanselage Samanthi Kumari; Samaranayake, Premaratne; Nakandala, Dilupa; Lau, Henry] Western Sydney Univ, Sydney, NSW, Australia; [Malaarachchi, Dasun Nirmala] Queensland Univ Technol, Brisbane, QLD, Australia"/>
    <s v="Western Sydney University; Queensland University of Technology (QUT)"/>
    <s v="Weerabahu, WMSK (corresponding author), Western Sydney Univ, Sydney, NSW, Australia."/>
    <s v="S.Weerabahu@westernsydney.edu.au; p.samaranayake@westernsydney.edu.au; D.Nakandala@westernsydney.edu.au; H.Lau@westernsydney.edu.au; dasunnirmala.malaarachchi@hdr.qut.edu.au"/>
    <s v="Samaranayake, Premaratne/ABI-6391-2022; Malaarachchi, Dasun Nirmala/ACO-6020-2022"/>
    <s v="Samaranayake, Premaratne/0000-0002-6253-7976; Malaarachchi, Dasun Nirmala/0000-0002-0511-9858; Weerabahu, Samanthi/0000-0003-4925-7096; Nakandala, Dilupa/0000-0003-1535-5288"/>
    <s v=""/>
    <s v=""/>
    <s v=""/>
    <s v=""/>
    <n v="70"/>
    <n v="0"/>
    <n v="0"/>
    <n v="19"/>
    <n v="37"/>
    <s v="EMERALD GROUP PUBLISHING LTD"/>
    <s v="BINGLEY"/>
    <s v="HOWARD HOUSE, WAGON LANE, BINGLEY BD16 1WA, W YORKSHIRE, ENGLAND"/>
    <s v="1746-8809"/>
    <s v="1746-8817"/>
    <s v=""/>
    <s v="INT J EMERG MARK"/>
    <s v="Int. J. Emerg. Mark."/>
    <s v="2022 DEC 14"/>
    <n v="2022"/>
    <s v=""/>
    <s v=""/>
    <s v=""/>
    <s v=""/>
    <s v=""/>
    <s v=""/>
    <s v=""/>
    <s v=""/>
    <s v=""/>
    <s v="10.1108/IJOEM-01-2022-0011"/>
    <s v="http://dx.doi.org/10.1108/IJOEM-01-2022-0011"/>
    <s v=""/>
    <s v="DEC 2022"/>
    <n v="29"/>
    <s v="Business; Economics; Management"/>
    <x v="0"/>
    <s v="Business &amp; Economics"/>
    <s v="6Y1WT"/>
    <s v=""/>
    <s v=""/>
    <s v=""/>
    <s v=""/>
    <s v="2023-11-15"/>
    <x v="547"/>
    <s v="View Full Record in Web of Science"/>
  </r>
  <r>
    <s v="J"/>
    <s v="Corning, GP"/>
    <s v=""/>
    <s v=""/>
    <s v=""/>
    <s v="Corning, Gregory P."/>
    <s v=""/>
    <s v=""/>
    <s v="ASEAN and the Regime Complex for Digital Trade in the Asia-Pacific"/>
    <s v="JOURNAL OF WORLD TRADE"/>
    <s v=""/>
    <s v=""/>
    <s v="English"/>
    <x v="0"/>
    <s v=""/>
    <s v=""/>
    <s v=""/>
    <s v=""/>
    <s v=""/>
    <s v="digital trade; e-commerce; cross-border data flows; regime complex; ASEAN; Digital Economy Partnership Agreement; Indo-Pacific Economic Framework; Singapore; Vietnam; Indonesia"/>
    <s v="FRAGMENTATION"/>
    <s v="How does the complexity and fragmentation of digital trade governance shape the digital trade strategies of members of the Association of Southeast Asian Nations (ASEAN)? And how are these strategies, in turn, shaping digital governance in the region? Drawing on the regime complexity literature in international relations, this article examines the different digital strategies used by three ASEAN members - Singapore, Vietnam, and Indonesia - to navigate between the regulatory approaches of the United States and China. The article highlights the Digital Economy Partnership Agreement (DEPA) as a key venue for increasing cooperation and consistency of digital trade rules in the Asia-Pacific. If the US pushes for a binding digital trade agreement as part of the Indo-Pacific Economic Framework (IPEF), the loose, modular cooperation of DEPA would become more attractive to ASEAN members. Yet, even a modest DEPA that chooses to emphasize breadth of membership over deep liberalization would still represent progress in reducing regime complexity."/>
    <s v="[Corning, Gregory P.] Santa Clara Univ, Dept Polit Sci, Santa Clara, CA 95053 USA"/>
    <s v="Santa Clara University"/>
    <s v="Corning, GP (corresponding author), Santa Clara Univ, Dept Polit Sci, Santa Clara, CA 95053 USA."/>
    <s v="gcorning@scu.edu"/>
    <s v=""/>
    <s v=""/>
    <s v=""/>
    <s v=""/>
    <s v=""/>
    <s v=""/>
    <n v="67"/>
    <n v="0"/>
    <n v="0"/>
    <n v="16"/>
    <n v="30"/>
    <s v="KLUWER LAW INT"/>
    <s v="ALPHEN AAN DEN RIJN"/>
    <s v="ZUIDPOOLSINGEL 2, PO BOX 316, 2400 AH ALPHEN AAN DEN RIJN, NETHERLANDS"/>
    <s v="1011-6702"/>
    <s v="2210-2795"/>
    <s v=""/>
    <s v="J WORLD TRADE"/>
    <s v="J. World Trade"/>
    <s v="DEC"/>
    <n v="2022"/>
    <n v="56"/>
    <n v="6"/>
    <s v=""/>
    <s v=""/>
    <s v=""/>
    <s v=""/>
    <n v="915"/>
    <n v="938"/>
    <s v=""/>
    <s v=""/>
    <s v=""/>
    <s v=""/>
    <s v=""/>
    <n v="24"/>
    <s v="Economics; International Relations; Law"/>
    <x v="0"/>
    <s v="Business &amp; Economics; International Relations; Government &amp; Law"/>
    <s v="7S6ZL"/>
    <s v=""/>
    <s v=""/>
    <s v=""/>
    <s v=""/>
    <s v="2023-11-15"/>
    <x v="548"/>
    <s v="View Full Record in Web of Science"/>
  </r>
  <r>
    <s v="J"/>
    <s v="Dávila-Morán, RC; Paredes, MAM; Roca, MCC; Vigil, VMA; Guzman, LCD"/>
    <s v=""/>
    <s v=""/>
    <s v=""/>
    <s v="Davila-Moran, Roberto Carlos; Paredes, Manuel Alberto Mori; Roca, Mirian Corina Cribillero; Vigil, Vilma Maria Arroyo; Guzman, Luz Chavela De la Torre"/>
    <s v=""/>
    <s v=""/>
    <s v="DIGITAL TRANSFORMATION AND THE MANAGEMENT OF CHANGE IN TEACHERS OF A PERUVIAN UNIVERSITY, IN POST-PANDEMIC TIMES"/>
    <s v="REVISTA UNIVERSIDAD Y SOCIEDAD"/>
    <s v=""/>
    <s v=""/>
    <s v="Spanish"/>
    <x v="0"/>
    <s v=""/>
    <s v=""/>
    <s v=""/>
    <s v=""/>
    <s v=""/>
    <s v="Digital transformation; strategy; technological innovation; digital talent; communication"/>
    <s v=""/>
    <s v="The objective of the study was to determine the relationship between digital transformation and the management of change in teachers of a Peruvian university, in post-pandemic times. The specific objectives were: to determine the relationship between the digital strategy and the management of change in teachers; determine the relationship between technological innovation and the management of change in teachers; determine the relationship between the management of digital talent and the management of change in teachers; determine the relationship between digital communication and the management of change in teachers. The study was of an applied type, correlational descriptive level, quantitative approach and non-experimental design. The population was 245 teachers from a Peruvian university, of which 35 were selected from industrial engineering. Two questionnaires were used, one for digital transformation and the other for change management, each with 16 questions and three response alternatives. The validity of the instrument was confirmed by expert judgment, as well as its reliability by Cronbach's Alpha coefficient. The data was tabulated using Microsoft Excel and SPSS version 26 software, as well as the descriptive analysis of absolute and relative frequencies; and inferential analysis with Spearman's Rho correlation coefficient."/>
    <s v="[Davila-Moran, Roberto Carlos] Univ Privada Norte, Trujillo, Peru; [Paredes, Manuel Alberto Mori] Univ Cesar Vallejo, Trujillo, Peru; [Roca, Mirian Corina Cribillero; Vigil, Vilma Maria Arroyo; Guzman, Luz Chavela De la Torre] Univ Nacl Callao, Bellavista, Peru"/>
    <s v="Universidad Privada del Norte; Universidad Cesar Vallejo; Universidad Nacional de Callao"/>
    <s v="Dávila-Morán, RC (corresponding author), Univ Privada Norte, Trujillo, Peru."/>
    <s v="rdavila430@gmail.com; m2paredes@hotmail.com; mccribilleror@unac.edu.pe; vmarroyov@unac.edu.pe; lcdelatorreg@unac.edu.pe"/>
    <s v=""/>
    <s v=""/>
    <s v=""/>
    <s v=""/>
    <s v=""/>
    <s v=""/>
    <n v="22"/>
    <n v="0"/>
    <n v="0"/>
    <n v="0"/>
    <n v="0"/>
    <s v="UNIV CIENFUEGOS"/>
    <s v="CIENFUEGOS"/>
    <s v="CARRETERA RODAS KM 4, CUATRO CAMINOS, CIENFUEGOS, 00000, CUBA"/>
    <s v="2218-3620"/>
    <s v=""/>
    <s v=""/>
    <s v="REV UNIV SOC"/>
    <s v="Rev. Univ. Soc."/>
    <s v="DEC"/>
    <n v="2022"/>
    <n v="14"/>
    <s v=""/>
    <s v=""/>
    <n v="6"/>
    <s v=""/>
    <s v=""/>
    <n v="469"/>
    <n v="479"/>
    <s v=""/>
    <s v=""/>
    <s v=""/>
    <s v=""/>
    <s v=""/>
    <n v="11"/>
    <s v="Social Sciences, Interdisciplinary"/>
    <x v="3"/>
    <s v="Social Sciences - Other Topics"/>
    <s v="I2HV4"/>
    <s v=""/>
    <s v=""/>
    <s v=""/>
    <s v=""/>
    <s v="2023-11-15"/>
    <x v="549"/>
    <s v="View Full Record in Web of Science"/>
  </r>
  <r>
    <s v="J"/>
    <s v="Piccoli, G; Rodriguez, J; Grover, V"/>
    <s v=""/>
    <s v=""/>
    <s v=""/>
    <s v="Piccoli, Gabriele; Rodriguez, Joaquin; Grover, Varun"/>
    <s v=""/>
    <s v=""/>
    <s v="DIGITAL STRATEGIC INITIATIVES AND DIGITAL RESOURCES: CONSTRUCT DEFINITION AND FUTURE RESEARCH DIRECTIONS1"/>
    <s v="MIS QUARTERLY"/>
    <s v=""/>
    <s v=""/>
    <s v="English"/>
    <x v="0"/>
    <s v=""/>
    <s v=""/>
    <s v=""/>
    <s v=""/>
    <s v=""/>
    <s v="Digital resources; digital strategy; digital innovation; IT resources; IT strategy"/>
    <s v="INFORMATION-SYSTEMS RESEARCH; SERVICE-DOMINANT LOGIC; ORGANIZATIONAL ROUTINES; BOUNDARY RESOURCES; FIRM PERFORMANCE; INNOVATION; TECHNOLOGY; MODULARITY; INFRASTRUCTURES; CAPABILITIES"/>
    <s v="This paper explores the structure and design of digital strategic initiatives (DSI): identifiable competitive moves that depend on digital resources to create and appropriate economic value. We use the term digital deliberately, in line with the recent push for discerning the so-called IT x and Digital x phenomena. The paper contributes to basic science by precisely defining the digital strategic initiative concept and its essential elements: digital resources. It clarifies the difference between digital resources and established constructs such as IT resources and IT-enabled resources. We posit that the defining characteristics of digital resources are their modular design, encapsulation of value, and programmatic interface. This work also shows how the design and development of digital strategic initiatives thrive in an infrastructural, combinatorial, and servitized environment. Using illustrative cases, we demonstrate applications of the concepts by introducing two value creation pathways for DSI: (1) orchestration of digital resources and (2) creation of novel digital resources. The paper concludes by presenting open research questions and offering extensions for future inquiry."/>
    <s v="[Piccoli, Gabriele] Louisiana State Univ, EJ Ourso Coll Business, Stephenson Dept Entrepreneurship &amp; Informat Syst, Baton Rouge, LA 70803 USA; [Piccoli, Gabriele] Louisiana State Univ, Ctr Computat &amp; Technol, Baton Rouge, LA 70803 USA; [Piccoli, Gabriele] Univ Pavia, Dept Econ &amp; Management, Pavia, Italy; [Rodriguez, Joaquin] Genoble Ecole Management, Dept Management Technol &amp; Strategy, F-38000 Grenoble, France; [Grover, Varun] Univ Arkansas, Walton Coll Business, Dept Informat Syst, Fayetteville, AR USA"/>
    <s v="Louisiana State University System; Louisiana State University; Louisiana State University System; Louisiana State University; University of Pavia; University of Arkansas System; University of Arkansas Fayetteville"/>
    <s v="Piccoli, G (corresponding author), Louisiana State Univ, Ctr Computat &amp; Technol, Baton Rouge, LA 70803 USA.;Piccoli, G (corresponding author), Univ Pavia, Dept Econ &amp; Management, Pavia, Italy."/>
    <s v="gpiccoli@lsu.edu; joaquin.rodriguez@grenoble-em.com; vgrover@uark.edu"/>
    <s v=""/>
    <s v=""/>
    <s v=""/>
    <s v=""/>
    <s v=""/>
    <s v=""/>
    <n v="106"/>
    <n v="0"/>
    <n v="0"/>
    <n v="76"/>
    <n v="157"/>
    <s v="SOC INFORM MANAGE-MIS RES CENT"/>
    <s v="MINNEAPOLIS"/>
    <s v="UNIV MINNESOTA-SCH MANAGEMENT 271 19TH AVE SOUTH, MINNEAPOLIS, MN 55455 USA"/>
    <s v="0276-7783"/>
    <s v=""/>
    <s v=""/>
    <s v="MIS QUART"/>
    <s v="MIS Q."/>
    <s v="DEC"/>
    <n v="2022"/>
    <n v="46"/>
    <n v="4"/>
    <s v=""/>
    <s v=""/>
    <s v=""/>
    <s v=""/>
    <n v="2289"/>
    <n v="2316"/>
    <s v=""/>
    <s v="10.25300/MISQ/2022/17061"/>
    <s v="http://dx.doi.org/10.25300/MISQ/2022/17061"/>
    <s v=""/>
    <s v=""/>
    <n v="28"/>
    <s v="Computer Science, Information Systems; Information Science &amp; Library Science; Management"/>
    <x v="1"/>
    <s v="Computer Science; Information Science &amp; Library Science; Business &amp; Economics"/>
    <s v="6R1QC"/>
    <s v=""/>
    <s v=""/>
    <s v=""/>
    <s v=""/>
    <s v="2023-11-15"/>
    <x v="550"/>
    <s v="View Full Record in Web of Science"/>
  </r>
  <r>
    <s v="J"/>
    <s v="Gallardo-Rincón, H; Gascon, JL; Martínez-Juárez, LA; Montoya, A; Saucedo-Martínez, R; Rosales, RM; Tapia-Conyer, R"/>
    <s v=""/>
    <s v=""/>
    <s v=""/>
    <s v="Gallardo-Rincon, Hector; Lomelin Gascon, Julieta; Alberto Martinez-Juarez, Luis; Montoya, Alejandra; Saucedo-Martinez, Rodrigo; Mujica Rosales, Ricardo; Tapia-Conyer, Roberto"/>
    <s v=""/>
    <s v=""/>
    <s v="MIDO COVID: A digital public health strategy designed to tackle chronic disease and the COVID-19 pandemic in Mexico"/>
    <s v="PLOS ONE"/>
    <s v=""/>
    <s v=""/>
    <s v="English"/>
    <x v="0"/>
    <s v=""/>
    <s v=""/>
    <s v=""/>
    <s v=""/>
    <s v=""/>
    <s v=""/>
    <s v="PREVENTION; OBESITY; HYPERTENSION"/>
    <s v="Screening, prevention, and management of non-communicable diseases (NCDs, including obesity, hypertension, and type 2 diabetes) is the core function of Integrated Measurement for Early Detection (MIDO), a digital strategy developed by the Carlos Slim Foundation in Mexico. An extension of this strategy, MIDO COVID, was developed to address the need for an integrated plan in primary health care during the COVID-19 pandemic. MIDO COVID facilitates planning, surveillance, testing, and clinical management of SARS-CoV-2 infections and the major NCDs and their pre-disease states, to streamline the continuum of care. MIDO COVID screening was applied in 1063 Carso Group workplaces in 190 municipalities of the 32 Mexican states. Staff were trained to screen healthy workers for NCDs using a questionnaire, anthropomorphic measurements, and blood work; healthy individuals returning to work also received a SARS-CoV-2 antibody test. Between June 26 and December 31, 2020, 58,277 asymptomatic individuals underwent screening. The prevalence of obesity, hypertension, and type 2 diabetes was 32.1%, 25.7%, and 9.7% respectively. Only 2.2%, 8.8%, and 4.5% of individuals, respectively, were previously aware of their condition. Pre-obesity was identified in 38.6%, pre-hypertension in 17.4%, and prediabetes in 7.5% of the population. Risk of SARS-CoV-2 infection was highest for individuals with multiple NCDs. Many Mexicans are unaware of their health status and potentially increased risk of COVID-19 and serious complications. As a universal strategy implemented regardless of social factors, MIDO COVID promotes equity in access to health care prevention and early stage detection of NCDs; the information gained may help inform decisionmakers regarding prioritising vulnerable populations for immunisation."/>
    <s v="[Gallardo-Rincon, Hector; Lomelin Gascon, Julieta; Alberto Martinez-Juarez, Luis; Montoya, Alejandra; Saucedo-Martinez, Rodrigo; Mujica Rosales, Ricardo] Carlos Slim Fdn, Mexico City, DF, Mexico; [Gallardo-Rincon, Hector] Guadalajara Univ, Hlth Sci Univ Ctr, Guadalajara, Jalisco, Mexico; [Alberto Martinez-Juarez, Luis] London Sch Hyg &amp; Trop Med, London, England; [Tapia-Conyer, Roberto] Univ Nacl Autonoma Mexico, Mexico City, DF, Mexico"/>
    <s v="Universidad de Guadalajara; University of London; London School of Hygiene &amp; Tropical Medicine; Universidad Nacional Autonoma de Mexico"/>
    <s v="Montoya, A (corresponding author), Carlos Slim Fdn, Mexico City, DF, Mexico."/>
    <s v="airainmr@fundacioncarlosslim.org"/>
    <s v="Gascon, Jose/Y-1746-2018"/>
    <s v="Gascon, Jose/0000-0002-5070-3164; Martinez-Juarez, Luis Alberto/0000-0001-7550-7867; Montoya, Alejandra/0000-0002-9466-8452; Gallardo-Rincon, Hector Jose/0000-0002-0811-4606"/>
    <s v="Carlos Slim Foundation"/>
    <s v="Carlos Slim Foundation"/>
    <s v="The funder of the study, the Carlos Slim Foundation (https://fundacioncarlosslim.org/english/salud/), provided support in the form of salaries for authors (HGR, JLG, LMJ, AM, RSM, and RMR), and contributed to the study design, data collection, data analysis, data interpretation, and writing of the report. The specific roles of the authors are articulated in the `Author contributions' section."/>
    <s v=""/>
    <n v="25"/>
    <n v="0"/>
    <n v="0"/>
    <n v="1"/>
    <n v="1"/>
    <s v="PUBLIC LIBRARY SCIENCE"/>
    <s v="SAN FRANCISCO"/>
    <s v="1160 BATTERY STREET, STE 100, SAN FRANCISCO, CA 94111 USA"/>
    <s v="1932-6203"/>
    <s v=""/>
    <s v=""/>
    <s v="PLOS ONE"/>
    <s v="PLoS One"/>
    <s v="NOV 17"/>
    <n v="2022"/>
    <n v="17"/>
    <n v="11"/>
    <s v=""/>
    <s v=""/>
    <s v=""/>
    <s v=""/>
    <s v=""/>
    <s v=""/>
    <s v="e0277014"/>
    <s v="10.1371/journal.pone.0277014"/>
    <s v="http://dx.doi.org/10.1371/journal.pone.0277014"/>
    <s v=""/>
    <s v=""/>
    <n v="14"/>
    <s v="Multidisciplinary Sciences"/>
    <x v="2"/>
    <s v="Science &amp; Technology - Other Topics"/>
    <s v="8O7KW"/>
    <n v="36395257"/>
    <s v="Green Published, gold"/>
    <s v=""/>
    <s v=""/>
    <s v="2023-11-15"/>
    <x v="551"/>
    <s v="View Full Record in Web of Science"/>
  </r>
  <r>
    <s v="J"/>
    <s v="Yun, K; Yu, JM; Liu, CY; Zhang, XX"/>
    <s v=""/>
    <s v=""/>
    <s v=""/>
    <s v="Yun, Ke; Yu, Jiaming; Liu, Changyang; Zhang, Xinxin"/>
    <s v=""/>
    <s v=""/>
    <s v="A Cost-effectiveness Analysis of a Mobile Phone-Based Integrated HIV-Prevention Intervention Among Men Who Have Sex With Men in China: Economic Evaluation"/>
    <s v="JOURNAL OF MEDICAL INTERNET RESEARCH"/>
    <s v=""/>
    <s v=""/>
    <s v="English"/>
    <x v="0"/>
    <s v=""/>
    <s v=""/>
    <s v=""/>
    <s v=""/>
    <s v=""/>
    <s v="cost-effectiveness; digital intervention; men who have sex with men; mathematical model"/>
    <s v="RISK; TRANSMISSION"/>
    <s v="Background: Mobile phone-based digital interventions have been shown to be a promising strategy for HIV prevention among men who have sex with men (MSM). Objective: This study aimed to evaluate the cost-effectiveness of a mobile phone-based digital intervention for HIV prevention among MSM in China from the perspective of a public health provider. Methods: The cost-effectiveness of the mobile phone-based digital intervention was estimated for a hypothetical cohort of 10,000 HIV-negative MSM who were followed for 1 year. A model was developed with China-specific data to project the clinical impact and cost-effectiveness of two mobile phone-based digital strategies for HIV prevention among MSM. The intervention group received an integrated behavioral intervention that included 1) individualized HIV infection risk assessment, 2) recommendation of centers testing for HIV and other STIs, 3) free online order of condoms and HIV and syphilis self-test kits and 4) educational materials about HIV/AIDS. The control group was only given educational materials about HIV/AIDS. Outcomes of interest were the number of HIV infections among MSM averted by the intervention, intervention costs, cost per HIV infection averted by the mobile phone-based digital intervention, and quality-adjusted life-years (QALYs). Univariate and multivariate sensitivity analyses were also conducted to examine the robustness of the results. Results: It is estimated that the intervention can prevent 48 MSM from becoming infected with HIV and can save 480 QALYs. The cost of preventing 1 case of HIV infection was US $2599.87, and the cost-utility ratio was less than 0. Sensitivity analysis showed that the cost-effectiveness of the mobile phone-based digital intervention was mainly impacted by the average number of sexual behaviors with each sexual partner. Additionally, the higher the HIV prevalence among MSM, the greater the benefit of the intervention. Conclusions: Mobile phone-based digital interventions are a cost-effective HIV-prevention strategy for MSM and could be considered for promotion and application among high-risk MSM subgroups."/>
    <s v="[Yun, Ke] China Med Univ, Dept Lab Med, Affiliated Hosp 1, Shenyang, Peoples R China; [Yu, Jiaming] China Med Univ, Dept Hosp Infect Management, Affiliated Hosp 4, Shenyang, Peoples R China; [Liu, Changyang; Zhang, Xinxin] China Med Univ, Dept Ophthalmol Lab, Affiliated Hosp 4, 11 Xinhua Rd, Shenyang 110006, Peoples R China"/>
    <s v="China Medical University; China Medical University; China Medical University"/>
    <s v="Zhang, XX (corresponding author), China Med Univ, Dept Ophthalmol Lab, Affiliated Hosp 4, 11 Xinhua Rd, Shenyang 110006, Peoples R China."/>
    <s v="zhangxinxin@cmu.edu.cn"/>
    <s v="Yu, Jiaming/JDM-2390-2023; Liu, Changyang/GXM-9414-2022"/>
    <s v="yu, jiaming/0000-0001-5322-2545"/>
    <s v="Liaoning Natural Science Foundation Project [2020-BS-091]"/>
    <s v="Liaoning Natural Science Foundation Project"/>
    <s v="We thank the study participants who participated in the clinical trial. This research received funding from the Liaoning Natural Science Foundation Project (2020-BS-091)."/>
    <s v=""/>
    <n v="27"/>
    <n v="0"/>
    <n v="0"/>
    <n v="3"/>
    <n v="3"/>
    <s v="JMIR PUBLICATIONS, INC"/>
    <s v="TORONTO"/>
    <s v="130 QUEENS QUAY East, Unit 1100, TORONTO, ON M5A 0P6, CANADA"/>
    <s v="1438-8871"/>
    <s v=""/>
    <s v=""/>
    <s v="J MED INTERNET RES"/>
    <s v="J. Med. Internet Res."/>
    <s v="NOV 8"/>
    <n v="2022"/>
    <n v="24"/>
    <n v="11"/>
    <s v=""/>
    <s v=""/>
    <s v=""/>
    <s v=""/>
    <s v=""/>
    <s v=""/>
    <s v="e38855"/>
    <s v="10.2196/38855"/>
    <s v="http://dx.doi.org/10.2196/38855"/>
    <s v=""/>
    <s v=""/>
    <n v="10"/>
    <s v="Health Care Sciences &amp; Services; Medical Informatics"/>
    <x v="2"/>
    <s v="Health Care Sciences &amp; Services; Medical Informatics"/>
    <s v="8K4NF"/>
    <n v="36322123"/>
    <s v="Green Published, gold"/>
    <s v=""/>
    <s v=""/>
    <s v="2023-11-15"/>
    <x v="552"/>
    <s v="View Full Record in Web of Science"/>
  </r>
  <r>
    <s v="J"/>
    <s v="Pourmorshed, S; Durst, S"/>
    <s v=""/>
    <s v=""/>
    <s v=""/>
    <s v="Pourmorshed, Sara; Durst, Susanne"/>
    <s v=""/>
    <s v=""/>
    <s v="The Usefulness of the Digitalization Integration Framework for Developing Digital Supply Chains in SMEs"/>
    <s v="SUSTAINABILITY"/>
    <s v=""/>
    <s v=""/>
    <s v="English"/>
    <x v="0"/>
    <s v=""/>
    <s v=""/>
    <s v=""/>
    <s v=""/>
    <s v=""/>
    <s v="digital supply chain; digitalization; small and medium-sized enterprises; SMEs; adoption; digital transformation"/>
    <s v="RISK-MANAGEMENT; TRANSFORMATION; PERFORMANCE"/>
    <s v="Although studies in the field of digital supply chains (DSC) have increased in recent years, there is still a lack of theoretical and empirical studies that show how DSC can be successfully implemented. There is a lack of studies in small and medium-sized enterprises (SMEs) in particular. This paper addresses this situation and explores the usefulness of the digitalization integration framework (DIF) proposed by Buyukozkan and Gocer in 2018 for the development of DSC in SMEs. More precisely, based on a case study design involving Swedish SMEs operating in the same supply chain, this paper provides insight into the DSC process of these Swedish SMEs adopting the DIF. The results of the study enable the proposal of an updated framework consisting of five main components in the digitalization process, namely: digital strategy, digital organization and culture, digital operations, digital products and services, and digital customer experience. Furthermore, each component consists of several steps, called sub-components, which could be considered by SMEs when developing DSC to increase the success of this challenging activity."/>
    <s v="[Pourmorshed, Sara; Durst, Susanne] Halmstad Univ, Sch Business Innovat &amp; Sustainabil, S-30118 Halmstad, Sweden"/>
    <s v="Halmstad University"/>
    <s v="Durst, S (corresponding author), Halmstad Univ, Sch Business Innovat &amp; Sustainabil, S-30118 Halmstad, Sweden."/>
    <s v="susanne.durst@hh.se"/>
    <s v="Durst, Susanne/J-8919-2017"/>
    <s v="Durst, Susanne/0000-0001-8469-2427"/>
    <s v=""/>
    <s v=""/>
    <s v=""/>
    <s v=""/>
    <n v="79"/>
    <n v="0"/>
    <n v="0"/>
    <n v="10"/>
    <n v="25"/>
    <s v="MDPI"/>
    <s v="BASEL"/>
    <s v="ST ALBAN-ANLAGE 66, CH-4052 BASEL, SWITZERLAND"/>
    <s v=""/>
    <s v="2071-1050"/>
    <s v=""/>
    <s v="SUSTAINABILITY-BASEL"/>
    <s v="Sustainability"/>
    <s v="NOV"/>
    <n v="2022"/>
    <n v="14"/>
    <n v="21"/>
    <s v=""/>
    <s v=""/>
    <s v=""/>
    <s v=""/>
    <s v=""/>
    <s v=""/>
    <n v="14352"/>
    <s v="10.3390/su142114352"/>
    <s v="http://dx.doi.org/10.3390/su142114352"/>
    <s v=""/>
    <s v=""/>
    <n v="17"/>
    <s v="Green &amp; Sustainable Science &amp; Technology; Environmental Sciences; Environmental Studies"/>
    <x v="1"/>
    <s v="Science &amp; Technology - Other Topics; Environmental Sciences &amp; Ecology"/>
    <s v="6F7CK"/>
    <s v=""/>
    <s v="Green Published, gold"/>
    <s v=""/>
    <s v=""/>
    <s v="2023-11-15"/>
    <x v="553"/>
    <s v="View Full Record in Web of Science"/>
  </r>
  <r>
    <s v="J"/>
    <s v="Yevtodyeva, MG"/>
    <s v=""/>
    <s v=""/>
    <s v=""/>
    <s v="Yevtodyeva, Marianna G."/>
    <s v=""/>
    <s v=""/>
    <s v="EMPLOYMENT AND EDUCATION POLICY IN GERMANY IN THE CONTEXT OF DIGITALISATION AND INDUSTRY 4.0 DEVELOPMENT"/>
    <s v="MIROVAYA EKONOMIKA I MEZHDUNARODNYE OTNOSHENIYA"/>
    <s v=""/>
    <s v=""/>
    <s v="Russian"/>
    <x v="0"/>
    <s v=""/>
    <s v=""/>
    <s v=""/>
    <s v=""/>
    <s v=""/>
    <s v="Germany; Industry 4.0; Labour 4.0; Education 4.0; digitalization; labour market; regulatory tools"/>
    <s v=""/>
    <s v="The article is devoted to the study of tools to regulate the evolution of the labour market and educational sphere in Germany in connection with digitalization and the development of the Industry 4.0. These issues have been studied insufficiently both at the country and cross-country levels, since most of the scientific literature deals mainly with economic and technological aspects of digital transformation, while the role of public policy and the formation of the digital environment (including human resources and education) are given much less attention. The paper highlights key features of Germany's digital strategy, such as the development of cyber-physical systems, IT security, and the reliance on public-private partnerships in the course of digitalization. It also analyzes a wide range of projects, initiatives and programs in the field of regulation of the labour market and education, on the basis of which the German Federal Government provides a solution to the most pressing problems and challenges for the country's digitalization. According to the findings of the White Paper Labour 4.0 by the Federal Ministry of Labour and Social Affairs and of a number of experts in labour market of Germany, these challenges include: the lack of the qualified specialists in MINT professions (Mathematik, Informatik, Naturwissenschaften, Technik), specialists with digital skills and knowledge of information and communication technologies; shortcomings in the development of education and digital environment, in particular low levels of technical equipment of schools and other educational institutions; the negative impact of demographics and migration problems on the labour market and employment."/>
    <s v="[Yevtodyeva, Marianna G.] Russian Acad Sci IMEMO, Primakov Natl Res Inst World Econ &amp; Int Relat, 23 Profsoyuznaya Str, Moscow 117997, Russia"/>
    <s v="Russian Academy of Sciences; Primakov National Research Institute of World Economy &amp; International Relations of the Russian Academy of Sciences"/>
    <s v="Yevtodyeva, MG (corresponding author), Russian Acad Sci IMEMO, Primakov Natl Res Inst World Econ &amp; Int Relat, 23 Profsoyuznaya Str, Moscow 117997, Russia."/>
    <s v="mariannaevt@imemo.ru"/>
    <s v="Yevtodyeva, Marianna/Q-2240-2018"/>
    <s v="Yevtodyeva, Marianna/0000-0002-3477-4763"/>
    <s v="Russian Foundation for Basic Research (RFBR) [20-011-31492]"/>
    <s v="Russian Foundation for Basic Research (RFBR)(Russian Foundation for Basic Research (RFBR))"/>
    <s v="The article has been supported by a grant of the Russian Foundation for Basic Research (RFBR) . Project no. 20-011-31492 Science and Technology Policy in the Context of Society's Digital Transformation: Global Practices and Russia."/>
    <s v=""/>
    <n v="45"/>
    <n v="0"/>
    <n v="0"/>
    <n v="8"/>
    <n v="11"/>
    <s v="NAUKA PUBLISHING HOUSE"/>
    <s v="MOSCOW"/>
    <s v="PROFSOYUZNAYA UL 90, MOSCOW, 117864, RUSSIA"/>
    <s v="0131-2227"/>
    <s v=""/>
    <s v=""/>
    <s v="MIROVAYA EKON MEZHD"/>
    <s v="Mirovaya Ekon. Mezhdunarodyne Otnosheniya"/>
    <s v="NOV"/>
    <n v="2022"/>
    <n v="66"/>
    <n v="11"/>
    <s v=""/>
    <s v=""/>
    <s v=""/>
    <s v=""/>
    <n v="50"/>
    <n v="59"/>
    <s v=""/>
    <s v="10.20542/0131-2227-2022-66-11-50-59"/>
    <s v="http://dx.doi.org/10.20542/0131-2227-2022-66-11-50-59"/>
    <s v=""/>
    <s v=""/>
    <n v="10"/>
    <s v="International Relations"/>
    <x v="3"/>
    <s v="International Relations"/>
    <s v="6P7FA"/>
    <s v=""/>
    <s v="Bronze"/>
    <s v=""/>
    <s v=""/>
    <s v="2023-11-15"/>
    <x v="554"/>
    <s v="View Full Record in Web of Science"/>
  </r>
  <r>
    <s v="J"/>
    <s v="Ru, J; Mastan, E; Zhou, LY; Shao, CM; Zhao, J; Wang, SH; Zhu, SP"/>
    <s v=""/>
    <s v=""/>
    <s v=""/>
    <s v="Ru, Jing; Mastan, Erlita; Zhou, Liyang; Shao, Chunming; Zhao, Jie; Wang, Shuhua; Zhu, Shiping"/>
    <s v=""/>
    <s v=""/>
    <s v="Digital Strategies to Improve Product Quality and Production Efficiency of Fluorinated Polymers: 1. Development of Kinetic Model and Experimental Verification for Fluorinated Ethylene Propylene Copolymerization"/>
    <s v="INDUSTRIAL &amp; ENGINEERING CHEMISTRY RESEARCH"/>
    <s v=""/>
    <s v=""/>
    <s v="English"/>
    <x v="0"/>
    <s v=""/>
    <s v=""/>
    <s v=""/>
    <s v=""/>
    <s v=""/>
    <s v=""/>
    <s v="RADICAL COPOLYMERIZATION; MOLECULAR-WEIGHT; DYNAMIC RHEOLOGY; POLYMERIZATION; TETRAFLUOROETHYLENE; MONOMERS"/>
    <s v="Digitalization of industrial polymerization processes repre-sents an effective and efficient approach for product-grade upgrading and for production efficiency improvement. A mechanistic model based on the first principles of elementary reactions and mass balances provides a powerful tool in the practice of process digitalization. In this work, we developed a comprehensive kinetic model for the batch process of bulk copolymerization of tetrafluoroethylene with hexafluoropropylene. A series of experimental runs were carried out under various conditions. The fluorinated ethylene propylene copolymer samples were collected, with the monomer conversions, copolymer compositions, and polymer molecular weights, as well as the melting and crystallization properties, fully analyzed. The model was then correlated with the data for estimation of the model parameters. The reactivity ratios were found to be r1 = 65.5 and r2 = 2.6 x 10-3. With a whole set of estimated parameters, the model was used to simulate results under different polymerization conditions close to industrial production processes, which were further verified with additional experimental data. The agreement between simulated and experimental results was good. The experimentally verified model provides a powerful tool for industrial process optimization aiming at improvement of product quality and production efficiency."/>
    <s v="[Zhou, Liyang; Shao, Chunming; Zhao, Jie; Wang, Shuhua] Zhejiang Juhua Co Ltd, Quzhou 324004, Peoples R China; [Ru, Jing; Mastan, Erlita; Zhu, Shiping] Hangzhou Juyong Technol Ltd, Hangzhou 310030, Peoples R China; [Zhu, Shiping] Chinese Univ Hong Kong, Sch Sci &amp; Engn, Shenzhen 518172, Peoples R China; [Ru, Jing] Hangzhou Oxygen Plant Grp Co Ltd, Hangzhou 310014, Peoples R China"/>
    <s v="Chinese University of Hong Kong, Shenzhen"/>
    <s v="Zhou, LY (corresponding author), Zhejiang Juhua Co Ltd, Quzhou 324004, Peoples R China.;Zhu, SP (corresponding author), Hangzhou Juyong Technol Ltd, Hangzhou 310030, Peoples R China.;Zhu, SP (corresponding author), Chinese Univ Hong Kong, Sch Sci &amp; Engn, Shenzhen 518172, Peoples R China."/>
    <s v="fhzly@juhua.com; shipingzhu@cuhk.edu.cn"/>
    <s v="Zhu, Shiping/M-6313-2016"/>
    <s v="Zhu, Shiping/0000-0001-8551-0859"/>
    <s v=""/>
    <s v=""/>
    <s v=""/>
    <s v=""/>
    <n v="49"/>
    <n v="0"/>
    <n v="0"/>
    <n v="1"/>
    <n v="8"/>
    <s v="AMER CHEMICAL SOC"/>
    <s v="WASHINGTON"/>
    <s v="1155 16TH ST, NW, WASHINGTON, DC 20036 USA"/>
    <s v="0888-5885"/>
    <s v=""/>
    <s v=""/>
    <s v="IND ENG CHEM RES"/>
    <s v="Ind. Eng. Chem. Res."/>
    <s v="OCT 12"/>
    <n v="2022"/>
    <n v="61"/>
    <n v="40"/>
    <s v=""/>
    <s v=""/>
    <s v=""/>
    <s v=""/>
    <n v="14813"/>
    <n v="14822"/>
    <s v=""/>
    <s v="10.1021/acs.iecr.2c01834"/>
    <s v="http://dx.doi.org/10.1021/acs.iecr.2c01834"/>
    <s v=""/>
    <s v=""/>
    <n v="10"/>
    <s v="Engineering, Chemical"/>
    <x v="2"/>
    <s v="Engineering"/>
    <s v="5K4GN"/>
    <s v=""/>
    <s v=""/>
    <s v=""/>
    <s v=""/>
    <s v="2023-11-15"/>
    <x v="555"/>
    <s v="View Full Record in Web of Science"/>
  </r>
  <r>
    <s v="J"/>
    <s v="da Silva, MR; Bussador, A; Botton, JP; Zara, KRD; de Almeida, GGF; Rezende, DA"/>
    <s v=""/>
    <s v=""/>
    <s v=""/>
    <s v="da Silva, Marcelo Rodrigues; Bussador, Alessandra; Botton, Janine Padilha; de Freitas Zara, Katya Regina; Feijo de Almeida, Giovana Goretti; Rezende, Denis Alcides"/>
    <s v=""/>
    <s v=""/>
    <s v="Relations between strategies, public services, and strategic digital city: cases of Foz do Iguacu and Pinhais, Parana, Brazil"/>
    <s v="REVISTA TECNOLOGIA E SOCIEDADE"/>
    <s v=""/>
    <s v=""/>
    <s v="Portuguese"/>
    <x v="0"/>
    <s v=""/>
    <s v=""/>
    <s v=""/>
    <s v=""/>
    <s v=""/>
    <s v="Urban services; Urban management; Strategic digital city; Information Technology; Public services"/>
    <s v="COPRODUCTION"/>
    <s v="The cities and public services strategies enhance the production of participatory urban environments for their citizens. The objective is to analyze the strategies and urban public services that use information technology resources and relationships with the strategic digital city subprojects. The research methodology emphasized the study of multiple cases in 2 cities in Parana, Brazil. The results showed that each city sought to highlight themes that coincide with the development provided by its locations. The conclusion reiterates that there is a commitment to comply with the strategies established in plans and institutional documents applying information technology resources to improve urban management and the citizens quality of life in both cities."/>
    <s v="[da Silva, Marcelo Rodrigues] Univ Tecnol Fed Parana, Curitiba, Parana, Brazil; [da Silva, Marcelo Rodrigues] Inst Fed Parana, Curitiba, Parana, Brazil; [Bussador, Alessandra; Botton, Janine Padilha; de Freitas Zara, Katya Regina] Univ Fed Integracao Latino Amer, Foz Do Iguacu, Parana, Brazil; [Feijo de Almeida, Giovana Goretti; Rezende, Denis Alcides] Pontificia Univ Catolica Parana, Curitiba, Parana, Brazil"/>
    <s v="Universidade Tecnologica Federal do Parana; Universidade Federal do Parana; Pontificia Universidade Catolica do Parana; Instituto Federal do Parana; Universidade Federal da Integracao Latino-Americana; Pontificia Universidade Catolica do Parana"/>
    <s v="da Silva, MR (corresponding author), Univ Tecnol Fed Parana, Curitiba, Parana, Brazil.;da Silva, MR (corresponding author), Inst Fed Parana, Curitiba, Parana, Brazil."/>
    <s v="marcelo.silva@ifpr.edu.br; bussador@yahoo.com.br; janine.padilha@unila.edu.br; katya.freitas@unila.edu.br; goretti.giovana@gmail.com; denis.rezende@pucpr.br"/>
    <s v="Almeida, Giovana Goretti Feijó de/I-2491-2016"/>
    <s v="Almeida, Giovana Goretti Feijó de/0000-0003-0956-1341"/>
    <s v=""/>
    <s v=""/>
    <s v=""/>
    <s v=""/>
    <n v="42"/>
    <n v="0"/>
    <n v="0"/>
    <n v="0"/>
    <n v="0"/>
    <s v="UNIV TECNOLOGICA FED PARANA-UTFPR"/>
    <s v="CURITIBA"/>
    <s v="AV SETE SETEMBRO 3165, REBOUCAS, CURITIBA, PR 80230-901, BRAZIL"/>
    <s v="1809-0044"/>
    <s v="1984-3526"/>
    <s v=""/>
    <s v="REV TECNOL SOC"/>
    <s v="REV. TECNOL. SOC."/>
    <s v="OCT-DEC"/>
    <n v="2022"/>
    <n v="18"/>
    <n v="54"/>
    <s v=""/>
    <s v=""/>
    <s v=""/>
    <s v=""/>
    <n v="294"/>
    <n v="311"/>
    <s v=""/>
    <s v="10.3895/rts.v18n54.15324"/>
    <s v="http://dx.doi.org/10.3895/rts.v18n54.15324"/>
    <s v=""/>
    <s v=""/>
    <n v="18"/>
    <s v="Social Sciences, Interdisciplinary"/>
    <x v="3"/>
    <s v="Social Sciences - Other Topics"/>
    <s v="8U3VM"/>
    <s v=""/>
    <s v="gold"/>
    <s v=""/>
    <s v=""/>
    <s v="2023-11-15"/>
    <x v="556"/>
    <s v="View Full Record in Web of Science"/>
  </r>
  <r>
    <s v="J"/>
    <s v="Nicolau, C; Nichifor, E; Munteanu, D; Barbulescu, O"/>
    <s v=""/>
    <s v=""/>
    <s v=""/>
    <s v="Nicolau, Cristina; Nichifor, Eliza; Munteanu, Daniel; Barbulescu, Oana"/>
    <s v=""/>
    <s v=""/>
    <s v="Decoding Business Potential for Digital Sustainable Entrepreneurship: What Romanian Entrepreneurs Think and Do for the Future"/>
    <s v="SUSTAINABILITY"/>
    <s v=""/>
    <s v=""/>
    <s v="English"/>
    <x v="0"/>
    <s v=""/>
    <s v=""/>
    <s v=""/>
    <s v=""/>
    <s v=""/>
    <s v="digital sustainable entrepreneurship; digital transformation; digital strategy; entrepreneurial vision; digitalisation"/>
    <s v="TRANSFORMATION; PERSPECTIVE; INNOVATION"/>
    <s v="The digital environment and the businesses can no longer exist separately; the way in which entrepreneurs adapt to digital environments determines the future of the companies. By aiming to understand Romanian entrepreneurs' openness and the assets disposed for digitalisation, the authors performed a study which revealed different managerial approaches used in order to achieve digital entrepreneurial sustainability. With exploratory research, they (i) identified the strategic approaches of the businesses within the digital environment, (ii) analysed the importance of strategic objectives and the entrepreneurial vision, (iii) understood the long-term strategies and the costs of digitalisation, and (iv) analysed the future of the business in terms of cyber security. The study highlighted that no Romanian entrepreneur placed digitalisation as an independent objective for its company, showing that companies needed a proper digitalisation strategy correlated to the opportunities and threats of the business environment. Moreover, the Romanian entrepreneurs' knowledge in cyber security was low even though they were aware that it was imperative to control critical information and develop data security strategy so as to avoid data theft/loss in the company. All the findings favoured conceptualising a new Digital Sustainable Entrepreneurship Model based on owners' entrepreneurial visions and companies' strategic objectives alike, a guide-framework to remain competitive in a sustainable, ever-growing market."/>
    <s v="[Nicolau, Cristina; Nichifor, Eliza; Barbulescu, Oana] Transilvania Univ Brasov, Fac Econ Sci &amp; Business Adm, Brasov 500036, Romania; [Munteanu, Daniel] Transilvania Univ Brasov, Fac Mat Sci &amp; Engn, Brasov 500036, Romania"/>
    <s v="Transylvania University of Brasov; Transylvania University of Brasov"/>
    <s v="Nicolau, C (corresponding author), Transilvania Univ Brasov, Fac Econ Sci &amp; Business Adm, Brasov 500036, Romania."/>
    <s v="cristina.nicolau@unitbv.ro"/>
    <s v="Nicolau, Cristina/E-8312-2015"/>
    <s v="Nicolau, Cristina/0000-0002-7180-2102; NICHIFOR, ELIZA/0000-0003-2838-6155; Munteanu, Daniel/0000-0001-6749-6766"/>
    <s v="Transilvania University of Brasov [CNFISFDI-2022-0012]"/>
    <s v="Transilvania University of Brasov"/>
    <s v="The research was funded by Transilvania University of Brasov within the project CNFISFDI-2022-0012 Innovation and Entrepreneurship at Transilvania University of Brasov-INOVANT."/>
    <s v=""/>
    <n v="91"/>
    <n v="0"/>
    <n v="0"/>
    <n v="7"/>
    <n v="11"/>
    <s v="MDPI"/>
    <s v="BASEL"/>
    <s v="ST ALBAN-ANLAGE 66, CH-4052 BASEL, SWITZERLAND"/>
    <s v=""/>
    <s v="2071-1050"/>
    <s v=""/>
    <s v="SUSTAINABILITY-BASEL"/>
    <s v="Sustainability"/>
    <s v="OCT"/>
    <n v="2022"/>
    <n v="14"/>
    <n v="20"/>
    <s v=""/>
    <s v=""/>
    <s v=""/>
    <s v=""/>
    <s v=""/>
    <s v=""/>
    <n v="13636"/>
    <s v="10.3390/su142013636"/>
    <s v="http://dx.doi.org/10.3390/su142013636"/>
    <s v=""/>
    <s v=""/>
    <n v="21"/>
    <s v="Green &amp; Sustainable Science &amp; Technology; Environmental Sciences; Environmental Studies"/>
    <x v="1"/>
    <s v="Science &amp; Technology - Other Topics; Environmental Sciences &amp; Ecology"/>
    <s v="5Q4MQ"/>
    <s v=""/>
    <s v="gold"/>
    <s v=""/>
    <s v=""/>
    <s v="2023-11-15"/>
    <x v="557"/>
    <s v="View Full Record in Web of Science"/>
  </r>
  <r>
    <s v="J"/>
    <s v="Ovrelid, E"/>
    <s v=""/>
    <s v=""/>
    <s v=""/>
    <s v="Ovrelid, Egil"/>
    <s v=""/>
    <s v=""/>
    <s v="Exploring the Alignment between Digital Strategies and Educational Practices in Higher Education Infrastructures"/>
    <s v="EDUCATION SCIENCES"/>
    <s v=""/>
    <s v=""/>
    <s v="English"/>
    <x v="0"/>
    <s v=""/>
    <s v=""/>
    <s v=""/>
    <s v=""/>
    <s v=""/>
    <s v="digital strategies; higher education; educational practices; digital infrastructure"/>
    <s v="INFORMATION INFRASTRUCTURES; INNOVATION; TRANSFORMATION; PERSPECTIVE; TECHNOLOGY; CONTINUITY; COMPLEXITY; LOGIC"/>
    <s v="Higher education is a key pillar in constructing new knowledge economies for the 21st century, and the digitalization of higher education is a central focus area for national authorities. Visionary discourses from authorities state that the decision-making authority for digital strategies should be centralized to the domain of management. Digitalization is, however, driven by key features of modern technology and may also lead to the transformation of traditional educational methods as well as educational practices. Since the university contains several disciplines, different strategies can be used when products or processes within the disciplines are digitalized. It is important to consider in the ways that different disciplines can proceed to digitalize their educational practices. Based on these interests, our research question is as follows: how do digital strategies in higher education emerge, and how do they align with the educational context? Through a qualitative case study with interviews, participation in workshops, and document analyses, we investigated two digitalization efforts in the fields of medicine and law. We found that the two classical disciplines' strategic approaches differed substantially. Based on the findings, our main contribution is a digitalization model with two archetypes, namely digital transformation strategy and digital innovation strategy. The model highlight the main object of the respective strategies, but also the institutional reaction to digitalization efforts. An implication from our study is the demonstration of how specific faculties adapt digital strategies to educational practices. This may sometimes lead to the transformation of educational practices, while other times more incremental moderate changes may be implemented. From a practical point of view, policymakers, politicians, educational management, and professionals need knowledge and expertise about the implications of digital strategies for educational practices. Our contribution, we propose, strengthens the understanding of strategies within digital infrastructures in higher education."/>
    <s v="[Ovrelid, Egil] Univ Oslo, Dept Informat, N-0373 Oslo, Norway"/>
    <s v="University of Oslo"/>
    <s v="Ovrelid, E (corresponding author), Univ Oslo, Dept Informat, N-0373 Oslo, Norway."/>
    <s v="egilov@ifi.uio.no"/>
    <s v=""/>
    <s v="Ovrelid, Egil/0000-0002-9946-4686"/>
    <s v=""/>
    <s v=""/>
    <s v=""/>
    <s v=""/>
    <n v="42"/>
    <n v="0"/>
    <n v="0"/>
    <n v="4"/>
    <n v="14"/>
    <s v="MDPI"/>
    <s v="BASEL"/>
    <s v="ST ALBAN-ANLAGE 66, CH-4052 BASEL, SWITZERLAND"/>
    <s v=""/>
    <s v="2227-7102"/>
    <s v=""/>
    <s v="EDUC SCI"/>
    <s v="Educ. Sci."/>
    <s v="OCT"/>
    <n v="2022"/>
    <n v="12"/>
    <n v="10"/>
    <s v=""/>
    <s v=""/>
    <s v=""/>
    <s v=""/>
    <s v=""/>
    <s v=""/>
    <n v="711"/>
    <s v="10.3390/educsci12100711"/>
    <s v="http://dx.doi.org/10.3390/educsci12100711"/>
    <s v=""/>
    <s v=""/>
    <n v="15"/>
    <s v="Education &amp; Educational Research"/>
    <x v="3"/>
    <s v="Education &amp; Educational Research"/>
    <s v="5R0CL"/>
    <s v=""/>
    <s v="gold"/>
    <s v=""/>
    <s v=""/>
    <s v="2023-11-15"/>
    <x v="558"/>
    <s v="View Full Record in Web of Science"/>
  </r>
  <r>
    <s v="J"/>
    <s v="Wang, YY; Guo, YD"/>
    <s v=""/>
    <s v=""/>
    <s v=""/>
    <s v="Wang, Yanyong; Guo, Yingdong"/>
    <s v=""/>
    <s v=""/>
    <s v="Does Digital Transformation Enhance Corporate Risk-Taking?: Evidence from China"/>
    <s v="AFRICAN AND ASIAN STUDIES"/>
    <s v=""/>
    <s v=""/>
    <s v="English"/>
    <x v="0"/>
    <s v=""/>
    <s v=""/>
    <s v=""/>
    <s v=""/>
    <s v=""/>
    <s v="digital transformation; corporate risk-taking; information disclosure quality; asset utilization"/>
    <s v=""/>
    <s v="Corporate risk-taking, as an essential factor in corporation development, is influenced by the enterprise's strategic decision-making. Today, with the rapid development of science and technology, digital technology has a profound effect on the whole society and enterprises. Then, one question is proposed: how should enterprises make strate-gic decisions to deal with the current opportunities and challenges, enhance their own corporate risk-taking, and then achieve high-quality development? We collected the data from companies listed on China's Shenzhen Stock Exchange and Shanghai Stock Exchange from zo1o to zozo. Starting from the corporate risk-taking perspective, we conducted an empirical analysis to validate the relationship between digital transformation of corporations and corporate risk-taking. We found that digital transformation of corporations enhanced corporate risk-taking. The enhanced effect was realized as digital trans-formation improved the information disclosure quality and asset utilization. The enhanced effect was even greater if the enterprise occupied a less favorable competi-tive position or received less media attention. This paper reviews the literature con-cerning economic consequences of enterprise digital transformation, shed new light on the enterprise's selection of digital strategies to achieve sustainable development, and guides the digital transformation of an enterprise."/>
    <s v="[Wang, Yanyong; Guo, Yingdong] Shandong Jianzhu Univ, Sch Business, Jinan, Peoples R China"/>
    <s v="Shandong Jianzhu University"/>
    <s v="Wang, YY (corresponding author), Shandong Jianzhu Univ, Sch Business, Jinan, Peoples R China."/>
    <s v="wang_689w@163.com; guo_5251220@163.com"/>
    <s v=""/>
    <s v=""/>
    <s v="National Natural Science Foundation of China, Research on the driving mechanism of China's manufacturing industry's green innovation strategy upgrade under the volatility of performance feedback-Dynamic boundary effect based on institutional fitting struc [72174108]"/>
    <s v="National Natural Science Foundation of China, Research on the driving mechanism of China's manufacturing industry's green innovation strategy upgrade under the volatility of performance feedback-Dynamic boundary effect based on institutional fitting struc"/>
    <s v="This study is funded by the National Natural Science Foundation of China, Research on the driving mechanism of China's manufacturing industry's green innovation strategy upgrade under the volatility of performance feedback-Dynamic boundary effect based on institutional fitting structure (72174108)."/>
    <s v=""/>
    <n v="46"/>
    <n v="0"/>
    <n v="0"/>
    <n v="47"/>
    <n v="74"/>
    <s v="BRILL"/>
    <s v="LEIDEN"/>
    <s v="PLANTIJNSTRAAT 2, P O BOX 9000, 2300 PA LEIDEN, NETHERLANDS"/>
    <s v="1569-2094"/>
    <s v="1569-2108"/>
    <s v=""/>
    <s v="AFR ASIAN STUD"/>
    <s v="Afr. Asian Stud."/>
    <s v="OCT"/>
    <n v="2022"/>
    <n v="21"/>
    <n v="4"/>
    <s v=""/>
    <s v=""/>
    <s v=""/>
    <s v=""/>
    <n v="309"/>
    <n v="343"/>
    <s v=""/>
    <s v="10.1163/15692108-12341569"/>
    <s v="http://dx.doi.org/10.1163/15692108-12341569"/>
    <s v=""/>
    <s v=""/>
    <n v="35"/>
    <s v="Area Studies"/>
    <x v="0"/>
    <s v="Area Studies"/>
    <s v="6R3PM"/>
    <s v=""/>
    <s v=""/>
    <s v=""/>
    <s v=""/>
    <s v="2023-11-15"/>
    <x v="559"/>
    <s v="View Full Record in Web of Science"/>
  </r>
  <r>
    <s v="J"/>
    <s v="Tamborrino, R; Patti, E; Aliberti, A; Dinler, M; Orlando, M; de Luca, C; Tondelli, S; Barrientos, F; Martin, J; Cunha, LFM; Stam, A; Nales, A; Egusquiza, A; Amirzada, Z; Pavlova, I"/>
    <s v=""/>
    <s v=""/>
    <s v=""/>
    <s v="Tamborrino, Rosa; Patti, Edoardo; Aliberti, Alessandro; Dinler, Mesut; Orlando, Matteo; de Luca, Claudia; Tondelli, Simona; Barrientos, Francisco; Martin, John; Cunha, Luis F. M.; Stam, Andries; Nales, Aad; Egusquiza, Aitziber; Amirzada, Zahra; Pavlova, Irina"/>
    <s v=""/>
    <s v=""/>
    <s v="A resources ecosystem for digital and heritage-led holistic knowledge in rural regeneration"/>
    <s v="JOURNAL OF CULTURAL HERITAGE"/>
    <s v=""/>
    <s v=""/>
    <s v="English"/>
    <x v="0"/>
    <s v=""/>
    <s v=""/>
    <s v=""/>
    <s v=""/>
    <s v=""/>
    <s v="Digital heritage platform; FAIR data; Digital humanities; Cultural heritage; Rural digital strategies; Digital tools? integration"/>
    <s v=""/>
    <s v="This paper presents a digital resources ecosystem prototype of integrated tools and resources to support heritage-led regeneration of rural regions, thanks to a deeper understanding of the complexity of cultural natural landscapes throughout their historical and current development. The ecosystem is conceived as a distributed software platform establishing data ecosystem and open standards for the management of information, aimed at providing different services and applications to address the needs of the various end-users identified. The platform has been conceived and realised in the framework of a Horizon 2020 research project, with a view to building a set of holistic knowledge about rural regions and their cultural and natural heritage and making it available for long-lasting heritage-led territorial processes of change. It is the product of a multidisciplinary collaboration amongst heritage, digital humanities and ICTs ex-perts, and combines data and methodologies from a range of approaches to humanities together with the customisation of effective digital tools. It has been designed for deployment also in cloud systems compli-ant with the Infrastructure-as-a-Service paradigm. All data is Findable, Accessible, Interoperable, Reusable (FAIR data). It hosts and integrates different tools, making the data gathered with/for local stakeholders usable and making the same data re-usable within the tools' functions, generating integrated heritage knowledge. It comprises data on 19 rural pilot territories, where the tools and their integration have been developed and tested, while 62 more are partially included as additional territories which partici-pate in certain activities within the project. The main testers for this platform and its functions are the local stakeholders of these territories. The paper describes and analyses the platform and its impact, dis-cussing the integration of tools as an innovative approach that goes beyond the use of individual tools in shaping a multidimensional vision. It also offers an analysis of the potential of an integrated digital ecosystem in evidence-based and place-based regeneration strategies. Some reflections for developments and cooperation during the pandemic are also presented.(c) 2022 Published by Elsevier Masson SAS."/>
    <s v="[Tamborrino, Rosa; Patti, Edoardo; Aliberti, Alessandro; Dinler, Mesut; Orlando, Matteo] Politecn Torino, Viale Pier Andrea Mattioli 39, I-10125 Turin, Italy; [de Luca, Claudia; Tondelli, Simona] Univ Bologna, viale Risorgimento 2, I-40126 Bologna, Italy; [Barrientos, Francisco] CARTIF, Parque Tecnol Boecillo 205, Valladolid 47151, Spain; [Martin, John] Univ Plymouth, Sustainable Earth Inst, Drake Circus, Plymouth PL4, Devon, England; [Cunha, Luis F. M.; Stam, Andries; Nales, Aad] ALMENDE, Unit D1 116, Stationsplein 45, NL-3013 AK Rotterdam, Netherlands; [Egusquiza, Aitziber] Basque Res &amp; Technol Alliance BRTA, TECNALIA, Derio, Spain; [Amirzada, Zahra; Pavlova, Irina] UNESCO, 7 Pl Fontenoy, Paris, France"/>
    <s v="Polytechnic University of Turin; University of Bologna; University of Plymouth"/>
    <s v="Tamborrino, R (corresponding author), Politecn Torino, Viale Pier Andrea Mattioli 39, I-10125 Turin, Italy."/>
    <s v="rosa.tamborrino@polito.it"/>
    <s v="Dinler, Mesut/ISB-7720-2023; Barrientos, Francisco J./C-1040-2013; Egusquiza, Aitziber/ABB-6332-2021"/>
    <s v="Barrientos, Francisco J./0000-0001-6528-0902; Egusquiza, Aitziber/0000-0003-1051-6580; Manteigas Cunha, Luis Filipe/0000-0003-4345-1162; Aliberti, Alessandro/0000-0001-8828-608X; ORLANDO, MATTEO/0000-0002-7028-2301; Dinler, Mesut/0000-0001-5816-1278; Pavlova, Irina/0000-0003-1675-845X; Martin, John/0000-0003-3363-8855; Amirzada, Zahra/0009-0004-0990-1718"/>
    <s v=""/>
    <s v=""/>
    <s v=""/>
    <s v=""/>
    <n v="42"/>
    <n v="0"/>
    <n v="0"/>
    <n v="5"/>
    <n v="20"/>
    <s v="ELSEVIER FRANCE-EDITIONS SCIENTIFIQUES MEDICALES ELSEVIER"/>
    <s v="ISSY-LES-MOULINEAUX"/>
    <s v="65 RUE CAMILLE DESMOULINS, CS50083, 92442 ISSY-LES-MOULINEAUX, FRANCE"/>
    <s v="1296-2074"/>
    <s v="1778-3674"/>
    <s v=""/>
    <s v="J CULT HERIT"/>
    <s v="J. Cult. Herit."/>
    <s v="SEP-OCT"/>
    <n v="2022"/>
    <n v="57"/>
    <s v=""/>
    <s v=""/>
    <s v=""/>
    <s v=""/>
    <s v=""/>
    <n v="265"/>
    <n v="275"/>
    <s v=""/>
    <s v="10.1016/j.culher.2022.09.012"/>
    <s v="http://dx.doi.org/10.1016/j.culher.2022.09.012"/>
    <s v=""/>
    <s v="SEP 2022"/>
    <n v="11"/>
    <s v="Archaeology; Art; Chemistry, Analytical; Geosciences, Multidisciplinary; Materials Science, Multidisciplinary; Spectroscopy"/>
    <x v="13"/>
    <s v="Archaeology; Art; Chemistry; Geology; Materials Science; Spectroscopy"/>
    <s v="5E0FF"/>
    <s v=""/>
    <s v="Green Published, hybrid"/>
    <s v=""/>
    <s v=""/>
    <s v="2023-11-15"/>
    <x v="560"/>
    <s v="View Full Record in Web of Science"/>
  </r>
  <r>
    <s v="J"/>
    <s v="Cheng, L"/>
    <s v=""/>
    <s v=""/>
    <s v=""/>
    <s v="Cheng, Lin"/>
    <s v=""/>
    <s v=""/>
    <s v="Decision Modeling and Evaluation of Enterprise Digital Transformation Using Data Mining"/>
    <s v="MOBILE INFORMATION SYSTEMS"/>
    <s v=""/>
    <s v=""/>
    <s v="English"/>
    <x v="0"/>
    <s v=""/>
    <s v=""/>
    <s v=""/>
    <s v=""/>
    <s v=""/>
    <s v=""/>
    <s v=""/>
    <s v="The paper discusses the commercial opportunities for digitalization, as well as the changes that occur when digital technology is adopted throughout all business areas. A survey of digital firms found that maturing digital organisations are concentrating on integrating digital technologies to revolutionise how businesses operate. A digital strategy supported by management who nurture a culture of change and innovation is a primary predictor of a company's ability to digitally remake itself. Companies that integrate big data, cloud, mobile, and social technologies into their infrastructure are more lucrative, have larger sales, and have a better market valuation than competitors with a weak vision. This paper aims to conduct an in-depth study on the evaluation and decision-making model of the effectiveness of enterprise transforming to digitalization based on data mining in order to address the shortcomings of self-evaluation, promote and improve the process and promote enterprise transforming to digitalization. First, it determines the evaluation index and uses triangular fuzzy numbers to clarify the index weight. It also gathers the opinions of various experts in the decision-making process. Afterward, the decision tree evaluation model is generated through the information gain and ROC curve. Based on enterprises' relevant transforming to digitalization data, the decision tree model is used as the evaluation decision model, and the research on the evaluation model of the point of enterprise transforming to digitalization is completed. Experiments show that the method proposed in this paper has high accuracy, fast algorithm operation efficiency, and robust data mining ability. It can effectively improve and promote the progress of enterprise transforming to digitalization."/>
    <s v="[Cheng, Lin] Shandong Polytech, New Generat Informat Technol Ind Inst, Jinan 250104, Shandong, Peoples R China"/>
    <s v="Qilu University of Technology"/>
    <s v="Cheng, L (corresponding author), Shandong Polytech, New Generat Informat Technol Ind Inst, Jinan 250104, Shandong, Peoples R China."/>
    <s v="1317421013@st.usst.edu.cn"/>
    <s v=""/>
    <s v=""/>
    <s v=""/>
    <s v=""/>
    <s v=""/>
    <s v=""/>
    <n v="20"/>
    <n v="0"/>
    <n v="0"/>
    <n v="9"/>
    <n v="24"/>
    <s v="HINDAWI LTD"/>
    <s v="LONDON"/>
    <s v="ADAM HOUSE, 3RD FLR, 1 FITZROY SQ, LONDON, W1T 5HF, ENGLAND"/>
    <s v="1574-017X"/>
    <s v="1875-905X"/>
    <s v=""/>
    <s v="MOB INF SYST"/>
    <s v="Mob. Inf. Syst."/>
    <s v="SEP 14"/>
    <n v="2022"/>
    <n v="2022"/>
    <s v=""/>
    <s v=""/>
    <s v=""/>
    <s v=""/>
    <s v=""/>
    <s v=""/>
    <s v=""/>
    <n v="2380100"/>
    <s v="10.1155/2022/2380100"/>
    <s v="http://dx.doi.org/10.1155/2022/2380100"/>
    <s v=""/>
    <s v=""/>
    <n v="9"/>
    <s v="Computer Science, Information Systems; Telecommunications"/>
    <x v="2"/>
    <s v="Computer Science; Telecommunications"/>
    <s v="5I6VO"/>
    <s v=""/>
    <s v="gold"/>
    <s v=""/>
    <s v=""/>
    <s v="2023-11-15"/>
    <x v="561"/>
    <s v="View Full Record in Web of Science"/>
  </r>
  <r>
    <s v="J"/>
    <s v="Stewart, H"/>
    <s v=""/>
    <s v=""/>
    <s v=""/>
    <s v="Stewart, Harrison"/>
    <s v=""/>
    <s v=""/>
    <s v="Digital Transformation Security Challenges"/>
    <s v="JOURNAL OF COMPUTER INFORMATION SYSTEMS"/>
    <s v=""/>
    <s v=""/>
    <s v="English"/>
    <x v="0"/>
    <s v=""/>
    <s v=""/>
    <s v=""/>
    <s v=""/>
    <s v=""/>
    <s v="Digital strategy security; digital strategy; digital transformation; IS; IT strategy security; information security; digital security"/>
    <s v="INFORMATION SECURITY; DIRECTIONS; MANAGEMENT; USABILITY; CULTURE; DESIGN; IMPACT; NEEDS"/>
    <s v="Digital transformation has become one of the most popular strategies for information systems (IS). Developing and implementing a digital strategy is a mandatory task for any organization that relies on information systems. In this digital age, an IS/IT strategy without security considerations could lead to serious data breaches. Despite all countermeasures, security remains a major concern in digital transformation, as digitization is misjudged and brings with it major security concerns. The digitization of manual goods, processes and services, as well as their use, leads to various security issues in different organizations. The aim of this study is to identify and analyze elements that are typical barriers to digital innovation in organizations. This study addresses common elements that impact the security of digital transformation through a literature review and a case study."/>
    <s v="[Stewart, Harrison] Univeril, Richmond, VA 23230 USA"/>
    <s v=""/>
    <s v="Stewart, H (corresponding author), Univeril, Robert Koch Str, D-20249 Hamburg 20249, Germany."/>
    <s v="stewart@harrisonstewart.net"/>
    <s v=""/>
    <s v="Stewart, Harrison/0000-0002-6956-9508"/>
    <s v=""/>
    <s v=""/>
    <s v=""/>
    <s v=""/>
    <n v="97"/>
    <n v="0"/>
    <n v="0"/>
    <n v="28"/>
    <n v="74"/>
    <s v="TAYLOR &amp; FRANCIS INC"/>
    <s v="PHILADELPHIA"/>
    <s v="530 WALNUT STREET, STE 850, PHILADELPHIA, PA 19106 USA"/>
    <s v="0887-4417"/>
    <s v="2380-2057"/>
    <s v=""/>
    <s v="J COMPUT INFORM SYST"/>
    <s v="J. Comput. Inf. Syst."/>
    <s v="JUL 4"/>
    <n v="2023"/>
    <n v="63"/>
    <n v="4"/>
    <s v=""/>
    <s v=""/>
    <s v=""/>
    <s v=""/>
    <n v="919"/>
    <n v="936"/>
    <s v=""/>
    <s v="10.1080/08874417.2022.2115953"/>
    <s v="http://dx.doi.org/10.1080/08874417.2022.2115953"/>
    <s v=""/>
    <s v="SEP 2022"/>
    <n v="18"/>
    <s v="Computer Science, Information Systems"/>
    <x v="2"/>
    <s v="Computer Science"/>
    <s v="L5TP7"/>
    <s v=""/>
    <s v=""/>
    <s v=""/>
    <s v=""/>
    <s v="2023-11-15"/>
    <x v="562"/>
    <s v="View Full Record in Web of Science"/>
  </r>
  <r>
    <s v="J"/>
    <s v="Ciccone, A; Suglia, P; Asprone, D; Salzano, A; Nicolella, M"/>
    <s v=""/>
    <s v=""/>
    <s v=""/>
    <s v="Ciccone, Angelo; Suglia, Pompilio; Asprone, Domenico; Salzano, Antonio; Nicolella, Maurizio"/>
    <s v=""/>
    <s v=""/>
    <s v="Defining a Digital Strategy in a BIM Environment to Manage Existing Reinforced Concrete Bridges in the Context of Italian Regulation"/>
    <s v="SUSTAINABILITY"/>
    <s v=""/>
    <s v=""/>
    <s v="English"/>
    <x v="0"/>
    <s v=""/>
    <s v=""/>
    <s v=""/>
    <s v=""/>
    <s v=""/>
    <s v="existing R; C; bridges; bridge management; BIM modelling; information management; structural regulatory context"/>
    <s v="MODEL; MAINTENANCE; DELIVERY; REPAIR"/>
    <s v="Regulatory activity concerning the management of existing bridges has recently been affected by updates, for instance, in Italy, which calls for a speedy and pragmatic approach based on new technologies such as building information modeling (BIM), when dealing with the survey and risk classification as well as the evaluation and monitoring of structural safety. This paper focuses on the development and integration of a digital solution, based principally on the specific framework developed by the authors, which supports BIM modeling and information management activities, in the structural setting under investigation, through the use of several technologies and tools, namely BIM-authoring, CDE platform and visual programming, in addition to programming in Python. Starting from the organization of a specific BIM object library and the initial data, inserted by means of a custom-made input environment, it was possible to reproduce digital models of bridges in accordance with specific information requirements following the new Level of Information Need setting. The applicability of the proposal is tested on two judiciously chosen real-life cases with different characteristics. Through this implementation, a series of advantages emerge, including expediting traditional procedures for BIM modeling, accessibility and traceability of information-which are constantly updated to support the monitoring of structural safety over time-and the decision-making process related to the bridge management context."/>
    <s v="[Ciccone, Angelo; Suglia, Pompilio; Asprone, Domenico] Univ Naples Federico II, Dept Struct Engn &amp; Architecture, I-80125 Naples, Italy; [Salzano, Antonio; Nicolella, Maurizio] Univ Naples Federico II, Dept Civil Architectural &amp; Environm Engn, I-80125 Naples, Italy"/>
    <s v="University of Naples Federico II; University of Naples Federico II"/>
    <s v="Ciccone, A (corresponding author), Univ Naples Federico II, Dept Struct Engn &amp; Architecture, I-80125 Naples, Italy."/>
    <s v="angelo.ciccone@unina.it"/>
    <s v="Asprone, Domenico/G-8166-2012"/>
    <s v="CICCONE, ANGELO/0000-0001-9737-4698; Salzano, Antonio/0000-0002-2068-760X"/>
    <s v=""/>
    <s v=""/>
    <s v=""/>
    <s v=""/>
    <n v="83"/>
    <n v="0"/>
    <n v="0"/>
    <n v="7"/>
    <n v="12"/>
    <s v="MDPI"/>
    <s v="BASEL"/>
    <s v="ST ALBAN-ANLAGE 66, CH-4052 BASEL, SWITZERLAND"/>
    <s v=""/>
    <s v="2071-1050"/>
    <s v=""/>
    <s v="SUSTAINABILITY-BASEL"/>
    <s v="Sustainability"/>
    <s v="SEP"/>
    <n v="2022"/>
    <n v="14"/>
    <n v="18"/>
    <s v=""/>
    <s v=""/>
    <s v=""/>
    <s v=""/>
    <s v=""/>
    <s v=""/>
    <n v="11767"/>
    <s v="10.3390/su141811767"/>
    <s v="http://dx.doi.org/10.3390/su141811767"/>
    <s v=""/>
    <s v=""/>
    <n v="26"/>
    <s v="Green &amp; Sustainable Science &amp; Technology; Environmental Sciences; Environmental Studies"/>
    <x v="1"/>
    <s v="Science &amp; Technology - Other Topics; Environmental Sciences &amp; Ecology"/>
    <s v="4R8WZ"/>
    <s v=""/>
    <s v="gold"/>
    <s v=""/>
    <s v=""/>
    <s v="2023-11-15"/>
    <x v="563"/>
    <s v="View Full Record in Web of Science"/>
  </r>
  <r>
    <s v="J"/>
    <s v="de Araujo, EM; Rezende, DA; de Almeida, GGF"/>
    <s v=""/>
    <s v=""/>
    <s v=""/>
    <s v="de Araujo Junior, Edson Modesto; Rezende, Denis Alcides; Feijo de Almeida, Giovana Goretti"/>
    <s v=""/>
    <s v=""/>
    <s v="Municipal public services and strategies in the context of the strategic digital city"/>
    <s v="REVISTA DE GESTAO E SECRETARIADO-GESEC"/>
    <s v=""/>
    <s v=""/>
    <s v="English"/>
    <x v="0"/>
    <s v=""/>
    <s v=""/>
    <s v=""/>
    <s v=""/>
    <s v=""/>
    <s v="Municipal Strategy; Public Services; Strategic Digital City; Public Administration"/>
    <s v="INFORMATION; CITIZENS"/>
    <s v="The complexity of cities involves municipal transactional public strategies and services, involving the making of important decisions related to public administration strategies. The objective is to analyze city strategies and transactional services in the context of the strategic digital city. The research methodology adopted a case study with a qualitative approach and a research protocol with 6 variables. The results obtained were that the focus of transactional public services and city strategies are concentrated on the government theme. This shows that the other themes of the city still need to evolve in terms of public services and city strategies. The conclusion reiterates that there are municipal transactional strategies and services in Porto Velho in the context of the strategic digital city, which can help in the quality of life of citizens."/>
    <s v="[de Araujo Junior, Edson Modesto] Univ Fed Rondonia UNIR, V Pres Dutra,2965 Olaria, BR-76801058 Porto Velho, RO, Brazil; [Rezende, Denis Alcides] Depaul Univ, Sch Publ Serv, Cidade Digital Estrateg, Chicago, IL 60604 USA; [Rezende, Denis Alcides] Pontificia Univ Catolica Parana PUCPR, R Imac Conceicao,1155 Prado Velho, BR-80215901 Curitiba, PR, Brazil; [Feijo de Almeida, Giovana Goretti] CiTUR Leiria, R Gen Norton Matos Apartado 4133, P-2411901 Leiria, Portugal; [Feijo de Almeida, Giovana Goretti] Inst Politecn Leiria, R Gen Norton Matos Apartado 4133, P-2411901 Leiria, Portugal"/>
    <s v="Universidade Federal de Rondonia; DePaul University; Polytechnic Institute of Leiria"/>
    <s v="de Araujo, EM (corresponding author), Univ Fed Rondonia UNIR, V Pres Dutra,2965 Olaria, BR-76801058 Porto Velho, RO, Brazil."/>
    <s v="modesto@unir.br; denis.rezende@pucpr.br; goretti.giovana@gmail.com"/>
    <s v="Almeida, Giovana Goretti Feijó de/I-2491-2016"/>
    <s v="Almeida, Giovana Goretti Feijó de/0000-0003-0956-1341"/>
    <s v=""/>
    <s v=""/>
    <s v=""/>
    <s v=""/>
    <n v="56"/>
    <n v="0"/>
    <n v="0"/>
    <n v="3"/>
    <n v="6"/>
    <s v="SINDICATO SECRETARIAS ESTADO SAO PAULO"/>
    <s v="SAO PAULO"/>
    <s v="RUA TUPI 118, SAO PAULO, 01233-000, BRAZIL"/>
    <s v="2178-9010"/>
    <s v=""/>
    <s v=""/>
    <s v="REV GEST SECR-GESEC"/>
    <s v="Rec. Gest. Secr.-GeSeC"/>
    <s v="SEP-DEC"/>
    <n v="2022"/>
    <n v="13"/>
    <n v="3"/>
    <s v=""/>
    <s v=""/>
    <s v=""/>
    <s v=""/>
    <n v="974"/>
    <n v="991"/>
    <s v=""/>
    <s v="10.7769/gesec.v13i3.1387"/>
    <s v="http://dx.doi.org/10.7769/gesec.v13i3.1387"/>
    <s v=""/>
    <s v=""/>
    <n v="18"/>
    <s v="Management"/>
    <x v="3"/>
    <s v="Business &amp; Economics"/>
    <s v="6R9AC"/>
    <s v=""/>
    <s v="gold"/>
    <s v=""/>
    <s v=""/>
    <s v="2023-11-15"/>
    <x v="564"/>
    <s v="View Full Record in Web of Science"/>
  </r>
  <r>
    <s v="J"/>
    <s v="Lousa, MD; Lousa, EP"/>
    <s v=""/>
    <s v=""/>
    <s v=""/>
    <s v="Lousa, Mario Dias; Lousa, Eva Petiz"/>
    <s v=""/>
    <s v=""/>
    <s v="Conditioning factors in the remote learning context in higher education"/>
    <s v="REVISTA EDAPECI-EDUCACAO A DISTANCIA E PRATICAS EDUCATIVAS COMUNICACIONAIS E INTERCULTURAIS"/>
    <s v=""/>
    <s v=""/>
    <s v="English"/>
    <x v="0"/>
    <s v=""/>
    <s v=""/>
    <s v=""/>
    <s v=""/>
    <s v=""/>
    <s v="COVID-19 pandemic; Efficacy; Information technology; Remote learning; Soft Skills."/>
    <s v="ENVIRONMENTS; EMOTIONS; SKILLS"/>
    <s v="With the epidemiological scenario produced by the COVID-19 pandemic, information technologies have increased their importance in education and become even more significant, forcing unforeseen and fundamental adjustments in the organization of work. To ensure that students continue to learn, these developments in educational institutions have led to the increasing use of remote learning. This study investigates the factors that facilitate or condition students' perception of their perceived efficacy and development of soft skills in a remote learning environment during the second COVID-19 blockade in Portugal. Between March 1 and 15, 2021, 258 students (higher education) who were enrolled in remote learning answered a web-based cross-sectional questionnaire. The results of the regression analysis revealed several conditioning factors for this type of learning that can impact on the effectiveness and development of students' competencies: technological issues, learning conditions (e.g., autonomy, study materials) and demotivation were significant factors. Given current and future generations of students, the results of this study provide clues for higher education managers and teachers to develop digital strategies to provide innovative, attractive and motivating learning environments."/>
    <s v="[Lousa, Mario Dias] Inst Politecn Gaya ISPGaya, Lisbon, Portugal; [Lousa, Eva Petiz] Inst Univ Maia ISMAI, Porto, Portugal; [Lousa, Eva Petiz] Inst Politecn Porto, Escola Super Contabilidade &amp; Negocios Porto, Porto, Portugal"/>
    <s v="Instituto Universitario da Maia (ISMAI); Instituto Politecnico do Porto"/>
    <s v="Lousa, MD (corresponding author), Inst Politecn Gaya ISPGaya, Lisbon, Portugal."/>
    <s v=""/>
    <s v="Lousã, Mário Dias/AAA-3387-2019; Lousa, Eva/S-1815-2018"/>
    <s v="Lousã, Mário Dias/0000-0001-7776-5528; Lousa, Eva/0000-0001-8212-8638"/>
    <s v=""/>
    <s v=""/>
    <s v=""/>
    <s v=""/>
    <n v="34"/>
    <n v="0"/>
    <n v="0"/>
    <n v="0"/>
    <n v="0"/>
    <s v="UNIV FEDERAL SERGIPE"/>
    <s v="SERGIPE"/>
    <s v="AV VEREADOR OLIMPIO GRANDE, ITABAIANA, SERGIPE, 00000, BRAZIL"/>
    <s v="2176-171X"/>
    <s v=""/>
    <s v=""/>
    <s v="REV EDAPECI"/>
    <s v="Rev. EDaPECI"/>
    <s v="SEP-DEC"/>
    <n v="2022"/>
    <n v="22"/>
    <n v="3"/>
    <s v=""/>
    <s v=""/>
    <s v=""/>
    <s v=""/>
    <n v="19"/>
    <n v="31"/>
    <s v=""/>
    <s v="10.29276/redapeci.2022.22.318349.19-31"/>
    <s v="http://dx.doi.org/10.29276/redapeci.2022.22.318349.19-31"/>
    <s v=""/>
    <s v=""/>
    <n v="13"/>
    <s v="Education &amp; Educational Research"/>
    <x v="3"/>
    <s v="Education &amp; Educational Research"/>
    <s v="8F4ZN"/>
    <s v=""/>
    <s v="Green Submitted, gold"/>
    <s v=""/>
    <s v=""/>
    <s v="2023-11-15"/>
    <x v="565"/>
    <s v="View Full Record in Web of Science"/>
  </r>
  <r>
    <s v="J"/>
    <s v="Santana, YP"/>
    <s v=""/>
    <s v=""/>
    <s v=""/>
    <s v="Santana, Yaimara Penate"/>
    <s v=""/>
    <s v=""/>
    <s v="BINDING RELATIONSHIP BETWEEN DIGITAL MARKETING STRATEGIES AND THE FAILURE OF SMEs. GUAYAQUIL CASE STUDY"/>
    <s v="REVISTA UNIVERSIDAD Y SOCIEDAD"/>
    <s v=""/>
    <s v=""/>
    <s v="English"/>
    <x v="0"/>
    <s v=""/>
    <s v=""/>
    <s v=""/>
    <s v=""/>
    <s v=""/>
    <s v="digital marketing; business failure; ecuadorian SMEs; business survival"/>
    <s v=""/>
    <s v="Every day, SMEs face various challenges to operate, in which the use of digital marketing strategies has been crucial to ensure their success or failure. This study analyzed the perception of Ecuadorian entrepreneurs on the role of these strategies in the failure of their businesses. The research was exploratory-descriptive; through a survey applied to a non-probabilistic sample of 21 entrepreneurs. The results showed that the use of digital strategies as a means of advertising and promotion is almost null. The most used medium has been social networks (whatsapp and Facebook) and promotions were based on offers and free samples. E-commerce was not a widely used channel either, despite the fact that the benefit of web pages to achieve a greater reach and attract new customers is recognized. Correspondingly, investment in this type of strategy was almost nil, as was the use of metrics to track them. Finally, the entrepreneurs agreed that the limited use of digital marketing had no influence on the closure of their businesses, an opinion that contradicts the results of other research."/>
    <s v="[Santana, Yaimara Penate] Univ Guayaquil, Guayaquil, Ecuador"/>
    <s v=""/>
    <s v="Santana, YP (corresponding author), Univ Guayaquil, Guayaquil, Ecuador."/>
    <s v="yaimara.penates@ug.edu.ec"/>
    <s v=""/>
    <s v=""/>
    <s v=""/>
    <s v=""/>
    <s v=""/>
    <s v=""/>
    <n v="17"/>
    <n v="0"/>
    <n v="0"/>
    <n v="0"/>
    <n v="1"/>
    <s v="UNIV CIENFUEGOS"/>
    <s v="CIENFUEGOS"/>
    <s v="CARRETERA RODAS KM 4, CUATRO CAMINOS, CIENFUEGOS, 00000, CUBA"/>
    <s v="2218-3620"/>
    <s v=""/>
    <s v=""/>
    <s v="REV UNIV SOC"/>
    <s v="Rev. Univ. Soc."/>
    <s v="SEP-OCT"/>
    <n v="2022"/>
    <n v="14"/>
    <n v="5"/>
    <s v=""/>
    <s v=""/>
    <s v=""/>
    <s v=""/>
    <n v="248"/>
    <n v="255"/>
    <s v=""/>
    <s v=""/>
    <s v=""/>
    <s v=""/>
    <s v=""/>
    <n v="8"/>
    <s v="Social Sciences, Interdisciplinary"/>
    <x v="3"/>
    <s v="Social Sciences - Other Topics"/>
    <s v="6Z5OJ"/>
    <s v=""/>
    <s v=""/>
    <s v=""/>
    <s v=""/>
    <s v="2023-11-15"/>
    <x v="566"/>
    <s v="View Full Record in Web of Science"/>
  </r>
  <r>
    <s v="J"/>
    <s v="Santana, YP"/>
    <s v=""/>
    <s v=""/>
    <s v=""/>
    <s v="Santana, Yaimara Penate"/>
    <s v=""/>
    <s v=""/>
    <s v="BINDING RELATIONSHIP BETWEEN DIGITAL MARKETING STRATEGIES AND THE FAILURE OF SMEs. GUAYAQUIL CASE STUDY"/>
    <s v="REVISTA UNIVERSIDAD Y SOCIEDAD"/>
    <s v=""/>
    <s v=""/>
    <s v="English"/>
    <x v="0"/>
    <s v=""/>
    <s v=""/>
    <s v=""/>
    <s v=""/>
    <s v=""/>
    <s v="digital marketing; business failure; ecuadorian SMEs; business survival"/>
    <s v=""/>
    <s v="Every day, SMEs face various challenges to operate, in which the use of digital marketing strategies has been crucial to ensure their success or failure. This study analyzed the perception of Ecuadorian entrepreneurs on the role of these strategies in the failure of their businesses. The research was exploratory-descriptive; through a survey applied to a non-probabilistic sample of 21 entrepreneurs. The results showed that the use of digital strategies as a means of advertising and promotion is almost null. The most used medium has been social networks (whatsapp and Facebook) and promotions were based on offers and free samples. E-commerce was not a widely used channel either, despite the fact that the benefit of web pages to achieve a greater reach and attract new customers is recognized. Correspondingly, investment in this type of strategy was almost nil, as was the use of metrics to track them. Finally, the entrepreneurs agreed that the limited use of digital marketing had no influence on the closure of their businesses, an opinion that contradicts the results of other research."/>
    <s v="[Santana, Yaimara Penate] Univ Guayaquil, Guayaquil, Ecuador"/>
    <s v=""/>
    <s v="Santana, YP (corresponding author), Univ Guayaquil, Guayaquil, Ecuador."/>
    <s v="yaimara.penates@ug.edu.ec"/>
    <s v=""/>
    <s v=""/>
    <s v=""/>
    <s v=""/>
    <s v=""/>
    <s v=""/>
    <n v="17"/>
    <n v="0"/>
    <n v="0"/>
    <n v="0"/>
    <n v="0"/>
    <s v="UNIV CIENFUEGOS"/>
    <s v="CIENFUEGOS"/>
    <s v="CARRETERA RODAS KM 4, CUATRO CAMINOS, CIENFUEGOS, 00000, CUBA"/>
    <s v="2218-3620"/>
    <s v=""/>
    <s v=""/>
    <s v="REV UNIV SOC"/>
    <s v="Rev. Univ. Soc."/>
    <s v="SEP-OCT"/>
    <n v="2022"/>
    <n v="14"/>
    <n v="5"/>
    <s v=""/>
    <s v=""/>
    <s v=""/>
    <s v=""/>
    <n v="248"/>
    <n v="255"/>
    <s v=""/>
    <s v=""/>
    <s v=""/>
    <s v=""/>
    <s v=""/>
    <n v="8"/>
    <s v="Social Sciences, Interdisciplinary"/>
    <x v="3"/>
    <s v="Social Sciences - Other Topics"/>
    <s v="7B7UO"/>
    <s v=""/>
    <s v=""/>
    <s v=""/>
    <s v=""/>
    <s v="2023-11-15"/>
    <x v="567"/>
    <s v="View Full Record in Web of Science"/>
  </r>
  <r>
    <s v="J"/>
    <s v="Gandon, C; Gricourt, Y; Thomas, M; Garnaud, B; Elhaj, M; Boisson, C; Boudemaghe, T; Jaber, S; Claret, PG; Cuvillon, P"/>
    <s v=""/>
    <s v=""/>
    <s v=""/>
    <s v="Gandon, Clea; Gricourt, Yann; Thomas, Maxime; Garnaud, Benjamin; Elhaj, Mona; Boisson, Christophe; Boudemaghe, Thierry; Jaber, Samir; Claret, Pierre Geraud; Cuvillon, Philippe"/>
    <s v=""/>
    <s v=""/>
    <s v="How traditional and digital analytics interventions can enhance lung-protective ventilation strategies during general anaesthesia: A two-year quality improvement project analysis"/>
    <s v="ANAESTHESIA CRITICAL CARE &amp; PAIN MEDICINE"/>
    <s v=""/>
    <s v=""/>
    <s v="English"/>
    <x v="0"/>
    <s v=""/>
    <s v=""/>
    <s v=""/>
    <s v=""/>
    <s v=""/>
    <s v="Protective ventilation; Recruitment; Quality improvement project; Software; Adherence"/>
    <s v="MECHANICAL VENTILATION; SURGERY; PRESSURE"/>
    <s v="Purpose: This quality improvement project evaluated interventions implemented to enhance individual adherence to a lung-protective ventilation strategy and its triad: low tidal volume, PEEP &gt;= 5, recruitment manoeuvres.Methods: For two years, nine anaesthesia workstations were connected to an automated cloud-based analytics software tool, which automatically recorded ventilation parameters as soon as a new patient case was opened. Four quality improvement periods were determined over the first year: baseline, intervention, no intervention, intervention + digital. In the second year, the digital strategy was continued for nine months, followed by a final overtime period. Baseline and no intervention periods included no training. The intervention period included both conventional and educational programs. The digital period included pop-up messages, which automatically appeared on the screen of the anaesthesia data management system when patients were intubated. The primary endpoint was provider adherence to the recommended triad.Results: From October 2018 to December 2020, 12,883 procedures were performed. Data were available for 8968 procedures: baseline (n = 2361), intervention (n = 2423), no intervention (n = 1064), intervention + digital (n = 1862), overtime (n = 1258). Age, Predicted Body Weight, ASA score, type of surgery and airway management were similar between periods. At baseline, 75.2% of procedures reported low tidal volume but only 6.9% involved the complete triad. At over time, Triad was 22% (p &lt; 0.001). Over study period, each parameter of the Triad (RM, Vt and Peep) increased (p &lt; 0.001 vs. baseline), driving pressure decreased although EtCO2 and plateau pressure had not changed.Conclusion: Training with the help of digital apps improved LPV adherence over time.(c) 2022 Socie acute accent te acute accent franc , aise d'anesthe acute accent sie et de re acute accent animation (Sfar). Published by Elsevier Masson SAS. All rights reserved."/>
    <s v="[Gandon, Clea; Gricourt, Yann; Thomas, Maxime; Garnaud, Benjamin; Elhaj, Mona; Boisson, Christophe; Cuvillon, Philippe] Ctr Hosp Univ CHU Caremeau, Dept Anaesthesiol &amp; Pain Management, Place Professeur Debre, Nimes, France; [Gandon, Clea; Gricourt, Yann; Thomas, Maxime; Garnaud, Benjamin; Elhaj, Mona; Boisson, Christophe; Boudemaghe, Thierry; Claret, Pierre Geraud; Cuvillon, Philippe] Montpellier Univ 1, Montpellier, France; [Boudemaghe, Thierry] Ctr Hosp Univ CHU Caremeau, Dept Med Informat, Pl Prof Debre, Nimes, France; [Jaber, Samir] Montpellier Univ, St Eloi Univ Hosp, Res Unit Phy MedExp, Dept Anaesthesiol &amp; Intensive Care DARB,INSERM ,CN, 80 Ave Augustin Fl, F-34295 Montpellier, France; [Claret, Pierre Geraud] Ctr Hosp Univ CHU Caremeau, Emergency Dept, Pl Prof Debre, Nimes, France; [Cuvillon, Philippe] Ctr Hosp Univ CHU Caremeau, Dept Anaesthesiol &amp; Pain Management, Pl Prof Debre, Nimes, France"/>
    <s v="Universite de Montpellier; CHU de Nimes; Universite de Montpellier; Universite de Montpellier; CHU de Nimes; Institut National de la Sante et de la Recherche Medicale (Inserm); Universite de Montpellier; CHU de Montpellier; Universite de Montpellier; CHU de Nimes; Universite de Montpellier; CHU de Nimes"/>
    <s v="Cuvillon, P (corresponding author), Ctr Hosp Univ CHU Caremeau, Dept Anaesthesiol &amp; Pain Management, Pl Prof Debre, Nimes, France."/>
    <s v="philippe.cuvillon@chu-nimes.fr"/>
    <s v=""/>
    <s v="BOUDEMAGHE, Thierry/0000-0003-4768-2267"/>
    <s v=""/>
    <s v=""/>
    <s v=""/>
    <s v=""/>
    <n v="13"/>
    <n v="0"/>
    <n v="0"/>
    <n v="0"/>
    <n v="0"/>
    <s v="ELSEVIER FRANCE-EDITIONS SCIENTIFIQUES MEDICALES ELSEVIER"/>
    <s v="ISSY-LES-MOULINEAUX"/>
    <s v="65 RUE CAMILLE DESMOULINS, CS50083, 92442 ISSY-LES-MOULINEAUX, FRANCE"/>
    <s v="2352-5568"/>
    <s v=""/>
    <s v=""/>
    <s v="ANAESTH CRIT CARE PA"/>
    <s v="Anaesth. Crit. Care Pain Med."/>
    <s v="DEC"/>
    <n v="2022"/>
    <n v="41"/>
    <n v="6"/>
    <s v=""/>
    <s v=""/>
    <s v=""/>
    <s v=""/>
    <s v=""/>
    <s v=""/>
    <n v="101143"/>
    <s v="10.1016/j.accpm.2022.101143"/>
    <s v="http://dx.doi.org/10.1016/j.accpm.2022.101143"/>
    <s v=""/>
    <s v="AUG 2022"/>
    <n v="6"/>
    <s v="Anesthesiology; Critical Care Medicine"/>
    <x v="2"/>
    <s v="Anesthesiology; General &amp; Internal Medicine"/>
    <s v="4W7UH"/>
    <n v="35988703"/>
    <s v="hybrid, Green Submitted"/>
    <s v=""/>
    <s v=""/>
    <s v="2023-11-15"/>
    <x v="568"/>
    <s v="View Full Record in Web of Science"/>
  </r>
  <r>
    <s v="J"/>
    <s v="de Amorim, LA; Sousa, BB; Dias, AL; Santos, VR"/>
    <s v=""/>
    <s v=""/>
    <s v=""/>
    <s v="de Amorim, Luzia Arantes; Sousa, Bruno Barbosa; Dias, Alvaro Lopes; Santos, Vasco Ribeiro"/>
    <s v=""/>
    <s v=""/>
    <s v="Exploring the outcomes of digital marketing on historic sites' visitor behaviour"/>
    <s v="JOURNAL OF CULTURAL HERITAGE MANAGEMENT AND SUSTAINABLE DEVELOPMENT"/>
    <s v=""/>
    <s v=""/>
    <s v="English"/>
    <x v="2"/>
    <s v=""/>
    <s v=""/>
    <s v=""/>
    <s v=""/>
    <s v=""/>
    <s v="Digital marketing; Historic sites management; Destination marketing; Destination image; Visitor loyalty"/>
    <s v=""/>
    <s v="Purpose Digital communication and social media have an increasing importance in society and in tourism boosting. This study aims to analyse the role of digital marketing in the destination image and visitor loyalty of historic sites. Design/methodology/approach Using a mixed-method approach combining survey data from 318 respondents and three in-depth interviews. Using structural equations modelling results reveals experience, satisfaction, image and loyalty are concepts to be considered by the destinations' digital marketing promotion, as well as the increasing use of digital marketing by tourists, in the sense that tourists are increasing the habit of checking the opinion of others before scheduling their trip and gives them more importance, and a growing importance is given by tourists to the web/social networks of places they intend to visit. Findings This study contributes to the theory on tourism digital marketing which can be transposed to organizations management in order to encourage discussion on the processes of capture, retention and loyalty of target audiences. Research limitations/implications To enhance the importance of digital marketing in the process of the tourist development of the city, it is fundamental to define a clear strategy for attracting and responding to the greatest demand from cultural tourists who are increasingly interested in actively participating in learning experiences. Practical implications The results show that digital communication and social media have an increasing importance in society and in tourism boosting and economy recovery. Social implications The paper presents digital marketing as a possible factor in tourism development and social inclusion, advancing practical measures aimed at social justice through a fairer distribution of tourism revenues and the defence of historic centre residents' way (i.e. Barcelos'), and quality of life. Originality/value The authors suggest the development of a strategic digital marketing plan applied to the development and promotion of tourism in the city of Barcelos (Portugal), to complement the research presented here, thus contributing with a more practical perspective of the subject under study."/>
    <s v="[de Amorim, Luzia Arantes] Univ Minho, Braga, Portugal; [Sousa, Bruno Barbosa] Polytech Inst Cavado &amp; Ave IPCA, CiTUR &amp; UNIAG, Barcelos, Portugal; [Dias, Alvaro Lopes] Univ Lusofona, TRIE &amp; ISCTE IUL, Lisbon, Portugal; [Santos, Vasco Ribeiro] ISLA Santarem &amp; CiTUR, Santarem, Portugal"/>
    <s v="Universidade do Minho; Instituto Politecnico do Cavado e do Ave - IPCA; Lusofona University"/>
    <s v="Sousa, BB (corresponding author), Polytech Inst Cavado &amp; Ave IPCA, CiTUR &amp; UNIAG, Barcelos, Portugal."/>
    <s v="bsousa@ipca.pt"/>
    <s v="Sousa, Bruno Miguel Barbosa/A-5325-2019"/>
    <s v="Sousa, Bruno Miguel Barbosa/0000-0002-8588-2422; Arantes, Luzia/0000-0003-1179-9113; Santos, Vasco/0000-0002-3535-9377; Dias, Alvaro/0000-0003-4074-1586"/>
    <s v=""/>
    <s v=""/>
    <s v=""/>
    <s v=""/>
    <n v="40"/>
    <n v="0"/>
    <n v="0"/>
    <n v="12"/>
    <n v="25"/>
    <s v="EMERALD GROUP PUBLISHING LTD"/>
    <s v="BINGLEY"/>
    <s v="HOWARD HOUSE, WAGON LANE, BINGLEY BD16 1WA, W YORKSHIRE, ENGLAND"/>
    <s v="2044-1266"/>
    <s v="2044-1274"/>
    <s v=""/>
    <s v="J CULT HERIT MANAG S"/>
    <s v="J. Cult. Herit. Manag. Sustain. Dev."/>
    <s v="2022 AUG 23"/>
    <n v="2022"/>
    <s v=""/>
    <s v=""/>
    <s v=""/>
    <s v=""/>
    <s v=""/>
    <s v=""/>
    <s v=""/>
    <s v=""/>
    <s v=""/>
    <s v="10.1108/JCHMSD-11-2021-0202"/>
    <s v="http://dx.doi.org/10.1108/JCHMSD-11-2021-0202"/>
    <s v=""/>
    <s v="AUG 2022"/>
    <n v="16"/>
    <s v="Green &amp; Sustainable Science &amp; Technology"/>
    <x v="3"/>
    <s v="Science &amp; Technology - Other Topics"/>
    <s v="3Y4EU"/>
    <s v=""/>
    <s v="Green Accepted, Green Submitted"/>
    <s v=""/>
    <s v=""/>
    <s v="2023-11-15"/>
    <x v="569"/>
    <s v="View Full Record in Web of Science"/>
  </r>
  <r>
    <s v="J"/>
    <s v="Wang, YR"/>
    <s v=""/>
    <s v=""/>
    <s v=""/>
    <s v="Wang, Yurong"/>
    <s v=""/>
    <s v=""/>
    <s v="The Impact of Digital Strategic Orientation on Enterprise Sustainable Performance Against the Background of 2030 Sustainable Performance Goal"/>
    <s v="MATHEMATICAL PROBLEMS IN ENGINEERING"/>
    <s v=""/>
    <s v=""/>
    <s v="English"/>
    <x v="0"/>
    <s v=""/>
    <s v=""/>
    <s v=""/>
    <s v=""/>
    <s v=""/>
    <s v=""/>
    <s v="ORGANIZATIONAL PERFORMANCE; CAPABILITY"/>
    <s v="Under the background of the 2030 sustainable performance goal, in the sustainable performance, strategic orientation has been paid much attention because of its importance and management controllability. Whether the market-oriented strategy of enterprises can affect the legitimacy of enterprises and what kind of complex relationship exists between market orientation, legitimacy of enterprises, and enterprise performance. Therefore, from the perspective of digital theory, this paper makes an empirical test on the above problems by introducing the intermediary variable of enterprise legitimacy, so as to make up for the shortcomings of the existing research. When the time index reaches 50, among the four dimensions of the experiment, the average correlation of digital culture is 1.12, the average correlation of resource integration is 0.58, the average correlation of process optimization is 0.74, and the average correlation of technical capability is 0.64. Among the four dimensions, the proportion of digital culture is the highest, and the CITC value of each measurement item in each dimension is greater than 0.5, so the deletion of each item cannot be increased. If the enterprises under digitalization can meet the social expectations and cognition of all stakeholders in the strategic-oriented sustainable performance system, they will be recognized and accepted by them, thus gaining higher legitimacy."/>
    <s v="[Wang, Yurong] Xian Univ Finance &amp; Econ, Sch Business, Xian 710100, Peoples R China; [Wang, Yurong] Xian Univ Finance &amp; Econ, Res Ctr Modern Enterprise Management, Xian 710100, Peoples R China"/>
    <s v="Xi'an University of Finance &amp; Economics; Xi'an University of Finance &amp; Economics"/>
    <s v="Wang, YR (corresponding author), Xian Univ Finance &amp; Econ, Sch Business, Xian 710100, Peoples R China.;Wang, YR (corresponding author), Xian Univ Finance &amp; Econ, Res Ctr Modern Enterprise Management, Xian 710100, Peoples R China."/>
    <s v="wangyurong@xaufe.edu.cn"/>
    <s v=""/>
    <s v=""/>
    <s v="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18JZ029]; [2021R008]"/>
    <s v="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
    <s v="AcknowledgmentsThis work was supported by Philosophy and Social Science Key Research Base project of Shaanxi Education Department: Evaluation of innovation efficiency of equipment manufacturing industry in Shaanxi Province: An empirical study based on exploratory spatial analysis (No. 18JZ029) and Social Science Fund project of Shaanxi Province: Green innovation performance evaluation and spatial difference evolution in Shaanxi Province (No. 2021R008)."/>
    <s v=""/>
    <n v="25"/>
    <n v="0"/>
    <n v="0"/>
    <n v="11"/>
    <n v="30"/>
    <s v="HINDAWI LTD"/>
    <s v="LONDON"/>
    <s v="ADAM HOUSE, 3RD FLR, 1 FITZROY SQ, LONDON, W1T 5HF, ENGLAND"/>
    <s v="1024-123X"/>
    <s v="1563-5147"/>
    <s v=""/>
    <s v="MATH PROBL ENG"/>
    <s v="Math. Probl. Eng."/>
    <s v="AUG 17"/>
    <n v="2022"/>
    <n v="2022"/>
    <s v=""/>
    <s v=""/>
    <s v=""/>
    <s v=""/>
    <s v=""/>
    <s v=""/>
    <s v=""/>
    <n v="2263222"/>
    <s v="10.1155/2022/2263222"/>
    <s v="http://dx.doi.org/10.1155/2022/2263222"/>
    <s v=""/>
    <s v=""/>
    <n v="10"/>
    <s v="Engineering, Multidisciplinary; Mathematics, Interdisciplinary Applications"/>
    <x v="2"/>
    <s v="Engineering; Mathematics"/>
    <s v="4F3IN"/>
    <s v=""/>
    <s v="gold"/>
    <s v=""/>
    <s v=""/>
    <s v="2023-11-15"/>
    <x v="570"/>
    <s v="View Full Record in Web of Science"/>
  </r>
  <r>
    <s v="J"/>
    <s v="Wang, SN; Lin, DD"/>
    <s v=""/>
    <s v=""/>
    <s v=""/>
    <s v="Wang, Sining; Lin, Dandan"/>
    <s v=""/>
    <s v=""/>
    <s v="Applying the post-digital strategy of anexact architecture to non-standard design practices within the challenging construction contexts"/>
    <s v="HELIYON"/>
    <s v=""/>
    <s v=""/>
    <s v="English"/>
    <x v="0"/>
    <s v=""/>
    <s v=""/>
    <s v=""/>
    <s v=""/>
    <s v=""/>
    <s v="Design practice strategy; Post -digital architecture; Parametric design; Developing region; Non -standard architecture"/>
    <s v=""/>
    <s v="New architectural forms offered by digital design approaches often appear incompatible with the prescribed precision and control in construction, especially in developing regions where advanced implementation means are limited. In response, this paper suggests working with design practice indeterminacy. Named 'anexact architec-ture', the post-digital design practice strategy presents a convergent diagram of seeking the feasible design so-lution space. It relies on the procedural parametric modelling to constantly integrate computation and humanisation, so that a rigorous built outcome is capable of accommodating project-specific idiosyncrasies and constraints. The demonstrator projects are discussed based on the combination of the Participatory Action Research method and the idea of anexact architecture. This paper aims to illustrate the peculiarity of anexact architecture and its ideology of treating design delivery uncertainties as essentials rather than negatives when practicing in a volatile construction context."/>
    <s v="[Wang, Sining; Lin, Dandan] Soochow Univ, Sch Architecture, Suzhou, Peoples R China"/>
    <s v="Soochow University - China"/>
    <s v="Wang, SN (corresponding author), Soochow Univ, Sch Architecture, Suzhou, Peoples R China."/>
    <s v="snwang@suda.edu.cn"/>
    <s v=""/>
    <s v=""/>
    <s v="Natural Science Foundation of Jiangsu Higher Education Institutions, China; Social Science Foundation of Jiangsu Province, China [20KJB560022]; [21SHD001]"/>
    <s v="Natural Science Foundation of Jiangsu Higher Education Institutions, China; Social Science Foundation of Jiangsu Province, China;"/>
    <s v="This work was supported by Natural Science Foundation of Jiangsu Higher Education Institutions, China (No. 20KJB560022) and by Social Science Foundation of Jiangsu Province, China (No. 21SHD001)"/>
    <s v=""/>
    <n v="42"/>
    <n v="0"/>
    <n v="0"/>
    <n v="2"/>
    <n v="10"/>
    <s v="CELL PRESS"/>
    <s v="CAMBRIDGE"/>
    <s v="50 HAMPSHIRE ST, FLOOR 5, CAMBRIDGE, MA 02139 USA"/>
    <s v=""/>
    <s v="2405-8440"/>
    <s v=""/>
    <s v="HELIYON"/>
    <s v="Heliyon"/>
    <s v="AUG"/>
    <n v="2022"/>
    <n v="8"/>
    <n v="8"/>
    <s v=""/>
    <s v=""/>
    <s v=""/>
    <s v=""/>
    <s v=""/>
    <s v=""/>
    <s v="e09982"/>
    <s v="10.1016/j.heliyon.2022.e09982"/>
    <s v="http://dx.doi.org/10.1016/j.heliyon.2022.e09982"/>
    <s v=""/>
    <s v="AUG 2022"/>
    <n v="13"/>
    <s v="Multidisciplinary Sciences"/>
    <x v="2"/>
    <s v="Science &amp; Technology - Other Topics"/>
    <s v="5F3MM"/>
    <n v="35965988"/>
    <s v="gold, Green Published"/>
    <s v=""/>
    <s v=""/>
    <s v="2023-11-15"/>
    <x v="571"/>
    <s v="View Full Record in Web of Science"/>
  </r>
  <r>
    <s v="J"/>
    <s v="Centobelli, P; Cerchione, R; Esposito, E; Passaro, R; Quinto, I"/>
    <s v=""/>
    <s v=""/>
    <s v=""/>
    <s v="Centobelli, Piera; Cerchione, Roberto; Esposito, Emilio; Passaro, Renato; Quinto, Ivana"/>
    <s v=""/>
    <s v=""/>
    <s v="The undigital behavior of innovative startups: empirical evidence and taxonomy of digital innovation strategies"/>
    <s v="INTERNATIONAL JOURNAL OF ENTREPRENEURIAL BEHAVIOR &amp; RESEARCH"/>
    <s v=""/>
    <s v=""/>
    <s v="English"/>
    <x v="0"/>
    <s v=""/>
    <s v=""/>
    <s v=""/>
    <s v=""/>
    <s v=""/>
    <s v="Digital behavior; Digitalization; Digital transformation; Digital infrastructures; Emergent entrepreneurship; Startups; Startup strategies"/>
    <s v="INFORMATION-SYSTEMS; ENTREPRENEURSHIP; TECHNOLOGY; PERFORMANCE; PERSPECTIVE; CREATION; AGENDA; WEB; UPS"/>
    <s v="Purpose This paper aims to conceptualize the digital behavior of startups and investigate the emerging behaviors about digital strategies of the Italian startup firms enrolled in the Startup Act policy initiative. Digital technologies were divided into intra- and inter-organizational digital infrastructures, and this categorization offers startups the opportunity to identify a set of enabling technologies that could be used to improve their digital strategies. Design/methodology/approach An empirical analysis has been conducted to investigate the degree of adoption of digital intra- and inter-organizational digital infrastructures in the entire population of 6,178 Italian firms listed in the Register of Innovative Startups. Findings The paper proposes a taxonomy bringing together four startup behaviors for adopting digital technologies: digital follower, technical influencer, social influencer and digital leader. From the perspective of policy makers, considering the financial efforts that public authorities are supporting in the last decade, implications are mainly concerned with policy measures aimed both to reinforce the overall adoption of digital technologies and to develop a balanced adoption of intra- and inter-organizational digital infrastructures. Originality/value Measures addressed to support female and foreign entrepreneurship could be useful to support a more dynamic and well-balanced cultural and racial contamination, thus improving the adoption of digital tools."/>
    <s v="[Centobelli, Piera; Esposito, Emilio] Univ Naples Federico II, Dept Ind Engn, Naples, Italy; [Cerchione, Roberto; Passaro, Renato; Quinto, Ivana] Univ Naples Parthenope, Dept Engn, Naples, Italy"/>
    <s v="University of Naples Federico II; Parthenope University Naples"/>
    <s v="Cerchione, R (corresponding author), Univ Naples Parthenope, Dept Engn, Naples, Italy."/>
    <s v="piera.centobelli@unina.it; roberto.cerchione@uniparthenope.it; emilio.esposito@unina.it; renato.passaro@uniparthenope.it; ivana.quinto@uniparthenope.it"/>
    <s v="Quinto, Ivana/AAO-3661-2020; Passaro, Renato/AFO-8339-2022; Peter, Serin/ITR-8938-2023"/>
    <s v="Passaro, Renato/0000-0002-3263-2294; Cerchione, Roberto/0000-0002-7025-3295; Centobelli, Piera/0000-0002-3302-2236"/>
    <s v=""/>
    <s v=""/>
    <s v=""/>
    <s v=""/>
    <n v="84"/>
    <n v="0"/>
    <n v="0"/>
    <n v="22"/>
    <n v="58"/>
    <s v="EMERALD GROUP PUBLISHING LTD"/>
    <s v="BINGLEY"/>
    <s v="HOWARD HOUSE, WAGON LANE, BINGLEY BD16 1WA, W YORKSHIRE, ENGLAND"/>
    <s v="1355-2554"/>
    <s v="1758-6534"/>
    <s v=""/>
    <s v="INT J ENTREP BEHAV R"/>
    <s v="Int. J. Entrep. Behav. Res."/>
    <s v="AUG 3"/>
    <n v="2022"/>
    <n v="28"/>
    <n v="9"/>
    <s v=""/>
    <s v=""/>
    <s v=""/>
    <s v=""/>
    <n v="219"/>
    <n v="241"/>
    <s v=""/>
    <s v="10.1108/IJEBR-08-2021-0626"/>
    <s v="http://dx.doi.org/10.1108/IJEBR-08-2021-0626"/>
    <s v=""/>
    <s v=""/>
    <n v="23"/>
    <s v="Business; Management"/>
    <x v="0"/>
    <s v="Business &amp; Economics"/>
    <s v="3M9JV"/>
    <s v=""/>
    <s v="hybrid"/>
    <s v=""/>
    <s v=""/>
    <s v="2023-11-15"/>
    <x v="572"/>
    <s v="View Full Record in Web of Science"/>
  </r>
  <r>
    <s v="J"/>
    <s v="Li, L"/>
    <s v=""/>
    <s v=""/>
    <s v=""/>
    <s v="Li, Lan"/>
    <s v=""/>
    <s v=""/>
    <s v="Evaluation of Digital Transformation Maturity of Small and Medium-Sized Entrepreneurial Enterprises Based on Multicriteria Framework"/>
    <s v="MATHEMATICAL PROBLEMS IN ENGINEERING"/>
    <s v=""/>
    <s v=""/>
    <s v="English"/>
    <x v="0"/>
    <s v=""/>
    <s v=""/>
    <s v=""/>
    <s v=""/>
    <s v=""/>
    <s v=""/>
    <s v=""/>
    <s v="This paper firstly constructs a set of digital maturity evaluation system for small and medium-sized enterprises based on the maturity model theory and adopts the AHP-DEMATEL evaluation method to evaluate the digital maturity of small and medium-sized enterprises. The four dimensions of digital strategy, operational technology, cultural organization capabilities, and ecosystem explore the impact mechanism of digitalization on enterprise product transformation capabilities. This research fully combines theory with practice and effectively makes up for the lack of digital theory research of small- and medium-sized enterprises."/>
    <s v="[Li, Lan] Balivag Univ Gil Carlos, St Baliuag 3006, Bulacan, Philippines"/>
    <s v=""/>
    <s v="Li, L (corresponding author), Balivag Univ Gil Carlos, St Baliuag 3006, Bulacan, Philippines."/>
    <s v="lanli@baliuagu.edu.ph"/>
    <s v=""/>
    <s v=""/>
    <s v=""/>
    <s v=""/>
    <s v=""/>
    <s v=""/>
    <n v="24"/>
    <n v="0"/>
    <n v="0"/>
    <n v="14"/>
    <n v="57"/>
    <s v="HINDAWI LTD"/>
    <s v="LONDON"/>
    <s v="ADAM HOUSE, 3RD FLR, 1 FITZROY SQ, LONDON, W1T 5HF, ENGLAND"/>
    <s v="1024-123X"/>
    <s v="1563-5147"/>
    <s v=""/>
    <s v="MATH PROBL ENG"/>
    <s v="Math. Probl. Eng."/>
    <s v="JUL 11"/>
    <n v="2022"/>
    <n v="2022"/>
    <s v=""/>
    <s v=""/>
    <s v=""/>
    <s v=""/>
    <s v=""/>
    <s v=""/>
    <s v=""/>
    <n v="7085322"/>
    <s v="10.1155/2022/7085322"/>
    <s v="http://dx.doi.org/10.1155/2022/7085322"/>
    <s v=""/>
    <s v=""/>
    <n v="11"/>
    <s v="Engineering, Multidisciplinary; Mathematics, Interdisciplinary Applications"/>
    <x v="2"/>
    <s v="Engineering; Mathematics"/>
    <s v="4X3MM"/>
    <s v=""/>
    <s v="gold"/>
    <s v=""/>
    <s v=""/>
    <s v="2023-11-15"/>
    <x v="573"/>
    <s v="View Full Record in Web of Science"/>
  </r>
  <r>
    <s v="J"/>
    <s v="Üsküp, DK; Nieto, O; Rosenberg-Carlson, E; Lee, SJ; Milburn, NG; Brooks, RA"/>
    <s v=""/>
    <s v=""/>
    <s v=""/>
    <s v="Uskup, Dilara K.; Nieto, Omar; Rosenberg-Carlson, Elena; Lee, Sung-Jae; Milburn, Norweeta G.; Brooks, Ronald A."/>
    <s v=""/>
    <s v=""/>
    <s v="Acceptability and Appropriateness of Digital PrEP Interventions for Black and Latina Cisgender Women: Perspectives From Service Providers in Los Angeles County"/>
    <s v="JAIDS-JOURNAL OF ACQUIRED IMMUNE DEFICIENCY SYNDROMES"/>
    <s v=""/>
    <s v=""/>
    <s v="English"/>
    <x v="0"/>
    <s v=""/>
    <s v=""/>
    <s v=""/>
    <s v=""/>
    <s v=""/>
    <s v="Black women; Latina women; pre-exposure prophylaxis; digital technology; telemedicine"/>
    <s v="PREEXPOSURE PROPHYLAXIS PREP; ADHERENCE BUILDING ITAB; ANTIRETROVIRAL PROPHYLAXIS; UNITED-STATES; HIV; KNOWLEDGE; ATTITUDES; AWARENESS; TRIAL; USERS"/>
    <s v="Background: Black and Latina cisgender women (BLCW) experience disproportionately high rates of HIV infection compared with White women. BLCW also experience disparities in uptake of pre-exposure prophylaxis (PrEP), a highly effective HIV prevention strategy. Digital technology interventions may help to improve PrEP accessibility among BLCW and address barriers to receiving PrEP services in clinical settings. Methods: We conducted a formative implementation research project with service providers to explore the use of digital technology interventions to improve PrEP care continuum outcomes among priority populations in Los Angeles County. A thematic analysis approach was then used to assess the perceived acceptability and appropriateness of digital PrEP interventions for BLCW. Results: Of the five technology products presented, service providers viewed the stand-alone telemedicine platforms as the most acceptable intervention type for BLCW. Service providers also noted perceived benefits and barriers that BLCW may experience in using stand-alone telemedicine platforms, and offered recommendations for tailoring the products to meet the individual needs of BLCW. Conclusions: Digital PrEP interventions may help address barriers BLCW experience in accessing PrEP in clinical settings. We offer suggestions of implementation strategies to optimize the use of digital PrEP interventions among BLCW."/>
    <s v="[Uskup, Dilara K.; Nieto, Omar; Rosenberg-Carlson, Elena; Brooks, Ronald A.] Univ Calif Los Angeles, Dept Family Med, 10880 Wilshire Blvd,Suite 1800, Los Angeles, CA 90024 USA; [Uskup, Dilara K.; Rosenberg-Carlson, Elena; Lee, Sung-Jae; Milburn, Norweeta G.; Brooks, Ronald A.] Univ Calif Los Angeles, Ctr HIV Identificat Prevent &amp; Treatment Serv CHIP, Los Angeles, CA 90024 USA; [Lee, Sung-Jae; Milburn, Norweeta G.] Univ Calif Los Angeles, Dept Psychiat &amp; Biobehav Sci, Los Angeles, CA 90024 USA"/>
    <s v="University of California System; University of California Los Angeles; University of California System; University of California Los Angeles; University of California System; University of California Los Angeles"/>
    <s v="Brooks, RA (corresponding author), Univ Calif Los Angeles, Dept Family Med, 10880 Wilshire Blvd,Suite 1800, Los Angeles, CA 90024 USA."/>
    <s v="rabrooks@mednet.ucla.edu"/>
    <s v=""/>
    <s v=""/>
    <s v="Center for HIV Identification, Prevention, and Treatment Services (CHIPTS) under the National Institutes of Mental Health (NIMH) [P30 MH058107-23S]; National Institute of Neurological Disorders and Stroke (NINDS) [R25NS094093]; NIMH [5T32MH109205-03]"/>
    <s v="Center for HIV Identification, Prevention, and Treatment Services (CHIPTS) under the National Institutes of Mental Health (NIMH); National Institute of Neurological Disorders and Stroke (NINDS)(United States Department of Health &amp; Human ServicesNational Institutes of Health (NIH) - USANIH National Institute of Neurological Disorders &amp; Stroke (NINDS)); NIMH(United States Department of Health &amp; Human ServicesNational Institutes of Health (NIH) - USANIH National Institute of Mental Health (NIMH))"/>
    <s v="Supported by the Center for HIV Identification, Prevention, and Treatment Services (CHIPTS) under the National Institutes of Mental Health (NIMH) Grant No. P30 MH058107-23S. D.K.U. is supported by the National Institute of Neurological Disorders and Stroke (NINDS) under Grant No. R25NS094093 and NIMH under Grant No. 5T32MH109205-03. The content is solely the responsibility of the authors and does not necessarily represent the official views of NIH."/>
    <s v=""/>
    <n v="47"/>
    <n v="0"/>
    <n v="0"/>
    <n v="0"/>
    <n v="0"/>
    <s v="LIPPINCOTT WILLIAMS &amp; WILKINS"/>
    <s v="PHILADELPHIA"/>
    <s v="TWO COMMERCE SQ, 2001 MARKET ST, PHILADELPHIA, PA 19103 USA"/>
    <s v="1525-4135"/>
    <s v="1077-9450"/>
    <s v=""/>
    <s v="JAIDS-J ACQ IMM DEF"/>
    <s v="JAIDS"/>
    <s v="JUL 1"/>
    <n v="2022"/>
    <n v="90"/>
    <s v=""/>
    <s v=""/>
    <n v="1"/>
    <s v=""/>
    <s v=""/>
    <s v="S134"/>
    <s v="S140"/>
    <s v=""/>
    <s v="10.1097/QAI.0000000000002973"/>
    <s v="http://dx.doi.org/10.1097/QAI.0000000000002973"/>
    <s v=""/>
    <s v=""/>
    <n v="7"/>
    <s v="Immunology; Infectious Diseases"/>
    <x v="2"/>
    <s v="Immunology; Infectious Diseases"/>
    <s v="2C7PI"/>
    <n v="35703765"/>
    <s v="Bronze, Green Accepted"/>
    <s v=""/>
    <s v=""/>
    <s v="2023-11-15"/>
    <x v="574"/>
    <s v="View Full Record in Web of Science"/>
  </r>
  <r>
    <s v="J"/>
    <s v="Garcia-Lomas, JD; Palacios, M; Zurdo, RP"/>
    <s v=""/>
    <s v=""/>
    <s v=""/>
    <s v="de la Guardia Garcia-Lomas, Juan; Palacios, Miguel; Zurdo, Ricardo Palomo"/>
    <s v=""/>
    <s v=""/>
    <s v="Mergers &amp; acquisitions in the elevator industry: The use of information and communication technologies to avoid information asymmetry"/>
    <s v="ENGINEERING REPORTS"/>
    <s v=""/>
    <s v=""/>
    <s v="English"/>
    <x v="0"/>
    <s v=""/>
    <s v=""/>
    <s v=""/>
    <s v=""/>
    <s v=""/>
    <s v="adverse selection; digital strategy; ICTs; information asymmetry; IoT; IT due diligence; M&amp;A performance; M&amp;A success"/>
    <s v=""/>
    <s v="Mergers and Acquisitions (M&amp;A) is one of the most explored growth strategies in all markets, and this is indeed the case in the elevator industry, an engineering-based industry with important service contracts. The reality is that a high percentage of the operations carried out do not meet the expectations of the investors once the integration phase has been completed. The authors have reviewed 290 papers related to successes and failures of M&amp;A operations from different industries, between 1990 and 2020, and the conclusion is that there are several causes of failures in M&amp;A operations, but the most common one, and the one with the highest risk of overprice in an acquisition decision, is information asymmetry. During the negotiation phase a large amount of data is collected, and subsequently analyzed during the due diligence period, but it may not correspond to the reality during the integration phase. In this article we will propose how information asymmetry can be avoided through internet of things (hereinafter IoT) devices installed in an elevator. This can also be applied to other engineering-based industries with service involvement and potential remote measurements."/>
    <s v="[de la Guardia Garcia-Lomas, Juan] Univ CEU San Pablo, CEU Univ, CEINDO, Madrid, Spain; [Palacios, Miguel] ESCP Business Sch, Madrid, Spain; [Zurdo, Ricardo Palomo] Univ CEU San Pablo, CEU Univ, Sch Business &amp; Econ, Madrid, Spain"/>
    <s v="San Pablo CEU University; heSam Universite; ESCP Business School; San Pablo CEU University"/>
    <s v="Garcia-Lomas, JD (corresponding author), Univ CEU San Pablo, CEU Univ, Madrid 28003, Spain."/>
    <s v="juan.deguardiagarcialomas@usp.ceu.es"/>
    <s v="de la Guardia, Juan/HKE-8412-2023; PALOMO-ZURDO, RICARDO/C-4070-2015"/>
    <s v="de la Guardia, Juan/0000-0002-8861-0940; PALOMO-ZURDO, RICARDO/0000-0002-4243-6684"/>
    <s v=""/>
    <s v=""/>
    <s v=""/>
    <s v=""/>
    <n v="26"/>
    <n v="0"/>
    <n v="0"/>
    <n v="1"/>
    <n v="5"/>
    <s v="WILEY"/>
    <s v="HOBOKEN"/>
    <s v="111 RIVER ST, HOBOKEN 07030-5774, NJ USA"/>
    <s v=""/>
    <s v="2577-8196"/>
    <s v=""/>
    <s v="ENG REP"/>
    <s v="Eng. Rep."/>
    <s v="FEB"/>
    <n v="2023"/>
    <n v="5"/>
    <n v="2"/>
    <s v=""/>
    <s v=""/>
    <s v=""/>
    <s v=""/>
    <s v=""/>
    <s v=""/>
    <s v="e12539"/>
    <s v="10.1002/eng2.12539"/>
    <s v="http://dx.doi.org/10.1002/eng2.12539"/>
    <s v=""/>
    <s v="JUN 2022"/>
    <n v="9"/>
    <s v="Computer Science, Interdisciplinary Applications; Engineering, Multidisciplinary; Materials Science, Multidisciplinary"/>
    <x v="3"/>
    <s v="Computer Science; Engineering; Materials Science"/>
    <s v="9E9CL"/>
    <s v=""/>
    <s v="gold"/>
    <s v=""/>
    <s v=""/>
    <s v="2023-11-15"/>
    <x v="575"/>
    <s v="View Full Record in Web of Science"/>
  </r>
  <r>
    <s v="J"/>
    <s v="Ferretti, F"/>
    <s v=""/>
    <s v=""/>
    <s v=""/>
    <s v="Ferretti, Federico"/>
    <s v=""/>
    <s v=""/>
    <s v="A SINGLE EUROPEAN DATA SPACE AND DATA ACT FOR THE DIGITAL SINGLE MARKET: ON DATAFICATION AND THE VIABILITY OF A PSD2-LIKE ACCESS REGIME FOR THE PLATFORM ECONOMY"/>
    <s v="EUROPEAN JOURNAL OF LEGAL STUDIES"/>
    <s v=""/>
    <s v=""/>
    <s v="English"/>
    <x v="0"/>
    <s v=""/>
    <s v=""/>
    <s v=""/>
    <s v=""/>
    <s v=""/>
    <s v="Digital Single Market; Data Act; data; data rights and control; data access; data sharing; platform economy; PSD2"/>
    <s v="BIG DATA; KNOWLEDGE; INFORMATION; DEFINITION; PROTECTION; CREDIT"/>
    <s v="In its new digital strategy for Europe, the EU highlights the need for better data-access and sharing. In line with this priority, it is working on a proposal for a Data Act that aims to provide the underlying legal framework. This paper seeks to disentangle key legal concepts and issues related to datafication that affect the envisaged European Data Space. It reveals that the EU already has a suitable regulatory model under the Payment Services Directive 2 ('PSD2'). The strategy focuses on market imbalances of the platform economy and challenges the legitimacy of large technological companies ('Big-Techs'). The latter act as gatekeepers to maintain a key role in data-access and monetise their data dominance. The paper casts into question the existence of a data market, suggesting that the EU already has a viable legislative model provided by the 'PSD2' sectoral legislation. Its data-access model could be applied horizontally across data-driven markets and the platform economy without engineering new rules or adding regulatory layers."/>
    <s v="[Ferretti, Federico] Alma Mater Studiorum Univ Bologna, Law, Bologna, Italy"/>
    <s v="University of Bologna"/>
    <s v="Ferretti, F (corresponding author), Alma Mater Studiorum Univ Bologna, Law, Bologna, Italy."/>
    <s v=""/>
    <s v=""/>
    <s v=""/>
    <s v="Erasmus+ Programme of the European Union"/>
    <s v="Erasmus+ Programme of the European Union(Erasmus+)"/>
    <s v="Associate Professor of Law, Alma Mater Studiorum University of Bologna; Director of the Jean Monnet Centre of Excellence 'Consumers and SMEs in the Digital Single Market (Digi-ConSME)'; Jean Monnet Chair of EU Digital Market Law (E-DSM). Co-funded by the Erasmus+ Programme of the European Union. The author is grateful to the three anonymous reviewers for their insightful and helpful comments. The usual disclaimer applies."/>
    <s v=""/>
    <n v="133"/>
    <n v="0"/>
    <n v="0"/>
    <n v="8"/>
    <n v="18"/>
    <s v="EUROPEAN UNIV INST"/>
    <s v="FIRENZE"/>
    <s v="COMMUNICATIONS SERV-PUBL UNIT, VILLA SALVIATI, VIA BOLOGNESE 156, FIRENZE, FI 50139, ITALY"/>
    <s v=""/>
    <s v="1973-2937"/>
    <s v=""/>
    <s v="EUR J LEG STUD"/>
    <s v="Eur. J. Leg. Stud."/>
    <s v="SUM"/>
    <n v="2022"/>
    <n v="14"/>
    <n v="1"/>
    <s v=""/>
    <s v=""/>
    <s v=""/>
    <s v=""/>
    <n v="173"/>
    <n v="218"/>
    <s v=""/>
    <s v="10.2924/EJLS.2022.015"/>
    <s v="http://dx.doi.org/10.2924/EJLS.2022.015"/>
    <s v=""/>
    <s v=""/>
    <n v="46"/>
    <s v="Law"/>
    <x v="3"/>
    <s v="Government &amp; Law"/>
    <s v="4U3TE"/>
    <s v=""/>
    <s v=""/>
    <s v=""/>
    <s v=""/>
    <s v="2023-11-15"/>
    <x v="576"/>
    <s v="View Full Record in Web of Science"/>
  </r>
  <r>
    <s v="J"/>
    <s v="Gulati, S; Grover, A"/>
    <s v=""/>
    <s v=""/>
    <s v=""/>
    <s v="Gulati, Sonal; Grover, Abha"/>
    <s v=""/>
    <s v=""/>
    <s v="THE IMPACT OF SOCIAL MEDIA PLATFORMS ON THE GROWTH OF STARTUPS IN INDIA"/>
    <s v="INTERNATIONAL JOURNAL OF EARLY CHILDHOOD SPECIAL EDUCATION"/>
    <s v=""/>
    <s v=""/>
    <s v="English"/>
    <x v="0"/>
    <s v=""/>
    <s v=""/>
    <s v=""/>
    <s v=""/>
    <s v=""/>
    <s v="social media advertising; startups; online sales; digital strategies; social media marketing effectiveness"/>
    <s v=""/>
    <s v="The fundamental reason behind this research is to study and investigate what role digital channels play if startups in India decide to advertise and promote their brand, product, or service through online mode. Nowadays, almost everyone wants to start a new venture and want to launch their brands and compete with more prominent names in the markets through cost effective ways. There have been several studies in the past where one can learn how one should expand their business in a certain targeted market. These research materials give us insights on failed startups as well who were unable to grow and could not run their business for more than two years. However; in today's era; we have observed that many entrepreneurs are now gaining momentum and their success rate is higher and they are relying maximum on digital strategies to promote their companies' offerings. Smart phones and smart devices have been a massive trend in marketing and they are contributing to more than half of the online traffic. Startups are now leveraging the digital space and using several digital channels for increasing their brand's visibility and influencing online sales. They are finding virtual mediums more cost effective with better customer engagement rate. They are able to control their marketing funds and execute their campaigns effectively if using digital marketing techniques such as pay per click, email marketing, search engine optimization &amp; social media marketing. The findings of this research imply that digital advertising for entrepreneurs has a huge impact on growing their business. If they do not utilize digital channels effectively, the augment is slow and redundant in some cases. It does show that online marketing efforts impact sales numbers and lead numbers for startups."/>
    <s v="[Gulati, Sonal] New Delhi Inst Management, Digital Mkt, New Delhi, India; [Grover, Abha] New Delhi Inst Management, Mkt, New Delhi, India"/>
    <s v=""/>
    <s v="Gulati, S (corresponding author), New Delhi Inst Management, Digital Mkt, New Delhi, India."/>
    <s v="sonalgulati.22@gmail.com; abhagrover.delhi@gmail.com"/>
    <s v=""/>
    <s v=""/>
    <s v=""/>
    <s v=""/>
    <s v=""/>
    <s v=""/>
    <n v="13"/>
    <n v="0"/>
    <n v="0"/>
    <n v="4"/>
    <n v="19"/>
    <s v="ANADOLU UNIV"/>
    <s v="ESKISEHIR"/>
    <s v="INST FINE ARTS, ESKISEHIR, 26470, TURKEY"/>
    <s v="1308-5581"/>
    <s v=""/>
    <s v=""/>
    <s v="INT J EARLY CHILD SP"/>
    <s v="Int. J. Early Child. Spec. Educ."/>
    <s v="JUN"/>
    <n v="2022"/>
    <n v="14"/>
    <n v="1"/>
    <s v=""/>
    <s v=""/>
    <s v=""/>
    <s v=""/>
    <n v="2240"/>
    <n v="2247"/>
    <s v=""/>
    <s v="10.9756/INT-JECSE/V14I1.260"/>
    <s v="http://dx.doi.org/10.9756/INT-JECSE/V14I1.260"/>
    <s v=""/>
    <s v=""/>
    <n v="8"/>
    <s v="Education, Special"/>
    <x v="3"/>
    <s v="Education &amp; Educational Research"/>
    <s v="0U9VM"/>
    <s v=""/>
    <s v=""/>
    <s v=""/>
    <s v=""/>
    <s v="2023-11-15"/>
    <x v="577"/>
    <s v="View Full Record in Web of Science"/>
  </r>
  <r>
    <s v="J"/>
    <s v="Lotto, M; Jorge, OS; Menezes, TS; Ramalho, AM; Oliveira, TM; Bevilacqua, F; Cruvinel, T"/>
    <s v=""/>
    <s v=""/>
    <s v=""/>
    <s v="Lotto, Matheus; Jorge, Olivia Santana; Menezes, Tamires Sa; Ramalho, Ana Maria; Oliveira, Thais Marchini; Bevilacqua, Fernando; Cruvinel, Thiago"/>
    <s v=""/>
    <s v=""/>
    <s v="Psychophysiological Reactions of Internet Users Exposed to Fluoride Information and Disinformation: Protocol for a Randomized Controlled Trial"/>
    <s v="JMIR RESEARCH PROTOCOLS"/>
    <s v=""/>
    <s v=""/>
    <s v="English"/>
    <x v="0"/>
    <s v=""/>
    <s v=""/>
    <s v=""/>
    <s v=""/>
    <s v=""/>
    <s v="fluoride; disinformation; randomized controlled trial; social media; internet"/>
    <s v="SOCIAL MEDIA; FAKE NEWS; ANXIETY; STRESS; POSTS"/>
    <s v="Background: False messages on the internet continually propagate possible adverse effects of fluoridated oral care products and water, despite their essential role in preventing and controlling dental caries. Objective: This study aims to evaluate the patterns of psychophysiological reactions of adults after the consumption of internet-based fluoride-related information and disinformation. Methods: A 2-armed, single-blinded, parallel, and randomized controlled trial will be conducted with 58 parents or caregivers of children who attend the Clinics of Pediatric Dentistry at the Bauru School of Dentistry, considering an attrition of 10% and a significance level of 5%. The participants will be randomized into test and intervention groups, being respectively exposed to fluoride-related information and disinformation presented on a computer with simultaneous monitoring of their psychophysiological reactions, including analysis of their heart rates (HRs) and 7 facial features (mouth outer, mouth corner, eye area, eyebrow activity, face area, face motion, and facial center of mass). Then, participants will respond to questions about the utility and truthfulness of content, their emotional state after the experiment, eHealth literacy, oral health knowledge, and socioeconomic characteristics. The Shapiro-Wilk and Levene tests will be used to determine the normality and homogeneity of the data, which could lead to further statistical analyses for elucidating significant differences between groups, using parametric (Student t test) or nonparametric (Mann-Whitney U test) analyses. Moreover, multiple logistic regression models will be developed to evaluate the association of distinct variables with the psychophysiological aspects. Only factors with significant Wald statistics in the simple analysis will be included in the multiple models (P&lt;.2). Furthermore, receiver operating characteristic curve analysis will be performed to determine the accuracy of the remote HR with respect to the measured HR. For all analyses, P&lt;.05 will be considered significant. Results: From June 2022, parents and caregivers who frequent the Clinics of Pediatric Dentistry at the Bauru School of Dentistry will be invited to participate in the study and will be randomized into 1 of the 2 groups (control or intervention). Data collection is expected to be completed in December 2023. Subsequently, the authors will analyze the data and publish the findings of the clinical trial by June 2024. Conclusions: This randomized controlled trial aims to elucidate differences between psychophysiological patterns of adults exposed to true or false oral health content. This evidence may support the development of further studies and digital strategies, such as neural network models to automatically detect disinformation available on the internet."/>
    <s v="[Lotto, Matheus; Jorge, Olivia Santana; Menezes, Tamires Sa; Ramalho, Ana Maria; Oliveira, Thais Marchini; Cruvinel, Thiago] Univ Sao Paulo, Bauru Sch Dent, Dept Pediat Dent Orthodont &amp; Publ Hlth, Al Dr Octavio Pinheiro Brisolla 9-75,Vila Univ, BR-17012901 Bauru, SP, Brazil; [Bevilacqua, Fernando] Fed Univ Fronteira Sul, Dept Comp Sci, Chapeco, SC, Brazil"/>
    <s v="Universidade de Sao Paulo; Universidade Federal da Fronteira Sul"/>
    <s v="Cruvinel, T (corresponding author), Univ Sao Paulo, Bauru Sch Dent, Dept Pediat Dent Orthodont &amp; Publ Hlth, Al Dr Octavio Pinheiro Brisolla 9-75,Vila Univ, BR-17012901 Bauru, SP, Brazil."/>
    <s v="thiagocruvinel@fob.usp.br"/>
    <s v="Lotto, Matheus/V-4759-2018; Cruvinel Silva, Thiago/K-2707-2012"/>
    <s v="Lotto, Matheus/0000-0002-0121-4006; Menezes, Tamires/0000-0002-2184-5075; Santana Jorge, Olivia/0000-0002-5266-5798; Cruvinel Silva, Thiago/0000-0001-7095-908X; Juca, Ana Maria/0000-0003-0908-6819"/>
    <s v="Sao Paulo Research Foundation [2019/27242-0]"/>
    <s v="Sao Paulo Research Foundation(Fundacao de Amparo a Pesquisa do Estado de Sao Paulo (FAPESP))"/>
    <s v="This work was supported by the Sao Paulo Research Foundation (grant #2019/27242-0)."/>
    <s v=""/>
    <n v="43"/>
    <n v="0"/>
    <n v="0"/>
    <n v="3"/>
    <n v="4"/>
    <s v="JMIR PUBLICATIONS, INC"/>
    <s v="TORONTO"/>
    <s v="130 QUEENS QUAY East, Unit 1100, TORONTO, ON M5A 0P6, CANADA"/>
    <s v="1929-0748"/>
    <s v=""/>
    <s v=""/>
    <s v="JMIR RES PROTOC"/>
    <s v="JMIR RES. Protoc."/>
    <s v="JUN"/>
    <n v="2022"/>
    <n v="11"/>
    <n v="6"/>
    <s v=""/>
    <s v=""/>
    <s v=""/>
    <s v=""/>
    <s v=""/>
    <s v=""/>
    <s v="e39133"/>
    <s v="10.2196/39133"/>
    <s v="http://dx.doi.org/10.2196/39133"/>
    <s v=""/>
    <s v=""/>
    <n v="10"/>
    <s v="Health Care Sciences &amp; Services; Public, Environmental &amp; Occupational Health"/>
    <x v="3"/>
    <s v="Health Care Sciences &amp; Services; Public, Environmental &amp; Occupational Health"/>
    <s v="E2AV8"/>
    <n v="35708767"/>
    <s v="Green Published, gold"/>
    <s v=""/>
    <s v=""/>
    <s v="2023-11-15"/>
    <x v="578"/>
    <s v="View Full Record in Web of Science"/>
  </r>
  <r>
    <s v="J"/>
    <s v="Zhu, XM; Liu, Y"/>
    <s v=""/>
    <s v=""/>
    <s v=""/>
    <s v="Zhu, Xiumei; Liu, Yue"/>
    <s v=""/>
    <s v=""/>
    <s v="The Formation Mechanism of an Enterprise?s Digital Intelligence Transformation Capability: A Case Study on ?Knowledge-Action Oneness? in Haier"/>
    <s v="FRONTIERS OF BUSINESS RESEARCH IN CHINA"/>
    <s v=""/>
    <s v=""/>
    <s v="English"/>
    <x v="0"/>
    <s v=""/>
    <s v=""/>
    <s v=""/>
    <s v=""/>
    <s v=""/>
    <s v="digital intelligence transformation capability; learning subject; learning process; ?knowledge-action oneness; ? Haier"/>
    <s v="COMPETITIVE ADVANTAGE; VALUE CREATION; STRATEGY; ENTREPRENEURSHIP; PERSPECTIVE"/>
    <s v="The rapid development of big data, artificial intelligence (AI), and blockchain technology makes the digital intelligence transformation of an enterprise possible. Based on the case study of Haier Group, this paper attempts to address the rationales behind building up the capability of digital intelligence transformation of enterprises by means of the traditional Chinese idiom, knowledge -action oneness. The result indicates that the learning process is an important factor for an enterprise to form its digital intelligence transformation capability. It is a process of mutual coupling between digital knowledge and digital actions. As a result of such a unity, different learning subjects form their corresponding digital intelligence transformation capability through their own learning process of mutual coupling of knowledge and action: Leaders form digital strategic capabilities through the mutual coupling of strategic knowledge and actions; employees form digital absorption capabilities through the mutual coupling of scenario -based knowledge and actions; teams form digital integration capabilities through the mutual coupling of integrated knowledge and actions; and the whole organization forms digital, eco-systemic capabilities through the mutual coupling of institutionalized knowledge and autonomous actions. Such a multi -level digital intelligence transformation system requires efforts from everyone in the enterprise."/>
    <s v="[Zhu, Xiumei; Liu, Yue] Jilin Univ, Sch Management, Changchun 130022, Peoples R China"/>
    <s v="Jilin University"/>
    <s v="Zhu, XM (corresponding author), Jilin Univ, Sch Management, Changchun 130022, Peoples R China."/>
    <s v=""/>
    <s v=""/>
    <s v=""/>
    <s v="Project of the National Natural Science Foundation of China Research on the Formation and Evolution Mechanism of Digital Entrepreneurial Ecosystem [71972086]; Jilin University Doctoral Interdisciplinary Science and Technology Funding Scheme [101832020DJX015]"/>
    <s v="Project of the National Natural Science Foundation of China Research on the Formation and Evolution Mechanism of Digital Entrepreneurial Ecosystem; Jilin University Doctoral Interdisciplinary Science and Technology Funding Scheme"/>
    <s v="This paper is supported by Project of the National Natural Science Foundation of China Research on the Formation and Evolution Mechanism of Digital Entrepreneurial Ecosystem (No. 71972086) and Jilin University Doctoral Interdisciplinary Science and Technology Funding Scheme (No.101832020DJX015) ."/>
    <s v=""/>
    <n v="41"/>
    <n v="0"/>
    <n v="0"/>
    <n v="31"/>
    <n v="34"/>
    <s v="HIGHER EDUCATION PRESS"/>
    <s v="BEIJING"/>
    <s v="CHAOYANG DIST, 4, HUIXINDONGJIE, FUSHENG BLDG, BEIJING 100029, PEOPLES R CHINA"/>
    <s v="1673-7326"/>
    <s v="1673-7431"/>
    <s v=""/>
    <s v="FRONT BUS RES CHINA"/>
    <s v="Front. Bus. Res. China"/>
    <s v="JUN"/>
    <n v="2022"/>
    <n v="16"/>
    <n v="2"/>
    <s v=""/>
    <s v=""/>
    <s v=""/>
    <s v=""/>
    <n v="126"/>
    <n v="150"/>
    <s v=""/>
    <s v="10.3868/s070-007-022-0007-7"/>
    <s v="http://dx.doi.org/10.3868/s070-007-022-0007-7"/>
    <s v=""/>
    <s v=""/>
    <n v="25"/>
    <s v="Business"/>
    <x v="3"/>
    <s v="Business &amp; Economics"/>
    <s v="D5YQ9"/>
    <s v=""/>
    <s v=""/>
    <s v=""/>
    <s v=""/>
    <s v="2023-11-15"/>
    <x v="579"/>
    <s v="View Full Record in Web of Science"/>
  </r>
  <r>
    <s v="J"/>
    <s v="Birnbaum, ML; Garrett, C; Baumel, A; Germano, NT; Lee, CY; Sosa, D; Ngo, H; Fox, KH; Dixon, L; Kane, JM"/>
    <s v=""/>
    <s v=""/>
    <s v=""/>
    <s v="Birnbaum, Michael L.; Garrett, Chantel; Baumel, Amit; Germano, Nicole T.; Lee, Cynthia; Sosa, Danny; Ngo, Hong; Fox, Kira H.; Dixon, Lisa; Kane, John M."/>
    <s v=""/>
    <s v=""/>
    <s v="Digital Strategies to Accelerate Help-Seeking in Youth With Psychiatric Concerns in New York State"/>
    <s v="FRONTIERS IN PSYCHIATRY"/>
    <s v=""/>
    <s v=""/>
    <s v="English"/>
    <x v="0"/>
    <s v=""/>
    <s v=""/>
    <s v=""/>
    <s v=""/>
    <s v=""/>
    <s v="digital advertisements; early intervention; youth mental health; help-seeking; social media; pathways to care"/>
    <s v="INITIAL TREATMENT CONTACT; HEALTH-RELATED STIGMA; MENTAL-DISORDERS; 1ST ONSET; 1ST-EPISODE PSYCHOSIS; UNTREATED ILLNESS; DEPRESSION; SCHIZOPHRENIA; DURATION; INTERNET"/>
    <s v="BackgroundMental illness in transition age youth is common and treatment initiation is often delayed. Youth overwhelmingly report utilizing the Internet to gather information while psychiatric symptoms emerge, however, most are not yet ready to receive a referral to care, forestalling the established benefit of early intervention. MethodsA digital outreach campaign and interactive online care navigation platform was developed and deployed in New York State on October 22, 2020. The campaign offers live connection to a peer or counselor, a self-assessment mental health quiz, and educational material all designed to promote help-seeking in youth and their allies. ResultsBetween October 22, 2020 and July 31, 2021, the campaign resulted in 581,981 ad impressions, 16,665 (2.9%) clicks, and 13,717 (2.4%) unique website visitors. A third (4,562, 33.2%) completed the quiz and 793 (0.1%) left contact information. Of those, 173 (21.8%) completed a virtual assessment and 155 (19.5%) resulted in a referral to care. The median age of those referred was 21 years (IQR = 11) and 40% were considered to be from low-income areas. Among quiz completers, youth endorsing symptoms of depression or anxiety were more likely to leave contact information (OR = 2.18, 95% CI [1.39, 3.41] and OR = 1.69, 95% CI [1.31, 2.19], respectively) compared to those not reporting symptoms of depression or anxiety. Youth endorsing symptoms of psychosis were less likely to report a desire to receive a referral to care (OR = 0.58, 95% CI [0.43, 0.80]) compared to those who did not endorse symptoms of psychosis. ConclusionSelf-reported symptomatology impact trajectories to care, even at the earliest stages of help-seeking, while youth and their allies are searching for information online. An online care navigation team could serve as an important resource for individuals with emerging behavioral health concerns and help to guide the transition between online information seeking at baseline to care."/>
    <s v="[Birnbaum, Michael L.; Sosa, Danny; Kane, John M.] Zucker Hillside Hosp, Northwell Hlth, Glen Oaks, NY 11004 USA; [Birnbaum, Michael L.; Germano, Nicole T.; Lee, Cynthia; Sosa, Danny; Kane, John M.] Feinstein Inst Med Res, Manhasset, NY 11030 USA; [Birnbaum, Michael L.; Kane, John M.] Donald &amp; Barbara Zucker Sch Med Hofstra Northwell, Hempstead, NY 11549 USA; [Garrett, Chantel] Univ Washington, Dept Hlth Syst &amp; Populat Hlth, Seattle, WA USA; [Baumel, Amit] Univ Haifa, Dept Community Mental Hlth, Haifa, Israel; [Ngo, Hong; Dixon, Lisa] New York State Psychiat Inst &amp; Hosp, Dept Psychiat, New York, NY 10032 USA; [Fox, Kira H.] Columbia Univ, Barnard Coll, Dept Psychol, New York, NY 10027 USA"/>
    <s v="Northwell Health; Northwell Health; Northwell Health; University of Washington; University of Washington Seattle; University of Haifa; New York State Psychiatry Institute; Columbia University"/>
    <s v="Birnbaum, ML (corresponding author), Zucker Hillside Hosp, Northwell Hlth, Glen Oaks, NY 11004 USA.;Birnbaum, ML (corresponding author), Feinstein Inst Med Res, Manhasset, NY 11030 USA.;Birnbaum, ML (corresponding author), Donald &amp; Barbara Zucker Sch Med Hofstra Northwell, Hempstead, NY 11549 USA."/>
    <s v="Mbirnbaum@northwell.edu"/>
    <s v=""/>
    <s v="Fox, Kira/0009-0001-2610-9739"/>
    <s v="National Institutes of Mental Health"/>
    <s v="National Institutes of Mental Health(United States Department of Health &amp; Human ServicesNational Institutes of Health (NIH) - USANIH National Institute of Mental Health (NIMH))"/>
    <s v="This work was supported through funding from the National Institutes of Mental Health (R34MH120790) as well as the One Mind Foundation."/>
    <s v=""/>
    <n v="56"/>
    <n v="0"/>
    <n v="0"/>
    <n v="1"/>
    <n v="6"/>
    <s v="FRONTIERS MEDIA SA"/>
    <s v="LAUSANNE"/>
    <s v="AVENUE DU TRIBUNAL FEDERAL 34, LAUSANNE, CH-1015, SWITZERLAND"/>
    <s v="1664-0640"/>
    <s v=""/>
    <s v=""/>
    <s v="FRONT PSYCHIATRY"/>
    <s v="Front. Psychiatry"/>
    <s v="MAY 16"/>
    <n v="2022"/>
    <n v="13"/>
    <s v=""/>
    <s v=""/>
    <s v=""/>
    <s v=""/>
    <s v=""/>
    <s v=""/>
    <s v=""/>
    <n v="889602"/>
    <s v="10.3389/fpsyt.2022.889602"/>
    <s v="http://dx.doi.org/10.3389/fpsyt.2022.889602"/>
    <s v=""/>
    <s v=""/>
    <n v="14"/>
    <s v="Psychiatry"/>
    <x v="1"/>
    <s v="Psychiatry"/>
    <s v="1T6DJ"/>
    <n v="35664474"/>
    <s v="Green Published, gold"/>
    <s v=""/>
    <s v=""/>
    <s v="2023-11-15"/>
    <x v="580"/>
    <s v="View Full Record in Web of Science"/>
  </r>
  <r>
    <s v="J"/>
    <s v="Katz, A"/>
    <s v=""/>
    <s v=""/>
    <s v=""/>
    <s v="Katz, Ari"/>
    <s v=""/>
    <s v=""/>
    <s v="Neglected to Indispensable: Lessons from beyond Access for Global Public Library Reform and Development"/>
    <s v="PUBLIC LIBRARY QUARTERLY"/>
    <s v=""/>
    <s v=""/>
    <s v="English"/>
    <x v="0"/>
    <s v=""/>
    <s v=""/>
    <s v=""/>
    <s v=""/>
    <s v=""/>
    <s v="Public libraries; library development; ict4d; international development; leadership; community engagement; social inclusion; myanmar; bangladesh; philippines; georgia"/>
    <s v="INFORMATION; TECHNOLOGY; ROMANIA"/>
    <s v="Beyond Access was the first major global attempt to connect the international development and public library worlds. Taking the form of a series of projects in a dozen countries meant to help catalyze library development around national goals, the program operated from 2011 to 2018. Starting from a point at which libraries in most low - and middle-income countries were neglected, disused and staffed by librarians with outdated skills, it effectively launched public libraries into national dialogue in some countries and failed to do so in others. This article explores the conditions and actions that led to effective projects and what lessons for future library development efforts might be gleaned from the program's work. In Myanmar and Georgia, the program attracted new investment into public libraries aligned with central government digital strategies. In Bangladesh and the Philippines, the program integrated public libraries into education efforts where they had been previously ignored. With more than a quarter million public libraries in low - and middle-income countries, there remains vast potential for library systems to reinforce their relevancy in the 21st century, attract new resources, and provide vital services. Library leaders around the world can build on the experience of Beyond Access to help inform initiatives to revive libraries around modern needs."/>
    <s v="[Katz, Ari] San Jose State Univ, Sch Informat, One Washington Sq, San Jose, CA 95192 USA"/>
    <s v="California State University System; San Jose State University"/>
    <s v="Katz, A (corresponding author), San Jose State Univ, Sch Informat, One Washington Sq, San Jose, CA 95192 USA."/>
    <s v="ari.katz@sjsu.edu"/>
    <s v=""/>
    <s v=""/>
    <s v="Bill and Melinda Gates Foundation"/>
    <s v="Bill and Melinda Gates Foundation(Bill &amp; Melinda Gates Foundation)"/>
    <s v="This paper owes a debt to the support, encouragement, and wisdom of advisor Dr. Michael Stephens at San Jose State University. None of the lessons described above would have been possible without the effort and dedication of the Beyond Access team at IREX, including Matthew Vanderwerff, Joel Turner, Rachel Crocker, Amber Ehrke, Matej Novak and Rob Cronin. Siri Oswald, Melissa Pailthorp and Deborah Jacobs at the Bill and Melinda Gates Foundation believed in the concept of Beyond Access and supported us to get the funding to accomplish it. Beyond Access's local partners in Myanmar (MBAPF), the Philippines (Molave Foundation), Georgia (Georgian Library Association) and Bangladesh (Save the Children) were responsible for the tough, day-to-day work that became the lessons discussed in this paper."/>
    <s v=""/>
    <n v="34"/>
    <n v="0"/>
    <n v="0"/>
    <n v="2"/>
    <n v="4"/>
    <s v="ROUTLEDGE JOURNALS, TAYLOR &amp; FRANCIS LTD"/>
    <s v="ABINGDON"/>
    <s v="2-4 PARK SQUARE, MILTON PARK, ABINGDON OX14 4RN, OXON, ENGLAND"/>
    <s v="0161-6846"/>
    <s v="1541-1540"/>
    <s v=""/>
    <s v="PUBLIC LIBR Q"/>
    <s v="Public Libr. Q."/>
    <s v="MAY 4"/>
    <n v="2022"/>
    <n v="41"/>
    <n v="3"/>
    <s v=""/>
    <s v=""/>
    <s v=""/>
    <s v=""/>
    <n v="273"/>
    <n v="293"/>
    <n v="1880260"/>
    <s v="10.1080/01616846.2021.1880260"/>
    <s v="http://dx.doi.org/10.1080/01616846.2021.1880260"/>
    <s v=""/>
    <s v=""/>
    <n v="21"/>
    <s v="Information Science &amp; Library Science"/>
    <x v="3"/>
    <s v="Information Science &amp; Library Science"/>
    <s v="8K7DO"/>
    <s v=""/>
    <s v=""/>
    <s v=""/>
    <s v=""/>
    <s v="2023-11-15"/>
    <x v="581"/>
    <s v="View Full Record in Web of Science"/>
  </r>
  <r>
    <s v="J"/>
    <s v="Alqahtani, M; Albahar, MA"/>
    <s v=""/>
    <s v=""/>
    <s v=""/>
    <s v="Alqahtani, Mdawi; Albahar, Marwan Ali"/>
    <s v=""/>
    <s v=""/>
    <s v="The Impact of Security and Payment Method On Consumers' Perception of Marketplace in Saudi Arabia (Case Study on Noon)"/>
    <s v="INTERNATIONAL JOURNAL OF ADVANCED COMPUTER SCIENCE AND APPLICATIONS"/>
    <s v=""/>
    <s v=""/>
    <s v="English"/>
    <x v="0"/>
    <s v=""/>
    <s v=""/>
    <s v=""/>
    <s v=""/>
    <s v=""/>
    <s v="Payment security; digital strategy; digital transformation; user security"/>
    <s v="PRIVACY; ADOPTION; COMMERCE; TRUST"/>
    <s v="Digital transformation has been accelerated in recent years, and COVID-19 has resulted in a rise in overall internet spending. Businesses must take measures in order to ensure that customers have a safe and enjoyable online purchasing experience. In this paper, customers' security perceptions regarding the most popular e-commerce applications in Saudi Arabia are explored. Surveys were distributed online via Google Form to 200 participants in total as part of a cross-sectional research design using quantitative methodology. The main findings were related to confirming eight main hypotheses of the research that were related to testing if some factors were important to forming perceived trust by customers. Five factors (trust, security, reputation, benefits, and convenience) were found to have a positive effect, and the remaining three were not (familiarity, size, and usefulness). Finally, this study recommends various actions for practitioners and policymakers to take in order to improve customer perceptions of payment methods and security in Saudi Arabia."/>
    <s v="[Alqahtani, Mdawi] Umm Al Qura Univ, Dept Business, POB 715, Mecca, Saudi Arabia; [Albahar, Marwan Ali] Umm Al Qura Univ, Dept Sci, POB 715, Mecca, Saudi Arabia"/>
    <s v="Umm Al Qura University; Umm Al Qura University"/>
    <s v="Alqahtani, M (corresponding author), Umm Al Qura Univ, Dept Business, POB 715, Mecca, Saudi Arabia."/>
    <s v=""/>
    <s v=""/>
    <s v=""/>
    <s v=""/>
    <s v=""/>
    <s v=""/>
    <s v=""/>
    <n v="41"/>
    <n v="0"/>
    <n v="0"/>
    <n v="0"/>
    <n v="2"/>
    <s v="SCIENCE &amp; INFORMATION SAI ORGANIZATION LTD"/>
    <s v="WEST YORKSHIRE"/>
    <s v="19 BOLLING RD, BRADFORD, WEST YORKSHIRE, 00000, ENGLAND"/>
    <s v="2158-107X"/>
    <s v="2156-5570"/>
    <s v=""/>
    <s v="INT J ADV COMPUT SC"/>
    <s v="Int. J. Adv. Comput. Sci. Appl."/>
    <s v="MAY"/>
    <n v="2022"/>
    <n v="13"/>
    <n v="5"/>
    <s v=""/>
    <s v=""/>
    <s v=""/>
    <s v=""/>
    <n v="81"/>
    <n v="88"/>
    <s v=""/>
    <s v=""/>
    <s v=""/>
    <s v=""/>
    <s v=""/>
    <n v="8"/>
    <s v="Computer Science, Theory &amp; Methods"/>
    <x v="3"/>
    <s v="Computer Science"/>
    <s v="3L9OZ"/>
    <s v=""/>
    <s v=""/>
    <s v=""/>
    <s v=""/>
    <s v="2023-11-15"/>
    <x v="582"/>
    <s v="View Full Record in Web of Science"/>
  </r>
  <r>
    <s v="J"/>
    <s v="Díaz, AC; Fernández, TD; Hernández, GA"/>
    <s v=""/>
    <s v=""/>
    <s v=""/>
    <s v="Castro Diaz, Adriel; Delgado Fernandez, Tatiana; Ash Hernandez, Gladys"/>
    <s v=""/>
    <s v=""/>
    <s v="DIAGNOSIS OF DIGITAL TRANSFORMATION IN HOTEL BUSINESS: CASE STUDY AT THE HOTEL NACIONAL DE CUBA"/>
    <s v="REVISTA UNIVERSIDAD Y SOCIEDAD"/>
    <s v=""/>
    <s v=""/>
    <s v="Spanish"/>
    <x v="0"/>
    <s v=""/>
    <s v=""/>
    <s v=""/>
    <s v=""/>
    <s v=""/>
    <s v="Digital transformation; digital maturity model; empathy map; customer experience map; tourism"/>
    <s v="TOURISM"/>
    <s v="In the tourism sector, digital transformation is not an option, but rather an imperative, both to achieve a sustained increase in visitors and in the continuous improvement of the service provided to the client. Tourist-centric digitization is a prerequisite for being able to respond to growing consumer demands and remain competitive. From the administration of the hotel facilities, it is necessary to carry out a permanent monitoring of the operation of all internal operational processes and of the services offered to tourists through the use of digital technologies. In this scenario, the customer experience, increasingly immersed in digital technology, is a key element. This article offers a methodology for diagnosing digital transformation in the hotel sector, by combining a Digital Maturity Model with techniques of Empathy Maps and customer experience, which is applied to the Hotel Nacional de Cuba, as the case study, where there are the necessary readiness conditions to adopt a comprehensive digital transformation, supported by a digital strategy that has been deployed some years ago. Finally, recommendations are made to the hotel based on the main findings of the study."/>
    <s v="[Castro Diaz, Adriel; Delgado Fernandez, Tatiana] Univ Tecnol La Habana Jose Antonio Echeverria, Havana, Cuba; [Ash Hernandez, Gladys] Hotel Nacl Cuba, Havana, Cuba"/>
    <s v=""/>
    <s v="Díaz, AC (corresponding author), Univ Tecnol La Habana Jose Antonio Echeverria, Havana, Cuba."/>
    <s v="adrielcasdia@ind.cujae.edu.cu; tatiana.delgado@uic.cu; cinder0314@gmail.com"/>
    <s v=""/>
    <s v=""/>
    <s v=""/>
    <s v=""/>
    <s v=""/>
    <s v=""/>
    <n v="20"/>
    <n v="0"/>
    <n v="0"/>
    <n v="5"/>
    <n v="9"/>
    <s v="UNIV CIENFUEGOS"/>
    <s v="CIENFUEGOS"/>
    <s v="CARRETERA RODAS KM 4, CUATRO CAMINOS, CIENFUEGOS, 00000, CUBA"/>
    <s v="2218-3620"/>
    <s v=""/>
    <s v=""/>
    <s v="REV UNIV SOC"/>
    <s v="Rev. Univ. Soc."/>
    <s v="MAY-JUN"/>
    <n v="2022"/>
    <n v="14"/>
    <n v="3"/>
    <s v=""/>
    <s v=""/>
    <s v=""/>
    <s v=""/>
    <n v="542"/>
    <n v="552"/>
    <s v=""/>
    <s v=""/>
    <s v=""/>
    <s v=""/>
    <s v=""/>
    <n v="11"/>
    <s v="Social Sciences, Interdisciplinary"/>
    <x v="3"/>
    <s v="Social Sciences - Other Topics"/>
    <s v="2T9BY"/>
    <s v=""/>
    <s v=""/>
    <s v=""/>
    <s v=""/>
    <s v="2023-11-15"/>
    <x v="583"/>
    <s v="View Full Record in Web of Science"/>
  </r>
  <r>
    <s v="J"/>
    <s v="Valencia, JT; Filián, JF"/>
    <s v=""/>
    <s v=""/>
    <s v=""/>
    <s v="Valencia, Jose Townsend; Filian, Janina Figueroa"/>
    <s v=""/>
    <s v=""/>
    <s v="Digital transformation models in the management of commercial companies"/>
    <s v="REVISTA COOPERATIVISMO Y DESARROLLO-COODES"/>
    <s v=""/>
    <s v=""/>
    <s v="English"/>
    <x v="0"/>
    <s v=""/>
    <s v=""/>
    <s v=""/>
    <s v=""/>
    <s v=""/>
    <s v="digital transformation; digital transformation models; digitalization; customers; organizational culture"/>
    <s v=""/>
    <s v="The phenomenon of digital transformation is emerging as a result of the Covid-19 crisis, which has accelerated commercial companies, forcing them to modify their processes, improve their competitiveness and develop new digital strategies, taking advantage of the full potential of technology to meet their customers. The objective of the study is to establish whether companies in the commerce sector are prepared for the digital transformation process. The proposed research model exposes the areas of the business in which digital technologies are most affected; it focuses on answering the what? and the which? from the perspective of five domains of the underlying principles of the strategies, changing the rules of the business. The research conducted is of qualitative and non-experimental design. The research method was inductive and its scope descriptive and correlational with the objective of quantifying the relationship between the concepts and their variables. The statistical and field technique was used, the main instrument for collecting information was the questionnaire, followed by the databases, using a statistical analysis program that showed the most significant aspects of the indicators studied."/>
    <s v="[Valencia, Jose Townsend; Filian, Janina Figueroa] Business Technol Univ Guayaquil, Guayaquil, Ecuador"/>
    <s v=""/>
    <s v="Valencia, JT (corresponding author), Business Technol Univ Guayaquil, Guayaquil, Ecuador."/>
    <s v="jose.townsend@uteg.edu.ec; jfigueroaf@outlook.es"/>
    <s v=""/>
    <s v=""/>
    <s v=""/>
    <s v=""/>
    <s v=""/>
    <s v=""/>
    <n v="20"/>
    <n v="0"/>
    <n v="0"/>
    <n v="1"/>
    <n v="1"/>
    <s v="UNIV PINAR RIO HERMANOS SAIZ MONTES OCA"/>
    <s v="PINA DEL RIO"/>
    <s v="CALLE MARTI NO 300 27 NOVIEMBRE &amp; GONZALEZ ALCORTA, PINA DEL RIO, CP 20100, CUBA"/>
    <s v="2310-340X"/>
    <s v=""/>
    <s v=""/>
    <s v="REV COOP DESARRO-COO"/>
    <s v="Rev. Coop. Desarro.-COODES"/>
    <s v="MAY-AUG"/>
    <n v="2022"/>
    <n v="10"/>
    <n v="2"/>
    <s v=""/>
    <s v=""/>
    <s v=""/>
    <s v=""/>
    <n v="407"/>
    <n v="429"/>
    <s v=""/>
    <s v=""/>
    <s v=""/>
    <s v=""/>
    <s v=""/>
    <n v="22"/>
    <s v="Development Studies"/>
    <x v="3"/>
    <s v="Development Studies"/>
    <s v="H1UQ5"/>
    <s v=""/>
    <s v=""/>
    <s v=""/>
    <s v=""/>
    <s v="2023-11-15"/>
    <x v="584"/>
    <s v="View Full Record in Web of Science"/>
  </r>
  <r>
    <s v="J"/>
    <s v="Dal Forno, AJ; Bataglini, WV; Steffens, F; de Souza, AAU"/>
    <s v=""/>
    <s v=""/>
    <s v=""/>
    <s v="Dal Forno, Ana Julia; Bataglini, Walakis Vieira; Steffens, Fernanda; Ulson de Souza, Antonio Augusto"/>
    <s v=""/>
    <s v=""/>
    <s v="Maturity model toll to diagnose Industry 4.0 in the clothing industry"/>
    <s v="JOURNAL OF FASHION MARKETING AND MANAGEMENT"/>
    <s v=""/>
    <s v=""/>
    <s v="English"/>
    <x v="0"/>
    <s v=""/>
    <s v=""/>
    <s v=""/>
    <s v=""/>
    <s v=""/>
    <s v="Diagnosis tool; Clothing industry; Maturity model; Industry 4; 0; Emerging technologies"/>
    <s v="FASHION; CREATION"/>
    <s v="Purpose The purpose of this paper is to present a diagnostic instrument of the maturity of Industry 4.0 technologies adapted to the textile and clothing sector and constructed based on the technological references that support this industrial evolution process. Design/methodology/approach The proposed methodology began with the systematic literature review using the SciMAT software and then a questionnaire was developed with 49 questions divided into 5 categories - demography, technologies, strategy, digital skills and benefits of the deployment. Findings The application in 19 different sectors and 72 people in a textile industry showed this sector is still traditional. The diagnosis results pointed that the level of implementation of Industry 4.0 is considered the first level, later advancing in this order to levels of connectivity, visibility, predictability and adaptability of the processes. Research limitations/implications Only in one company was applied the developed instrument, in this case study, a factory that makes children's and adult clothing items located in Santa Catarina, Brazil. Practical implications Through the use of this assessment instrument, it is possible to perform an internal benchmarking at the company detecting the strong and weak points, as well as involve a multidisciplinary collaborator team. Social implications The comparisons and improvements may be carried out per dimension or sector, which motivates the constant application and assessment of improvements. The instrument to diagnose the maturity of Industry 4.0 technologies in the textile and clothing sector is considered an effective tool for application in a single company or to have its use expanded in a new piece of research to the entire industrial textile segment. Originality/value The developed diagnostic tool may be used for both the internal assessment of the company and its placement relative to its competitors, involving several companies from the same sector. It is possible to know about what level of Industry 4.0 maturity the company is and after benchmarking by others and improve."/>
    <s v="[Dal Forno, Ana Julia; Bataglini, Walakis Vieira; Steffens, Fernanda; Ulson de Souza, Antonio Augusto] Santa Catarina Fed Univ, Text Engn Postgrad Program PGETEX UFSC, Blumenau, Brazil"/>
    <s v="Universidade Federal de Santa Catarina (UFSC)"/>
    <s v="Dal Forno, AJ (corresponding author), Santa Catarina Fed Univ, Text Engn Postgrad Program PGETEX UFSC, Blumenau, Brazil."/>
    <s v="ana.forno@ufsc.br"/>
    <s v="Dal Forno, Ana Julia/F-3652-2015; Ulson de Souza, Antonio Augusto/K-1051-2012"/>
    <s v="Dal Forno, Ana Julia/0000-0003-2441-5385; Ulson de Souza, Antonio Augusto/0000-0002-7115-2621"/>
    <s v="CAPES/Brazil (Coordenac~ao de Apefeicoamento de Pessoal de N~ivel Superior -Coordination for the Improvement of Higher Education Personnel)"/>
    <s v="CAPES/Brazil (Coordenac~ao de Apefeicoamento de Pessoal de N~ivel Superior -Coordination for the Improvement of Higher Education Personnel)"/>
    <s v="The authors would like to thank CAPES/Brazil (Coordenac~ao de Apefeicoamento de Pessoal de N~ivel Superior -Coordination for the Improvement of Higher Education Personnel) for incentivizing the postgraduate program and Lunelli company."/>
    <s v=""/>
    <n v="48"/>
    <n v="0"/>
    <n v="0"/>
    <n v="6"/>
    <n v="17"/>
    <s v="EMERALD GROUP PUBLISHING LTD"/>
    <s v="BINGLEY"/>
    <s v="HOWARD HOUSE, WAGON LANE, BINGLEY BD16 1WA, W YORKSHIRE, ENGLAND"/>
    <s v="1361-2026"/>
    <s v="1758-7433"/>
    <s v=""/>
    <s v="J FASH MARK MANAG"/>
    <s v="J. Fash. Mark. Manag."/>
    <s v="MAR 23"/>
    <n v="2023"/>
    <n v="27"/>
    <n v="2"/>
    <s v=""/>
    <s v=""/>
    <s v=""/>
    <s v=""/>
    <n v="201"/>
    <n v="219"/>
    <s v=""/>
    <s v="10.1108/JFMM-09-2021-0241"/>
    <s v="http://dx.doi.org/10.1108/JFMM-09-2021-0241"/>
    <s v=""/>
    <s v="APR 2022"/>
    <n v="19"/>
    <s v="Business; Management"/>
    <x v="0"/>
    <s v="Business &amp; Economics"/>
    <s v="D4DA0"/>
    <s v=""/>
    <s v=""/>
    <s v=""/>
    <s v=""/>
    <s v="2023-11-15"/>
    <x v="585"/>
    <s v="View Full Record in Web of Science"/>
  </r>
  <r>
    <s v="J"/>
    <s v="Boyd, L; Berardi, V; Hughes, D; Cibrian, F; Johnson, J; Sean, V; DelPizzo-Cheng, E; Mackin, B; Tusneem, A; Mody, R; Jones, S; Lotich, K"/>
    <s v=""/>
    <s v=""/>
    <s v=""/>
    <s v="Boyd, LouAnne; Berardi, Vincent; Hughes, Deanna; Cibrian, Franceli; Johnson, Jazette; Sean, Viseth; DelPizzo-Cheng, Eliza; Mackin, Brandon; Tusneem, Ayra; Mody, Riya; Jones, Sara; Lotich, Karen"/>
    <s v=""/>
    <s v=""/>
    <s v="Manipulating image luminance to improve eye gaze and verbal behavior in autistic children"/>
    <s v="HUMANITIES &amp; SOCIAL SCIENCES COMMUNICATIONS"/>
    <s v=""/>
    <s v=""/>
    <s v="English"/>
    <x v="0"/>
    <s v=""/>
    <s v=""/>
    <s v=""/>
    <s v=""/>
    <s v=""/>
    <s v=""/>
    <s v="ATTENTION-DEFICIT/HYPERACTIVITY DISORDER; SPATIAL-FREQUENCY CHANNELS; GLOBAL PRECEDENCE; STIMULUS OVERSELECTIVITY; EXECUTIVE FUNCTION; VISUAL-ATTENTION; PERCEPTION; VISION; MOVEMENTS; INTERFERENCE"/>
    <s v="Autism has been characterized by a tendency to attend to the local visual details over surveying an image to understand the gist-a phenomenon called local interference. This sensory processing trait has been found to negatively impact social communication. Although much work has been conducted to understand these traits, little to no work has been conducted to intervene to provide support for local interference. Additionally, recent understanding of autism now introduces the core role of sensory processing and its impact on social communication. However, no interventions to the end of our knowledge have been explored to leverage this relationship. This work builds on the connection between visual attention and semantic representation in autistic children. In this work, we ask the following research questions: RQ1: Does manipulating image characteristics of luminance and spatial frequency increase likelihood of fixations in hot spots (Areas of Interest) for autistic children? RQ2: Does manipulating low-level image characteristics of luminance and spatial frequency increase the likelihood of global verbal responses for autistic children? We sought to manipulate visual attention as measured by eye gaze fixations and semantic representation of verbal response to the question What is this picture about?. We explore digital strategies to offload low-level, sensory processing of global features via digital filtering. In this work, we designed a global filter to reduce image characteristics found to be distracting for autistic people and compared baseline images to featured images in 11 autistic children. Participants saw counterbalanced images way over 2 sessions. Eye gaze in areas of interest and verbal responses were collected and analyzed. We found that luminance in non-salient areas impacted both eye gaze and verbal responding-however in opposite ways (however versus high levels of luminance). Additionally, the interaction of luminance and spatial frequency in areas of interest is also significant. This is the first empirical study in designing an assistive technology aimed to augment global processing that occurs at a sensory-processing and social-communication level. Contributions of this work include empirical findings regarding the quantification of local interference in images of natural scenes for autistic children in real-world settings; digital methods to offload global visual processing to make this information more accessible via insight on the role of luminance and spatial frequency in visual perception of and semantic representation in images of natural scenes."/>
    <s v="[Boyd, LouAnne; Berardi, Vincent; Hughes, Deanna; Cibrian, Franceli; Sean, Viseth; Mackin, Brandon; Tusneem, Ayra; Mody, Riya] Chapman Univ, Orange, CA 92866 USA; [Johnson, Jazette] Univ Calif Irvine, Irvine, CA USA; [DelPizzo-Cheng, Eliza] Endicott Coll, Beverly, MA USA; [Jones, Sara; Lotich, Karen] Speech &amp; Language Dev Ctr, Buena Pk, CA USA"/>
    <s v="Chapman University System; Chapman University; University of California System; University of California Irvine"/>
    <s v="Boyd, L (corresponding author), Chapman Univ, Orange, CA 92866 USA."/>
    <s v="lboyd@chapman.edu"/>
    <s v=""/>
    <s v="Cibrian, Franceli L./0000-0002-7084-6904"/>
    <s v=""/>
    <s v=""/>
    <s v=""/>
    <s v=""/>
    <n v="59"/>
    <n v="0"/>
    <n v="0"/>
    <n v="0"/>
    <n v="4"/>
    <s v="SPRINGERNATURE"/>
    <s v="LONDON"/>
    <s v="CAMPUS, 4 CRINAN ST, LONDON, N1 9XW, ENGLAND"/>
    <s v=""/>
    <s v="2662-9992"/>
    <s v=""/>
    <s v="HUM SOC SCI COMMUN"/>
    <s v="Hum. Soc. Sci. Commun."/>
    <s v="APR 4"/>
    <n v="2022"/>
    <n v="9"/>
    <n v="1"/>
    <s v=""/>
    <s v=""/>
    <s v=""/>
    <s v=""/>
    <s v=""/>
    <s v=""/>
    <n v="110"/>
    <s v="10.1057/s41599-022-01131-6"/>
    <s v="http://dx.doi.org/10.1057/s41599-022-01131-6"/>
    <s v=""/>
    <s v=""/>
    <n v="9"/>
    <s v="Humanities, Multidisciplinary; Social Sciences, Interdisciplinary"/>
    <x v="5"/>
    <s v="Arts &amp; Humanities - Other Topics; Social Sciences - Other Topics"/>
    <s v="0G5XJ"/>
    <s v=""/>
    <s v="gold, Green Published"/>
    <s v=""/>
    <s v=""/>
    <s v="2023-11-15"/>
    <x v="586"/>
    <s v="View Full Record in Web of Science"/>
  </r>
  <r>
    <s v="J"/>
    <s v="Longhi-Heredia, SA; Quezada-Tello, LL"/>
    <s v=""/>
    <s v=""/>
    <s v=""/>
    <s v="Alberto Longhi-Heredia, Sebastian; Liset Quezada-Tello, Laddy"/>
    <s v=""/>
    <s v=""/>
    <s v="Museum digital strategies during the pandemic: Prado National Museum and Reina Sofia National Art Center Museum"/>
    <s v="QUESTION"/>
    <s v=""/>
    <s v=""/>
    <s v="Spanish"/>
    <x v="0"/>
    <s v=""/>
    <s v=""/>
    <s v=""/>
    <s v=""/>
    <s v=""/>
    <s v="Museum; Covid-19; Educommunication; Digital Strategies; UNESCO"/>
    <s v=""/>
    <s v="The global pandemic derived from Covid-19 affected cultural institutions since 2020 implied an adaptation by museums to the new social reality. The context favored fostering digital interactions to connect with the public and digital communication prospered towards dialogue with society during the confinement and the Spanish state of alarm. This article analyzes the digital strategies carried out by two Spanish museum: the Museo Nacional del Prado and the Museo Nacional Centro de Arte Reina Sofia in order to understand how the four essential functions outlined by UNESCO (research, preservation, education and communication) were implemented during the pandemic. The results indicated that the communicative actions were the most used together with the educational ones. Digital technologies focused on education had as their epicenter social networks and numerous initiatives that helped educommunicate Spanish heritage during the health crisis."/>
    <s v="[Alberto Longhi-Heredia, Sebastian; Liset Quezada-Tello, Laddy] Univ Huelva, Huelva, Spain; [Liset Quezada-Tello, Laddy] Inst Tecnol Super Ismael Perez Pazmino, Machala, Ecuador"/>
    <s v="Universidad de Huelva"/>
    <s v="Longhi-Heredia, SA (corresponding author), Univ Huelva, Huelva, Spain."/>
    <s v="slonghi7@yahoo.com.ar; laddy.quezada@gmail.com"/>
    <s v="wang, wjd/GSD-2051-2022"/>
    <s v=""/>
    <s v=""/>
    <s v=""/>
    <s v=""/>
    <s v=""/>
    <n v="53"/>
    <n v="0"/>
    <n v="0"/>
    <n v="1"/>
    <n v="7"/>
    <s v="UNIV NACIONAL PLATA, INST INVESTIGACIONES &amp; COMUNICACION-IICOM"/>
    <s v="BUENOS AIRES"/>
    <s v="FAC PERIODISMO &amp; COMUNICACION SOCIAL, AVE 44 NO 676, LA PLATA, BUENOS AIRES, 1900, ARGENTINA"/>
    <s v="1669-6581"/>
    <s v=""/>
    <s v=""/>
    <s v="QUESTION"/>
    <s v="Question"/>
    <s v="APR-JUN"/>
    <n v="2022"/>
    <n v="3"/>
    <n v="71"/>
    <s v=""/>
    <s v=""/>
    <s v=""/>
    <s v=""/>
    <s v=""/>
    <s v=""/>
    <s v="e666"/>
    <s v="10.24215/16696581e666"/>
    <s v="http://dx.doi.org/10.24215/16696581e666"/>
    <s v=""/>
    <s v=""/>
    <n v="22"/>
    <s v="Communication"/>
    <x v="3"/>
    <s v="Communication"/>
    <s v="2X6TS"/>
    <s v=""/>
    <s v="Green Submitted, Green Published, gold"/>
    <s v=""/>
    <s v=""/>
    <s v="2023-11-15"/>
    <x v="587"/>
    <s v="View Full Record in Web of Science"/>
  </r>
  <r>
    <s v="J"/>
    <s v="Hensel, PG"/>
    <s v=""/>
    <s v=""/>
    <s v=""/>
    <s v="Hensel, Przemyslaw G."/>
    <s v=""/>
    <s v=""/>
    <s v="Organization and management scholars' technological conservatism: Could we free ourselves from the shackles of paper-bound logic?"/>
    <s v="STRATEGIC ORGANIZATION"/>
    <s v=""/>
    <s v=""/>
    <s v="English"/>
    <x v="2"/>
    <s v=""/>
    <s v=""/>
    <s v=""/>
    <s v=""/>
    <s v=""/>
    <s v="deinstitutionalization; digital strategy; institutional change; technological change; technology; topics and perspectives"/>
    <s v="SCIENCE; REPRODUCIBILITY; TRANSPARENCY"/>
    <s v="Despite capitalizing on many new possibilities offered by the digital revolution, our research community still remains bound by the 17th-century technology of research results reporting. Our work can progress faster and achieve greater impact within and beyond academia if we replace the one-package manuscript form, born three hundred years ago, with a full package that takes advantage of everything digital technology has to offer. However, the switch from paper-bound to digitally enabled logic will not be easy as our thinking and practices have been formed by decades of honing skills that bring success in the current conventions."/>
    <s v="[Hensel, Przemyslaw G.] Univ Warsaw, Fac Management, 1-3 Szturmowa St, PL-02678 Warsaw, Poland"/>
    <s v="University of Warsaw"/>
    <s v="Hensel, PG (corresponding author), Univ Warsaw, Fac Management, 1-3 Szturmowa St, PL-02678 Warsaw, Poland."/>
    <s v="phensel@uw.edu.pl"/>
    <s v="Hensel, Przemysław/K-9234-2019"/>
    <s v="Hensel, Przemysław/0000-0002-2352-2317"/>
    <s v="National Science Centre, Poland [2018/31/B/HS4/00390]"/>
    <s v="National Science Centre, Poland(National Science Centre, Poland)"/>
    <s v="The author disclosed receipt of the following financial support for the research, authorship, and/or publication of this article: This work was supported by the National Science Centre, Poland under Grant 2018/31/B/HS4/00390."/>
    <s v=""/>
    <n v="38"/>
    <n v="0"/>
    <n v="0"/>
    <n v="1"/>
    <n v="10"/>
    <s v="SAGE PUBLICATIONS LTD"/>
    <s v="LONDON"/>
    <s v="1 OLIVERS YARD, 55 CITY ROAD, LONDON EC1Y 1SP, ENGLAND"/>
    <s v="1476-1270"/>
    <s v="1741-315X"/>
    <s v=""/>
    <s v="STRATEG ORGAN"/>
    <s v="Strateg. Organ."/>
    <s v="2022 APR 1"/>
    <n v="2022"/>
    <s v=""/>
    <s v=""/>
    <s v=""/>
    <s v=""/>
    <s v=""/>
    <s v=""/>
    <s v=""/>
    <s v=""/>
    <n v="1.4761270211067162E+16"/>
    <s v="10.1177/14761270211067162"/>
    <s v="http://dx.doi.org/10.1177/14761270211067162"/>
    <s v=""/>
    <s v="APR 2022"/>
    <n v="12"/>
    <s v="Business; Management"/>
    <x v="0"/>
    <s v="Business &amp; Economics"/>
    <s v="0F9JV"/>
    <s v=""/>
    <s v="hybrid"/>
    <s v=""/>
    <s v=""/>
    <s v="2023-11-15"/>
    <x v="588"/>
    <s v="View Full Record in Web of Science"/>
  </r>
  <r>
    <s v="J"/>
    <s v="Lane, J; Côté, LP; Gaudreault, J; Massicotte, L; Manceau, LM; Labelle, R; Bardon, C; Bazinet, J; Rassy, J; Rembert, M"/>
    <s v=""/>
    <s v=""/>
    <s v=""/>
    <s v="Lane, Julie; Cote, Louis-Philippe; Gaudreault, Jerome; Massicotte, Luc; Manceau, Luiza Maria; Labelle, Real; Bardon, Cecile; Bazinet, Jeanne; Rassy, Jessica; Rembert, Melanie"/>
    <s v=""/>
    <s v=""/>
    <s v="The Development Process of the New Quebec Digital Suicide Prevention Strategy: Suicide.ca"/>
    <s v="SANTE MENTALE AU QUEBEC"/>
    <s v=""/>
    <s v=""/>
    <s v="French"/>
    <x v="0"/>
    <s v=""/>
    <s v=""/>
    <s v=""/>
    <s v=""/>
    <s v=""/>
    <s v="suicide prevention; digital strategy; digital technology; digital services; e-mental health; implementation science"/>
    <s v="KNOWLEDGE TRANSLATION; SCIENCE"/>
    <s v="In Quebec, nearly 3 persons still take their own lives every day, even though this number has been declining since 2000. Several institutional and community actors are involved in suicide prevention and several initiatives have contributed to the reduction of suicide rates. Despite this hard work, additional efforts are needed to intensify service offers and resource access to better reach people at risk of suicide not reached by actual services. For many years, several countries have been implementing digital technologies to reach them. In Quebec, there were delays in adoption of digital technologies for suicide prevention. In this context, the Health and Social services Ministry mandated Association quebecoise de prevention du suicide (AQPS) to develop a Digital Strategy for Suicide Prevention (DSPS). From the beginning, AQPS wanted to anchor DSPS's development in a decision-making process based on scientific, contextual and experiential evidence. A process, derived from implementation science, was therefore put in place to actualize this intent. Implementation science is defined as the science of implementing programs in real-world settings. It is recognized as contributing to the successful implementation of new programs while promoting a rigorous evaluation of their impacts and outcomes. Objectives This article aims to: 1) present the process that was put in place to facilitate DSPS design, implementation, and evaluation; and 2) describe the DSPS action model and the DSPS. Method The Knowledge to Action (KTA) framework is central to the design, implementation, and evaluation of DSPS. This framework proposes a cyclical process in 7 iterative phases, each with its own methodological aspects and data collections Results The results section illustrates the concrete actions taken at each phase of the KTA process and the highlights that emerge from the analysis of the data collected. This section also presents the DSPS. Conclusion Optimal conditions to promote the implementation of DSPS, its use and its sustainability have been put in place. The current implementation and evaluation of this implementation and its impacts will allow to assess the capacity of DSPS to achieve its main objectives: to provide information about suicide, to identify suicidal individuals, to increase the visibility of resources, and to offer help to suicidal individuals who respond less to traditional resources."/>
    <s v="[Lane, Julie] Univ Sherbrooke, Dept Etud Adaptat Scolaire &amp; Sociale, Sherbrooke, PQ, Canada; [Lane, Julie] Univ Sherbrooke, Ctr RBC Expertise Univ Sante Mentale, Sherbrooke, PQ, Canada; [Cote, Louis-Philippe; Labelle, Real; Bardon, Cecile] Univ Quebec Montreal, Dept Psychol, Montreal, PQ, Canada; [Gaudreault, Jerome; Massicotte, Luc; Rembert, Melanie] Assoc Quebecoise Prevent Suicide, Quebec City, PQ, Canada; [Manceau, Luiza Maria] Univ Sherbrooke, Sherbrooke, PQ, Canada; [Labelle, Real] Univ Quebec Montreal, Ctr Serv Psychol, Montreal, PQ, Canada; [Bazinet, Jeanne] CIUSSS Estrie CHUS, Inst Univ Premiere Ligne Sante &amp; Serv Sociaux, Montreal, PQ, Canada; [Rassy, Jessica] Univ Sherbrooke, Ecole Sci Infirmieres, Sherbrooke, PQ, Canada"/>
    <s v="University of Sherbrooke; University of Sherbrooke; University of Quebec; University of Quebec Montreal; University of Sherbrooke; University of Quebec; University of Quebec Montreal; University of Sherbrooke"/>
    <s v="Lane, J (corresponding author), Univ Sherbrooke, Dept Etud Adaptat Scolaire &amp; Sociale, Sherbrooke, PQ, Canada.;Lane, J (corresponding author), Univ Sherbrooke, Ctr RBC Expertise Univ Sante Mentale, Sherbrooke, PQ, Canada."/>
    <s v=""/>
    <s v=""/>
    <s v=""/>
    <s v=""/>
    <s v=""/>
    <s v=""/>
    <s v=""/>
    <n v="23"/>
    <n v="0"/>
    <n v="0"/>
    <n v="0"/>
    <n v="0"/>
    <s v="REVUE SANTE MENTALE QUEBEC"/>
    <s v="MONTREAL"/>
    <s v="C P 60194, MONTREAL, QC H2J 4E1, CANADA"/>
    <s v="0383-6320"/>
    <s v="1708-3923"/>
    <s v=""/>
    <s v="SANTE MENT QUE"/>
    <s v="Sant. Ment. Que."/>
    <s v="SPR"/>
    <n v="2022"/>
    <n v="47"/>
    <n v="1"/>
    <s v=""/>
    <s v=""/>
    <s v=""/>
    <s v=""/>
    <n v="333"/>
    <n v="356"/>
    <s v=""/>
    <s v=""/>
    <s v=""/>
    <s v=""/>
    <s v=""/>
    <n v="24"/>
    <s v="Psychiatry"/>
    <x v="3"/>
    <s v="Psychiatry"/>
    <s v="7K7YQ"/>
    <n v="36548805"/>
    <s v=""/>
    <s v=""/>
    <s v=""/>
    <s v="2023-11-15"/>
    <x v="589"/>
    <s v="View Full Record in Web of Science"/>
  </r>
  <r>
    <s v="J"/>
    <s v="Wu, SH; Tan, Y; Chen, YB; Liang, YT"/>
    <s v=""/>
    <s v=""/>
    <s v=""/>
    <s v="Wu, Shaohui; Tan, Yong; Chen, Yubo; Liang, Yitian (Sky)"/>
    <s v=""/>
    <s v=""/>
    <s v="How Is Mobile User Behavior Different?-A Hidden Markov Model of Cross-Mobile Application Usage Dynamics"/>
    <s v="INFORMATION SYSTEMS RESEARCH"/>
    <s v=""/>
    <s v=""/>
    <s v="English"/>
    <x v="2"/>
    <s v=""/>
    <s v=""/>
    <s v=""/>
    <s v=""/>
    <s v=""/>
    <s v="econometrics; economics of IS; electronic commerce; mobile computing; mobile Internet"/>
    <s v="INTERNET ADDICTION; TIME; IMPACT; ONLINE; ENVIRONMENT; CONSUMERS; MUSIC; SCENT"/>
    <s v="Mobile application use has become an essential activity in many people's daily lives in the mobile Internet era. Driven by its ubiquity and strong context dependence, Internet companies are in a race of cross-industry expansion to build a seamless ecosystem incorporating various contexts. Amid such trends, a better understanding of cross-app uses and the impact of contexts becomes critical and imperative. Yet, research on cross-app uses in information systems and marketing is scarce. In this paper, we aim to fill this gap. We develop a hidden Markov model to study cross-app uses (choice and duration), capturing their interdependence and the impacts of contextual factors. We calibrate it using a consumer panel that contains real-time app use information. Our key findings are as follows. (1) In addition to the utilitarian and hedonic states behind consumer decisions identified in prior literature, we uncover a novel social state behind mobile user behavior. App use behavior exhibits large differences across three states. (2) Within-state app interdependence is strongest in the hedonic state, followed by the social and utilitarian states. (3) Social state is the most transient (i.e., mostly likely to switch away), followed by the hedonic and utilitarian states. (4) Contextual factors-in particular, location and time of day-influence the state dynamic. Compared with the intrinsic state transition, being at home or on the way (versus office) and in the morning or evening (versus night) leads to higher volatility. We discuss the managerial implications for a variety of mobile digital strategies."/>
    <s v="[Wu, Shaohui] Harbin Inst Technol, Sch Management, Harbin 150080, Peoples R China; [Wu, Shaohui] Univ Sci &amp; Technol China, Sch Management, Int Inst Finance, Hefei 230026, Peoples R China; [Tan, Yong] Univ Washington, Michael G Foster Sch Business, Seattle, WA 98195 USA; [Chen, Yubo; Liang, Yitian (Sky)] Tsinghua Univ, Sch Econ &amp; Management, Dept Mkt, Beijing 100084, Peoples R China"/>
    <s v="Harbin Institute of Technology; Chinese Academy of Sciences; University of Science &amp; Technology of China, CAS; University of Washington; University of Washington Seattle; Tsinghua University"/>
    <s v="Chen, YB (corresponding author), Tsinghua Univ, Sch Econ &amp; Management, Dept Mkt, Beijing 100084, Peoples R China."/>
    <s v="wushaohui@hit.edu.cn; ytan@uw.edu; chenyubo@sem.tsinghua.edu.cn; liangyt@sem.tsinghua.edu.cn"/>
    <s v="Chen, Yubo/AFM-3238-2022"/>
    <s v="Chen, Yubo/0000-0002-2322-2349; Liang, Yitian (Sky)/0000-0002-3091-4861"/>
    <s v="National Natural Science Foundation of China [71991461, 71902095, 91746302, 71532006, 71325005]; China Ministry of Education Project for Key Research Institute of Humanities and Social Sciences in Universities [16JJD630006]; Fundamental Research Funds for the Central Universities [WK2040000022]"/>
    <s v="National Natural Science Foundation of China(National Natural Science Foundation of China (NSFC)); China Ministry of Education Project for Key Research Institute of Humanities and Social Sciences in Universities; Fundamental Research Funds for the Central Universities(Fundamental Research Funds for the Central Universities)"/>
    <s v="This work was supported by the National Natural Science Foundation of China [Grants 71991461, 71902095, 91746302, 71532006, and 71325005], the China Ministry of Education Project for Key Research Institute of Humanities and Social Sciences in Universities [Grant 16JJD630006], and the Fundamental Research Funds for the Central Universities [WK2040000022]."/>
    <s v=""/>
    <n v="55"/>
    <n v="0"/>
    <n v="0"/>
    <n v="14"/>
    <n v="94"/>
    <s v="INFORMS"/>
    <s v="CATONSVILLE"/>
    <s v="5521 RESEARCH PARK DR, SUITE 200, CATONSVILLE, MD 21228 USA"/>
    <s v="1047-7047"/>
    <s v="1526-5536"/>
    <s v=""/>
    <s v="INFORM SYST RES"/>
    <s v="Inf. Syst. Res."/>
    <s v="2022 JAN 20"/>
    <n v="2022"/>
    <s v=""/>
    <s v=""/>
    <s v=""/>
    <s v=""/>
    <s v=""/>
    <s v=""/>
    <s v=""/>
    <s v=""/>
    <s v=""/>
    <s v="10.1287/isre.2021.1093"/>
    <s v="http://dx.doi.org/10.1287/isre.2021.1093"/>
    <s v=""/>
    <s v="JAN 2022"/>
    <n v="22"/>
    <s v="Information Science &amp; Library Science; Management"/>
    <x v="0"/>
    <s v="Information Science &amp; Library Science; Business &amp; Economics"/>
    <s v="YP9PZ"/>
    <s v=""/>
    <s v=""/>
    <s v=""/>
    <s v=""/>
    <s v="2023-11-15"/>
    <x v="590"/>
    <s v="View Full Record in Web of Science"/>
  </r>
  <r>
    <s v="J"/>
    <s v="Ali, Z"/>
    <s v=""/>
    <s v=""/>
    <s v=""/>
    <s v="Ali, Zuraina"/>
    <s v=""/>
    <s v=""/>
    <s v="21ST-CENTURY LEARNING: UNDERSTANDING THE LANGUAGE LEARNING STRATEGIES WITH TECHNOLOGY LITERACY AMONG L2 LEARNERS"/>
    <s v="JOURNAL OF NUSANTARA STUDIES-JONUS"/>
    <s v=""/>
    <s v=""/>
    <s v="English"/>
    <x v="0"/>
    <s v=""/>
    <s v=""/>
    <s v=""/>
    <s v=""/>
    <s v=""/>
    <s v="21st-century learning; Language Learning Strategies (LLS); technology literacy"/>
    <s v="ENGLISH; ONLINE; SKILLS"/>
    <s v="Background and Purpose: The study concerns investigating the learning of English in the 21st-century when digital learning platforms were used in assigning writing activities to students. Specifically, the use of the media was related to the Language Learning Strategies (LLS), namely metacognitive, cognitive, and social strategies classified by O'Malley et al. (1985) with the learning in the 21st-century. Methodology: The study employed a qualitative research design to collect responses from 72 engineering students studying at a technical university on the East Coast of Malaysia. An open-ended questionnaire was used to collect the responses from the participants and was validated by the researcher's colleague. Reliability was also taken care of in that verbatim reporting was observed in writing the current study's findings. Data were analysed using codes and themes formulated before they were reported. Findings: The study found that students used metacognitive strategies to check their language in the writing tasks. It was evident that Grammarly, Quillbot, and Google translate, to name a few, were used to check their writing. It was also reported that they linked new information to visual concepts in terms of cognitive strategies. Specifically, they used deduction methods to ensure they understood the sentences they composed. For social strategy, digital platforms, namely WhatsApp, Google Meet, and Discord, were among the common platforms used by the students. The study confirmed that the students demonstrated strong technology literacy as they could use multi-digital platforms to complete the writing tasks. Contributions: The study identifies the LLS employed by English as a Second Language (ESL) learners in 21st-century-learning. Also, it contributes to providing techniques that English practitioners can use in their writing classes."/>
    <s v="[Ali, Zuraina] Univ Malaysia Pahang, Ctr Modern Languages, Pekan 26600, Pahang, Malaysia"/>
    <s v="Universiti Malaysia Pahang Al-Sultan Abdullah (UMPSA)"/>
    <s v="Ali, Z (corresponding author), Univ Malaysia Pahang, Ctr Modern Languages, Pekan 26600, Pahang, Malaysia."/>
    <s v="zuraina@ump.edu.my"/>
    <s v="ali, zuraina/L-3331-2016"/>
    <s v="ali, zuraina/0000-0002-1527-6320"/>
    <s v=""/>
    <s v=""/>
    <s v=""/>
    <s v=""/>
    <n v="26"/>
    <n v="0"/>
    <n v="0"/>
    <n v="5"/>
    <n v="11"/>
    <s v="UNIV SULTAN ZAINAL ABIDIN"/>
    <s v="TERENGGANU DARUL IMAN"/>
    <s v="21300 KUALA NERUS, TERENGGANU DARUL IMAN, 00000, MALAYSIA"/>
    <s v="0127-9319"/>
    <s v="0127-9386"/>
    <s v=""/>
    <s v="J NUSANT STUD-JONUS"/>
    <s v="J. Nusant. Stud.-JONUS"/>
    <s v=""/>
    <n v="2022"/>
    <n v="7"/>
    <n v="2"/>
    <s v=""/>
    <s v=""/>
    <s v=""/>
    <s v=""/>
    <n v="202"/>
    <n v="220"/>
    <s v=""/>
    <s v="10.24200/jonus.vol7iss2pp202-220"/>
    <s v="http://dx.doi.org/10.24200/jonus.vol7iss2pp202-220"/>
    <s v=""/>
    <s v=""/>
    <n v="19"/>
    <s v="Area Studies"/>
    <x v="3"/>
    <s v="Area Studies"/>
    <s v="2X5EK"/>
    <s v=""/>
    <s v="gold"/>
    <s v=""/>
    <s v=""/>
    <s v="2023-11-15"/>
    <x v="591"/>
    <s v="View Full Record in Web of Science"/>
  </r>
  <r>
    <s v="J"/>
    <s v="Mata, CC"/>
    <s v=""/>
    <s v=""/>
    <s v=""/>
    <s v="Castrejon Mata, Carmen"/>
    <s v=""/>
    <s v=""/>
    <s v="Impact of COVID-19 on the consumption of local brands in Guanajuato: an analysis from the population distribution"/>
    <s v="CIMEXUS"/>
    <s v=""/>
    <s v=""/>
    <s v="Spanish"/>
    <x v="0"/>
    <s v=""/>
    <s v=""/>
    <s v=""/>
    <s v=""/>
    <s v=""/>
    <s v="COVID-19; marketing; local brands; entrepreneurs, and digital strategies"/>
    <s v=""/>
    <s v="The present work shows the consumption of local brands derived from the impact generated by COVID-19, with the objective of identifying the increase in the purchase of local brands over national and global ones. The research had a quantitative, descriptive and cross-sectional approach, it was carried out a little more than a year after the beginning of the pandemic in Mexico, in the period of June-July 2021, in order to see more clearly and objective the effects generated by it in the consumption of local brands. An instrument was developed that was applied as a pilot test before the final instrument and later 268 instruments were applied on various digital platforms to people such as the analysis units that allowed us to identify their consumption of local brands in the different municipalities of the state of Guanajuato., Mexico; a considerable increase in the consumption of these brands was identified. Important data was obtained regarding the consumer profiles of local brands in the particular case of the genre that most consumed local brands. The study is intended to be carried out with the purpose of identifying the social behaviors of consumers with respect to an external element such as the COVID-19 virus, which transformed the consumption habits themselves in the various local, national and international markets, causing a transformation unprecedented global economy. Marketing from its own conception becomes important from the point of view of identifying social needs and developing products and services that satisfy them, it does not create needs, it identifies them derived from and influenced by these needs of social and cultural psychological factors that lead the consumer to take your purchasing decisions."/>
    <s v="[Castrejon Mata, Carmen] Univ Autonoma Guanajuato, Guanajuato, Mexico"/>
    <s v=""/>
    <s v="Mata, CC (corresponding author), Univ Autonoma Guanajuato, Guanajuato, Mexico."/>
    <s v="carsais@hotmail.com"/>
    <s v=""/>
    <s v=""/>
    <s v=""/>
    <s v=""/>
    <s v=""/>
    <s v=""/>
    <n v="25"/>
    <n v="0"/>
    <n v="0"/>
    <n v="0"/>
    <n v="0"/>
    <s v="UNIV MICHOACANA SAN NICOLAS HIDALGO, INST INVESTIGACIONES HISTORICAS"/>
    <s v="MICHOACAN"/>
    <s v="BENEDICTO LOPEZ 122, COLONIA VENTURA PUENTE, AP 46-A, MICHOACAN, MORELIA CP 58020, MEXICO"/>
    <s v="1870-6479"/>
    <s v="2007-9206"/>
    <s v=""/>
    <s v="CIMEXUS"/>
    <s v="Cimexus"/>
    <s v="JAN-JUN"/>
    <n v="2022"/>
    <n v="17"/>
    <n v="1"/>
    <s v=""/>
    <s v=""/>
    <s v=""/>
    <s v=""/>
    <n v="129"/>
    <n v="143"/>
    <s v=""/>
    <s v="10.33110/cimexus170109"/>
    <s v="http://dx.doi.org/10.33110/cimexus170109"/>
    <s v=""/>
    <s v=""/>
    <n v="15"/>
    <s v="Political Science"/>
    <x v="3"/>
    <s v="Government &amp; Law"/>
    <s v="2F7HY"/>
    <s v=""/>
    <s v="gold, Green Submitted"/>
    <s v=""/>
    <s v=""/>
    <s v="2023-11-15"/>
    <x v="592"/>
    <s v="View Full Record in Web of Science"/>
  </r>
  <r>
    <s v="J"/>
    <s v="Godoy-Martín, FJ"/>
    <s v=""/>
    <s v=""/>
    <s v=""/>
    <s v="Godoy-Martin, Francisco Javier"/>
    <s v=""/>
    <s v=""/>
    <s v="Communication agencies in the face of new Social Media. Early adopters or late incorporations?"/>
    <s v="REVISTA INTERNACIONAL DE RELACIONES PUBLICAS"/>
    <s v=""/>
    <s v=""/>
    <s v="Spanish"/>
    <x v="0"/>
    <s v=""/>
    <s v=""/>
    <s v=""/>
    <s v=""/>
    <s v=""/>
    <s v="agencies; communication; public relations; social networks; content"/>
    <s v=""/>
    <s v="Social media are already part of the communicative routines of most organizations, including communication agencies. Nevertheless, given their duty to serve other companies, these agencies should have an advanced understanding of these platforms, not only in their most profound sense but also in a time-advanced one. In other words, agencies should test emerging social media with the aim of knowing them in-depth and determining whether they serve their communicative purpose. It should be noticed that investment in digital advertising and actions with influencers are greater and greater. Besides, they are platforms that not necessarily remain unalterable, but some of them achieve their life cycle, even disappearing. On this matter, it is necessary to check if agencies really are working on the most recent social networks or only on those which are already consolidated. For such a research, the quantitative method, based on the content analysis, was adopted within a descriptive study. It was used on a sample of the ten communication agencies with the highest billing which operate in Spain. As secondary research objectives, it was considered to analyze the use that agencies do of social media which they are present in, to determine the existence of online content strategies, as well as to value the interaction level of these companies on online channels. The results show that most of analyzed agencies offer web 2.0-related services, such as digital strategy, online content management, monitoring and influencers relations. Social media talking, except for a few cases, communication agencies prefer to maintain a presence on the most consolidated social networks (Twitter, Facebook, Instagram, LinkedIn and YouTube). Furthermore, those are the ones that usually have links on their websites. This does not mean that agencies do not use the more recent applications, but that, mostly, they do not do this for their benefit as a brand. Otherwise they keep them in the background. In fact, some agencies use current platforms, such as Twitch or TikTok, publishing suitable content to their characteristics, which means that agencies know their possibilities, although their use is not still usual among them. Among the commonly used social networks, the activity of these agencies remains along the lines of what has already been concluded in previous academic papers: the purpose of information dissemination prevails with a self-promoting role. Communication agencies keep their social profiles updated and, during the month of research, they constantly published content, especially, information about themselves or about the communication sector, followed by news of common interest, clients news and projects carried out. Finally, although they published content frequently, the interaction with other users is low and, when it happens, it usually has, as mentioned, a self-promoting intention. In conclusion, communication agencies, as other kinds of organizations, are used to introduce social media work in their routines. However, it cannot be said that they are early adopters, at least to self-use. Probably, public relations professionals are researching and going deep in these new platforms, but in a private way, so agencies cannot, or prefer not to show their know-how by doing it."/>
    <s v="[Godoy-Martin, Francisco Javier] Univ Cadiz, Grad Publ Relaciones Publ, Cadiz, Spain"/>
    <s v="Universidad de Cadiz"/>
    <s v="Godoy-Martín, FJ (corresponding author), Univ Cadiz, Grad Publ Relaciones Publ, Cadiz, Spain."/>
    <s v="franciscojavier.godoy@uca.es"/>
    <s v=""/>
    <s v="Godoy Martin, Francisco Javier/0000-0001-5284-2283"/>
    <s v=""/>
    <s v=""/>
    <s v=""/>
    <s v=""/>
    <n v="27"/>
    <n v="0"/>
    <n v="0"/>
    <n v="7"/>
    <n v="19"/>
    <s v="UNIV MALAGA, INST INVESTIGACION RELACIONES PUBLICAS"/>
    <s v="MALAGA"/>
    <s v="CAMPUS TEATINOS, MALAGA, 29071, SPAIN"/>
    <s v="2174-3681"/>
    <s v=""/>
    <s v=""/>
    <s v="REV INT RELAC PUBLIC"/>
    <s v="Rev. Int. Relac. Publicas"/>
    <s v="JAN-JUN"/>
    <n v="2022"/>
    <n v="12"/>
    <n v="23"/>
    <s v=""/>
    <s v=""/>
    <s v=""/>
    <s v=""/>
    <n v="225"/>
    <n v="244"/>
    <s v=""/>
    <s v="10.5783/RIRP-23-2022-12-225-244"/>
    <s v="http://dx.doi.org/10.5783/RIRP-23-2022-12-225-244"/>
    <s v=""/>
    <s v=""/>
    <n v="20"/>
    <s v="Communication"/>
    <x v="3"/>
    <s v="Communication"/>
    <s v="2Z9NV"/>
    <s v=""/>
    <s v="gold"/>
    <s v=""/>
    <s v=""/>
    <s v="2023-11-15"/>
    <x v="593"/>
    <s v="View Full Record in Web of Science"/>
  </r>
  <r>
    <s v="J"/>
    <s v="Letsio, A; Polyzos, N; Poulopoulos, C; Skamnakis, C"/>
    <s v=""/>
    <s v=""/>
    <s v=""/>
    <s v="Letsio, A.; Polyzos, N.; Poulopoulos, Ch; Skamnakis, Ch"/>
    <s v=""/>
    <s v=""/>
    <s v="Hospital managers' participation in operational planning: insights from a recent study in the Greek National Health System"/>
    <s v="HIPPOKRATIA"/>
    <s v=""/>
    <s v=""/>
    <s v="English"/>
    <x v="0"/>
    <s v=""/>
    <s v=""/>
    <s v=""/>
    <s v=""/>
    <s v=""/>
    <s v="Greece; National Health System; hospitals; strategic planning; health policy; management; operational efficiency"/>
    <s v="PERFORMANCE EVALUATION; CARE ORGANIZATION; EFFICIENCY; STRATEGY; QUALITY; SUCCESS"/>
    <s v="Background: The performance of the public hospitals of the National Health System (NHS) of Greece, as reflected in their financial and operational results, is related to their strategic planning and the factors that influence the accomplishment of their objectives. Method: The organizational performance of NHS hospitals was assessed by analyzing their operational and financial data for the period 2010-2020 (recorded by the BI-Health system of the Ministry of Health). Based on internationally accepted factors that influence the successful implementation of strategic planning and the achievement of its objectives, a structured questionnaire consisting of 11 demographic and 93 (on a scale of 1 to 7) factor-related questions was developed and addressed to 56 managers and senior executives. Their response was analyzed using descriptive statistical methods and inference, and significant factors were extracted using Principal Components Analysis. Results: Hospitals reduced their expenditure from 2010 to 2015 by 34.6 %, while the number of inpatients increased by 5.9 %. However, expenditure increased by 41.2 % in the period 2016-2020, while concurrently, inpatients rose by 14.7 %. Outpatient and emergency department visits remained almost stable (6.5 and 4.8 million/year, respectively), during 2010-2015, while increased by 14.5 % till 2020. The average length of stay decreased from 4.1 in 2010 to 3.8 in 2015 and 3.4 in 2020. The survey data showed that NHS hospitals' strategic plan is well documented, but its actual implementation is moderate; The achievement of the objectives related to clinical work, quality improvement of services, human resources development, financial strategy, asset strategy, digital strategy, communication and engagement strategy, and research might be good; chief executive officers, nurses, laboratory physicians, and administrators receive a positive grade of participation while the Board of Directors, physicians, employee representatives and the School of Medicine/University receive a moderate grade. The factors: elements of strategic planning (33.6 %), evaluation of services and staff (20.5 %), employees' commitment and involvement (20.1 %), and operational outcomes and performance (8.9 %), as derived from the principal component analysis, had the highest impact on achieving their financial and operational objectives, as assessed by the views of the managers of the 35 NHS hospitals. Conclusion: The NHS hospitals increased their efficiency from 2010 to 2020 but failed to maintain control over their expenditure. Through their clinical managers and other employees' representatives, chief executive officers and the Board of Directors need to improve planning formulation, staff involvement and utilization, financial performance, and outcomes as their primary commitment among health policy and management sectors in the Greek NHS."/>
    <s v="[Letsio, A.; Polyzos, N.; Poulopoulos, Ch] Democritus Univ Thrace, Dept Social Work Sch Social Polit &amp; Econ Sci, Komotini, Greece; [Skamnakis, Ch] Pante Univ, Dept Social Policy, Athens, Greece; [Letsio, A.] 42 Byzantiou Str, Athens 16232, Greece"/>
    <s v="Democritus University of Thrace; Panteion University"/>
    <s v="Letsio, A (corresponding author), 42 Byzantiou Str, Athens 16232, Greece."/>
    <s v="apostolos.letsios@gmail.com"/>
    <s v=""/>
    <s v=""/>
    <s v=""/>
    <s v=""/>
    <s v=""/>
    <s v=""/>
    <n v="31"/>
    <n v="0"/>
    <n v="0"/>
    <n v="1"/>
    <n v="1"/>
    <s v="LITHOGRAPHIA"/>
    <s v="THESSALONIKI"/>
    <s v="ANTONIADIS I-PSARRAS TH G P, NEA REDESTOS, THESSALONIKI, 00000, GREECE"/>
    <s v="1108-4189"/>
    <s v=""/>
    <s v=""/>
    <s v="HIPPOKRATIA"/>
    <s v="Hippokratia"/>
    <s v=""/>
    <n v="2022"/>
    <n v="26"/>
    <n v="3"/>
    <s v=""/>
    <s v=""/>
    <s v=""/>
    <s v=""/>
    <n v="91"/>
    <n v="97"/>
    <s v=""/>
    <s v=""/>
    <s v=""/>
    <s v=""/>
    <s v=""/>
    <n v="7"/>
    <s v="Medicine, General &amp; Internal"/>
    <x v="2"/>
    <s v="General &amp; Internal Medicine"/>
    <s v="L4ZC4"/>
    <n v="37324045"/>
    <s v=""/>
    <s v=""/>
    <s v=""/>
    <s v="2023-11-15"/>
    <x v="594"/>
    <s v="View Full Record in Web of Science"/>
  </r>
  <r>
    <s v="J"/>
    <s v="Zamora, GM"/>
    <s v=""/>
    <s v=""/>
    <s v=""/>
    <s v="Macababbad Zamora, Gina"/>
    <s v=""/>
    <s v=""/>
    <s v="UNRAVELING THE MEDICAL LABORATORY SCIENCE STUDENTS' ACADEMIC LIVED-EXPERIENCES AND THEIR APPRECIATION OF MOTIVATIONAL LEARNING STRATEGIESINTHE DIGITAL LEARNING"/>
    <s v="INTERNATIONAL JOURNAL OF EARLY CHILDHOOD SPECIAL EDUCATION"/>
    <s v=""/>
    <s v=""/>
    <s v="English"/>
    <x v="0"/>
    <s v=""/>
    <s v=""/>
    <s v=""/>
    <s v=""/>
    <s v=""/>
    <s v="digital learning; academic lived-experiences; motivational learning experiences"/>
    <s v="ATTITUDES; ACHIEVEMENT; INTERNET"/>
    <s v="Every student's heart and spirit are instilled with all they learn in school. For those students who are in severe need of it, it is the most effective cure for lack of education that has ever been identified. It is revealed in this study that medical laboratory students have had academic lived-experiences in digital learning, as well as their appreciation of the motivational learning strategies that have been adopted by their professors. It was decided to use the qualitative research method for this investigation. The research approach included investigating or unraveling the lived-experiences of Medical laboratory Science students in an online learning environment, as well as the impact of these experiences on their scholastic standing. It also included investigating the attitudes of students toward flexible learning. As a result of the iterative and analytical examination of the data, the following categories were identified from the open-ended response questions: flexibility and time convenience; self-confidence in discussion posts; a lack of support; language and linguistics differences (cultural); and a lack of self-regulated learning skills. Flexible and convenient scheduling, student trust in discussion postings, disparities in language and linguistics, a lack of self-regulated learning skills, and a lack of assistance were all shown by the students' responses to the open-ended questions. Faculty members must make an effort to incorporate diversity into their curriculum in order to ensure that all students are supported and met in their educational efforts."/>
    <s v="[Macababbad Zamora, Gina] Cagayan State Univ, Andrews Campus, Tuguegarao City, Philippines"/>
    <s v="Cagayan State University"/>
    <s v="Zamora, GM (corresponding author), Cagayan State Univ, Andrews Campus, Tuguegarao City, Philippines."/>
    <s v="gmzmsmt0530@gmail.com"/>
    <s v=""/>
    <s v=""/>
    <s v=""/>
    <s v=""/>
    <s v=""/>
    <s v=""/>
    <n v="17"/>
    <n v="0"/>
    <n v="0"/>
    <n v="1"/>
    <n v="2"/>
    <s v="ANADOLU UNIV"/>
    <s v="ESKISEHIR"/>
    <s v="INST FINE ARTS, ESKISEHIR, 26470, TURKEY"/>
    <s v="1308-5581"/>
    <s v=""/>
    <s v=""/>
    <s v="INT J EARLY CHILD SP"/>
    <s v="Int. J. Early Child. Spec. Educ."/>
    <s v=""/>
    <n v="2022"/>
    <n v="14"/>
    <n v="2"/>
    <s v=""/>
    <s v=""/>
    <s v=""/>
    <s v=""/>
    <n v="2642"/>
    <n v="2647"/>
    <s v=""/>
    <s v="10.9756/INT-JECSE/V14I2.248"/>
    <s v="http://dx.doi.org/10.9756/INT-JECSE/V14I2.248"/>
    <s v=""/>
    <s v=""/>
    <n v="6"/>
    <s v="Education, Special"/>
    <x v="3"/>
    <s v="Education &amp; Educational Research"/>
    <s v="1V7BX"/>
    <s v=""/>
    <s v=""/>
    <s v=""/>
    <s v=""/>
    <s v="2023-11-15"/>
    <x v="595"/>
    <s v="View Full Record in Web of Science"/>
  </r>
  <r>
    <s v="B"/>
    <s v="Murayama, M"/>
    <s v=""/>
    <s v="Kazeroony, HH; Tsang, D"/>
    <s v=""/>
    <s v="Murayama, Meiko"/>
    <s v=""/>
    <s v=""/>
    <s v="Society 5.0 Transformation Digital Strategy in Japan"/>
    <s v="MANAGEMENT EDUCATION AND AUTOMATION"/>
    <s v="Routledge Advances in Management and Business Studies"/>
    <s v=""/>
    <s v="English"/>
    <x v="1"/>
    <s v=""/>
    <s v=""/>
    <s v=""/>
    <s v=""/>
    <s v=""/>
    <s v=""/>
    <s v="INFORMATION; TECHNOLOGY; ADOPTION"/>
    <s v=""/>
    <s v="[Murayama, Meiko] Univ Reading, Reading, Berks, England; [Murayama, Meiko] Akita Int Univ, Akita, Japan"/>
    <s v="University of Reading; Akita International University"/>
    <s v="Murayama, M (corresponding author), Univ Reading, Reading, Berks, England.;Murayama, M (corresponding author), Akita Int Univ, Akita, Japan."/>
    <s v=""/>
    <s v=""/>
    <s v=""/>
    <s v=""/>
    <s v=""/>
    <s v=""/>
    <s v=""/>
    <n v="87"/>
    <n v="0"/>
    <n v="0"/>
    <n v="0"/>
    <n v="0"/>
    <s v="ROUTLEDGE"/>
    <s v="ABINGDON"/>
    <s v="2 PARK SQ, MILTON PARK, ABINGDON OX14 4RN, OXFORD, ENGLAND"/>
    <s v=""/>
    <s v=""/>
    <s v="978-1-032-06108-5; 978-1-003-01770-7; 978-0-367-86111-7"/>
    <s v="ROUTL ADV MANAG BUS"/>
    <s v=""/>
    <s v=""/>
    <n v="2022"/>
    <s v=""/>
    <s v=""/>
    <s v=""/>
    <s v=""/>
    <s v=""/>
    <s v=""/>
    <n v="7"/>
    <n v="29"/>
    <s v=""/>
    <s v=""/>
    <s v=""/>
    <s v=""/>
    <s v=""/>
    <n v="23"/>
    <s v="Business; Education &amp; Educational Research; Management"/>
    <x v="4"/>
    <s v="Business &amp; Economics; Education &amp; Educational Research"/>
    <s v="BT5VM"/>
    <s v=""/>
    <s v=""/>
    <s v=""/>
    <s v=""/>
    <s v="2023-11-15"/>
    <x v="596"/>
    <s v="View Full Record in Web of Science"/>
  </r>
  <r>
    <s v="J"/>
    <s v="Nishanov, AK; Norboyo'g'li, SS; Satimbaevich, BE"/>
    <s v=""/>
    <s v=""/>
    <s v=""/>
    <s v="Nishanov, Akhram Khasanovich; Norboyo'g'li, Saidrasulov Sherzod; Satimbaevich, Babadjanov Elmurad"/>
    <s v=""/>
    <s v=""/>
    <s v="ANALYSIS OF METHODOLOGY OF RATING EVALUATION OF DIGITAL ECONOMY AND E-GOVERNMENT DEVELOPMENT IN UZBEKISTAN"/>
    <s v="INTERNATIONAL JOURNAL OF EARLY CHILDHOOD SPECIAL EDUCATION"/>
    <s v=""/>
    <s v=""/>
    <s v="English"/>
    <x v="0"/>
    <s v=""/>
    <s v=""/>
    <s v=""/>
    <s v=""/>
    <s v=""/>
    <s v="digital economy; e-government; rating assessment; interactive services; information systems; information security; database"/>
    <s v=""/>
    <s v="This article discusses the new rating assessment methodology approved by the Cabinet of Ministers of the Republic of Uzbekistan on June 15, 2021 On measures to further improve the rating system of the digital economy and e-government No. 373. initially the indicators are examined. In accordance with the Strategy Digital Uzbekistan - 2030 in order to assess the state of digital transformation in the regions, a methodology for rating the level of digital development of regions was developed, which made it possible to diagnose the state of digitalization in the regions. In the rating assessment methodology, the indicators used by the United Nations (UN) to assess the development of information technology and the introduction of e-government in countries around the world have been adopted."/>
    <s v="[Nishanov, Akhram Khasanovich] Tashkent Univ Informat Technol, Dept Software Informat Technol, Tashkent, Uzbekistan; [Norboyo'g'li, Saidrasulov Sherzod] Minist Innovat Dev Republ Uzbekistan, Dept Intro Digital Technol Innovat Act, Tashkent, Uzbekistan; [Satimbaevich, Babadjanov Elmurad] Tashkent Univ Informat Technol, Nukus Branch, Dept Informat Secur, Tashkent, Uzbekistan"/>
    <s v="Tashkent University of Information Technologies; Ministry of Innovative Development of the Republic of Uzbekistan; Tashkent University of Information Technologies"/>
    <s v="Norboyo'g'li, SS (corresponding author), Minist Innovat Dev Republ Uzbekistan, Dept Intro Digital Technol Innovat Act, Tashkent, Uzbekistan."/>
    <s v="sh.saidrasulov@mininnovation.uz"/>
    <s v="Akhram, Nishanov Khasanovich/AAQ-9342-2021"/>
    <s v=""/>
    <s v=""/>
    <s v=""/>
    <s v=""/>
    <s v=""/>
    <n v="4"/>
    <n v="0"/>
    <n v="0"/>
    <n v="0"/>
    <n v="7"/>
    <s v="ANADOLU UNIV"/>
    <s v="ESKISEHIR"/>
    <s v="INST FINE ARTS, ESKISEHIR, 26470, TURKEY"/>
    <s v="1308-5581"/>
    <s v=""/>
    <s v=""/>
    <s v="INT J EARLY CHILD SP"/>
    <s v="Int. J. Early Child. Spec. Educ."/>
    <s v=""/>
    <n v="2022"/>
    <n v="14"/>
    <n v="2"/>
    <s v=""/>
    <s v=""/>
    <s v=""/>
    <s v=""/>
    <n v="2447"/>
    <n v="2452"/>
    <s v=""/>
    <s v="10.9756/INT-JECSE/V14I2.230"/>
    <s v="http://dx.doi.org/10.9756/INT-JECSE/V14I2.230"/>
    <s v=""/>
    <s v=""/>
    <n v="6"/>
    <s v="Education, Special"/>
    <x v="3"/>
    <s v="Education &amp; Educational Research"/>
    <s v="1V3YY"/>
    <s v=""/>
    <s v=""/>
    <s v=""/>
    <s v=""/>
    <s v="2023-11-15"/>
    <x v="597"/>
    <s v="View Full Record in Web of Science"/>
  </r>
  <r>
    <s v="J"/>
    <s v="Payutvorased, R; Sukwatthana, S"/>
    <s v=""/>
    <s v=""/>
    <s v=""/>
    <s v="Payutvorased, Rinyapat; Sukwatthana, Saijaisiri"/>
    <s v=""/>
    <s v=""/>
    <s v="STRATEGIC DIGITAL MARKETING DEVELOPMENT: A CASE STUDY OF AN ONLINE ENTREPRENEUR IN FACEBOOK DURING EMERGING DISEASES OF THE NOVEL CORONAVIRUS 2019 (COVID-19) PANDEMIC"/>
    <s v="INTERNATIONAL JOURNAL OF EARLY CHILDHOOD SPECIAL EDUCATION"/>
    <s v=""/>
    <s v=""/>
    <s v="English"/>
    <x v="0"/>
    <s v=""/>
    <s v=""/>
    <s v=""/>
    <s v=""/>
    <s v=""/>
    <s v="digital marketing; big data; emerging diseases of the Novel Coronavirus 2019 (COVID-19) pandemic"/>
    <s v="BIG DATA; ANALYTICS"/>
    <s v="The purpose of this research was to study big data, social media, Web Data, Sensor, Mobile Usage correlating to Strategic Digital Marketing Development: A Case Study of an Online Entrepreneur in Facebook During emerging diseases of the Novel Coronavirus 2019 (COVID-19) pandemic is quantitative research in the research is a group of entrepreneurs selling online products, a total of 1,332 people determined the sample size by Taro Yamane (1973) was a sample size of 400 people. questionnaire created by the researcher which is a 5-level estimator and the data is analyzed by means of the standard deviation and the statistic used to test the hypothesis were multiple regression analysis. The results showed that Big data, Social Media, Web Data, Sensor, Mobile Usage correlates with the Strategic Digital Marketing Development: A Case Study of an Online Entrepreneur in Facebook During emerging diseases of the Novel Coronavirus 2019 (COVID-19) pandemic statistically significant .05"/>
    <s v="[Payutvorased, Rinyapat] Rattana Bundit Univ, Coll Business &amp; Finance, Bangkok, Thailand; [Sukwatthana, Saijaisiri] Rattana Bundit Univ, Fac Business &amp; Financial Management, Bangkok, Thailand"/>
    <s v=""/>
    <s v="Payutvorased, R (corresponding author), Rattana Bundit Univ, Coll Business &amp; Finance, Bangkok, Thailand."/>
    <s v=""/>
    <s v=""/>
    <s v=""/>
    <s v=""/>
    <s v=""/>
    <s v=""/>
    <s v=""/>
    <n v="13"/>
    <n v="0"/>
    <n v="0"/>
    <n v="2"/>
    <n v="10"/>
    <s v="ANADOLU UNIV"/>
    <s v="ESKISEHIR"/>
    <s v="INST FINE ARTS, ESKISEHIR, 26470, TURKEY"/>
    <s v="1308-5581"/>
    <s v=""/>
    <s v=""/>
    <s v="INT J EARLY CHILD SP"/>
    <s v="Int. J. Early Child. Spec. Educ."/>
    <s v=""/>
    <n v="2022"/>
    <n v="14"/>
    <n v="2"/>
    <s v=""/>
    <s v=""/>
    <s v=""/>
    <s v=""/>
    <n v="6584"/>
    <n v="6591"/>
    <s v=""/>
    <s v="10.9756/INT-JECSE/V14I2.750"/>
    <s v="http://dx.doi.org/10.9756/INT-JECSE/V14I2.750"/>
    <s v=""/>
    <s v=""/>
    <n v="8"/>
    <s v="Education, Special"/>
    <x v="3"/>
    <s v="Education &amp; Educational Research"/>
    <s v="2Z9HK"/>
    <s v=""/>
    <s v=""/>
    <s v=""/>
    <s v=""/>
    <s v="2023-11-15"/>
    <x v="598"/>
    <s v="View Full Record in Web of Science"/>
  </r>
  <r>
    <s v="J"/>
    <s v="Pesci, A; Teza, G; Loddo, F; Fabris, M; Monego, M; Amoroso, S"/>
    <s v=""/>
    <s v=""/>
    <s v=""/>
    <s v="Pesci, Ariann; Teza, Giordano; Loddo, Fabiana; Fabris, Massimo; Monego, Michele; Amoroso, Sara"/>
    <s v=""/>
    <s v=""/>
    <s v="Evaluation of possible systematic effects in SfM UAV based point clouds: TLS and surface variations for error mitigation methods"/>
    <s v="QUADERNI DI GEOFISICA"/>
    <s v=""/>
    <s v=""/>
    <s v="Italian"/>
    <x v="0"/>
    <s v=""/>
    <s v=""/>
    <s v=""/>
    <s v=""/>
    <s v=""/>
    <s v="Structure from Moon (SfM); Deformaon analysis; Point cloud distorons"/>
    <s v=""/>
    <s v="Structure from Motion (SfM) photogrammetry is based on the use of algorithms allowing the automatically identification of a large amount of homologous points (or pixels) between images overlapping areas. The coordinates of the homologous points (provided in different reference systems for each acquisition), allow the images alignment meaning the internal and external camera calibration. The number and the distribution of homologous points drives the entire procedure of photogrammetric restitution. In some cases, due to a fatal combination of acquisition strategy, digital cameras and software, anomalies could occur causing systematic effects in the point clouds representing the observed surfaces. This paper shows the results obtained from SfM surveys carried out as part of a project for the study of deformations due to the phenomenon of liquefaction by comparing multi-temporal models. This is the only case we have observed in years of SfM survey experience in which there are systematic effects preventing the direct use of the point clouds obtained using Photoscan (versions 1.1.2 and 1.7.0). Some approaches aimed at mitigating the distortions by balancing the distribution of homologous points and inhibiting the adjustment of internal camera calibration are used to improve results. A reference Terrestrial Laser Scanning (TLS) survey allowed the evaluation unexpected problems. Finally, the images data set processed by means of Metashape (1.5.0), a new improved version of Photoscan, provide good results free from systematism proving the greater efficiency of new algorithms for homologous points selection optimization. Since Photoscan is a very widespread product and also used within the INGV, it is believed that this experience can be useful to many operators involved in monitoring and studying surface deformations."/>
    <s v="[Pesci, Ariann; Loddo, Fabiana] Ist Nazl Geofis &amp; Vulcanol, INGV, Sez Bologna, Rome, Italy; [Teza, Giordano] Univ Padua, Dipartimento Geosci, Padua, Italy; [Fabris, Massimo; Monego, Michele] Univ Padua, Dipartimento ICEA, Padua, Italy; [Amoroso, Sara] Univ G dAnnunzio, Dipartimento Ingn &amp; Geol, Chieti, Italy; [Amoroso, Sara] INGV Ist Nazl Geofis &amp; Vulcanol, Sez Sismol &amp; Tettonofis, Rome, Italy"/>
    <s v="Istituto Nazionale Geofisica e Vulcanologia (INGV); University of Padua; University of Padua; G d'Annunzio University of Chieti-Pescara; Istituto Nazionale Geofisica e Vulcanologia (INGV)"/>
    <s v="Pesci, A (corresponding author), Ist Nazl Geofis &amp; Vulcanol, INGV, Sez Bologna, Rome, Italy."/>
    <s v=""/>
    <s v="Amoroso, Sara/L-7179-2014"/>
    <s v="Amoroso, Sara/0000-0001-5835-079X"/>
    <s v=""/>
    <s v=""/>
    <s v=""/>
    <s v=""/>
    <n v="18"/>
    <n v="0"/>
    <n v="0"/>
    <n v="0"/>
    <n v="3"/>
    <s v="IST NAZIONALE GEOFISICA &amp; VULCANOLOGIA-INGV"/>
    <s v="ROME"/>
    <s v="VIA VIGNA MURATA, 605, ROME, 00143, ITALY"/>
    <s v="1590-2595"/>
    <s v=""/>
    <s v=""/>
    <s v="QUAD GEOFIS"/>
    <s v="Quad. Geofis."/>
    <s v=""/>
    <n v="2022"/>
    <s v=""/>
    <n v="177"/>
    <s v=""/>
    <s v=""/>
    <s v=""/>
    <s v=""/>
    <n v="1"/>
    <n v="22"/>
    <s v=""/>
    <s v="10.13127/qdg/177"/>
    <s v="http://dx.doi.org/10.13127/qdg/177"/>
    <s v=""/>
    <s v=""/>
    <n v="22"/>
    <s v="Geochemistry &amp; Geophysics"/>
    <x v="3"/>
    <s v="Geochemistry &amp; Geophysics"/>
    <s v="1L3KT"/>
    <s v=""/>
    <s v=""/>
    <s v=""/>
    <s v=""/>
    <s v="2023-11-15"/>
    <x v="599"/>
    <s v="View Full Record in Web of Science"/>
  </r>
  <r>
    <s v="J"/>
    <s v="Sangil, L; Salaverría, R; Pérez-Latre, FJ"/>
    <s v=""/>
    <s v=""/>
    <s v=""/>
    <s v="Sangil, Luis; Salaverria, Ramon; Javier Perez-Latre, Francisco"/>
    <s v=""/>
    <s v=""/>
    <s v="The arrangement of elmundo.es in the digital strategy of Unidad Editorial (1996-2021)"/>
    <s v="HISTORIA Y COMUNICACION SOCIAL"/>
    <s v=""/>
    <s v=""/>
    <s v="English"/>
    <x v="0"/>
    <s v=""/>
    <s v=""/>
    <s v=""/>
    <s v=""/>
    <s v=""/>
    <s v="Strategy; digital; management; big data"/>
    <s v="BUSINESS MODELS; NEWS MEDIA; NEWSPAPERS; INNOVATION; ENTREPRENEURSHIP; FUTURE"/>
    <s v="This paper addresses how Unidad Editorial, publisher of El Mundo newspaper, understood the digital business and the role that it has given to elmundo.es within the strategy over the years. The stages of evolution in the twenty-five years since its beginning (1996-2021) are described, which were conditioned by external and internal factors. Among the external ones, the ???dot-com bubble???, the economic crisis in 2008 and the economic exploitation due to the handling of large volumes of data, big data, are especially important. Regarding internal components, the most important was the merger with Recoletos media company and the management by brands that the inherited."/>
    <s v="[Sangil, Luis; Salaverria, Ramon; Javier Perez-Latre, Francisco] Univ Navarra, Navarra, Spain"/>
    <s v="University of Navarra"/>
    <s v="Sangil, L (corresponding author), Univ Navarra, Navarra, Spain."/>
    <s v="luis.sangil@gmail.com; rsalaver@unav.es; perezlatre@unav.es"/>
    <s v="Salaverría, Ramón/D-8527-2013; Pérez-Latre, Francisco J./I-6615-2016"/>
    <s v="Salaverría, Ramón/0000-0002-4188-7811; Pérez-Latre, Francisco J./0000-0002-9844-3496"/>
    <s v=""/>
    <s v=""/>
    <s v=""/>
    <s v=""/>
    <n v="55"/>
    <n v="0"/>
    <n v="0"/>
    <n v="2"/>
    <n v="2"/>
    <s v="UNIV COMPLUTENSE MADRID, SERVICIO PUBLICACIONES"/>
    <s v="MADRID"/>
    <s v="CIUDAD UNIV, OBISPO TREJO 3, MADRID, 28040, SPAIN"/>
    <s v="1137-0734"/>
    <s v="1988-3056"/>
    <s v=""/>
    <s v="HIST COMUN SOC"/>
    <s v="Hist. Comun. Soc."/>
    <s v=""/>
    <n v="2022"/>
    <n v="27"/>
    <n v="1"/>
    <s v=""/>
    <s v=""/>
    <s v=""/>
    <s v=""/>
    <n v="175"/>
    <n v="185"/>
    <s v=""/>
    <s v="10.5209/hics.81585"/>
    <s v="http://dx.doi.org/10.5209/hics.81585"/>
    <s v=""/>
    <s v=""/>
    <n v="11"/>
    <s v="Film, Radio, Television; History"/>
    <x v="6"/>
    <s v="Film, Radio &amp; Television; History"/>
    <s v="1P3RX"/>
    <s v=""/>
    <s v="Green Submitted, gold"/>
    <s v=""/>
    <s v=""/>
    <s v="2023-11-15"/>
    <x v="600"/>
    <s v="View Full Record in Web of Science"/>
  </r>
  <r>
    <s v="J"/>
    <s v="Santos, J; Lima, AP"/>
    <s v=""/>
    <s v=""/>
    <s v=""/>
    <s v="Santos, Joana; Lima, Ana Pinto"/>
    <s v=""/>
    <s v=""/>
    <s v="Digital Strategies to Combat the Impacts of the Covid-19 Pandemic in the Business Context"/>
    <s v="INTERNATIONAL JOURNAL OF MARKETING COMMUNICATION AND NEW MEDIA"/>
    <s v=""/>
    <s v=""/>
    <s v="Portuguese"/>
    <x v="0"/>
    <s v=""/>
    <s v=""/>
    <s v=""/>
    <s v=""/>
    <s v=""/>
    <s v="Covid-19; digital strategies; digital marketing; pandemic impacts"/>
    <s v="MANAGEMENT"/>
    <s v="The Covid-19 pandemic is considered an unprecedented crisis, due to its atypical character and because it has dragged on over time. Metaphorically, it is considered a black swan event, that is, a surprising and unpredictable event of great significance and serious consequences that drastically alter the political and economic environment. As a result of the existing changes, companies had to adapt to a new context, a new consumer and a new way of operating. This study is aimed at exploring the main digital strategies carried out by companies to mitigate/exploit the effects of the current pandemic situation. For this purpose, a qualitative methodology is proposed, based on 7 semi structured interviews with managers of companies that acted during the pandemic and in the digital context, in order to know the main impacts of the pandemic and digital strategies used to minimize/explore them. The study approaches the digital strategies that have proven successful to manage the pandemic situation in the interviewed companies, highlighting the focus on the customer, the focus on service, the development of partnerships, the creation of new products and services and the adoption of socially responsible measures. This study presents the main digital guidelines carried out by the companies under study in a context of fear and uncertainty. It is a valuable contribution at the business level, not only for the pandemic period in question, but also for future crises."/>
    <s v="[Santos, Joana; Lima, Ana Pinto] Inst Politecn Porto, Inst Super Contabilidade &amp; Adm Porto, Porto, Portugal"/>
    <s v="Instituto Politecnico do Porto"/>
    <s v="Santos, J (corresponding author), Inst Politecn Porto, Inst Super Contabilidade &amp; Adm Porto, Porto, Portugal."/>
    <s v="joanaaasantos_@hotmail.com; analima@iscap.ipp.pt"/>
    <s v=""/>
    <s v=""/>
    <s v=""/>
    <s v=""/>
    <s v=""/>
    <s v=""/>
    <n v="32"/>
    <n v="0"/>
    <n v="0"/>
    <n v="0"/>
    <n v="16"/>
    <s v="INST SUPERIOR ENTRE DOURO &amp; VOUGA"/>
    <s v="SANTA MARIA DA FEIRA"/>
    <s v="RUA ANT CASTRO CORTE REAL, SANTA MARIA DA FEIRA, AVEIRO 4520-909, PORTUGAL"/>
    <s v="2182-9306"/>
    <s v=""/>
    <s v=""/>
    <s v="INT J MARKET COMMUN"/>
    <s v="Int. J. Market. Commun. New Media"/>
    <s v="JAN"/>
    <n v="2022"/>
    <s v=""/>
    <n v="11"/>
    <s v=""/>
    <s v=""/>
    <s v="SI"/>
    <s v=""/>
    <n v="92"/>
    <n v="113"/>
    <s v=""/>
    <s v="10.1054663/2182-9306.sn11.92-113"/>
    <s v="http://dx.doi.org/10.1054663/2182-9306.sn11.92-113"/>
    <s v=""/>
    <s v=""/>
    <n v="22"/>
    <s v="Communication"/>
    <x v="3"/>
    <s v="Communication"/>
    <s v="YV0HS"/>
    <s v=""/>
    <s v=""/>
    <s v=""/>
    <s v=""/>
    <s v="2023-11-15"/>
    <x v="601"/>
    <s v="View Full Record in Web of Science"/>
  </r>
  <r>
    <s v="J"/>
    <s v="Sorrentino, C; Solito, L; Pezzoli, S; Materassi, L"/>
    <s v=""/>
    <s v=""/>
    <s v=""/>
    <s v="Sorrentino, Carlo; Solito, Laura; Pezzoli, Silvia; Materassi, Letizia"/>
    <s v=""/>
    <s v=""/>
    <s v="The interweaving of influences The pandemic and the communication strategies of 12 actors through their accounts Facebook"/>
    <s v="CAMBIO-RIVISTA SULLE TRASFORMAZIONI SOCIALI"/>
    <s v=""/>
    <s v=""/>
    <s v="Italian"/>
    <x v="0"/>
    <s v=""/>
    <s v=""/>
    <s v=""/>
    <s v=""/>
    <s v=""/>
    <s v="communicative space; public sphere; covid-19; social media; journalism"/>
    <s v="POLITICAL COMMUNICATION; PUBLIC SPHERES; TIME"/>
    <s v="The COVID-19 pandemic has monopolized communication and media information for months, becoming the first global social fact in the digital age. In a new and redefined communicative space, characterized by the pervasive presence of digital media, each information source needs to establish a specific positioning strategy in the crowded communication field. The article aims at investigating the impact of those processes on the production, spread and use of institutional information. It focuses the attention on the communicative behaviors of 12 Italian institutional, political and media players, analyzing their contents' production, the intensity and characteristics of this production and the communicative resources they used in managing their Facebook pages/profiles. In order to outline the players' digital strategies and to frame their positioning in the public sphere, different metrics were analyzed and the possible and meaningful connections among the different players and strategies were considered. From this study, a dense interweaving of voices seems to emerge, attesting the complexity of the communicative space, but also the functionality of each voice in a sort of inter-relational attitude."/>
    <s v="[Sorrentino, Carlo; Solito, Laura; Pezzoli, Silvia; Materassi, Letizia] Univ Firenze, Florence, Italy"/>
    <s v="University of Florence"/>
    <s v="Sorrentino, C (corresponding author), Univ Firenze, Florence, Italy."/>
    <s v="carlo.sorrentino@unifi.it; laura.solito@unifi.it; silvia.pezzoli@unifi.it; letizia.materassi@unifi.it"/>
    <s v=""/>
    <s v=""/>
    <s v=""/>
    <s v=""/>
    <s v=""/>
    <s v=""/>
    <n v="23"/>
    <n v="0"/>
    <n v="0"/>
    <n v="1"/>
    <n v="1"/>
    <s v="UNIV STUDI FIRENZE"/>
    <s v="FLORENCE"/>
    <s v="C/O PROF F DESSI-FULGHERI, VIA ROMANA 17, 50125 FLORENCE, ITALY"/>
    <s v="2239-1118"/>
    <s v=""/>
    <s v=""/>
    <s v="CAMBIO"/>
    <s v="Cambio"/>
    <s v=""/>
    <n v="2022"/>
    <n v="12"/>
    <n v="24"/>
    <s v=""/>
    <s v=""/>
    <s v=""/>
    <s v=""/>
    <s v=""/>
    <s v=""/>
    <s v=""/>
    <s v="10.36253/cambio-11490"/>
    <s v="http://dx.doi.org/10.36253/cambio-11490"/>
    <s v=""/>
    <s v=""/>
    <n v="15"/>
    <s v="Sociology"/>
    <x v="3"/>
    <s v="Sociology"/>
    <s v="C3YJ8"/>
    <s v=""/>
    <s v="gold"/>
    <s v=""/>
    <s v=""/>
    <s v="2023-11-15"/>
    <x v="602"/>
    <s v="View Full Record in Web of Science"/>
  </r>
  <r>
    <s v="J"/>
    <s v="Voda, AI; Florea, N; Ciulu, R; Costuleanu, CL; Gradinaru, C"/>
    <s v=""/>
    <s v=""/>
    <s v=""/>
    <s v="Voda, Ana Iolanda; Florea, Nelu; Ciulu, Ruxandra; Costuleanu, Carmen Luiza; Gradinaru, Camelia"/>
    <s v=""/>
    <s v=""/>
    <s v="DIGITAL STRATEGY ASSESSMENT IN EDUCATION. WHAT ACTIONS NEED TO BE ADDRESSED? THE PERCEPTION OF STUDENTS IN SOCIAL SCIENCES AND HUMANITIES"/>
    <s v="TRANSFORMATIONS IN BUSINESS &amp; ECONOMICS"/>
    <s v=""/>
    <s v=""/>
    <s v="English"/>
    <x v="0"/>
    <s v=""/>
    <s v=""/>
    <s v=""/>
    <s v=""/>
    <s v=""/>
    <s v="digital strategy; directions for action; education"/>
    <s v=""/>
    <s v="Given the importance of the digitalization of education, especially in the context of the worldwide outbreak of Covid-19, this paper focuses on the main directions for action necessary in developing and implementing a digital strategy in education. To achieve this goal, we collected data from March to August 2021 and gathered a total of N=282 participants enrolled at four faculties from the Alexandru Ioan Cuza University, Romania, in the fields of social sciences and humanities. Our results support the importance of digital skills, digital training assessment, digital infrastructure, education institutions incentives, digital education instruments design, open access resources, public-private partnerships, best-practices exchanges, security and protection and strategic forecasting, in assessing a digital strategy in education from the perspective of both social sciences and humanities students."/>
    <s v="[Voda, Ana Iolanda; Florea, Nelu; Ciulu, Ruxandra; Gradinaru, Camelia] Alexandru Ioan Cuza Univ, Bd Carol I 11, Iasi 700506, Romania; [Costuleanu, Carmen Luiza] Ion Ionescu de la Brad Univ Agr Sci &amp; Vet Med Ias, Al Mihail Sadoveanu 3, Iasi 700490, Romania"/>
    <s v="Alexandru Ioan Cuza University; Iasi University of Life Sciences, Romania"/>
    <s v="Costuleanu, CL (corresponding author), Ion Ionescu de la Brad Univ Agr Sci &amp; Vet Med Ias, Al Mihail Sadoveanu 3, Iasi 700490, Romania."/>
    <s v="yolanda.voda@gmail.com; nflorea@uaic.ro; ruxandra.ciulu@uaic.ro; ccostuleanu@yahoo.com; camelia.gradinaru@uaic.ro"/>
    <s v="Gradinaru, Camelia/AAL-9226-2020; Voda, Ana Iolanda/AAB-9492-2020; Ciulu, Ruxandra/AAG-2871-2021; Costuleanu, Carmen Luiza/D-8165-2011"/>
    <s v="Gradinaru, Camelia/0000-0002-3019-3056; Voda, Ana Iolanda/0000-0003-2306-0172; Costuleanu, Carmen Luiza/0000-0003-0071-4241"/>
    <s v="Jean Monnet Module European Smart Cities for Sustainable Development-SmartEU; European Union [620415-EPP-1-2020-1-RO-EPPJMO-MODULE]"/>
    <s v="Jean Monnet Module European Smart Cities for Sustainable Development-SmartEU; European Union(European Union (EU))"/>
    <s v="This work was supported by Jean Monnet Module European Smart Cities for Sustainable Development-SmartEU, co-funded by the European Union (620415-EPP-1-2020-1-RO-EPPJMO-MODULE)."/>
    <s v=""/>
    <n v="34"/>
    <n v="0"/>
    <n v="0"/>
    <n v="5"/>
    <n v="8"/>
    <s v="VILNIUS UNIV"/>
    <s v="VILNIUS"/>
    <s v="UNIVERSITETO ST 3, VILNIUS, LT-01513, LITHUANIA"/>
    <s v="1648-4460"/>
    <s v=""/>
    <s v=""/>
    <s v="TRANSFORM BUS ECON"/>
    <s v="Transform. Bus. Econ."/>
    <s v=""/>
    <n v="2022"/>
    <n v="21"/>
    <s v="2A"/>
    <s v=""/>
    <s v=""/>
    <s v=""/>
    <s v=""/>
    <n v="462"/>
    <n v="478"/>
    <s v=""/>
    <s v=""/>
    <s v=""/>
    <s v=""/>
    <s v=""/>
    <n v="17"/>
    <s v="Business; Economics"/>
    <x v="0"/>
    <s v="Business &amp; Economics"/>
    <s v="8R0MG"/>
    <s v=""/>
    <s v=""/>
    <s v=""/>
    <s v=""/>
    <s v="2023-11-15"/>
    <x v="603"/>
    <s v="View Full Record in Web of Science"/>
  </r>
  <r>
    <s v="J"/>
    <s v="Guzek, D"/>
    <s v=""/>
    <s v=""/>
    <s v=""/>
    <s v="Guzek, Damian"/>
    <s v=""/>
    <s v=""/>
    <s v="When partisan groups get access to the digital society: re-voicing religion in Poland"/>
    <s v="INFORMATION COMMUNICATION &amp; SOCIETY"/>
    <s v=""/>
    <s v=""/>
    <s v="English"/>
    <x v="0"/>
    <s v=""/>
    <s v=""/>
    <s v=""/>
    <s v=""/>
    <s v=""/>
    <s v="Iteration practices; digital society; religion; partisan groups; far-right; Poland"/>
    <s v="POLITICS; MEDIA"/>
    <s v="In recent years, radical voices of all kinds have become increasingly visible due to digital platforms. Within this context, issues connected with religious diversity have received little attention. But valuable insights can be gained from examining how radical religious advocates embrace digital strategies, using their own marginality to ironically oppose religious diversity. This article discusses the discursive strategies of the Polish far-right, their approach to religious diversity, and their iteration practices. It focuses on the discursive strategies and practices of far-right leaders of opinion in Poland opposed to religious diversity that have worked to narrow Christian values to a reinvented idea of traditional Catholicism. In this, they use techniques of language and narrative control, with intentional repetition playing a key role. My research suggests the need for an intricate understanding of these processes, in which Poland's far-right movements shape identities through shifting religious norms in often hidden practices of religious exclusion."/>
    <s v="[Guzek, Damian] Univ Silesia Katowice, Inst Journalism &amp; Media Commun, Bakowa 11, PL-40007 Katowice, Poland"/>
    <s v="University of Silesia in Katowice"/>
    <s v="Guzek, D (corresponding author), Univ Silesia Katowice, Inst Journalism &amp; Media Commun, Bakowa 11, PL-40007 Katowice, Poland."/>
    <s v="damian.guzek@us.edu.pl"/>
    <s v=""/>
    <s v=""/>
    <s v=""/>
    <s v=""/>
    <s v=""/>
    <s v=""/>
    <n v="70"/>
    <n v="0"/>
    <n v="0"/>
    <n v="1"/>
    <n v="11"/>
    <s v="ROUTLEDGE JOURNALS, TAYLOR &amp; FRANCIS LTD"/>
    <s v="ABINGDON"/>
    <s v="2-4 PARK SQUARE, MILTON PARK, ABINGDON OX14 4RN, OXON, ENGLAND"/>
    <s v="1369-118X"/>
    <s v="1468-4462"/>
    <s v=""/>
    <s v="INFORM COMMUN SOC"/>
    <s v="Info. Commun. Soc."/>
    <s v="APR 26"/>
    <n v="2023"/>
    <n v="26"/>
    <n v="6"/>
    <s v=""/>
    <s v=""/>
    <s v=""/>
    <s v=""/>
    <n v="1177"/>
    <n v="1192"/>
    <s v=""/>
    <s v="10.1080/1369118X.2021.1994628"/>
    <s v="http://dx.doi.org/10.1080/1369118X.2021.1994628"/>
    <s v=""/>
    <s v="OCT 2021"/>
    <n v="16"/>
    <s v="Communication; Sociology"/>
    <x v="0"/>
    <s v="Communication; Sociology"/>
    <s v="F9IT0"/>
    <s v=""/>
    <s v=""/>
    <s v=""/>
    <s v=""/>
    <s v="2023-11-15"/>
    <x v="604"/>
    <s v="View Full Record in Web of Science"/>
  </r>
  <r>
    <s v="J"/>
    <s v="de Barros, MJF; Melo, P; dos Santos, EM; Bispo, LVD"/>
    <s v=""/>
    <s v=""/>
    <s v=""/>
    <s v="de Barros, Manoel Joaquim F.; Melo, Paulo; dos Santos, Ernani Marques; de Oliveira Bispo, Livia Veiga"/>
    <s v=""/>
    <s v=""/>
    <s v="THE PANDEMIC OF COVID-19 AND THE LEVEL OF DIGITAL MATURITY OF MICRO AND SMALL BUSINESSES, A GLOBAL CONCERN"/>
    <s v="RISUS-JOURNAL ON INNOVATION AND SUSTAINABILITY"/>
    <s v=""/>
    <s v=""/>
    <s v="English"/>
    <x v="0"/>
    <s v=""/>
    <s v=""/>
    <s v=""/>
    <s v=""/>
    <s v=""/>
    <s v="digital maturity; micro and small businesses; Covid-19 pandemic; digital strategy"/>
    <s v=""/>
    <s v="The COVID-19 pandemic urged the implementation of new corporate digital strategies which are, in fact, no longer an option but compulsory. Given the context, this study aims to raise the following question: Are the micro and small companies matured enough to face the challenges of digital transformation due to the Covid-19 pandemic? This study has an exploratory approach in order to answer this intriguing question which seems to be a global concern. Data were collected by applying online questionnaires to 256 managers of micro and small enterprises in the state of Bahia, Brazil. The main findings showed that half (50,2%) of respondents considered their enterprises to be in a medium level of digital maturity and 39.13% considered themselves highly prepared to face the challenges of digital transformation due to the Covid-19 pandemic. Also, the study showed that it seems to be an inversely proportional relation between managers' age range and level of digital maturity of companies. Young managers are much more open for new technologies than old ones."/>
    <s v="[de Barros, Manoel Joaquim F.; Melo, Paulo; de Oliveira Bispo, Livia Veiga] Univ Salvador UNIFACS, Salvador, BA, Brazil; [dos Santos, Ernani Marques] Univ Fed Bahia, Escola Adm, Salvador, BA, Brazil"/>
    <s v="Universidade Salvador (UNIFACS); Universidade Federal da Bahia"/>
    <s v="de Barros, MJF (corresponding author), Univ Salvador UNIFACS, Salvador, BA, Brazil."/>
    <s v="manoeljfb@gmail.com; pmmelo@yahoo.com; ernanims@gmail.com; liviavobispo@gmail.com"/>
    <s v=""/>
    <s v=""/>
    <s v=""/>
    <s v=""/>
    <s v=""/>
    <s v=""/>
    <n v="22"/>
    <n v="0"/>
    <n v="0"/>
    <n v="4"/>
    <n v="21"/>
    <s v="PONTIFICIA UNIV CATOLICA SAO PAULO-PUC-SP"/>
    <s v="SAO PAULO"/>
    <s v="RUA LUIS FELIPE ATALHA 9, ALTO MOOCA, SAO PAULO, SP 03180-070, BRAZIL"/>
    <s v="2179-3565"/>
    <s v=""/>
    <s v=""/>
    <s v="RISUS"/>
    <s v="RISUS"/>
    <s v="OCT-NOV"/>
    <n v="2021"/>
    <n v="12"/>
    <n v="4"/>
    <s v=""/>
    <s v=""/>
    <s v=""/>
    <s v=""/>
    <n v="29"/>
    <n v="35"/>
    <s v=""/>
    <s v="10.23925/2179-3565.2021v12i4p29-35"/>
    <s v="http://dx.doi.org/10.23925/2179-3565.2021v12i4p29-35"/>
    <s v=""/>
    <s v=""/>
    <n v="7"/>
    <s v="Management"/>
    <x v="3"/>
    <s v="Business &amp; Economics"/>
    <s v="YI9TC"/>
    <s v=""/>
    <s v="gold"/>
    <s v=""/>
    <s v=""/>
    <s v="2023-11-15"/>
    <x v="605"/>
    <s v="View Full Record in Web of Science"/>
  </r>
  <r>
    <s v="J"/>
    <s v="Antoniazzi, L; Popple, S; Lupu, R"/>
    <s v=""/>
    <s v=""/>
    <s v=""/>
    <s v="Antoniazzi, Luca; Popple, Simon; Lupu, Ruxandra"/>
    <s v=""/>
    <s v=""/>
    <s v="Neither Sublimes Nor Castrophes: Digital Affordances In Silent Film Heritage And Suggestions From Home Movies Collections"/>
    <s v="STUDIES IN EUROPEAN CINEMA"/>
    <s v=""/>
    <s v=""/>
    <s v="English"/>
    <x v="0"/>
    <s v=""/>
    <s v=""/>
    <s v=""/>
    <s v=""/>
    <s v=""/>
    <s v="Silent film heritage; digital technology; public engagement; home movie collections; affordance"/>
    <s v=""/>
    <s v="The digital optimism of the past decade has been reflected in many policy documents related to cultural heritage in which digital technology is portrayed as a great opportunity to bring cultural heritage to a much wider audience. This potential has been contested as widening access has proved much more complex than some at first thought. Despite that, in this paper we argue that curators of national silent film collections can realistically get inspired by grassroots participatory projects. We consider two digital projects: silent feature films in the British context; and silent home movies in Italy. The first study considers the BFI Player as part of the broader BFI digital strategy. We examine the development of institutional practices to digitally publish silent films, the role of the archive and curators, and the new public experiences of silent cinema. The second study is a grassroots project that looks at the role of digitisation in the re-use of digitised footage from Sicilian home movie collections. The study explores digital forms of organisation and access to this material and how they encourage creative reuse. We extrapolate some best practices that curators and policy makers might find useful and could follow nationally and locally."/>
    <s v="[Antoniazzi, Luca] Univ Bologna, Dept Arts, Bologna, Italy; [Popple, Simon; Lupu, Ruxandra] Univ Leeds, Sch Media &amp; Commun, Leeds, W Yorkshire, England"/>
    <s v="University of Bologna; University of Leeds"/>
    <s v="Antoniazzi, L (corresponding author), Univ Via Barberia 4, I-40123 Bologna, IT, Italy."/>
    <s v="luca.antoniazzi3@unibo.it"/>
    <s v=""/>
    <s v="Antoniazzi, Luca/0000-0003-0437-0511"/>
    <s v=""/>
    <s v=""/>
    <s v=""/>
    <s v=""/>
    <n v="61"/>
    <n v="0"/>
    <n v="0"/>
    <n v="0"/>
    <n v="3"/>
    <s v="ROUTLEDGE JOURNALS, TAYLOR &amp; FRANCIS LTD"/>
    <s v="ABINGDON"/>
    <s v="2-4 PARK SQUARE, MILTON PARK, ABINGDON OX14 4RN, OXON, ENGLAND"/>
    <s v="1741-1548"/>
    <s v="2040-0594"/>
    <s v=""/>
    <s v="STUD EUR CINE"/>
    <s v="Stud. Eur. Cine."/>
    <s v="SEP 2"/>
    <n v="2021"/>
    <n v="18"/>
    <n v="3"/>
    <s v=""/>
    <s v=""/>
    <s v="SI"/>
    <s v=""/>
    <n v="195"/>
    <n v="211"/>
    <s v=""/>
    <s v="10.1080/17411548.2021.1921930"/>
    <s v="http://dx.doi.org/10.1080/17411548.2021.1921930"/>
    <s v=""/>
    <s v="SEP 2021"/>
    <n v="17"/>
    <s v="Film, Radio, Television"/>
    <x v="3"/>
    <s v="Film, Radio &amp; Television"/>
    <s v="WC3NS"/>
    <s v=""/>
    <s v=""/>
    <s v=""/>
    <s v=""/>
    <s v="2023-11-15"/>
    <x v="606"/>
    <s v="View Full Record in Web of Science"/>
  </r>
  <r>
    <s v="J"/>
    <s v="Jiménez-Consuegra, MA; Maldonado, EF; Pantoja, GD; Berrio-Valbuena, J; Rodríguez-Nieto, CA; Cervantes-Barraza, JA; Araújo, AA"/>
    <s v=""/>
    <s v=""/>
    <s v=""/>
    <s v="Alejandra Jimenez-Consuegra, Mayra; Florez Maldonado, Emma; Domenech Pantoja, Geraldis; Berrio-Valbuena, Jesus; Andres Rodriguez-Nieto, Camilo; Alberto Cervantes-Barraza, Jonathan; Aroca Araujo, Armando"/>
    <s v=""/>
    <s v=""/>
    <s v="Strategies and Digital Organization of Professors for Teaching and Connectivity in the Context of the COVID-19 Pandemic"/>
    <s v="ACADEMIA Y VIRTUALIDAD"/>
    <s v=""/>
    <s v=""/>
    <s v="Spanish"/>
    <x v="0"/>
    <s v=""/>
    <s v=""/>
    <s v=""/>
    <s v=""/>
    <s v=""/>
    <s v="connectivity; virtual classes; aptitude for virtuality; virtual teaching methodologies; virtual or remote evaluation"/>
    <s v=""/>
    <s v="the research problem consisted of the pedagogical, didactic, methodological and assessment implications emerging from the sudden shift from face-to-face education to virtual education in all undergraduate programs at Universidad del Atlantico, without lecturers having received prior training. Therefore, the objective of this research is to obtain elements of discussion on professors' teaching strategies, digital organization, methodological processes, and evaluation at Universidad del Atlantico in the context of the COVID-19 pandemic, during the beginning of the first virtual semester in each undergraduate program. This study is descriptive, exploratory and non-experimental, conducted by Grupo de Investigacion Horizontes en Educacion Matematica (gihem), where the information was collected through an online survey, designed in Google Forms and disseminated massively through emails from participating lecturers. Among the main results, strategies are classified into three categories: 1) aptitude for virtual classes, 2) classroom methodologies and 3) assessment strategies in the teaching and virtual learning process."/>
    <s v="[Alejandra Jimenez-Consuegra, Mayra] Secretaria Educ Dist Barranquilla, Barranquilla, Colombia; [Florez Maldonado, Emma; Domenech Pantoja, Geraldis; Berrio-Valbuena, Jesus; Andres Rodriguez-Nieto, Camilo; Alberto Cervantes-Barraza, Jonathan; Aroca Araujo, Armando] Univ Atlantico, Barranquilla, Colombia; [Florez Maldonado, Emma] IED Carlos Meisel, Barranquilla, Colombia; [Domenech Pantoja, Geraldis] IE Maria Auxiliadora, Galapa, Colombia"/>
    <s v=""/>
    <s v="Jiménez-Consuegra, MA (corresponding author), Secretaria Educ Dist Barranquilla, Barranquilla, Colombia."/>
    <s v="mayra.jimenez@sedbarranquilla.edu.co; emmaflorez@mail.uniatlantico.edu.co; geraldisdomenech@mail.uniatlantico.edu.co; jberriovalbuena@mail.uniatlantico.edu.co; crodriguez@uagro.mx; jacbmath@hotmail.com; doaroca@mail.uniatlantico.edu.co"/>
    <s v=""/>
    <s v=""/>
    <s v=""/>
    <s v=""/>
    <s v=""/>
    <s v=""/>
    <n v="30"/>
    <n v="0"/>
    <n v="0"/>
    <n v="2"/>
    <n v="25"/>
    <s v="UNIV MILITAR NUEVA GRANADA"/>
    <s v="BOGOTA"/>
    <s v="FAC DERECHO, SEDE BOGOTA CRA 11 N 101-80, BOGOTA, 00000, COLOMBIA"/>
    <s v="2011-0731"/>
    <s v=""/>
    <s v=""/>
    <s v="ACAD VIRTUALIDAD"/>
    <s v="Acad. Virtualidad"/>
    <s v="MAY 28"/>
    <n v="2021"/>
    <n v="14"/>
    <n v="1"/>
    <s v=""/>
    <s v=""/>
    <s v=""/>
    <s v=""/>
    <n v="63"/>
    <n v="85"/>
    <s v=""/>
    <s v="10.18359/ravi.5027"/>
    <s v="http://dx.doi.org/10.18359/ravi.5027"/>
    <s v=""/>
    <s v=""/>
    <n v="23"/>
    <s v="Education &amp; Educational Research"/>
    <x v="3"/>
    <s v="Education &amp; Educational Research"/>
    <s v="SL9UJ"/>
    <s v=""/>
    <s v="gold, Green Submitted"/>
    <s v=""/>
    <s v=""/>
    <s v="2023-11-15"/>
    <x v="607"/>
    <s v="View Full Record in Web of Science"/>
  </r>
  <r>
    <s v="J"/>
    <s v="Harvey, S"/>
    <s v=""/>
    <s v=""/>
    <s v=""/>
    <s v="Harvey, Savanna"/>
    <s v=""/>
    <s v=""/>
    <s v="Come to My Garbage Show!: Semiotics and Audience Development for Wastelands"/>
    <s v="CANADIAN THEATRE REVIEW"/>
    <s v=""/>
    <s v=""/>
    <s v="English"/>
    <x v="0"/>
    <s v=""/>
    <s v=""/>
    <s v=""/>
    <s v=""/>
    <s v=""/>
    <s v="#ecotheatre; #ecoart; #ecodramaturgy; #greentheatre; #ecoscenography; #artforsocialchange; #puppetry; #immersivetheatre; #artsadministration; #audiencedevelopment"/>
    <s v=""/>
    <s v="When working on audience development for her ecotheatre show, Wastelands, Savanna Harvey was provided the opportunity to reflect on the limitations of the word 'theatre.' In an analysis founded in reader-response theory, social justice, semiotics, lived experience, and digital strategy, this article challenges the contemporary linguistic utility of the word 'theatre.' To bring her analysis outside of theory and into practice, Harvey demonstrates how this communications gap impacts audience development. She delineates how the linguistic limitations of the word 'theatre' could negatively impact face-to-face interactions, marketing materials and copywriting, and digital discoverability. When producing a piece of theatre for the environment or other justice-driven causes, the urgency of the call to action should take precedence over any nostalgia or sensibility attached to the word 'theatre.' To this end, Harvey suggests applying a more accessible and liminal terminology, one that carries less historical baggage, bypassing barriers to audience engagement for certain audience members."/>
    <s v=""/>
    <s v=""/>
    <s v=""/>
    <s v=""/>
    <s v=""/>
    <s v=""/>
    <s v=""/>
    <s v=""/>
    <s v=""/>
    <s v=""/>
    <n v="4"/>
    <n v="0"/>
    <n v="0"/>
    <n v="0"/>
    <n v="2"/>
    <s v="UNIV TORONTO PRESS INC"/>
    <s v="TORONTO"/>
    <s v="JOURNALS DIVISION, 5201 DUFFERIN ST, DOWNSVIEW, TORONTO, ON M3H 5T8, CANADA"/>
    <s v="0315-0836"/>
    <s v="1920-941X"/>
    <s v=""/>
    <s v="CAN THEATRE REV"/>
    <s v="Can. Theatre Rev."/>
    <s v="APR 1"/>
    <n v="2021"/>
    <n v="186"/>
    <s v=""/>
    <s v=""/>
    <s v=""/>
    <s v="SI"/>
    <s v=""/>
    <n v="18"/>
    <n v="22"/>
    <s v=""/>
    <s v="10.3138/ctr.186.004"/>
    <s v="http://dx.doi.org/10.3138/ctr.186.004"/>
    <s v=""/>
    <s v=""/>
    <n v="5"/>
    <s v="Theater"/>
    <x v="6"/>
    <s v="Theater"/>
    <s v="RP8YK"/>
    <s v=""/>
    <s v=""/>
    <s v=""/>
    <s v=""/>
    <s v="2023-11-15"/>
    <x v="608"/>
    <s v="View Full Record in Web of Science"/>
  </r>
  <r>
    <s v="J"/>
    <s v="Hobley, J"/>
    <s v=""/>
    <s v=""/>
    <s v=""/>
    <s v="Hobley, Janet"/>
    <s v=""/>
    <s v=""/>
    <s v="Cultivating learners who 'think like vocational professionals': signature pedagogies, technology and vocational learning"/>
    <s v="RESEARCH IN POST-COMPULSORY EDUCATION"/>
    <s v=""/>
    <s v=""/>
    <s v="English"/>
    <x v="0"/>
    <s v=""/>
    <s v=""/>
    <s v=""/>
    <s v=""/>
    <s v=""/>
    <s v="Pedagogical Content Knowledge; technological Pedagogical Content Knowledge; signature Pedagogies; expansive education and vocational capacity"/>
    <s v="KNOWLEDGE"/>
    <s v="The author is Teaching and Learning Manager at the college with rsponsibility for observation of all teaching staff and their professional development. This research looks at differing concepts of pedagogy through an investigation of observation data and an analysis of 'blended learning sessions' at a college that is at the forefront of using technology as a tool for learning. Located in South Central England this is a relatively small vocational college with two sites in Hampshire. The observation data collected was analysed using the concepts of Pedagogical Content Knowledge (PCK), Technological Pedagogical Content Knowledge (TPCK), Signature Pedagogies and expansive vocational education to see how these concepts applied to practice. The conclusion shows that whilst there were differences in the pedagogical content approach, the concept of signature pedagogies was strong across all the curriculum areas looked at. It also highlights the possibility of further international research into post compulsory online learning using this college as an example of good practice. Finally, it observes that the college has the capacity in terms of a dedicated team of technologists to really improve the TPCK of the teachers further, together with a comprehensive digital strategy that encompasses a coherent and planned curriculum using 'joined up' schemes of work. In this way the PCK and the TPCK of teachers will be strengthened."/>
    <s v="[Hobley, Janet] Teaching &amp; Learning Manager Basingstoke Coll Tech, Basingstoke, Hants, England"/>
    <s v=""/>
    <s v="Hobley, J (corresponding author), Teaching &amp; Learning Manager Basingstoke Coll Tech, Basingstoke, Hants, England."/>
    <s v="janet.hobley@bcot.ac.uk"/>
    <s v=""/>
    <s v=""/>
    <s v=""/>
    <s v=""/>
    <s v=""/>
    <s v=""/>
    <n v="17"/>
    <n v="0"/>
    <n v="0"/>
    <n v="0"/>
    <n v="2"/>
    <s v="ROUTLEDGE JOURNALS, TAYLOR &amp; FRANCIS LTD"/>
    <s v="ABINGDON"/>
    <s v="2-4 PARK SQUARE, MILTON PARK, ABINGDON OX14 4RN, OXON, ENGLAND"/>
    <s v="1359-6748"/>
    <s v="1747-5112"/>
    <s v=""/>
    <s v="RES POST-COMPULS EDU"/>
    <s v="Res. Post-Compuls. Educ."/>
    <s v="JAN 2"/>
    <n v="2021"/>
    <n v="26"/>
    <n v="1"/>
    <s v=""/>
    <s v=""/>
    <s v=""/>
    <s v=""/>
    <n v="38"/>
    <n v="58"/>
    <s v=""/>
    <s v="10.1080/13596748.2021.1873407"/>
    <s v="http://dx.doi.org/10.1080/13596748.2021.1873407"/>
    <s v=""/>
    <s v=""/>
    <n v="21"/>
    <s v="Education &amp; Educational Research"/>
    <x v="3"/>
    <s v="Education &amp; Educational Research"/>
    <s v="QT0OK"/>
    <s v=""/>
    <s v=""/>
    <s v=""/>
    <s v=""/>
    <s v="2023-11-15"/>
    <x v="609"/>
    <s v="View Full Record in Web of Science"/>
  </r>
  <r>
    <s v="J"/>
    <s v="Abou Haidar, L"/>
    <s v=""/>
    <s v=""/>
    <s v=""/>
    <s v="Abou Haidar, Laura"/>
    <s v=""/>
    <s v=""/>
    <s v="Speech in a digital era: teaching and learning differently?"/>
    <s v="ALSIC-APPRENTISSAGE DES LANGUES ET SYSTEMS D INFORMATION ET DE COMMUNICATION"/>
    <s v=""/>
    <s v=""/>
    <s v="French"/>
    <x v="0"/>
    <s v=""/>
    <s v=""/>
    <s v=""/>
    <s v=""/>
    <s v=""/>
    <s v="oral; FFL; phonetics; ICT"/>
    <s v=""/>
    <s v="This contribution focuses on the way in which digital technology induces transformations in the way speech is considered and (re)defined, as well as in the way it is taught and learned. We will recall the dimensions that are most impacted by digital technology, compared to a language teaching/learning device based on face-to-face teaching: temporality, modes of interaction and their rituals, the management of plurisensoriality and multimodality, which have to be adapted to the digital devices that are been used. Nevertheless, digital technology can be a real opportunity for speech. The multiplicity of digital resources can multiply the benefits of the language laboratory since the smartphone or the computer can potentially be transformed into an individual language booth; in particular, digital technology allows for particularly targeted, individualized and intensive work, on listening (identifying, discriminating, comparing, understanding, etc.) or on production (with increasingly widespread software such as Audacity), which makes it possible to increase the learners' perception and production abilities. This is also in line with the reinforcement of the learner's autonomy and the diversification of learning strategies. Digital technology makes it possible to integrate the gestural and kinetic dimension, and to see/hear a multiplicity of resources of great wealth. The rise of oral corpora for didactic purposes, and the creative dynamics observed on the web, show, should that be necessary, that the time when phonetics was called as the poor relation of didactics is well and truly over."/>
    <s v="[Abou Haidar, Laura] Univ Grenoble Alpes, Lab Linguist &amp; Didact Langues Etrangeres &amp; Matern, Batiment Stendhal,CS 40700, F-38058 Grenoble 9, France"/>
    <s v="Communaute Universite Grenoble Alpes; UDICE-French Research Universities; Universite Grenoble Alpes (UGA)"/>
    <s v="Abou Haidar, L (corresponding author), Univ Grenoble Alpes, Lab Linguist &amp; Didact Langues Etrangeres &amp; Matern, Batiment Stendhal,CS 40700, F-38058 Grenoble 9, France."/>
    <s v="Laura.Abou-Haidar@univ-grenoble-alpes.fr"/>
    <s v=""/>
    <s v=""/>
    <s v=""/>
    <s v=""/>
    <s v=""/>
    <s v=""/>
    <n v="30"/>
    <n v="0"/>
    <n v="0"/>
    <n v="0"/>
    <n v="5"/>
    <s v="ADALSIC"/>
    <s v="STRASBOURG"/>
    <s v="22 RUE DESCARTES, STRASBOURG, 67084, FRANCE"/>
    <s v="1286-4986"/>
    <s v=""/>
    <s v=""/>
    <s v="ALSIC-APPRENTISS LAN"/>
    <s v="ALSIC-Apprentiss. Langues Syst. Inf. Commun."/>
    <s v=""/>
    <n v="2021"/>
    <n v="24"/>
    <n v="2"/>
    <s v=""/>
    <s v=""/>
    <s v=""/>
    <s v=""/>
    <s v=""/>
    <s v=""/>
    <n v="5739"/>
    <s v="10.4000/alsic.5739"/>
    <s v="http://dx.doi.org/10.4000/alsic.5739"/>
    <s v=""/>
    <s v=""/>
    <n v="20"/>
    <s v="Education &amp; Educational Research"/>
    <x v="3"/>
    <s v="Education &amp; Educational Research"/>
    <s v="YK0ZV"/>
    <s v=""/>
    <s v="Green Submitted, gold"/>
    <s v=""/>
    <s v=""/>
    <s v="2023-11-15"/>
    <x v="610"/>
    <s v="View Full Record in Web of Science"/>
  </r>
  <r>
    <s v="J"/>
    <s v="Alterazi, HA"/>
    <s v=""/>
    <s v=""/>
    <s v=""/>
    <s v="Alterazi, Hassan A."/>
    <s v=""/>
    <s v=""/>
    <s v="Towards Reaping the Promotions of Big Data in Healthcare Services"/>
    <s v="INTERNATIONAL TRANSACTION JOURNAL OF ENGINEERING MANAGEMENT &amp; APPLIED SCIENCES &amp; TECHNOLOGIES"/>
    <s v=""/>
    <s v=""/>
    <s v="English"/>
    <x v="0"/>
    <s v=""/>
    <s v=""/>
    <s v=""/>
    <s v=""/>
    <s v=""/>
    <s v="mHealth; eHealth; Clinical data analytics; Big data in healthcare; IoT in health service; Digitalization of healthcare; Medical care; Electronic health record; Intelligent medical care system; Healthcare data"/>
    <s v=""/>
    <s v="Nowadays, the world's attention is turned into big data technology deployment in the healthcare industry to handle the enormous collections of heterogeneous health care datasets like sensor health data and electronics health records. The nature of medical data is increasing in verity and its volume due to the commoditization of digital strategies like wireless sensors and mobile phones. The current medical industry requires a renovation of traditional medical care hardware and software patterns, which are not equipped to deal with the diversity and volume of the modern clinical data must be augmented with innovative big data analysis and computing capabilities. For the research investigators, there is an opportunity in clinical data analytics to learn this gigantic amount of information. . Recently big data has become an inimitable and favorite research domain in the field of computer science. Numerous open research obstacles are available in healthcare big data analysis and optimal solutions have also been projected by the researchers for enhancement of many innovative approaches and techniques for dealing with medical care data to obtain better solutions. For research investigators, there is an occasion in medical care data and provide a better solution for enhancing healthcare, thereby minimizing costs, democratizing healthiness access, and preventing the life of the human being. In this study of the article, the comprehensive survey of various big data healthcare diagnostics is described with an assortment of big data techniques and tools that might be deployed through cloud, wireless, and Internet of Things settings. (C) 2021 INT TRANS J ENG MANAG SCI TECH."/>
    <s v="[Alterazi, Hassan A.] King Abdulaziz Univ, Fac Comp &amp; Informat Technol, Jeddah, Saudi Arabia"/>
    <s v="King Abdulaziz University"/>
    <s v="Alterazi, HA (corresponding author), King Abdulaziz Univ, Fac Comp &amp; Informat Technol, Jeddah, Saudi Arabia."/>
    <s v="haalterazi@kau.edu.sa"/>
    <s v="Alterazi, Hassan Abdullah/AAT-5978-2021"/>
    <s v="Alterazi, Hassan Abdullah/0000-0003-0137-9422"/>
    <s v=""/>
    <s v=""/>
    <s v=""/>
    <s v=""/>
    <n v="15"/>
    <n v="0"/>
    <n v="0"/>
    <n v="0"/>
    <n v="6"/>
    <s v="TUENGR GROUP"/>
    <s v="PATHUMTAN"/>
    <s v="88-244 MOO 3 KLONG NO 2 KLONG-LUANG, PATHUMTAN, 12120, THAILAND"/>
    <s v="2228-9860"/>
    <s v="1906-9642"/>
    <s v=""/>
    <s v="INT TRANS J ENG MANA"/>
    <s v="Int. Trans. J. Eng. Manag. Appl. Sci. Technol."/>
    <s v=""/>
    <n v="2021"/>
    <n v="12"/>
    <n v="5"/>
    <s v=""/>
    <s v=""/>
    <s v=""/>
    <s v=""/>
    <s v=""/>
    <s v=""/>
    <s v="12A5G"/>
    <s v="10.14456/ITJEMAST.2021.91"/>
    <s v="http://dx.doi.org/10.14456/ITJEMAST.2021.91"/>
    <s v=""/>
    <s v=""/>
    <n v="10"/>
    <s v="Multidisciplinary Sciences"/>
    <x v="3"/>
    <s v="Science &amp; Technology - Other Topics"/>
    <s v="SF0YL"/>
    <s v=""/>
    <s v=""/>
    <s v=""/>
    <s v=""/>
    <s v="2023-11-15"/>
    <x v="611"/>
    <s v="View Full Record in Web of Science"/>
  </r>
  <r>
    <s v="B"/>
    <s v="Escoffier, N; McKelvey, B"/>
    <s v=""/>
    <s v="McKelvey, B"/>
    <s v=""/>
    <s v="Escoffier, Nadine; McKelvey, Bill"/>
    <s v=""/>
    <s v=""/>
    <s v="Using Crowd wisdom via crowdsourcing Proof of concept of an efficient digital strategy in the age of digital business complexity"/>
    <s v="MANAGEMENT IN THE AGE OF DIGITAL BUSINESS COMPLEXITY"/>
    <s v="Routledge Studies in Innovation Organization and Technology"/>
    <s v=""/>
    <s v="English"/>
    <x v="1"/>
    <s v=""/>
    <s v=""/>
    <s v=""/>
    <s v=""/>
    <s v=""/>
    <s v=""/>
    <s v="SOCIAL-INFLUENCE; USERS; PREDICTORS; MARKETS; SUCCESS; VALUES"/>
    <s v=""/>
    <s v="[McKelvey, Bill] Univ Calif Los Angeles UCLA, Anderson Sch Management, Strateg Organizing &amp; Complex Sci, Los Angeles, CA 90095 USA; [McKelvey, Bill] Ctr Rescuing Strategy &amp; Org Sci SOS, Los Angeles, CA 90095 USA"/>
    <s v="University of California System; University of California Los Angeles"/>
    <s v="McKelvey, B (corresponding author), Univ Calif Los Angeles UCLA, Anderson Sch Management, Strateg Organizing &amp; Complex Sci, Los Angeles, CA 90095 USA.;McKelvey, B (corresponding author), Ctr Rescuing Strategy &amp; Org Sci SOS, Los Angeles, CA 90095 USA."/>
    <s v=""/>
    <s v=""/>
    <s v=""/>
    <s v=""/>
    <s v=""/>
    <s v=""/>
    <s v=""/>
    <n v="89"/>
    <n v="0"/>
    <n v="0"/>
    <n v="0"/>
    <n v="0"/>
    <s v="ROUTLEDGE"/>
    <s v="ABINGDON"/>
    <s v="2 PARK SQ, MILTON PARK, ABINGDON OX14 4RN, OXFORD, ENGLAND"/>
    <s v=""/>
    <s v=""/>
    <s v="978-1-032-01172-1; 978-0-429-27821-1; 978-0-367-23074-6"/>
    <s v="ROUT STUD INNOV ORG"/>
    <s v=""/>
    <s v=""/>
    <n v="2021"/>
    <s v=""/>
    <s v=""/>
    <s v=""/>
    <s v=""/>
    <s v=""/>
    <s v=""/>
    <n v="242"/>
    <n v="267"/>
    <s v=""/>
    <s v=""/>
    <s v=""/>
    <s v=""/>
    <s v=""/>
    <n v="26"/>
    <s v="Business; Management"/>
    <x v="4"/>
    <s v="Business &amp; Economics"/>
    <s v="BU1GB"/>
    <s v=""/>
    <s v=""/>
    <s v=""/>
    <s v=""/>
    <s v="2023-11-15"/>
    <x v="612"/>
    <s v="View Full Record in Web of Science"/>
  </r>
  <r>
    <s v="J"/>
    <s v="Fernández-Peña, E; Ramajo-Hernández, N"/>
    <s v=""/>
    <s v=""/>
    <s v=""/>
    <s v="Fernandez-Pena, Emilio; Ramajo-Hernandez, Natividad"/>
    <s v=""/>
    <s v=""/>
    <s v="Olympic Channel: Digital strategy and content"/>
    <s v="JOURNAL OF HUMAN SPORT AND EXERCISE"/>
    <s v=""/>
    <s v=""/>
    <s v="English"/>
    <x v="0"/>
    <s v=""/>
    <s v=""/>
    <s v=""/>
    <s v=""/>
    <s v=""/>
    <s v="International Olympic Committee; Olympics; IOC; Digital content; Television; Social media; Millennials"/>
    <s v=""/>
    <s v="This work deals with the Olympic Channel's digital strategy in the context of the historical relationship between the media and the Olympic Games. Olympic Channel is a channel with a holistic vision, from the point of view of its integral modalities of diffusion and dissemination and from the perspective of alliances for its launch at the global and local level. It constitutes the culmination of various attempts to create a channel with the same characteristics since the second half of the 90s. The current individualistic mass media reward communicative ubiquity, the constant presence in different media: linear television, television platforms of payment, YouTube or social networks. Repetition, insistence, constitute the basis for conditioning the agenda setting, proposing the issues that are on people's minds, or about which the public is talking, and dominating the economy of attention."/>
    <s v="[Fernandez-Pena, Emilio; Ramajo-Hernandez, Natividad] Autonomous Univ Barcelona, Sport Res Inst, Bellaterra, Spain"/>
    <s v="Autonomous University of Barcelona"/>
    <s v="Fernández-Peña, E (corresponding author), Autonomous Univ Barcelona, Sport Res Inst, Bellaterra, Spain."/>
    <s v="Emilio.fernandez@uab.cat"/>
    <s v=""/>
    <s v=""/>
    <s v=""/>
    <s v=""/>
    <s v=""/>
    <s v=""/>
    <n v="33"/>
    <n v="0"/>
    <n v="0"/>
    <n v="0"/>
    <n v="2"/>
    <s v="UNIV ALICANTE"/>
    <s v="ALICANTE"/>
    <s v="APARTADO DE CORREOS 99, ALICANTE, 3080, SPAIN"/>
    <s v="1988-5202"/>
    <s v=""/>
    <s v=""/>
    <s v="J HUM SPORT EXERC"/>
    <s v="J. Hum. Sport Exerc."/>
    <s v=""/>
    <n v="2021"/>
    <n v="16"/>
    <s v=""/>
    <s v=""/>
    <s v="S"/>
    <s v=""/>
    <s v=""/>
    <s v="S1"/>
    <s v="S13"/>
    <s v=""/>
    <s v="10.14198/jhse.2021.16.Proc1.01"/>
    <s v="http://dx.doi.org/10.14198/jhse.2021.16.Proc1.01"/>
    <s v=""/>
    <s v=""/>
    <n v="13"/>
    <s v="Sport Sciences"/>
    <x v="3"/>
    <s v="Sport Sciences"/>
    <s v="TU8TF"/>
    <s v=""/>
    <s v="Green Published, hybrid"/>
    <s v=""/>
    <s v=""/>
    <s v="2023-11-15"/>
    <x v="613"/>
    <s v="View Full Record in Web of Science"/>
  </r>
  <r>
    <s v="J"/>
    <s v="Giulierini, P"/>
    <s v=""/>
    <s v=""/>
    <s v=""/>
    <s v="Giulierini, Paolo"/>
    <s v=""/>
    <s v=""/>
    <s v="MANN's DIGITAL STRATEGY"/>
    <s v="SCIRES-IT-SCIENTIFIC RESEARCH AND INFORMATION TECHNOLOGY"/>
    <s v=""/>
    <s v=""/>
    <s v="English"/>
    <x v="0"/>
    <s v=""/>
    <s v=""/>
    <s v=""/>
    <s v=""/>
    <s v=""/>
    <s v="Digital strategies; digital cultural heritage; museums; gaming"/>
    <s v="INNOVATION; HERITAGE"/>
    <s v="Focus of this paper are the digital strategies of National Archaeological Museum of Naples (MANN- Museo Archeologico Nazionale di Napoli). The contribution also testifies links and joint initiatives with other public institutions, such as schools and universities, but also with private companies in gaming and entertainment. In general it emerges a strategy that may result in a new cultural horizon of true autonomy, helping to regenerate the city from a cultural, economic and social point of view."/>
    <s v="[Giulierini, Paolo] Natl Archael Museum Naples, Naples, Italy"/>
    <s v=""/>
    <s v="Giulierini, P (corresponding author), Natl Archael Museum Naples, Naples, Italy."/>
    <s v=""/>
    <s v=""/>
    <s v=""/>
    <s v=""/>
    <s v=""/>
    <s v=""/>
    <s v=""/>
    <n v="7"/>
    <n v="0"/>
    <n v="0"/>
    <n v="2"/>
    <n v="4"/>
    <s v="CASPUR-CIBER PUBL"/>
    <s v="ROMA"/>
    <s v="CASPUR-CIBER PUBL, ROMA, 00000, ITALY"/>
    <s v="2239-4303"/>
    <s v=""/>
    <s v=""/>
    <s v="SCIRES-IT"/>
    <s v="SCIRES-IT"/>
    <s v=""/>
    <n v="2021"/>
    <n v="11"/>
    <n v="1"/>
    <s v=""/>
    <s v=""/>
    <s v=""/>
    <s v=""/>
    <n v="19"/>
    <n v="22"/>
    <s v=""/>
    <s v="10.2423/i22394303v11n1p19"/>
    <s v="http://dx.doi.org/10.2423/i22394303v11n1p19"/>
    <s v=""/>
    <s v=""/>
    <n v="4"/>
    <s v="Humanities, Multidisciplinary"/>
    <x v="3"/>
    <s v="Arts &amp; Humanities - Other Topics"/>
    <s v="XT9JL"/>
    <s v=""/>
    <s v=""/>
    <s v=""/>
    <s v=""/>
    <s v="2023-11-15"/>
    <x v="614"/>
    <s v="View Full Record in Web of Science"/>
  </r>
  <r>
    <s v="J"/>
    <s v="Markaryan, M; Bilyi, D; Yuldashev, S"/>
    <s v=""/>
    <s v=""/>
    <s v=""/>
    <s v="Markaryan, Maryna; Bilyi, Dmytro; Yuldashev, Serghii"/>
    <s v=""/>
    <s v=""/>
    <s v="LEGAL PECULIARITIES OF DIGITALIZATION OF THE ECONOMY IN THE CONTEXT OF THE DEVELOPMENT OF THE INFORMATION SOCIETY IN UKRAINE"/>
    <s v="BALTIC JOURNAL OF ECONOMIC STUDIES"/>
    <s v=""/>
    <s v=""/>
    <s v="English"/>
    <x v="0"/>
    <s v=""/>
    <s v=""/>
    <s v=""/>
    <s v=""/>
    <s v=""/>
    <s v="digital economy; legal regulation; services; digitalization of business; industry; digital leadership; digital infrastructure; digital skills; digitalization of the country; public policy, etc"/>
    <s v=""/>
    <s v="Digitalization of the economy is a determining factor in the growth of the economy as a whole, including the digital industry itself, as a producer of technology. Digital technologies in many sectors are at the core of production strategies. Their transformative power is changing traditional business models, production chains and processes, and driving new products and services, platforms and innovations. Digital technologies in Ukraine should be available both in terms of organizational and technical access to the relevant digital infrastructures and from the financial and economic point of view, that is, by creating conditions and incentives that will encourage businesses to digitalize. The result of such activities will be the modernization of the economy, its recovery, and increased competitiveness. The digital economy involves the introduction of digital technology in all areas, namely: production, education, medicine, tourism, social sphere. Spheres of life that are modernized with the help of digital technologies become much more efficient and create new value and quality, which very often leads to a complete transformation of the old system (Zhukova). Analysis of recent studies and publications. The problems of develop-ment of the digital economy and the formation of the information society are actively discussed in the domestic scientific literature, in particular in the works of R. Avdeyev, F. Gurov, L. Kit, S. Kolyadenko, D. Makovskyi, I. Malik, N. Meshko, I. Melyukhin, V. Pylypchuk, A. Prokofyev, Ye. Putilova, O. Ryzhenko. The authors substantiate the main conceptual categories and methodological approaches to the definition of the basic components ofthe modern model of socio-economic development and ways of implementing digital economy tools in the economic environment. At the same time, the theoretical understanding and scientific justification of the issues of informatization of society is the subject of scientific discussion by foreign researchers. R. Inclar, R. Cleo, A. Krimes, T. Nibel, J. Wright have made significant contributions to the development and implementation of innovative digital strategies. S. Haller, M. Hague and other scientists. However, many aspects of the impact of the digital economy on the institutional status of the state remain unexplored. That is why it is extremely important for Ukraine in such a difficult period of its development to transform the traditional economy into a modern information and digital economy as soon as possible."/>
    <s v="[Markaryan, Maryna] State Higher Educ Inst Kyiv Natl Econ Univ, Kiev, Ukraine; [Bilyi, Dmytro] Kyiv Inst Natl Guard Ukraine, Kiev, Ukraine; [Yuldashev, Serghii] Natl Aviat Univ, Kiev, Ukraine"/>
    <s v="Kyiv Institute of the National Guard of Ukraine; Ministry of Education &amp; Science of Ukraine; National Aviation University"/>
    <s v="Markaryan, M (corresponding author), State Higher Educ Inst Kyiv Natl Econ Univ, Kiev, Ukraine."/>
    <s v="sauliak_marina@ukr.net; OSA71@gmail.com; sergey.yuldashev@gmail.com"/>
    <s v=""/>
    <s v=""/>
    <s v=""/>
    <s v=""/>
    <s v=""/>
    <s v=""/>
    <n v="4"/>
    <n v="0"/>
    <n v="0"/>
    <n v="1"/>
    <n v="7"/>
    <s v="BALTIC JOURNAL ECONOMIC STUDIES"/>
    <s v="RIGA"/>
    <s v="VALDEKU IELA 62-156, RIGA, LV-1058, LATVIA"/>
    <s v="2256-0742"/>
    <s v="2256-0963"/>
    <s v=""/>
    <s v="BALT J ECON STUD"/>
    <s v="Balt. J. Econ. Stud."/>
    <s v=""/>
    <n v="2021"/>
    <n v="7"/>
    <n v="5"/>
    <s v=""/>
    <s v=""/>
    <s v=""/>
    <s v=""/>
    <n v="123"/>
    <n v="129"/>
    <s v=""/>
    <s v="10.30525/2256-0742/2021-7-5-123-129"/>
    <s v="http://dx.doi.org/10.30525/2256-0742/2021-7-5-123-129"/>
    <s v=""/>
    <s v=""/>
    <n v="7"/>
    <s v="Economics"/>
    <x v="3"/>
    <s v="Business &amp; Economics"/>
    <s v="ZD4CE"/>
    <s v=""/>
    <s v="gold"/>
    <s v=""/>
    <s v=""/>
    <s v="2023-11-15"/>
    <x v="615"/>
    <s v="View Full Record in Web of Science"/>
  </r>
  <r>
    <s v="J"/>
    <s v="Matías, KMR; Rosales, WAC; Rodríguez, LGG"/>
    <s v=""/>
    <s v=""/>
    <s v=""/>
    <s v="Rengifo Matias, Karla Martina; Caiche Rosales, William Alberto; Gonzalez Rodriguez, Livingston Gilberto"/>
    <s v=""/>
    <s v=""/>
    <s v="Digital strategies and commercial relations of the artisanal sector in the north of Canton Santa Elena, province of Santa Elena, 2020"/>
    <s v="REVISTA CIENCIAS PEDAGOGICAS E INNOVACION"/>
    <s v=""/>
    <s v=""/>
    <s v="Spanish"/>
    <x v="0"/>
    <s v=""/>
    <s v=""/>
    <s v=""/>
    <s v=""/>
    <s v=""/>
    <s v="Digital strategies; Marketing; Machine Learning; Deep Learning; B2C and B2B"/>
    <s v=""/>
    <s v="Commercial activity was aggravated by the appearance of Covid-19, declared a pandemic by the WHO in March 2020. The purpose of this research is to identify the most appropriate digital strategies to boost commercial relations between artisans in the northern part of Santa Elena canton and customers. The craft activities of these producers are made from raw materials from agriculture, forestry and fishing, the goods obtained are marketed through the direct channel; communication has an incipient use of digital strategies, including: Facebook; WhatsApp, informative web pages and email. The approach to this problem was carried out with a correlational methodological design, with a mixed approach research, the first part with the application of participant observation and in-depth interviews with a panel of experts, which allowed to identify dimensions of the variables and raise the hypothesis; the results presented correspond to this first stage, which allowed from the scientific discussion, to propose for the beneficiaries, a set of digital strategies such as: Machine Learning, Deep Learning, Business to Consumer and Business to Business accompanied by an application model adjusted to the new reality."/>
    <s v="[Rengifo Matias, Karla Martina; Caiche Rosales, William Alberto; Gonzalez Rodriguez, Livingston Gilberto] Univ Estatal Peninsula Santa Elena, La Libertad, Ecuador"/>
    <s v=""/>
    <s v="Matías, KMR (corresponding author), Univ Estatal Peninsula Santa Elena, La Libertad, Ecuador."/>
    <s v="karla.rengifomatias@upse.edu.ec"/>
    <s v=""/>
    <s v=""/>
    <s v=""/>
    <s v=""/>
    <s v=""/>
    <s v=""/>
    <n v="11"/>
    <n v="0"/>
    <n v="0"/>
    <n v="0"/>
    <n v="3"/>
    <s v="UNIV ESTATAL PENINSULA SANTA ELENA"/>
    <s v="LA LIBERTAD"/>
    <s v="UNIV ESTATAL PENINSULA SANTA ELENA, LA LIBERTAD, 00000, ECUADOR"/>
    <s v="1390-7603"/>
    <s v=""/>
    <s v=""/>
    <s v="REV CIENC PEDAGOC IN"/>
    <s v="Rev. Cienc. Pedagoc. Innov."/>
    <s v="JAN-MAY"/>
    <n v="2021"/>
    <n v="9"/>
    <n v="2"/>
    <s v=""/>
    <s v=""/>
    <s v=""/>
    <s v=""/>
    <n v="99"/>
    <n v="104"/>
    <s v=""/>
    <s v="10.26423/rcpi.v9i2.451"/>
    <s v="http://dx.doi.org/10.26423/rcpi.v9i2.451"/>
    <s v=""/>
    <s v=""/>
    <n v="6"/>
    <s v="Education &amp; Educational Research"/>
    <x v="3"/>
    <s v="Education &amp; Educational Research"/>
    <s v="XV9IY"/>
    <s v=""/>
    <s v="gold"/>
    <s v=""/>
    <s v=""/>
    <s v="2023-11-15"/>
    <x v="616"/>
    <s v="View Full Record in Web of Science"/>
  </r>
  <r>
    <s v="B"/>
    <s v="Seo, H"/>
    <s v=""/>
    <s v="Hargittai, E"/>
    <s v=""/>
    <s v="Seo, Hyunjin"/>
    <s v=""/>
    <s v=""/>
    <s v="COMMUNITY-BASED INTERVENTION RESEARCH STRATEGIES Digital Inclusion for Marginalized Populations"/>
    <s v="RESEARCH EXPOSED: How Empirical Social Science Gets Done in the Digital Age"/>
    <s v=""/>
    <s v=""/>
    <s v="English"/>
    <x v="1"/>
    <s v=""/>
    <s v=""/>
    <s v=""/>
    <s v=""/>
    <s v=""/>
    <s v=""/>
    <s v="LITERACY; OLDER"/>
    <s v=""/>
    <s v="[Seo, Hyunjin] Univ Kansas, Digital Emerging Media, Lawrence, KS 66045 USA; [Seo, Hyunjin] Univ Kansas, Lawrence, KS 66045 USA; [Seo, Hyunjin] Harvard Univ, Berkman Klein Ctr Internet &amp; Soc, Cambridge, MA 02138 USA; [Seo, Hyunjin] KU Ctr Digital Inclus, Lawrence, KS 66045 USA"/>
    <s v="University of Kansas; University of Kansas; Harvard University"/>
    <s v="Seo, H (corresponding author), Univ Kansas, Digital Emerging Media, Lawrence, KS 66045 USA.;Seo, H (corresponding author), Univ Kansas, Lawrence, KS 66045 USA.;Seo, H (corresponding author), Harvard Univ, Berkman Klein Ctr Internet &amp; Soc, Cambridge, MA 02138 USA.;Seo, H (corresponding author), KU Ctr Digital Inclus, Lawrence, KS 66045 USA."/>
    <s v=""/>
    <s v=""/>
    <s v=""/>
    <s v=""/>
    <s v=""/>
    <s v=""/>
    <s v=""/>
    <n v="15"/>
    <n v="0"/>
    <n v="0"/>
    <n v="0"/>
    <n v="0"/>
    <s v="COLUMBIA UNIV PRESS"/>
    <s v="NEW YORK"/>
    <s v="61 WEST 62 ST, NEW YORK, NY 10023 USA"/>
    <s v=""/>
    <s v=""/>
    <s v="978-0-231-18877-7; 978-0-231-54800-7; 978-0-231-18876-0"/>
    <s v=""/>
    <s v=""/>
    <s v=""/>
    <n v="2021"/>
    <s v=""/>
    <s v=""/>
    <s v=""/>
    <s v=""/>
    <s v=""/>
    <s v=""/>
    <n v="245"/>
    <n v="264"/>
    <s v=""/>
    <s v=""/>
    <s v=""/>
    <s v=""/>
    <s v=""/>
    <n v="20"/>
    <s v="Communication; Information Science &amp; Library Science; Social Sciences, Interdisciplinary"/>
    <x v="4"/>
    <s v="Communication; Information Science &amp; Library Science; Social Sciences - Other Topics"/>
    <s v="BU8RS"/>
    <s v=""/>
    <s v=""/>
    <s v=""/>
    <s v=""/>
    <s v="2023-11-15"/>
    <x v="617"/>
    <s v="View Full Record in Web of Science"/>
  </r>
  <r>
    <s v="J"/>
    <s v="Tomasi, S"/>
    <s v=""/>
    <s v=""/>
    <s v=""/>
    <s v="Tomasi, Serena"/>
    <s v=""/>
    <s v=""/>
    <s v="COVID19 EMERGENCY, HEALTH PROTECTION AND DIGITALIZATION: THE ARGUMENTATIVE LIMITS OF THE DIGITAL STRATEGY"/>
    <s v="BIOLAW JOURNAL-RIVISTA DI BIODIRITTO"/>
    <s v=""/>
    <s v=""/>
    <s v="Italian"/>
    <x v="0"/>
    <s v=""/>
    <s v=""/>
    <s v=""/>
    <s v=""/>
    <s v=""/>
    <s v="pandemic; argumentation; practical conflict; tracing-contact app; trust"/>
    <s v=""/>
    <s v="In this essay, we propose to deepen the arguments used in public communication to induce citizens to continue to cooperate and use digital tools as effective solutions during the pandemic. We will take as a case study the use of the contact-tracing app and we will analyse, through the scheme offered by the AMT - Argumentum Model of Topics, the communication strategies and the argumentative topics involved. The argumentative study will show the spread of a concept of law in which citizen tend to put aside their trust in others and seek an imperative legal solution."/>
    <s v="[Tomasi, Serena] Univ Trento, Philosophy Law, Comparat European &amp; Int Legal Studies, Fac Giurisprudenza, Trento, Italy"/>
    <s v="University of Trento"/>
    <s v="Tomasi, S (corresponding author), Univ Trento, Philosophy Law, Comparat European &amp; Int Legal Studies, Fac Giurisprudenza, Trento, Italy."/>
    <s v="serena.tomasi_1@unitn.it"/>
    <s v=""/>
    <s v=""/>
    <s v=""/>
    <s v=""/>
    <s v=""/>
    <s v=""/>
    <n v="58"/>
    <n v="0"/>
    <n v="0"/>
    <n v="0"/>
    <n v="0"/>
    <s v="UNIV TRENTO, FAC LAW"/>
    <s v="TRENTO"/>
    <s v="VIA VERDI 53, TRENTO, 38122, ITALY"/>
    <s v="2284-4503"/>
    <s v=""/>
    <s v=""/>
    <s v="BIOLAW J"/>
    <s v="BioLaw J."/>
    <s v=""/>
    <n v="2021"/>
    <s v=""/>
    <n v="3"/>
    <s v=""/>
    <s v=""/>
    <s v=""/>
    <s v=""/>
    <n v="457"/>
    <n v="471"/>
    <s v=""/>
    <s v=""/>
    <s v=""/>
    <s v=""/>
    <s v=""/>
    <n v="15"/>
    <s v="Law"/>
    <x v="3"/>
    <s v="Government &amp; Law"/>
    <s v="VM2KK"/>
    <s v=""/>
    <s v=""/>
    <s v=""/>
    <s v=""/>
    <s v="2023-11-15"/>
    <x v="618"/>
    <s v="View Full Record in Web of Science"/>
  </r>
  <r>
    <s v="J"/>
    <s v="Tremblay-Wragg, É; Déri, CE; Vincent, C; Labonté-Lemoyne, É; Mathieu-Chartier, S; Côté-Parent, R; Villeneuve, S"/>
    <s v=""/>
    <s v=""/>
    <s v=""/>
    <s v="Tremblay-Wragg, Emilie; Deri, Catherine E.; Vincent, Cynthia; Labonte, Elise; Mathieu-Chartier, Sara; Cote-Parent, Raphaelle; Villeneuve, Stephane"/>
    <s v=""/>
    <s v=""/>
    <s v="In the Aftermath of the Pandemic: Higher Education Students Rely on Technology to Write Their Thesis, Break Their Social Isolation and Find the Will to Persevere"/>
    <s v="INTERNATIONAL JOURNAL OF TECHNOLOGIES IN HIGHER EDUCATION"/>
    <s v=""/>
    <s v=""/>
    <s v="French"/>
    <x v="0"/>
    <s v=""/>
    <s v=""/>
    <s v=""/>
    <s v=""/>
    <s v=""/>
    <s v="Pandemic; digital tools; virtual modalities; higher studies; graduate students; academic writing; teaching and learning"/>
    <s v=""/>
    <s v="Around the world, confinement measures imposed during the COVID-19 pandemic have forced universities to shut down their campuses. Graduate students opted for online modalities to progress their academic writing projects, including theses and dissertations. In Canada, a non-profit organization named Thesez-vous implemented innovative digital strategies to support students in times of crisis. This article presents qualitative results obtained from 33 PhD students who have used said tools to continue their studies. A follow-on discussion focuses on existing digital learning environments and considerations for subsequent research."/>
    <s v="[Tremblay-Wragg, Emilie; Vincent, Cynthia; Villeneuve, Stephane] Univ Quebec Montreal, Montreal, PQ, Canada; [Deri, Catherine E.] Univ Ottawa, Ottawa, ON, Canada; [Labonte, Elise] HEC Montreal, Montreal, PQ, Canada; [Mathieu-Chartier, Sara; Cote-Parent, Raphaelle] Thesez Vous, Montreal, PQ, Canada"/>
    <s v="University of Quebec; University of Quebec Montreal; University of Ottawa; Universite de Montreal; HEC Montreal"/>
    <s v="Tremblay-Wragg, É (corresponding author), Univ Quebec Montreal, Montreal, PQ, Canada."/>
    <s v="tremblay-wragg.emilie@uqam.ca; cderi055@uottawa.ca; Vincent.cynthia.2@courrier.uqam.ca; elise.labonte-lemoyne@hec.ca; sara.mathieu@thesez-vous.com; raphaelle.cote.parent@thesez-vous.com; villeneuve.stephane.2@uqam.ca"/>
    <s v="Deri, Catherine E./IRZ-3395-2023"/>
    <s v="Deri, Catherine E./0000-0001-9689-3517"/>
    <s v=""/>
    <s v=""/>
    <s v=""/>
    <s v=""/>
    <n v="24"/>
    <n v="0"/>
    <n v="0"/>
    <n v="2"/>
    <n v="4"/>
    <s v="INT JOURNAL TECHNOLOGIES HIGHER EDUCATION"/>
    <s v="MONTREAL"/>
    <s v="UNIV MONTREAL, FAC SCI &amp; EDUC, CP 6128, SUCCURSALE CENTRE-VILLE, MONTREAL, H3C 3J7, CANADA"/>
    <s v="1708-7570"/>
    <s v=""/>
    <s v=""/>
    <s v="INT J TECHNOL HIGH E"/>
    <s v="Int. J. Technol. High. Educ."/>
    <s v=""/>
    <n v="2021"/>
    <n v="18"/>
    <n v="1"/>
    <s v=""/>
    <s v=""/>
    <s v=""/>
    <s v=""/>
    <n v="291"/>
    <n v="304"/>
    <s v=""/>
    <s v="10.18162/ritpu-2021-v18n1-25"/>
    <s v="http://dx.doi.org/10.18162/ritpu-2021-v18n1-25"/>
    <s v=""/>
    <s v=""/>
    <n v="14"/>
    <s v="Education &amp; Educational Research"/>
    <x v="3"/>
    <s v="Education &amp; Educational Research"/>
    <s v="TX6EQ"/>
    <s v=""/>
    <s v="gold"/>
    <s v=""/>
    <s v=""/>
    <s v="2023-11-15"/>
    <x v="619"/>
    <s v="View Full Record in Web of Science"/>
  </r>
  <r>
    <s v="J"/>
    <s v="Trusova, NV; Yeremenko, DV; Karman, SV; Kolokolchykova, IV; Skrypnyk, SV"/>
    <s v=""/>
    <s v=""/>
    <s v=""/>
    <s v="Trusova, Natalia, V; Yeremenko, Denys, V; Karman, Serhii, V; Kolokolchykova, Iryna, V; Skrypnyk, Svitlana, V"/>
    <s v=""/>
    <s v=""/>
    <s v="Digitalization of Investment-Innovative Activities of the Trade Business Entities in Network IT-System"/>
    <s v="ESTUDIOS DE ECONOMIA APLICADA"/>
    <s v=""/>
    <s v=""/>
    <s v="English"/>
    <x v="0"/>
    <s v=""/>
    <s v=""/>
    <s v=""/>
    <s v=""/>
    <s v=""/>
    <s v="business processes; IT-outsourcing; global market; technologies; zonal level"/>
    <s v="FRAMEWORK"/>
    <s v="The problem of digital business transformation through innovative development in the country, which affects the transformation of business structures, including trade, remains underdeveloped, which requires further scientific, methodological, practical research and justification. The priority of this study is to develop a system-integrated methodology and practical recommendations for building a model of digitization of investment-innovative activities of the trade entities by transforming the architecture of the business system into an IT-system, which demonstrates improving network interaction in a competitive environment. The article considers the digitalization of investment-innovative activities of the trade entities in the network IT system. The system-integrated methodology is implemented and practical recommendations are offered to build a model of digitalization of investment-innovative activities of the trade entities by transforming the architecture of the business system into an IT system, which demonstrates the efficiency of network interaction in a competitive environment. The block diagram of the activation of Digital-strategy of digitalization of investment-innovative development of business in economy is presented. A block system for evaluating the digitalization of investment-innovative activities of the trade entities in the network IT system is proposed. Indicators of digitalization of investment-innovative activities of the trade entities in the network IT system are grouped according to the components of the balanced scorecard (CFS). The architectural structure of the integrated indicator of the zonal level of digitalization of investment-innovative activities of the trade entities in the network IT system is substantiated. The coordinates of the vector-standard of zonal digitization of investment-innovative activities of the trade entities in the network IT system of Ukraine are determined."/>
    <s v="[Trusova, Natalia, V] Dmytro Motornyi Tavria State Agrotechnol Univ, Dept Finance Banking &amp; Insurance, Melitopol, Ukraine; [Yeremenko, Denys, V; Karman, Serhii, V; Kolokolchykova, Iryna, V] Dmytro Motornyi Tavria State Agrotechnol Univ, Dept Business Consulting &amp; Int Tourism, Melitopol, Ukraine; [Skrypnyk, Svitlana, V] Kherson State Agr &amp; Econ Univ, Dept Accounting &amp; Taxat, Kherson, Ukraine"/>
    <s v="Ministry of Education &amp; Science of Ukraine; Dmytro Motornyi Tavria State Agrotechnological University; Ministry of Education &amp; Science of Ukraine; Dmytro Motornyi Tavria State Agrotechnological University; Ministry of Education &amp; Science of Ukraine; Kherson State Agrarian &amp; Economic University"/>
    <s v="Trusova, NV (corresponding author), Dmytro Motornyi Tavria State Agrotechnol Univ, Dept Finance Banking &amp; Insurance, Melitopol, Ukraine."/>
    <s v="n.trusova@tanu.pro; d.yeremenko@uohk.com.cn; skarman@uohk.com.cn; kolokolchykova7214@tanu.pro; sskrypnyk@tanu.pro"/>
    <s v="Karman, Serhii/HOH-8840-2023; Skrypnyk, Svitlana/AAX-3620-2021"/>
    <s v="Karman, Serhii/0000-0002-4919-7794"/>
    <s v=""/>
    <s v=""/>
    <s v=""/>
    <s v=""/>
    <n v="30"/>
    <n v="0"/>
    <n v="0"/>
    <n v="0"/>
    <n v="11"/>
    <s v="ASOC ECONOMIA APLICADAD"/>
    <s v="MADRID"/>
    <s v="C JUAN RAMON JIMENEZ, 43, MADRID, 28036, SPAIN"/>
    <s v="1133-3197"/>
    <s v="1697-5731"/>
    <s v=""/>
    <s v="ESTUD ECON APL"/>
    <s v="Estud. Econ. Apl."/>
    <s v=""/>
    <n v="2021"/>
    <n v="39"/>
    <n v="5"/>
    <s v=""/>
    <s v=""/>
    <s v="SI"/>
    <s v=""/>
    <s v=""/>
    <s v=""/>
    <s v=""/>
    <s v="10.25115/eea.v39i5.4912"/>
    <s v="http://dx.doi.org/10.25115/eea.v39i5.4912"/>
    <s v=""/>
    <s v=""/>
    <n v="19"/>
    <s v="Economics"/>
    <x v="3"/>
    <s v="Business &amp; Economics"/>
    <s v="SL9FQ"/>
    <s v=""/>
    <s v="Bronze"/>
    <s v=""/>
    <s v=""/>
    <s v="2023-11-15"/>
    <x v="620"/>
    <s v="View Full Record in Web of Science"/>
  </r>
  <r>
    <s v="J"/>
    <s v="Lin, AW; Baik, SH; Aaby, D; Tello, L; Linville, T; Alshurafa, N; Spring, B"/>
    <s v=""/>
    <s v=""/>
    <s v=""/>
    <s v="Lin, Annie Wen; Baik, Sharon H.; Aaby, David; Tello, Leslie; Linville, Twila; Alshurafa, Nabil; Spring, Bonnie"/>
    <s v=""/>
    <s v=""/>
    <s v="eHealth Practices in Cancer Survivors With BMI in Overweight or Obese Categories: Latent Class Analysis Study"/>
    <s v="JMIR CANCER"/>
    <s v=""/>
    <s v=""/>
    <s v="English"/>
    <x v="0"/>
    <s v=""/>
    <s v=""/>
    <s v=""/>
    <s v=""/>
    <s v=""/>
    <s v="eHealth; patient communication; cancer survivorship; obesity; behavior"/>
    <s v="PHYSICAL-ACTIVITY; INTERVENTION; EXERCISE; PROGRAM; DIET"/>
    <s v="Background: eHealth technologies have been found to facilitate health-promoting practices among cancer survivors with BMI in overweight or obese categories; however, little is known about their engagement with eHealth to promote weight management and facilitate patient-clinician communication. Objective: The objective of this study was to determine whether eHealth use was associated with sociodemographic characteristics, as well as medical history and experiences (ie, patient-related factors) among cancer survivors with BMI in overweight or obese categories. Methods: Data were analyzed from a nationally representative cross-sectional survey (National Cancer Institute's Health Information National Trends Survey). Latent class analysis was used to derive distinct classes among cancer survivors based on sociodemographic characteristics, medical attributes, and medical experiences. Logistic regression was used to examine whether class membership was associated with different eHealth practices. Results: Three distinct classes of cancer survivors with BMI in overweight or obese categories emerged: younger with no comorbidities, younger with comorbidities, and older with comorbidities. Compared to the other classes, the younger with comorbidities class had the highest probability of identifying as female (73%) and Hispanic (46%) and feeling that clinicians did not address their concerns (75%). The older with comothidities class was 6.5 times more likely than the younger with comothidities class to share eHealth data with a clinician (odds ratio [OR] 6.53, 95% CI 1.08-39.43). In contrast, the younger with no comorbidities class had a higher likelihood of using a computer to look for health information (OR 1.93, 95% CI 1.10-3.38), using an electronic device to track progress toward a health-related goal (OR 2.02, 95% CI 1.08-3.79), and using the internet to watch health-related YouTube videos (OR 2.70, 95% CI 1.52-4.81) than the older with comothidities class. Conclusions: Class membership was associated with different patterns of eHealth engagement, indicating the importance of tailored digital strategies for delivering effective care. Future eHealth weight loss interventions should investigate strategies to engage younger cancer survivors with comorbidities and address racial and ethnic disparities in eHealth use."/>
    <s v="[Lin, Annie Wen; Tello, Leslie] Benedictine Univ, Dept Nutr, 5700 Coll Rd Kindlon Hall,Room 224, Lisle, IL 60532 USA; [Lin, Annie Wen; Aaby, David; Linville, Twila; Alshurafa, Nabil; Spring, Bonnie] Northwestern Univ, Dept Prevent Med, Chicago, IL USA; [Baik, Sharon H.] City Hope Med Canc Ctr, Dept Support Care Med, Duarte, CA USA; [Baik, Sharon H.] Northwestern Univ, Dept Med Social Sci, Chicago, IL USA"/>
    <s v="Northwestern University; Northwestern University"/>
    <s v="Lin, AW (corresponding author), Benedictine Univ, Dept Nutr, 5700 Coll Rd Kindlon Hall,Room 224, Lisle, IL 60532 USA."/>
    <s v="alin@ben.edu"/>
    <s v=""/>
    <s v="Aaby, David/0000-0002-2395-3563; Spring, Bonnie/0000-0003-0692-9868; Linville, Twila/0000-0002-8315-5731; Lin, Annie/0000-0002-0045-8826"/>
    <s v="National Institutes of Health/National Cancer Institute [T32 CA193193]; National Institute of Diabetes and Digestive and Kidney Diseases [K25DK113242, R01 DK108678, R01 DK125414]; National Science Foundation [CNS1915847]; National Cancer Institute [P30CA060553]; National Institutes of Health's National Center for Advancing Translational Sciences [UL1TR001422]"/>
    <s v="National Institutes of Health/National Cancer Institute(United States Department of Health &amp; Human ServicesNational Institutes of Health (NIH) - USANIH National Cancer Institute (NCI)); National Institute of Diabetes and Digestive and Kidney Diseases(United States Department of Health &amp; Human ServicesNational Institutes of Health (NIH) - USANIH National Institute of Diabetes &amp; Digestive &amp; Kidney Diseases (NIDDK)); National Science Foundation(National Science Foundation (NSF)); National Cancer Institute(United States Department of Health &amp; Human ServicesNational Institutes of Health (NIH) - USANIH National Cancer Institute (NCI)); National Institutes of Health's National Center for Advancing Translational Sciences"/>
    <s v="AWL and SHB acknowledge salary support from National Institutes of Health/National Cancer Institute training grant T32 CA193193 (principal investigator: BS). NA is supported in part by National Institute of Diabetes and Digestive and Kidney Diseases K25DK113242 and National Science Foundation CNS1915847. BS is supported in part by National Institute of Diabetes and Digestive and Kidney Diseases R01s DK108678 and DK125414 and National Cancer Institute P30CA060553. Research reported in this publication was supported, in part, by the National Institutes of Health's National Center for Advancing Translational Sciences (grant number UL1TR001422). The content is solely the responsibility of the authors and does not necessarily represent the official views of the National Institutes of Health. The authors are grateful for the NCI HINTS investigators for their dedication in data collection and support. The authors would also like to thank the NCI HINTS participants for their contribution to research, as well as the reviewers and copyeditor (Coren Walters-Stewart) for their comments that have improved this manuscript."/>
    <s v=""/>
    <n v="54"/>
    <n v="0"/>
    <n v="1"/>
    <n v="0"/>
    <n v="8"/>
    <s v="JMIR PUBLICATIONS, INC"/>
    <s v="TORONTO"/>
    <s v="130 QUEENS QUAY E, STE 1102, TORONTO, ON M5A 0P6, CANADA"/>
    <s v="2369-1999"/>
    <s v=""/>
    <s v=""/>
    <s v="JMIR CANCER"/>
    <s v="JMIR Cancer"/>
    <s v="DEC 3"/>
    <n v="2020"/>
    <n v="6"/>
    <n v="2"/>
    <s v=""/>
    <s v=""/>
    <s v=""/>
    <s v=""/>
    <s v=""/>
    <s v=""/>
    <s v="e24137"/>
    <s v="10.2196/24137"/>
    <s v="http://dx.doi.org/10.2196/24137"/>
    <s v=""/>
    <s v=""/>
    <n v="11"/>
    <s v="Oncology"/>
    <x v="3"/>
    <s v="Oncology"/>
    <s v="PE7YC"/>
    <n v="33156810"/>
    <s v="Green Published, gold"/>
    <s v=""/>
    <s v=""/>
    <s v="2023-11-15"/>
    <x v="621"/>
    <s v="View Full Record in Web of Science"/>
  </r>
  <r>
    <s v="J"/>
    <s v="Lopera-Zuluaga, EC"/>
    <s v=""/>
    <s v=""/>
    <s v=""/>
    <s v="Camilo Lopera-Zuluaga, Edwar"/>
    <s v=""/>
    <s v=""/>
    <s v="Social Network Replies that Denounce Inequalities of the #AprenderDigital Strategy in Time of Covid-19"/>
    <s v="REVISTA INTERNACIONAL DE EDUCACION PARA LA JUSTICIA SOCIAL"/>
    <s v=""/>
    <s v=""/>
    <s v="Spanish"/>
    <x v="0"/>
    <s v=""/>
    <s v=""/>
    <s v=""/>
    <s v=""/>
    <s v=""/>
    <s v="Digital gap; Covid-19; Educational strategy; Social network; Citizen replies"/>
    <s v=""/>
    <s v="The Colombian Ministry of Education publishes the #AprenderDigital strategy on social networks to counteract the massive closure of schools due to covid-19. However, the public makes a dissatisfied reply to this homogeneous initiative. This research with a qualitative approach aims, first, to classify in categories of analysis the citizen replies made to the publications of the National Ministry of Colombia on Twitter and Facebook under the hashtag #AprenderDigital. Second, to discuss, within the framework of citizen replies, the expressions of educational inequality exacerbated by the digital strategy, in addition to offering some lessons learned for post-pandemic digital educational policy in Colombia. The method involved retrieving the citizen replicas and the data with the support of the qualitative analysis software Atlas ti. The replicas were classified into three categories: 1. Access replicas. 2. Curricular replicas. 3. Exhortations. To the end, we discuss the strength of the study to ratify educational inequality in times of covid-19, the homogeneity of emergency educational policies that deny differences, we reflect on the necessary subjectivity policies and we provide some reflections on the direction of post pandemic digital policies. Finally, we value the fertility that means recovering replicas in social networks for research in social sciences."/>
    <s v="[Camilo Lopera-Zuluaga, Edwar] Univ Pontificia Bolivariana, Ciencias Sociales, Medellin, Colombia"/>
    <s v="Universidad Pontificia Bolivariana"/>
    <s v="Lopera-Zuluaga, EC (corresponding author), Univ Pontificia Bolivariana, Ciencias Sociales, Medellin, Colombia."/>
    <s v="edwar.lopera@upb.edu.co"/>
    <s v=""/>
    <s v=""/>
    <s v=""/>
    <s v=""/>
    <s v=""/>
    <s v=""/>
    <n v="41"/>
    <n v="0"/>
    <n v="1"/>
    <n v="0"/>
    <n v="4"/>
    <s v="UNIV AUTONOMA MADRID, FAC FORMACION PROFESORADO &amp; EDUCACION"/>
    <s v="MADRID"/>
    <s v="MODULO III, DESPACHO 302, CAMPUS CANTOBLANCO, MADRID, 28049, SPAIN"/>
    <s v="2254-3139"/>
    <s v=""/>
    <s v=""/>
    <s v="REV INT EDUC JUSTICI"/>
    <s v="Rev. Int. Educ. Justicia Soc."/>
    <s v="DEC"/>
    <n v="2020"/>
    <n v="9"/>
    <n v="3"/>
    <s v=""/>
    <s v=""/>
    <s v=""/>
    <s v=""/>
    <n v="335"/>
    <n v="352"/>
    <s v=""/>
    <s v="10.15366/riejs2020.9.3.018"/>
    <s v="http://dx.doi.org/10.15366/riejs2020.9.3.018"/>
    <s v=""/>
    <s v=""/>
    <n v="18"/>
    <s v="Education &amp; Educational Research"/>
    <x v="3"/>
    <s v="Education &amp; Educational Research"/>
    <s v="PT4QU"/>
    <s v=""/>
    <s v="gold"/>
    <s v=""/>
    <s v=""/>
    <s v="2023-11-15"/>
    <x v="622"/>
    <s v="View Full Record in Web of Science"/>
  </r>
  <r>
    <s v="J"/>
    <s v="Marcut, M"/>
    <s v=""/>
    <s v=""/>
    <s v=""/>
    <s v="Marcut, Mirela"/>
    <s v=""/>
    <s v=""/>
    <s v="Evaluating the EU's role as a global actor in the digital space"/>
    <s v="ROMANIAN JOURNAL OF EUROPEAN AFFAIRS"/>
    <s v=""/>
    <s v=""/>
    <s v="English"/>
    <x v="0"/>
    <s v=""/>
    <s v=""/>
    <s v=""/>
    <s v=""/>
    <s v=""/>
    <s v="European Union; actorness; digital space; digital policy"/>
    <s v=""/>
    <s v="The new Digital Strategy of the European Union (EU) emphasizes the need for a more assertive Union as regards digital leadership, claiming a role of a global actor in terms of digital policies. Moreover, the new policy documents on digital transformation promote the idea European technological sovereignty, thus pointing to a crystallization of a European approach towards digital policies that would be projected on the international stage. The purpose of this article is to investigate the sources of the proclaimed assertiveness of Digital Europe in international affairs. The hypothesis is that it stems from harmonization of legislation claimed by the Digital Single Market. However, the article aims to identify and assess the EU's recognition, authority, autonomy, markers proposed by Jupille and Caporaso (1998), in an approach meant to provide an overview of the EU's actorness in the digital space."/>
    <s v="[Marcut, Mirela] Univ Oradea, Fac Hist Int Relat Polit Sci &amp; Commun Sci, Oradea, Romania"/>
    <s v="University of Oradea"/>
    <s v="Marcut, M (corresponding author), Univ Oradea, Fac Hist Int Relat Polit Sci &amp; Commun Sci, Oradea, Romania."/>
    <s v="mirelamarcut@uoradea.ro"/>
    <s v="Marcut, Mirela/AAK-7015-2021"/>
    <s v="Marcut, Mirela/0000-0003-2832-9249"/>
    <s v=""/>
    <s v=""/>
    <s v=""/>
    <s v=""/>
    <n v="19"/>
    <n v="0"/>
    <n v="0"/>
    <n v="5"/>
    <n v="18"/>
    <s v="EUROPEAN INST ROMANIA"/>
    <s v="BUCHAREST"/>
    <s v="7-9 BD REGINA ELISABETA, SECTOR 3, BUCHAREST, 030016, ROMANIA"/>
    <s v="1582-8271"/>
    <s v="1841-4273"/>
    <s v=""/>
    <s v="ROM J EUR AFF"/>
    <s v="Rom. J. Eur. Aff."/>
    <s v="DEC"/>
    <n v="2020"/>
    <n v="20"/>
    <n v="2"/>
    <s v=""/>
    <s v=""/>
    <s v=""/>
    <s v=""/>
    <n v="79"/>
    <n v="85"/>
    <s v=""/>
    <s v=""/>
    <s v=""/>
    <s v=""/>
    <s v=""/>
    <n v="7"/>
    <s v="International Relations"/>
    <x v="3"/>
    <s v="International Relations"/>
    <s v="PV3YY"/>
    <s v=""/>
    <s v=""/>
    <s v=""/>
    <s v=""/>
    <s v="2023-11-15"/>
    <x v="623"/>
    <s v="View Full Record in Web of Science"/>
  </r>
  <r>
    <s v="J"/>
    <s v="Markarian, J"/>
    <s v=""/>
    <s v=""/>
    <s v=""/>
    <s v="Markarian, Jennifer"/>
    <s v=""/>
    <s v=""/>
    <s v="Digital Strategies for Biopharma Manufacturing"/>
    <s v="BIOPHARM INTERNATIONAL"/>
    <s v=""/>
    <s v=""/>
    <s v="English"/>
    <x v="0"/>
    <s v=""/>
    <s v=""/>
    <s v=""/>
    <s v=""/>
    <s v=""/>
    <s v=""/>
    <s v=""/>
    <s v=""/>
    <s v=""/>
    <s v=""/>
    <s v=""/>
    <s v=""/>
    <s v=""/>
    <s v=""/>
    <s v=""/>
    <s v=""/>
    <s v=""/>
    <s v=""/>
    <n v="4"/>
    <n v="0"/>
    <n v="0"/>
    <n v="1"/>
    <n v="1"/>
    <s v="ADVANSTAR COMMUNICATIONS INC"/>
    <s v="DULUTH"/>
    <s v="131 W 1ST STREET, DULUTH, MN 55802 USA"/>
    <s v="1542-166X"/>
    <s v="1939-1862"/>
    <s v=""/>
    <s v="BIOPHARM INT"/>
    <s v="Biopharm. Int."/>
    <s v="NOV"/>
    <n v="2020"/>
    <n v="33"/>
    <n v="11"/>
    <s v=""/>
    <s v=""/>
    <s v=""/>
    <s v=""/>
    <n v="48"/>
    <n v="51"/>
    <s v=""/>
    <s v=""/>
    <s v=""/>
    <s v=""/>
    <s v=""/>
    <n v="4"/>
    <s v="Biotechnology &amp; Applied Microbiology; Pharmacology &amp; Pharmacy"/>
    <x v="2"/>
    <s v="Biotechnology &amp; Applied Microbiology; Pharmacology &amp; Pharmacy"/>
    <s v="VM2IP"/>
    <s v=""/>
    <s v=""/>
    <s v=""/>
    <s v=""/>
    <s v="2023-11-15"/>
    <x v="624"/>
    <s v="View Full Record in Web of Science"/>
  </r>
  <r>
    <s v="J"/>
    <s v="Morales, MAA"/>
    <s v=""/>
    <s v=""/>
    <s v=""/>
    <s v="Arellano Morales, Mario Alejandro"/>
    <s v=""/>
    <s v=""/>
    <s v="The digital gaps in Mexico: A relevant balance"/>
    <s v="TRIMESTRE ECONOMICO"/>
    <s v=""/>
    <s v=""/>
    <s v="Spanish"/>
    <x v="0"/>
    <s v=""/>
    <s v=""/>
    <s v=""/>
    <s v=""/>
    <s v=""/>
    <s v="Digital agenda; digital gaps; digital economy; digital paradigm; socio-economic development"/>
    <s v=""/>
    <s v="Digital technologies are changing the patterns of production, consumption, communication, and interaction in modern societies. This is because of their transversal nature, which makes them present in almost all areas of economic activity. Its potential for positive impact on the economy, government management, and society is not linear, nor automatic, the determining factors of this are a source of discussion in the literature on the subject. However, based on the study of the evolution and trends of the digital paradigm, we can assume that the lag of developing countries in the use and deployment of such technologies for the advancement of productive and technological capacities could prolong their underdevelopment condition. This article analyzes the current state of the digital gaps in Mexico, in regard to the most advanced countries, and a balance is made in relation to the two main goals of the National Digital Strategy of the past government administration. The results of the research make it possible to measure the magnitude of the challenges and opportunities of the future digital agenda that the country requires in order to become an important promoter of the development and well-being of the population within the framework of the strategic objectives proposed in the Plan Nacional de Desarrollo 2019-2024."/>
    <s v="[Arellano Morales, Mario Alejandro] Inst Politecn Nacl, Escuela Super Econ, Secc Estudios Posgrad &amp; Invest, Mexico City, DF, Mexico; [Arellano Morales, Mario Alejandro] Ctr Invest &amp; Innovac Tecnol Informat &amp; Comunicac, Ciudad De Mexico, Mexico"/>
    <s v="Instituto Politecnico Nacional - Mexico"/>
    <s v="Morales, MAA (corresponding author), Inst Politecn Nacl, Escuela Super Econ, Secc Estudios Posgrad &amp; Invest, Mexico City, DF, Mexico.;Morales, MAA (corresponding author), Ctr Invest &amp; Innovac Tecnol Informat &amp; Comunicac, Ciudad De Mexico, Mexico."/>
    <s v="arellanomma@gmail.com"/>
    <s v=""/>
    <s v=""/>
    <s v=""/>
    <s v=""/>
    <s v=""/>
    <s v=""/>
    <n v="35"/>
    <n v="0"/>
    <n v="1"/>
    <n v="6"/>
    <n v="21"/>
    <s v="FONDO CULTURA ECONOMICA"/>
    <s v="TLALPAN"/>
    <s v="AVE PICACHO AJUSCO, NO 227, TLALPAN CP 14200, MEXICO"/>
    <s v="0041-3011"/>
    <s v=""/>
    <s v=""/>
    <s v="TRIMEST ECON"/>
    <s v="Trimest. Econ."/>
    <s v="APR-JUN"/>
    <n v="2020"/>
    <n v="87"/>
    <n v="346"/>
    <s v=""/>
    <s v=""/>
    <s v=""/>
    <s v=""/>
    <n v="367"/>
    <n v="402"/>
    <s v=""/>
    <s v="10.20430/ete.v87i346.974"/>
    <s v="http://dx.doi.org/10.20430/ete.v87i346.974"/>
    <s v=""/>
    <s v=""/>
    <n v="36"/>
    <s v="Economics"/>
    <x v="0"/>
    <s v="Business &amp; Economics"/>
    <s v="KZ9FV"/>
    <s v=""/>
    <s v="gold, Green Published"/>
    <s v=""/>
    <s v=""/>
    <s v="2023-11-15"/>
    <x v="625"/>
    <s v="View Full Record in Web of Science"/>
  </r>
  <r>
    <s v="J"/>
    <s v="Mulari, H"/>
    <s v=""/>
    <s v=""/>
    <s v=""/>
    <s v="Mulari, Heta"/>
    <s v=""/>
    <s v=""/>
    <s v="Emotional Encounters and Young Feminine Choreographies in the Helsinki Metro"/>
    <s v="GIRLHOOD STUDIES-AN INTERDISCIPLINARY JOURNAL"/>
    <s v=""/>
    <s v=""/>
    <s v="English"/>
    <x v="0"/>
    <s v=""/>
    <s v=""/>
    <s v=""/>
    <s v=""/>
    <s v=""/>
    <s v="digitalization; harassment; racism; spatial strategies; urban space; young femininity"/>
    <s v="GIRLS"/>
    <s v="In this article I discuss girls' and non-binary young people's experiences of unwelcome intergenerational encounters in the Helsinki metro underground transport network. I foreground a theoretical conception of the metro as an urban space in which the material is deeply intertwined with the political and as a space with its own racialized, gendered, and age-based hierarchies. Calling on the work of Sara Ahmed, I investigate how girls and non-binary young people make meaning of unwanted emotional encounters in the metro space and how they use and adopt certain material and digital strategies that Helena Saarikoski calls young feminine choreographies, to cope in these situations. This article is based on interviews with girls and non-binary young people who were then between 16 and 17 years of age."/>
    <s v="[Mulari, Heta] Finnish Youth Res Soc Helsinki, Helsinki, Finland; [Mulari, Heta] Univ Helsinki, Helsinki, Finland; [Mulari, Heta] FlickForsk, Helsinki, Finland"/>
    <s v="University of Helsinki"/>
    <s v="Mulari, H (corresponding author), Finnish Youth Res Soc Helsinki, Helsinki, Finland."/>
    <s v=""/>
    <s v=""/>
    <s v="Mulari, Heta/0000-0001-7861-5038"/>
    <s v="Kone Foundation, Finland"/>
    <s v="Kone Foundation, Finland"/>
    <s v="The article is based on ethnographic research conducted in the research project Digital Youth in the Media City (2016-2019), funded by the Kone Foundation, Finland. The data was collected by Heta Mulari, Arseniy Svynarenko, Paivi Honkatukia, and Olli Haanpaa."/>
    <s v=""/>
    <n v="31"/>
    <n v="0"/>
    <n v="0"/>
    <n v="1"/>
    <n v="1"/>
    <s v="BERGHAHN JOURNALS"/>
    <s v="BROOKLYN"/>
    <s v="20 JAY ST, SUITE 512, BROOKLYN, NY 11201 USA"/>
    <s v="1938-8209"/>
    <s v="1938-8322"/>
    <s v=""/>
    <s v="GIRLHOOD STUD"/>
    <s v="Girlhood Stud."/>
    <s v="MAR"/>
    <n v="2020"/>
    <n v="13"/>
    <n v="1"/>
    <s v=""/>
    <s v=""/>
    <s v=""/>
    <s v=""/>
    <n v="50"/>
    <n v="66"/>
    <s v=""/>
    <s v="10.3167/ghs.2020.130105"/>
    <s v="http://dx.doi.org/10.3167/ghs.2020.130105"/>
    <s v=""/>
    <s v=""/>
    <n v="17"/>
    <s v="Social Sciences, Interdisciplinary"/>
    <x v="3"/>
    <s v="Social Sciences - Other Topics"/>
    <s v="KU2UC"/>
    <s v=""/>
    <s v=""/>
    <s v=""/>
    <s v=""/>
    <s v="2023-11-15"/>
    <x v="626"/>
    <s v="View Full Record in Web of Science"/>
  </r>
  <r>
    <s v="J"/>
    <s v="Blaszkowski, DAAD; Wunsch, LP; Fofonca, E"/>
    <s v=""/>
    <s v=""/>
    <s v=""/>
    <s v="Amaral de Mattos Blaszkowski, Daiane Adriana; Wunsch, Luana Priscila; Fofonca, Eduardo"/>
    <s v=""/>
    <s v=""/>
    <s v="LEARNING OF READING AND WRITING AND NEW DIGITAL STRATEGIES: LEGAL INDICATORS AND KEY ELEMENTS OF A CONTEXTUALIZATION OF THE BRAZILIAN EDUCATIONAL REALITY"/>
    <s v="HUMANIDADES &amp; INOVACAO"/>
    <s v=""/>
    <s v=""/>
    <s v="Portuguese"/>
    <x v="0"/>
    <s v=""/>
    <s v=""/>
    <s v=""/>
    <s v=""/>
    <s v=""/>
    <s v="Reading; Writing; Elementary School; Portuguese Language; Legal indicators"/>
    <s v=""/>
    <s v="This article develops an analysis of reading and writing learning through digital textual genres and working in the language area, specifically with the 4th and 5th years of elementary school. Thus, we analyzed and sought to elucidate the key elements of reflection on teacher practice with the Portuguese Language curriculum component. With the deepening of the legal indicators, such as the current discussions about the BNCC (2017), it became evident that it is still necessary to advance in relation to the new digital strategies for teaching to develop their practices with new pedagogical trends with contents and scenarios that express the needs and specificities of the teacher and his students today, such as digital textual genres, which provide new strategies for pedagogical practice."/>
    <s v="[Amaral de Mattos Blaszkowski, Daiane Adriana] Rede Municipal Ensino Curitiba, Curitiba, Parana, Brazil; [Wunsch, Luana Priscila] UNINTER, Programa Posgrad, Sao Jose Do Rio Preto, Brazil; [Fofonca, Eduardo] Univ Fed Parana, Programa Mestrado Educ Teoria &amp; Prat Ensino, Curitiba, Parana, Brazil"/>
    <s v="Universidade Federal do Parana"/>
    <s v="Blaszkowski, DAAD (corresponding author), Rede Municipal Ensino Curitiba, Curitiba, Parana, Brazil."/>
    <s v="picuche@yahoo.com; Ipriscila@gmail.com; eduardofofonca@gmail.com"/>
    <s v=""/>
    <s v=""/>
    <s v=""/>
    <s v=""/>
    <s v=""/>
    <s v=""/>
    <n v="34"/>
    <n v="0"/>
    <n v="0"/>
    <n v="0"/>
    <n v="1"/>
    <s v="FUNDACAO UNIV TOCANTINS"/>
    <s v="PALMAS-TOCANTINS"/>
    <s v="PRO-REITORIA PESQUISA &amp; POS-GRADUACAO 108 SUL ALAMEDA 11 LOTE 03 CX POSTAL 173, PALMAS-TOCANTINS, CEP77020-122, BRAZIL"/>
    <s v="2358-8322"/>
    <s v=""/>
    <s v=""/>
    <s v="HUMANID INOV"/>
    <s v="Humanid. Inov."/>
    <s v="JAN"/>
    <n v="2020"/>
    <n v="7"/>
    <n v="1"/>
    <s v=""/>
    <s v=""/>
    <s v=""/>
    <s v=""/>
    <n v="251"/>
    <n v="266"/>
    <s v=""/>
    <s v=""/>
    <s v=""/>
    <s v=""/>
    <s v=""/>
    <n v="16"/>
    <s v="Humanities, Multidisciplinary"/>
    <x v="3"/>
    <s v="Arts &amp; Humanities - Other Topics"/>
    <s v="KK4TT"/>
    <s v=""/>
    <s v=""/>
    <s v=""/>
    <s v=""/>
    <s v="2023-11-15"/>
    <x v="627"/>
    <s v="View Full Record in Web of Science"/>
  </r>
  <r>
    <s v="J"/>
    <s v="Brianso, I"/>
    <s v=""/>
    <s v=""/>
    <s v=""/>
    <s v="Brianso, Isabelle"/>
    <s v=""/>
    <s v=""/>
    <s v="The assaulted monument: from emotion to exhibition"/>
    <s v="CULTURE ET MUSEES"/>
    <s v=""/>
    <s v=""/>
    <s v="French"/>
    <x v="0"/>
    <s v=""/>
    <s v=""/>
    <s v=""/>
    <s v=""/>
    <s v=""/>
    <s v="damaged monuments; heritage emotion; traumatic ruin; actors; exhibition"/>
    <s v=""/>
    <s v="When a monument is assaulted by armed forces or local militia within the context of an armed conflict, it immediately changes status. becoming a traumatic ruin (Leblanc. 2010). This execution produces a negative heritage sentiment (indignation, disbelief or shock) which circulates in the social arena thanks to a number of different sources (inhabitants, experts, etc). The damage inflicted upon ancient Middle Eastern heritage sites was the basis for the immersive exhibition Cites Millenaires. Voyage virtue! de Palmyre a Mossoul (Age Old Cities. A Virtual Journey from Palmyra to Mosul) at the Institut du monde arabe in 2018-2019. This article proposes a study of the emotional charge of the assaulted monument as well as of the expographic strategies employed in order to create an emotional reaction on the part of the visitor during their visit. Our methodological approach consists of both a semiotic analysis of the staging effects of the mined monuments in the rooms of the exhibition (through images and films) as an empathic experience for visitors. and a study of the digital strategies deployed (3D reconstitutions) and of the personal stories of those committed to the assaulted monuments."/>
    <s v="[Brianso, Isabelle] Avignon Univ, Ctr Norbert Elias, Avignon, France"/>
    <s v="Avignon Universite"/>
    <s v="Brianso, I (corresponding author), Avignon Univ, Ctr Norbert Elias, Avignon, France."/>
    <s v=""/>
    <s v=""/>
    <s v=""/>
    <s v=""/>
    <s v=""/>
    <s v=""/>
    <s v=""/>
    <n v="26"/>
    <n v="0"/>
    <n v="0"/>
    <n v="2"/>
    <n v="3"/>
    <s v="ACTES SUD"/>
    <s v="ARLES CEDEX"/>
    <s v="BP 38, ARLES CEDEX, 13633, FRANCE"/>
    <s v="1766-2923"/>
    <s v="2111-4528"/>
    <s v=""/>
    <s v="CULT MUS"/>
    <s v="Cult. Mus."/>
    <s v=""/>
    <n v="2020"/>
    <s v=""/>
    <n v="36"/>
    <s v=""/>
    <s v=""/>
    <s v=""/>
    <s v=""/>
    <n v="35"/>
    <n v="56"/>
    <s v=""/>
    <s v="10.4000/culturemusees.5391"/>
    <s v="http://dx.doi.org/10.4000/culturemusees.5391"/>
    <s v=""/>
    <s v=""/>
    <n v="22"/>
    <s v="Humanities, Multidisciplinary"/>
    <x v="6"/>
    <s v="Arts &amp; Humanities - Other Topics"/>
    <s v="PB1MD"/>
    <s v=""/>
    <s v="Green Submitted"/>
    <s v=""/>
    <s v=""/>
    <s v="2023-11-15"/>
    <x v="628"/>
    <s v="View Full Record in Web of Science"/>
  </r>
  <r>
    <s v="J"/>
    <s v="Rodríguez, YG; Calvo, SM; Martín, VR"/>
    <s v=""/>
    <s v=""/>
    <s v=""/>
    <s v="Garcia Rodriguez, Yolanda; Morales Calvo, Sonia; Rodriguez Martin, Vicenta"/>
    <s v=""/>
    <s v=""/>
    <s v="Approach to digital educational experiences in the face of the COVID-19 crisis in the university context with students of functional diversity"/>
    <s v="JOURNAL OF LEARNING STYLES"/>
    <s v=""/>
    <s v=""/>
    <s v="Spanish"/>
    <x v="0"/>
    <s v=""/>
    <s v=""/>
    <s v=""/>
    <s v=""/>
    <s v=""/>
    <s v="inclusion; disability; competences; accessibility"/>
    <s v="DISABILITIES"/>
    <s v="This work aims at displaying the importance of digital skills in the teaching and learning process that emerged in the light of new virtual spaces. Such new spaces, which have taken place at a different time and forced education systems to change, are those produced by the global health crisis of COVID-19. The experience was led by a group of students with intellectual disabilities in the university context, within the program Incluye Inserta para la Insercion Socio-Laboral taking place at the University of Castilla-La Mancha. The topic of the text orbits around the analysis of three fundamental axes, which in turn consolidate the right of accessibility in conditions of equality in virtual environments: active policies in defence of the right to inclusive education; digital competence; approach to experiences rendered. Thus, from a qualitative methodology perspective, a documentary review and a case study are presented to address the use of active methodologies and digital strategies in the educational process. Also, some positive and relevant results for the educational community are shown. Finally, study results are collected so that they might serve as new proposals for the improvement in the field of higher education to promote inclusion and attention to the functional diversity of students."/>
    <s v="[Garcia Rodriguez, Yolanda] Consejeria Educ Cultura &amp; Deporte, JCCM, Toledo, Spain; [Morales Calvo, Sonia; Rodriguez Martin, Vicenta] UCLM, Ciudad Real, Spain"/>
    <s v="Universidad de Castilla-La Mancha"/>
    <s v="Rodríguez, YG (corresponding author), Consejeria Educ Cultura &amp; Deporte, JCCM, Toledo, Spain."/>
    <s v="ygarciar@edu.jccm.es; sonia.morales@uclm.es; vicente.rodriguez@uclm.es"/>
    <s v=""/>
    <s v=""/>
    <s v=""/>
    <s v=""/>
    <s v=""/>
    <s v=""/>
    <n v="42"/>
    <n v="0"/>
    <n v="0"/>
    <n v="0"/>
    <n v="8"/>
    <s v="UTAH VALLEY UNIV"/>
    <s v="OREM"/>
    <s v="800 W UNIVERSITY PKWY, OREM, UT 84058 USA"/>
    <s v="2332-8533"/>
    <s v=""/>
    <s v=""/>
    <s v="J LEARN STYLES"/>
    <s v="J. Learn. Styles"/>
    <s v=""/>
    <n v="2020"/>
    <n v="13"/>
    <s v=""/>
    <s v=""/>
    <s v=""/>
    <s v="SI"/>
    <s v=""/>
    <n v="32"/>
    <n v="42"/>
    <s v=""/>
    <s v=""/>
    <s v=""/>
    <s v=""/>
    <s v=""/>
    <n v="11"/>
    <s v="Education &amp; Educational Research"/>
    <x v="3"/>
    <s v="Education &amp; Educational Research"/>
    <s v="VK7PT"/>
    <s v=""/>
    <s v=""/>
    <s v=""/>
    <s v=""/>
    <s v="2023-11-15"/>
    <x v="629"/>
    <s v="View Full Record in Web of Science"/>
  </r>
  <r>
    <s v="J"/>
    <s v="Gordon-Isasi, J; Cantin, LN; Martins, JJG"/>
    <s v=""/>
    <s v=""/>
    <s v=""/>
    <s v="Gordon-Isasi, Janire; Narvaiza Cantin, Lorea; Gibaja Martins, Juan Jose"/>
    <s v=""/>
    <s v=""/>
    <s v="INTEGRATED MARKETING COMMUNICATION (IMC) IN HIGHER EDUCATION (HE) IN PANDEMIC TIMES"/>
    <s v="REVISTA DE ESTUDIOS EMPRESARIALES-SEGUNDA EPOCA"/>
    <s v=""/>
    <s v=""/>
    <s v="Spanish"/>
    <x v="0"/>
    <s v=""/>
    <s v=""/>
    <s v=""/>
    <s v=""/>
    <s v=""/>
    <s v="integrated marketing communication (IMC); higher education marketing (HEM); higher education (HE); pandemic; service sector"/>
    <s v="BRAND EQUITY; STUDENTS; UNIVERSITY; MODEL; PERFORMANCE; QUALITY; IMAGE"/>
    <s v="The article presents the evolution of integrated marketing communication (IMC) from its beginnings towards a concept that, after adapting to the current marketing and communication ecosystem, includes digital strategies. It is intended to apply and adapt the IMC to the service sector and more specifically, to the higher education (HE) sector that has been scarcely studied to date. The current context also suggests taking into account the pandemic due to COVID-19 and the possible implications it has generated in the higher education marketing (HEM). The methodology followed has been a systematic literature review on IMC in HE. The conclusions of this research indicate that further research on IMC applied to the HE sector is required, since the benefits generated can be very interesting for the strategies carried out in the HEM. In turn, the originality of this manuscript resides in the fact that it is intended to show the current HEM scenario in the HE, in times of pandemic and under the umbrella of the IMC approach. It focuses on interactivity as a key dimension in IMC strategies and in the HE sector. Likewise, the relevance of interaction is emphasized in order to foster durable relationships with the audience under the impact of global issues such as COVID-19."/>
    <s v="[Gordon-Isasi, Janire; Narvaiza Cantin, Lorea; Gibaja Martins, Juan Jose] Univ Deusto, Bilbao, Spain"/>
    <s v="University of Deusto"/>
    <s v="Gordon-Isasi, J (corresponding author), Univ Deusto, Bilbao, Spain."/>
    <s v="janiregordon@deusto.es; lorea.narvaiza@deusto.es; jjgibaja@deusto.es"/>
    <s v="Narvaiza, Lorea/AAF-2102-2020"/>
    <s v="Narvaiza, Lorea/0000-0002-0805-4201"/>
    <s v=""/>
    <s v=""/>
    <s v=""/>
    <s v=""/>
    <n v="76"/>
    <n v="0"/>
    <n v="0"/>
    <n v="0"/>
    <n v="0"/>
    <s v="UNIV JAEN, SERV PUBLICACIONES"/>
    <s v="JAEN"/>
    <s v="CAMPUS LAGUNILLAS S-N, EDIFICIO BIBLIOTECA, 2A PLANTA, JAEN, 23071, SPAIN"/>
    <s v="0213-8964"/>
    <s v="1988-9046"/>
    <s v=""/>
    <s v="REV ESTUD EMPRESARIA"/>
    <s v="Rev. Estud. Empresariales-Segunda Epoca"/>
    <s v=""/>
    <n v="2020"/>
    <s v=""/>
    <n v="2"/>
    <s v=""/>
    <s v=""/>
    <s v=""/>
    <s v=""/>
    <n v="53"/>
    <n v="69"/>
    <s v=""/>
    <s v="10.17561/ree.v2020n2.4"/>
    <s v="http://dx.doi.org/10.17561/ree.v2020n2.4"/>
    <s v=""/>
    <s v=""/>
    <n v="17"/>
    <s v="Business"/>
    <x v="3"/>
    <s v="Business &amp; Economics"/>
    <s v="PJ5EA"/>
    <s v=""/>
    <s v="gold, Green Submitted"/>
    <s v=""/>
    <s v=""/>
    <s v="2023-11-15"/>
    <x v="630"/>
    <s v="View Full Record in Web of Science"/>
  </r>
  <r>
    <s v="J"/>
    <s v="Montereale, L; Ventura, L"/>
    <s v=""/>
    <s v=""/>
    <s v=""/>
    <s v="Montereale, Lia; Ventura, Leandro"/>
    <s v=""/>
    <s v=""/>
    <s v="MOLISE: A DIGITAL STRATEGY FOR THE DISSEMINATION OF THE CULTURAL HERITAGE OF THE REGION"/>
    <s v="ARCHEOMATICA-TECNOLOGIE PER I BENI CULTURALI"/>
    <s v=""/>
    <s v=""/>
    <s v="Italian"/>
    <x v="0"/>
    <s v=""/>
    <s v=""/>
    <s v=""/>
    <s v=""/>
    <s v=""/>
    <s v=""/>
    <s v=""/>
    <s v="This document is divided into four sections. The first section, the introduction, analyses the transformations that the cultural sector has been undergoing in recent years driven by the development of digital tools and accelerated by Covid-19. The second section describes the cultural heritage of Molise in terms of both its tangible and intangible components. The third section shows the digital strategy developed by the Regional Secretariat for Molise in order to spread the knowledge of the cultural heritage of Molise. Included is the description of the new website www.molise.beniculturali.it, of the nine interactive maps, of the digital comic book Once upon a time in Molise, of the video Molise Land of Wonders, and of a series of online books. The fourth section is dedicated to the conclusions which stress the way in which the projects discussed have contributed to the spread of Molise's cultural heritage and opened the way to further future transformations)."/>
    <s v="[Montereale, Lia] Segretariato Reg Mibact Molise, Promoz &amp; Comunicaz, Rome, Italy; [Ventura, Leandro] Reg Musei Molise, Campobasso, Italy"/>
    <s v=""/>
    <s v="Montereale, L (corresponding author), Segretariato Reg Mibact Molise, Promoz &amp; Comunicaz, Rome, Italy."/>
    <s v="lia.montereale@beniculturali.it; leandro.ventura@beniculturali.it"/>
    <s v=""/>
    <s v=""/>
    <s v=""/>
    <s v=""/>
    <s v=""/>
    <s v=""/>
    <n v="0"/>
    <n v="0"/>
    <n v="0"/>
    <n v="0"/>
    <n v="2"/>
    <s v="ARCHEOMATICA"/>
    <s v="ROME"/>
    <s v="VIA NOMENTANA 525, ROME, 00141, ITALY"/>
    <s v="2037-2485"/>
    <s v=""/>
    <s v=""/>
    <s v="ARCHEOMATICA"/>
    <s v="Archeomatica"/>
    <s v=""/>
    <n v="2020"/>
    <n v="11"/>
    <n v="2"/>
    <s v=""/>
    <s v=""/>
    <s v=""/>
    <s v=""/>
    <n v="14"/>
    <n v="17"/>
    <s v=""/>
    <s v=""/>
    <s v=""/>
    <s v=""/>
    <s v=""/>
    <n v="4"/>
    <s v="Humanities, Multidisciplinary"/>
    <x v="3"/>
    <s v="Arts &amp; Humanities - Other Topics"/>
    <s v="PG8PF"/>
    <s v=""/>
    <s v=""/>
    <s v=""/>
    <s v=""/>
    <s v="2023-11-15"/>
    <x v="631"/>
    <s v="View Full Record in Web of Science"/>
  </r>
  <r>
    <s v="J"/>
    <s v="Llanes, RP"/>
    <s v=""/>
    <s v=""/>
    <s v=""/>
    <s v="Perdigon Llanes, Rudibel"/>
    <s v=""/>
    <s v=""/>
    <s v="Digital strategy to strengthen the commercial management of Cuban agro livestock cooperatives"/>
    <s v="REVISTA COOPERATIVISMO Y DESARROLLO-COODES"/>
    <s v=""/>
    <s v=""/>
    <s v="English"/>
    <x v="0"/>
    <s v=""/>
    <s v=""/>
    <s v=""/>
    <s v=""/>
    <s v=""/>
    <s v="agricultural commercialization; digital marketing; electronic business; social networks"/>
    <s v=""/>
    <s v="Agro livestock cooperatives play a significant role in food production and distribution in Cuba. This study identified deficiencies related to the business management processes of these organizations that affect their economic performance. Although there are several studies aimed to improve the efficiency of the marketing and commercialization systems in Cuban cooperatives, there is a lack of studies related to the application of digital technologies in the commercial relations of these organizations. This research aims to strengthen the commercial management of Cuban agro livestock cooperatives by applying a digital strategy. Analytical-synthetic, historical-logical and modeling methods were used as scientific methods. The proposed strategy is based on the use of social trade through the social network Facebook. The implementation of this strategy will make it possible to expand marketing, market relations, technological innovation and competitiveness of Cuban agro livestock cooperatives."/>
    <s v="[Perdigon Llanes, Rudibel] Minist Agr, Empresa Comercializadora Frutas Selectas, Havana, Cuba"/>
    <s v=""/>
    <s v="Llanes, RP (corresponding author), Minist Agr, Empresa Comercializadora Frutas Selectas, Havana, Cuba."/>
    <s v="rperdigon90@gmail.com"/>
    <s v=""/>
    <s v=""/>
    <s v=""/>
    <s v=""/>
    <s v=""/>
    <s v=""/>
    <n v="20"/>
    <n v="0"/>
    <n v="0"/>
    <n v="1"/>
    <n v="8"/>
    <s v="UNIV PINAR RIO HERMANOS SAIZ MONTES OCA"/>
    <s v="PINA DEL RIO"/>
    <s v="CALLE MARTI NO 300 27 NOVIEMBRE &amp; GONZALEZ ALCORTA, PINA DEL RIO, CP 20100, CUBA"/>
    <s v="2310-340X"/>
    <s v=""/>
    <s v=""/>
    <s v="REV COOP DESARRO-COO"/>
    <s v="Rev. Coop. Desarro.-COODES"/>
    <s v="JAN-APR"/>
    <n v="2020"/>
    <n v="8"/>
    <n v="1"/>
    <s v=""/>
    <s v=""/>
    <s v=""/>
    <s v=""/>
    <n v="33"/>
    <n v="44"/>
    <s v=""/>
    <s v=""/>
    <s v=""/>
    <s v=""/>
    <s v=""/>
    <n v="12"/>
    <s v="Development Studies"/>
    <x v="3"/>
    <s v="Development Studies"/>
    <s v="LG6UJ"/>
    <s v=""/>
    <s v=""/>
    <s v=""/>
    <s v=""/>
    <s v="2023-11-15"/>
    <x v="632"/>
    <s v="View Full Record in Web of Science"/>
  </r>
  <r>
    <s v="J"/>
    <s v="Von Bülow, M; Dias, T"/>
    <s v=""/>
    <s v=""/>
    <s v=""/>
    <s v="Von Bulow, Marisa; Dias, Tayrine"/>
    <s v=""/>
    <s v=""/>
    <s v="Hashtag Activism for and against Dilma Rousseff's Impeachment"/>
    <s v="REVISTA CRITICA DE CIENCIAS SOCIAIS"/>
    <s v=""/>
    <s v=""/>
    <s v="Portuguese"/>
    <x v="0"/>
    <s v=""/>
    <s v=""/>
    <s v=""/>
    <s v=""/>
    <s v=""/>
    <s v="Brazil; digital activism; political history; political mobilization; social networks"/>
    <s v=""/>
    <s v="The impeachment of Brazilian President Dilma Rousseff was the result of a long and contentious process. Over the course of almost two years, Rousseff's allies and opposition took to the streets and to social media to try to influence the process. Actors' digital activism generated political networks based on hashtags in favor and against the President. This article analyses these networks, based on data from retweets that mentioned hashtags in favor and against the impeachment, on two days: March 13 and 18, 2016. The results show the hierarchical character of this process of message diffusion, which is concentrated in a small number of accounts. These networks, however, are part of a much more complex web of online and offline ties, which connect individuals as well as transnational groups, and which sought to influence the meanings of Rousseff's impeachment through different digital strategies."/>
    <s v="[Von Bulow, Marisa] Univ Brasilia, Inst Ciencia Polit, Predio IPOL IREL, Campus Darcy Ribeiro, BR-70904970 Brasilia, DF, Brazil; [Dias, Tayrine] Univ Oberta Catalunya, Internet Interdisciplinary Inst IN3, Av Carl Friedrich Gauss 5, Barcelona 08860, Spain"/>
    <s v="Universidade de Brasilia; UOC Universitat Oberta de Catalunya"/>
    <s v="Von Bülow, M (corresponding author), Univ Brasilia, Inst Ciencia Polit, Predio IPOL IREL, Campus Darcy Ribeiro, BR-70904970 Brasilia, DF, Brazil."/>
    <s v="marisavonbulow@gmail.com; tdias@uoc.edu"/>
    <s v=""/>
    <s v=""/>
    <s v=""/>
    <s v=""/>
    <s v=""/>
    <s v=""/>
    <n v="35"/>
    <n v="0"/>
    <n v="0"/>
    <n v="0"/>
    <n v="3"/>
    <s v="CENTRO ESTUDOS SOCIAIS, FAC ECONOMIA"/>
    <s v="COIMBRA"/>
    <s v="APTDO 3087, COIMBRA, 3001-401, PORTUGAL"/>
    <s v="0254-1106"/>
    <s v="2182-7435"/>
    <s v=""/>
    <s v="REV CRIT CIENC SOC"/>
    <s v="Rev. Crit. Cienc. Soc."/>
    <s v="DEC"/>
    <n v="2019"/>
    <s v=""/>
    <n v="120"/>
    <s v=""/>
    <s v=""/>
    <s v=""/>
    <s v=""/>
    <n v="5"/>
    <n v="31"/>
    <s v=""/>
    <s v="10.4000/rccs.9438"/>
    <s v="http://dx.doi.org/10.4000/rccs.9438"/>
    <s v=""/>
    <s v=""/>
    <n v="27"/>
    <s v="Social Sciences, Interdisciplinary"/>
    <x v="3"/>
    <s v="Social Sciences - Other Topics"/>
    <s v="KI5GE"/>
    <s v=""/>
    <s v="Green Published, gold"/>
    <s v=""/>
    <s v=""/>
    <s v="2023-11-15"/>
    <x v="633"/>
    <s v="View Full Record in Web of Science"/>
  </r>
  <r>
    <s v="J"/>
    <s v="Estrada, IC; Zavala, AMM"/>
    <s v=""/>
    <s v=""/>
    <s v=""/>
    <s v="Cruz Estrada, Isaac; Miranda Zavala, Ana Maria"/>
    <s v=""/>
    <s v=""/>
    <s v="Importance of the inclusion of strategies with digital social networks in restaurants of the gastronomic zone of Tijuana"/>
    <s v="PERIPLO SUSTENTABLE"/>
    <s v=""/>
    <s v=""/>
    <s v="Spanish"/>
    <x v="0"/>
    <s v=""/>
    <s v=""/>
    <s v=""/>
    <s v=""/>
    <s v=""/>
    <s v="Social networks; Strategy; Innovation; Restaurants; Gastronomic zone"/>
    <s v="TOURISM"/>
    <s v="The objective of the research is to analyze the importance of strategies with social networks, in the purchase decision of customers of restaurants in the gastronomic zone of Tijuana. The work begins with a literature review related to the use of social networks in organizations and their importance in Tourism. Three in-depth interviews were conducted with social network administrators, to learn about their experience in providing their services. Likewise, based on 95% confidence and 5% of admitted error, a sample of 378 surveys was obtained, which were applied to consumers of five restaurants in the gastronomic zone of Tijuana. The results indicate that Internet, is the main means of consultation to search for restaurant information, Facebook is the social network that stands out for this activity. A positive mean correlation was obtained among the dependent variables, which refer to the factors that increase the confidence and security for the use of social networks with the decision to purchase from consumers. In addition, the components that favor the use of social networks of organizations are the design of content and efficient interaction with users. It is important to implement the digital strategy in tourist organizations in this area, which allows consumers to know what stands out from the service, in order to become an element that contributes to the decision to purchase of people. In addition, it is necessary that the process has clear objectives and goals that correspond to the needs and resources of the business, which allows the loyalty of consumers and improve the management of customer relationships."/>
    <s v="[Cruz Estrada, Isaac] Univ Autonoma Baja California, FTM, CONACYT, Mexicali, Baja California, Mexico; [Miranda Zavala, Ana Maria] Univ Autonoma Baja California, FTM, Mexicali, Baja California, Mexico"/>
    <s v="Universidad Autonoma de Baja California; Universidad Autonoma de Baja California"/>
    <s v="Estrada, IC (corresponding author), Univ Autonoma Baja California, FTM, CONACYT, Mexicali, Baja California, Mexico."/>
    <s v="icruz@uabc.edu.mx"/>
    <s v=""/>
    <s v=""/>
    <s v=""/>
    <s v=""/>
    <s v=""/>
    <s v=""/>
    <n v="65"/>
    <n v="0"/>
    <n v="0"/>
    <n v="3"/>
    <n v="7"/>
    <s v="UNIV AUTONOMA ESTADO MEXICO, FAC TURISMO GASTRONOMIA"/>
    <s v="TOLUCA"/>
    <s v="INSTITUTO LITERARIO NO 100, TOLUCA, 50000, MEXICO"/>
    <s v="1870-9036"/>
    <s v=""/>
    <s v=""/>
    <s v="PERIPLO SUSTENTABLE"/>
    <s v="Periplo Sustentable"/>
    <s v="JUL-DEC"/>
    <n v="2019"/>
    <s v=""/>
    <n v="37"/>
    <s v=""/>
    <s v=""/>
    <s v=""/>
    <s v=""/>
    <n v="356"/>
    <n v="394"/>
    <s v=""/>
    <s v=""/>
    <s v=""/>
    <s v=""/>
    <s v=""/>
    <n v="39"/>
    <s v="Hospitality, Leisure, Sport &amp; Tourism"/>
    <x v="3"/>
    <s v="Social Sciences - Other Topics"/>
    <s v="KA6VE"/>
    <s v=""/>
    <s v=""/>
    <s v=""/>
    <s v=""/>
    <s v="2023-11-15"/>
    <x v="634"/>
    <s v="View Full Record in Web of Science"/>
  </r>
  <r>
    <s v="J"/>
    <s v="de Almeida, GGF; Rezende, DA"/>
    <s v=""/>
    <s v=""/>
    <s v=""/>
    <s v="Feijo de Almeida, Giovana Goretti; Rezende, Denis Alcides"/>
    <s v=""/>
    <s v=""/>
    <s v="Territorial brand as strategic resource in strategic digital city subprojects: case study of the city of Porto Alegre, RS, Brazil"/>
    <s v="CONEXAO-COMUNICACAO E CULTURA"/>
    <s v=""/>
    <s v=""/>
    <s v="Portuguese"/>
    <x v="0"/>
    <s v=""/>
    <s v=""/>
    <s v=""/>
    <s v=""/>
    <s v=""/>
    <s v="Branding; Communication; Territorial Brand; Strategic Digital City; Territoriality"/>
    <s v=""/>
    <s v="The territorial brands have a strategic framework that enables world visions of social actors, generating links between people and the territory. The objective is to analyze the territorial brand presence as a strategic resource in strategic digital city subprojects. The research methodology emphasizes a case study in Porto Alegre-RS, through a research protocol with 15 variables. The results obtained highlight the strategic presence variable research in the territorial brand and in strategic digital city subprojects. The conclusion reiterates that the territorial brand and the strategic digital city are contemporary urban instruments that can be taken as territorial assets that draw on interaction and communication arguments."/>
    <s v="[Feijo de Almeida, Giovana Goretti] PUCPR, Programa Posgrad Gestao Urbana, Curitiba, Parana, Brazil; [Feijo de Almeida, Giovana Goretti] Grp Pesquisa Cidade Digital Estrateg PPGTU PUCPR, Curitiba, Parana, Brazil; [Rezende, Denis Alcides] CNPq, Pesquisa, Brasilia, DF, Brazil"/>
    <s v="Pontificia Universidade Catolica do Parana"/>
    <s v="de Almeida, GGF (corresponding author), PUCPR, Programa Posgrad Gestao Urbana, Curitiba, Parana, Brazil.;de Almeida, GGF (corresponding author), Grp Pesquisa Cidade Digital Estrateg PPGTU PUCPR, Curitiba, Parana, Brazil."/>
    <s v="goretti.giovana@gmail.com; denis.rezende@pucpr.br"/>
    <s v="Almeida, Giovana Goretti Feijó de/I-2491-2016"/>
    <s v="Almeida, Giovana Goretti Feijó de/0000-0003-0956-1341"/>
    <s v=""/>
    <s v=""/>
    <s v=""/>
    <s v=""/>
    <n v="46"/>
    <n v="0"/>
    <n v="0"/>
    <n v="0"/>
    <n v="5"/>
    <s v="UNIV CAXIAS SUL, CENTRO CIENCIAS COMUNICACAO"/>
    <s v="CAXIAS DO SUL"/>
    <s v="RUA FRANCISCO GETULIO VARGAS, 1130, CAXIAS DO SUL, 95070-560, BRAZIL"/>
    <s v="1677-0943"/>
    <s v="2178-2687"/>
    <s v=""/>
    <s v="CONEXAO"/>
    <s v="Conexao"/>
    <s v="JUL-DEC"/>
    <n v="2019"/>
    <n v="18"/>
    <n v="36"/>
    <s v=""/>
    <s v=""/>
    <s v=""/>
    <s v=""/>
    <n v="15"/>
    <n v="35"/>
    <s v=""/>
    <s v="10.18226/21782687.v19.n36.01"/>
    <s v="http://dx.doi.org/10.18226/21782687.v19.n36.01"/>
    <s v=""/>
    <s v=""/>
    <n v="21"/>
    <s v="Communication"/>
    <x v="3"/>
    <s v="Communication"/>
    <s v="PH0LE"/>
    <s v=""/>
    <s v="gold"/>
    <s v=""/>
    <s v=""/>
    <s v="2023-11-15"/>
    <x v="635"/>
    <s v="View Full Record in Web of Science"/>
  </r>
  <r>
    <s v="J"/>
    <s v="Verdú, JL; Lluch, JS; Barchino, AT"/>
    <s v=""/>
    <s v=""/>
    <s v=""/>
    <s v="Llopis Verdu, Jorge; Serra Lluch, Juan; Torres Barchino, Ana"/>
    <s v=""/>
    <s v=""/>
    <s v="Digital diagrams and urban and territorial cartography. Contemporary schematic depictions of immateriality"/>
    <s v="DISEGNARECON"/>
    <s v=""/>
    <s v=""/>
    <s v="English"/>
    <x v="0"/>
    <s v=""/>
    <s v=""/>
    <s v=""/>
    <s v=""/>
    <s v=""/>
    <s v="Diagram; Digital; Cartography; Immateriality; MIT"/>
    <s v=""/>
    <s v="The use of diagrams is a graphic strategy, which, given the need to establish interpretative mechanisms that help us appreciate how a structure of such great formal complexity operates, has been used for some time to depict cities and whole territories. The advent of the digital graphic universe has led to an increase in the use of diagrams applied to their design and analysis. The new digital tools applied to cartography facilitate the graphical interpretation of activities carried out in the city or territory, to define representations of the uses and functions that occur there, transcending the formal representation to generate visual images that produce fresh, new insights into human activity. Said representations are obtained by managing massive quantities of data about human activity through techniques that have become known as Big Data, generating visual interpretations where the urban and territorial composition stops taking on an exclusively architectural form, but becomes instead a dynamic representation. It is a strategy that transcends the representation of architecture and space that used to constitute the basis of traditional cartography, and represents the uses that residents make of them, and can be applied at some very diverse scales, ranging from urban to territorial. There are a number of cartographic representation projects stemming from this type of digital strategy, and the Senseable City Lab project by MIT was chosen to examine both the potential and limitations of these types of strategies."/>
    <s v="[Llopis Verdu, Jorge; Serra Lluch, Juan; Torres Barchino, Ana] Univ Politecn Valencia, Architectural Graph Express Dept, Valencia, Spain"/>
    <s v="Universitat Politecnica de Valencia"/>
    <s v="Verdú, JL (corresponding author), Univ Politecn Valencia, Architectural Graph Express Dept, Valencia, Spain."/>
    <s v=""/>
    <s v="Serra, Juan/I-8761-2012"/>
    <s v="Serra, Juan/0000-0001-6171-1285"/>
    <s v=""/>
    <s v=""/>
    <s v=""/>
    <s v=""/>
    <n v="16"/>
    <n v="0"/>
    <n v="0"/>
    <n v="0"/>
    <n v="1"/>
    <s v="UNIV L AQUILA"/>
    <s v="L AQUILA"/>
    <s v="PALAZZO CAMPONESCHI, PIAZZA SANTA MARGHERITA 2, L AQUILA, ITALY"/>
    <s v="1828-5961"/>
    <s v=""/>
    <s v=""/>
    <s v="DISEGNARECON"/>
    <s v="Disegnarecon"/>
    <s v="JUN"/>
    <n v="2019"/>
    <n v="12"/>
    <n v="22"/>
    <s v=""/>
    <s v=""/>
    <s v=""/>
    <s v=""/>
    <s v=""/>
    <s v=""/>
    <s v=""/>
    <s v=""/>
    <s v=""/>
    <s v=""/>
    <s v=""/>
    <n v="18"/>
    <s v="Architecture"/>
    <x v="3"/>
    <s v="Architecture"/>
    <s v="VK7OV"/>
    <s v=""/>
    <s v=""/>
    <s v=""/>
    <s v=""/>
    <s v="2023-11-15"/>
    <x v="636"/>
    <s v="View Full Record in Web of Science"/>
  </r>
  <r>
    <s v="J"/>
    <s v="Schönermark, MP"/>
    <s v=""/>
    <s v=""/>
    <s v=""/>
    <s v="Schoenermark, Matthias P."/>
    <s v=""/>
    <s v=""/>
    <s v="Medical Data Management - Approach, Concepts, Strategic and Operative Implications"/>
    <s v="LARYNGO-RHINO-OTOLOGIE"/>
    <s v=""/>
    <s v=""/>
    <s v="German"/>
    <x v="0"/>
    <s v=""/>
    <s v=""/>
    <s v=""/>
    <s v=""/>
    <s v=""/>
    <s v="Electronic Health Record; Digital Strategy; Digital Transformation; Electronic Medical Record; EHR; Hospital"/>
    <s v="ELECTRONIC HEALTH RECORD; PATIENT-CENTERED COMMUNICATION; DECISION-SUPPORT-SYSTEMS; COST-EFFECTIVENESS; INFORMATION-TECHNOLOGY; CARE; PHYSICIANS; TIME; IMPLEMENTATION; EXPERIENCES"/>
    <s v="The collection, analysis and management of clinical data with electronic applications has already widely been used. The digitalization of medical records is expected to bear significant potentials for the increase of clinical efficiency and effectiveness. This has led to numerous legal initiatives by policymakers and healthcare systems in many countries to secure the spatially inclusive and comprehensive establishment of electronic health records in preferably all medical entities. The following article describes the principles of electronic medical data management and exemplifies the different approaches which are followed internationally. Further-more, it discusses how medical data management systems create value in terms of higher clinical quality or lower treatment and administrative costs. And finally, the strategic and operative implications are deducted and concrete opportunities for action are described how the introduction of electronic health records may be optimally structured."/>
    <s v="[Schoenermark, Matthias P.] SKC Beratungsgesell mbH, Pelikanplatz 21, D-30177 Hannover, Germany"/>
    <s v=""/>
    <s v="Schönermark, MP (corresponding author), SKC Beratungsgesell mbH, Pelikanplatz 21, D-30177 Hannover, Germany."/>
    <s v=""/>
    <s v=""/>
    <s v=""/>
    <s v=""/>
    <s v=""/>
    <s v=""/>
    <s v=""/>
    <n v="151"/>
    <n v="0"/>
    <n v="0"/>
    <n v="1"/>
    <n v="15"/>
    <s v="GEORG THIEME VERLAG KG"/>
    <s v="STUTTGART"/>
    <s v="RUDIGERSTR 14, D-70469 STUTTGART, GERMANY"/>
    <s v="0935-8943"/>
    <s v="1438-8685"/>
    <s v=""/>
    <s v="LARYNGO RHINO OTOL"/>
    <s v="Laryngo-Rhino-Otol."/>
    <s v="MAR"/>
    <n v="2019"/>
    <n v="98"/>
    <s v=""/>
    <s v=""/>
    <n v="1"/>
    <s v=""/>
    <s v=""/>
    <s v="S220"/>
    <s v="S236"/>
    <s v=""/>
    <s v="10.1055/a-0755-2688"/>
    <s v="http://dx.doi.org/10.1055/a-0755-2688"/>
    <s v=""/>
    <s v=""/>
    <n v="17"/>
    <s v="Otorhinolaryngology"/>
    <x v="1"/>
    <s v="Otorhinolaryngology"/>
    <s v="IA3YE"/>
    <n v="31096300"/>
    <s v="hybrid"/>
    <s v=""/>
    <s v=""/>
    <s v="2023-11-15"/>
    <x v="637"/>
    <s v="View Full Record in Web of Science"/>
  </r>
  <r>
    <s v="J"/>
    <s v="Azarova, AA; Tkachuk, LN; Kaplun, IS"/>
    <s v=""/>
    <s v=""/>
    <s v=""/>
    <s v="Azarova, Angelika A.; Tkachuk, Lyudmila N.; Kaplun, Irina S."/>
    <s v=""/>
    <s v=""/>
    <s v="y COMPLEX TARGET PROGRAM AS A TOOL TO STIMULATE REGIONAL DEVELOPMENT"/>
    <s v="VOPROSY GOSUDARSTVENNOGO I MUNITSIPALNOGO UPRAVLENIYA-PUBLIC ADMINISTRATION ISSUES"/>
    <s v=""/>
    <s v=""/>
    <s v="Russian"/>
    <x v="0"/>
    <s v=""/>
    <s v=""/>
    <s v=""/>
    <s v=""/>
    <s v=""/>
    <s v="complex target program; regional governance; regional development; distribution of financial resources; IT technology"/>
    <s v=""/>
    <s v="The article focuses on the development of a new conceptual approach to public management of regional development through constructing and implementing an appropriate automated complex goal program (CGP). The purpose of the article is to justify a new approach to public management of regional development in the context of deepening European integration processes. The current study exploits the method of goal assessment of alternatives for building a hierarchy of goals for the complex goal program of regional development public management. The investigation is based on the analysis of legislative acts of Ukraine, European strategies Digital Agenda of Europe, Europe 2020: a strategy of reasonable, sustainable and comprehensive growth, development strategies of various regions of Ukraine, presented on their websites; expert data processed in the CGP; socio-statistical base of economic advantages development of various regions of Ukraine. Having carried out the analysis, the authors identified the advantages and disadvantages of various theories of regional development management; justified the concept of regional development by designing an automated complex goal program; defined the set of optimal projects that contribute to the improvement of regional development with the help of proposed CGP. Developed CGP allows allocating limited financial resources rationally to optimum projects. Automation of the CGP was done with modern IT technologies such as the decision support system Solon-2. The research results can be applied in the regions that need to optimize the system of public management of regional development. The results of the study might enhance the distribution of limited financial resources between identified priority projects and their sub-goals which can significantly improve the process of public administration of the region."/>
    <s v="[Azarova, Angelika A.] Vinnitsa Natl Tech Univ, Dept Management &amp; Informat Secur, Res &amp; Int Cooperat, 95 St Khmelnitskoe Shosse, UA-21021 Vinnitsa, Ukraine; [Tkachuk, Lyudmila N.] Vinnitsa Natl Tech Univ, Acad &amp; Methodol Work, Dept Management &amp; Informat Secur, Vinnitsa, Ukraine; [Kaplun, Irina S.] Vinnitsa Natl Tech Univ, Fac Management &amp; Informat Secur, Vinnitsa, Ukraine"/>
    <s v="Ministry of Education &amp; Science of Ukraine; Vinnytsia National Technical University; Ministry of Education &amp; Science of Ukraine; Vinnytsia National Technical University; Ministry of Education &amp; Science of Ukraine; Vinnytsia National Technical University"/>
    <s v="Azarova, AA (corresponding author), Vinnitsa Natl Tech Univ, Dept Management &amp; Informat Secur, Res &amp; Int Cooperat, 95 St Khmelnitskoe Shosse, UA-21021 Vinnitsa, Ukraine."/>
    <s v="azarova.angelika@gmail.com; ludatkachuk2017@gmail.com; kaplun.irka@gmail.com"/>
    <s v=""/>
    <s v=""/>
    <s v=""/>
    <s v=""/>
    <s v=""/>
    <s v=""/>
    <n v="14"/>
    <n v="0"/>
    <n v="0"/>
    <n v="1"/>
    <n v="2"/>
    <s v="NATL RES UNIV HIGHER SCH ECONOMICS"/>
    <s v="MOSCOW"/>
    <s v="MYASNITSKAYA 20, MOSCOW, 101000, RUSSIA"/>
    <s v="1999-5431"/>
    <s v=""/>
    <s v=""/>
    <s v="VOPR GOS MUNITSIPALN"/>
    <s v="Vopr. Gos. Munitsipalnogo Upravl."/>
    <s v=""/>
    <n v="2019"/>
    <s v=""/>
    <n v="4"/>
    <s v=""/>
    <s v=""/>
    <s v=""/>
    <s v=""/>
    <n v="87"/>
    <n v="112"/>
    <s v=""/>
    <s v=""/>
    <s v=""/>
    <s v=""/>
    <s v=""/>
    <n v="26"/>
    <s v="Public Administration"/>
    <x v="3"/>
    <s v="Public Administration"/>
    <s v="NE9OR"/>
    <s v=""/>
    <s v=""/>
    <s v=""/>
    <s v=""/>
    <s v="2023-11-15"/>
    <x v="638"/>
    <s v="View Full Record in Web of Science"/>
  </r>
  <r>
    <s v="B"/>
    <s v="Kerres, M; Waffner, B"/>
    <s v=""/>
    <s v="Reardon, RM; Leonard, J"/>
    <s v=""/>
    <s v="Kerres, Michael; Waffner, Bettina"/>
    <s v=""/>
    <s v=""/>
    <s v="DIGITAL SCHOOL NETWORKS Technology Integration as a Joint Research and Development Effort"/>
    <s v="INTEGRATING DIGITAL TECHNOLOGY IN EDUCATION: SCHOOL-UNIVERSITY-COMMUNITY COLLABORATION"/>
    <s v="Current Perspectives on School-University-Community Research"/>
    <s v=""/>
    <s v="English"/>
    <x v="1"/>
    <s v=""/>
    <s v=""/>
    <s v=""/>
    <s v=""/>
    <s v=""/>
    <s v=""/>
    <s v="EDUCATION"/>
    <s v="Schools are increasingly challenged to develop a digital strategy. For some time, digital technology in classrooms has been a topic only for few teachers but, increasingly, it is perceived as a strategic issue for schools that impacts the organization more deeply. The topic not only relates to the deployment of technology and infrastructure and the training of teachers; schools must also address the consequences and potential of technology for curriculum reform and new instructional methods, which hints at a larger project of school development."/>
    <s v="[Kerres, Michael; Waffner, Bettina] Univ Duisburg Essen, Duisburg, Germany"/>
    <s v="University of Duisburg Essen"/>
    <s v="Kerres, M (corresponding author), Univ Duisburg Essen, Duisburg, Germany."/>
    <s v=""/>
    <s v=""/>
    <s v=""/>
    <s v=""/>
    <s v=""/>
    <s v=""/>
    <s v=""/>
    <n v="28"/>
    <n v="0"/>
    <n v="0"/>
    <n v="0"/>
    <n v="1"/>
    <s v="INFORMATION AGE PUBLISHING-IAP"/>
    <s v="CHARLOTTE"/>
    <s v="PO BOX 79049, CHARLOTTE, NC 28271-7047 USA"/>
    <s v=""/>
    <s v=""/>
    <s v="978-1-64113-670-9; 978-1-64113-671-6"/>
    <s v="CURR PERSP SCH-UNIV"/>
    <s v=""/>
    <s v=""/>
    <n v="2019"/>
    <s v=""/>
    <s v=""/>
    <s v=""/>
    <s v=""/>
    <s v=""/>
    <s v=""/>
    <n v="227"/>
    <n v="241"/>
    <s v=""/>
    <s v=""/>
    <s v=""/>
    <s v=""/>
    <s v=""/>
    <n v="15"/>
    <s v="Education &amp; Educational Research"/>
    <x v="4"/>
    <s v="Education &amp; Educational Research"/>
    <s v="BO2FB"/>
    <s v=""/>
    <s v=""/>
    <s v=""/>
    <s v=""/>
    <s v="2023-11-15"/>
    <x v="639"/>
    <s v="View Full Record in Web of Science"/>
  </r>
  <r>
    <s v="J"/>
    <s v="Mal'ko, AV; Soldatkina, OL"/>
    <s v=""/>
    <s v=""/>
    <s v=""/>
    <s v="Mal'ko, Aleksandr V.; Soldatkina, Oksana L."/>
    <s v=""/>
    <s v=""/>
    <s v="LEGAL ASPECTS OF INFORMATION POLICY IN THE MODERN SOCIETY: A COMPARATIVE ANALYSIS"/>
    <s v="SRAVNITELNAYA POLITIKA-COMPARATIVE POLITICS"/>
    <s v=""/>
    <s v=""/>
    <s v="Russian"/>
    <x v="0"/>
    <s v=""/>
    <s v=""/>
    <s v=""/>
    <s v=""/>
    <s v=""/>
    <s v="Information-legal policy; information security; Government as Platform; US International Strategy for Cyberspace; Basic Law of the Federal Republic of Germany; Cyber Cybersecurity Law of China; Digital Strategy of Great Britain"/>
    <s v=""/>
    <s v="The article contains a comparative analysis of the main directions of the information policy of different states in three areas: information rights and freedoms, e-government and information security. Such a comparison is an actual character because the problems of information law are often global. and the legal regulation of information relations has an international component. Based on the results of the comparison of national legislations of different countries conducted in the article on certain issues of the information law, the following conclusions are made. Realization of the basic rights and freedoms of citizens in the information sphere occupies a special place among the national interests of most countries, but the rights of the individual can be limited. Legal restrictions in the information field are considered on the example of comparison of methods of content management of the global network, which are characterized by the state's definition of the level of interference in the network life of citizens and methods of ensuring intervention. Electronic governance in various states is characterized by a transition from the concept of e-government to the digital government model associated with the transformation of the entire structure of public administration. In this field, the UK experience is valuable, where the Government as a platform project is being implemented, and Germany. where the construction of e-government basically began with the enhancement of the information culture of citizens and civil servants. Information security today comes out on top in the majority of countries and international organizations. In general, information security trends in all countries are similar, which is reflected in the Russian strategic documents."/>
    <s v="[Mal'ko, Aleksandr V.] Russian Acad Sci, Inst State &amp; Law, Saratov Branch, Saratov, Russia; [Soldatkina, Oksana L.] Russian Acad Sci, Inst State &amp; Law, Saratov Branch, Saratov State Law Acad, Saratov, Russia"/>
    <s v="Russian Academy of Sciences; Saratov Scientific Center of the Russian Academy of Sciences; Russian Academy of Sciences; Saratov Scientific Center of the Russian Academy of Sciences"/>
    <s v="Mal'ko, AV (corresponding author), Russian Acad Sci, Inst State &amp; Law, Saratov Branch, Saratov, Russia."/>
    <s v="i_gp@ssla.ru; buzum@mail.ru"/>
    <s v="Солдаткина, Оксана/AAI-8094-2021"/>
    <s v=""/>
    <s v=""/>
    <s v=""/>
    <s v=""/>
    <s v=""/>
    <n v="8"/>
    <n v="0"/>
    <n v="0"/>
    <n v="0"/>
    <n v="17"/>
    <s v="PUBLISHING HOUSE JURIST"/>
    <s v="MOSCOW"/>
    <s v="26-55, BLDG 7 KOSMODAMIANSKAYA EMB, MOSCOW, 115035, RUSSIA"/>
    <s v="2221-3279"/>
    <s v="2412-4990"/>
    <s v=""/>
    <s v="SRAVN POLIT"/>
    <s v="Sravn. Polit."/>
    <s v=""/>
    <n v="2019"/>
    <n v="10"/>
    <n v="1"/>
    <s v=""/>
    <s v=""/>
    <s v=""/>
    <s v=""/>
    <n v="42"/>
    <n v="58"/>
    <s v=""/>
    <s v="10.24411/2221-3279-2019-10003"/>
    <s v="http://dx.doi.org/10.24411/2221-3279-2019-10003"/>
    <s v=""/>
    <s v=""/>
    <n v="17"/>
    <s v="Political Science"/>
    <x v="3"/>
    <s v="Government &amp; Law"/>
    <s v="HF6JP"/>
    <s v=""/>
    <s v=""/>
    <s v=""/>
    <s v=""/>
    <s v="2023-11-15"/>
    <x v="640"/>
    <s v="View Full Record in Web of Science"/>
  </r>
  <r>
    <s v="S"/>
    <s v="Siefring, J"/>
    <s v=""/>
    <s v="Giannini, T; Bowen, JP"/>
    <s v=""/>
    <s v="Siefring, Judith"/>
    <s v=""/>
    <s v=""/>
    <s v="Democratizing Discovery: The Impact of Digital Culture on the Research Library"/>
    <s v="MUSEUMS AND DIGITAL CULTURE: NEW PERSPECTIVES AND RESEARCH"/>
    <s v="Springer Series on Cultural Computing"/>
    <s v=""/>
    <s v="English"/>
    <x v="1"/>
    <s v=""/>
    <s v=""/>
    <s v=""/>
    <s v=""/>
    <s v=""/>
    <s v=""/>
    <s v=""/>
    <s v="This chapter will consider the changing nature of the work of research libraries such as the Bodleian Libraries in response to the digital shift, and the requirement to refresh, extend, and enhance our skills beyond traditional librarianship. It will consider the importance of an integrated approach to physical and digital collections and curation, and the key importance of collaboration for future digital development. The Bodleian Libraries form part of the GLAM (Gardens, Libraries, and Museums) division of the University of Oxford, and we are encouraged to work collaboratively with our museum colleagues to meet the challenge of engaging the public with our world-class collections while at the same time serving our 'traditional' constituency of researchers and scholars of the University. This changing focus has required the Bodleian Libraries to reassess user needs and audience expectations as part of our digital strategy, and feeds into our thinking on search and discovery, metadata management, digitization, preservation, and many other areas."/>
    <s v="[Siefring, Judith] Univ Oxford, Bodleian Lib, Oxford, England"/>
    <s v="University of Oxford"/>
    <s v="Siefring, J (corresponding author), Univ Oxford, Bodleian Lib, Oxford, England."/>
    <s v="judith.siefring@bodleian.ox.ac.uk"/>
    <s v=""/>
    <s v=""/>
    <s v=""/>
    <s v=""/>
    <s v=""/>
    <s v=""/>
    <n v="13"/>
    <n v="0"/>
    <n v="0"/>
    <n v="0"/>
    <n v="4"/>
    <s v="SPRINGER INTERNATIONAL PUBLISHING AG"/>
    <s v="CHAM"/>
    <s v="GEWERBESTRASSE 11, CHAM, CH-6330, SWITZERLAND"/>
    <s v="2195-9056"/>
    <s v=""/>
    <s v="978-3-319-97457-6; 978-3-319-97456-9"/>
    <s v="SPR SER CULT COMPUT"/>
    <s v=""/>
    <s v=""/>
    <n v="2019"/>
    <s v=""/>
    <s v=""/>
    <s v=""/>
    <s v=""/>
    <s v=""/>
    <s v=""/>
    <n v="491"/>
    <n v="506"/>
    <s v=""/>
    <s v="10.1007/978-3-319-97457-6_25"/>
    <s v="http://dx.doi.org/10.1007/978-3-319-97457-6_25"/>
    <s v="10.1007/978-3-319-97457-6"/>
    <s v=""/>
    <n v="16"/>
    <s v="Art; Humanities, Multidisciplinary; Computer Science, Interdisciplinary Applications; Information Science &amp; Library Science"/>
    <x v="10"/>
    <s v="Art; Arts &amp; Humanities - Other Topics; Computer Science; Information Science &amp; Library Science"/>
    <s v="BN6RD"/>
    <s v=""/>
    <s v=""/>
    <s v=""/>
    <s v=""/>
    <s v="2023-11-15"/>
    <x v="641"/>
    <s v="View Full Record in Web of Science"/>
  </r>
  <r>
    <s v="J"/>
    <s v="Castellano, CM; Folch, CS"/>
    <s v=""/>
    <s v=""/>
    <s v=""/>
    <s v="Martorell Castellano, Cristina; Serra Folch, Carolina"/>
    <s v=""/>
    <s v=""/>
    <s v="The use of netnography as a research method to analyze online brand communities: the case of Estrella Damm"/>
    <s v="COMUNICACIO-REVISTA DE RECERCA I D ANALISI"/>
    <s v=""/>
    <s v=""/>
    <s v="Catalan"/>
    <x v="0"/>
    <s v=""/>
    <s v=""/>
    <s v=""/>
    <s v=""/>
    <s v=""/>
    <s v="online community; brand; netnography; methodology; social network; Facebook"/>
    <s v=""/>
    <s v="This paper introduces a research technique, netnography, that can be used to analyze online brand communities. We will describe how It works, its limitations and some ethical considerations, and we will propose a functional model for analyzing online brand communities that we will later apply to the analysis of the Estrella Damm community on Facebook at two specific moments, June 2012 and May 2017, in order to observe Its evolution. The results obtained show that, In the last five years, the brand has revised and Improved its digital strategy, as we have noticed a clear commitment to create original content for Its digital profiles and a proactive attitude with Its fans: i.e. joining their conversations. These were aspects which were not observed in the analysis carried out In 2012."/>
    <s v="[Martorell Castellano, Cristina] UIC, Fac Ciencies Comunicacio, Barcelona, Spain; [Serra Folch, Carolina] UIC, Fac Ciencies Comunicacio, Publicitat &amp; Relac Publ, Barcelona, Spain"/>
    <s v="Universitat Internacional de Catalunya (UIC); Universitat Internacional de Catalunya (UIC)"/>
    <s v="Castellano, CM (corresponding author), Carrer Immaculada 22, E-08017 Barcelona, Spain."/>
    <s v="cmartorell@uic.es; cserra@uic.es"/>
    <s v="serra folch, carolina/ABF-8255-2021; Martorell Castellano, Cristina/ABF-6028-2021"/>
    <s v="Martorell Castellano, Cristina/0000-0001-6403-3387"/>
    <s v=""/>
    <s v=""/>
    <s v=""/>
    <s v=""/>
    <n v="25"/>
    <n v="0"/>
    <n v="0"/>
    <n v="0"/>
    <n v="9"/>
    <s v="SOC CATALANA COMUNICACIO"/>
    <s v="BARCELONA"/>
    <s v="CARRER DEL CARME 47, BARCELONA, 08001, SPAIN"/>
    <s v="2014-0304"/>
    <s v="2014-0444"/>
    <s v=""/>
    <s v="COMUNICACIO"/>
    <s v="Comunicacio"/>
    <s v="NOV"/>
    <n v="2018"/>
    <n v="35"/>
    <n v="2"/>
    <s v=""/>
    <s v=""/>
    <s v=""/>
    <s v=""/>
    <n v="67"/>
    <n v="82"/>
    <s v=""/>
    <s v="10.2436/20.3008.01.173"/>
    <s v="http://dx.doi.org/10.2436/20.3008.01.173"/>
    <s v=""/>
    <s v=""/>
    <n v="16"/>
    <s v="Communication"/>
    <x v="3"/>
    <s v="Communication"/>
    <s v="HC5WC"/>
    <s v=""/>
    <s v=""/>
    <s v=""/>
    <s v=""/>
    <s v="2023-11-15"/>
    <x v="642"/>
    <s v="View Full Record in Web of Science"/>
  </r>
  <r>
    <s v="B"/>
    <s v="Fink, RL; Reinhart, TA; Steele, A"/>
    <s v=""/>
    <s v="Cadou, CB"/>
    <s v=""/>
    <s v="Fink, Robert L.; Reinhart, Thomas A.; Steele, Alyson"/>
    <s v=""/>
    <s v=""/>
    <s v="Mount Vernon's Historic Building Information Management System Digital Strategies for Preservation in the Twenty-First Century"/>
    <s v="STEWARDS OF MEMORY: THE PAST, PRESENT, AND FUTURE OF HISTORIC PRESERVATION AT GEORGE WASHINGTON'S MOUNT VERNON"/>
    <s v=""/>
    <s v=""/>
    <s v="English"/>
    <x v="1"/>
    <s v=""/>
    <s v=""/>
    <s v=""/>
    <s v=""/>
    <s v=""/>
    <s v=""/>
    <s v=""/>
    <s v=""/>
    <s v="[Fink, Robert L.] Quinn Evans Architects, Washington, DC 20037 USA; [Reinhart, Thomas A.] Maryland Hist Trust, Architectural Res, Crownsville, MD USA; [Steele, Alyson] Quinn Evans Architects, Washington, DC USA"/>
    <s v=""/>
    <s v="Fink, RL (corresponding author), Quinn Evans Architects, Washington, DC 20037 USA."/>
    <s v=""/>
    <s v=""/>
    <s v=""/>
    <s v=""/>
    <s v=""/>
    <s v=""/>
    <s v=""/>
    <n v="8"/>
    <n v="0"/>
    <n v="0"/>
    <n v="0"/>
    <n v="0"/>
    <s v="UNIV PRESS VIRGINIA"/>
    <s v="CHARLOTTESVILLE"/>
    <s v="P O BOX 400318,, CHARLOTTESVILLE, VA 22904-4318 USA"/>
    <s v=""/>
    <s v=""/>
    <s v="978-0-8139-4153-0; 978-0-8139-4151-6"/>
    <s v=""/>
    <s v=""/>
    <s v=""/>
    <n v="2018"/>
    <s v=""/>
    <s v=""/>
    <s v=""/>
    <s v=""/>
    <s v=""/>
    <s v=""/>
    <n v="92"/>
    <n v="120"/>
    <s v=""/>
    <s v=""/>
    <s v=""/>
    <s v=""/>
    <s v=""/>
    <n v="29"/>
    <s v="Architecture; Art; History"/>
    <x v="4"/>
    <s v="Architecture; Art; History"/>
    <s v="BO3QS"/>
    <s v=""/>
    <s v=""/>
    <s v=""/>
    <s v=""/>
    <s v="2023-11-15"/>
    <x v="643"/>
    <s v="View Full Record in Web of Science"/>
  </r>
  <r>
    <s v="J"/>
    <s v="Rezende, DA; Procopiuck, M"/>
    <s v=""/>
    <s v=""/>
    <s v=""/>
    <s v="Rezende, Denis Alcides; Procopiuck, Mario"/>
    <s v=""/>
    <s v=""/>
    <s v="Strategic Digital City Project as Public Policy: the case of Chicago, USA"/>
    <s v="REVISTA TECNOLOGIA E SOCIEDADE"/>
    <s v=""/>
    <s v=""/>
    <s v="Portuguese"/>
    <x v="0"/>
    <s v=""/>
    <s v=""/>
    <s v=""/>
    <s v=""/>
    <s v=""/>
    <s v="Public Policy; Strategic Digital City; Strategic Technological Project; Public Administration; Citizen Participation"/>
    <s v="CITIES; TECHNOLOGY; FUTURE"/>
    <s v="Digital city projects can be considered as public policy with different approaches to public administration when they formalize strategies in cities as a premise to strengthen public management processes, citizenship and the development potential of society in general, through planning, structuring, saving and making available information and public services. The objective is to analyze the Chicago - USA strategic digital city project as a public policy and to contextualize it in the face of initiatives that take place in the Brazilian federal, state and municipal spheres. The research methodology emphasizes a case study constructed on the basis of qualitative information and analysis. The results indicate that Chicago has developed a strategic technological project as a public policy and that, conceptually, there is an approximation of the intentionalities expressed in Brazilian public policies. The conclusion reiterates the importance of adopting strategies in cities as a basis for designing comprehensive technological projects to increase the effectiveness of public management, increase social participation and citizens' quality life and contribute to municipal public policy."/>
    <s v="[Rezende, Denis Alcides; Procopiuck, Mario] Pontificia Univ Catolica Parana, Curitiba, Parana, Brazil"/>
    <s v="Pontificia Universidade Catolica do Parana"/>
    <s v="Rezende, DA (corresponding author), Pontificia Univ Catolica Parana, Curitiba, Parana, Brazil."/>
    <s v="denis.rezende@pucpr.br; mario.p@pucpr.br"/>
    <s v="Prokopiuk, Mario/E-1127-2014"/>
    <s v="Prokopiuk, Mario/0000-0002-7346-1938"/>
    <s v=""/>
    <s v=""/>
    <s v=""/>
    <s v=""/>
    <n v="74"/>
    <n v="0"/>
    <n v="0"/>
    <n v="2"/>
    <n v="2"/>
    <s v="UNIV TECNOLOGICA FED PARANA-UTFPR"/>
    <s v="CURITIBA"/>
    <s v="AV SETE SETEMBRO 3165, REBOUCAS, CURITIBA, PR 80230-901, BRAZIL"/>
    <s v="1809-0044"/>
    <s v="1984-3526"/>
    <s v=""/>
    <s v="REV TECNOL SOC"/>
    <s v="REV. TECNOL. SOC."/>
    <s v=""/>
    <n v="2018"/>
    <n v="14"/>
    <n v="33"/>
    <s v=""/>
    <s v=""/>
    <s v=""/>
    <s v=""/>
    <s v=""/>
    <s v=""/>
    <s v=""/>
    <s v=""/>
    <s v=""/>
    <s v=""/>
    <s v=""/>
    <n v="24"/>
    <s v="Social Sciences, Interdisciplinary"/>
    <x v="3"/>
    <s v="Social Sciences - Other Topics"/>
    <s v="GM0XO"/>
    <s v=""/>
    <s v=""/>
    <s v=""/>
    <s v=""/>
    <s v="2023-11-15"/>
    <x v="644"/>
    <s v="View Full Record in Web of Science"/>
  </r>
  <r>
    <s v="S"/>
    <s v="von Kutzschenbach, M; Schmid, A; Schoenenberger, L"/>
    <s v=""/>
    <s v="Dornberger, R"/>
    <s v=""/>
    <s v="von Kutzschenbach, Michael; Schmid, Alexander; Schoenenberger, Lukas"/>
    <s v=""/>
    <s v=""/>
    <s v="Using Feedback Systems Thinking to Explore Theories of Digital Business for Medtech Companies"/>
    <s v="BUSINESS INFORMATION SYSTEMS AND TECHNOLOGY 4.0: NEW TRENDS IN THE AGE OF DIGITAL CHANGE"/>
    <s v="Studies in Systems Decision and Control"/>
    <s v=""/>
    <s v="English"/>
    <x v="1"/>
    <s v=""/>
    <s v=""/>
    <s v=""/>
    <s v=""/>
    <s v=""/>
    <s v="Digital transformation; Systems thinking; Systems archetypes Business model; Theory of business; Digital service strategy; Platform business; Healthcare; Medtech"/>
    <s v="DYNAMICS"/>
    <s v="The rapid innovation of digital technologies poses a significant challenge to the healthcare sector. Digital technologies are transforming stakeholder relationships among established industry actors, including those of manufacturers, hospitals, and patients. To be ahead of competitors and to maintain profitability, medical device technology manufacturers (medtech companies) are urged to shift their business focus from product to customer excellence and thus invest in service offerings, focusing on the costs of alternative value delivery and patient outcomes. Such investments require a systemic and holistic understanding of how these changes in strategy affect the external and internal competitive environment. In this chapter, we propose the use of feedback systems thinking to explore the intended and unintended consequences of shifts in strategy, from sequential value chains to platform-oriented thinking. Taking the perspective of a medtech company in the value chain, we highlight challenges arising from hidden limits to growth that prevent the realization of intended achievements. Based on this, we develop hypotheses for the intended and unintended consequences of investing in digital service offerings. We conclude with a discussion of how systems thinking and modeling can support digital strategy development."/>
    <s v="[von Kutzschenbach, Michael] Univ Appl Sci &amp; Arts Northwestern Switzerland, Inst Informat Syst, Peter Merian Str 86, CH-4052 Basel, Switzerland; [Schmid, Alexander] Univ Liechtenstein, Inst Informat Syst, Furst Franz Josef Str, FL-9490 Vaduz, Liechtenstein; [Schoenenberger, Lukas] Bern Univ Appl Sci, Inst Corp Dev, Dept Business Hlth &amp; Social Work, Bruckenstr 73, CH-3005 Bern, Switzerland"/>
    <s v="FHNW University of Applied Sciences &amp; Arts Northwestern Switzerland; University of Liechtenstein"/>
    <s v="von Kutzschenbach, M (corresponding author), Univ Appl Sci &amp; Arts Northwestern Switzerland, Inst Informat Syst, Peter Merian Str 86, CH-4052 Basel, Switzerland."/>
    <s v="michael.vonkutzschenbach@fhnw.ch; alexander.schmid@uni.li; lukas.schoenenberger@bfh.ch"/>
    <s v="Schmid, Alexander/R-1749-2019; von Kutzschenbach, Michael/AAH-3060-2020"/>
    <s v="Schmid, Alexander/0000-0001-6872-7140; von Kutzschenbach, Michael/0000-0002-1174-8378"/>
    <s v=""/>
    <s v=""/>
    <s v=""/>
    <s v=""/>
    <n v="37"/>
    <n v="0"/>
    <n v="0"/>
    <n v="0"/>
    <n v="4"/>
    <s v="SPRINGER INTERNATIONAL PUBLISHING AG"/>
    <s v="CHAM"/>
    <s v="GEWERBESTRASSE 11, CHAM, CH-6330, SWITZERLAND"/>
    <s v="2198-4182"/>
    <s v="2198-4190"/>
    <s v="978-3-319-74322-6; 978-3-319-74321-9"/>
    <s v="STUD SYST DECIS CONT"/>
    <s v=""/>
    <s v=""/>
    <n v="2018"/>
    <n v="141"/>
    <s v=""/>
    <s v=""/>
    <s v=""/>
    <s v=""/>
    <s v=""/>
    <n v="161"/>
    <n v="175"/>
    <s v=""/>
    <s v="10.1007/978-3-319-74322-6_11"/>
    <s v="http://dx.doi.org/10.1007/978-3-319-74322-6_11"/>
    <s v="10.1007/978-3-319-74322-6"/>
    <s v=""/>
    <n v="15"/>
    <s v="Business; Computer Science, Information Systems; Computer Science, Interdisciplinary Applications"/>
    <x v="10"/>
    <s v="Business &amp; Economics; Computer Science"/>
    <s v="BL0GH"/>
    <s v=""/>
    <s v=""/>
    <s v=""/>
    <s v=""/>
    <s v="2023-11-15"/>
    <x v="645"/>
    <s v="View Full Record in Web of Science"/>
  </r>
  <r>
    <s v="J"/>
    <s v="Elblaus, L; Unander-Scharin, Å; Unander-Scharin, C"/>
    <s v=""/>
    <s v=""/>
    <s v=""/>
    <s v="Elblaus, Ludvig; Unander-Scharin, Asa; Unander-Scharin, Carl"/>
    <s v=""/>
    <s v=""/>
    <s v="Uncanny Materialities: Digital Strategies for Staging Supernatural Themes Drawn from Medieval Ballads"/>
    <s v="LEONARDO MUSIC JOURNAL"/>
    <s v=""/>
    <s v=""/>
    <s v="English"/>
    <x v="0"/>
    <s v=""/>
    <s v=""/>
    <s v=""/>
    <s v=""/>
    <s v=""/>
    <s v=""/>
    <s v=""/>
    <s v="In the medieval tradition of ballads, a recurring theme is that of transformation. In a staged concert for chamber orchestra, singers and dancers called Varelser och Ballader (Beings and Ballads), we explored this theme using ballads coupled with contemporary poetry and new music. The performance made use of custom-made digital musical instruments, using video analysis and large-scale physical interfaces for transformative purposes. In this article, we describe the piece itself as well as how uncanny qualities of the digital were used to emphasize eerie themes of transformation and deception by the supernatural beings found in the medieval ballads."/>
    <s v="[Elblaus, Ludvig] KTH Royal Inst Technol, S-10044 Stockholm, Sweden; [Unander-Scharin, Asa] Lulea Univ Technol, S-97187 Lulea, Sweden; [Unander-Scharin, Carl] Karlstad Univ, S-65188 Karlstad, Sweden"/>
    <s v="Royal Institute of Technology; Lulea University of Technology; Karlstad University"/>
    <s v="Elblaus, L (corresponding author), KTH Royal Inst Technol, S-10044 Stockholm, Sweden."/>
    <s v="elblaus@kth.se; asa.scharin@ltu.se; carl.unander-scharin@telia.com"/>
    <s v=""/>
    <s v=""/>
    <s v=""/>
    <s v=""/>
    <s v=""/>
    <s v=""/>
    <n v="15"/>
    <n v="0"/>
    <n v="0"/>
    <n v="0"/>
    <n v="4"/>
    <s v="MIT PRESS"/>
    <s v="CAMBRIDGE"/>
    <s v="ONE ROGERS ST, CAMBRIDGE, MA 02142-1209 USA"/>
    <s v="0961-1215"/>
    <s v="1531-4812"/>
    <s v=""/>
    <s v="LEONARDO MUSIC J"/>
    <s v="Leonardo Music J."/>
    <s v="DEC"/>
    <n v="2017"/>
    <n v="27"/>
    <s v=""/>
    <s v=""/>
    <s v=""/>
    <s v=""/>
    <s v=""/>
    <n v="62"/>
    <n v="66"/>
    <s v=""/>
    <s v="10.1162/LMJ_a_01020"/>
    <s v="http://dx.doi.org/10.1162/LMJ_a_01020"/>
    <s v=""/>
    <s v=""/>
    <n v="5"/>
    <s v="Music"/>
    <x v="6"/>
    <s v="Music"/>
    <s v="FO4PE"/>
    <s v=""/>
    <s v=""/>
    <s v=""/>
    <s v=""/>
    <s v="2023-11-15"/>
    <x v="646"/>
    <s v="View Full Record in Web of Science"/>
  </r>
  <r>
    <s v="J"/>
    <s v="Games, FJG"/>
    <s v=""/>
    <s v=""/>
    <s v=""/>
    <s v="Guzman Games, Francisco Javier"/>
    <s v=""/>
    <s v=""/>
    <s v="Freire in the digital era: Oppression and liberation of indigenous groups using ITC"/>
    <s v="INNOVACION EDUCATIVA-MEXICO"/>
    <s v=""/>
    <s v=""/>
    <s v="Spanish"/>
    <x v="0"/>
    <s v=""/>
    <s v=""/>
    <s v=""/>
    <s v=""/>
    <s v=""/>
    <s v="Digital culture; digitalization; indigenous population; information and communication technology; Paulo Freire"/>
    <s v=""/>
    <s v="The introduction of Information and Communication Technologies (ITC) affects the social structure and cultural practices of indigenous populations living in the intercultural regions of the Huasteca and the high mountains of Veracruz, Mexico (Guzman, 2014, 2015, 2017). This research, based on Pedagogy of the Oppressed and Pedagogy of Hope by Freire (2002, 2005), points out the incongruence and equivocality of the Mexican Government's National Digital Strategy. This article represents two positions: a critical stance, intending to demonstrate the theoretical assumption that ITC are camouflaged instruments of cultural dominance in rural contexts and that the indigenous populations have incorporated digital objects with a sense of ideological and economic alienation that emanates from the capitalist system; and a proactive stance, showing the existence of liberating practices through the digital solidarity among groups that are marginalized from the society of knowledge."/>
    <s v="[Guzman Games, Francisco Javier] Benemerita Univ Autonoma Puebla, Puebla, Mexico"/>
    <s v="Benemerita Universidad Autonoma de Puebla"/>
    <s v="Games, FJG (corresponding author), Benemerita Univ Autonoma Puebla, Puebla, Mexico."/>
    <s v=""/>
    <s v=""/>
    <s v=""/>
    <s v=""/>
    <s v=""/>
    <s v=""/>
    <s v=""/>
    <n v="37"/>
    <n v="0"/>
    <n v="0"/>
    <n v="0"/>
    <n v="2"/>
    <s v="INST POLITECNICO NACIONAL-IPN"/>
    <s v="MEXICO"/>
    <s v="AV LUIS ENRIQUE ERRO S-N, UNIDAD PROF ADOLFO LOPEZ MATEOS, ZACATENCO, DELEGACION GUSTAVO A, MEXICO, DISTRITO FEDERAL CP 07738, MEXICO"/>
    <s v="1665-2673"/>
    <s v=""/>
    <s v=""/>
    <s v="INNOV EDUC-MEXICO"/>
    <s v="Innov. Educ. Mex."/>
    <s v="SEP-DEC"/>
    <n v="2017"/>
    <n v="17"/>
    <n v="75"/>
    <s v=""/>
    <s v=""/>
    <s v=""/>
    <s v=""/>
    <n v="9"/>
    <n v="27"/>
    <s v=""/>
    <s v=""/>
    <s v=""/>
    <s v=""/>
    <s v=""/>
    <n v="19"/>
    <s v="Education &amp; Educational Research"/>
    <x v="3"/>
    <s v="Education &amp; Educational Research"/>
    <s v="GH4WI"/>
    <s v=""/>
    <s v=""/>
    <s v=""/>
    <s v=""/>
    <s v="2023-11-15"/>
    <x v="647"/>
    <s v="View Full Record in Web of Science"/>
  </r>
  <r>
    <s v="J"/>
    <s v="Torres, NS"/>
    <s v=""/>
    <s v=""/>
    <s v=""/>
    <s v="Salazar Torres, Neyder"/>
    <s v=""/>
    <s v=""/>
    <s v="Digital communication in the mobilization and resistance of indigenous of Colombia"/>
    <s v="REVISTA DE COMUNICACION-PERU"/>
    <s v=""/>
    <s v=""/>
    <s v="Spanish"/>
    <x v="0"/>
    <s v=""/>
    <s v=""/>
    <s v=""/>
    <s v=""/>
    <s v=""/>
    <s v="indigenous communication; digital communication; indigenous mobilization; digital appropriation"/>
    <s v=""/>
    <s v="This text addresses the use of digital communication of the Colombian indigenous movement, from the cases of the Communication Fabric of the ACIN and the Collective Winds of the CRIHU, for this it focuses on the analysis of the actions of mobilization of the Minga Indigena and Popular of 2008 and the recovery of Cerro El Berlin, held in Cauca and the Mingas of Liberation of Mother Earth in 2012 and 2013, held in Huila. Fundamental mobilizations in the historical struggle and the indige nous resistance, in these they articulated communicative and digital strategies, the appropriation of diverse supports and technological repertoires to counter the stigmatization of the hegemonic means and the reproduction of the state voice, thus to potentiate the political communication since Action and resistance."/>
    <s v="[Salazar Torres, Neyder] Corporac Univ, Comunicac, Uniminuto Sede Neiva, Bogota, Colombia"/>
    <s v=""/>
    <s v="Torres, NS (corresponding author), Corporac Univ, Comunicac, Uniminuto Sede Neiva, Bogota, Colombia."/>
    <s v="neyderpip98@hotmail.com"/>
    <s v="Torres, Neyder Jhoan Salazar/AAX-2829-2020"/>
    <s v="Torres, Neyder Jhoan Salazar/0000-0003-4528-0483"/>
    <s v=""/>
    <s v=""/>
    <s v=""/>
    <s v=""/>
    <n v="24"/>
    <n v="0"/>
    <n v="0"/>
    <n v="0"/>
    <n v="7"/>
    <s v="UNIV PIURA"/>
    <s v="PIURA"/>
    <s v="FAC COMUNICACION, AV RAMON MUGICA 131 URB SAN EDUARDO APARTADO POSTAL 353, PIURA, 00000, PERU"/>
    <s v="1684-0933"/>
    <s v="2227-1465"/>
    <s v=""/>
    <s v="REV COMUN-PERU"/>
    <s v="Rev. Comun.-Peru"/>
    <s v="APR-SEP"/>
    <n v="2017"/>
    <n v="16"/>
    <n v="2"/>
    <s v=""/>
    <s v=""/>
    <s v=""/>
    <s v=""/>
    <n v="252"/>
    <n v="264"/>
    <s v=""/>
    <s v="10.26441/RC16.2-2017-A12"/>
    <s v="http://dx.doi.org/10.26441/RC16.2-2017-A12"/>
    <s v=""/>
    <s v=""/>
    <n v="13"/>
    <s v="Communication"/>
    <x v="3"/>
    <s v="Communication"/>
    <s v="VI1NG"/>
    <s v=""/>
    <s v="gold, Green Submitted"/>
    <s v=""/>
    <s v=""/>
    <s v="2023-11-15"/>
    <x v="648"/>
    <s v="View Full Record in Web of Science"/>
  </r>
  <r>
    <s v="J"/>
    <s v="Hartmann, H"/>
    <s v=""/>
    <s v=""/>
    <s v=""/>
    <s v="Hartmann, Heiko"/>
    <s v=""/>
    <s v=""/>
    <s v="Academic Publishing in the Humanities Current trends in Germany"/>
    <s v="LOGOS-JOURNAL OF THE WORLD PUBLISHING COMMUNITY"/>
    <s v=""/>
    <s v=""/>
    <s v="English"/>
    <x v="0"/>
    <s v=""/>
    <s v=""/>
    <s v=""/>
    <s v=""/>
    <s v=""/>
    <s v="academic publishing; humanities; open access; German book market; German publishing companies; academic self-publishing; Copyright Act; digitization"/>
    <s v=""/>
    <s v="The traditional business model of academic publishers is in peril. Besides the consequences of digitization, publishers have to cope with new habits of media reception, a multitude of new substitutes, legal uncertainties, and the threat from open access. German publishers are reacting in very different ways to the challenges of the market for scholarly literature. While some smaller independent publishers are still concentrating on print titles and barely offer any electronic products, others rely on a modern digital strategy, intensive internationalization, and a large portfolio of e-products including open access formats. Focusing on the humanities, this essay analyses the current situation of German academic publishers and asks how they can succeed in the future when proven business models are no longer accepted by new market players."/>
    <s v="[Hartmann, Heiko] HTWK, Book Trade &amp; Publishing Ind, Leipzig, Germany"/>
    <s v=""/>
    <s v="Hartmann, H (corresponding author), HTWK, Book Trade &amp; Publishing Ind, Leipzig, Germany."/>
    <s v="heiko.hartmann@htwk-leipzig.de"/>
    <s v=""/>
    <s v=""/>
    <s v=""/>
    <s v=""/>
    <s v=""/>
    <s v=""/>
    <n v="34"/>
    <n v="0"/>
    <n v="0"/>
    <n v="0"/>
    <n v="10"/>
    <s v="BRILL ACADEMIC PUBLISHERS"/>
    <s v="LEIDEN"/>
    <s v="PLANTIJNSTRAAT 2, P O BOX 9000, 2300 PA LEIDEN, NETHERLANDS"/>
    <s v="0957-9656"/>
    <s v="1878-4712"/>
    <s v=""/>
    <s v="LOGOS J WORLD PUBL C"/>
    <s v="Logos-J. World Publ. Community"/>
    <s v=""/>
    <n v="2017"/>
    <n v="28"/>
    <n v="2"/>
    <s v=""/>
    <s v=""/>
    <s v=""/>
    <s v=""/>
    <n v="11"/>
    <n v="26"/>
    <s v=""/>
    <s v="10.1163/1878-4712-11112127"/>
    <s v="http://dx.doi.org/10.1163/1878-4712-11112127"/>
    <s v=""/>
    <s v=""/>
    <n v="16"/>
    <s v="Humanities, Multidisciplinary"/>
    <x v="3"/>
    <s v="Arts &amp; Humanities - Other Topics"/>
    <s v="FH8OC"/>
    <s v=""/>
    <s v=""/>
    <s v=""/>
    <s v=""/>
    <s v="2023-11-15"/>
    <x v="649"/>
    <s v="View Full Record in Web of Science"/>
  </r>
  <r>
    <s v="J"/>
    <s v="Oyarce-Cruz, J"/>
    <s v=""/>
    <s v=""/>
    <s v=""/>
    <s v="Oyarce-Cruz, Jacqueline"/>
    <s v=""/>
    <s v=""/>
    <s v="Creating a Media Lab at the Universidad Nacional Mayor de San Marcos-Peru"/>
    <s v="LETRAS"/>
    <s v=""/>
    <s v=""/>
    <s v="Spanish"/>
    <x v="0"/>
    <s v=""/>
    <s v=""/>
    <s v=""/>
    <s v=""/>
    <s v=""/>
    <s v="Media Lab; digital media; internet; spread science"/>
    <s v=""/>
    <s v="The main objective of creating a Media Lab as specialized space was to study internet and other digital media in mass communication. A specific objective was to study and apply digital strategies to broadcast scientific contributions of the Universidad Nacional Mayor de San Marcos. It is an applied, cross-sectional study. It uses podcast, streaming and hypertext. As a result, the Media Lab UNMSM was created. Today is a Research Nucleus of the Universidad Nacional Mayor de San Marcos. A Media Lab enables students and professors to innovate with digital media. It also helps to spread scientific content among the community. It is the first Media Lab of the Peruvian university."/>
    <s v="[Oyarce-Cruz, Jacqueline] Univ Nacl Mayor San Marcos, Lima, Peru"/>
    <s v="Universidad Nacional Mayor de San Marcos"/>
    <s v="Oyarce-Cruz, J (corresponding author), Univ Nacl Mayor San Marcos, Lima, Peru."/>
    <s v="moyarcec@unmsm.edu.pe"/>
    <s v="Oyarce-Cruz, Maria Jacqueline/GRY-7131-2022"/>
    <s v="Oyarce-Cruz, Jacqueline/0000-0003-4445-1092"/>
    <s v=""/>
    <s v=""/>
    <s v=""/>
    <s v=""/>
    <n v="9"/>
    <n v="0"/>
    <n v="0"/>
    <n v="0"/>
    <n v="7"/>
    <s v="UNIV NACIONAL MAYOR SAN MARCOS"/>
    <s v="LIMA"/>
    <s v="CIUDAD UNIVERSITARIA, AV VENEZUELA CDRA. 34 S/N, CASILLA POSTAL 11-0058, LIMA, 11, PERU"/>
    <s v="0378-4878"/>
    <s v="2071-5072"/>
    <s v=""/>
    <s v="LETRAS-LIMA"/>
    <s v="Letras"/>
    <s v="JAN-JUN"/>
    <n v="2017"/>
    <n v="88"/>
    <n v="127"/>
    <s v=""/>
    <s v=""/>
    <s v=""/>
    <s v=""/>
    <n v="185"/>
    <n v="196"/>
    <s v=""/>
    <s v=""/>
    <s v=""/>
    <s v=""/>
    <s v=""/>
    <n v="12"/>
    <s v="Humanities, Multidisciplinary"/>
    <x v="3"/>
    <s v="Arts &amp; Humanities - Other Topics"/>
    <s v="FI0LW"/>
    <s v=""/>
    <s v=""/>
    <s v=""/>
    <s v=""/>
    <s v="2023-11-15"/>
    <x v="650"/>
    <s v="View Full Record in Web of Science"/>
  </r>
  <r>
    <s v="S"/>
    <s v="Paladines, F; Tandazo, CG; Fernández, VAM"/>
    <s v=""/>
    <s v="Freire, FC; Araujo, XR; Fernandez, VAM; Garcia, XL"/>
    <s v=""/>
    <s v="Paladines, Fanny; Granda Tandazo, Carlos; Martinez Fernandez, Valentin Alejandro"/>
    <s v=""/>
    <s v=""/>
    <s v="The Situation of Digital Strategic Communication in Ecuador and Other Countries in Latin America: The Management of the Community Manager"/>
    <s v="MEDIA AND METAMEDIA MANAGEMENT"/>
    <s v="Advances in Intelligent Systems and Computing"/>
    <s v=""/>
    <s v="English"/>
    <x v="1"/>
    <s v=""/>
    <s v=""/>
    <s v=""/>
    <s v=""/>
    <s v=""/>
    <s v="Community manager; Strategic communication; Digital"/>
    <s v=""/>
    <s v="At present, companies face the challenge of addressing the new forms of communication by positioning their brands. This in turn results in the emergence of new professional profiles, such as the Community Manager. The present research analyses quantitative information from experts in the digital area of Ecuadorian, Mexican, Argentinian, Colombian, Venezuelan, and Uruguayan organizations. The study is focused on the study of the role of Community Managers in strategic communication. Inputs of particular interest for this research include: (a) the importance attached to the training and tools handling to address strategic issues; (b) the role of the manager of virtual communities related to companies, in order to know and control communication flows and consolidate a brand or business; (c) the participation, interaction, creation of engaging content, positioning and online reputation. This paper is aimed at contributing to research on the subject. In the region, figures providing evidence in this field are scarce and of little relevance."/>
    <s v="[Paladines, Fanny; Granda Tandazo, Carlos] Tech Particular Univ Loja UTPL, Loja, Ecuador; [Martinez Fernandez, Valentin Alejandro] Univ A Coruna, La Coruna, Spain"/>
    <s v="Universidade da Coruna"/>
    <s v="Paladines, F (corresponding author), Tech Particular Univ Loja UTPL, Loja, Ecuador."/>
    <s v="fypaladines@utpl.edu.ec; cwgranda@utpl.edu.ec"/>
    <s v="Martínez-Fernández, Valentín-Alejandro/P-3675-2019"/>
    <s v="VALENTIN-ALEJANDRO, MARTINEZ-FERNANDEZ/0000-0003-0069-675X"/>
    <s v=""/>
    <s v=""/>
    <s v=""/>
    <s v=""/>
    <n v="13"/>
    <n v="0"/>
    <n v="0"/>
    <n v="0"/>
    <n v="3"/>
    <s v="SPRINGER INTERNATIONAL PUBLISHING AG"/>
    <s v="CHAM"/>
    <s v="GEWERBESTRASSE 11, CHAM, CH-6330, SWITZERLAND"/>
    <s v="2194-5357"/>
    <s v=""/>
    <s v="978-3-319-46068-0; 978-3-319-46066-6"/>
    <s v="ADV INTELL SYST"/>
    <s v=""/>
    <s v=""/>
    <n v="2017"/>
    <n v="503"/>
    <s v=""/>
    <s v=""/>
    <s v=""/>
    <s v=""/>
    <s v=""/>
    <n v="213"/>
    <n v="219"/>
    <s v=""/>
    <s v="10.1007/978-3-319-46068-0_27"/>
    <s v="http://dx.doi.org/10.1007/978-3-319-46068-0_27"/>
    <s v="10.1007/978-3-319-46068-0"/>
    <s v=""/>
    <n v="7"/>
    <s v="Communication"/>
    <x v="4"/>
    <s v="Communication"/>
    <s v="BH3UQ"/>
    <s v=""/>
    <s v=""/>
    <s v=""/>
    <s v=""/>
    <s v="2023-11-15"/>
    <x v="651"/>
    <s v="View Full Record in Web of Science"/>
  </r>
  <r>
    <s v="J"/>
    <s v="Castillo, JGD; Baquedano, JSM"/>
    <s v=""/>
    <s v=""/>
    <s v=""/>
    <s v="Dominguez Castillo, J. Gabriel; Morcillo Baquedano, J. Samantha"/>
    <s v=""/>
    <s v=""/>
    <s v="Evaluation of an online course for skills training in the use of ICT in science teachers in public secondary Southeast Mexico"/>
    <s v="RED-REVISTA DE EDUCACION A DISTANCIA"/>
    <s v=""/>
    <s v=""/>
    <s v="Spanish"/>
    <x v="0"/>
    <s v=""/>
    <s v=""/>
    <s v=""/>
    <s v=""/>
    <s v=""/>
    <s v="Evaluation; ICT; Empowerment; Learning; Online course"/>
    <s v=""/>
    <s v="This study is a response to the lack of information on the evaluation of the effectiveness of online courses in which teachers of basic education in southeastern Mexico as part of their training in the use of technology involved since today day, practicing teachers need to be competent to offer students opportunities in ICT supported learning; to use them and know how they can contribute to their learning. The research is applied type of mixed cut and involved 30 science and math teachers from 19 secondary schools in Merida. In this paper the effectiveness of the online course was evaluated and in the most important categories that emerged were found: Experience, Expectations, Work tools and relevant skills. The results are discussed in the National Digital Strategy (2013-2018) of Mexico."/>
    <s v="[Dominguez Castillo, J. Gabriel; Morcillo Baquedano, J. Samantha] Univ Autonoma Yucatan, Merida, Venezuela"/>
    <s v=""/>
    <s v="Castillo, JGD (corresponding author), Univ Autonoma Yucatan, Merida, Venezuela."/>
    <s v="jg.dominguez@correo.uady.mx; sam.morcillo@gmail.com"/>
    <s v=""/>
    <s v=""/>
    <s v=""/>
    <s v=""/>
    <s v=""/>
    <s v=""/>
    <n v="47"/>
    <n v="0"/>
    <n v="1"/>
    <n v="0"/>
    <n v="2"/>
    <s v="EDIT UM-EDICIONES UNIV MURCIA"/>
    <s v="MURCIA"/>
    <s v="EDIFICIO SAAVEDRA FAJARDO, C/O ACTOR ISIDORO MAIQUEZ 9, MURCIA, 30007, SPAIN"/>
    <s v="1578-7680"/>
    <s v=""/>
    <s v=""/>
    <s v="RED-REV EDUC DISTANC"/>
    <s v="RED-Rev. Educ. Distancia"/>
    <s v="NOV 15"/>
    <n v="2016"/>
    <s v=""/>
    <n v="51"/>
    <s v=""/>
    <s v=""/>
    <s v=""/>
    <s v=""/>
    <s v=""/>
    <s v=""/>
    <n v="2"/>
    <s v="10.6018/red/51/2"/>
    <s v="http://dx.doi.org/10.6018/red/51/2"/>
    <s v=""/>
    <s v=""/>
    <n v="25"/>
    <s v="Education &amp; Educational Research"/>
    <x v="3"/>
    <s v="Education &amp; Educational Research"/>
    <s v="EO1MB"/>
    <s v=""/>
    <s v="Green Submitted, gold"/>
    <s v=""/>
    <s v=""/>
    <s v="2023-11-15"/>
    <x v="652"/>
    <s v="View Full Record in Web of Science"/>
  </r>
  <r>
    <s v="J"/>
    <s v="Sala, JFA"/>
    <s v=""/>
    <s v=""/>
    <s v=""/>
    <s v="Aguirre Sala, Jorge Francisco"/>
    <s v=""/>
    <s v=""/>
    <s v="Information Communication Technologies in crime prevention"/>
    <s v="URVIO-REVISTA LATINOAMERICANA DE ESTUDIOS DE SEGURIDAD"/>
    <s v=""/>
    <s v=""/>
    <s v="Spanish"/>
    <x v="0"/>
    <s v=""/>
    <s v=""/>
    <s v=""/>
    <s v=""/>
    <s v=""/>
    <s v="internet; crime prevention; governance; transversality"/>
    <s v=""/>
    <s v="Objective: To show the possible support of the Internet on crime prevention in the constructivist context of governance. Theoretical framework: the theory of communitarian crime prevention is seen as a synthesis of social, situational and environmental prevention. The effects of crime statistics, coming from community prevention, suggests that action programs. Consequently the communitarian prevention is necessarily associated to governance and the interaction required by governance, between authorities and citizens, is transversal. Framework of reference: the Mexican National Digital Strategy that visualizes prevention help cyber social networks and electronic platforms. Method and case: qualitative analysis of ICT uses in crime prevention in the cases the urban area of Monterrey, Mexico."/>
    <s v="[Aguirre Sala, Jorge Francisco] Univ Ciencias Seguridad Estado Nuevo Leon, Escuela Invest Seguridad Publ, Nuevo Leon, Mexico; [Aguirre Sala, Jorge Francisco] Univ Autonoma Nuevo Leon, Inst Invest Sociales, Monterrey, Mexico"/>
    <s v="Universidad Autonoma de Nuevo Leon"/>
    <s v="Sala, JFA (corresponding author), Univ Ciencias Seguridad Estado Nuevo Leon, Escuela Invest Seguridad Publ, Nuevo Leon, Mexico.;Sala, JFA (corresponding author), Univ Autonoma Nuevo Leon, Inst Invest Sociales, Monterrey, Mexico."/>
    <s v="jorgeaguirresala@hotmail.com"/>
    <s v=""/>
    <s v=""/>
    <s v=""/>
    <s v=""/>
    <s v=""/>
    <s v=""/>
    <n v="24"/>
    <n v="0"/>
    <n v="0"/>
    <n v="2"/>
    <n v="5"/>
    <s v="FLACSO-ECUADOR"/>
    <s v="QUITO"/>
    <s v="CALLE PRADERA E7-174 &amp; DIEGO ALMAGRO, QUITO, 00000, ECUADOR"/>
    <s v="1390-3691"/>
    <s v="1390-4299"/>
    <s v=""/>
    <s v="URVIO-REV LATINOAM E"/>
    <s v="URVIO-REV. LATINOAM. ESTUD. SEGUR."/>
    <s v="JUN"/>
    <n v="2016"/>
    <s v=""/>
    <n v="18"/>
    <s v=""/>
    <s v=""/>
    <s v=""/>
    <s v=""/>
    <n v="90"/>
    <n v="103"/>
    <s v=""/>
    <s v="10.17141/urvio.18.2016.1962"/>
    <s v="http://dx.doi.org/10.17141/urvio.18.2016.1962"/>
    <s v=""/>
    <s v=""/>
    <n v="14"/>
    <s v="Political Science"/>
    <x v="3"/>
    <s v="Government &amp; Law"/>
    <s v="DX8EY"/>
    <s v=""/>
    <s v="Green Submitted, Green Published, gold"/>
    <s v=""/>
    <s v=""/>
    <s v="2023-11-15"/>
    <x v="653"/>
    <s v="View Full Record in Web of Science"/>
  </r>
  <r>
    <s v="B"/>
    <s v="Akkizidis, I; Stagars, M"/>
    <s v="Akkizidis, I; Stagars, M"/>
    <s v=""/>
    <s v=""/>
    <s v="Akkizidis, Ioannis; Stagars, Manuel"/>
    <s v="Akkizidis, I; Stagars, M"/>
    <s v=""/>
    <s v="Digital Strategy"/>
    <s v="MARKETPLACE LENDING, FINANCIAL ANALYSIS, AND THE FUTURE OF CREDIT: INTEGRATION, PROFITABILITY AND RISK MANAGEMENT"/>
    <s v=""/>
    <s v=""/>
    <s v="English"/>
    <x v="1"/>
    <s v=""/>
    <s v=""/>
    <s v=""/>
    <s v=""/>
    <s v=""/>
    <s v=""/>
    <s v=""/>
    <s v=""/>
    <s v="[Akkizidis, Ioannis] Wolters Kluwer Financial &amp; Compliance Serv, Financial Risk Management Syst, Zurich, Switzerland; [Akkizidis, Ioannis] Univ Zurich, Masters Degree Program Quantitat Finance, CH-8006 Zurich, Switzerland; [Stagars, Manuel] Singapore ETH Ctr, Singapore, Singapore"/>
    <s v="University of Zurich"/>
    <s v="Akkizidis, I (corresponding author), Wolters Kluwer Financial &amp; Compliance Serv, Financial Risk Management Syst, Zurich, Switzerland.;Akkizidis, I (corresponding author), Univ Zurich, Masters Degree Program Quantitat Finance, CH-8006 Zurich, Switzerland."/>
    <s v=""/>
    <s v=""/>
    <s v=""/>
    <s v=""/>
    <s v=""/>
    <s v=""/>
    <s v=""/>
    <n v="0"/>
    <n v="0"/>
    <n v="0"/>
    <n v="0"/>
    <n v="1"/>
    <s v="JOHN WILEY &amp; SONS LTD"/>
    <s v="CHICHESTER"/>
    <s v="THE ATRIUM, SOUTHERN GATE, CHICHESTER PO19 8SQ, WEST SUSSEX, ENGLAND"/>
    <s v=""/>
    <s v=""/>
    <s v="978-1-119-09918-5; 978-1-119-09916-1"/>
    <s v=""/>
    <s v=""/>
    <s v=""/>
    <n v="2016"/>
    <s v=""/>
    <s v=""/>
    <s v=""/>
    <s v=""/>
    <s v=""/>
    <s v=""/>
    <n v="263"/>
    <n v="275"/>
    <s v=""/>
    <s v=""/>
    <s v=""/>
    <s v="10.1002/9781119099437"/>
    <s v=""/>
    <n v="13"/>
    <s v="Business, Finance"/>
    <x v="4"/>
    <s v="Business &amp; Economics"/>
    <s v="BF7FE"/>
    <s v=""/>
    <s v=""/>
    <s v=""/>
    <s v=""/>
    <s v="2023-11-15"/>
    <x v="654"/>
    <s v="View Full Record in Web of Science"/>
  </r>
  <r>
    <s v="S"/>
    <s v="Miettinen, E"/>
    <s v=""/>
    <s v="Kozak, M; Kozak, N"/>
    <s v=""/>
    <s v="Miettinen, Ekaterina"/>
    <s v=""/>
    <s v=""/>
    <s v="MARKETING OF TOURISM PRODUCTS THROUGH THE RUSSIAN SOCIAL MEDIA CHANNEL VKONTAKTE"/>
    <s v="TOURISM AND HOSPITALITY MANAGEMENT"/>
    <s v="Advances in Culture Tourism and Hospitality Research"/>
    <s v=""/>
    <s v="English"/>
    <x v="1"/>
    <s v=""/>
    <s v=""/>
    <s v=""/>
    <s v=""/>
    <s v=""/>
    <s v="Social media; Russian market; social media; Russian tourists"/>
    <s v=""/>
    <s v="Nowadays, social media influences tourists in their decision making process and plays an important role in the digital marketing strategy of tourism service providers. The purpose of this study is to examine the presence of tourism businesses in the most popular social media channel in Russia - VKontakte (VK). The data consist of Finnish and Russian groups devoted to tourism in VK: 10,000 Finnish groups and 5,000 Russian groups were found and the 12 most popular out of each group were chosen for the analysis. The findings show that VK is widely used by Finnish and Russian tourism firms, but there is still potential for more effective implementation of the channel. The group discussions on the most popular topics can provide firms with useful knowledge for planning their digital strategies for the Russian market."/>
    <s v="[Miettinen, Ekaterina] Karelia Univ Appl Sci, Joensuu, Finland"/>
    <s v="Karelia University of Applied Sciences"/>
    <s v="Miettinen, E (corresponding author), Karelia Univ Appl Sci, Joensuu, Finland."/>
    <s v=""/>
    <s v=""/>
    <s v=""/>
    <s v=""/>
    <s v=""/>
    <s v=""/>
    <s v=""/>
    <n v="16"/>
    <n v="0"/>
    <n v="0"/>
    <n v="0"/>
    <n v="5"/>
    <s v="EMERALD GROUP PUBLISHING LTD"/>
    <s v="BINGLEY"/>
    <s v="HOWARD HOUSE, WAGON LANE, BINGLEY, W YORKSHIRE BD16 1WA, ENGLAND"/>
    <s v="1871-3173"/>
    <s v=""/>
    <s v="978-1-78635-713-7; 978-1-78635-714-4"/>
    <s v="ADV CULT TOUR HOSP R"/>
    <s v=""/>
    <s v=""/>
    <n v="2016"/>
    <n v="12"/>
    <s v=""/>
    <s v=""/>
    <s v=""/>
    <s v=""/>
    <s v=""/>
    <n v="61"/>
    <n v="80"/>
    <s v=""/>
    <s v="10.1108/S1871-317320160000012006"/>
    <s v="http://dx.doi.org/10.1108/S1871-317320160000012006"/>
    <s v=""/>
    <s v=""/>
    <n v="20"/>
    <s v="Hospitality, Leisure, Sport &amp; Tourism"/>
    <x v="4"/>
    <s v="Social Sciences - Other Topics"/>
    <s v="BH8EP"/>
    <s v=""/>
    <s v=""/>
    <s v=""/>
    <s v=""/>
    <s v="2023-11-15"/>
    <x v="655"/>
    <s v="View Full Record in Web of Science"/>
  </r>
  <r>
    <s v="J"/>
    <s v="Suárez-Obando, F; Gómez-Restrepo, C; Camacho, J; de la Hoz, AM; Morales, AJR; Maldonado, P; López, P"/>
    <s v=""/>
    <s v=""/>
    <s v=""/>
    <s v="Suarez-Obando, Fernando; Gomez-Restrepo, Carlos; Camacho, Jhon; Maria de la Hoz, Ana; Ruiz Morales, Alvaro J.; Maldonado, Patricia; Lopez, Pilar"/>
    <s v=""/>
    <s v=""/>
    <s v="Portal of Clinical Practice Guidelines: Digital Strategy for the Dissemination of Clinical Practice Guidelines Developed in Colombia"/>
    <s v="UNIVERSITAS MEDICA"/>
    <s v=""/>
    <s v=""/>
    <s v="Spanish"/>
    <x v="0"/>
    <s v=""/>
    <s v=""/>
    <s v=""/>
    <s v=""/>
    <s v=""/>
    <s v="practice guidelines; information dissemination; internet; communication; information services"/>
    <s v="IMPLEMENTATION; ADHERENCE"/>
    <s v="Introduction: In response to the necessity of concise, accurate and practical information to support clinical decision making, the Colombian government, in partnership with universities and scientific societies, has heavily invested in the development of clinical practice guidelines (CPG). Objectives: To develop a Web portal for the dissemination and communication of CPG and its clinical recommendations. Methodology: Development of the Colombian GPC web portal based on the principles of adult learning, learning development in medicine based on the Web and improvement of web development for medical education, using various informatic tools. Results: A Web portal that fulfills the purpose of disseminating the recommendations of the GPC, using various alternatives for the presentation of content, as well as to create channels of communication between developers and users of the CPG Portal."/>
    <s v="[Suarez-Obando, Fernando] Pontificia Univ Javeriana, Fac Med, Inst Genet Humana, Dept Epidemiol &amp; Bioestadist, Bogota, Colombia; [Gomez-Restrepo, Carlos; Camacho, Jhon; Maria de la Hoz, Ana; Ruiz Morales, Alvaro J.; Maldonado, Patricia; Lopez, Pilar] Pontificia Univ Javeriana, Fac Med, Dept Epidemiol &amp; Bioestadist, Bogota, Colombia"/>
    <s v="Pontificia Universidad Javeriana; Pontificia Universidad Javeriana"/>
    <s v="Suárez-Obando, F (corresponding author), Pontificia Univ Javeriana, Fac Med, Inst Genet Humana, Dept Epidemiol &amp; Bioestadist, Bogota, Colombia."/>
    <s v="fernando.suarez@javeriana.edu.co"/>
    <s v="Gomez-Restrepo, Carlos/ISA-2919-2023; Suarez-Obando, Fernando/AAY-3327-2021"/>
    <s v="Gomez-Restrepo, Carlos/0000-0002-9013-5384;"/>
    <s v=""/>
    <s v=""/>
    <s v=""/>
    <s v=""/>
    <n v="20"/>
    <n v="0"/>
    <n v="2"/>
    <n v="0"/>
    <n v="4"/>
    <s v="PONTIFICIA UNIV JAVERIANA, FAC MEDICINA"/>
    <s v="BOGOTA"/>
    <s v="HOSPITAL SAN IGNACIO, CARRERA 7A, 40-62 PISO 5, BOGOTA, CUND 00000, COLOMBIA"/>
    <s v="0041-9095"/>
    <s v="2011-0839"/>
    <s v=""/>
    <s v="UNIV MED"/>
    <s v="Univ. Med."/>
    <s v="JAN-MAR"/>
    <n v="2016"/>
    <n v="57"/>
    <n v="1"/>
    <s v=""/>
    <s v=""/>
    <s v=""/>
    <s v=""/>
    <n v="44"/>
    <n v="57"/>
    <s v=""/>
    <s v="10.11144/Javeriana.umed57-1.pgpc"/>
    <s v="http://dx.doi.org/10.11144/Javeriana.umed57-1.pgpc"/>
    <s v=""/>
    <s v=""/>
    <n v="14"/>
    <s v="Medicine, General &amp; Internal"/>
    <x v="3"/>
    <s v="General &amp; Internal Medicine"/>
    <s v="EQ8SA"/>
    <s v=""/>
    <s v="Green Published, gold, Green Submitted"/>
    <s v=""/>
    <s v=""/>
    <s v="2023-11-15"/>
    <x v="656"/>
    <s v="View Full Record in Web of Science"/>
  </r>
  <r>
    <s v="J"/>
    <s v="Cunningham, D"/>
    <s v=""/>
    <s v=""/>
    <s v=""/>
    <s v="Cunningham, David"/>
    <s v=""/>
    <s v=""/>
    <s v="NHS Education for Scotland's digital strategy: what does it mean for general practitioners?"/>
    <s v="SCOTTISH MEDICAL JOURNAL"/>
    <s v=""/>
    <s v=""/>
    <s v="English"/>
    <x v="0"/>
    <s v=""/>
    <s v=""/>
    <s v=""/>
    <s v=""/>
    <s v=""/>
    <s v=""/>
    <s v=""/>
    <s v=""/>
    <s v="[Cunningham, David] NHS Educ Scotland, CPD &amp; Performance, Glasgow G3 8BW, Lanark, Scotland"/>
    <s v="NHS Education for Scotland"/>
    <s v="Cunningham, D (corresponding author), NHS Educ Scotland, CPD &amp; Performance, 89 Hydepk St, Glasgow G3 8BW, Lanark, Scotland."/>
    <s v="david.cunningham@nes.scot.nhs.uk"/>
    <s v=""/>
    <s v=""/>
    <s v=""/>
    <s v=""/>
    <s v=""/>
    <s v=""/>
    <n v="0"/>
    <n v="0"/>
    <n v="0"/>
    <n v="0"/>
    <n v="1"/>
    <s v="SAGE PUBLICATIONS LTD"/>
    <s v="LONDON"/>
    <s v="1 OLIVERS YARD, 55 CITY ROAD, LONDON EC1Y 1SP, ENGLAND"/>
    <s v="0036-9330"/>
    <s v="2045-6441"/>
    <s v=""/>
    <s v="SCOT MED J"/>
    <s v="Scott. Med. J."/>
    <s v="NOV"/>
    <n v="2015"/>
    <n v="60"/>
    <n v="4"/>
    <s v=""/>
    <s v=""/>
    <s v="SI"/>
    <s v=""/>
    <n v="159"/>
    <n v="160"/>
    <s v=""/>
    <s v="10.1177/0036933015606574"/>
    <s v="http://dx.doi.org/10.1177/0036933015606574"/>
    <s v=""/>
    <s v=""/>
    <n v="2"/>
    <s v="Medicine, General &amp; Internal"/>
    <x v="2"/>
    <s v="General &amp; Internal Medicine"/>
    <s v="DA5ML"/>
    <n v="26449920"/>
    <s v=""/>
    <s v=""/>
    <s v=""/>
    <s v="2023-11-15"/>
    <x v="657"/>
    <s v="View Full Record in Web of Science"/>
  </r>
  <r>
    <s v="J"/>
    <s v="Andreacola, F; SanJuan, E; Poli, MS"/>
    <s v=""/>
    <s v=""/>
    <s v=""/>
    <s v="Andreacola, Florence; SanJuan, Eric; Poli, Marie-Sylvie"/>
    <s v=""/>
    <s v=""/>
    <s v="Methodology of Analysis of Museum User Computer Involvement"/>
    <s v="CANADIAN JOURNAL OF INFORMATION AND LIBRARY SCIENCE-REVUE CANADIENNE DES SCIENCES DE L INFORMATION ET DE BIBLIOTHECONOMIE"/>
    <s v=""/>
    <s v=""/>
    <s v="French"/>
    <x v="0"/>
    <s v=""/>
    <s v=""/>
    <s v=""/>
    <s v=""/>
    <s v=""/>
    <s v="museum; participatory web; mixed method; mind map; PLS Approach"/>
    <s v=""/>
    <s v="What is the relevance for a museum to develop a digital strategy, one of whose components is particularly based on the intention to distribute content designed by the museum for participatory online platforms? Given the existence of the constraints raised by the development of an IT strategy for participation, museums may not necessarily find it advantageous to act directly on these levers and can opt for outsourcing this type of distribution. It might also perhaps be for them a question of resisting against participation in the Web 2.0 trend that could be temporary. However, the results of the case studies presented here do not allow us to rule out the possibility that we will see a turning point as museums, if they want to continue to best fulfill their missions, including participatory, should negotiate the best they can."/>
    <s v="[Andreacola, Florence; SanJuan, Eric; Poli, Marie-Sylvie] Univ Avignon &amp; Pays Vaucluse, Dept Sci Informat &amp; Commun, Avignon, France"/>
    <s v="Avignon Universite"/>
    <s v="Andreacola, F (corresponding author), Univ Avignon &amp; Pays Vaucluse, Dept Sci Informat &amp; Commun, Avignon, France."/>
    <s v="florence.andreacola@alumni.univ-avignon.fr; eric.sanjuan@univ-avignon.fr; marie-sylvie.poli@univ-avignon.fr"/>
    <s v=""/>
    <s v=""/>
    <s v=""/>
    <s v=""/>
    <s v=""/>
    <s v=""/>
    <n v="17"/>
    <n v="0"/>
    <n v="0"/>
    <n v="0"/>
    <n v="6"/>
    <s v="CANADIAN ASSOC INFORMATION SCIENCE"/>
    <s v="OTTAWA"/>
    <s v="PO BOX 6174, STATION J, OTTAWA, ONTARIO K2A 1T2, CANADA"/>
    <s v="1195-096X"/>
    <s v=""/>
    <s v=""/>
    <s v="CAN J INFORM LIB SCI"/>
    <s v="Can. J. Inf. Libr. Sci.-Rev. Can. Sci. Inf. Bibl."/>
    <s v="SEP-DEC"/>
    <n v="2015"/>
    <n v="39"/>
    <s v="3-4"/>
    <s v=""/>
    <s v=""/>
    <s v="SI"/>
    <s v=""/>
    <n v="329"/>
    <n v="349"/>
    <s v=""/>
    <s v=""/>
    <s v=""/>
    <s v=""/>
    <s v=""/>
    <n v="21"/>
    <s v="Computer Science, Information Systems; Information Science &amp; Library Science"/>
    <x v="0"/>
    <s v="Computer Science; Information Science &amp; Library Science"/>
    <s v="CY1CR"/>
    <s v=""/>
    <s v=""/>
    <s v=""/>
    <s v=""/>
    <s v="2023-11-15"/>
    <x v="658"/>
    <s v="View Full Record in Web of Science"/>
  </r>
  <r>
    <s v="B"/>
    <s v="Solima, L"/>
    <s v=""/>
    <s v=""/>
    <s v="Informat Resources Management Assoc"/>
    <s v="Solima, Ludovico"/>
    <s v=""/>
    <s v=""/>
    <s v="Digital Resources and Approaches Adopted by User-Centred Museums: The Growing Impact of the Internet and Social Media"/>
    <s v="HOSPITALITY, TRAVEL, AND TOURISM: CONCEPTS, METHODOLOGIES, TOOLS, AND APPLICATIONS"/>
    <s v=""/>
    <s v=""/>
    <s v="English"/>
    <x v="1"/>
    <s v=""/>
    <s v=""/>
    <s v=""/>
    <s v=""/>
    <s v=""/>
    <s v=""/>
    <s v=""/>
    <s v="Society is experiencing unprecedented changes, largely attributable to the evolution of communication technologies, which are steadily reframing our way of life, and the methods we use to establish and maintain social relations. Museums are therefore facing numerous challenges, in general as a result of these developments: apps, open content, and the Internet-of-things. A complex relationship can be created between visitors and the museum, and this also opens new unexplored opportunities for user involvement in the museum's activities, even during the course of the visit itself. It is worth taking care to identify all the variables involved in the museum-visitor-relationship, which also encompasses the social dimension. Both the museum and the individual are active participants in a gradually expanding relationship, namely the growth of the so-called Web 2.0 and social media. Therefore, we can assume the need for museums to develop a conscious strategy for their social media presence, a real social media strategy, which forms part of the museum's wider digital strategy. The increasingly pervasive spread of e-mobile technology is a foretaste of the moment when museumgoers will radically change both the way of establishing relations with these organisations and the actual ways of using museum services. This chapter focuses on digital resources and approaches adopted by user-centred museums, where there is an increasing impact from the internet and social media."/>
    <s v="[Solima, Ludovico] Univ Naples 2, Naples, Italy"/>
    <s v="Universita della Campania Vanvitelli"/>
    <s v="Solima, L (corresponding author), Univ Naples 2, Naples, Italy."/>
    <s v=""/>
    <s v="SOLIMA, Ludovico/O-8682-2019"/>
    <s v="SOLIMA, Ludovico/0000-0002-1841-8603"/>
    <s v=""/>
    <s v=""/>
    <s v=""/>
    <s v=""/>
    <n v="62"/>
    <n v="0"/>
    <n v="0"/>
    <n v="0"/>
    <n v="1"/>
    <s v="IGI GLOBAL"/>
    <s v="HERSEY"/>
    <s v="701 E CHOCOLATE AVE, STE 200, HERSEY, PA 17033-1240 USA"/>
    <s v=""/>
    <s v=""/>
    <s v="978-1-4666-6544-6; 978-1-4666-6543-9"/>
    <s v=""/>
    <s v=""/>
    <s v=""/>
    <n v="2015"/>
    <s v=""/>
    <s v=""/>
    <s v=""/>
    <s v=""/>
    <s v=""/>
    <s v=""/>
    <n v="1375"/>
    <n v="1393"/>
    <s v=""/>
    <s v="10.4018/978-1-4666-6543-9.ch079"/>
    <s v="http://dx.doi.org/10.4018/978-1-4666-6543-9.ch079"/>
    <s v="10.4018/978-1-4666-6543-9"/>
    <s v=""/>
    <n v="19"/>
    <s v="Hospitality, Leisure, Sport &amp; Tourism"/>
    <x v="4"/>
    <s v="Social Sciences - Other Topics"/>
    <s v="BN9XD"/>
    <s v=""/>
    <s v=""/>
    <s v=""/>
    <s v=""/>
    <s v="2023-11-15"/>
    <x v="659"/>
    <s v="View Full Record in Web of Science"/>
  </r>
  <r>
    <s v="J"/>
    <s v="Thompson, P"/>
    <s v=""/>
    <s v=""/>
    <s v=""/>
    <s v="Thompson, Peter"/>
    <s v=""/>
    <s v=""/>
    <s v="WIRED-UP OR WIND-UP? THE POLITICAL ECONOMY OF BROADBAND POLICY IN NEW ZEALAND/AOTEAROA"/>
    <s v="MEDIA INTERNATIONAL AUSTRALIA"/>
    <s v=""/>
    <s v=""/>
    <s v="English"/>
    <x v="0"/>
    <s v=""/>
    <s v=""/>
    <s v=""/>
    <s v=""/>
    <s v=""/>
    <s v=""/>
    <s v=""/>
    <s v="Government policy has played a crucial role in driving the development of broadband technology in New Zealand, but this has evidently been shaped by the interplay of different ministerial imperatives and rationales under different administrations. The Labour-led government's 2005 Digital Strategy primarily aimed at increasing consumer uptake of basic broadband to overcome the 'digital divide'. This evolved into the more ambitious 2008 Digital Strategy 2.0 which, consistent with Labour's 'third way' philosophy, focused both on grassroots community engagement and economic goals (involving both the Ministry for Culture and Heritage and the Ministry of Economic Development). However, the election of the National-led government later in 2008 brought a shift in the principles and outcomes driving broadband policy. National's Ultra-Fast Broadband initiative has seen NZ$1.35 billion allocated to telecommunications companies that won contracts to develop a nationwide fibre-optic infrastructure. The political rationale more strongly reflects macro-economic imperatives informed primarily by the revamped Ministry for Business, Innovation and Employment. This more commercial policy orientation has nevertheless led the government into some complex and contradictory positions, particularly with respect to its reluctance to insulate the UFB initiative from demands to re-regulate the media sector in response to convergence and competition issues. Taking a critical institutionalist approach and drawing on evidence from key policy documents and interview data with policy actors, this analysis outlines several policy tensions underpinning the shifts in New Zealand's telecommunications and broadband policy between 2005 and 2013."/>
    <s v="Victoria Univ Wellington, Media Studies Program, Wellington, New Zealand"/>
    <s v="Victoria University Wellington"/>
    <s v="Thompson, P (corresponding author), Victoria Univ Wellington, Media Studies Program, Wellington, New Zealand."/>
    <s v=""/>
    <s v=""/>
    <s v=""/>
    <s v=""/>
    <s v=""/>
    <s v=""/>
    <s v=""/>
    <n v="33"/>
    <n v="0"/>
    <n v="0"/>
    <n v="0"/>
    <n v="9"/>
    <s v="UNIV QUEENSLAND PRESS"/>
    <s v="ST LUCIA"/>
    <s v="PO BOX 42, ST LUCIA, QUEENSLAND 4067, AUSTRALIA"/>
    <s v="1329-878X"/>
    <s v=""/>
    <s v=""/>
    <s v="MEDIA INT AUST"/>
    <s v="Media Int. Aust."/>
    <s v="MAY"/>
    <n v="2014"/>
    <s v=""/>
    <n v="151"/>
    <s v=""/>
    <s v=""/>
    <s v=""/>
    <s v=""/>
    <n v="146"/>
    <n v="156"/>
    <s v=""/>
    <s v=""/>
    <s v=""/>
    <s v=""/>
    <s v=""/>
    <n v="11"/>
    <s v="Communication"/>
    <x v="0"/>
    <s v="Communication"/>
    <s v="AK8PP"/>
    <s v=""/>
    <s v=""/>
    <s v=""/>
    <s v=""/>
    <s v="2023-11-15"/>
    <x v="660"/>
    <s v="View Full Record in Web of Science"/>
  </r>
  <r>
    <s v="J"/>
    <s v="Bermès, E"/>
    <s v=""/>
    <s v=""/>
    <s v=""/>
    <s v="Bermes, Emmanuelle"/>
    <s v=""/>
    <s v=""/>
    <s v="Following the user's flow in the Digital Pompidou"/>
    <s v="ZEITSCHRIFT FUR BIBLIOTHEKSWESEN UND BIBLIOGRAPHIE"/>
    <s v=""/>
    <s v=""/>
    <s v="English"/>
    <x v="0"/>
    <s v=""/>
    <s v=""/>
    <s v=""/>
    <s v=""/>
    <s v=""/>
    <s v=""/>
    <s v=""/>
    <s v="Seit 2007 verfolgt das Centre Pompidou, eines der bedeutendsten Museen fur zeitgenossische Kunst in Paris, eine neue digitale Strategie, um online verfugbaren Content weltweit abrufbar zu machen: das Digitale Centre Pompidou. Diese Plattform erlaubt den Zugriff auf die gesamte digitale Produktion des Museums sowie der ihm angegliederten Einrichtungen uber einen einzelnen Sucheinstieg. Der innovative auf Hypertexten basierende Ansatz beschert dem Besucher der Plattform oft unerwartete Entdeckungen und war das Resultat einer intensiven Auseinandersetzung mit dem Nutzerverhalten, moglich wurde er durch den Einsatz von Semantic-Web-Technologie. In Zukunft sollen die Nutzer der Seite noch starker eingebunden werden,damit sie den Content auch inhaltlich mitgestalten konnen. Since 2007, the Centre Pompidou, the major modern art museum in Paris, has been developing a new digital strategy aimed at providing a global platform for online digital content: the Digital Centre Pompidou. This platform provides access via a single entry point to the whole digital production of the organization and associated institutions. The combination of Semantic Web technologies and intensive research on end-user interface issues has resulted in an innovative approach to digital content based on hypertextual navigation which favours serendipity and unpredicted discoveries. Future evolutions of the platform also include involving users in constructing the meaning or semantics of the content."/>
    <s v="Ctr Pompidou, F-75004 Paris, France"/>
    <s v=""/>
    <s v="Bermès, E (corresponding author), Ctr Pompidou, Pl Georges Pompidou, F-75004 Paris, France."/>
    <s v="Emmanuelle.BERMES@centrepompidou.fr"/>
    <s v=""/>
    <s v=""/>
    <s v=""/>
    <s v=""/>
    <s v=""/>
    <s v=""/>
    <n v="8"/>
    <n v="0"/>
    <n v="0"/>
    <n v="0"/>
    <n v="6"/>
    <s v="VITTORIO KLOSTERMANN GMBH"/>
    <s v="FRANKFURT-AM-MAIN"/>
    <s v="POSTFACH 90 06 01, D-60446 FRANKFURT-AM-MAIN, GERMANY"/>
    <s v="0044-2380"/>
    <s v="1864-2950"/>
    <s v=""/>
    <s v="Z BIBL BIBL"/>
    <s v="Z. Bibl. Bibliogr."/>
    <s v="MAR-APR"/>
    <n v="2014"/>
    <n v="61"/>
    <n v="2"/>
    <s v=""/>
    <s v=""/>
    <s v=""/>
    <s v=""/>
    <n v="68"/>
    <n v="75"/>
    <s v=""/>
    <s v="10.3196/186429501461221"/>
    <s v="http://dx.doi.org/10.3196/186429501461221"/>
    <s v=""/>
    <s v=""/>
    <n v="8"/>
    <s v="Information Science &amp; Library Science"/>
    <x v="0"/>
    <s v="Information Science &amp; Library Science"/>
    <s v="AI5DT"/>
    <s v=""/>
    <s v="Green Submitted, Green Published"/>
    <s v=""/>
    <s v=""/>
    <s v="2023-11-15"/>
    <x v="661"/>
    <s v="View Full Record in Web of Science"/>
  </r>
  <r>
    <s v="J"/>
    <s v="Mouzykant, VL"/>
    <s v=""/>
    <s v=""/>
    <s v=""/>
    <s v="Mouzykant, V. L."/>
    <s v=""/>
    <s v=""/>
    <s v="THE STUDY OF SMM AS A VIRUS STRATEGY IN THE MEDIA SPACE"/>
    <s v="RUDN JOURNAL OF SOCIOLOGY-VESTNIK ROSSIISKOGO UNIVERSITETA DRUZHBY NARODOV SERIYA SOTSIOLOGIYA"/>
    <s v=""/>
    <s v=""/>
    <s v="Russian"/>
    <x v="0"/>
    <s v=""/>
    <s v=""/>
    <s v=""/>
    <s v=""/>
    <s v=""/>
    <s v="social marketing; SMM; virus marketing; video hosting; structure of the target audience; intensive virus; digital-strategies; demotivators"/>
    <s v=""/>
    <s v="The article describes the phenomenon of social marketing in the Internet that has changed the idea of the relationships between the addresser and the addressee in the social networks. The author analyzes the typology, genesis and consequences of the virus marketing in social networks from the perspective of the sociological analysis of media. The article considers the influence of the Internet on the behavior of the Russians, the methods of measuring the impact of the emerging new media. The author identifies different strategies in the SMM-market, such as creative content, digital-projects, media planning, simple content, government, close-to-government and educational projects. ROMIR within the GemuisAudience project conducted a research among 20 thousand Russian respondents to monitor their behavior in the sphere with the help of special sensors that identify Internet preferences of the Russians. The first results of the project revealed a trend - the more interesting the content the more likely the user is to share the app with his friends."/>
    <s v="[Mouzykant, V. L.] Peoples Friendship Univ Russia, Miklukho Maklaya Str 6, Moscow 117198, Russia"/>
    <s v="Peoples Friendship University of Russia"/>
    <s v="Mouzykant, VL (corresponding author), Peoples Friendship Univ Russia, Miklukho Maklaya Str 6, Moscow 117198, Russia."/>
    <s v="vmouzyka@mail.ru"/>
    <s v="Muzykant, valerii/AAE-1181-2020"/>
    <s v="Muzykant, valerii/0000-0001-9422-351X"/>
    <s v=""/>
    <s v=""/>
    <s v=""/>
    <s v=""/>
    <n v="5"/>
    <n v="0"/>
    <n v="0"/>
    <n v="0"/>
    <n v="0"/>
    <s v="PEOPLES FRIENDSHIP UNIV RUSSIA"/>
    <s v="MOSCOW"/>
    <s v="UL MIKLUKHO-MAKLAYA, DOM 6, MOSCOW, 117198, RUSSIA"/>
    <s v="2313-2272"/>
    <s v="2408-8897"/>
    <s v=""/>
    <s v="RUDN J SOCIOL"/>
    <s v="RUDN J. Sociol."/>
    <s v=""/>
    <n v="2014"/>
    <s v=""/>
    <n v="4"/>
    <s v=""/>
    <s v=""/>
    <s v=""/>
    <s v=""/>
    <n v="75"/>
    <n v="85"/>
    <s v=""/>
    <s v=""/>
    <s v=""/>
    <s v=""/>
    <s v=""/>
    <n v="11"/>
    <s v="Sociology"/>
    <x v="3"/>
    <s v="Sociology"/>
    <s v="VH0TQ"/>
    <s v=""/>
    <s v=""/>
    <s v=""/>
    <s v=""/>
    <s v="2023-11-15"/>
    <x v="662"/>
    <s v="View Full Record in Web of Science"/>
  </r>
  <r>
    <s v="J"/>
    <s v="Thomas, E"/>
    <s v=""/>
    <s v=""/>
    <s v=""/>
    <s v="Thomas, Eleanor"/>
    <s v=""/>
    <s v=""/>
    <s v="The Digital Strategy: a new era in e-book provision at UniSA"/>
    <s v="INSIGHTS-THE UKSG JOURNAL"/>
    <s v=""/>
    <s v=""/>
    <s v="English"/>
    <x v="0"/>
    <s v=""/>
    <s v=""/>
    <s v=""/>
    <s v=""/>
    <s v=""/>
    <s v=""/>
    <s v=""/>
    <s v="The University of South Australia Library (UniSA) has long recognized the advantages of e-books. In late 2011, the Library implemented a Digital Strategy that resulted in dramatic changes to the proportion of print and electronic monograph resources being acquired for the Library collection. The building of a new Learning Centre prompted the Digital Strategy and has provided both opportunities and challenges for the Library. This article examines the issues behind the creation of the Strategy and the impacts on academics, librarians, vendors and students."/>
    <s v="[Thomas, Eleanor] Univ South Australia Lib, Informat Resources &amp; Technol, Mawson Lakes Blvd, Mawson Lakes, SA 5095, Australia"/>
    <s v="University of South Australia"/>
    <s v="Thomas, E (corresponding author), Univ South Australia Lib, Informat Resources &amp; Technol, Mawson Lakes Blvd, Mawson Lakes, SA 5095, Australia."/>
    <s v="Eleanor.Thomas@unisa.edu.au"/>
    <s v="Thomas, Eleanor/L-6841-2014"/>
    <s v="Thomas, Eleanor/0000-0001-6731-0087"/>
    <s v=""/>
    <s v=""/>
    <s v=""/>
    <s v=""/>
    <n v="2"/>
    <n v="0"/>
    <n v="0"/>
    <n v="0"/>
    <n v="0"/>
    <s v="UBIQUITY PRESS LTD"/>
    <s v="LONDON"/>
    <s v="6 WINDMILL ST, LONDON, W1T 2JB, ENGLAND"/>
    <s v="2048-7754"/>
    <s v=""/>
    <s v=""/>
    <s v="INSIGHTS"/>
    <s v="Insights"/>
    <s v="JUL"/>
    <n v="2013"/>
    <n v="26"/>
    <n v="2"/>
    <s v=""/>
    <s v=""/>
    <s v=""/>
    <s v=""/>
    <n v="174"/>
    <n v="179"/>
    <s v=""/>
    <s v="10.1629/2048-7754.58"/>
    <s v="http://dx.doi.org/10.1629/2048-7754.58"/>
    <s v=""/>
    <s v=""/>
    <n v="6"/>
    <s v="Information Science &amp; Library Science"/>
    <x v="3"/>
    <s v="Information Science &amp; Library Science"/>
    <s v="VD1XL"/>
    <s v=""/>
    <s v="gold"/>
    <s v=""/>
    <s v=""/>
    <s v="2023-11-15"/>
    <x v="663"/>
    <s v="View Full Record in Web of Science"/>
  </r>
  <r>
    <s v="J"/>
    <s v="McCombs, GM"/>
    <s v=""/>
    <s v=""/>
    <s v=""/>
    <s v="McCombs, Gillian M."/>
    <s v=""/>
    <s v=""/>
    <s v="Using digital strategies to manage print collections more efficiently: a case study"/>
    <s v="LIBRARY MANAGEMENT"/>
    <s v=""/>
    <s v=""/>
    <s v="English"/>
    <x v="0"/>
    <s v=""/>
    <s v=""/>
    <s v=""/>
    <s v=""/>
    <s v=""/>
    <s v="Digitization; Access; Special collections; Institutional repository; Efficiency; Innovation; Government documents; Entrepreneurial; Metadata; Partnerships"/>
    <s v=""/>
    <s v="Purpose - The purpose of this paper is to document the use of digital strategies in managing print collections more efficiently in a small research institution. Design/methodology/approach - This is a case study which documents a four prong strategy that was used to manage collections as diverse as nineteenth century photographs, early twentieth century regional art, faculty conference papers, church history and student engaged learning initiatives. Findings - It takes several years to build critical mass. Patience, partnerships and creativity are essential. Timing is often crucial. Changing the culture is necessary. A university mandate is required. Originality/value - Sharing best practices is crucial in our profession. Although each institution is unique, we all have things we can learn from each other and tweak or adapt to our own environment. The important lessons here are in breaking down the digital projects into samplers and engaging users, donors and collectors to promote and support the work."/>
    <s v="[McCombs, Gillian M.] Southern Methodist Univ, Cent Univ Libraries, Dallas, TX 75205 USA"/>
    <s v="Southern Methodist University"/>
    <s v="McCombs, GM (corresponding author), Southern Methodist Univ, Cent Univ Libraries, Dallas, TX 75205 USA."/>
    <s v="gmccombs@smu.edu"/>
    <s v=""/>
    <s v=""/>
    <s v=""/>
    <s v=""/>
    <s v=""/>
    <s v=""/>
    <n v="12"/>
    <n v="0"/>
    <n v="1"/>
    <n v="0"/>
    <n v="1"/>
    <s v="EMERALD GROUP PUBLISHING LTD"/>
    <s v="BINGLEY"/>
    <s v="HOWARD HOUSE, WAGON LANE, BINGLEY BD16 1WA, W YORKSHIRE, ENGLAND"/>
    <s v="0143-5124"/>
    <s v="1758-7921"/>
    <s v=""/>
    <s v="LIBR MANAGE"/>
    <s v="Libr. Manage."/>
    <s v=""/>
    <n v="2013"/>
    <n v="34"/>
    <s v="4-5"/>
    <s v=""/>
    <s v=""/>
    <s v="SI"/>
    <s v=""/>
    <n v="290"/>
    <n v="298"/>
    <s v=""/>
    <s v="10.1108/01435121311328636"/>
    <s v="http://dx.doi.org/10.1108/01435121311328636"/>
    <s v=""/>
    <s v=""/>
    <n v="9"/>
    <s v="Information Science &amp; Library Science"/>
    <x v="3"/>
    <s v="Information Science &amp; Library Science"/>
    <s v="V94OL"/>
    <s v=""/>
    <s v=""/>
    <s v=""/>
    <s v=""/>
    <s v="2023-11-15"/>
    <x v="664"/>
    <s v="View Full Record in Web of Science"/>
  </r>
  <r>
    <s v="J"/>
    <s v="Attwooll, D"/>
    <s v=""/>
    <s v=""/>
    <s v=""/>
    <s v="Attwooll, David"/>
    <s v=""/>
    <s v=""/>
    <s v="Moth or Spider? Weaving a digital strategy"/>
    <s v="LOGOS-JOURNAL OF THE WORLD PUBLISHING COMMUNITY"/>
    <s v=""/>
    <s v=""/>
    <s v="English"/>
    <x v="0"/>
    <s v=""/>
    <s v=""/>
    <s v=""/>
    <s v=""/>
    <s v=""/>
    <s v=""/>
    <s v=""/>
    <s v=""/>
    <s v=""/>
    <s v=""/>
    <s v=""/>
    <s v="david@attwoollassociates.com"/>
    <s v=""/>
    <s v=""/>
    <s v=""/>
    <s v=""/>
    <s v=""/>
    <s v=""/>
    <n v="0"/>
    <n v="0"/>
    <n v="0"/>
    <n v="0"/>
    <n v="1"/>
    <s v="BRILL ACADEMIC PUBLISHERS"/>
    <s v="LEIDEN"/>
    <s v="PLANTIJNSTRAAT 2, P O BOX 9000, 2300 PA LEIDEN, NETHERLANDS"/>
    <s v="0957-9656"/>
    <s v="1878-4712"/>
    <s v=""/>
    <s v="LOGOS J WORLD PUBL C"/>
    <s v="Logos-J. World Publ. Community"/>
    <s v=""/>
    <n v="2012"/>
    <n v="23"/>
    <n v="1"/>
    <s v=""/>
    <s v=""/>
    <s v=""/>
    <s v=""/>
    <n v="13"/>
    <n v="15"/>
    <s v=""/>
    <s v="10.1163/095796512X640367"/>
    <s v="http://dx.doi.org/10.1163/095796512X640367"/>
    <s v=""/>
    <s v=""/>
    <n v="3"/>
    <s v="Humanities, Multidisciplinary"/>
    <x v="3"/>
    <s v="Arts &amp; Humanities - Other Topics"/>
    <s v="V2S7Q"/>
    <s v=""/>
    <s v=""/>
    <s v=""/>
    <s v=""/>
    <s v="2023-11-15"/>
    <x v="665"/>
    <s v="View Full Record in Web of Science"/>
  </r>
  <r>
    <s v="B"/>
    <s v="de Kervenoael, R; Palmer, M; Cakici, NM"/>
    <s v=""/>
    <s v=""/>
    <s v="Informat Resources Management Assoc"/>
    <s v="de Kervenoael, Ronan; Palmer, Mark; Cakici, N. Meltem"/>
    <s v=""/>
    <s v=""/>
    <s v="Exploring Civil Servant Resistance to M-Government: A Story of Transition and Opportunities in Turkey"/>
    <s v="DIGITAL DEMOCRACY: CONCEPTS, METHODOLOGIES, TOOLS, AND APPLICATIONS, VOL 1"/>
    <s v=""/>
    <s v=""/>
    <s v="English"/>
    <x v="1"/>
    <s v=""/>
    <s v=""/>
    <s v=""/>
    <s v=""/>
    <s v=""/>
    <s v=""/>
    <s v="ANTI-CONSUMPTION; IRON CAGE; PHONE; INNOVATION; KNOWLEDGE; STRATEGY; ADOPTION; FORMS"/>
    <s v="The concept of mobility, related to technology in particular, has evolved dramatically over the last two decades including: (i) hardware ranging from walkmans to Ipods, laptops to netbooks, PDAs to 3G mobile phone; (ii) software supporting multiple audio and video formats driven by ubiquitous mobile wireless access, WiMax, automations such as radio frequency ID tracking and location aware services. Against the background of increasing budget deficit, along with the imperative for efficiency gains, leveraging ICT and mobility promises for work related tasks, in a public administration context, in emerging markets, point to multiple possible paths. M-government transition involve both technological changes and adoption to deliver government services differently (e.g. 24/7, error free, anywhere to the same standards) but also the design of digital strategies including possibly competing m-government models, the re-shaping of cultural practices, the creation of m-policies and legislations, the structuring of m-services architecture, and progress regarding m-governance. While many emerging countries are already offering e-government services and are gearing-up for further m-government activities, little is actually known about the resistance that is encountered, as a reflection of civil servants' current standing, before any further macro-strategies are deployed. Drawing on the resistance and mobility literature, this chapter investigates how civil servants' behaviors, in an emerging country technological environment, through their everyday practice, react and resist the influence of m-government transition. The findings points to four main type of resistance namely: i) functional resistance; ii) ideological resistance; iii) market driven resistance and iv) geographical resistance. Policy implication are discussed in the specific context of emerging markets."/>
    <s v="[de Kervenoael, Ronan] Sabanci Univ, Istanbul, Turkey; [de Kervenoael, Ronan; Palmer, Mark] Aston Univ, Birmingham, W Midlands, England; [Cakici, N. Meltem] Gediz Univ, Izmir, Turkey"/>
    <s v="Sabanci University; Aston University; Gediz University"/>
    <s v="de Kervenoael, R (corresponding author), Sabanci Univ, Istanbul, Turkey."/>
    <s v=""/>
    <s v="Cakici, Meltem/N-8094-2016; De Kervenoael, Ronan/H-7009-2019"/>
    <s v="Cakici, Meltem/0000-0003-2009-0309;"/>
    <s v=""/>
    <s v=""/>
    <s v=""/>
    <s v=""/>
    <n v="113"/>
    <n v="0"/>
    <n v="0"/>
    <n v="0"/>
    <n v="3"/>
    <s v="IGI GLOBAL"/>
    <s v="HERSEY"/>
    <s v="701 E CHOCOLATE AVE, STE 200, HERSEY, PA 17033-1240 USA"/>
    <s v=""/>
    <s v=""/>
    <s v="978-1-4666-1741-4; 978-1-4666-1740-7"/>
    <s v=""/>
    <s v=""/>
    <s v=""/>
    <n v="2012"/>
    <s v=""/>
    <s v=""/>
    <s v=""/>
    <s v=""/>
    <s v=""/>
    <s v=""/>
    <n v="1554"/>
    <n v="1579"/>
    <s v=""/>
    <s v="10.4018/978-1-4666-1740-7.ch077"/>
    <s v="http://dx.doi.org/10.4018/978-1-4666-1740-7.ch077"/>
    <s v="10.4018/978-1-4666-1740-7"/>
    <s v=""/>
    <n v="26"/>
    <s v="Computer Science, Information Systems; Computer Science, Interdisciplinary Applications; Information Science &amp; Library Science"/>
    <x v="10"/>
    <s v="Computer Science; Information Science &amp; Library Science"/>
    <s v="BJ8FW"/>
    <s v=""/>
    <s v=""/>
    <s v=""/>
    <s v=""/>
    <s v="2023-11-15"/>
    <x v="666"/>
    <s v="View Full Record in Web of Science"/>
  </r>
  <r>
    <s v="J"/>
    <s v="Hall, F"/>
    <s v=""/>
    <s v=""/>
    <s v=""/>
    <s v="Hall, Frania"/>
    <s v=""/>
    <s v=""/>
    <s v="Teaching Change How publishing students can develop expertise to cope with digital challenges"/>
    <s v="LOGOS-JOURNAL OF THE WORLD PUBLISHING COMMUNITY"/>
    <s v=""/>
    <s v=""/>
    <s v="English"/>
    <x v="0"/>
    <s v=""/>
    <s v=""/>
    <s v=""/>
    <s v=""/>
    <s v=""/>
    <s v="publishing; book industry; change; digital; simulation; teaching; strategy; skills"/>
    <s v=""/>
    <s v="This paper explores the ways to equip students of publishing with the skills necessary to enter an industry facing unprecedented change. Digital strategies and business models are evolving rapidly within the book industry. Publishers need to recruit for the digital environment and can find it difficult to identify employees with the sort of skills they need. A short study was undertaken to explore the importance of teaching publishers in training about the skills required to design effective digital strategies in an environment that is always changing. Developing a simulation approach in this case allowed students to experience decision making, problem solving, and creative thinking, enabling them to be ready to adapt as the industry moves forward, and preparing them to be the publishers of the future."/>
    <s v="[Hall, Frania] Univ Arts London, London Coll Commun, London, England"/>
    <s v="University of Arts London"/>
    <s v="Hall, F (corresponding author), Univ Arts London, London Coll Commun, London, England."/>
    <s v="f.hall@lcc.arts.ac.uk"/>
    <s v=""/>
    <s v=""/>
    <s v=""/>
    <s v=""/>
    <s v=""/>
    <s v=""/>
    <n v="11"/>
    <n v="0"/>
    <n v="0"/>
    <n v="0"/>
    <n v="0"/>
    <s v="BRILL"/>
    <s v="LEIDEN"/>
    <s v="PLANTIJNSTRAAT 2, P O BOX 9000, 2300 PA LEIDEN, NETHERLANDS"/>
    <s v="0957-9656"/>
    <s v="1878-4712"/>
    <s v=""/>
    <s v="LOGOS J WORLD PUBL C"/>
    <s v="Logos-J. World Publ. Community"/>
    <s v=""/>
    <n v="2012"/>
    <n v="23"/>
    <n v="3"/>
    <s v=""/>
    <s v=""/>
    <s v=""/>
    <s v=""/>
    <n v="48"/>
    <n v="55"/>
    <s v=""/>
    <s v="10.1163/1878-4712-11111123"/>
    <s v="http://dx.doi.org/10.1163/1878-4712-11111123"/>
    <s v=""/>
    <s v=""/>
    <n v="8"/>
    <s v="Humanities, Multidisciplinary"/>
    <x v="3"/>
    <s v="Arts &amp; Humanities - Other Topics"/>
    <s v="V2S8J"/>
    <s v=""/>
    <s v=""/>
    <s v=""/>
    <s v=""/>
    <s v="2023-11-15"/>
    <x v="667"/>
    <s v="View Full Record in Web of Science"/>
  </r>
  <r>
    <s v="J"/>
    <s v="Pitieiro-Oterol, T"/>
    <s v=""/>
    <s v=""/>
    <s v=""/>
    <s v="Pitieiro-Oterol, Teresa"/>
    <s v=""/>
    <s v=""/>
    <s v="NEW LEARNING STRATEGISTS. DIGITAL SKILLS POWERED BY OWN-LEARNING"/>
    <s v="VIVAT ACADEMIA"/>
    <s v=""/>
    <s v=""/>
    <s v="Spanish"/>
    <x v="0"/>
    <s v=""/>
    <s v=""/>
    <s v=""/>
    <s v=""/>
    <s v=""/>
    <s v="Digital competitions; European space for higher education Autonomous; learning; Web 2.0; Viral Strategy"/>
    <s v=""/>
    <s v="IT penetration in society has developed new communication and information distribution forms. It has generated important changes in several day by day aspects like social interactions or learning. Particularly important has been the incorporation of web 2.0 tools in High Education methodologies. An incorporation that has allowed answering new demands to Network Society. The educational use of Web 2.0 favours digital competences development. These competences presents a particular dimension in High Education context, involved in European convergence process. Present work focus on the development of a viral communication initiative carried out in Audiovisual Advertising subject. An initiative based in web 2.0 possibilities and digital natives skills for developing and autonomous learning."/>
    <s v="[Pitieiro-Oterol, Teresa] Univ A Coruna, La Coruna, Spain"/>
    <s v="Universidade da Coruna"/>
    <s v="Pitieiro-Oterol, T (corresponding author), Univ A Coruna, La Coruna, Spain."/>
    <s v="teresa.pineiro@udc.es"/>
    <s v=""/>
    <s v=""/>
    <s v=""/>
    <s v=""/>
    <s v=""/>
    <s v=""/>
    <n v="24"/>
    <n v="0"/>
    <n v="0"/>
    <n v="0"/>
    <n v="0"/>
    <s v="UNIV COMPLUTENSE MADRID, SERVICIO PUBLICACIONES"/>
    <s v="MADRID"/>
    <s v="CIUDAD UNIV, OBISPO TREJO 3, MADRID, 28040, SPAIN"/>
    <s v="1575-2844"/>
    <s v=""/>
    <s v=""/>
    <s v="VIVAT ACAD"/>
    <s v="Vivat Acad."/>
    <s v="DEC"/>
    <n v="2011"/>
    <s v=""/>
    <n v="117"/>
    <s v=""/>
    <s v=""/>
    <s v=""/>
    <s v=""/>
    <n v="327"/>
    <n v="336"/>
    <s v=""/>
    <s v="10.15178/va.2011.117E.327-336"/>
    <s v="http://dx.doi.org/10.15178/va.2011.117E.327-336"/>
    <s v=""/>
    <s v=""/>
    <n v="10"/>
    <s v="Communication"/>
    <x v="3"/>
    <s v="Communication"/>
    <s v="V30EJ"/>
    <s v=""/>
    <s v="Green Submitted, gold"/>
    <s v=""/>
    <s v=""/>
    <s v="2023-11-15"/>
    <x v="668"/>
    <s v="View Full Record in Web of Science"/>
  </r>
  <r>
    <s v="J"/>
    <s v="Okada, SI"/>
    <s v=""/>
    <s v=""/>
    <s v=""/>
    <s v="Okada, Sionara Ioco"/>
    <s v=""/>
    <s v=""/>
    <s v="WEB ANALYTICS: MODELS OF ENGAGEMENT METRICS IN NEW MEDIA"/>
    <s v="REVISTA BRASILEIRA DE MARKETING"/>
    <s v=""/>
    <s v=""/>
    <s v="Portuguese"/>
    <x v="0"/>
    <s v=""/>
    <s v=""/>
    <s v=""/>
    <s v=""/>
    <s v=""/>
    <s v="Web analytics; Metrics; Digital strategies"/>
    <s v=""/>
    <s v="The measurement and continuous monitoring of market actions lead to knowledge of consumer behavior, not only on variables such as frequency, recency and value for money, but also engagement in questions and interaction with the product and / or trademark. The development of metrics for different media increases the amount of useful information on the consumption profile enabling the optimization of digital strategies to targeted audiences. This article is an update that aims to review the latest publications on models of metrics - web analytics- WA Consistent digital strategy and emerging media platforms. Regarding the methodology used, it is a secondary research, especially literature aiming to update and comparative analysis of three models web analytics- wa for organizations that operate in electronic retailing, using different digital channels. The study focuses on: i) Model of Five Stages of competition analysis, proposed by Davenport ii) Model maturity in web analytics, proposed by Hammel iii) Model Web analyticsScorecard proposed by Giuntini &amp; Morier. The expansion of M-commerce and the advent of Social Commerce assumed as irreversible trends, requiring organizations that operate in electronic retailing, metrics and performance indicators for continuous monitoring of consumer behavior in order to strengthen the interaction and metrics engagement as the main protagonists of contemporary digital strategies."/>
    <s v="[Okada, Sionara Ioco] Univ Fed Goias, Agronegocio, Goiania, Go, Brazil; [Okada, Sionara Ioco] Univ Fed Goias, Goiania, Go, Brazil"/>
    <s v="Universidade Federal de Goias; Universidade Federal de Goias"/>
    <s v="Okada, SI (corresponding author), Univ Fed Goias, Agronegocio, Goiania, Go, Brazil."/>
    <s v="sionara14@hotmail.com"/>
    <s v=""/>
    <s v=""/>
    <s v=""/>
    <s v=""/>
    <s v=""/>
    <s v=""/>
    <n v="23"/>
    <n v="0"/>
    <n v="0"/>
    <n v="0"/>
    <n v="1"/>
    <s v="UNIV NOVE JULHO"/>
    <s v="SAO PAULO"/>
    <s v="AV FRANCISCO MATARAZZO 612, AGUA BRANCA, SAO PAULO, C05001-100, BRAZIL"/>
    <s v="2177-5184"/>
    <s v=""/>
    <s v=""/>
    <s v="REV BRASIL MARK"/>
    <s v="Rev. Brasil. Mark."/>
    <s v="SEP-DEC"/>
    <n v="2011"/>
    <n v="10"/>
    <n v="3"/>
    <s v=""/>
    <s v=""/>
    <s v=""/>
    <s v=""/>
    <n v="107"/>
    <n v="126"/>
    <s v=""/>
    <s v=""/>
    <s v=""/>
    <s v=""/>
    <s v=""/>
    <n v="20"/>
    <s v="Business"/>
    <x v="3"/>
    <s v="Business &amp; Economics"/>
    <s v="V5P9A"/>
    <s v=""/>
    <s v=""/>
    <s v=""/>
    <s v=""/>
    <s v="2023-11-15"/>
    <x v="669"/>
    <s v="View Full Record in Web of Science"/>
  </r>
  <r>
    <s v="J"/>
    <s v="Mittrowann, A"/>
    <s v=""/>
    <s v=""/>
    <s v=""/>
    <s v="Mittrowann, Andreas"/>
    <s v=""/>
    <s v=""/>
    <s v="Strategic, Digital, Human: The Library of the Future. A View on International Developments by a German Library Supplier"/>
    <s v="PUBLIC LIBRARY QUARTERLY"/>
    <s v=""/>
    <s v=""/>
    <s v="English"/>
    <x v="0"/>
    <s v=""/>
    <s v=""/>
    <s v=""/>
    <s v=""/>
    <s v=""/>
    <s v="future; strategy; digital; virtual; competencies; physical; place"/>
    <s v=""/>
    <s v="The library of the future will survive if it is able to adapt and respond quickly to technological and demographic changes and shifting user needs. But what do the users want from the library of the future? To answer this question, this article reports the results of a study related to user expectations regarding library services, the need for a strategic services plan drawn from it and the role of digital services as well as human librarians in the future. This article is based on an ever-changing presentation the author has delivered to library leaders and workers in Germany and internationally."/>
    <s v="[Mittrowann, Andreas] Ekz Bibliotheksserv GmbH, Bismarckstr 3, D-72764 Reutlingen, Germany"/>
    <s v=""/>
    <s v="Mittrowann, A (corresponding author), Ekz Bibliotheksserv GmbH, Bismarckstr 3, D-72764 Reutlingen, Germany."/>
    <s v="andreas.mittrowann@ekz.de"/>
    <s v=""/>
    <s v=""/>
    <s v=""/>
    <s v=""/>
    <s v=""/>
    <s v=""/>
    <n v="5"/>
    <n v="0"/>
    <n v="0"/>
    <n v="0"/>
    <n v="0"/>
    <s v="ROUTLEDGE JOURNALS, TAYLOR &amp; FRANCIS LTD"/>
    <s v="ABINGDON"/>
    <s v="2-4 PARK SQUARE, MILTON PARK, ABINGDON OX14 4RN, OXON, ENGLAND"/>
    <s v="0161-6846"/>
    <s v="1541-1540"/>
    <s v=""/>
    <s v="PUBLIC LIBR Q"/>
    <s v="Public Libr. Q."/>
    <s v=""/>
    <n v="2009"/>
    <n v="28"/>
    <n v="3"/>
    <s v=""/>
    <s v=""/>
    <s v=""/>
    <s v=""/>
    <n v="193"/>
    <n v="203"/>
    <s v=""/>
    <s v="10.1080/01616840903106949"/>
    <s v="http://dx.doi.org/10.1080/01616840903106949"/>
    <s v=""/>
    <s v=""/>
    <n v="11"/>
    <s v="Information Science &amp; Library Science"/>
    <x v="3"/>
    <s v="Information Science &amp; Library Science"/>
    <s v="VB3PV"/>
    <s v=""/>
    <s v=""/>
    <s v=""/>
    <s v=""/>
    <s v="2023-11-15"/>
    <x v="670"/>
    <s v="View Full Record in Web of Science"/>
  </r>
  <r>
    <s v="J"/>
    <s v="Díaz, EF; Gorospe, JMC"/>
    <s v=""/>
    <s v=""/>
    <s v=""/>
    <s v="Fernandez Diaz, Elia; Correa Gorospe, Jose Miguel"/>
    <s v=""/>
    <s v=""/>
    <s v="Integration of ICT in collaborative projects through sponsorships digital"/>
    <s v="REVISTA LATINOAMERICANA DE TECNOLOGIA EDUCATIVA-RELATEC"/>
    <s v=""/>
    <s v=""/>
    <s v="Spanish"/>
    <x v="0"/>
    <s v=""/>
    <s v=""/>
    <s v=""/>
    <s v=""/>
    <s v=""/>
    <s v="Teachers Longlife Learning; Information And Comunication Techology; Action-research; Pre-school And Primary Education; Learning In Collaboration"/>
    <s v=""/>
    <s v="In the educational practice, the stage of the timely implementation of ICT must give way to a stadium in the transformation processes that lead to improvement and normalization of its use in the classroom, according to a model capable of combining resources and different in nature and format, reviewing and transforming the teaching work. In this line of reflection, on the action dovetailed work of our network of Preschool, generated around a training action that complements the use of a platform moodle with different tools of technology for social milestones of the process we highlight the following: Development projects collaborative learning centres where students spoke of Preschool and Primary. Review of methodological approaches and facilitation strategies to remove obstacles arising from the shortage of ICT resources in schools: guidelines for more flexible spaces and timetables, systematisation of sponsorships as digital strategies and Child tutoring for the use of technology and diversification of the clusters. Integration of tools of social technology and optimiztion of scaffoliding among participants to rethink and improve integration of ICT as well as contribute to the dissemination of experiences."/>
    <s v="[Fernandez Diaz, Elia] Univ Basque Country, Escuela Univ Magisterio, Dpto Didact, Onati Plaza 3, San Sebastian 20018, Spain; Univ Basque Country, Org Escolar, San Sebastian 20018, Spain"/>
    <s v="University of Basque Country; University of Basque Country"/>
    <s v="Díaz, EF (corresponding author), Univ Basque Country, Escuela Univ Magisterio, Dpto Didact, Onati Plaza 3, San Sebastian 20018, Spain."/>
    <s v="fernandez.elia@gmail.com; sgpcogoj@sc.ehu.es"/>
    <s v="Fernández-Díaz, Elia EFD/H-2790-2015; CORREA-GOROSPE, JOSE M./L-5627-2013"/>
    <s v="Fernández-Díaz, Elia EFD/0000-0003-0647-260X; CORREA-GOROSPE, JOSE M./0000-0002-6570-9905"/>
    <s v=""/>
    <s v=""/>
    <s v=""/>
    <s v=""/>
    <n v="12"/>
    <n v="0"/>
    <n v="0"/>
    <n v="0"/>
    <n v="0"/>
    <s v="UNIV EXTREMADURA, FAC EDUCACION"/>
    <s v="BADAJOZ"/>
    <s v="AV ELVAS S-N, BADAJOZ, 06071, SPAIN"/>
    <s v="1695-288X"/>
    <s v=""/>
    <s v=""/>
    <s v="REV LATINOAM TECNOL"/>
    <s v="Rev. Latinoam. Tecnol. Educ.-RELATEC"/>
    <s v=""/>
    <n v="2008"/>
    <n v="7"/>
    <n v="2"/>
    <s v=""/>
    <s v=""/>
    <s v=""/>
    <s v=""/>
    <n v="45"/>
    <n v="55"/>
    <s v=""/>
    <s v=""/>
    <s v=""/>
    <s v=""/>
    <s v=""/>
    <n v="11"/>
    <s v="Education &amp; Educational Research"/>
    <x v="3"/>
    <s v="Education &amp; Educational Research"/>
    <s v="V54WX"/>
    <s v=""/>
    <s v=""/>
    <s v=""/>
    <s v=""/>
    <s v="2023-11-15"/>
    <x v="671"/>
    <s v="View Full Record in Web of Science"/>
  </r>
  <r>
    <s v="J"/>
    <s v="Siakas, K; Kotsialos, T"/>
    <s v=""/>
    <s v=""/>
    <s v=""/>
    <s v="Siakas, Kerstin; Kotsialos, Themis"/>
    <s v=""/>
    <s v=""/>
    <s v="The Greek information society"/>
    <s v="INFORMACIOS TARSADALOM"/>
    <s v=""/>
    <s v=""/>
    <s v="Hungarian"/>
    <x v="0"/>
    <s v=""/>
    <s v=""/>
    <s v=""/>
    <s v=""/>
    <s v=""/>
    <s v="Greece; information society; broadband access; telecommunications; ICT"/>
    <s v="E-GOVERNMENT"/>
    <s v="The authors of this country report argue that the information society in Greece Is developing slowly, and Greece is close to the bottom of the EU ranking regarding most indicators. Broadband adoption is not sufficient, and even narrowband is not widespread. Due to shortcomings of the infrastructure, across all internet services usage is far below average. Accordingly, basic and specialist ICT skills in Greece are low. However, important encouraging steps are being taken to improve the situation. ICT development initiatives for regulation, education, and infrastructure development have been announced and several programs are being implemented. A fundamental precondition for success is rapid completion of liberalisation of the telecommunications services market. The Digital Strategy 2006-2013 alms at bridging the digital gap that still exists between Greece and other member states of the EU."/>
    <s v=""/>
    <s v=""/>
    <s v=""/>
    <s v="siaka@it.teithe.gr"/>
    <s v=""/>
    <s v=""/>
    <s v=""/>
    <s v=""/>
    <s v=""/>
    <s v=""/>
    <n v="39"/>
    <n v="0"/>
    <n v="0"/>
    <n v="0"/>
    <n v="0"/>
    <s v="INFONIA"/>
    <s v="BUDAPEST"/>
    <s v="MUEGYETEM RKP 9 II EMELET 210, BUDAPEST, 1111, HUNGARY"/>
    <s v="1587-8694"/>
    <s v=""/>
    <s v=""/>
    <s v="INF TARSAD"/>
    <s v="Inf. Tarsad."/>
    <s v=""/>
    <n v="2008"/>
    <n v="8"/>
    <n v="3"/>
    <s v=""/>
    <s v=""/>
    <s v=""/>
    <s v=""/>
    <n v="82"/>
    <s v="+"/>
    <s v=""/>
    <s v=""/>
    <s v=""/>
    <s v=""/>
    <s v=""/>
    <n v="32"/>
    <s v="Information Science &amp; Library Science"/>
    <x v="0"/>
    <s v="Information Science &amp; Library Science"/>
    <s v="363NX"/>
    <s v=""/>
    <s v=""/>
    <s v=""/>
    <s v=""/>
    <s v="2023-11-15"/>
    <x v="672"/>
    <s v="View Full Record in Web of Science"/>
  </r>
  <r>
    <s v="J"/>
    <s v="McNulty, E"/>
    <s v=""/>
    <s v=""/>
    <s v=""/>
    <s v="McNulty, E"/>
    <s v=""/>
    <s v=""/>
    <s v="Just in time for the holidays"/>
    <s v="HARVARD BUSINESS REVIEW"/>
    <s v=""/>
    <s v=""/>
    <s v="English"/>
    <x v="0"/>
    <s v=""/>
    <s v=""/>
    <s v=""/>
    <s v=""/>
    <s v=""/>
    <s v=""/>
    <s v=""/>
    <s v="It's the busiest time of year for North Pole Workshops. Production is in high gear, and the elves are on overtime in the sprint toward Christmas. But an unexpected spike in demand for one toy may leave children around the world disappointed on Christmas morning, whether they've been naughty or nice. At the same time, another toy's popularity threatens to plummet, leaving Santa and his elves faced with the prospect of millions of unloved playthings left in the warehouse. This is the third time in three years that Santa's elves have been caught off guard by a toy's sudden surge in popularity. Earlier in the season, even just a month ago, it would have been possible to find capacity, but now every line is running full tilt. Oh, it used to be so simple, Santa ruminates. Wooden blocks, a train set, a doll... Now we have more than a million SKUs.... Trends jump across the oceans in an instant. I've asked the elves in the field to go beyond reporting on kids' behavior and start trend spotting. I've invested in software. But still I can't help thinking that one of these days we're not going to be able to do it. Santa and his staff are determined not to disappoint the children, but North Pole Workshops must find a way to improve its response to shifts in demand. Should Santa invest in better forecasting? Or does the answer lie in a more flexible supply chain? Commenting on this fictional case study are M. Eric Johnson, the director of the Glassmeyer/McNamee Center for Digital Strategies at Dartmouth's Tuck School of Business; Horst Brandstatter, the owner of Playmobil; Warren Hausman, a professor of operations management at Stanford University; and Anne Omrod, the CEO of the consulting firm John Galt Solutions."/>
    <s v="Harvard Univ, Business Sch Publishing, Conference Div, Boston, MA 02115 USA"/>
    <s v="Harvard University"/>
    <s v="McNulty, E (corresponding author), Harvard Univ, Business Sch Publishing, Conference Div, Boston, MA 02115 USA."/>
    <s v="emcnulty@hbsp.harvard.edu"/>
    <s v=""/>
    <s v=""/>
    <s v=""/>
    <s v=""/>
    <s v=""/>
    <s v=""/>
    <n v="0"/>
    <n v="0"/>
    <n v="0"/>
    <n v="0"/>
    <n v="5"/>
    <s v="HARVARD BUSINESS SCHOOL PUBLISHING CORPORATION"/>
    <s v="WATERTOWN"/>
    <s v="300 NORTH BEACON STREET, WATERTOWN, MA 02472 USA"/>
    <s v="0017-8012"/>
    <s v=""/>
    <s v=""/>
    <s v="HARVARD BUS REV"/>
    <s v="Harv. Bus. Rev."/>
    <s v="DEC"/>
    <n v="2005"/>
    <n v="83"/>
    <n v="12"/>
    <s v=""/>
    <s v=""/>
    <s v=""/>
    <s v=""/>
    <n v="39"/>
    <s v="+"/>
    <s v=""/>
    <s v=""/>
    <s v=""/>
    <s v=""/>
    <s v=""/>
    <n v="9"/>
    <s v="Business; Management"/>
    <x v="0"/>
    <s v="Business &amp; Economics"/>
    <s v="986MP"/>
    <s v=""/>
    <s v=""/>
    <s v=""/>
    <s v=""/>
    <s v="2023-11-15"/>
    <x v="673"/>
    <s v="View Full Record in Web of Science"/>
  </r>
</pivotCacheRecords>
</file>

<file path=xl/pivotCache/pivotCacheRecords2.xml><?xml version="1.0" encoding="utf-8"?>
<pivotCacheRecords xmlns="http://schemas.openxmlformats.org/spreadsheetml/2006/main" xmlns:r="http://schemas.openxmlformats.org/officeDocument/2006/relationships" count="2152">
  <r>
    <x v="0"/>
  </r>
  <r>
    <x v="1"/>
  </r>
  <r>
    <x v="2"/>
  </r>
  <r>
    <x v="3"/>
  </r>
  <r>
    <x v="4"/>
  </r>
  <r>
    <x v="5"/>
  </r>
  <r>
    <x v="6"/>
  </r>
  <r>
    <x v="7"/>
  </r>
  <r>
    <x v="8"/>
  </r>
  <r>
    <x v="9"/>
  </r>
  <r>
    <x v="10"/>
  </r>
  <r>
    <x v="11"/>
  </r>
  <r>
    <x v="12"/>
  </r>
  <r>
    <x v="12"/>
  </r>
  <r>
    <x v="13"/>
  </r>
  <r>
    <x v="14"/>
  </r>
  <r>
    <x v="15"/>
  </r>
  <r>
    <x v="16"/>
  </r>
  <r>
    <x v="17"/>
  </r>
  <r>
    <x v="18"/>
  </r>
  <r>
    <x v="19"/>
  </r>
  <r>
    <x v="20"/>
  </r>
  <r>
    <x v="21"/>
  </r>
  <r>
    <x v="22"/>
  </r>
  <r>
    <x v="23"/>
  </r>
  <r>
    <x v="24"/>
  </r>
  <r>
    <x v="25"/>
  </r>
  <r>
    <x v="26"/>
  </r>
  <r>
    <x v="27"/>
  </r>
  <r>
    <x v="28"/>
  </r>
  <r>
    <x v="29"/>
  </r>
  <r>
    <x v="30"/>
  </r>
  <r>
    <x v="31"/>
  </r>
  <r>
    <x v="32"/>
  </r>
  <r>
    <x v="33"/>
  </r>
  <r>
    <x v="34"/>
  </r>
  <r>
    <x v="35"/>
  </r>
  <r>
    <x v="36"/>
  </r>
  <r>
    <x v="37"/>
  </r>
  <r>
    <x v="38"/>
  </r>
  <r>
    <x v="39"/>
  </r>
  <r>
    <x v="40"/>
  </r>
  <r>
    <x v="41"/>
  </r>
  <r>
    <x v="42"/>
  </r>
  <r>
    <x v="43"/>
  </r>
  <r>
    <x v="43"/>
  </r>
  <r>
    <x v="44"/>
  </r>
  <r>
    <x v="45"/>
  </r>
  <r>
    <x v="46"/>
  </r>
  <r>
    <x v="47"/>
  </r>
  <r>
    <x v="48"/>
  </r>
  <r>
    <x v="49"/>
  </r>
  <r>
    <x v="50"/>
  </r>
  <r>
    <x v="51"/>
  </r>
  <r>
    <x v="52"/>
  </r>
  <r>
    <x v="53"/>
  </r>
  <r>
    <x v="54"/>
  </r>
  <r>
    <x v="55"/>
  </r>
  <r>
    <x v="56"/>
  </r>
  <r>
    <x v="57"/>
  </r>
  <r>
    <x v="58"/>
  </r>
  <r>
    <x v="59"/>
  </r>
  <r>
    <x v="60"/>
  </r>
  <r>
    <x v="61"/>
  </r>
  <r>
    <x v="62"/>
  </r>
  <r>
    <x v="63"/>
  </r>
  <r>
    <x v="64"/>
  </r>
  <r>
    <x v="65"/>
  </r>
  <r>
    <x v="66"/>
  </r>
  <r>
    <x v="67"/>
  </r>
  <r>
    <x v="68"/>
  </r>
  <r>
    <x v="69"/>
  </r>
  <r>
    <x v="70"/>
  </r>
  <r>
    <x v="71"/>
  </r>
  <r>
    <x v="72"/>
  </r>
  <r>
    <x v="73"/>
  </r>
  <r>
    <x v="74"/>
  </r>
  <r>
    <x v="75"/>
  </r>
  <r>
    <x v="76"/>
  </r>
  <r>
    <x v="77"/>
  </r>
  <r>
    <x v="78"/>
  </r>
  <r>
    <x v="79"/>
  </r>
  <r>
    <x v="80"/>
  </r>
  <r>
    <x v="81"/>
  </r>
  <r>
    <x v="82"/>
  </r>
  <r>
    <x v="83"/>
  </r>
  <r>
    <x v="83"/>
  </r>
  <r>
    <x v="84"/>
  </r>
  <r>
    <x v="85"/>
  </r>
  <r>
    <x v="85"/>
  </r>
  <r>
    <x v="86"/>
  </r>
  <r>
    <x v="87"/>
  </r>
  <r>
    <x v="88"/>
  </r>
  <r>
    <x v="89"/>
  </r>
  <r>
    <x v="90"/>
  </r>
  <r>
    <x v="91"/>
  </r>
  <r>
    <x v="92"/>
  </r>
  <r>
    <x v="93"/>
  </r>
  <r>
    <x v="94"/>
  </r>
  <r>
    <x v="95"/>
  </r>
  <r>
    <x v="96"/>
  </r>
  <r>
    <x v="97"/>
  </r>
  <r>
    <x v="98"/>
  </r>
  <r>
    <x v="99"/>
  </r>
  <r>
    <x v="100"/>
  </r>
  <r>
    <x v="101"/>
  </r>
  <r>
    <x v="102"/>
  </r>
  <r>
    <x v="103"/>
  </r>
  <r>
    <x v="104"/>
  </r>
  <r>
    <x v="105"/>
  </r>
  <r>
    <x v="106"/>
  </r>
  <r>
    <x v="107"/>
  </r>
  <r>
    <x v="108"/>
  </r>
  <r>
    <x v="109"/>
  </r>
  <r>
    <x v="110"/>
  </r>
  <r>
    <x v="111"/>
  </r>
  <r>
    <x v="112"/>
  </r>
  <r>
    <x v="113"/>
  </r>
  <r>
    <x v="114"/>
  </r>
  <r>
    <x v="115"/>
  </r>
  <r>
    <x v="116"/>
  </r>
  <r>
    <x v="117"/>
  </r>
  <r>
    <x v="118"/>
  </r>
  <r>
    <x v="119"/>
  </r>
  <r>
    <x v="120"/>
  </r>
  <r>
    <x v="121"/>
  </r>
  <r>
    <x v="122"/>
  </r>
  <r>
    <x v="123"/>
  </r>
  <r>
    <x v="124"/>
  </r>
  <r>
    <x v="125"/>
  </r>
  <r>
    <x v="126"/>
  </r>
  <r>
    <x v="127"/>
  </r>
  <r>
    <x v="128"/>
  </r>
  <r>
    <x v="129"/>
  </r>
  <r>
    <x v="130"/>
  </r>
  <r>
    <x v="131"/>
  </r>
  <r>
    <x v="132"/>
  </r>
  <r>
    <x v="133"/>
  </r>
  <r>
    <x v="134"/>
  </r>
  <r>
    <x v="135"/>
  </r>
  <r>
    <x v="136"/>
  </r>
  <r>
    <x v="137"/>
  </r>
  <r>
    <x v="138"/>
  </r>
  <r>
    <x v="139"/>
  </r>
  <r>
    <x v="140"/>
  </r>
  <r>
    <x v="141"/>
  </r>
  <r>
    <x v="142"/>
  </r>
  <r>
    <x v="143"/>
  </r>
  <r>
    <x v="144"/>
  </r>
  <r>
    <x v="145"/>
  </r>
  <r>
    <x v="146"/>
  </r>
  <r>
    <x v="147"/>
  </r>
  <r>
    <x v="148"/>
  </r>
  <r>
    <x v="149"/>
  </r>
  <r>
    <x v="150"/>
  </r>
  <r>
    <x v="151"/>
  </r>
  <r>
    <x v="152"/>
  </r>
  <r>
    <x v="153"/>
  </r>
  <r>
    <x v="154"/>
  </r>
  <r>
    <x v="155"/>
  </r>
  <r>
    <x v="156"/>
  </r>
  <r>
    <x v="157"/>
  </r>
  <r>
    <x v="158"/>
  </r>
  <r>
    <x v="159"/>
  </r>
  <r>
    <x v="160"/>
  </r>
  <r>
    <x v="161"/>
  </r>
  <r>
    <x v="162"/>
  </r>
  <r>
    <x v="163"/>
  </r>
  <r>
    <x v="164"/>
  </r>
  <r>
    <x v="165"/>
  </r>
  <r>
    <x v="166"/>
  </r>
  <r>
    <x v="167"/>
  </r>
  <r>
    <x v="168"/>
  </r>
  <r>
    <x v="168"/>
  </r>
  <r>
    <x v="169"/>
  </r>
  <r>
    <x v="170"/>
  </r>
  <r>
    <x v="171"/>
  </r>
  <r>
    <x v="172"/>
  </r>
  <r>
    <x v="173"/>
  </r>
  <r>
    <x v="174"/>
  </r>
  <r>
    <x v="175"/>
  </r>
  <r>
    <x v="176"/>
  </r>
  <r>
    <x v="177"/>
  </r>
  <r>
    <x v="178"/>
  </r>
  <r>
    <x v="179"/>
  </r>
  <r>
    <x v="179"/>
  </r>
  <r>
    <x v="180"/>
  </r>
  <r>
    <x v="181"/>
  </r>
  <r>
    <x v="182"/>
  </r>
  <r>
    <x v="183"/>
  </r>
  <r>
    <x v="184"/>
  </r>
  <r>
    <x v="185"/>
  </r>
  <r>
    <x v="186"/>
  </r>
  <r>
    <x v="187"/>
  </r>
  <r>
    <x v="188"/>
  </r>
  <r>
    <x v="189"/>
  </r>
  <r>
    <x v="190"/>
  </r>
  <r>
    <x v="191"/>
  </r>
  <r>
    <x v="192"/>
  </r>
  <r>
    <x v="193"/>
  </r>
  <r>
    <x v="194"/>
  </r>
  <r>
    <x v="195"/>
  </r>
  <r>
    <x v="196"/>
  </r>
  <r>
    <x v="197"/>
  </r>
  <r>
    <x v="198"/>
  </r>
  <r>
    <x v="199"/>
  </r>
  <r>
    <x v="200"/>
  </r>
  <r>
    <x v="201"/>
  </r>
  <r>
    <x v="202"/>
  </r>
  <r>
    <x v="203"/>
  </r>
  <r>
    <x v="204"/>
  </r>
  <r>
    <x v="205"/>
  </r>
  <r>
    <x v="206"/>
  </r>
  <r>
    <x v="207"/>
  </r>
  <r>
    <x v="208"/>
  </r>
  <r>
    <x v="209"/>
  </r>
  <r>
    <x v="210"/>
  </r>
  <r>
    <x v="211"/>
  </r>
  <r>
    <x v="212"/>
  </r>
  <r>
    <x v="213"/>
  </r>
  <r>
    <x v="214"/>
  </r>
  <r>
    <x v="215"/>
  </r>
  <r>
    <x v="216"/>
  </r>
  <r>
    <x v="217"/>
  </r>
  <r>
    <x v="218"/>
  </r>
  <r>
    <x v="219"/>
  </r>
  <r>
    <x v="220"/>
  </r>
  <r>
    <x v="221"/>
  </r>
  <r>
    <x v="222"/>
  </r>
  <r>
    <x v="223"/>
  </r>
  <r>
    <x v="224"/>
  </r>
  <r>
    <x v="225"/>
  </r>
  <r>
    <x v="226"/>
  </r>
  <r>
    <x v="227"/>
  </r>
  <r>
    <x v="228"/>
  </r>
  <r>
    <x v="229"/>
  </r>
  <r>
    <x v="230"/>
  </r>
  <r>
    <x v="231"/>
  </r>
  <r>
    <x v="232"/>
  </r>
  <r>
    <x v="233"/>
  </r>
  <r>
    <x v="234"/>
  </r>
  <r>
    <x v="235"/>
  </r>
  <r>
    <x v="236"/>
  </r>
  <r>
    <x v="237"/>
  </r>
  <r>
    <x v="238"/>
  </r>
  <r>
    <x v="239"/>
  </r>
  <r>
    <x v="240"/>
  </r>
  <r>
    <x v="241"/>
  </r>
  <r>
    <x v="242"/>
  </r>
  <r>
    <x v="243"/>
  </r>
  <r>
    <x v="243"/>
  </r>
  <r>
    <x v="244"/>
  </r>
  <r>
    <x v="245"/>
  </r>
  <r>
    <x v="246"/>
  </r>
  <r>
    <x v="247"/>
  </r>
  <r>
    <x v="248"/>
  </r>
  <r>
    <x v="249"/>
  </r>
  <r>
    <x v="250"/>
  </r>
  <r>
    <x v="251"/>
  </r>
  <r>
    <x v="252"/>
  </r>
  <r>
    <x v="253"/>
  </r>
  <r>
    <x v="254"/>
  </r>
  <r>
    <x v="255"/>
  </r>
  <r>
    <x v="256"/>
  </r>
  <r>
    <x v="257"/>
  </r>
  <r>
    <x v="258"/>
  </r>
  <r>
    <x v="259"/>
  </r>
  <r>
    <x v="260"/>
  </r>
  <r>
    <x v="261"/>
  </r>
  <r>
    <x v="262"/>
  </r>
  <r>
    <x v="263"/>
  </r>
  <r>
    <x v="264"/>
  </r>
  <r>
    <x v="265"/>
  </r>
  <r>
    <x v="266"/>
  </r>
  <r>
    <x v="267"/>
  </r>
  <r>
    <x v="268"/>
  </r>
  <r>
    <x v="269"/>
  </r>
  <r>
    <x v="270"/>
  </r>
  <r>
    <x v="270"/>
  </r>
  <r>
    <x v="270"/>
  </r>
  <r>
    <x v="271"/>
  </r>
  <r>
    <x v="272"/>
  </r>
  <r>
    <x v="273"/>
  </r>
  <r>
    <x v="274"/>
  </r>
  <r>
    <x v="275"/>
  </r>
  <r>
    <x v="276"/>
  </r>
  <r>
    <x v="277"/>
  </r>
  <r>
    <x v="278"/>
  </r>
  <r>
    <x v="279"/>
  </r>
  <r>
    <x v="280"/>
  </r>
  <r>
    <x v="281"/>
  </r>
  <r>
    <x v="282"/>
  </r>
  <r>
    <x v="283"/>
  </r>
  <r>
    <x v="284"/>
  </r>
  <r>
    <x v="285"/>
  </r>
  <r>
    <x v="286"/>
  </r>
  <r>
    <x v="287"/>
  </r>
  <r>
    <x v="288"/>
  </r>
  <r>
    <x v="289"/>
  </r>
  <r>
    <x v="290"/>
  </r>
  <r>
    <x v="291"/>
  </r>
  <r>
    <x v="291"/>
  </r>
  <r>
    <x v="292"/>
  </r>
  <r>
    <x v="293"/>
  </r>
  <r>
    <x v="294"/>
  </r>
  <r>
    <x v="295"/>
  </r>
  <r>
    <x v="296"/>
  </r>
  <r>
    <x v="297"/>
  </r>
  <r>
    <x v="298"/>
  </r>
  <r>
    <x v="299"/>
  </r>
  <r>
    <x v="300"/>
  </r>
  <r>
    <x v="301"/>
  </r>
  <r>
    <x v="302"/>
  </r>
  <r>
    <x v="303"/>
  </r>
  <r>
    <x v="304"/>
  </r>
  <r>
    <x v="305"/>
  </r>
  <r>
    <x v="306"/>
  </r>
  <r>
    <x v="307"/>
  </r>
  <r>
    <x v="308"/>
  </r>
  <r>
    <x v="309"/>
  </r>
  <r>
    <x v="310"/>
  </r>
  <r>
    <x v="311"/>
  </r>
  <r>
    <x v="312"/>
  </r>
  <r>
    <x v="313"/>
  </r>
  <r>
    <x v="314"/>
  </r>
  <r>
    <x v="315"/>
  </r>
  <r>
    <x v="316"/>
  </r>
  <r>
    <x v="317"/>
  </r>
  <r>
    <x v="318"/>
  </r>
  <r>
    <x v="319"/>
  </r>
  <r>
    <x v="320"/>
  </r>
  <r>
    <x v="321"/>
  </r>
  <r>
    <x v="322"/>
  </r>
  <r>
    <x v="323"/>
  </r>
  <r>
    <x v="324"/>
  </r>
  <r>
    <x v="325"/>
  </r>
  <r>
    <x v="326"/>
  </r>
  <r>
    <x v="327"/>
  </r>
  <r>
    <x v="328"/>
  </r>
  <r>
    <x v="329"/>
  </r>
  <r>
    <x v="330"/>
  </r>
  <r>
    <x v="331"/>
  </r>
  <r>
    <x v="332"/>
  </r>
  <r>
    <x v="333"/>
  </r>
  <r>
    <x v="334"/>
  </r>
  <r>
    <x v="335"/>
  </r>
  <r>
    <x v="336"/>
  </r>
  <r>
    <x v="337"/>
  </r>
  <r>
    <x v="338"/>
  </r>
  <r>
    <x v="339"/>
  </r>
  <r>
    <x v="340"/>
  </r>
  <r>
    <x v="341"/>
  </r>
  <r>
    <x v="342"/>
  </r>
  <r>
    <x v="343"/>
  </r>
  <r>
    <x v="344"/>
  </r>
  <r>
    <x v="345"/>
  </r>
  <r>
    <x v="346"/>
  </r>
  <r>
    <x v="347"/>
  </r>
  <r>
    <x v="348"/>
  </r>
  <r>
    <x v="349"/>
  </r>
  <r>
    <x v="350"/>
  </r>
  <r>
    <x v="351"/>
  </r>
  <r>
    <x v="352"/>
  </r>
  <r>
    <x v="353"/>
  </r>
  <r>
    <x v="354"/>
  </r>
  <r>
    <x v="355"/>
  </r>
  <r>
    <x v="356"/>
  </r>
  <r>
    <x v="357"/>
  </r>
  <r>
    <x v="358"/>
  </r>
  <r>
    <x v="359"/>
  </r>
  <r>
    <x v="360"/>
  </r>
  <r>
    <x v="361"/>
  </r>
  <r>
    <x v="362"/>
  </r>
  <r>
    <x v="363"/>
  </r>
  <r>
    <x v="364"/>
  </r>
  <r>
    <x v="365"/>
  </r>
  <r>
    <x v="366"/>
  </r>
  <r>
    <x v="367"/>
  </r>
  <r>
    <x v="368"/>
  </r>
  <r>
    <x v="369"/>
  </r>
  <r>
    <x v="370"/>
  </r>
  <r>
    <x v="371"/>
  </r>
  <r>
    <x v="372"/>
  </r>
  <r>
    <x v="373"/>
  </r>
  <r>
    <x v="374"/>
  </r>
  <r>
    <x v="375"/>
  </r>
  <r>
    <x v="376"/>
  </r>
  <r>
    <x v="377"/>
  </r>
  <r>
    <x v="377"/>
  </r>
  <r>
    <x v="378"/>
  </r>
  <r>
    <x v="379"/>
  </r>
  <r>
    <x v="380"/>
  </r>
  <r>
    <x v="381"/>
  </r>
  <r>
    <x v="382"/>
  </r>
  <r>
    <x v="383"/>
  </r>
  <r>
    <x v="384"/>
  </r>
  <r>
    <x v="385"/>
  </r>
  <r>
    <x v="386"/>
  </r>
  <r>
    <x v="387"/>
  </r>
  <r>
    <x v="388"/>
  </r>
  <r>
    <x v="389"/>
  </r>
  <r>
    <x v="390"/>
  </r>
  <r>
    <x v="391"/>
  </r>
  <r>
    <x v="392"/>
  </r>
  <r>
    <x v="393"/>
  </r>
  <r>
    <x v="394"/>
  </r>
  <r>
    <x v="395"/>
  </r>
  <r>
    <x v="396"/>
  </r>
  <r>
    <x v="397"/>
  </r>
  <r>
    <x v="398"/>
  </r>
  <r>
    <x v="399"/>
  </r>
  <r>
    <x v="400"/>
  </r>
  <r>
    <x v="401"/>
  </r>
  <r>
    <x v="402"/>
  </r>
  <r>
    <x v="403"/>
  </r>
  <r>
    <x v="404"/>
  </r>
  <r>
    <x v="405"/>
  </r>
  <r>
    <x v="406"/>
  </r>
  <r>
    <x v="407"/>
  </r>
  <r>
    <x v="408"/>
  </r>
  <r>
    <x v="409"/>
  </r>
  <r>
    <x v="410"/>
  </r>
  <r>
    <x v="411"/>
  </r>
  <r>
    <x v="412"/>
  </r>
  <r>
    <x v="413"/>
  </r>
  <r>
    <x v="414"/>
  </r>
  <r>
    <x v="415"/>
  </r>
  <r>
    <x v="416"/>
  </r>
  <r>
    <x v="417"/>
  </r>
  <r>
    <x v="418"/>
  </r>
  <r>
    <x v="419"/>
  </r>
  <r>
    <x v="420"/>
  </r>
  <r>
    <x v="421"/>
  </r>
  <r>
    <x v="422"/>
  </r>
  <r>
    <x v="423"/>
  </r>
  <r>
    <x v="424"/>
  </r>
  <r>
    <x v="425"/>
  </r>
  <r>
    <x v="426"/>
  </r>
  <r>
    <x v="426"/>
  </r>
  <r>
    <x v="427"/>
  </r>
  <r>
    <x v="428"/>
  </r>
  <r>
    <x v="429"/>
  </r>
  <r>
    <x v="430"/>
  </r>
  <r>
    <x v="431"/>
  </r>
  <r>
    <x v="432"/>
  </r>
  <r>
    <x v="433"/>
  </r>
  <r>
    <x v="434"/>
  </r>
  <r>
    <x v="435"/>
  </r>
  <r>
    <x v="436"/>
  </r>
  <r>
    <x v="437"/>
  </r>
  <r>
    <x v="438"/>
  </r>
  <r>
    <x v="438"/>
  </r>
  <r>
    <x v="438"/>
  </r>
  <r>
    <x v="438"/>
  </r>
  <r>
    <x v="439"/>
  </r>
  <r>
    <x v="440"/>
  </r>
  <r>
    <x v="441"/>
  </r>
  <r>
    <x v="442"/>
  </r>
  <r>
    <x v="443"/>
  </r>
  <r>
    <x v="444"/>
  </r>
  <r>
    <x v="445"/>
  </r>
  <r>
    <x v="446"/>
  </r>
  <r>
    <x v="447"/>
  </r>
  <r>
    <x v="448"/>
  </r>
  <r>
    <x v="449"/>
  </r>
  <r>
    <x v="450"/>
  </r>
  <r>
    <x v="451"/>
  </r>
  <r>
    <x v="452"/>
  </r>
  <r>
    <x v="453"/>
  </r>
  <r>
    <x v="454"/>
  </r>
  <r>
    <x v="455"/>
  </r>
  <r>
    <x v="456"/>
  </r>
  <r>
    <x v="457"/>
  </r>
  <r>
    <x v="458"/>
  </r>
  <r>
    <x v="459"/>
  </r>
  <r>
    <x v="460"/>
  </r>
  <r>
    <x v="460"/>
  </r>
  <r>
    <x v="461"/>
  </r>
  <r>
    <x v="462"/>
  </r>
  <r>
    <x v="463"/>
  </r>
  <r>
    <x v="464"/>
  </r>
  <r>
    <x v="465"/>
  </r>
  <r>
    <x v="466"/>
  </r>
  <r>
    <x v="467"/>
  </r>
  <r>
    <x v="468"/>
  </r>
  <r>
    <x v="469"/>
  </r>
  <r>
    <x v="470"/>
  </r>
  <r>
    <x v="471"/>
  </r>
  <r>
    <x v="472"/>
  </r>
  <r>
    <x v="473"/>
  </r>
  <r>
    <x v="474"/>
  </r>
  <r>
    <x v="475"/>
  </r>
  <r>
    <x v="476"/>
  </r>
  <r>
    <x v="477"/>
  </r>
  <r>
    <x v="478"/>
  </r>
  <r>
    <x v="479"/>
  </r>
  <r>
    <x v="480"/>
  </r>
  <r>
    <x v="481"/>
  </r>
  <r>
    <x v="482"/>
  </r>
  <r>
    <x v="483"/>
  </r>
  <r>
    <x v="484"/>
  </r>
  <r>
    <x v="485"/>
  </r>
  <r>
    <x v="486"/>
  </r>
  <r>
    <x v="487"/>
  </r>
  <r>
    <x v="488"/>
  </r>
  <r>
    <x v="489"/>
  </r>
  <r>
    <x v="490"/>
  </r>
  <r>
    <x v="491"/>
  </r>
  <r>
    <x v="492"/>
  </r>
  <r>
    <x v="493"/>
  </r>
  <r>
    <x v="494"/>
  </r>
  <r>
    <x v="495"/>
  </r>
  <r>
    <x v="496"/>
  </r>
  <r>
    <x v="497"/>
  </r>
  <r>
    <x v="498"/>
  </r>
  <r>
    <x v="499"/>
  </r>
  <r>
    <x v="500"/>
  </r>
  <r>
    <x v="501"/>
  </r>
  <r>
    <x v="502"/>
  </r>
  <r>
    <x v="503"/>
  </r>
  <r>
    <x v="504"/>
  </r>
  <r>
    <x v="505"/>
  </r>
  <r>
    <x v="506"/>
  </r>
  <r>
    <x v="507"/>
  </r>
  <r>
    <x v="508"/>
  </r>
  <r>
    <x v="509"/>
  </r>
  <r>
    <x v="510"/>
  </r>
  <r>
    <x v="511"/>
  </r>
  <r>
    <x v="512"/>
  </r>
  <r>
    <x v="513"/>
  </r>
  <r>
    <x v="514"/>
  </r>
  <r>
    <x v="515"/>
  </r>
  <r>
    <x v="516"/>
  </r>
  <r>
    <x v="517"/>
  </r>
  <r>
    <x v="518"/>
  </r>
  <r>
    <x v="519"/>
  </r>
  <r>
    <x v="520"/>
  </r>
  <r>
    <x v="521"/>
  </r>
  <r>
    <x v="522"/>
  </r>
  <r>
    <x v="523"/>
  </r>
  <r>
    <x v="524"/>
  </r>
  <r>
    <x v="525"/>
  </r>
  <r>
    <x v="526"/>
  </r>
  <r>
    <x v="527"/>
  </r>
  <r>
    <x v="528"/>
  </r>
  <r>
    <x v="529"/>
  </r>
  <r>
    <x v="530"/>
  </r>
  <r>
    <x v="531"/>
  </r>
  <r>
    <x v="532"/>
  </r>
  <r>
    <x v="533"/>
  </r>
  <r>
    <x v="534"/>
  </r>
  <r>
    <x v="535"/>
  </r>
  <r>
    <x v="536"/>
  </r>
  <r>
    <x v="537"/>
  </r>
  <r>
    <x v="538"/>
  </r>
  <r>
    <x v="539"/>
  </r>
  <r>
    <x v="540"/>
  </r>
  <r>
    <x v="541"/>
  </r>
  <r>
    <x v="542"/>
  </r>
  <r>
    <x v="543"/>
  </r>
  <r>
    <x v="544"/>
  </r>
  <r>
    <x v="545"/>
  </r>
  <r>
    <x v="546"/>
  </r>
  <r>
    <x v="547"/>
  </r>
  <r>
    <x v="548"/>
  </r>
  <r>
    <x v="549"/>
  </r>
  <r>
    <x v="550"/>
  </r>
  <r>
    <x v="551"/>
  </r>
  <r>
    <x v="552"/>
  </r>
  <r>
    <x v="553"/>
  </r>
  <r>
    <x v="554"/>
  </r>
  <r>
    <x v="555"/>
  </r>
  <r>
    <x v="556"/>
  </r>
  <r>
    <x v="557"/>
  </r>
  <r>
    <x v="558"/>
  </r>
  <r>
    <x v="559"/>
  </r>
  <r>
    <x v="560"/>
  </r>
  <r>
    <x v="561"/>
  </r>
  <r>
    <x v="562"/>
  </r>
  <r>
    <x v="563"/>
  </r>
  <r>
    <x v="564"/>
  </r>
  <r>
    <x v="565"/>
  </r>
  <r>
    <x v="566"/>
  </r>
  <r>
    <x v="567"/>
  </r>
  <r>
    <x v="568"/>
  </r>
  <r>
    <x v="569"/>
  </r>
  <r>
    <x v="570"/>
  </r>
  <r>
    <x v="571"/>
  </r>
  <r>
    <x v="572"/>
  </r>
  <r>
    <x v="573"/>
  </r>
  <r>
    <x v="574"/>
  </r>
  <r>
    <x v="575"/>
  </r>
  <r>
    <x v="576"/>
  </r>
  <r>
    <x v="576"/>
  </r>
  <r>
    <x v="577"/>
  </r>
  <r>
    <x v="578"/>
  </r>
  <r>
    <x v="579"/>
  </r>
  <r>
    <x v="580"/>
  </r>
  <r>
    <x v="581"/>
  </r>
  <r>
    <x v="582"/>
  </r>
  <r>
    <x v="583"/>
  </r>
  <r>
    <x v="584"/>
  </r>
  <r>
    <x v="585"/>
  </r>
  <r>
    <x v="586"/>
  </r>
  <r>
    <x v="587"/>
  </r>
  <r>
    <x v="588"/>
  </r>
  <r>
    <x v="589"/>
  </r>
  <r>
    <x v="590"/>
  </r>
  <r>
    <x v="590"/>
  </r>
  <r>
    <x v="590"/>
  </r>
  <r>
    <x v="590"/>
  </r>
  <r>
    <x v="591"/>
  </r>
  <r>
    <x v="592"/>
  </r>
  <r>
    <x v="593"/>
  </r>
  <r>
    <x v="594"/>
  </r>
  <r>
    <x v="595"/>
  </r>
  <r>
    <x v="596"/>
  </r>
  <r>
    <x v="597"/>
  </r>
  <r>
    <x v="598"/>
  </r>
  <r>
    <x v="599"/>
  </r>
  <r>
    <x v="600"/>
  </r>
  <r>
    <x v="601"/>
  </r>
  <r>
    <x v="602"/>
  </r>
  <r>
    <x v="603"/>
  </r>
  <r>
    <x v="604"/>
  </r>
  <r>
    <x v="605"/>
  </r>
  <r>
    <x v="606"/>
  </r>
  <r>
    <x v="607"/>
  </r>
  <r>
    <x v="608"/>
  </r>
  <r>
    <x v="609"/>
  </r>
  <r>
    <x v="610"/>
  </r>
  <r>
    <x v="611"/>
  </r>
  <r>
    <x v="612"/>
  </r>
  <r>
    <x v="613"/>
  </r>
  <r>
    <x v="614"/>
  </r>
  <r>
    <x v="615"/>
  </r>
  <r>
    <x v="616"/>
  </r>
  <r>
    <x v="617"/>
  </r>
  <r>
    <x v="618"/>
  </r>
  <r>
    <x v="619"/>
  </r>
  <r>
    <x v="620"/>
  </r>
  <r>
    <x v="621"/>
  </r>
  <r>
    <x v="622"/>
  </r>
  <r>
    <x v="623"/>
  </r>
  <r>
    <x v="624"/>
  </r>
  <r>
    <x v="625"/>
  </r>
  <r>
    <x v="626"/>
  </r>
  <r>
    <x v="627"/>
  </r>
  <r>
    <x v="628"/>
  </r>
  <r>
    <x v="629"/>
  </r>
  <r>
    <x v="630"/>
  </r>
  <r>
    <x v="631"/>
  </r>
  <r>
    <x v="632"/>
  </r>
  <r>
    <x v="633"/>
  </r>
  <r>
    <x v="634"/>
  </r>
  <r>
    <x v="635"/>
  </r>
  <r>
    <x v="636"/>
  </r>
  <r>
    <x v="637"/>
  </r>
  <r>
    <x v="638"/>
  </r>
  <r>
    <x v="639"/>
  </r>
  <r>
    <x v="640"/>
  </r>
  <r>
    <x v="641"/>
  </r>
  <r>
    <x v="642"/>
  </r>
  <r>
    <x v="643"/>
  </r>
  <r>
    <x v="644"/>
  </r>
  <r>
    <x v="645"/>
  </r>
  <r>
    <x v="646"/>
  </r>
  <r>
    <x v="647"/>
  </r>
  <r>
    <x v="648"/>
  </r>
  <r>
    <x v="649"/>
  </r>
  <r>
    <x v="650"/>
  </r>
  <r>
    <x v="651"/>
  </r>
  <r>
    <x v="652"/>
  </r>
  <r>
    <x v="653"/>
  </r>
  <r>
    <x v="654"/>
  </r>
  <r>
    <x v="655"/>
  </r>
  <r>
    <x v="656"/>
  </r>
  <r>
    <x v="657"/>
  </r>
  <r>
    <x v="658"/>
  </r>
  <r>
    <x v="659"/>
  </r>
  <r>
    <x v="660"/>
  </r>
  <r>
    <x v="661"/>
  </r>
  <r>
    <x v="662"/>
  </r>
  <r>
    <x v="663"/>
  </r>
  <r>
    <x v="664"/>
  </r>
  <r>
    <x v="665"/>
  </r>
  <r>
    <x v="666"/>
  </r>
  <r>
    <x v="667"/>
  </r>
  <r>
    <x v="668"/>
  </r>
  <r>
    <x v="669"/>
  </r>
  <r>
    <x v="670"/>
  </r>
  <r>
    <x v="671"/>
  </r>
  <r>
    <x v="672"/>
  </r>
  <r>
    <x v="672"/>
  </r>
  <r>
    <x v="673"/>
  </r>
  <r>
    <x v="674"/>
  </r>
  <r>
    <x v="675"/>
  </r>
  <r>
    <x v="675"/>
  </r>
  <r>
    <x v="676"/>
  </r>
  <r>
    <x v="677"/>
  </r>
  <r>
    <x v="678"/>
  </r>
  <r>
    <x v="679"/>
  </r>
  <r>
    <x v="680"/>
  </r>
  <r>
    <x v="681"/>
  </r>
  <r>
    <x v="682"/>
  </r>
  <r>
    <x v="683"/>
  </r>
  <r>
    <x v="684"/>
  </r>
  <r>
    <x v="685"/>
  </r>
  <r>
    <x v="686"/>
  </r>
  <r>
    <x v="686"/>
  </r>
  <r>
    <x v="687"/>
  </r>
  <r>
    <x v="688"/>
  </r>
  <r>
    <x v="689"/>
  </r>
  <r>
    <x v="690"/>
  </r>
  <r>
    <x v="691"/>
  </r>
  <r>
    <x v="692"/>
  </r>
  <r>
    <x v="693"/>
  </r>
  <r>
    <x v="694"/>
  </r>
  <r>
    <x v="695"/>
  </r>
  <r>
    <x v="696"/>
  </r>
  <r>
    <x v="697"/>
  </r>
  <r>
    <x v="698"/>
  </r>
  <r>
    <x v="699"/>
  </r>
  <r>
    <x v="700"/>
  </r>
  <r>
    <x v="701"/>
  </r>
  <r>
    <x v="702"/>
  </r>
  <r>
    <x v="703"/>
  </r>
  <r>
    <x v="704"/>
  </r>
  <r>
    <x v="705"/>
  </r>
  <r>
    <x v="706"/>
  </r>
  <r>
    <x v="707"/>
  </r>
  <r>
    <x v="708"/>
  </r>
  <r>
    <x v="709"/>
  </r>
  <r>
    <x v="710"/>
  </r>
  <r>
    <x v="711"/>
  </r>
  <r>
    <x v="712"/>
  </r>
  <r>
    <x v="713"/>
  </r>
  <r>
    <x v="714"/>
  </r>
  <r>
    <x v="715"/>
  </r>
  <r>
    <x v="716"/>
  </r>
  <r>
    <x v="717"/>
  </r>
  <r>
    <x v="718"/>
  </r>
  <r>
    <x v="719"/>
  </r>
  <r>
    <x v="720"/>
  </r>
  <r>
    <x v="721"/>
  </r>
  <r>
    <x v="722"/>
  </r>
  <r>
    <x v="723"/>
  </r>
  <r>
    <x v="724"/>
  </r>
  <r>
    <x v="725"/>
  </r>
  <r>
    <x v="726"/>
  </r>
  <r>
    <x v="727"/>
  </r>
  <r>
    <x v="728"/>
  </r>
  <r>
    <x v="729"/>
  </r>
  <r>
    <x v="730"/>
  </r>
  <r>
    <x v="731"/>
  </r>
  <r>
    <x v="732"/>
  </r>
  <r>
    <x v="733"/>
  </r>
  <r>
    <x v="734"/>
  </r>
  <r>
    <x v="735"/>
  </r>
  <r>
    <x v="736"/>
  </r>
  <r>
    <x v="737"/>
  </r>
  <r>
    <x v="738"/>
  </r>
  <r>
    <x v="739"/>
  </r>
  <r>
    <x v="740"/>
  </r>
  <r>
    <x v="741"/>
  </r>
  <r>
    <x v="742"/>
  </r>
  <r>
    <x v="743"/>
  </r>
  <r>
    <x v="744"/>
  </r>
  <r>
    <x v="745"/>
  </r>
  <r>
    <x v="746"/>
  </r>
  <r>
    <x v="747"/>
  </r>
  <r>
    <x v="748"/>
  </r>
  <r>
    <x v="749"/>
  </r>
  <r>
    <x v="750"/>
  </r>
  <r>
    <x v="751"/>
  </r>
  <r>
    <x v="752"/>
  </r>
  <r>
    <x v="753"/>
  </r>
  <r>
    <x v="754"/>
  </r>
  <r>
    <x v="755"/>
  </r>
  <r>
    <x v="756"/>
  </r>
  <r>
    <x v="757"/>
  </r>
  <r>
    <x v="758"/>
  </r>
  <r>
    <x v="759"/>
  </r>
  <r>
    <x v="760"/>
  </r>
  <r>
    <x v="761"/>
  </r>
  <r>
    <x v="762"/>
  </r>
  <r>
    <x v="763"/>
  </r>
  <r>
    <x v="764"/>
  </r>
  <r>
    <x v="764"/>
  </r>
  <r>
    <x v="765"/>
  </r>
  <r>
    <x v="766"/>
  </r>
  <r>
    <x v="767"/>
  </r>
  <r>
    <x v="768"/>
  </r>
  <r>
    <x v="769"/>
  </r>
  <r>
    <x v="770"/>
  </r>
  <r>
    <x v="771"/>
  </r>
  <r>
    <x v="772"/>
  </r>
  <r>
    <x v="773"/>
  </r>
  <r>
    <x v="774"/>
  </r>
  <r>
    <x v="775"/>
  </r>
  <r>
    <x v="776"/>
  </r>
  <r>
    <x v="777"/>
  </r>
  <r>
    <x v="778"/>
  </r>
  <r>
    <x v="779"/>
  </r>
  <r>
    <x v="780"/>
  </r>
  <r>
    <x v="781"/>
  </r>
  <r>
    <x v="782"/>
  </r>
  <r>
    <x v="783"/>
  </r>
  <r>
    <x v="784"/>
  </r>
  <r>
    <x v="785"/>
  </r>
  <r>
    <x v="786"/>
  </r>
  <r>
    <x v="787"/>
  </r>
  <r>
    <x v="788"/>
  </r>
  <r>
    <x v="789"/>
  </r>
  <r>
    <x v="790"/>
  </r>
  <r>
    <x v="791"/>
  </r>
  <r>
    <x v="792"/>
  </r>
  <r>
    <x v="793"/>
  </r>
  <r>
    <x v="794"/>
  </r>
  <r>
    <x v="795"/>
  </r>
  <r>
    <x v="796"/>
  </r>
  <r>
    <x v="797"/>
  </r>
  <r>
    <x v="798"/>
  </r>
  <r>
    <x v="799"/>
  </r>
  <r>
    <x v="800"/>
  </r>
  <r>
    <x v="801"/>
  </r>
  <r>
    <x v="802"/>
  </r>
  <r>
    <x v="802"/>
  </r>
  <r>
    <x v="803"/>
  </r>
  <r>
    <x v="804"/>
  </r>
  <r>
    <x v="805"/>
  </r>
  <r>
    <x v="806"/>
  </r>
  <r>
    <x v="807"/>
  </r>
  <r>
    <x v="808"/>
  </r>
  <r>
    <x v="809"/>
  </r>
  <r>
    <x v="810"/>
  </r>
  <r>
    <x v="811"/>
  </r>
  <r>
    <x v="812"/>
  </r>
  <r>
    <x v="813"/>
  </r>
  <r>
    <x v="814"/>
  </r>
  <r>
    <x v="815"/>
  </r>
  <r>
    <x v="816"/>
  </r>
  <r>
    <x v="817"/>
  </r>
  <r>
    <x v="818"/>
  </r>
  <r>
    <x v="819"/>
  </r>
  <r>
    <x v="820"/>
  </r>
  <r>
    <x v="821"/>
  </r>
  <r>
    <x v="822"/>
  </r>
  <r>
    <x v="823"/>
  </r>
  <r>
    <x v="824"/>
  </r>
  <r>
    <x v="825"/>
  </r>
  <r>
    <x v="826"/>
  </r>
  <r>
    <x v="827"/>
  </r>
  <r>
    <x v="828"/>
  </r>
  <r>
    <x v="829"/>
  </r>
  <r>
    <x v="830"/>
  </r>
  <r>
    <x v="831"/>
  </r>
  <r>
    <x v="832"/>
  </r>
  <r>
    <x v="833"/>
  </r>
  <r>
    <x v="833"/>
  </r>
  <r>
    <x v="834"/>
  </r>
  <r>
    <x v="835"/>
  </r>
  <r>
    <x v="836"/>
  </r>
  <r>
    <x v="837"/>
  </r>
  <r>
    <x v="838"/>
  </r>
  <r>
    <x v="839"/>
  </r>
  <r>
    <x v="840"/>
  </r>
  <r>
    <x v="841"/>
  </r>
  <r>
    <x v="842"/>
  </r>
  <r>
    <x v="843"/>
  </r>
  <r>
    <x v="844"/>
  </r>
  <r>
    <x v="845"/>
  </r>
  <r>
    <x v="846"/>
  </r>
  <r>
    <x v="847"/>
  </r>
  <r>
    <x v="848"/>
  </r>
  <r>
    <x v="849"/>
  </r>
  <r>
    <x v="850"/>
  </r>
  <r>
    <x v="851"/>
  </r>
  <r>
    <x v="852"/>
  </r>
  <r>
    <x v="853"/>
  </r>
  <r>
    <x v="853"/>
  </r>
  <r>
    <x v="854"/>
  </r>
  <r>
    <x v="855"/>
  </r>
  <r>
    <x v="856"/>
  </r>
  <r>
    <x v="857"/>
  </r>
  <r>
    <x v="857"/>
  </r>
  <r>
    <x v="858"/>
  </r>
  <r>
    <x v="859"/>
  </r>
  <r>
    <x v="860"/>
  </r>
  <r>
    <x v="861"/>
  </r>
  <r>
    <x v="862"/>
  </r>
  <r>
    <x v="862"/>
  </r>
  <r>
    <x v="863"/>
  </r>
  <r>
    <x v="864"/>
  </r>
  <r>
    <x v="865"/>
  </r>
  <r>
    <x v="866"/>
  </r>
  <r>
    <x v="867"/>
  </r>
  <r>
    <x v="868"/>
  </r>
  <r>
    <x v="869"/>
  </r>
  <r>
    <x v="870"/>
  </r>
  <r>
    <x v="871"/>
  </r>
  <r>
    <x v="872"/>
  </r>
  <r>
    <x v="873"/>
  </r>
  <r>
    <x v="874"/>
  </r>
  <r>
    <x v="875"/>
  </r>
  <r>
    <x v="876"/>
  </r>
  <r>
    <x v="877"/>
  </r>
  <r>
    <x v="878"/>
  </r>
  <r>
    <x v="879"/>
  </r>
  <r>
    <x v="880"/>
  </r>
  <r>
    <x v="881"/>
  </r>
  <r>
    <x v="882"/>
  </r>
  <r>
    <x v="883"/>
  </r>
  <r>
    <x v="884"/>
  </r>
  <r>
    <x v="885"/>
  </r>
  <r>
    <x v="886"/>
  </r>
  <r>
    <x v="887"/>
  </r>
  <r>
    <x v="888"/>
  </r>
  <r>
    <x v="889"/>
  </r>
  <r>
    <x v="890"/>
  </r>
  <r>
    <x v="891"/>
  </r>
  <r>
    <x v="892"/>
  </r>
  <r>
    <x v="893"/>
  </r>
  <r>
    <x v="894"/>
  </r>
  <r>
    <x v="895"/>
  </r>
  <r>
    <x v="896"/>
  </r>
  <r>
    <x v="897"/>
  </r>
  <r>
    <x v="898"/>
  </r>
  <r>
    <x v="899"/>
  </r>
  <r>
    <x v="900"/>
  </r>
  <r>
    <x v="901"/>
  </r>
  <r>
    <x v="902"/>
  </r>
  <r>
    <x v="903"/>
  </r>
  <r>
    <x v="904"/>
  </r>
  <r>
    <x v="905"/>
  </r>
  <r>
    <x v="905"/>
  </r>
  <r>
    <x v="906"/>
  </r>
  <r>
    <x v="907"/>
  </r>
  <r>
    <x v="908"/>
  </r>
  <r>
    <x v="909"/>
  </r>
  <r>
    <x v="910"/>
  </r>
  <r>
    <x v="911"/>
  </r>
  <r>
    <x v="912"/>
  </r>
  <r>
    <x v="913"/>
  </r>
  <r>
    <x v="914"/>
  </r>
  <r>
    <x v="915"/>
  </r>
  <r>
    <x v="916"/>
  </r>
  <r>
    <x v="917"/>
  </r>
  <r>
    <x v="918"/>
  </r>
  <r>
    <x v="919"/>
  </r>
  <r>
    <x v="920"/>
  </r>
  <r>
    <x v="921"/>
  </r>
  <r>
    <x v="922"/>
  </r>
  <r>
    <x v="923"/>
  </r>
  <r>
    <x v="924"/>
  </r>
  <r>
    <x v="924"/>
  </r>
  <r>
    <x v="925"/>
  </r>
  <r>
    <x v="926"/>
  </r>
  <r>
    <x v="927"/>
  </r>
  <r>
    <x v="928"/>
  </r>
  <r>
    <x v="929"/>
  </r>
  <r>
    <x v="930"/>
  </r>
  <r>
    <x v="931"/>
  </r>
  <r>
    <x v="932"/>
  </r>
  <r>
    <x v="933"/>
  </r>
  <r>
    <x v="934"/>
  </r>
  <r>
    <x v="935"/>
  </r>
  <r>
    <x v="936"/>
  </r>
  <r>
    <x v="937"/>
  </r>
  <r>
    <x v="938"/>
  </r>
  <r>
    <x v="939"/>
  </r>
  <r>
    <x v="940"/>
  </r>
  <r>
    <x v="941"/>
  </r>
  <r>
    <x v="942"/>
  </r>
  <r>
    <x v="943"/>
  </r>
  <r>
    <x v="944"/>
  </r>
  <r>
    <x v="945"/>
  </r>
  <r>
    <x v="946"/>
  </r>
  <r>
    <x v="947"/>
  </r>
  <r>
    <x v="948"/>
  </r>
  <r>
    <x v="949"/>
  </r>
  <r>
    <x v="950"/>
  </r>
  <r>
    <x v="951"/>
  </r>
  <r>
    <x v="952"/>
  </r>
  <r>
    <x v="953"/>
  </r>
  <r>
    <x v="954"/>
  </r>
  <r>
    <x v="955"/>
  </r>
  <r>
    <x v="956"/>
  </r>
  <r>
    <x v="957"/>
  </r>
  <r>
    <x v="958"/>
  </r>
  <r>
    <x v="959"/>
  </r>
  <r>
    <x v="960"/>
  </r>
  <r>
    <x v="961"/>
  </r>
  <r>
    <x v="962"/>
  </r>
  <r>
    <x v="963"/>
  </r>
  <r>
    <x v="964"/>
  </r>
  <r>
    <x v="965"/>
  </r>
  <r>
    <x v="966"/>
  </r>
  <r>
    <x v="967"/>
  </r>
  <r>
    <x v="968"/>
  </r>
  <r>
    <x v="969"/>
  </r>
  <r>
    <x v="970"/>
  </r>
  <r>
    <x v="971"/>
  </r>
  <r>
    <x v="972"/>
  </r>
  <r>
    <x v="972"/>
  </r>
  <r>
    <x v="973"/>
  </r>
  <r>
    <x v="974"/>
  </r>
  <r>
    <x v="975"/>
  </r>
  <r>
    <x v="976"/>
  </r>
  <r>
    <x v="977"/>
  </r>
  <r>
    <x v="978"/>
  </r>
  <r>
    <x v="979"/>
  </r>
  <r>
    <x v="980"/>
  </r>
  <r>
    <x v="981"/>
  </r>
  <r>
    <x v="982"/>
  </r>
  <r>
    <x v="983"/>
  </r>
  <r>
    <x v="984"/>
  </r>
  <r>
    <x v="985"/>
  </r>
  <r>
    <x v="986"/>
  </r>
  <r>
    <x v="987"/>
  </r>
  <r>
    <x v="988"/>
  </r>
  <r>
    <x v="989"/>
  </r>
  <r>
    <x v="990"/>
  </r>
  <r>
    <x v="991"/>
  </r>
  <r>
    <x v="992"/>
  </r>
  <r>
    <x v="993"/>
  </r>
  <r>
    <x v="994"/>
  </r>
  <r>
    <x v="995"/>
  </r>
  <r>
    <x v="996"/>
  </r>
  <r>
    <x v="997"/>
  </r>
  <r>
    <x v="998"/>
  </r>
  <r>
    <x v="999"/>
  </r>
  <r>
    <x v="1000"/>
  </r>
  <r>
    <x v="1001"/>
  </r>
  <r>
    <x v="1002"/>
  </r>
  <r>
    <x v="1003"/>
  </r>
  <r>
    <x v="1004"/>
  </r>
  <r>
    <x v="1005"/>
  </r>
  <r>
    <x v="1006"/>
  </r>
  <r>
    <x v="1007"/>
  </r>
  <r>
    <x v="1008"/>
  </r>
  <r>
    <x v="1009"/>
  </r>
  <r>
    <x v="1010"/>
  </r>
  <r>
    <x v="1011"/>
  </r>
  <r>
    <x v="1012"/>
  </r>
  <r>
    <x v="1013"/>
  </r>
  <r>
    <x v="1014"/>
  </r>
  <r>
    <x v="1015"/>
  </r>
  <r>
    <x v="1016"/>
  </r>
  <r>
    <x v="1017"/>
  </r>
  <r>
    <x v="1018"/>
  </r>
  <r>
    <x v="1019"/>
  </r>
  <r>
    <x v="1020"/>
  </r>
  <r>
    <x v="1021"/>
  </r>
  <r>
    <x v="1022"/>
  </r>
  <r>
    <x v="1022"/>
  </r>
  <r>
    <x v="1023"/>
  </r>
  <r>
    <x v="1023"/>
  </r>
  <r>
    <x v="1024"/>
  </r>
  <r>
    <x v="1024"/>
  </r>
  <r>
    <x v="1024"/>
  </r>
  <r>
    <x v="1024"/>
  </r>
  <r>
    <x v="1024"/>
  </r>
  <r>
    <x v="1024"/>
  </r>
  <r>
    <x v="1024"/>
  </r>
  <r>
    <x v="1024"/>
  </r>
  <r>
    <x v="1025"/>
  </r>
  <r>
    <x v="1026"/>
  </r>
  <r>
    <x v="1027"/>
  </r>
  <r>
    <x v="1028"/>
  </r>
  <r>
    <x v="1029"/>
  </r>
  <r>
    <x v="1030"/>
  </r>
  <r>
    <x v="1031"/>
  </r>
  <r>
    <x v="1032"/>
  </r>
  <r>
    <x v="1033"/>
  </r>
  <r>
    <x v="1033"/>
  </r>
  <r>
    <x v="1034"/>
  </r>
  <r>
    <x v="1035"/>
  </r>
  <r>
    <x v="1036"/>
  </r>
  <r>
    <x v="1037"/>
  </r>
  <r>
    <x v="1037"/>
  </r>
  <r>
    <x v="1038"/>
  </r>
  <r>
    <x v="1039"/>
  </r>
  <r>
    <x v="1040"/>
  </r>
  <r>
    <x v="1041"/>
  </r>
  <r>
    <x v="1042"/>
  </r>
  <r>
    <x v="1043"/>
  </r>
  <r>
    <x v="1044"/>
  </r>
  <r>
    <x v="1045"/>
  </r>
  <r>
    <x v="1046"/>
  </r>
  <r>
    <x v="1047"/>
  </r>
  <r>
    <x v="1048"/>
  </r>
  <r>
    <x v="1049"/>
  </r>
  <r>
    <x v="1050"/>
  </r>
  <r>
    <x v="1051"/>
  </r>
  <r>
    <x v="1052"/>
  </r>
  <r>
    <x v="1053"/>
  </r>
  <r>
    <x v="1054"/>
  </r>
  <r>
    <x v="1054"/>
  </r>
  <r>
    <x v="1055"/>
  </r>
  <r>
    <x v="1056"/>
  </r>
  <r>
    <x v="1057"/>
  </r>
  <r>
    <x v="1057"/>
  </r>
  <r>
    <x v="1058"/>
  </r>
  <r>
    <x v="1059"/>
  </r>
  <r>
    <x v="1060"/>
  </r>
  <r>
    <x v="1061"/>
  </r>
  <r>
    <x v="1062"/>
  </r>
  <r>
    <x v="1063"/>
  </r>
  <r>
    <x v="1064"/>
  </r>
  <r>
    <x v="1065"/>
  </r>
  <r>
    <x v="1066"/>
  </r>
  <r>
    <x v="1067"/>
  </r>
  <r>
    <x v="1068"/>
  </r>
  <r>
    <x v="1069"/>
  </r>
  <r>
    <x v="1070"/>
  </r>
  <r>
    <x v="1071"/>
  </r>
  <r>
    <x v="1072"/>
  </r>
  <r>
    <x v="1073"/>
  </r>
  <r>
    <x v="1074"/>
  </r>
  <r>
    <x v="1075"/>
  </r>
  <r>
    <x v="1075"/>
  </r>
  <r>
    <x v="1076"/>
  </r>
  <r>
    <x v="1077"/>
  </r>
  <r>
    <x v="1078"/>
  </r>
  <r>
    <x v="1079"/>
  </r>
  <r>
    <x v="1080"/>
  </r>
  <r>
    <x v="1081"/>
  </r>
  <r>
    <x v="1082"/>
  </r>
  <r>
    <x v="1083"/>
  </r>
  <r>
    <x v="1084"/>
  </r>
  <r>
    <x v="1085"/>
  </r>
  <r>
    <x v="1086"/>
  </r>
  <r>
    <x v="1087"/>
  </r>
  <r>
    <x v="1088"/>
  </r>
  <r>
    <x v="1089"/>
  </r>
  <r>
    <x v="1090"/>
  </r>
  <r>
    <x v="1091"/>
  </r>
  <r>
    <x v="1091"/>
  </r>
  <r>
    <x v="1092"/>
  </r>
  <r>
    <x v="1093"/>
  </r>
  <r>
    <x v="1094"/>
  </r>
  <r>
    <x v="1095"/>
  </r>
  <r>
    <x v="1096"/>
  </r>
  <r>
    <x v="1097"/>
  </r>
  <r>
    <x v="1098"/>
  </r>
  <r>
    <x v="1099"/>
  </r>
  <r>
    <x v="1100"/>
  </r>
  <r>
    <x v="1101"/>
  </r>
  <r>
    <x v="1102"/>
  </r>
  <r>
    <x v="1103"/>
  </r>
  <r>
    <x v="1104"/>
  </r>
  <r>
    <x v="1105"/>
  </r>
  <r>
    <x v="1106"/>
  </r>
  <r>
    <x v="1107"/>
  </r>
  <r>
    <x v="1108"/>
  </r>
  <r>
    <x v="1109"/>
  </r>
  <r>
    <x v="1110"/>
  </r>
  <r>
    <x v="1111"/>
  </r>
  <r>
    <x v="1112"/>
  </r>
  <r>
    <x v="1113"/>
  </r>
  <r>
    <x v="1114"/>
  </r>
  <r>
    <x v="1115"/>
  </r>
  <r>
    <x v="1116"/>
  </r>
  <r>
    <x v="1117"/>
  </r>
  <r>
    <x v="1118"/>
  </r>
  <r>
    <x v="1119"/>
  </r>
  <r>
    <x v="1120"/>
  </r>
  <r>
    <x v="1121"/>
  </r>
  <r>
    <x v="1122"/>
  </r>
  <r>
    <x v="1123"/>
  </r>
  <r>
    <x v="1124"/>
  </r>
  <r>
    <x v="1125"/>
  </r>
  <r>
    <x v="1126"/>
  </r>
  <r>
    <x v="1127"/>
  </r>
  <r>
    <x v="1128"/>
  </r>
  <r>
    <x v="1129"/>
  </r>
  <r>
    <x v="1130"/>
  </r>
  <r>
    <x v="1131"/>
  </r>
  <r>
    <x v="1132"/>
  </r>
  <r>
    <x v="1133"/>
  </r>
  <r>
    <x v="1134"/>
  </r>
  <r>
    <x v="1135"/>
  </r>
  <r>
    <x v="1136"/>
  </r>
  <r>
    <x v="1137"/>
  </r>
  <r>
    <x v="1138"/>
  </r>
  <r>
    <x v="1139"/>
  </r>
  <r>
    <x v="1140"/>
  </r>
  <r>
    <x v="1141"/>
  </r>
  <r>
    <x v="1142"/>
  </r>
  <r>
    <x v="1143"/>
  </r>
  <r>
    <x v="1144"/>
  </r>
  <r>
    <x v="1145"/>
  </r>
  <r>
    <x v="1146"/>
  </r>
  <r>
    <x v="1147"/>
  </r>
  <r>
    <x v="1148"/>
  </r>
  <r>
    <x v="1149"/>
  </r>
  <r>
    <x v="1150"/>
  </r>
  <r>
    <x v="1151"/>
  </r>
  <r>
    <x v="1152"/>
  </r>
  <r>
    <x v="1153"/>
  </r>
  <r>
    <x v="1154"/>
  </r>
  <r>
    <x v="1155"/>
  </r>
  <r>
    <x v="1156"/>
  </r>
  <r>
    <x v="1157"/>
  </r>
  <r>
    <x v="1158"/>
  </r>
  <r>
    <x v="1159"/>
  </r>
  <r>
    <x v="1160"/>
  </r>
  <r>
    <x v="1161"/>
  </r>
  <r>
    <x v="1162"/>
  </r>
  <r>
    <x v="1163"/>
  </r>
  <r>
    <x v="1164"/>
  </r>
  <r>
    <x v="1165"/>
  </r>
  <r>
    <x v="1166"/>
  </r>
  <r>
    <x v="1167"/>
  </r>
  <r>
    <x v="1168"/>
  </r>
  <r>
    <x v="1169"/>
  </r>
  <r>
    <x v="1170"/>
  </r>
  <r>
    <x v="1171"/>
  </r>
  <r>
    <x v="1172"/>
  </r>
  <r>
    <x v="1173"/>
  </r>
  <r>
    <x v="1174"/>
  </r>
  <r>
    <x v="1175"/>
  </r>
  <r>
    <x v="1176"/>
  </r>
  <r>
    <x v="1177"/>
  </r>
  <r>
    <x v="1178"/>
  </r>
  <r>
    <x v="1179"/>
  </r>
  <r>
    <x v="1179"/>
  </r>
  <r>
    <x v="1180"/>
  </r>
  <r>
    <x v="1181"/>
  </r>
  <r>
    <x v="1182"/>
  </r>
  <r>
    <x v="1183"/>
  </r>
  <r>
    <x v="1184"/>
  </r>
  <r>
    <x v="1185"/>
  </r>
  <r>
    <x v="1186"/>
  </r>
  <r>
    <x v="1187"/>
  </r>
  <r>
    <x v="1188"/>
  </r>
  <r>
    <x v="1189"/>
  </r>
  <r>
    <x v="1190"/>
  </r>
  <r>
    <x v="1191"/>
  </r>
  <r>
    <x v="1192"/>
  </r>
  <r>
    <x v="1193"/>
  </r>
  <r>
    <x v="1194"/>
  </r>
  <r>
    <x v="1195"/>
  </r>
  <r>
    <x v="1196"/>
  </r>
  <r>
    <x v="1197"/>
  </r>
  <r>
    <x v="1198"/>
  </r>
  <r>
    <x v="1199"/>
  </r>
  <r>
    <x v="1200"/>
  </r>
  <r>
    <x v="1201"/>
  </r>
  <r>
    <x v="1202"/>
  </r>
  <r>
    <x v="1203"/>
  </r>
  <r>
    <x v="1204"/>
  </r>
  <r>
    <x v="1205"/>
  </r>
  <r>
    <x v="1206"/>
  </r>
  <r>
    <x v="1207"/>
  </r>
  <r>
    <x v="1208"/>
  </r>
  <r>
    <x v="1209"/>
  </r>
  <r>
    <x v="1210"/>
  </r>
  <r>
    <x v="1210"/>
  </r>
  <r>
    <x v="1211"/>
  </r>
  <r>
    <x v="1212"/>
  </r>
  <r>
    <x v="1213"/>
  </r>
  <r>
    <x v="1214"/>
  </r>
  <r>
    <x v="1215"/>
  </r>
  <r>
    <x v="1216"/>
  </r>
  <r>
    <x v="1217"/>
  </r>
  <r>
    <x v="1218"/>
  </r>
  <r>
    <x v="1219"/>
  </r>
  <r>
    <x v="1220"/>
  </r>
  <r>
    <x v="1221"/>
  </r>
  <r>
    <x v="1222"/>
  </r>
  <r>
    <x v="1223"/>
  </r>
  <r>
    <x v="1224"/>
  </r>
  <r>
    <x v="1225"/>
  </r>
  <r>
    <x v="1226"/>
  </r>
  <r>
    <x v="1227"/>
  </r>
  <r>
    <x v="1228"/>
  </r>
  <r>
    <x v="1229"/>
  </r>
  <r>
    <x v="1229"/>
  </r>
  <r>
    <x v="1230"/>
  </r>
  <r>
    <x v="1231"/>
  </r>
  <r>
    <x v="1232"/>
  </r>
  <r>
    <x v="1233"/>
  </r>
  <r>
    <x v="1234"/>
  </r>
  <r>
    <x v="1235"/>
  </r>
  <r>
    <x v="1236"/>
  </r>
  <r>
    <x v="1237"/>
  </r>
  <r>
    <x v="1238"/>
  </r>
  <r>
    <x v="1239"/>
  </r>
  <r>
    <x v="1240"/>
  </r>
  <r>
    <x v="1241"/>
  </r>
  <r>
    <x v="1242"/>
  </r>
  <r>
    <x v="1243"/>
  </r>
  <r>
    <x v="1244"/>
  </r>
  <r>
    <x v="1245"/>
  </r>
  <r>
    <x v="1246"/>
  </r>
  <r>
    <x v="1247"/>
  </r>
  <r>
    <x v="1248"/>
  </r>
  <r>
    <x v="1249"/>
  </r>
  <r>
    <x v="1250"/>
  </r>
  <r>
    <x v="1251"/>
  </r>
  <r>
    <x v="1252"/>
  </r>
  <r>
    <x v="1253"/>
  </r>
  <r>
    <x v="1254"/>
  </r>
  <r>
    <x v="1255"/>
  </r>
  <r>
    <x v="1256"/>
  </r>
  <r>
    <x v="1257"/>
  </r>
  <r>
    <x v="1257"/>
  </r>
  <r>
    <x v="1258"/>
  </r>
  <r>
    <x v="1259"/>
  </r>
  <r>
    <x v="1260"/>
  </r>
  <r>
    <x v="1261"/>
  </r>
  <r>
    <x v="1262"/>
  </r>
  <r>
    <x v="1263"/>
  </r>
  <r>
    <x v="1264"/>
  </r>
  <r>
    <x v="1265"/>
  </r>
  <r>
    <x v="1266"/>
  </r>
  <r>
    <x v="1267"/>
  </r>
  <r>
    <x v="1268"/>
  </r>
  <r>
    <x v="1269"/>
  </r>
  <r>
    <x v="1270"/>
  </r>
  <r>
    <x v="1271"/>
  </r>
  <r>
    <x v="1272"/>
  </r>
  <r>
    <x v="1273"/>
  </r>
  <r>
    <x v="1274"/>
  </r>
  <r>
    <x v="1275"/>
  </r>
  <r>
    <x v="1276"/>
  </r>
  <r>
    <x v="1277"/>
  </r>
  <r>
    <x v="1278"/>
  </r>
  <r>
    <x v="1279"/>
  </r>
  <r>
    <x v="1280"/>
  </r>
  <r>
    <x v="1281"/>
  </r>
  <r>
    <x v="1282"/>
  </r>
  <r>
    <x v="1283"/>
  </r>
  <r>
    <x v="1284"/>
  </r>
  <r>
    <x v="1285"/>
  </r>
  <r>
    <x v="1286"/>
  </r>
  <r>
    <x v="1287"/>
  </r>
  <r>
    <x v="1288"/>
  </r>
  <r>
    <x v="1289"/>
  </r>
  <r>
    <x v="1290"/>
  </r>
  <r>
    <x v="1291"/>
  </r>
  <r>
    <x v="1292"/>
  </r>
  <r>
    <x v="1293"/>
  </r>
  <r>
    <x v="1294"/>
  </r>
  <r>
    <x v="1295"/>
  </r>
  <r>
    <x v="1296"/>
  </r>
  <r>
    <x v="1297"/>
  </r>
  <r>
    <x v="1298"/>
  </r>
  <r>
    <x v="1299"/>
  </r>
  <r>
    <x v="1300"/>
  </r>
  <r>
    <x v="1301"/>
  </r>
  <r>
    <x v="1302"/>
  </r>
  <r>
    <x v="1303"/>
  </r>
  <r>
    <x v="1304"/>
  </r>
  <r>
    <x v="1305"/>
  </r>
  <r>
    <x v="1306"/>
  </r>
  <r>
    <x v="1307"/>
  </r>
  <r>
    <x v="1308"/>
  </r>
  <r>
    <x v="1309"/>
  </r>
  <r>
    <x v="1310"/>
  </r>
  <r>
    <x v="1311"/>
  </r>
  <r>
    <x v="1312"/>
  </r>
  <r>
    <x v="1313"/>
  </r>
  <r>
    <x v="1314"/>
  </r>
  <r>
    <x v="1314"/>
  </r>
  <r>
    <x v="1315"/>
  </r>
  <r>
    <x v="1316"/>
  </r>
  <r>
    <x v="1317"/>
  </r>
  <r>
    <x v="1318"/>
  </r>
  <r>
    <x v="1319"/>
  </r>
  <r>
    <x v="1320"/>
  </r>
  <r>
    <x v="1321"/>
  </r>
  <r>
    <x v="1322"/>
  </r>
  <r>
    <x v="1323"/>
  </r>
  <r>
    <x v="1324"/>
  </r>
  <r>
    <x v="1325"/>
  </r>
  <r>
    <x v="1326"/>
  </r>
  <r>
    <x v="1327"/>
  </r>
  <r>
    <x v="1328"/>
  </r>
  <r>
    <x v="1329"/>
  </r>
  <r>
    <x v="1330"/>
  </r>
  <r>
    <x v="1331"/>
  </r>
  <r>
    <x v="1332"/>
  </r>
  <r>
    <x v="1333"/>
  </r>
  <r>
    <x v="1334"/>
  </r>
  <r>
    <x v="1335"/>
  </r>
  <r>
    <x v="1336"/>
  </r>
  <r>
    <x v="1337"/>
  </r>
  <r>
    <x v="1338"/>
  </r>
  <r>
    <x v="1339"/>
  </r>
  <r>
    <x v="1340"/>
  </r>
  <r>
    <x v="1341"/>
  </r>
  <r>
    <x v="1342"/>
  </r>
  <r>
    <x v="1343"/>
  </r>
  <r>
    <x v="1344"/>
  </r>
  <r>
    <x v="1345"/>
  </r>
  <r>
    <x v="1345"/>
  </r>
  <r>
    <x v="1346"/>
  </r>
  <r>
    <x v="1347"/>
  </r>
  <r>
    <x v="1348"/>
  </r>
  <r>
    <x v="1349"/>
  </r>
  <r>
    <x v="1350"/>
  </r>
  <r>
    <x v="1351"/>
  </r>
  <r>
    <x v="1352"/>
  </r>
  <r>
    <x v="1353"/>
  </r>
  <r>
    <x v="1354"/>
  </r>
  <r>
    <x v="1354"/>
  </r>
  <r>
    <x v="1355"/>
  </r>
  <r>
    <x v="1356"/>
  </r>
  <r>
    <x v="1357"/>
  </r>
  <r>
    <x v="1357"/>
  </r>
  <r>
    <x v="1358"/>
  </r>
  <r>
    <x v="1359"/>
  </r>
  <r>
    <x v="1360"/>
  </r>
  <r>
    <x v="1361"/>
  </r>
  <r>
    <x v="1362"/>
  </r>
  <r>
    <x v="1363"/>
  </r>
  <r>
    <x v="1364"/>
  </r>
  <r>
    <x v="1365"/>
  </r>
  <r>
    <x v="1366"/>
  </r>
  <r>
    <x v="1367"/>
  </r>
  <r>
    <x v="1368"/>
  </r>
  <r>
    <x v="1369"/>
  </r>
  <r>
    <x v="1370"/>
  </r>
  <r>
    <x v="1371"/>
  </r>
  <r>
    <x v="1372"/>
  </r>
  <r>
    <x v="1373"/>
  </r>
  <r>
    <x v="1374"/>
  </r>
  <r>
    <x v="1375"/>
  </r>
  <r>
    <x v="1376"/>
  </r>
  <r>
    <x v="1377"/>
  </r>
  <r>
    <x v="1378"/>
  </r>
  <r>
    <x v="1379"/>
  </r>
  <r>
    <x v="1380"/>
  </r>
  <r>
    <x v="1381"/>
  </r>
  <r>
    <x v="1382"/>
  </r>
  <r>
    <x v="1383"/>
  </r>
  <r>
    <x v="1384"/>
  </r>
  <r>
    <x v="1385"/>
  </r>
  <r>
    <x v="1386"/>
  </r>
  <r>
    <x v="1387"/>
  </r>
  <r>
    <x v="1388"/>
  </r>
  <r>
    <x v="1389"/>
  </r>
  <r>
    <x v="1389"/>
  </r>
  <r>
    <x v="1390"/>
  </r>
  <r>
    <x v="1391"/>
  </r>
  <r>
    <x v="1392"/>
  </r>
  <r>
    <x v="1392"/>
  </r>
  <r>
    <x v="1393"/>
  </r>
  <r>
    <x v="1394"/>
  </r>
  <r>
    <x v="1395"/>
  </r>
  <r>
    <x v="1396"/>
  </r>
  <r>
    <x v="1397"/>
  </r>
  <r>
    <x v="1398"/>
  </r>
  <r>
    <x v="1399"/>
  </r>
  <r>
    <x v="1400"/>
  </r>
  <r>
    <x v="1401"/>
  </r>
  <r>
    <x v="1402"/>
  </r>
  <r>
    <x v="1403"/>
  </r>
  <r>
    <x v="1404"/>
  </r>
  <r>
    <x v="1405"/>
  </r>
  <r>
    <x v="1406"/>
  </r>
  <r>
    <x v="1407"/>
  </r>
  <r>
    <x v="1408"/>
  </r>
  <r>
    <x v="1409"/>
  </r>
  <r>
    <x v="1410"/>
  </r>
  <r>
    <x v="1411"/>
  </r>
  <r>
    <x v="1412"/>
  </r>
  <r>
    <x v="1413"/>
  </r>
  <r>
    <x v="1414"/>
  </r>
  <r>
    <x v="1414"/>
  </r>
  <r>
    <x v="1415"/>
  </r>
  <r>
    <x v="1416"/>
  </r>
  <r>
    <x v="1417"/>
  </r>
  <r>
    <x v="1418"/>
  </r>
  <r>
    <x v="1419"/>
  </r>
  <r>
    <x v="1420"/>
  </r>
  <r>
    <x v="1421"/>
  </r>
  <r>
    <x v="1422"/>
  </r>
  <r>
    <x v="1423"/>
  </r>
  <r>
    <x v="1424"/>
  </r>
  <r>
    <x v="1425"/>
  </r>
  <r>
    <x v="1426"/>
  </r>
  <r>
    <x v="1427"/>
  </r>
  <r>
    <x v="1428"/>
  </r>
  <r>
    <x v="1429"/>
  </r>
  <r>
    <x v="1430"/>
  </r>
  <r>
    <x v="1431"/>
  </r>
  <r>
    <x v="1432"/>
  </r>
  <r>
    <x v="1433"/>
  </r>
  <r>
    <x v="1434"/>
  </r>
  <r>
    <x v="1435"/>
  </r>
  <r>
    <x v="1436"/>
  </r>
  <r>
    <x v="1436"/>
  </r>
  <r>
    <x v="1437"/>
  </r>
  <r>
    <x v="1438"/>
  </r>
  <r>
    <x v="1439"/>
  </r>
  <r>
    <x v="1440"/>
  </r>
  <r>
    <x v="1441"/>
  </r>
  <r>
    <x v="1442"/>
  </r>
  <r>
    <x v="1443"/>
  </r>
  <r>
    <x v="1444"/>
  </r>
  <r>
    <x v="1445"/>
  </r>
  <r>
    <x v="1446"/>
  </r>
  <r>
    <x v="1447"/>
  </r>
  <r>
    <x v="1448"/>
  </r>
  <r>
    <x v="1448"/>
  </r>
  <r>
    <x v="1449"/>
  </r>
  <r>
    <x v="1450"/>
  </r>
  <r>
    <x v="1451"/>
  </r>
  <r>
    <x v="1452"/>
  </r>
  <r>
    <x v="1453"/>
  </r>
  <r>
    <x v="1454"/>
  </r>
  <r>
    <x v="1455"/>
  </r>
  <r>
    <x v="1456"/>
  </r>
  <r>
    <x v="1457"/>
  </r>
  <r>
    <x v="1458"/>
  </r>
  <r>
    <x v="1459"/>
  </r>
  <r>
    <x v="1460"/>
  </r>
  <r>
    <x v="1461"/>
  </r>
  <r>
    <x v="1462"/>
  </r>
  <r>
    <x v="1463"/>
  </r>
  <r>
    <x v="1464"/>
  </r>
  <r>
    <x v="1464"/>
  </r>
  <r>
    <x v="80"/>
  </r>
  <r>
    <x v="1465"/>
  </r>
  <r>
    <x v="1466"/>
  </r>
  <r>
    <x v="1467"/>
  </r>
  <r>
    <x v="1468"/>
  </r>
  <r>
    <x v="1469"/>
  </r>
  <r>
    <x v="1470"/>
  </r>
  <r>
    <x v="1471"/>
  </r>
  <r>
    <x v="1472"/>
  </r>
  <r>
    <x v="1473"/>
  </r>
  <r>
    <x v="1474"/>
  </r>
  <r>
    <x v="1475"/>
  </r>
  <r>
    <x v="1476"/>
  </r>
  <r>
    <x v="1477"/>
  </r>
  <r>
    <x v="1478"/>
  </r>
  <r>
    <x v="1479"/>
  </r>
  <r>
    <x v="1480"/>
  </r>
  <r>
    <x v="1481"/>
  </r>
  <r>
    <x v="1482"/>
  </r>
  <r>
    <x v="1483"/>
  </r>
  <r>
    <x v="1484"/>
  </r>
  <r>
    <x v="1485"/>
  </r>
  <r>
    <x v="1486"/>
  </r>
  <r>
    <x v="1487"/>
  </r>
  <r>
    <x v="1488"/>
  </r>
  <r>
    <x v="1489"/>
  </r>
  <r>
    <x v="1490"/>
  </r>
  <r>
    <x v="1491"/>
  </r>
  <r>
    <x v="1492"/>
  </r>
  <r>
    <x v="1493"/>
  </r>
  <r>
    <x v="1494"/>
  </r>
  <r>
    <x v="1495"/>
  </r>
  <r>
    <x v="1496"/>
  </r>
  <r>
    <x v="1497"/>
  </r>
  <r>
    <x v="1498"/>
  </r>
  <r>
    <x v="1499"/>
  </r>
  <r>
    <x v="1500"/>
  </r>
  <r>
    <x v="1501"/>
  </r>
  <r>
    <x v="1502"/>
  </r>
  <r>
    <x v="1503"/>
  </r>
  <r>
    <x v="1504"/>
  </r>
  <r>
    <x v="1505"/>
  </r>
  <r>
    <x v="1506"/>
  </r>
  <r>
    <x v="1507"/>
  </r>
  <r>
    <x v="1508"/>
  </r>
  <r>
    <x v="1509"/>
  </r>
  <r>
    <x v="1509"/>
  </r>
  <r>
    <x v="1509"/>
  </r>
  <r>
    <x v="1510"/>
  </r>
  <r>
    <x v="1511"/>
  </r>
  <r>
    <x v="1512"/>
  </r>
  <r>
    <x v="1513"/>
  </r>
  <r>
    <x v="1514"/>
  </r>
  <r>
    <x v="1515"/>
  </r>
  <r>
    <x v="1516"/>
  </r>
  <r>
    <x v="1517"/>
  </r>
  <r>
    <x v="1518"/>
  </r>
  <r>
    <x v="1519"/>
  </r>
  <r>
    <x v="1520"/>
  </r>
  <r>
    <x v="1521"/>
  </r>
  <r>
    <x v="1522"/>
  </r>
  <r>
    <x v="1523"/>
  </r>
  <r>
    <x v="1524"/>
  </r>
  <r>
    <x v="1525"/>
  </r>
  <r>
    <x v="1526"/>
  </r>
  <r>
    <x v="1527"/>
  </r>
  <r>
    <x v="1528"/>
  </r>
  <r>
    <x v="1529"/>
  </r>
  <r>
    <x v="1530"/>
  </r>
  <r>
    <x v="1531"/>
  </r>
  <r>
    <x v="1532"/>
  </r>
  <r>
    <x v="1533"/>
  </r>
  <r>
    <x v="1534"/>
  </r>
  <r>
    <x v="1535"/>
  </r>
  <r>
    <x v="1536"/>
  </r>
  <r>
    <x v="1537"/>
  </r>
  <r>
    <x v="1538"/>
  </r>
  <r>
    <x v="1539"/>
  </r>
  <r>
    <x v="1540"/>
  </r>
  <r>
    <x v="1541"/>
  </r>
  <r>
    <x v="1542"/>
  </r>
  <r>
    <x v="1543"/>
  </r>
  <r>
    <x v="1544"/>
  </r>
  <r>
    <x v="1545"/>
  </r>
  <r>
    <x v="1546"/>
  </r>
  <r>
    <x v="1547"/>
  </r>
  <r>
    <x v="270"/>
  </r>
  <r>
    <x v="1548"/>
  </r>
  <r>
    <x v="1549"/>
  </r>
  <r>
    <x v="1550"/>
  </r>
  <r>
    <x v="1551"/>
  </r>
  <r>
    <x v="1552"/>
  </r>
  <r>
    <x v="1553"/>
  </r>
  <r>
    <x v="1554"/>
  </r>
  <r>
    <x v="1555"/>
  </r>
  <r>
    <x v="1556"/>
  </r>
  <r>
    <x v="1557"/>
  </r>
  <r>
    <x v="1558"/>
  </r>
  <r>
    <x v="1559"/>
  </r>
  <r>
    <x v="1560"/>
  </r>
  <r>
    <x v="1561"/>
  </r>
  <r>
    <x v="1561"/>
  </r>
  <r>
    <x v="1562"/>
  </r>
  <r>
    <x v="1563"/>
  </r>
  <r>
    <x v="1564"/>
  </r>
  <r>
    <x v="1565"/>
  </r>
  <r>
    <x v="1566"/>
  </r>
  <r>
    <x v="1567"/>
  </r>
  <r>
    <x v="1568"/>
  </r>
  <r>
    <x v="1569"/>
  </r>
  <r>
    <x v="1570"/>
  </r>
  <r>
    <x v="1571"/>
  </r>
  <r>
    <x v="1572"/>
  </r>
  <r>
    <x v="1573"/>
  </r>
  <r>
    <x v="1574"/>
  </r>
  <r>
    <x v="1575"/>
  </r>
  <r>
    <x v="1576"/>
  </r>
  <r>
    <x v="1577"/>
  </r>
  <r>
    <x v="1578"/>
  </r>
  <r>
    <x v="1579"/>
  </r>
  <r>
    <x v="1580"/>
  </r>
  <r>
    <x v="1581"/>
  </r>
  <r>
    <x v="1582"/>
  </r>
  <r>
    <x v="1583"/>
  </r>
  <r>
    <x v="1584"/>
  </r>
  <r>
    <x v="1585"/>
  </r>
  <r>
    <x v="1586"/>
  </r>
  <r>
    <x v="1587"/>
  </r>
  <r>
    <x v="1588"/>
  </r>
  <r>
    <x v="1589"/>
  </r>
  <r>
    <x v="1590"/>
  </r>
  <r>
    <x v="1591"/>
  </r>
  <r>
    <x v="1592"/>
  </r>
  <r>
    <x v="1593"/>
  </r>
  <r>
    <x v="1594"/>
  </r>
  <r>
    <x v="1595"/>
  </r>
  <r>
    <x v="1596"/>
  </r>
  <r>
    <x v="1597"/>
  </r>
  <r>
    <x v="1598"/>
  </r>
  <r>
    <x v="368"/>
  </r>
  <r>
    <x v="1599"/>
  </r>
  <r>
    <x v="1600"/>
  </r>
  <r>
    <x v="1600"/>
  </r>
  <r>
    <x v="1601"/>
  </r>
  <r>
    <x v="1602"/>
  </r>
  <r>
    <x v="1603"/>
  </r>
  <r>
    <x v="1604"/>
  </r>
  <r>
    <x v="1605"/>
  </r>
  <r>
    <x v="1606"/>
  </r>
  <r>
    <x v="1607"/>
  </r>
  <r>
    <x v="1608"/>
  </r>
  <r>
    <x v="1608"/>
  </r>
  <r>
    <x v="1609"/>
  </r>
  <r>
    <x v="1610"/>
  </r>
  <r>
    <x v="1611"/>
  </r>
  <r>
    <x v="1612"/>
  </r>
  <r>
    <x v="1613"/>
  </r>
  <r>
    <x v="1614"/>
  </r>
  <r>
    <x v="1615"/>
  </r>
  <r>
    <x v="1616"/>
  </r>
  <r>
    <x v="1617"/>
  </r>
  <r>
    <x v="1617"/>
  </r>
  <r>
    <x v="1618"/>
  </r>
  <r>
    <x v="1619"/>
  </r>
  <r>
    <x v="1620"/>
  </r>
  <r>
    <x v="1621"/>
  </r>
  <r>
    <x v="1622"/>
  </r>
  <r>
    <x v="1623"/>
  </r>
  <r>
    <x v="1624"/>
  </r>
  <r>
    <x v="1625"/>
  </r>
  <r>
    <x v="1626"/>
  </r>
  <r>
    <x v="1627"/>
  </r>
  <r>
    <x v="1628"/>
  </r>
  <r>
    <x v="1629"/>
  </r>
  <r>
    <x v="1630"/>
  </r>
  <r>
    <x v="1631"/>
  </r>
  <r>
    <x v="1632"/>
  </r>
  <r>
    <x v="1633"/>
  </r>
  <r>
    <x v="1634"/>
  </r>
  <r>
    <x v="1635"/>
  </r>
  <r>
    <x v="1636"/>
  </r>
  <r>
    <x v="1637"/>
  </r>
  <r>
    <x v="1638"/>
  </r>
  <r>
    <x v="1639"/>
  </r>
  <r>
    <x v="1640"/>
  </r>
  <r>
    <x v="1641"/>
  </r>
  <r>
    <x v="1642"/>
  </r>
  <r>
    <x v="1643"/>
  </r>
  <r>
    <x v="1644"/>
  </r>
  <r>
    <x v="1645"/>
  </r>
  <r>
    <x v="1646"/>
  </r>
  <r>
    <x v="1647"/>
  </r>
  <r>
    <x v="1648"/>
  </r>
  <r>
    <x v="1649"/>
  </r>
  <r>
    <x v="1650"/>
  </r>
  <r>
    <x v="1651"/>
  </r>
  <r>
    <x v="1652"/>
  </r>
  <r>
    <x v="1653"/>
  </r>
  <r>
    <x v="1654"/>
  </r>
  <r>
    <x v="1655"/>
  </r>
  <r>
    <x v="1656"/>
  </r>
  <r>
    <x v="1657"/>
  </r>
  <r>
    <x v="1658"/>
  </r>
  <r>
    <x v="1659"/>
  </r>
  <r>
    <x v="1660"/>
  </r>
  <r>
    <x v="1661"/>
  </r>
  <r>
    <x v="1662"/>
  </r>
  <r>
    <x v="1663"/>
  </r>
  <r>
    <x v="1664"/>
  </r>
  <r>
    <x v="1665"/>
  </r>
  <r>
    <x v="1666"/>
  </r>
  <r>
    <x v="1667"/>
  </r>
  <r>
    <x v="1668"/>
  </r>
  <r>
    <x v="1669"/>
  </r>
  <r>
    <x v="1670"/>
  </r>
  <r>
    <x v="1671"/>
  </r>
  <r>
    <x v="1672"/>
  </r>
  <r>
    <x v="543"/>
  </r>
  <r>
    <x v="1673"/>
  </r>
  <r>
    <x v="1674"/>
  </r>
  <r>
    <x v="1675"/>
  </r>
  <r>
    <x v="1676"/>
  </r>
  <r>
    <x v="1677"/>
  </r>
  <r>
    <x v="1678"/>
  </r>
  <r>
    <x v="1679"/>
  </r>
  <r>
    <x v="1680"/>
  </r>
  <r>
    <x v="1681"/>
  </r>
  <r>
    <x v="1682"/>
  </r>
  <r>
    <x v="1683"/>
  </r>
  <r>
    <x v="1684"/>
  </r>
  <r>
    <x v="1685"/>
  </r>
  <r>
    <x v="1686"/>
  </r>
  <r>
    <x v="1687"/>
  </r>
  <r>
    <x v="1688"/>
  </r>
  <r>
    <x v="1689"/>
  </r>
  <r>
    <x v="1690"/>
  </r>
  <r>
    <x v="1691"/>
  </r>
  <r>
    <x v="1692"/>
  </r>
  <r>
    <x v="1692"/>
  </r>
  <r>
    <x v="1693"/>
  </r>
  <r>
    <x v="605"/>
  </r>
  <r>
    <x v="1694"/>
  </r>
  <r>
    <x v="1695"/>
  </r>
  <r>
    <x v="1696"/>
  </r>
  <r>
    <x v="1697"/>
  </r>
  <r>
    <x v="1698"/>
  </r>
  <r>
    <x v="1699"/>
  </r>
  <r>
    <x v="1700"/>
  </r>
  <r>
    <x v="1701"/>
  </r>
  <r>
    <x v="1702"/>
  </r>
  <r>
    <x v="1703"/>
  </r>
  <r>
    <x v="1704"/>
  </r>
  <r>
    <x v="618"/>
  </r>
  <r>
    <x v="1705"/>
  </r>
  <r>
    <x v="1706"/>
  </r>
  <r>
    <x v="1707"/>
  </r>
  <r>
    <x v="1708"/>
  </r>
  <r>
    <x v="1709"/>
  </r>
  <r>
    <x v="1710"/>
  </r>
  <r>
    <x v="1711"/>
  </r>
  <r>
    <x v="1712"/>
  </r>
  <r>
    <x v="627"/>
  </r>
  <r>
    <x v="1713"/>
  </r>
  <r>
    <x v="1714"/>
  </r>
  <r>
    <x v="1715"/>
  </r>
  <r>
    <x v="1716"/>
  </r>
  <r>
    <x v="1717"/>
  </r>
  <r>
    <x v="1718"/>
  </r>
  <r>
    <x v="1719"/>
  </r>
  <r>
    <x v="1720"/>
  </r>
  <r>
    <x v="1721"/>
  </r>
  <r>
    <x v="1722"/>
  </r>
  <r>
    <x v="1723"/>
  </r>
  <r>
    <x v="1724"/>
  </r>
  <r>
    <x v="1725"/>
  </r>
  <r>
    <x v="1726"/>
  </r>
  <r>
    <x v="1727"/>
  </r>
  <r>
    <x v="1728"/>
  </r>
  <r>
    <x v="1729"/>
  </r>
  <r>
    <x v="1730"/>
  </r>
  <r>
    <x v="675"/>
  </r>
  <r>
    <x v="676"/>
  </r>
  <r>
    <x v="1731"/>
  </r>
  <r>
    <x v="679"/>
  </r>
  <r>
    <x v="1732"/>
  </r>
  <r>
    <x v="1733"/>
  </r>
  <r>
    <x v="1734"/>
  </r>
  <r>
    <x v="1735"/>
  </r>
  <r>
    <x v="1736"/>
  </r>
  <r>
    <x v="1737"/>
  </r>
  <r>
    <x v="703"/>
  </r>
  <r>
    <x v="1738"/>
  </r>
  <r>
    <x v="1739"/>
  </r>
  <r>
    <x v="1740"/>
  </r>
  <r>
    <x v="1741"/>
  </r>
  <r>
    <x v="1741"/>
  </r>
  <r>
    <x v="1742"/>
  </r>
  <r>
    <x v="1743"/>
  </r>
  <r>
    <x v="1744"/>
  </r>
  <r>
    <x v="1745"/>
  </r>
  <r>
    <x v="1745"/>
  </r>
  <r>
    <x v="1746"/>
  </r>
  <r>
    <x v="1747"/>
  </r>
  <r>
    <x v="1748"/>
  </r>
  <r>
    <x v="1749"/>
  </r>
  <r>
    <x v="1750"/>
  </r>
  <r>
    <x v="1751"/>
  </r>
  <r>
    <x v="1752"/>
  </r>
  <r>
    <x v="1753"/>
  </r>
  <r>
    <x v="1754"/>
  </r>
  <r>
    <x v="1755"/>
  </r>
  <r>
    <x v="1756"/>
  </r>
  <r>
    <x v="1757"/>
  </r>
  <r>
    <x v="1757"/>
  </r>
  <r>
    <x v="1758"/>
  </r>
  <r>
    <x v="1759"/>
  </r>
  <r>
    <x v="1760"/>
  </r>
  <r>
    <x v="1761"/>
  </r>
  <r>
    <x v="1762"/>
  </r>
  <r>
    <x v="1763"/>
  </r>
  <r>
    <x v="1764"/>
  </r>
  <r>
    <x v="1765"/>
  </r>
  <r>
    <x v="1766"/>
  </r>
  <r>
    <x v="1767"/>
  </r>
  <r>
    <x v="1768"/>
  </r>
  <r>
    <x v="1769"/>
  </r>
  <r>
    <x v="1770"/>
  </r>
  <r>
    <x v="1771"/>
  </r>
  <r>
    <x v="1772"/>
  </r>
  <r>
    <x v="1773"/>
  </r>
  <r>
    <x v="1774"/>
  </r>
  <r>
    <x v="1775"/>
  </r>
  <r>
    <x v="1776"/>
  </r>
  <r>
    <x v="1777"/>
  </r>
  <r>
    <x v="1778"/>
  </r>
  <r>
    <x v="1779"/>
  </r>
  <r>
    <x v="1780"/>
  </r>
  <r>
    <x v="1781"/>
  </r>
  <r>
    <x v="1782"/>
  </r>
  <r>
    <x v="1783"/>
  </r>
  <r>
    <x v="1784"/>
  </r>
  <r>
    <x v="1785"/>
  </r>
  <r>
    <x v="1786"/>
  </r>
  <r>
    <x v="1787"/>
  </r>
  <r>
    <x v="1788"/>
  </r>
  <r>
    <x v="801"/>
  </r>
  <r>
    <x v="1789"/>
  </r>
  <r>
    <x v="1790"/>
  </r>
  <r>
    <x v="1791"/>
  </r>
  <r>
    <x v="1792"/>
  </r>
  <r>
    <x v="1793"/>
  </r>
  <r>
    <x v="1794"/>
  </r>
  <r>
    <x v="1795"/>
  </r>
  <r>
    <x v="1796"/>
  </r>
  <r>
    <x v="1797"/>
  </r>
  <r>
    <x v="1798"/>
  </r>
  <r>
    <x v="1799"/>
  </r>
  <r>
    <x v="1800"/>
  </r>
  <r>
    <x v="1801"/>
  </r>
  <r>
    <x v="1802"/>
  </r>
  <r>
    <x v="1803"/>
  </r>
  <r>
    <x v="1804"/>
  </r>
  <r>
    <x v="1805"/>
  </r>
  <r>
    <x v="1806"/>
  </r>
  <r>
    <x v="1807"/>
  </r>
  <r>
    <x v="1808"/>
  </r>
  <r>
    <x v="1809"/>
  </r>
  <r>
    <x v="1810"/>
  </r>
  <r>
    <x v="1811"/>
  </r>
  <r>
    <x v="1812"/>
  </r>
  <r>
    <x v="859"/>
  </r>
  <r>
    <x v="1813"/>
  </r>
  <r>
    <x v="1814"/>
  </r>
  <r>
    <x v="1815"/>
  </r>
  <r>
    <x v="1816"/>
  </r>
  <r>
    <x v="1817"/>
  </r>
  <r>
    <x v="1818"/>
  </r>
  <r>
    <x v="1819"/>
  </r>
  <r>
    <x v="1820"/>
  </r>
  <r>
    <x v="1821"/>
  </r>
  <r>
    <x v="1822"/>
  </r>
  <r>
    <x v="1823"/>
  </r>
  <r>
    <x v="1824"/>
  </r>
  <r>
    <x v="1825"/>
  </r>
  <r>
    <x v="1826"/>
  </r>
  <r>
    <x v="1827"/>
  </r>
  <r>
    <x v="1828"/>
  </r>
  <r>
    <x v="1829"/>
  </r>
  <r>
    <x v="1830"/>
  </r>
  <r>
    <x v="1831"/>
  </r>
  <r>
    <x v="1832"/>
  </r>
  <r>
    <x v="1833"/>
  </r>
  <r>
    <x v="1834"/>
  </r>
  <r>
    <x v="1835"/>
  </r>
  <r>
    <x v="1836"/>
  </r>
  <r>
    <x v="1837"/>
  </r>
  <r>
    <x v="1838"/>
  </r>
  <r>
    <x v="1839"/>
  </r>
  <r>
    <x v="1840"/>
  </r>
  <r>
    <x v="1841"/>
  </r>
  <r>
    <x v="1842"/>
  </r>
  <r>
    <x v="1843"/>
  </r>
  <r>
    <x v="1844"/>
  </r>
  <r>
    <x v="935"/>
  </r>
  <r>
    <x v="1845"/>
  </r>
  <r>
    <x v="1846"/>
  </r>
  <r>
    <x v="1847"/>
  </r>
  <r>
    <x v="1848"/>
  </r>
  <r>
    <x v="1849"/>
  </r>
  <r>
    <x v="1850"/>
  </r>
  <r>
    <x v="1851"/>
  </r>
  <r>
    <x v="1852"/>
  </r>
  <r>
    <x v="1853"/>
  </r>
  <r>
    <x v="1854"/>
  </r>
  <r>
    <x v="1855"/>
  </r>
  <r>
    <x v="1856"/>
  </r>
  <r>
    <x v="1857"/>
  </r>
  <r>
    <x v="1858"/>
  </r>
  <r>
    <x v="1859"/>
  </r>
  <r>
    <x v="1860"/>
  </r>
  <r>
    <x v="1861"/>
  </r>
  <r>
    <x v="1862"/>
  </r>
  <r>
    <x v="1863"/>
  </r>
  <r>
    <x v="1864"/>
  </r>
  <r>
    <x v="1865"/>
  </r>
  <r>
    <x v="1866"/>
  </r>
  <r>
    <x v="1867"/>
  </r>
  <r>
    <x v="1868"/>
  </r>
  <r>
    <x v="1869"/>
  </r>
  <r>
    <x v="1870"/>
  </r>
  <r>
    <x v="1871"/>
  </r>
  <r>
    <x v="1872"/>
  </r>
  <r>
    <x v="1873"/>
  </r>
  <r>
    <x v="1874"/>
  </r>
  <r>
    <x v="1875"/>
  </r>
  <r>
    <x v="1876"/>
  </r>
  <r>
    <x v="1877"/>
  </r>
  <r>
    <x v="1878"/>
  </r>
  <r>
    <x v="1879"/>
  </r>
  <r>
    <x v="1880"/>
  </r>
  <r>
    <x v="1881"/>
  </r>
  <r>
    <x v="1882"/>
  </r>
  <r>
    <x v="1883"/>
  </r>
  <r>
    <x v="1884"/>
  </r>
  <r>
    <x v="1885"/>
  </r>
  <r>
    <x v="1886"/>
  </r>
  <r>
    <x v="1887"/>
  </r>
  <r>
    <x v="1888"/>
  </r>
  <r>
    <x v="1889"/>
  </r>
  <r>
    <x v="1890"/>
  </r>
  <r>
    <x v="1891"/>
  </r>
  <r>
    <x v="1892"/>
  </r>
  <r>
    <x v="1893"/>
  </r>
  <r>
    <x v="1894"/>
  </r>
  <r>
    <x v="1024"/>
  </r>
  <r>
    <x v="1024"/>
  </r>
  <r>
    <x v="1024"/>
  </r>
  <r>
    <x v="1024"/>
  </r>
  <r>
    <x v="1895"/>
  </r>
  <r>
    <x v="1896"/>
  </r>
  <r>
    <x v="1896"/>
  </r>
  <r>
    <x v="1897"/>
  </r>
  <r>
    <x v="1898"/>
  </r>
  <r>
    <x v="1899"/>
  </r>
  <r>
    <x v="1900"/>
  </r>
  <r>
    <x v="1901"/>
  </r>
  <r>
    <x v="1902"/>
  </r>
  <r>
    <x v="1903"/>
  </r>
  <r>
    <x v="1904"/>
  </r>
  <r>
    <x v="1905"/>
  </r>
  <r>
    <x v="1052"/>
  </r>
  <r>
    <x v="1906"/>
  </r>
  <r>
    <x v="1907"/>
  </r>
  <r>
    <x v="1908"/>
  </r>
  <r>
    <x v="1909"/>
  </r>
  <r>
    <x v="1910"/>
  </r>
  <r>
    <x v="1911"/>
  </r>
  <r>
    <x v="1912"/>
  </r>
  <r>
    <x v="1913"/>
  </r>
  <r>
    <x v="1914"/>
  </r>
  <r>
    <x v="1915"/>
  </r>
  <r>
    <x v="1915"/>
  </r>
  <r>
    <x v="1915"/>
  </r>
  <r>
    <x v="1915"/>
  </r>
  <r>
    <x v="1916"/>
  </r>
  <r>
    <x v="1917"/>
  </r>
  <r>
    <x v="1918"/>
  </r>
  <r>
    <x v="1919"/>
  </r>
  <r>
    <x v="1919"/>
  </r>
  <r>
    <x v="1919"/>
  </r>
  <r>
    <x v="1920"/>
  </r>
  <r>
    <x v="1921"/>
  </r>
  <r>
    <x v="1922"/>
  </r>
  <r>
    <x v="1923"/>
  </r>
  <r>
    <x v="1924"/>
  </r>
  <r>
    <x v="1925"/>
  </r>
  <r>
    <x v="1925"/>
  </r>
  <r>
    <x v="1925"/>
  </r>
  <r>
    <x v="1926"/>
  </r>
  <r>
    <x v="1927"/>
  </r>
  <r>
    <x v="1927"/>
  </r>
  <r>
    <x v="1928"/>
  </r>
  <r>
    <x v="1929"/>
  </r>
  <r>
    <x v="1930"/>
  </r>
  <r>
    <x v="1931"/>
  </r>
  <r>
    <x v="1932"/>
  </r>
  <r>
    <x v="1933"/>
  </r>
  <r>
    <x v="1117"/>
  </r>
  <r>
    <x v="1934"/>
  </r>
  <r>
    <x v="1935"/>
  </r>
  <r>
    <x v="1935"/>
  </r>
  <r>
    <x v="1936"/>
  </r>
  <r>
    <x v="1937"/>
  </r>
  <r>
    <x v="1938"/>
  </r>
  <r>
    <x v="1939"/>
  </r>
  <r>
    <x v="1940"/>
  </r>
  <r>
    <x v="1941"/>
  </r>
  <r>
    <x v="1942"/>
  </r>
  <r>
    <x v="1943"/>
  </r>
  <r>
    <x v="1944"/>
  </r>
  <r>
    <x v="1945"/>
  </r>
  <r>
    <x v="1946"/>
  </r>
  <r>
    <x v="1947"/>
  </r>
  <r>
    <x v="1948"/>
  </r>
  <r>
    <x v="1949"/>
  </r>
  <r>
    <x v="1950"/>
  </r>
  <r>
    <x v="1951"/>
  </r>
  <r>
    <x v="1952"/>
  </r>
  <r>
    <x v="1953"/>
  </r>
  <r>
    <x v="1954"/>
  </r>
  <r>
    <x v="1955"/>
  </r>
  <r>
    <x v="1956"/>
  </r>
  <r>
    <x v="1957"/>
  </r>
  <r>
    <x v="1958"/>
  </r>
  <r>
    <x v="1959"/>
  </r>
  <r>
    <x v="1960"/>
  </r>
  <r>
    <x v="1961"/>
  </r>
  <r>
    <x v="1961"/>
  </r>
  <r>
    <x v="1962"/>
  </r>
  <r>
    <x v="1963"/>
  </r>
  <r>
    <x v="1964"/>
  </r>
  <r>
    <x v="1965"/>
  </r>
  <r>
    <x v="1966"/>
  </r>
  <r>
    <x v="1967"/>
  </r>
  <r>
    <x v="1968"/>
  </r>
  <r>
    <x v="1969"/>
  </r>
  <r>
    <x v="1970"/>
  </r>
  <r>
    <x v="1971"/>
  </r>
  <r>
    <x v="1972"/>
  </r>
  <r>
    <x v="1973"/>
  </r>
  <r>
    <x v="1974"/>
  </r>
  <r>
    <x v="1975"/>
  </r>
  <r>
    <x v="1976"/>
  </r>
  <r>
    <x v="1977"/>
  </r>
  <r>
    <x v="1978"/>
  </r>
  <r>
    <x v="1979"/>
  </r>
  <r>
    <x v="1980"/>
  </r>
  <r>
    <x v="1981"/>
  </r>
  <r>
    <x v="1982"/>
  </r>
  <r>
    <x v="1983"/>
  </r>
  <r>
    <x v="1984"/>
  </r>
  <r>
    <x v="1985"/>
  </r>
  <r>
    <x v="1986"/>
  </r>
  <r>
    <x v="1987"/>
  </r>
  <r>
    <x v="1988"/>
  </r>
  <r>
    <x v="1989"/>
  </r>
  <r>
    <x v="1990"/>
  </r>
  <r>
    <x v="1991"/>
  </r>
  <r>
    <x v="1992"/>
  </r>
  <r>
    <x v="1993"/>
  </r>
  <r>
    <x v="1994"/>
  </r>
  <r>
    <x v="1280"/>
  </r>
  <r>
    <x v="1995"/>
  </r>
  <r>
    <x v="1996"/>
  </r>
  <r>
    <x v="1997"/>
  </r>
  <r>
    <x v="1998"/>
  </r>
  <r>
    <x v="1999"/>
  </r>
  <r>
    <x v="2000"/>
  </r>
  <r>
    <x v="2001"/>
  </r>
  <r>
    <x v="2002"/>
  </r>
  <r>
    <x v="2003"/>
  </r>
  <r>
    <x v="2004"/>
  </r>
  <r>
    <x v="2005"/>
  </r>
  <r>
    <x v="2006"/>
  </r>
  <r>
    <x v="2007"/>
  </r>
  <r>
    <x v="2008"/>
  </r>
  <r>
    <x v="2009"/>
  </r>
  <r>
    <x v="2010"/>
  </r>
  <r>
    <x v="2011"/>
  </r>
  <r>
    <x v="2011"/>
  </r>
  <r>
    <x v="2012"/>
  </r>
  <r>
    <x v="2013"/>
  </r>
  <r>
    <x v="2014"/>
  </r>
  <r>
    <x v="2015"/>
  </r>
  <r>
    <x v="2016"/>
  </r>
  <r>
    <x v="2017"/>
  </r>
  <r>
    <x v="2018"/>
  </r>
  <r>
    <x v="2019"/>
  </r>
  <r>
    <x v="2020"/>
  </r>
  <r>
    <x v="2021"/>
  </r>
  <r>
    <x v="2022"/>
  </r>
  <r>
    <x v="2023"/>
  </r>
  <r>
    <x v="2024"/>
  </r>
  <r>
    <x v="2025"/>
  </r>
  <r>
    <x v="2026"/>
  </r>
  <r>
    <x v="2027"/>
  </r>
  <r>
    <x v="2028"/>
  </r>
  <r>
    <x v="2029"/>
  </r>
  <r>
    <x v="2030"/>
  </r>
  <r>
    <x v="2031"/>
  </r>
  <r>
    <x v="2032"/>
  </r>
  <r>
    <x v="2033"/>
  </r>
  <r>
    <x v="2034"/>
  </r>
  <r>
    <x v="2035"/>
  </r>
  <r>
    <x v="1409"/>
  </r>
  <r>
    <x v="2036"/>
  </r>
  <r>
    <x v="2037"/>
  </r>
  <r>
    <x v="2038"/>
  </r>
  <r>
    <x v="2039"/>
  </r>
  <r>
    <x v="2040"/>
  </r>
  <r>
    <x v="2041"/>
  </r>
  <r>
    <x v="2042"/>
  </r>
  <r>
    <x v="2043"/>
  </r>
  <r>
    <x v="2044"/>
  </r>
  <r>
    <x v="2045"/>
  </r>
  <r>
    <x v="2046"/>
  </r>
</pivotCacheRecords>
</file>

<file path=xl/pivotCache/pivotCacheRecords3.xml><?xml version="1.0" encoding="utf-8"?>
<pivotCacheRecords xmlns="http://schemas.openxmlformats.org/spreadsheetml/2006/main" xmlns:r="http://schemas.openxmlformats.org/officeDocument/2006/relationships" count="675">
  <r>
    <x v="0"/>
    <s v="J"/>
    <x v="0"/>
    <s v=""/>
    <s v=""/>
    <s v=""/>
    <s v="Senna, Pedro P.; Barros, Ana C.; Roca, Jaime Bonnin; Azevedo, Americo"/>
    <s v=""/>
    <s v=""/>
    <x v="0"/>
    <x v="0"/>
    <s v=""/>
    <s v=""/>
    <s v="English"/>
    <s v="Article"/>
    <s v=""/>
    <s v=""/>
    <s v=""/>
    <s v=""/>
    <s v=""/>
    <x v="0"/>
    <x v="0"/>
    <s v="The successful adoption of Industry 4.0 technologies by firms requires them to formulate a digital strategy and implementation roadmap. An established approach to assess firms' needs towards digitalization is through maturity models. While there is a large number of maturity models in the literature, they present several limi-tations related to their generalizability and theoretical foundations. Our study aims to build and empirically validate an Industry 4.0 digital maturity model, based on the Technology-Organization-Environment framework. We conducted a systematic literature review of 55 digital maturity models, which we synthesized to create an integrated digital maturity assessment model. We tested our model through a focus group with industry experts and 24 companies from various manufacturing sectors. Our review suggests that existing digital maturity models have underestimated the relevance of the Environment dimension. Our empirical data suggests that companies often invest in digital technologies without considering critical organizational and environmental constraints."/>
    <s v="[Senna, Pedro P.; Barros, Ana C.; Azevedo, Americo] INESC TEC, Ctr Enterprise Syst Engn, Campus FEUP,Rua Dr Roberto Frias, P-4200465 Porto, Portugal; [Senna, Pedro P.; Azevedo, Americo] Univ Porto, Fac Engn, Rua Dr Roberto Frias, P-4200465 Porto, Portugal; [Roca, Jaime Bonnin] Eindhoven Univ Technol, Dept Ind Engn &amp; Innovat Sci, POB 513, NL-5600 MB Eindhoven, Netherlands"/>
    <s v="Universidade do Porto; INESC TEC; Universidade do Porto; Eindhoven University of Technology"/>
    <s v="Roca, JB (corresponding author), Eindhoven Univ Technol, Dept Ind Engn &amp; Innovat Sci, POB 513, NL-5600 MB Eindhoven, Netherlands."/>
    <s v="j.bonnin.roca@tue.nl"/>
    <s v="Senna, Pedro Pinho/GRS-5705-2022"/>
    <s v="Senna, Pedro Pinho/0000-0002-4025-5716"/>
    <s v="National Funds through the Portuguese funding agency, FCT - Fundacao para a Ciencia e a Tecnologia [UIDB/50014/2020]"/>
    <s v="National Funds through the Portuguese funding agency, FCT - Fundacao para a Ciencia e a Tecnologia(Fundacao para a Ciencia e a Tecnologia (FCT))"/>
    <s v="This work was financed by National Funds through the Portuguese funding agency, FCT - Fundacao para a Ciencia e a Tecnologia, within project UIDB/50014/2020."/>
    <s v=""/>
    <n v="55"/>
    <n v="0"/>
    <n v="0"/>
    <n v="1"/>
    <n v="1"/>
    <s v="PERGAMON-ELSEVIER SCIENCE LTD"/>
    <s v="OXFORD"/>
    <s v="THE BOULEVARD, LANGFORD LANE, KIDLINGTON, OXFORD OX5 1GB, ENGLAND"/>
    <s v="0360-8352"/>
    <s v="1879-0550"/>
    <s v=""/>
    <s v="COMPUT IND ENG"/>
    <s v="Comput. Ind. Eng."/>
    <s v="NOV"/>
    <x v="0"/>
    <n v="185"/>
    <s v=""/>
    <s v=""/>
    <s v=""/>
    <s v=""/>
    <s v=""/>
    <s v=""/>
    <s v=""/>
    <n v="109645"/>
    <s v="10.1016/j.cie.2023.109645"/>
    <s v="http://dx.doi.org/10.1016/j.cie.2023.109645"/>
    <s v=""/>
    <s v=""/>
    <n v="19"/>
    <x v="0"/>
    <x v="0"/>
    <s v="Computer Science; Engineering"/>
    <s v="U8FF1"/>
    <s v=""/>
    <s v="hybrid"/>
    <s v=""/>
    <s v=""/>
    <s v="2023-11-15"/>
    <s v="WOS:001087097800001"/>
    <s v="View Full Record in Web of Science"/>
    <n v="5"/>
  </r>
  <r>
    <x v="1"/>
    <s v="J"/>
    <x v="1"/>
    <s v=""/>
    <s v=""/>
    <s v=""/>
    <s v="Guio, Juan; Melo, Andres; Saldarriaga, Mateo Mejia; Fuentes, Cynthia; Tijaro-Ovalle, Natalia; Borda, Andres; Guzman, Yuli; Bolanos, Elias; Quintero, Guillermo; Duarte, Monica; Agudelo, Claudia; Aparicio, Soraya; Cuellar, Gina; Bernal, Patricia; Paez, Marco; Rueda, Erica; Rodriguez, Agustina; Alvarado, Fernando; Pinzon, Oscar; Romero, Martha"/>
    <s v=""/>
    <s v=""/>
    <x v="1"/>
    <x v="1"/>
    <s v=""/>
    <s v=""/>
    <s v="English"/>
    <s v="Article; Early Access"/>
    <s v=""/>
    <s v=""/>
    <s v=""/>
    <s v=""/>
    <s v=""/>
    <x v="1"/>
    <x v="1"/>
    <s v="Multiple myeloma, the second most common hematologic malignancy worldwide, is an aggressive disease with high morbidity and mortality rates. Although myeloma remains incurable, new treatments have improved patients' life expectancy and quality of life. However, as these therapies are administered for prolonged and often indefinite periods, their success depends on high treatment adherence and significant patient engagement. This study aimed to evaluate the impact of a novel digital educational strategy on treatment adherence, quality of life, and the development of complications in patients with newly diagnosed myeloma. To this end, a two-arm, randomized, prospective, double-blind study was conducted to compare the conventional educational approach alone or combined with the novel digital strategy. This strategy was based on some principles of the Persuasive Systems Design model and incorporated the educational recommendations of patients and caregivers. Compared to the control group that only received information through the conventional educational approach, patients randomized to the digital strategy showed significantly higher treatment adherence and quality of life, associated with increased functionality and rapid reincorporation into daily routines. The digital strategy empowered patients and caregivers to understand the disease and therapeutic options and helped patients recall treatment information and implement healthy lifestyle habits. These results support that patient-targeted educational strategies can positively influence treatment adherence and thus improve their quality of life."/>
    <s v="[Guio, Juan; Melo, Andres; Fuentes, Cynthia; Borda, Andres; Guzman, Yuli; Quintero, Guillermo; Duarte, Monica; Agudelo, Claudia; Aparicio, Soraya; Cuellar, Gina; Bernal, Patricia; Paez, Marco; Rueda, Erica; Rodriguez, Agustina; Alvarado, Fernando; Romero, Martha] Hosp Univ Fdn Santa Fe Bogota, Ctr Excellence Multiple Myeloma, Bogota, Colombia; [Guio, Juan; Cuellar, Gina; Paez, Marco; Romero, Martha] Hosp Univ Fdn Santa Fe Bogota, Dept Pathol &amp; Lab, Bogota, Colombia; [Melo, Andres] Hosp Clin San Carlos, Hematol &amp; Hemotherapy Div, Madrid, Spain; [Saldarriaga, Mateo Mejia] Weill Cornell Med New York Presbyterian, Hematol &amp; Oncol Div, New York, NY USA; [Tijaro-Ovalle, Natalia] Yale Sch Med, Internal Med, New Haven, CT USA; [Borda, Andres; Quintero, Guillermo; Duarte, Monica; Agudelo, Claudia; Rueda, Erica] Univ Hosp Fdn Santa Fe Bogota, Canc Inst, Bogota, Colombia; [Bolanos, Elias] Univ Hosp Fdn Santa Fe Bogota, Educ &amp; Knowledge Management, Bogota, Colombia; [Aparicio, Soraya] Univ Hosp Fdn Santa Fe Bogota, Dept Psychiat, Bogota, Colombia; [Bernal, Patricia] Univ Hosp Fdn Santa Fe Bogota, Nucl Med, Bogota, Colombia; [Pinzon, Oscar] Mem Hermann Hlth Syst, Enterprise Analyt Div, Houston, TX USA"/>
    <s v="Hospital Clinico San Carlos; Cornell University; Weill Cornell Medicine; Yale University"/>
    <s v="Romero, M (corresponding author), Hosp Univ Fdn Santa Fe Bogota, Ctr Excellence Multiple Myeloma, Bogota, Colombia.;Romero, M (corresponding author), Hosp Univ Fdn Santa Fe Bogota, Dept Pathol &amp; Lab, Bogota, Colombia."/>
    <s v="martha.romero@fsfb.org.co"/>
    <s v=""/>
    <s v="GUIO OROS, JUAN FRANCISCO/0000-0003-0235-3195"/>
    <s v="We thank Dr Marta Mesa for English review, editing and correction."/>
    <s v="We thank Dr Marta Mesa for English review, editing and correction."/>
    <s v="We thank Dr Marta Mesa for English review, editing and correction."/>
    <s v=""/>
    <n v="22"/>
    <n v="0"/>
    <n v="0"/>
    <n v="0"/>
    <n v="0"/>
    <s v="SPRINGER"/>
    <s v="NEW YORK"/>
    <s v="ONE NEW YORK PLAZA, SUITE 4600, NEW YORK, NY, UNITED STATES"/>
    <s v="0885-8195"/>
    <s v="1543-0154"/>
    <s v=""/>
    <s v="J CANCER EDUC"/>
    <s v="J. Cancer Educ."/>
    <s v="2023 OCT 24"/>
    <x v="0"/>
    <s v=""/>
    <s v=""/>
    <s v=""/>
    <s v=""/>
    <s v=""/>
    <s v=""/>
    <s v=""/>
    <s v=""/>
    <s v=""/>
    <s v="10.1007/s13187-023-02374-w"/>
    <s v="http://dx.doi.org/10.1007/s13187-023-02374-w"/>
    <s v=""/>
    <s v="OCT 2023"/>
    <n v="8"/>
    <x v="1"/>
    <x v="0"/>
    <s v="Oncology; Education &amp; Educational Research; Public, Environmental &amp; Occupational Health"/>
    <s v="U9LY0"/>
    <n v="37875743"/>
    <s v=""/>
    <s v=""/>
    <s v=""/>
    <s v="2023-11-15"/>
    <s v="WOS:001087960200001"/>
    <s v="View Full Record in Web of Science"/>
    <n v="1"/>
  </r>
  <r>
    <x v="2"/>
    <s v="J"/>
    <x v="2"/>
    <s v=""/>
    <s v=""/>
    <s v=""/>
    <s v="Youssofi, Alexandra; Jeannot, Florence; Jongmans, Eline; Damperat, Maud"/>
    <s v=""/>
    <s v=""/>
    <x v="2"/>
    <x v="2"/>
    <s v=""/>
    <s v=""/>
    <s v="English"/>
    <s v="Article; Early Access"/>
    <s v=""/>
    <s v=""/>
    <s v=""/>
    <s v=""/>
    <s v=""/>
    <x v="2"/>
    <x v="2"/>
    <s v="Digital transformation has emerged as a critical necessity for hospitality, a sector that traditionally prioritizes human interaction and personalized experiences. While prior research has explored the impact of digital technologies on the realized guest experience, there is a lack of work that studies their influence on the intended guest experience, as designed by hoteliers. Drawing on existing literature on customer experience management and digitalization in hospitality, this research aims to understand the psychological mechanisms by which digital technologies enhance the intended digitalized guest experience. We conducted two qualitative studies, involving 22 hotel professionals and 18 consumers. By consolidating these different theoretical and practical perspectives, we propose a conceptualization of the intended digitalized guest experience and present an integrative framework that includes the mediating and reciprocal role of consumer- and professional-based psychological mechanisms, along with antecedents, outcomes, and contingency factors. These findings have practical implications for hotel professionals, enabling them to leverage appropriate digital strategies for successful guest experiences. The article concludes with specific recommendations to managers on how to design a unique guest experience. These recommendations include designing a game-like experience, developing care as a new source of digital value creation, and providing training to the staff to enhance their creativity."/>
    <s v="[Youssofi, Alexandra] COACTIS, INSEEC Grande Ecole, OMNES Educ, Lyon, France; [Jeannot, Florence] CERAG, INSEEC Grande Ecole, OMNES Educ, Lyon, France; [Jongmans, Eline] Univ Grenoble Alpes, Grenoble INP, CERAG, Grenoble, France; [Damperat, Maud] Univ Lyon 2, UR COACTIS, MSH, Lyon, France; [Jeannot, Florence] 25 Rue Univ, F-69007 Lyon, France"/>
    <s v="Communaute Universite Grenoble Alpes; Institut National Polytechnique de Grenoble; Universite Grenoble Alpes (UGA); Centre National de la Recherche Scientifique (CNRS); Communaute Universite Grenoble Alpes; Institut National Polytechnique de Grenoble; Universite Grenoble Alpes (UGA); Centre National de la Recherche Scientifique (CNRS); Universite Lyon 2"/>
    <s v="Jeannot, F (corresponding author), 25 Rue Univ, F-69007 Lyon, France."/>
    <s v="fjeannot@inseec.com"/>
    <s v=""/>
    <s v=""/>
    <s v=""/>
    <s v=""/>
    <s v=""/>
    <s v=""/>
    <n v="60"/>
    <n v="0"/>
    <n v="0"/>
    <n v="1"/>
    <n v="1"/>
    <s v="WILEY"/>
    <s v="HOBOKEN"/>
    <s v="111 RIVER ST, HOBOKEN 07030-5774, NJ USA"/>
    <s v="0742-6046"/>
    <s v="1520-6793"/>
    <s v=""/>
    <s v="PSYCHOL MARKET"/>
    <s v="Psychol. Mark."/>
    <s v="2023 OCT 20"/>
    <x v="0"/>
    <s v=""/>
    <s v=""/>
    <s v=""/>
    <s v=""/>
    <s v=""/>
    <s v=""/>
    <s v=""/>
    <s v=""/>
    <s v=""/>
    <s v="10.1002/mar.21929"/>
    <s v="http://dx.doi.org/10.1002/mar.21929"/>
    <s v=""/>
    <s v="OCT 2023"/>
    <n v="20"/>
    <x v="2"/>
    <x v="1"/>
    <s v="Business &amp; Economics; Psychology"/>
    <s v="U6RQ1"/>
    <s v=""/>
    <s v="hybrid"/>
    <s v=""/>
    <s v=""/>
    <s v="2023-11-15"/>
    <s v="WOS:001086060300001"/>
    <s v="View Full Record in Web of Science"/>
    <n v="3"/>
  </r>
  <r>
    <x v="3"/>
    <s v="J"/>
    <x v="3"/>
    <s v=""/>
    <s v=""/>
    <s v=""/>
    <s v="Wright, Charlene; Kelly, Jaimon T.; Byrnes, Joshua; Campbell, Katrina L.; Healy, Rebecca; Musial, Jane; Hamilton, Kyra"/>
    <s v=""/>
    <s v=""/>
    <x v="3"/>
    <x v="3"/>
    <s v=""/>
    <s v=""/>
    <s v="English"/>
    <s v="Article"/>
    <s v=""/>
    <s v=""/>
    <s v=""/>
    <s v=""/>
    <s v=""/>
    <x v="3"/>
    <x v="3"/>
    <s v="BackgroundBehavioural support via mobile health (mHealth) is emerging. This study aimed to assess the feasibility, acceptability, cost, and potential effect on weight of a mHealth follow-up program in bariatric surgery.MethodsThis was a non-randomised feasibility study describing intervention development and proof in the concept of a mHealth follow-up program in bariatric surgery. The study compares a prospective cohort with a historical control group and was conducted in a tertiary bariatric surgery service in Australia. The intervention group included individuals who had bariatric surgery (2019-2021) and owned a smart device, and the historical control group received usual postoperative care (2018). The intervention involved usual care plus codesigned biweekly text messages, monthly email newsletters, and online resources/videos over a 6-month period. The primary outcome measures included feasibility (via recruitment and retention rate), acceptability (via mixed methods), marginal costs, and weight 12 months postoperatively. Quantitative analysis was performed, including descriptive statistics and inferential and regression analysis. Multivariate linear regression and mixed-effects models were undertaken to test the potential intervention effect. Qualitative analysis was performed using inductive content analysis.ResultsThe study included 176 participants (n = 129 historical control, n = 47 intervention group; mean age 56 years). Of the 50 eligible patients, 48 consented to participate (96% recruitment rate). One participant opted out of the mHealth program entirely without disclosing their reason (98% retention rate). The survey response rate was low (n = 16/47, 34%). Participants agreed/strongly agreed that text messages supported new behaviours (n = 13/15, 87%); however, few agreed/strongly agreed that the messages motivated goal setting and self-monitoring (n = 8/15, 53%), dietary change (n = 6/15, 40%), or physical activity (n = 5/15, 33%). Interviews generated four main themes (n = 12): 'motivators and expectations', 'preferences and relevance', 'reinforced information, and 'wanting social support'. The intervention reinforced information, email newsletters were lengthy/challenging to read, and text messages were favoured, yet tailoring was recommended. The intervention cost AUD 11.04 per person. The mean 12-month weight was 86 +/- 16 kg and 90 +/- 16 kg (intervention and historical control) with no statistically significant difference. Intervention recipients enrolled at 3 months postoperatively demonstrated a statistically significant difference in 12-month weight (p = 0.014).ConclusionAlthough this study observed high rates of recruitment and retention, findings should be considered with caution as mHealth may have been embraced more by the intervention cohort as a result of the 2019 coronavirus pandemic. Of the various digital strategies developed and tested, the text message approach was the most acceptable; however, future intervention iterations could be strengthened through tailoring information when possible. The use of email newsletters and online resources/videos requires further testing of effectiveness to determine their value for continued use in bariatric surgery services."/>
    <s v="[Wright, Charlene; Hamilton, Kyra] Griffith Univ, Sch Appl Psychol, 176 Messines Ridge Rd, Mt Gravatt, Qld, Australia; [Wright, Charlene; Campbell, Katrina L.; Hamilton, Kyra] Griffith Univ, Menzies Hlth Inst Queensland, 176 Messines Ridge Rd, Mt Gravatt, Qld 4122, Australia; [Kelly, Jaimon T.] Univ Queensland, Fac Med, Ctr Online Hlth, Woolloongabba, Qld, Australia; [Kelly, Jaimon T.] Univ Queensland, Fac Med, Ctr Hlth Serv Res, Herston, Qld, Australia; [Byrnes, Joshua; Campbell, Katrina L.] Griffith Univ, Ctr Appl Hlth Econ, Sch Med &amp; Dent, 170 Kessels Rd, Nathan, Qld, Australia; [Campbell, Katrina L.] Metro North Hosp &amp; Hlth Serv, Healthcare Excellence &amp; Innovat, Butterfield St, Herston, Qld, Australia; [Healy, Rebecca] Royal Brisbane &amp; Womens Hosp, Nutr &amp; Dietet Dept, Butterfield St, Herston, Qld, Australia; [Musial, Jane] Princess Alexandra Hosp, Nutr &amp; Dietet Dept, 199 Ipswich Rd, Woolloongabba, Australia; [Hamilton, Kyra] Univ Calif, Hlth Sci Res Inst, 5200 Lake Rd, Merced, CA 95343 USA; [Hamilton, Kyra] Univ Jyvaskyla, Fac Sport &amp; Hlth Sci, Jyvaskyla, Finland"/>
    <s v="Griffith University; Griffith University - Mount Gravatt Campus; Griffith University; Griffith University - Mount Gravatt Campus; University of Queensland; University of Queensland; Griffith University; Royal Brisbane &amp; Women's Hospital; University of California System; University of California Merced; University of Jyvaskyla"/>
    <s v="Wright, C (corresponding author), Griffith Univ, Sch Appl Psychol, 176 Messines Ridge Rd, Mt Gravatt, Qld, Australia.;Wright, C (corresponding author), Griffith Univ, Menzies Hlth Inst Queensland, 176 Messines Ridge Rd, Mt Gravatt, Qld 4122, Australia."/>
    <s v="charlene.wright@griffithuni.edu.au"/>
    <s v=""/>
    <s v="Hamilton, Kyra/0000-0001-9975-685X; Wright, Charlene/0000-0003-2918-6032"/>
    <s v="We would like to acknowledge the individuals who generously shared their time and experience, along with the Royal Brisbane and Women's Hospital multidisciplinary team for their contribution to the intervention development. The aforementioned have provided"/>
    <s v="We would like to acknowledge the individuals who generously shared their time and experience, along with the Royal Brisbane and Women's Hospital multidisciplinary team for their contribution to the intervention development. The aforementioned have provided"/>
    <s v="We would like to acknowledge the individuals who generously shared their time and experience, along with the Royal Brisbane and Women's Hospital multidisciplinary team for their contribution to the intervention development. The aforementioned have provided permission for this acknowledgement."/>
    <s v=""/>
    <n v="48"/>
    <n v="0"/>
    <n v="0"/>
    <n v="0"/>
    <n v="0"/>
    <s v="BMC"/>
    <s v="LONDON"/>
    <s v="CAMPUS, 4 CRINAN ST, LONDON N1 9XW, ENGLAND"/>
    <s v=""/>
    <s v="2055-5784"/>
    <s v=""/>
    <s v="PILOT FEASIBILITY ST"/>
    <s v="Pilot Feasibility Stud."/>
    <s v="OCT 17"/>
    <x v="0"/>
    <n v="9"/>
    <n v="1"/>
    <s v=""/>
    <s v=""/>
    <s v=""/>
    <s v=""/>
    <s v=""/>
    <s v=""/>
    <n v="176"/>
    <s v="10.1186/s40814-023-01401-3"/>
    <s v="http://dx.doi.org/10.1186/s40814-023-01401-3"/>
    <s v=""/>
    <s v=""/>
    <n v="14"/>
    <x v="3"/>
    <x v="2"/>
    <s v="Research &amp; Experimental Medicine"/>
    <s v="W3BG0"/>
    <n v="37848959"/>
    <s v="gold"/>
    <s v=""/>
    <s v=""/>
    <s v="2023-11-15"/>
    <s v="WOS:001090408300001"/>
    <s v="View Full Record in Web of Science"/>
    <n v="1"/>
  </r>
  <r>
    <x v="4"/>
    <s v="J"/>
    <x v="4"/>
    <s v=""/>
    <s v=""/>
    <s v=""/>
    <s v="Ren, Xingmin; Jing, Hao; Zhang, Yaoyao"/>
    <s v=""/>
    <s v=""/>
    <x v="4"/>
    <x v="4"/>
    <s v=""/>
    <s v=""/>
    <s v="English"/>
    <s v="Article"/>
    <s v=""/>
    <s v=""/>
    <s v=""/>
    <s v=""/>
    <s v=""/>
    <x v="4"/>
    <x v="4"/>
    <s v="Competitive advantage in enterprises can be substantially enhanced by the strategic deployment of digital transformation capabilities, which can be considered as distinctive resources. Within the domain of manufacturing enterprises, the discernment and classification of the structural dimensions inherent in digital transformation capabilities can serve as a pivotal factor in facilitating a more adaptable and seamless progression through the digital transformation journey. In pursuit of this objective, 22 typical manufacturing enterprises are selected as data samples, and a four-dimensional digital transformation capability system is constructed through the processes of excerpt, coding, classification, reliability and validity, etc. Combined with the view of capability hierarchy, a three-level capability structure model of digital transformation capability is constructed. The results show that digital transformation capability includes digital technology capability, digital operation capability, digital organization capability and digital strategic capability, and it is found that there is a hierarchical relationship among the capabilities of each dimension. The research findings have extended the theoretical boundaries of digital transformation, augmented the applicability scenarios of dynamic capability theory, and established a foundational framework for future empirical investigations into the digital capabilities of manufacturing enterprises."/>
    <s v="[Ren, Xingmin; Jing, Hao; Zhang, Yaoyao] Shenyang Aerosp Univ, Sch Econ &amp; Management, Shenyang 110136, Peoples R China"/>
    <s v="Shenyang Aerospace University"/>
    <s v="Ren, XM; Jing, H (corresponding author), Shenyang Aerosp Univ, Sch Econ &amp; Management, Shenyang 110136, Peoples R China."/>
    <s v="nicole_works@163.com; jing_16@163.com; zhangyaoyao0117@163.com"/>
    <s v=""/>
    <s v=""/>
    <s v="Major project of Liaoning Provincial Philosophy and Social Science Foundation [L21ZD009]"/>
    <s v="Major project of Liaoning Provincial Philosophy and Social Science Foundation"/>
    <s v="This research was funded by the Major project of Liaoning Provincial Philosophy and Social Science Foundation (L21ZD009)"/>
    <s v=""/>
    <n v="60"/>
    <n v="0"/>
    <n v="0"/>
    <n v="2"/>
    <n v="2"/>
    <s v="MDPI"/>
    <s v="BASEL"/>
    <s v="ST ALBAN-ANLAGE 66, CH-4052 BASEL, SWITZERLAND"/>
    <s v=""/>
    <s v="2071-1050"/>
    <s v=""/>
    <s v="SUSTAINABILITY-BASEL"/>
    <s v="Sustainability"/>
    <s v="OCT"/>
    <x v="0"/>
    <n v="15"/>
    <n v="19"/>
    <s v=""/>
    <s v=""/>
    <s v=""/>
    <s v=""/>
    <s v=""/>
    <s v=""/>
    <n v="14168"/>
    <s v="10.3390/su151914168"/>
    <s v="http://dx.doi.org/10.3390/su151914168"/>
    <s v=""/>
    <s v=""/>
    <n v="37"/>
    <x v="4"/>
    <x v="3"/>
    <s v="Science &amp; Technology - Other Topics; Environmental Sciences &amp; Ecology"/>
    <s v="U6JU3"/>
    <s v=""/>
    <s v="gold"/>
    <s v=""/>
    <s v=""/>
    <s v="2023-11-15"/>
    <s v="WOS:001085854500001"/>
    <s v="View Full Record in Web of Science"/>
    <n v="5"/>
  </r>
  <r>
    <x v="5"/>
    <s v="J"/>
    <x v="5"/>
    <s v=""/>
    <s v=""/>
    <s v=""/>
    <s v="Ren, Yu; Wu, Kuo-Jui; Lim, Ming K.; Tseng, Ming-Lang"/>
    <s v=""/>
    <s v=""/>
    <x v="5"/>
    <x v="5"/>
    <s v=""/>
    <s v=""/>
    <s v="English"/>
    <s v="Article"/>
    <s v=""/>
    <s v=""/>
    <s v=""/>
    <s v=""/>
    <s v=""/>
    <x v="5"/>
    <x v="5"/>
    <s v="This study explores technology transfer with public expectations and expert guidance to achieve a circular economy model under resource-based view. This study aims to (1) build a model to apply technology transfer to achieve circular economy principles under public expectations and expert guidance, (2) construct a valid theoretical structure using experts' perspectives, and (3) provide practical criteria for improvement under resource constraints. High-tech firms seek to apply technology transfer to achieve circular economy principles under resource constraints and to meet public expectations. However, there is always a discrepancy between expectations and expert guidance. Exploratory factor analysis is used to confirm the reliability and validity of the attributes. The linguistic preferences are converted into crisp values using the fuzzy synthesis method. Finally, the decision-making trial and evaluation laboratory is applied to understand the gaps between public expecta-tions and expert guidance in technology transfer adoption to achieve a circular economy model under resource constraints. The results show that technology collaboration in line with a circular strategy, digital workforce skill development, technology sharing to achieve circular co-benefits, and stakeholder engagement for technology transfer are important aspects."/>
    <s v="[Ren, Yu] Univ Malaya, Asia Europe Inst, Kuala Lumpur, Malaysia; [Wu, Kuo-Jui] Hainan Univ, Management Sch, Haikou 570228, Hainan, Peoples R China; [Lim, Ming K.] Univ Glasgow, Adam Smith Business Sch, Glasgow, Scotland; [Tseng, Ming-Lang] Asia Univ, Inst Innovat &amp; Circular Econ, Taichung, Taiwan; [Tseng, Ming-Lang] China Med Univ, China Med Univ Hosp, Dept Med Res, Taichung, Taiwan; [Lim, Ming K.; Tseng, Ming-Lang] Univ Kebangsaan Malaysia, UKM Grad Sch Business, Bangi 43000, Selangor, Malaysia; [Tseng, Ming-Lang] De La Salle Univ, Ramon V Del Rosario Coll Business, Manila, Philippines"/>
    <s v="Universiti Malaya; Hainan University; University of Glasgow; Asia University Taiwan; China Medical University Taiwan; China Medical University Hospital - Taiwan; Universiti Kebangsaan Malaysia; De La Salle University"/>
    <s v="Tseng, ML (corresponding author), Asia Univ, Inst Innovat &amp; Circular Econ, Taichung, Taiwan."/>
    <s v="799700645ry@gmail.com; garykjwu@gmail.com; Ming.Lim@glasgow.ac.uk; tsengminglang@gmail.com"/>
    <s v="Lim, Ming K/D-1476-2017; Wu, Kuo-Jui/N-1926-2019; Tseng, Ming Lang/M-9051-2014"/>
    <s v="Lim, Ming K/0000-0003-0809-9431; Wu, Kuo-Jui/0000-0002-6246-8245; Tseng, Ming Lang/0000-0002-2702-3590"/>
    <s v="Scientific Research Foundation of Hainan University [kyqd (sk) 2330]; Hainan Provincial Natural Science Foundation of China [523QN214]; NSTC [111-2221-E-468-008-MY3]"/>
    <s v="Scientific Research Foundation of Hainan University; Hainan Provincial Natural Science Foundation of China; NSTC"/>
    <s v="This study was partially supported by the Scientific Research Foundation of Hainan University (Grant Number: kyqd (sk) 2330) , Hainan Provincial Natural Science Foundation of China (Grant Number: 523QN214) and NSTC 111-2221-E-468-008-MY3."/>
    <s v=""/>
    <n v="89"/>
    <n v="0"/>
    <n v="0"/>
    <n v="7"/>
    <n v="7"/>
    <s v="ELSEVIER"/>
    <s v="AMSTERDAM"/>
    <s v="RADARWEG 29, 1043 NX AMSTERDAM, NETHERLANDS"/>
    <s v="0925-5273"/>
    <s v="1873-7579"/>
    <s v=""/>
    <s v="INT J PROD ECON"/>
    <s v="Int. J. Prod. Econ."/>
    <s v="OCT"/>
    <x v="0"/>
    <n v="264"/>
    <s v=""/>
    <s v=""/>
    <s v=""/>
    <s v=""/>
    <s v=""/>
    <s v=""/>
    <s v=""/>
    <n v="108983"/>
    <s v="10.1016/j.ijpe.2023.108983"/>
    <s v="http://dx.doi.org/10.1016/j.ijpe.2023.108983"/>
    <s v=""/>
    <s v=""/>
    <n v="16"/>
    <x v="5"/>
    <x v="0"/>
    <s v="Engineering; Operations Research &amp; Management Science"/>
    <s v="P3DL8"/>
    <s v=""/>
    <s v=""/>
    <s v=""/>
    <s v=""/>
    <s v="2023-11-15"/>
    <s v="WOS:001049479700001"/>
    <s v="View Full Record in Web of Science"/>
    <n v="5"/>
  </r>
  <r>
    <x v="6"/>
    <s v="J"/>
    <x v="6"/>
    <s v=""/>
    <s v=""/>
    <s v=""/>
    <s v="Chawla, Raghu Nandan; Goyal, Praveen; Saxena, Deepak Kumar"/>
    <s v=""/>
    <s v=""/>
    <x v="6"/>
    <x v="6"/>
    <s v=""/>
    <s v=""/>
    <s v="English"/>
    <s v="Article; Early Access"/>
    <s v=""/>
    <s v=""/>
    <s v=""/>
    <s v=""/>
    <s v=""/>
    <x v="6"/>
    <x v="6"/>
    <s v="With a continuous stream of emerging technologies, organizations are increasingly seeking to digitally transform their business towards ever efficient, intelligent, and self-learning business models. As the recognized head of IT, the Chief Information Officer (CIO) is often tasked with the responsibility of successfully implementing Digital Transformation (DT) initiatives. While there are independent studies on CIO role, and on the impact of DT, the role of CIO is not sufficiently examined in the DT context. This study fills this gap by conducting multiple case study of six organizations engaged in DT. Following the role theory, the study emphasizes the CIO as an actor focused on digital strategy and empirically delineates the multidimensional task demands associated with DT regarding the CIO role under the new strategic realities of the digital age. We find that while traditional CIO roles still apply, the DT context adds more nuances in such roles. Moreover, some new roles (e.g., legacy systems integration, risk management and IT security) have become crucial that are not adequately captured in extant literature on CIO roles."/>
    <s v="[Chawla, Raghu Nandan; Goyal, Praveen] Birla Inst Technol &amp; Sci BITS Pilani, Dept Management, Pilani, India; [Saxena, Deepak Kumar] Indian Inst Technol IIT, Dept Management, Jodhpur, India"/>
    <s v="Birla Institute of Technology &amp; Science Pilani (BITS Pilani); Indian Institute of Technology System (IIT System); Indian Institute of Technology (IIT) - Madras; Indian Institute of Technology (IIT) - Jodhpur"/>
    <s v="Chawla, RN (corresponding author), Birla Inst Technol &amp; Sci BITS Pilani, Dept Management, Pilani, India."/>
    <s v="raghuchawla@gmail.com; praveen.goyal@pilani.bits-pilani.ac.in; saxenad@iitj.ac.in"/>
    <s v=""/>
    <s v=""/>
    <s v=""/>
    <s v=""/>
    <s v=""/>
    <s v=""/>
    <n v="144"/>
    <n v="0"/>
    <n v="0"/>
    <n v="1"/>
    <n v="1"/>
    <s v="SPRINGER HEIDELBERG"/>
    <s v="HEIDELBERG"/>
    <s v="TIERGARTENSTRASSE 17, D-69121 HEIDELBERG, GERMANY"/>
    <s v="1617-9846"/>
    <s v="1617-9854"/>
    <s v=""/>
    <s v="INF SYST E-BUS MANAG"/>
    <s v="Inf. Syst. E-Bus. Manag."/>
    <s v="2023 SEP 28"/>
    <x v="0"/>
    <s v=""/>
    <s v=""/>
    <s v=""/>
    <s v=""/>
    <s v=""/>
    <s v=""/>
    <s v=""/>
    <s v=""/>
    <s v=""/>
    <s v="10.1007/s10257-023-00651-1"/>
    <s v="http://dx.doi.org/10.1007/s10257-023-00651-1"/>
    <s v=""/>
    <s v="SEP 2023"/>
    <n v="39"/>
    <x v="6"/>
    <x v="1"/>
    <s v="Business &amp; Economics"/>
    <s v="T0JE9"/>
    <s v=""/>
    <s v=""/>
    <s v=""/>
    <s v=""/>
    <s v="2023-11-15"/>
    <s v="WOS:001074928700001"/>
    <s v="View Full Record in Web of Science"/>
    <n v="4"/>
  </r>
  <r>
    <x v="7"/>
    <s v="J"/>
    <x v="7"/>
    <s v=""/>
    <s v=""/>
    <s v=""/>
    <s v="Ryu, Gahyeon; Kim, Gi Bae; Yu, Taeho; Lee, Sang Yup"/>
    <s v=""/>
    <s v=""/>
    <x v="7"/>
    <x v="7"/>
    <s v=""/>
    <s v=""/>
    <s v="English"/>
    <s v="Article"/>
    <s v=""/>
    <s v=""/>
    <s v=""/>
    <s v=""/>
    <s v=""/>
    <x v="7"/>
    <x v="7"/>
    <s v="The establishment of a bio-based circular economy is imperative in tackling the climate crisis and advancing sustainable development. In this realm, the creation of microbial cell factories is central to generating a variety of chemicals and materials. The design of metabolic pathways is crucial in shaping these microbial cell factories, especially when it comes to producing chemicals with yet-to-be-discovered biosynthetic routes. To aid in navi-gating the complexities of chemical and metabolic domains, computer-supported tools for metabolic pathway design have emerged. In this paper, we evaluate how digital strategies can be employed for pathway prediction and enzyme discovery. Additionally, we touch upon the recent strides made in using deep learning techniques for metabolic pathway prediction. These computational tools and strategies streamline the design of metabolic pathways, facilitating the development of microbial cell factories. Leveraging the capabilities of deep learning in metabolic pathway design is profoundly promising, potentially hastening the advent of a bio-based circular economy."/>
    <s v="[Ryu, Gahyeon; Kim, Gi Bae; Yu, Taeho; Lee, Sang Yup] Korea Adv Inst Sci &amp; Technol KAIST, Metab &amp; Biomol Engn Natl Res Lab, Dept Chem &amp; Biomol Engn Four BK21, KAIST Inst BioCentury, Daejeon 34141, South Korea; [Ryu, Gahyeon; Kim, Gi Bae; Yu, Taeho; Lee, Sang Yup] Korea Adv Inst Sci &amp; Technol, Syst Metab Engn &amp; Syst Healthcare Cross Generat Co, Daejeon 34141, South Korea; [Lee, Sang Yup] Korea Adv Inst Sci &amp; Technol, BioProc Engn Res Ctr, Daejeon 34141, South Korea; [Lee, Sang Yup] Korea Adv Inst Sci &amp; Technol, BioInformat Res Ctr, Daejeon 34141, South Korea; [Lee, Sang Yup] Korea Adv Inst Sci &amp; Technol, Grad Sch Engn Biol, Daejeon 34141, South Korea"/>
    <s v="Korea Advanced Institute of Science &amp; Technology (KAIST); Korea Advanced Institute of Science &amp; Technology (KAIST); Korea Advanced Institute of Science &amp; Technology (KAIST); Korea Advanced Institute of Science &amp; Technology (KAIST); Korea Advanced Institute of Science &amp; Technology (KAIST)"/>
    <s v="Lee, SY (corresponding author), Korea Adv Inst Sci &amp; Technol KAIST, Metab &amp; Biomol Engn Natl Res Lab, Dept Chem &amp; Biomol Engn Four BK21, KAIST Inst BioCentury, Daejeon 34141, South Korea."/>
    <s v="leesy@kaist.ac.kr"/>
    <s v="Lee, Sang Yup/C-1526-2011"/>
    <s v="Lee, Sang Yup/0000-0003-0599-3091"/>
    <s v="Bio &amp; Medical Technology Development Program of the National Research Foundation (NRF) - Korean government (MSIT) [2021M3A9I5023245]; KAIST Cross-Generation Collaborative Lab project"/>
    <s v="Bio &amp; Medical Technology Development Program of the National Research Foundation (NRF) - Korean government (MSIT)(National Research Foundation of KoreaMinistry of Science &amp; ICT (MSIT), Republic of Korea); KAIST Cross-Generation Collaborative Lab project"/>
    <s v="We would like to thank Professor H.U. Kim for discussions regarding the structure of the paper. This work is supported by the Bio &amp; Medical Technology Development Program of the National Research Foundation (NRF) &amp; funded by the Korean government (MSIT) (No. 2021M3A9I5023245) and KAIST Cross-Generation Collaborative Lab project."/>
    <s v=""/>
    <n v="123"/>
    <n v="0"/>
    <n v="0"/>
    <n v="12"/>
    <n v="12"/>
    <s v="ACADEMIC PRESS INC ELSEVIER SCIENCE"/>
    <s v="SAN DIEGO"/>
    <s v="525 B ST, STE 1900, SAN DIEGO, CA 92101-4495 USA"/>
    <s v="1096-7176"/>
    <s v="1096-7184"/>
    <s v=""/>
    <s v="METAB ENG"/>
    <s v="Metab. Eng."/>
    <s v="NOV"/>
    <x v="0"/>
    <n v="80"/>
    <s v=""/>
    <s v=""/>
    <s v=""/>
    <s v=""/>
    <s v=""/>
    <n v="130"/>
    <n v="141"/>
    <s v=""/>
    <s v="10.1016/j.ymben.2023.09.012"/>
    <s v="http://dx.doi.org/10.1016/j.ymben.2023.09.012"/>
    <s v=""/>
    <s v="SEP 2023"/>
    <n v="12"/>
    <x v="7"/>
    <x v="0"/>
    <s v="Biotechnology &amp; Applied Microbiology"/>
    <s v="U6PP5"/>
    <n v="37734652"/>
    <s v=""/>
    <s v=""/>
    <s v=""/>
    <s v="2023-11-15"/>
    <s v="WOS:001086006300001"/>
    <s v="View Full Record in Web of Science"/>
    <n v="1"/>
  </r>
  <r>
    <x v="8"/>
    <s v="J"/>
    <x v="8"/>
    <s v=""/>
    <s v=""/>
    <s v=""/>
    <s v="Bosua, Rachelle; Evans, Nina"/>
    <s v=""/>
    <s v=""/>
    <x v="8"/>
    <x v="8"/>
    <s v=""/>
    <s v=""/>
    <s v="English"/>
    <s v="Article; Early Access"/>
    <s v=""/>
    <s v=""/>
    <s v=""/>
    <s v=""/>
    <s v=""/>
    <x v="8"/>
    <x v="8"/>
    <s v="In an increasingly competitive and digitalized business environment, regional SMEs have multiple opportunities to extend their face-to-face networking activities to the digital realm. However, there is scant research on regional Australian SMEs use of online social networks (OSNs) to network and develop social capital. This paper follows an interpretive qualitative research approach to identify how 13 regional Australian SMEs from four sparsely populated regional areas use OSNs to enable knowledge sharing and the development of social capital. Our empirical findings classified regional Australian SMEs' use of OSNs into three categories: low, medium, and high, while also identifying OSN use opportunities. We propose four propositions related to OSN adoption and use to share knowledge and develop SC: (i) implementing an OSN adoption and use strategy as part of a larger digital strategy, (ii) investing in and adopting a variety of OSN channels for knowledge sharing, (iii) gradually replacing face-to-face knowledge sharing with OSNs, and (iv) controlling the sharing of competitive SME knowledge when using different OSN channels. These findings are significant to encourage regional Australian SMEs to adopt and use OSN to improve innovation opportunities through networking and collaboration in an increasingly digitalized realm."/>
    <s v="[Bosua, Rachelle] Univ Melbourne, Sch Comp &amp; Informat Syst, Melbourne, Australia; [Bosua, Rachelle] Open Univ Netherlands, Informat Sci, Heerlen, Limburg, Netherlands; [Evans, Nina] Univ South Australia, UniSA STEM, Adelaide, SA, Australia; [Bosua, Rachelle] Open Univ Netherlands, Informat Sci, Utrecht, Netherlands"/>
    <s v="University of Melbourne; Open University Netherlands; University of South Australia; Open University Netherlands"/>
    <s v="Bosua, R (corresponding author), Open Univ Netherlands, Informat Sci, Utrecht, Netherlands."/>
    <s v="rachelle.bosua@unimelb.edu.au"/>
    <s v="Evans, Nina/F-4616-2013"/>
    <s v="Evans, Nina/0000-0002-6028-0142"/>
    <s v="The authors acknowledge The University of Melbourneamp;apos;s Open Access Agreement with Wiley to publish this paper. Open access publishing facilitated by The University of Melbourne, as part of the Wiley - The University of Melbourne agreement via the C; University of Melbourneamp;apos;s Open Access Agreement with Wiley; University of Melbourne, as part of the Wiley - The University of Melbourne agreement via the Council of Australian University Librarians"/>
    <s v="The authors acknowledge The University of Melbourneamp;apos;s Open Access Agreement with Wiley to publish this paper. Open access publishing facilitated by The University of Melbourne, as part of the Wiley - The University of Melbourne agreement via the C; University of Melbourneamp;apos;s Open Access Agreement with Wiley; University of Melbourne, as part of the Wiley - The University of Melbourne agreement via the Council of Australian University Librarians"/>
    <s v="The authors acknowledge The University of Melbourne &amp; apos;s Open Access Agreement with Wiley to publish this paper. Open access publishing facilitated by The University of Melbourne, as part of the Wiley - The University of Melbourne agreement via the Council of Australian University Librarians."/>
    <s v=""/>
    <n v="69"/>
    <n v="0"/>
    <n v="0"/>
    <n v="0"/>
    <n v="0"/>
    <s v="WILEY"/>
    <s v="HOBOKEN"/>
    <s v="111 RIVER ST, HOBOKEN 07030-5774, NJ USA"/>
    <s v="1092-4604"/>
    <s v="1099-1441"/>
    <s v=""/>
    <s v="KNOWL PROCESS MANAG"/>
    <s v="Knowl. Process Manag."/>
    <s v="2023 SEP 26"/>
    <x v="0"/>
    <s v=""/>
    <s v=""/>
    <s v=""/>
    <s v=""/>
    <s v=""/>
    <s v=""/>
    <s v=""/>
    <s v=""/>
    <s v=""/>
    <s v="10.1002/kpm.1765"/>
    <s v="http://dx.doi.org/10.1002/kpm.1765"/>
    <s v=""/>
    <s v="SEP 2023"/>
    <n v="12"/>
    <x v="8"/>
    <x v="2"/>
    <s v="Business &amp; Economics"/>
    <s v="S6AW5"/>
    <s v=""/>
    <s v="hybrid"/>
    <s v=""/>
    <s v=""/>
    <s v="2023-11-15"/>
    <s v="WOS:001071980700001"/>
    <s v="View Full Record in Web of Science"/>
    <n v="4"/>
  </r>
  <r>
    <x v="9"/>
    <s v="J"/>
    <x v="9"/>
    <s v=""/>
    <s v=""/>
    <s v=""/>
    <s v="Priharsari, Diah; Abedin, Babak; Burdon, Steve; Clegg, Stewart; Clay, John"/>
    <s v=""/>
    <s v=""/>
    <x v="9"/>
    <x v="9"/>
    <s v=""/>
    <s v=""/>
    <s v="English"/>
    <s v="Article"/>
    <s v=""/>
    <s v=""/>
    <s v=""/>
    <s v=""/>
    <s v=""/>
    <x v="9"/>
    <x v="9"/>
    <s v="Adoption of information and communication technology (ICT) to create a digital ecosystem gives rise to substantial economic and social benefits. Therefore, many countries develop National digital strategies (NDSs) to establish objectives, policy priorities and outline necessary actions for implementation of digital transformation. However, given the digital divide between different economies, it is difficult to compare consistently the priorities of NDS across various countries. This paper is an effort to explicate various priorities on different country groups. Using a macro-analysis lens, this research project explored specific policies and regulations that are perceived useful in identifying strategies for strengthening ICT adoption for economic and digital growth. We surveyed members of Asia Productivity Organization (APO) from mid-2020 to 2021 and interviewed three member countries (Indonesia, Malaysia, and the Republic of Korea). Findings offer a guideline for countries to develop their NDS and discuss implications for policy makers in the Asia Pacific region."/>
    <s v="[Priharsari, Diah] Univ Brawijaya, Fak Ilmu Komputer, Gedung A,Jl Vet 8, Malang 65113, Indonesia; [Abedin, Babak] Macquarie Univ, Macquarie Business Sch, 4 Eastern Rd, Macquarie Pk, NSW 2113, Australia; [Burdon, Steve] Univ Technol Sydney, Sch Comp Sci, 15 Broadway, Ultimo, NSW, Australia; [Clegg, Stewart] Univ Sydney, Fac Engn, Sch Project Management, John Grill Inst Project Leadership, K06A-21 Ross St Building, Camperdown, Australia; [Clay, John] Univ Technol Sydney, Business Sch, Bldg 8,14/28 Ultimo Rd, Ultimo, NSW 2007, Australia"/>
    <s v="Brawijaya University; Macquarie University; University of Technology Sydney; University of Sydney; University of Technology Sydney"/>
    <s v="Priharsari, D (corresponding author), Univ Brawijaya, Fak Ilmu Komputer, Gedung A,Jl Vet 8, Malang 65113, Indonesia."/>
    <s v="diah.priharsari@ub.ac.id; Babak.Abedin@mq.edu.au; Steve.Burdon@uts.edu.au; Stewart.Clegg@sydney.edu.au; John.Clay@uts.edu.au"/>
    <s v=""/>
    <s v="Burdon, Stephen/0000-0003-0073-8593"/>
    <s v="Asian Productivity Organization"/>
    <s v="Asian Productivity Organization"/>
    <s v="The research work presented in this paper was funded by the Asian Productivity Organization under a project on powering national out-comes through new digital technologies (Project Title: Research on digital disruption: policy tasks and responses by governments) ."/>
    <s v=""/>
    <n v="39"/>
    <n v="0"/>
    <n v="0"/>
    <n v="2"/>
    <n v="2"/>
    <s v="ELSEVIER SCIENCE INC"/>
    <s v="NEW YORK"/>
    <s v="STE 800, 230 PARK AVE, NEW YORK, NY 10169 USA"/>
    <s v="0040-1625"/>
    <s v="1873-5509"/>
    <s v=""/>
    <s v="TECHNOL FORECAST SOC"/>
    <s v="Technol. Forecast. Soc. Chang."/>
    <s v="NOV"/>
    <x v="0"/>
    <n v="196"/>
    <s v=""/>
    <s v=""/>
    <s v=""/>
    <s v=""/>
    <s v=""/>
    <s v=""/>
    <s v=""/>
    <n v="122855"/>
    <s v="10.1016/j.techfore.2023.122855"/>
    <s v="http://dx.doi.org/10.1016/j.techfore.2023.122855"/>
    <s v=""/>
    <s v="SEP 2023"/>
    <n v="11"/>
    <x v="9"/>
    <x v="1"/>
    <s v="Business &amp; Economics; Public Administration"/>
    <s v="T9XZ5"/>
    <s v=""/>
    <s v=""/>
    <s v=""/>
    <s v=""/>
    <s v="2023-11-15"/>
    <s v="WOS:001081454800001"/>
    <s v="View Full Record in Web of Science"/>
    <n v="5"/>
  </r>
  <r>
    <x v="10"/>
    <s v="J"/>
    <x v="10"/>
    <s v=""/>
    <s v=""/>
    <s v=""/>
    <s v="Abdullahi, Iliyasu; Watters, Casey; Kapogiannis, Georgios; Lemanski, Michal K."/>
    <s v=""/>
    <s v=""/>
    <x v="10"/>
    <x v="4"/>
    <s v=""/>
    <s v=""/>
    <s v="English"/>
    <s v="Article"/>
    <s v=""/>
    <s v=""/>
    <s v=""/>
    <s v=""/>
    <s v=""/>
    <x v="10"/>
    <x v="10"/>
    <s v="Background: This study investigates the potential of digital construction to enhance the planning competence of project managers in dealing with the complexities of mega construction projects. Traditional project strategies often struggle to adapt in dynamic situations, particularly evident in mega construction endeavours. Drawing inspiration from successful digital strategies in manufacturing, this research proposes that adopting digital techniques could bolster project managers' ability to navigate complexity during construction, leading to improved infrastructure delivery within budget and on schedule. Methods: Employing a quantitative approach, this study utilized an online questionnaire to gather insights from project managers. The proposed hypothesis was assessed using a one-sample t-test. Additionally, Pearson's correlation coefficient was employed to gauge the strength of the relationship between various constructs. This approach aimed to determine the extent to which digital construction can support effective complexity management during mega construction projects. Results: The results indicate that digital construction equips project managers with enhanced capabilities to efficiently coordinate and allocate resources in real-time within complex construction environments, thereby optimizing overall project performance. Despite these advantages, the findings also reveal that managers continue to encounter challenges overseeing numerous participants during infrastructure construction. This suggests that while digital construction contributes to improved planning against complexity, addressing the management of multiple stakeholders remains an ongoing challenge. Conclusions: This study presents a novel contribution to the construction industry by demonstrating the potential of synergizing various digital tools throughout construction processes to empower project managers in effectively addressing the complexities inherent in mega construction planning. Furthermore, it underscores how digital construction confers a dynamic advantage for project managers in navigating complexities and enhancing overall project performance."/>
    <s v="[Abdullahi, Iliyasu] Univ Nottingham Ningo China, Nottingham Univ, Business Sch China, Ningbo 315104, Peoples R China; [Watters, Casey] Bond Univ, Fac Law, Robina, Qld 4226, Australia; [Kapogiannis, Georgios] Liverpool John Moores Univ, Oryx Universal Coll Partnership, POB 12253, Doha, Qatar; [Lemanski, Michal K.] WU Vienna, Inst Human Resource Management, Welthandelspl 1, A-1020 Vienna, Austria"/>
    <s v="Bond University"/>
    <s v="Watters, C (corresponding author), Bond Univ, Fac Law, Robina, Qld 4226, Australia."/>
    <s v="cwatters@bond.edu.au"/>
    <s v=""/>
    <s v="Kapogiannis, Georgios/0000-0002-1738-6734"/>
    <s v="The authors thank CGC Nigeria Ltd. for their financial support and FOCI members' willingness to participate in the study.; CGC Nigeria Ltd."/>
    <s v="The authors thank CGC Nigeria Ltd. for their financial support and FOCI members' willingness to participate in the study.; CGC Nigeria Ltd."/>
    <s v="The authors thank CGC Nigeria Ltd. for their financial support and FOCI members' willingness to participate in the study."/>
    <s v=""/>
    <n v="97"/>
    <n v="0"/>
    <n v="0"/>
    <n v="5"/>
    <n v="5"/>
    <s v="MDPI"/>
    <s v="BASEL"/>
    <s v="ST ALBAN-ANLAGE 66, CH-4052 BASEL, SWITZERLAND"/>
    <s v=""/>
    <s v="2071-1050"/>
    <s v=""/>
    <s v="SUSTAINABILITY-BASEL"/>
    <s v="Sustainability"/>
    <s v="SEP"/>
    <x v="0"/>
    <n v="15"/>
    <n v="18"/>
    <s v=""/>
    <s v=""/>
    <s v=""/>
    <s v=""/>
    <s v=""/>
    <s v=""/>
    <n v="13809"/>
    <s v="10.3390/su151813809"/>
    <s v="http://dx.doi.org/10.3390/su151813809"/>
    <s v=""/>
    <s v=""/>
    <n v="18"/>
    <x v="4"/>
    <x v="3"/>
    <s v="Science &amp; Technology - Other Topics; Environmental Sciences &amp; Ecology"/>
    <s v="S6NB7"/>
    <s v=""/>
    <s v="gold"/>
    <s v=""/>
    <s v=""/>
    <s v="2023-11-15"/>
    <s v="WOS:001072299000001"/>
    <s v="View Full Record in Web of Science"/>
    <n v="3"/>
  </r>
  <r>
    <x v="11"/>
    <s v="J"/>
    <x v="11"/>
    <s v=""/>
    <s v=""/>
    <s v=""/>
    <s v="Botrugno, Carlo"/>
    <s v=""/>
    <s v=""/>
    <x v="11"/>
    <x v="10"/>
    <s v=""/>
    <s v=""/>
    <s v="English"/>
    <s v="Article"/>
    <s v=""/>
    <s v=""/>
    <s v=""/>
    <s v=""/>
    <s v=""/>
    <x v="11"/>
    <x v="1"/>
    <s v="Contemporary societies increasingly rely on the opportunities created by technologies that make possible the production, collection, processing, and reuse of huge datasets to obtain inferences that can be used in the most disparate fields. Among these, healthcare stands out in importance since in medical practice a considerable series of personal information is exchanged and shared. The protection needs of the individual sphere in the healthcare sector acquire a specific scope with reference to the use of information and communication technologies, which allow patients and healthcare professionals to communicate, or the latter among them, in view of the achievement of a series of goals that pertain to the diagnosis, prevention, monitoring, rehabilitation and treatment of an increasingly large number of diseases. In such a context, this works aims at proving a synthetic overview on the whole architecture adopted by the European Union in the field of cybersecurity, privacy, and health data protection, which appears fundamental for guaranteeing the fundamental rights of European citizens but also to deal with the challenges posed by the digital transition of contemporary societies."/>
    <s v="[Botrugno, Carlo] Univ Firenze UNIFI, Florence, Italy; [Botrugno, Carlo] Univ Florence, Dept Legal Sci, Florence, Italy; [Botrugno, Carlo] Univ Firenze, LAltro Diritto Interuniv Res Ctr, Res Unit Everyday Bioeth &amp; Ethics Sci, Via Pandette,35, I-50127 Florence, Tuscany, Italy"/>
    <s v="University of Florence; University of Florence"/>
    <s v="Botrugno, C (corresponding author), Univ Firenze UNIFI, Florence, Italy.;Botrugno, C (corresponding author), Univ Florence, Dept Legal Sci, Florence, Italy.;Botrugno, C (corresponding author), Univ Firenze, LAltro Diritto Interuniv Res Ctr, Res Unit Everyday Bioeth &amp; Ethics Sci, Via Pandette,35, I-50127 Florence, Tuscany, Italy."/>
    <s v="carlo.botrugno@unifi.it"/>
    <s v=""/>
    <s v=""/>
    <s v=""/>
    <s v=""/>
    <s v=""/>
    <s v=""/>
    <n v="23"/>
    <n v="0"/>
    <n v="0"/>
    <n v="2"/>
    <n v="2"/>
    <s v="UNIV VALE DORIO SINOS-UNISINOS"/>
    <s v="SAO LEOPOLDO"/>
    <s v="UNIDADE ACADEMICA DE PESQUISA E POS-GRADUACAO, EDITORIA PERIODICOS CIENTIFICOS, AV UNISINOS, 950, SAO LEOPOLDO, RS 93 022-000, BRAZIL"/>
    <s v=""/>
    <s v="2175-2168"/>
    <s v=""/>
    <s v="REV ESTUD CONST HERM"/>
    <s v="Rev. Estud. Const. Hermeneutica Teor. Direito-RECHTD"/>
    <s v="SEP-DEC"/>
    <x v="0"/>
    <n v="14"/>
    <n v="3"/>
    <s v=""/>
    <s v=""/>
    <s v=""/>
    <s v=""/>
    <n v="300"/>
    <n v="312"/>
    <s v=""/>
    <s v="10.4013/rechtd.2022.143.01"/>
    <s v="http://dx.doi.org/10.4013/rechtd.2022.143.01"/>
    <s v=""/>
    <s v=""/>
    <n v="13"/>
    <x v="10"/>
    <x v="2"/>
    <s v="Government &amp; Law"/>
    <s v="P6OR6"/>
    <s v=""/>
    <s v="gold"/>
    <s v=""/>
    <s v=""/>
    <s v="2023-11-15"/>
    <s v="WOS:001051855000002"/>
    <s v="View Full Record in Web of Science"/>
    <n v="3"/>
  </r>
  <r>
    <x v="12"/>
    <s v="J"/>
    <x v="12"/>
    <s v=""/>
    <s v=""/>
    <s v=""/>
    <s v="Fernandes, Natacha; Casteleiro-Pitrez, Joana"/>
    <s v=""/>
    <s v=""/>
    <x v="12"/>
    <x v="11"/>
    <s v=""/>
    <s v=""/>
    <s v="English"/>
    <s v="Article"/>
    <s v=""/>
    <s v=""/>
    <s v=""/>
    <s v=""/>
    <s v=""/>
    <x v="12"/>
    <x v="1"/>
    <s v="Augmented Reality (AR) is increasingly present in several fields, including the museological space, where the challenges of presenting objects interactively and attractively are constant, especially with the sociocultural changes of recent decades. Although there are numerous studies on AR in museums, the perspective of museum professionals on the technology still needs to be explored. Thus, in this study, we use a qualitative design and conduct in-depth interviews with professionals from 10 Portuguese museums involved in creating or applying AR within these environments. Applying the grounded theory, the researchers propose a framework to understand Portuguese museum professionals' practices, perceptions, and experiences with AR in museum environments. The findings allow the creation of a theoretical framework divided into four levels, namely the perceptions of museum professionals on the role and use of AR, the understanding of departments, museum teams, and digital strategies, the perceived challenges, limitations, and advantages in the use of augmented reality technologies, and the future perspectives of AR in museums. The theory resulting from this study may also contribute suggestions for the design and implementation of AR in museums, which both museum professionals and designers can use."/>
    <s v="[Fernandes, Natacha; Casteleiro-Pitrez, Joana] Univ Beira Interior, Fac Arts &amp; Letters, P-6201001 Covilha, Portugal"/>
    <s v="Universidade da Beira Interior"/>
    <s v="Casteleiro-Pitrez, J (corresponding author), Univ Beira Interior, Fac Arts &amp; Letters, P-6201001 Covilha, Portugal."/>
    <s v="natacha.mpf@gmail.com; joana.casteleiro.ferreira@ubi.pt"/>
    <s v=""/>
    <s v=""/>
    <s v="The researchers would like to extend their gratitude to all the museum professionals who took part in this study, acknowledging their time, co-operation, and invaluable perspectives offered, allowing for the obtaining of essential information for the reali"/>
    <s v="The researchers would like to extend their gratitude to all the museum professionals who took part in this study, acknowledging their time, co-operation, and invaluable perspectives offered, allowing for the obtaining of essential information for the reali"/>
    <s v="The researchers would like to extend their gratitude to all the museum professionals who took part in this study, acknowledging their time, co-operation, and invaluable perspectives offered, allowing for the obtaining of essential information for the realization of this work."/>
    <s v=""/>
    <n v="47"/>
    <n v="0"/>
    <n v="0"/>
    <n v="5"/>
    <n v="5"/>
    <s v="MDPI"/>
    <s v="BASEL"/>
    <s v="ST ALBAN-ANLAGE 66, CH-4052 BASEL, SWITZERLAND"/>
    <s v=""/>
    <s v="2414-4088"/>
    <s v=""/>
    <s v="MULTIMODAL TECHNOLOG"/>
    <s v="Multimodal Technol. Interaction"/>
    <s v="SEP"/>
    <x v="0"/>
    <n v="7"/>
    <n v="9"/>
    <s v=""/>
    <s v=""/>
    <s v=""/>
    <s v=""/>
    <s v=""/>
    <s v=""/>
    <n v="87"/>
    <s v="10.3390/mti7090087"/>
    <s v="http://dx.doi.org/10.3390/mti7090087"/>
    <s v=""/>
    <s v=""/>
    <n v="24"/>
    <x v="11"/>
    <x v="2"/>
    <s v="Computer Science"/>
    <s v="S6XY5"/>
    <s v=""/>
    <s v="gold"/>
    <s v=""/>
    <s v=""/>
    <s v="2023-11-15"/>
    <s v="WOS:001072589100001"/>
    <s v="View Full Record in Web of Science"/>
    <n v="1"/>
  </r>
  <r>
    <x v="13"/>
    <s v="J"/>
    <x v="13"/>
    <s v=""/>
    <s v=""/>
    <s v=""/>
    <s v="Li, Ruyue; Zhang, Kaiwen; Li, Shi-Ming; Zhang, Yue; Tian, Jiaxin; Lu, Zhecheng; Li, Huiqi; Wang, Liyuan; Wan, Xiuhua; Zhang, Fengju; Li, Li; Jin, Zi-Bing; Wang, Ningli; Liu, Hanruo"/>
    <s v=""/>
    <s v=""/>
    <x v="13"/>
    <x v="12"/>
    <s v=""/>
    <s v=""/>
    <s v="English"/>
    <s v="Article"/>
    <s v=""/>
    <s v=""/>
    <s v=""/>
    <s v=""/>
    <s v=""/>
    <x v="13"/>
    <x v="11"/>
    <s v="Background Children and adolescents' myopia is a major public problem. Although the clinical effect of various interventions has been extensively studied, there is a lack of national-level and integral assessments to simultaneously quantify the economics and effectiveness of comprehensive myopia prevention and control programs. We aimed to compare the cost-effectiveness between traditional myopia prevention and control strategy, digital comprehensive myopia prevention and control strategy and school-based myopia screening program in China.Methods A Markov model was used to compare the cost-utility and cost-effectiveness among school-based myopia screening, traditional myopia prevention and control strategy, and digital comprehensive myopia prevention and control strategy among 6 to 18-year-old rural and urban schoolchildren. Parameters were collected from published sources. The primary outcomes were quality-adjusted life-year, disability-adjusted life-year, incremental cost-utility ratio, and incremental cost-effectiveness ratio. Extensive sensitivity analyses were performed to test the robustness and sensitivity of base-case analysis.Findings Compared with school-based myopia screening strategy, after implementing digital comprehensive myopia prevention and control strategy, the prevalence of myopia among 18-year-old students in rural and urban areas was reduced by 3.79% and 3.48%, respectively. The incremental cost-utility ratio per quality-adjusted life-year gained with the digital myopia management plan ($11,301 for rural setting, and $10,707 for urban setting) was less than 3 times the per capita gross domestic product in rural settings ($30,501) and less than 1 time the per capita gross domestic product in urban settings ($13,856). In cost-effectiveness analysis, the incremental cost-effectiveness ratio produced by digital comprehensive myopia management strategy ($37,446 and $41,814 per disability-adjusted life-year averted in rural and urban settings) slightly exceeded the cost-effectiveness threshold. When assuming perfect compliance, full coverage of outdoor activities and spectacles satisfied the cost-effectiveness threshold, and full coverage of outdoor activities produced the lowest cost ($321 for rural settings and $808 for urban settings).Interpretations Health economic evidence confirmed the cost-effectiveness of promoting digital comprehensive myopia prevention and control strategies for schoolchildren at the national level. Sufficient evidence provides an economic and public health reference for further action by governments, policy-makers and other myopia-endemic countries."/>
    <s v="[Jin, Zi-Bing; Wang, Ningli; Liu, Hanruo] Beijing Inst Ophthalmol, Beijing 100730, Peoples R China; [Li, Ruyue; Zhang, Kaiwen; Li, Shi-Ming; Zhang, Yue; Tian, Jiaxin; Lu, Zhecheng; Wan, Xiuhua; Zhang, Fengju; Jin, Zi-Bing; Wang, Ningli; Liu, Hanruo] Capital Med Univ, Beijing Tongren Eye Ctr, Beijing Tongren Hosp, Beijing 100730, Peoples R China; [Li, Huiqi; Wang, Ningli; Liu, Hanruo] Beijing Inst Technol, Sch Med Technol, Beijing 102488, Peoples R China; [Wang, Liyuan] Harbin Med Univ, Dept Ophthalmol, Harbin 150000, Peoples R China; [Li, Li] Capital Med Univ, Beijing Childrens Hosp, Dept Ophthalmol, Natl Key Discipline Pediat,Minist Educ, Beijing 100045, Peoples R China; [Wang, Ningli; Liu, Hanruo] Peking Univ, Natl Inst Hlth Data Sci, Beijing 100000, Peoples R China"/>
    <s v="Capital Medical University; Beijing Institute of Technology; Harbin Medical University; Capital Medical University; Peking University"/>
    <s v="Jin, ZB; Wang, NL; Liu, HR (corresponding author), Beijing Inst Ophthalmol, Beijing 100730, Peoples R China."/>
    <s v="jinzb502@ccmu.edu.cn; wningli@vip.163.com; hanruo.liu@hotmail.co.uk"/>
    <s v=""/>
    <s v=""/>
    <s v="National Natural Science Foundation of China, NSFC [82171051, JQ20029, 2020-2-1081]; Beijing Natural Science Foundation [82071000]; Capital Health Research and Development of Special [8197030562]"/>
    <s v="National Natural Science Foundation of China, NSFC(National Natural Science Foundation of China (NSFC)); Beijing Natural Science Foundation(Beijing Natural Science Foundation); Capital Health Research and Development of Special"/>
    <s v="&amp; nbsp;National Natural Science Foundation of China, NSFC (82171051), Beijing Natural Science Foundation (JQ20029), Capital Health Research and Development of Special (2020-2-1081), National Natural Science Foundation of China, NSFC (82071000), National Natural Science Foundation of China, NSFC (8197030562)."/>
    <s v=""/>
    <n v="36"/>
    <n v="0"/>
    <n v="0"/>
    <n v="7"/>
    <n v="7"/>
    <s v="ELSEVIER"/>
    <s v="AMSTERDAM"/>
    <s v="RADARWEG 29, 1043 NX AMSTERDAM, NETHERLANDS"/>
    <s v=""/>
    <s v="2666-6065"/>
    <s v=""/>
    <s v="LANCET REG HEALTH-W"/>
    <s v="Lancet Reg. Health-W. Pac."/>
    <s v="SEP"/>
    <x v="0"/>
    <n v="38"/>
    <s v=""/>
    <s v=""/>
    <s v=""/>
    <s v=""/>
    <s v=""/>
    <s v=""/>
    <s v=""/>
    <n v="100837"/>
    <s v="10.1016/j.lanwpc.2023.100837"/>
    <s v="http://dx.doi.org/10.1016/j.lanwpc.2023.100837"/>
    <s v=""/>
    <s v=""/>
    <n v="10"/>
    <x v="12"/>
    <x v="3"/>
    <s v="Health Care Sciences &amp; Services; Public, Environmental &amp; Occupational Health"/>
    <s v="Q5SN0"/>
    <n v="37520278"/>
    <s v="gold, Green Published"/>
    <s v=""/>
    <s v=""/>
    <s v="2023-11-15"/>
    <s v="WOS:001058121000001"/>
    <s v="View Full Record in Web of Science"/>
    <n v="1"/>
  </r>
  <r>
    <x v="14"/>
    <s v="J"/>
    <x v="14"/>
    <s v=""/>
    <s v=""/>
    <s v=""/>
    <s v="Parrinello, Sandro; Picchio, Francesca"/>
    <s v=""/>
    <s v=""/>
    <x v="14"/>
    <x v="13"/>
    <s v=""/>
    <s v=""/>
    <s v="English"/>
    <s v="Article"/>
    <s v=""/>
    <s v=""/>
    <s v=""/>
    <s v=""/>
    <s v=""/>
    <x v="14"/>
    <x v="12"/>
    <s v="This paper focuses on a research project for the acquisition and post-production of digital data to create informative virtual representations and digital twins of different European Cultural Heritage sites. The goal was to establish a reliable database for a multi-scalar web platform, also accessible through extended reality (XR) tools. This initiative aims to support the promotion and management of cultural and historical monuments within the context of European Cultural Routes supported by the Council of Europe. The project involves different case studies spanning European geographic regions, such as the Upper Kama in Russia, the Valencian Routes of Jaime I in Spain, and the Gdansk fortresses in Poland. The methodology employed in this effort primarily relies on integrated rapid survey techniques. Unmanned aerial vehicles (UAVs) and simultaneous localization and mapping (SLAM) technologies were used for data collection. These methods contribute to the creation of accurate 3D databases and models that transform the cultural routes into a digital format accessible via an informative platform. The actions presented in this paper are part of the European project PROMETHEUS, which is funded by the Horizon 2020 program of the European Union. The project involves collaboration between universities and enterprises, fostering inter-sectoral cooperation. Various techniques such as photographic archives, census analysis, and scan-to-BIM (building information modeling) processes are employed to develop this method further. In fact, the ultimate goal of the project is to establish a framework that can be replicated in other cultural contexts, enhancing the digital documentation and valorization of heritage sites."/>
    <s v="[Parrinello, Sandro] Univ Florence, Dept Architecture, I-50121 Florence, Italy; [Picchio, Francesca] Univ Pavia, Dept Civil Engn &amp; Architecture, I-27100 Pavia, Italy"/>
    <s v="University of Florence; University of Pavia"/>
    <s v="Picchio, F (corresponding author), Univ Pavia, Dept Civil Engn &amp; Architecture, I-27100 Pavia, Italy."/>
    <s v="sandro.parrinello@unifi.it; francesca.picchio@unipv.it"/>
    <s v=""/>
    <s v=""/>
    <s v="The study is strictly linked to and supported by the research project entitled: Prometheus: PROtocols for information Models librariEs Tested on HEritage of Upper Kama Sites-a project for the documentation of the architectural heritage of the monuments w [2022, 2023]"/>
    <s v="The study is strictly linked to and supported by the research project entitled: Prometheus: PROtocols for information Models librariEs Tested on HEritage of Upper Kama Sites-a project for the documentation of the architectural heritage of the monuments w"/>
    <s v="The study is strictly linked to and supported by the research project entitled: Prometheus: PROtocols for information Models librariEs Tested on HEritage of Upper Kama Sites-a project for the documentation of the architectural heritage of the monuments within Cultural Heritage Routes. Part of the work has been developed inside International Summer schools, coordinated by University of Pavia, in Russia (2019), Spain (2022), Poland (2023). They have seen professors, researchers, experts, and students from different universities involved participate in the development of digital strategies to build digital twins of cultural heritage."/>
    <s v=""/>
    <n v="46"/>
    <n v="0"/>
    <n v="0"/>
    <n v="4"/>
    <n v="4"/>
    <s v="MDPI"/>
    <s v="BASEL"/>
    <s v="ST ALBAN-ANLAGE 66, CH-4052 BASEL, SWITZERLAND"/>
    <s v=""/>
    <s v="2504-446X"/>
    <s v=""/>
    <s v="DRONES-BASEL"/>
    <s v="Drones-Basel"/>
    <s v="SEP"/>
    <x v="0"/>
    <n v="7"/>
    <n v="9"/>
    <s v=""/>
    <s v=""/>
    <s v=""/>
    <s v=""/>
    <s v=""/>
    <s v=""/>
    <n v="576"/>
    <s v="10.3390/drones7090576"/>
    <s v="http://dx.doi.org/10.3390/drones7090576"/>
    <s v=""/>
    <s v=""/>
    <n v="23"/>
    <x v="13"/>
    <x v="0"/>
    <s v="Remote Sensing"/>
    <s v="S9TC1"/>
    <s v=""/>
    <s v="gold"/>
    <s v=""/>
    <s v=""/>
    <s v="2023-11-15"/>
    <s v="WOS:001074507600001"/>
    <s v="View Full Record in Web of Science"/>
    <n v="1"/>
  </r>
  <r>
    <x v="15"/>
    <s v="J"/>
    <x v="15"/>
    <s v=""/>
    <s v=""/>
    <s v=""/>
    <s v="Qi, Peipei; Xu, Can; Wang, Qi"/>
    <s v=""/>
    <s v=""/>
    <x v="15"/>
    <x v="4"/>
    <s v=""/>
    <s v=""/>
    <s v="English"/>
    <s v="Article"/>
    <s v=""/>
    <s v=""/>
    <s v=""/>
    <s v=""/>
    <s v=""/>
    <x v="15"/>
    <x v="1"/>
    <s v="SRDI enterprises are a strong engine for the high-quality development of the economy and an important implementation body for the construction of a strong digital country. With the booming development of digital economy, digital transformation is one of the effective paths to empower the high-quality development of small and medium-sized enterprises. However, the digital transformation of SRDI enterprises is not a simple stacked combination of elements, but rather a complex linkage system that contains many conditional elements. The cracking of the digital transformation of SRDI enterprises urgently needs to be explored by the academic community. In order to analyze the key success factors of digital transformation in SRDI enterprises, to determine whether individual elements constitute the necessary conditions for the digital transformation of an enterprise, and to explore which antecedent configurations are more conducive to the success of an enterprise's digital transformation, this study takes 39 SRDI enterprises in Zhejiang Province as samples and uses the Fuzzy Set Qualitative Comparative Analysis (fsQCA) method. Based on the technology-organization-environment framework, it examines the digital transformation path of SRDI enterprises from a configurational perspective. The following results were found in this study: the group patterns leading to high levels of digital transformation can be divided into the following four types: organization-environment linkage, pressure-strategy synergy, organization-led, and total-factor-driven. The group patterns leading to low levels of digital transformation can be divided into the following four types: total-factor-deficient, single-technology type, technology-biased, and organization-deficient. A digital strategy is an important condition for SRDI enterprises to realize high-level digital transformation, and the external environmental influences contribute to the realization of digital transformation and upgrading of enterprises, with the pressure of industry competition being more critical."/>
    <s v="[Qi, Peipei; Xu, Can] Ningbo Univ Finance &amp; Econ, Coll Wealth Management, Ningbo 315175, Peoples R China; [Wang, Qi] NingboTech Univ, Sch Mechatron &amp; Energy Engn, Ningbo 315100, Peoples R China"/>
    <s v="Ningbo University of Finance &amp; Economics; NingboTech University"/>
    <s v="Wang, Q (corresponding author), NingboTech Univ, Sch Mechatron &amp; Energy Engn, Ningbo 315100, Peoples R China."/>
    <s v="qipeipei@nbufe.edu.cn; wq001115@126.com"/>
    <s v=""/>
    <s v=""/>
    <s v="We are very grateful to all of the editors and anonymous reviewers."/>
    <s v="We are very grateful to all of the editors and anonymous reviewers."/>
    <s v="We are very grateful to all of the editors and anonymous reviewers."/>
    <s v=""/>
    <n v="47"/>
    <n v="0"/>
    <n v="0"/>
    <n v="21"/>
    <n v="21"/>
    <s v="MDPI"/>
    <s v="BASEL"/>
    <s v="ST ALBAN-ANLAGE 66, CH-4052 BASEL, SWITZERLAND"/>
    <s v=""/>
    <s v="2071-1050"/>
    <s v=""/>
    <s v="SUSTAINABILITY-BASEL"/>
    <s v="Sustainability"/>
    <s v="SEP"/>
    <x v="0"/>
    <n v="15"/>
    <n v="18"/>
    <s v=""/>
    <s v=""/>
    <s v=""/>
    <s v=""/>
    <s v=""/>
    <s v=""/>
    <n v="13607"/>
    <s v="10.3390/su151813607"/>
    <s v="http://dx.doi.org/10.3390/su151813607"/>
    <s v=""/>
    <s v=""/>
    <n v="16"/>
    <x v="4"/>
    <x v="3"/>
    <s v="Science &amp; Technology - Other Topics; Environmental Sciences &amp; Ecology"/>
    <s v="S6NL9"/>
    <s v=""/>
    <s v="gold"/>
    <s v=""/>
    <s v=""/>
    <s v="2023-11-15"/>
    <s v="WOS:001072309400001"/>
    <s v="View Full Record in Web of Science"/>
    <n v="5"/>
  </r>
  <r>
    <x v="16"/>
    <s v="J"/>
    <x v="16"/>
    <s v=""/>
    <s v=""/>
    <s v=""/>
    <s v="Wang, Haijun; Jiao, Shuaipeng; Bu, Kun; Wang, Yebin; Wang, Yaxian"/>
    <s v=""/>
    <s v=""/>
    <x v="16"/>
    <x v="14"/>
    <s v=""/>
    <s v=""/>
    <s v="English"/>
    <s v="Article"/>
    <s v=""/>
    <s v=""/>
    <s v=""/>
    <s v=""/>
    <s v=""/>
    <x v="16"/>
    <x v="1"/>
    <s v="Digital transformation improves the efficiency and perception of companies. This paper investigates the impact of digital transformation in improving the environmental, social, and governance (ESG) responsibility performance of manufacturing companies in China. The results show that digital transformation can significantly improve manufacturing companies' ESG responsibility performance. Every 1% increase in the degree of digital transformation will improve the ESG responsibility performance of manufacturing companies by 0.124%. Among the digital transformation techniques, digital strategy plays a more significant role than digital technology in improving manufacturing companies' ESG responsibility performance. Total factor productivity, information transparency and investor stickiness moderate how digital transformation affects manufacturing companies' ESG responsibility performance. The findings of this paper enrich and expand the research on the effects of digital transformation on manufacturing companies and provide a novel perspective to accelerate the progress of manufacturing companies worldwide in fulfilling ESG responsibilities and achieving global carbon emission reduction targets."/>
    <s v="[Wang, Haijun; Jiao, Shuaipeng; Wang, Yaxian] Beijing Wuzi Univ, Sch Econ, Beijing 101149, Peoples R China; [Bu, Kun] State Grid Beijing Elect Power Co, Mkt Dept, Beijing 100176, Peoples R China; [Wang, Yebin] Guangxi Univ Finance &amp; Econ, Sch Econ &amp; Trade, Nanning 53000, Guangxi, Peoples R China"/>
    <s v="Beijing Wuzi University; State Grid Corporation of China; Guangxi University of Finance &amp; Economics"/>
    <s v="Wang, YX (corresponding author), Beijing Wuzi Univ, Sch Econ, Beijing 101149, Peoples R China."/>
    <s v="wangyaxian@buw.edu.cn"/>
    <s v=""/>
    <s v="Wang, Haijun/0000-0002-3240-0469"/>
    <s v="Project of Cultivation for young top -motch Talents of Beijing Municipal Institutions [BPHR202203158]"/>
    <s v="Project of Cultivation for young top -motch Talents of Beijing Municipal Institutions"/>
    <s v="Funding This work was supported by The Project of Cultivation for young top -motch Talents of Beijing Municipal Institutions (No: BPHR202203158) ."/>
    <s v=""/>
    <n v="9"/>
    <n v="0"/>
    <n v="0"/>
    <n v="99"/>
    <n v="99"/>
    <s v="ACADEMIC PRESS INC ELSEVIER SCIENCE"/>
    <s v="SAN DIEGO"/>
    <s v="525 B ST, STE 1900, SAN DIEGO, CA 92101-4495 USA"/>
    <s v="1544-6123"/>
    <s v="1544-6131"/>
    <s v=""/>
    <s v="FINANC RES LETT"/>
    <s v="Financ. Res. Lett."/>
    <s v="DEC"/>
    <x v="0"/>
    <n v="58"/>
    <s v=""/>
    <s v="B"/>
    <s v=""/>
    <s v=""/>
    <s v=""/>
    <s v=""/>
    <s v=""/>
    <n v="104370"/>
    <s v="10.1016/j.frl.2023.104370"/>
    <s v="http://dx.doi.org/10.1016/j.frl.2023.104370"/>
    <s v=""/>
    <s v="SEP 2023"/>
    <n v="6"/>
    <x v="14"/>
    <x v="1"/>
    <s v="Business &amp; Economics"/>
    <s v="S4HA7"/>
    <s v=""/>
    <s v=""/>
    <s v=""/>
    <s v=""/>
    <s v="2023-11-15"/>
    <s v="WOS:001070782700001"/>
    <s v="View Full Record in Web of Science"/>
    <n v="5"/>
  </r>
  <r>
    <x v="17"/>
    <s v="J"/>
    <x v="17"/>
    <s v=""/>
    <s v=""/>
    <s v=""/>
    <s v="Ribeiro-Navarrete, Belen; Lopez-Cabarcos, M. Angeles; Pineiro-Chousa, Juan; Simon-Moya, Virginia"/>
    <s v=""/>
    <s v=""/>
    <x v="17"/>
    <x v="15"/>
    <s v=""/>
    <s v=""/>
    <s v="English"/>
    <s v="Article; Early Access"/>
    <s v=""/>
    <s v=""/>
    <s v=""/>
    <s v=""/>
    <s v=""/>
    <x v="17"/>
    <x v="13"/>
    <s v="Technological development has experienced exponential growth in recent years, giving rise to important digital transformation processes at the company level. In order to ensure that these digital transformation processes achieve the desired results, it is essential to draw a strategic roadmap of the processes from vision to implementation. This implies combining design and management activities with thought and action abilities. Digital transformation, always complex, becomes less certain and more interesting when considering results related to environmental issues. This study aims to analyze how the combined effect of five variables (digital vision, digital orientation, digital strategy, transformation management intensity, digital management and departmental agility) - related to digital transformation and categorized as design, management, thought and action - lead to environmental performance. The study uses a sample of agro-industrial cooperatives and fuzzy-set qualitative comparative analysis. The results of the necessity and sufficiency analysis indicate that some of the design variables (especially digital vision and digital strategy) need to be present to lead to environmental performance. Likewise, the absence of the two management variables (especially digital management transformation) leads to the absence of environmental performance. The paper demonstrates the need to combine design and management activities and thought and action abilities to lead to the presence of environmental performance."/>
    <s v="[Ribeiro-Navarrete, Belen] Univ Valencia, IUDESCOOP, Valencia, Spain; [Lopez-Cabarcos, M. Angeles] Santiago de Compostela Univ, Business Adm Dept, Lugo, Spain; [Pineiro-Chousa, Juan] Santiago de Compostela Univ, Accounting &amp; Finance Dept, Lugo, Spain; [Simon-Moya, Virginia] Univ Valencia, Business Adm Dept, Valencia, Spain; [Lopez-Cabarcos, M. Angeles] Santiago de Compostela Univ, Business Adm Fac, Avda Alfonso X El Sabio S-N, Lugo 27002, Spain"/>
    <s v="University of Valencia; Universidade de Santiago de Compostela; Universidade de Santiago de Compostela; University of Valencia; Universidade de Santiago de Compostela"/>
    <s v="López-Cabarcos, MA (corresponding author), Santiago de Compostela Univ, Business Adm Fac, Avda Alfonso X El Sabio S-N, Lugo 27002, Spain."/>
    <s v=""/>
    <s v=""/>
    <s v=""/>
    <s v=""/>
    <s v=""/>
    <s v=""/>
    <s v=""/>
    <n v="208"/>
    <n v="0"/>
    <n v="0"/>
    <n v="11"/>
    <n v="11"/>
    <s v="ROUTLEDGE JOURNALS, TAYLOR &amp; FRANCIS LTD"/>
    <s v="ABINGDON"/>
    <s v="2-4 PARK SQUARE, MILTON PARK, ABINGDON OX14 4RN, OXON, ENGLAND"/>
    <s v="1369-1066"/>
    <s v="1464-5343"/>
    <s v=""/>
    <s v="VENTUR CAP"/>
    <s v="Ventur. Cap."/>
    <s v="2023 AUG 28"/>
    <x v="0"/>
    <s v=""/>
    <s v=""/>
    <s v=""/>
    <s v=""/>
    <s v=""/>
    <s v=""/>
    <s v=""/>
    <s v=""/>
    <s v=""/>
    <s v="10.1080/13691066.2023.2249231"/>
    <s v="http://dx.doi.org/10.1080/13691066.2023.2249231"/>
    <s v=""/>
    <s v="AUG 2023"/>
    <n v="36"/>
    <x v="14"/>
    <x v="1"/>
    <s v="Business &amp; Economics"/>
    <s v="Q8ZH8"/>
    <s v=""/>
    <s v=""/>
    <s v=""/>
    <s v=""/>
    <s v="2023-11-15"/>
    <s v="WOS:001060341700001"/>
    <s v="View Full Record in Web of Science"/>
    <n v="5"/>
  </r>
  <r>
    <x v="18"/>
    <s v="J"/>
    <x v="18"/>
    <s v=""/>
    <s v=""/>
    <s v=""/>
    <s v="Erjavec, Jure; Stemberger, Mojca Indihar; Jaklic, Jurij"/>
    <s v=""/>
    <s v=""/>
    <x v="18"/>
    <x v="16"/>
    <s v=""/>
    <s v=""/>
    <s v="English"/>
    <s v="Article; Early Access"/>
    <s v=""/>
    <s v=""/>
    <s v=""/>
    <s v=""/>
    <s v=""/>
    <x v="18"/>
    <x v="14"/>
    <s v="Previous research has increased our understanding of individual digital transformation (DT) activities, roles, responsibilities, and related dilemmas, yet a comprehensive insight is missing with respect to the organizational forms that are most appropriate for developing the capabilities needed for successful DT. The purpose of this paper is to identify the main organizational characteristics and organizational forms for a successful DT and to identify influential factors that impact decisions about suitable organizational forms. Drawing on two case studies, we look at how companies can develop digital capabilities through different configurations of organizational forms. Findings show that decisions on organizational forms have to be influenced by digital culture, IT department's role, and the goals of DT. Moreover, top management leadership is more important than a formal digital strategy, and DT projects must be executed by coordinated interdisciplinary teams. The presented research offers a comprehensive insight on how companies can develop digital capabilities that enable a successful DT by developing their organizational forms, i.e., by combining the different DT actions, actors, their roles and responsibilities, their interplay, implementing DT strategies, and combining the design of digital software solutions with the design of organizational routines and practices."/>
    <s v="[Erjavec, Jure; Stemberger, Mojca Indihar; Jaklic, Jurij] Univ Ljubljana, Sch Econ &amp; Business, Kardeljeva Ploscad 17, Ljubljana 1000, Slovenia"/>
    <s v="University of Ljubljana"/>
    <s v="Erjavec, J (corresponding author), Univ Ljubljana, Sch Econ &amp; Business, Kardeljeva Ploscad 17, Ljubljana 1000, Slovenia."/>
    <s v="jure.erjavec@ef.uni-lj.si; mojca.stemberger@ef.uni-lj.si; jurij.jaklic@ef.uni-lj.si"/>
    <s v=""/>
    <s v=""/>
    <s v=""/>
    <s v=""/>
    <s v=""/>
    <s v=""/>
    <n v="64"/>
    <n v="0"/>
    <n v="0"/>
    <n v="2"/>
    <n v="2"/>
    <s v="SPRINGER"/>
    <s v="NEW YORK"/>
    <s v="ONE NEW YORK PLAZA, SUITE 4600, NEW YORK, NY, UNITED STATES"/>
    <s v="1868-7865"/>
    <s v="1868-7873"/>
    <s v=""/>
    <s v="J KNOWL ECON"/>
    <s v="J. Knowl. Econ."/>
    <s v="2023 AUG 23"/>
    <x v="0"/>
    <s v=""/>
    <s v=""/>
    <s v=""/>
    <s v=""/>
    <s v=""/>
    <s v=""/>
    <s v=""/>
    <s v=""/>
    <s v=""/>
    <s v="10.1007/s13132-023-01479-3"/>
    <s v="http://dx.doi.org/10.1007/s13132-023-01479-3"/>
    <s v=""/>
    <s v="AUG 2023"/>
    <n v="21"/>
    <x v="15"/>
    <x v="1"/>
    <s v="Business &amp; Economics"/>
    <s v="T6XT5"/>
    <s v=""/>
    <s v="hybrid"/>
    <s v=""/>
    <s v=""/>
    <s v="2023-11-15"/>
    <s v="WOS:001079400900002"/>
    <s v="View Full Record in Web of Science"/>
    <n v="5"/>
  </r>
  <r>
    <x v="19"/>
    <s v="J"/>
    <x v="19"/>
    <s v=""/>
    <s v=""/>
    <s v=""/>
    <s v="Negash, Yeneneh Tamirat; Sarmiento, Liria Salome Calahorrano; Tseng, Shuan-Wei; Lim, Ming K.; Tseng, Ming-Lang"/>
    <s v=""/>
    <s v=""/>
    <x v="19"/>
    <x v="17"/>
    <s v=""/>
    <s v=""/>
    <s v="English"/>
    <s v="Article"/>
    <s v=""/>
    <s v=""/>
    <s v=""/>
    <s v=""/>
    <s v=""/>
    <x v="19"/>
    <x v="15"/>
    <s v="This study develops a set of measures to address the interrelationship among circular waste-based bioeconomy (CWBE) attributes, including those of government strategy, digital collaboration, supply chain integration, smart operations, and a green supply chain, to build a circular bioeconomy that feeds fish waste back into the economy. CWBE development is a potential solution to the problem of waste reuse in the fish supply chain; however, this potential remains untapped, and prior studies have failed to provide the criteria to guide its practices. Such an analytical framework requires qualitative assessment, which is subject to uncertainty due to the linguistic preferences of decision makers. Hence, this study adopts the fuzzy Delphi method to obtain a valid set of attributes. A fuzzy decision-making trial and evaluation was applied to address the attribute relationships and determine the driving criteria of CWBE development. The results showed that government strategies play a causal role in CWBE development and drive digital collaboration, smart operations, and supply chain integration. The findings also indicated that smart manufacturing technology, organizational policies, market enhancement, supply chain analytics, and operational innovation are drivers of waste integration from fisheries into the circular economy through waste-based bioeconomy processes."/>
    <s v="[Negash, Yeneneh Tamirat] Asia Univ, Dept Business Adm, Taichung, Taiwan; [Negash, Yeneneh Tamirat; Tseng, Ming-Lang] Asia Univ, Inst Innovat &amp; Circular Econ, Taichung, Taiwan; [Sarmiento, Liria Salome Calahorrano] Univ Amer, Quito 170125, Ecuador; [Tseng, Shuan-Wei] Wuhan Univ, Sch Phys &amp; Technol, Wuhan, Peoples R China; [Lim, Ming K.] Univ Glasgow, Adam Smith Business Sch, Glasgow, Scotland; [Tseng, Ming-Lang] China Med Univ, China Med Univ Hosp, Dept Med Res, Taichung, Taiwan; [Tseng, Ming-Lang] Univ Kebangsaan Malaysia, UKM Grad Sch Business, Bangi 43000, Selangor, Malaysia"/>
    <s v="Asia University Taiwan; Asia University Taiwan; Universidad de Las Americas - Ecuador; Wuhan University; University of Glasgow; China Medical University Taiwan; China Medical University Hospital - Taiwan; Universiti Kebangsaan Malaysia"/>
    <s v="Tseng, ML (corresponding author), Asia Univ, Inst Innovat &amp; Circular Econ, Taichung, Taiwan.;Tseng, ML (corresponding author), China Med Univ, China Med Univ Hosp, Dept Med Res, Taichung, Taiwan.;Tseng, ML (corresponding author), Univ Kebangsaan Malaysia, UKM Grad Sch Business, Bangi 43000, Selangor, Malaysia."/>
    <s v="yeneneh@asia.edu.tw; liria.calahorrano@gmail.com; AndreatsengAx0104@outlook.com; Ming.Lim@glasgow.ac.uk; tsengminglang@gmail.com"/>
    <s v="Tseng, Ming Lang/M-9051-2014"/>
    <s v="Tseng, Ming Lang/0000-0002-2702-3590"/>
    <s v="MOST [111-2221-E-468-009 -MY3]; Ministry of Science and Technology, Taiwan"/>
    <s v="MOST; Ministry of Science and Technology, Taiwan(Ministry of Science and Technology, Taiwan)"/>
    <s v="This study was partially supported by MOST 111-2221-E-468-009 -MY3, Ministry of Science and Technology, Taiwan."/>
    <s v=""/>
    <n v="56"/>
    <n v="0"/>
    <n v="0"/>
    <n v="9"/>
    <n v="9"/>
    <s v="SPRINGER HEIDELBERG"/>
    <s v="HEIDELBERG"/>
    <s v="TIERGARTENSTRASSE 17, D-69121 HEIDELBERG, GERMANY"/>
    <s v="0944-1344"/>
    <s v="1614-7499"/>
    <s v=""/>
    <s v="ENVIRON SCI POLLUT R"/>
    <s v="Environ. Sci. Pollut. Res."/>
    <s v="SEP"/>
    <x v="0"/>
    <n v="30"/>
    <n v="43"/>
    <s v=""/>
    <s v=""/>
    <s v=""/>
    <s v=""/>
    <n v="98156"/>
    <n v="98182"/>
    <s v=""/>
    <s v="10.1007/s11356-023-29333-8"/>
    <s v="http://dx.doi.org/10.1007/s11356-023-29333-8"/>
    <s v=""/>
    <s v="AUG 2023"/>
    <n v="27"/>
    <x v="16"/>
    <x v="0"/>
    <s v="Environmental Sciences &amp; Ecology"/>
    <s v="R7ZT1"/>
    <n v="37608173"/>
    <s v=""/>
    <s v=""/>
    <s v=""/>
    <s v="2023-11-15"/>
    <s v="WOS:001052843500011"/>
    <s v="View Full Record in Web of Science"/>
    <n v="2"/>
  </r>
  <r>
    <x v="20"/>
    <s v="J"/>
    <x v="20"/>
    <s v=""/>
    <s v=""/>
    <s v=""/>
    <s v="Calzati, Stefano; Van Loenen, Bastiaan"/>
    <s v=""/>
    <s v=""/>
    <x v="20"/>
    <x v="18"/>
    <s v=""/>
    <s v=""/>
    <s v="English"/>
    <s v="Article; Early Access"/>
    <s v=""/>
    <s v=""/>
    <s v=""/>
    <s v=""/>
    <s v=""/>
    <x v="20"/>
    <x v="16"/>
    <s v="In various official documents, the European Union has declared its goal to pursue a citizen-centric governance of digital transformation. Through a critical review of several of these documents, here we show how citizen-centric is more a glamouring than a driving concept. De facto, the EU is enabling a federated data system that is corporate-driven, economic-oriented, and GDPR-compliant; in other words, a Digital Single Market (DSM). This leaves out societal and collective-level dimensions of digital transformation-such as social inclusion, digital sovereignty, and environmental sustainability-which are acknowledged, but not operationalized, by the EU as pillars of a citizen-centric governance. Hence, the door is open to a complementary approach to the governance of digital transformation. We argue that, while a federated data model can constitute the tech-legal backbone of the emerging DSM, a commoning of data, as an ecosystemic approach that maintains a societal and collective outlook by default, can represent a complement to enact a truly citizen-centric governance."/>
    <s v="[Calzati, Stefano; Van Loenen, Bastiaan] Delft Univ Technol, Dept Urbanism, Urban Data Sci Sect, Delft, Netherlands"/>
    <s v="Delft University of Technology"/>
    <s v="Calzati, S (corresponding author), Delft Univ Technol, Dept Urbanism, Urban Data Sci Sect, Delft, Netherlands."/>
    <s v="s.calzati@tudelft.nl"/>
    <s v=""/>
    <s v="van Loenen, Bastiaan/0000-0001-8847-6334"/>
    <s v=""/>
    <s v=""/>
    <s v=""/>
    <s v=""/>
    <n v="81"/>
    <n v="0"/>
    <n v="0"/>
    <n v="1"/>
    <n v="1"/>
    <s v="SPRINGER"/>
    <s v="NEW YORK"/>
    <s v="ONE NEW YORK PLAZA, SUITE 4600, NEW YORK, NY, UNITED STATES"/>
    <s v="0951-5666"/>
    <s v="1435-5655"/>
    <s v=""/>
    <s v="AI SOC"/>
    <s v="AI Soc."/>
    <s v="2023 AUG 21"/>
    <x v="0"/>
    <s v=""/>
    <s v=""/>
    <s v=""/>
    <s v=""/>
    <s v=""/>
    <s v=""/>
    <s v=""/>
    <s v=""/>
    <s v=""/>
    <s v="10.1007/s00146-023-01743-9"/>
    <s v="http://dx.doi.org/10.1007/s00146-023-01743-9"/>
    <s v=""/>
    <s v="AUG 2023"/>
    <n v="13"/>
    <x v="17"/>
    <x v="2"/>
    <s v="Computer Science"/>
    <s v="P6UR9"/>
    <s v=""/>
    <s v="hybrid"/>
    <s v=""/>
    <s v=""/>
    <s v="2023-11-15"/>
    <s v="WOS:001052011900001"/>
    <s v="View Full Record in Web of Science"/>
    <n v="3"/>
  </r>
  <r>
    <x v="21"/>
    <s v="J"/>
    <x v="21"/>
    <s v=""/>
    <s v=""/>
    <s v=""/>
    <s v="Sharon, Tamar; Gellert, Raphael"/>
    <s v=""/>
    <s v=""/>
    <x v="21"/>
    <x v="19"/>
    <s v=""/>
    <s v=""/>
    <s v="English"/>
    <s v="Article; Early Access"/>
    <s v=""/>
    <s v=""/>
    <s v=""/>
    <s v=""/>
    <s v=""/>
    <x v="21"/>
    <x v="1"/>
    <s v="The increasing power of Big Tech is a growing concern for regulators globally. The European Union has positioned itself as a leader in the stride to contain this expansionism; first with the GDPR and recently with a series of proposals including the DMA, the DSA, the AI Act, and others. In this paper we analyse if these instruments sufficiently address the risks raised by Big Tech expansionism. We argue that when this phenomenon is understood in terms of 'sphere transgressions' - i.e., conversions of advantages based on digital expertise into advantages in other spheres of society - Europe's digital regulatory strategy falls short. In particular, seen through the lens of sphere transgressions, Big Tech expansionism raises three risks in addition to well-known privacy and data protection risks, which this regulatory strategy does not properly address. These are: non-equitable returns to the public sector; the reshaping of sectors in line with the interests of technology firms; and new dependencies on technology firms for the provision of basic goods. Our analysis shows that this mismatch may be inherent to Europe's digital strategy, insofar as it focusses on data protection - while data is not always at stake in sphere transgressions; on political and civil rights - while socio-economic rights may be more at risk; and on fair markets - while the sectors being transgressed into by Big Tech, such as health and education, are not markets that require fairer competition, but societal spheres which need protection from market (and digital) logics."/>
    <s v="[Sharon, Tamar] Radboud Univ Nijmegen, Dept Ethics &amp; Polit Philosophy, Nijmegen, Netherlands; [Sharon, Tamar; Gellert, Raphael] Radboud Univ Nijmegen, Interdisciplinary Hub Digitalizat &amp; Soc, Nijmegen, Netherlands; [Gellert, Raphael] Radboud Univ Nijmegen, Dept Private Law, Nijmegen, Netherlands; [Sharon, Tamar] Radboud Univ Nijmegen, Dept Ethics &amp; Polit Philosophy, Erasmuspl 1, NL-6525 HT Nijmegen, Netherlands; [Sharon, Tamar] Radboud Univ Nijmegen, Interdisciplinary Hub Digitalizat &amp; Soc, Erasmuspl 1, NL-6525 HT Nijmegen, Netherlands"/>
    <s v="Radboud University Nijmegen; Radboud University Nijmegen; Radboud University Nijmegen; Radboud University Nijmegen; Radboud University Nijmegen"/>
    <s v="Sharon, T (corresponding author), Radboud Univ Nijmegen, Dept Ethics &amp; Polit Philosophy, Erasmuspl 1, NL-6525 HT Nijmegen, Netherlands.;Sharon, T (corresponding author), Radboud Univ Nijmegen, Interdisciplinary Hub Digitalizat &amp; Soc, Erasmuspl 1, NL-6525 HT Nijmegen, Netherlands."/>
    <s v="tamar.sharon@ru.nl"/>
    <s v=""/>
    <s v=""/>
    <s v="European Research Council [804985]; European Research Council (ERC) [804985] Funding Source: European Research Council (ERC)"/>
    <s v="European Research Council(European Research Council (ERC)); European Research Council (ERC)(European Research Council (ERC)Spanish Government)"/>
    <s v="This work was supported in part by the European Research Council under Grant number 804985."/>
    <s v=""/>
    <n v="65"/>
    <n v="0"/>
    <n v="0"/>
    <n v="11"/>
    <n v="11"/>
    <s v="ROUTLEDGE JOURNALS, TAYLOR &amp; FRANCIS LTD"/>
    <s v="ABINGDON"/>
    <s v="2-4 PARK SQUARE, MILTON PARK, ABINGDON OX14 4RN, OXON, ENGLAND"/>
    <s v="1369-118X"/>
    <s v="1468-4462"/>
    <s v=""/>
    <s v="INFORM COMMUN SOC"/>
    <s v="Info. Commun. Soc."/>
    <s v="2023 AUG 17"/>
    <x v="0"/>
    <s v=""/>
    <s v=""/>
    <s v=""/>
    <s v=""/>
    <s v=""/>
    <s v=""/>
    <s v=""/>
    <s v=""/>
    <s v=""/>
    <s v="10.1080/1369118X.2023.2246526"/>
    <s v="http://dx.doi.org/10.1080/1369118X.2023.2246526"/>
    <s v=""/>
    <s v="AUG 2023"/>
    <n v="18"/>
    <x v="18"/>
    <x v="1"/>
    <s v="Communication; Sociology"/>
    <s v="P2QL5"/>
    <s v=""/>
    <s v="hybrid"/>
    <s v=""/>
    <s v=""/>
    <s v="2023-11-15"/>
    <s v="WOS:001049136200001"/>
    <s v="View Full Record in Web of Science"/>
    <n v="4"/>
  </r>
  <r>
    <x v="22"/>
    <s v="J"/>
    <x v="22"/>
    <s v=""/>
    <s v=""/>
    <s v=""/>
    <s v="Raja, Moonika; Kymre, Ingjerd G.; Bjerkan, Jorunn; Galvin, Kathleen T.; Uhrenfeldt, Lisbeth"/>
    <s v=""/>
    <s v=""/>
    <x v="22"/>
    <x v="20"/>
    <s v=""/>
    <s v=""/>
    <s v="English"/>
    <s v="Article"/>
    <s v=""/>
    <s v=""/>
    <s v=""/>
    <s v=""/>
    <s v=""/>
    <x v="22"/>
    <x v="17"/>
    <s v="BackgroundScandinavian countries are internationally recognised for leading the way in older adult care and in digitally transforming healthcare. Dignity has become a central value in care for older adults in all three Scandinavian countries. Investigating documents about digitalisation in these countries can offer insights into how the dignity of older adults is impacted by digitally transforming healthcare. This study aims to provide knowledge about digital strategies and eHealth policies concerning older adults' dignity in three Scandinavian countries: Norway, Sweden and Denmark.MethodsNational-level documents by the Norwegian Directorate of eHealth, the Norwegian Directorate of Health, the Swedish Ministry of Health and Social Affairs and the Danish Ministry of Health concerning older adults were used as data sources. In addition, a systematic search of databases, informed by the Joanna Briggs Institute framework for systematic reviews of text and opinion papers, was undertaken to find relevant papers. All extracts concerning national digital strategies or innovative eHealth policies were deductively coded. Thereafter, extracts concerning older adults were inductively coded using a thematic analytic approach.ResultsA total of 26 sources satisfied the inclusion criteria, 14 governmental papers and 12 other papers. The three countries' national digital strategies focused on access to digital technologies and continuous learning for digital skills. The included papers describing national eHealth policies underlined the importance of placing the patient at the centre of healthcare and how digital systems can increase feelings of safety. Both types of documents concerned access to data, digital device security and the human dimension of care.ConclusionThe findings present evidence on Scandinavian countries' national digital strategies and innovative eHealth policies concerning older adults' dignity. The documents describe a lack of digital competence among older adults, resulting disengagement may put their well-being and human dignity at risk. Findings also underline the importance of security and at the same time the human dimension of care: Use of new digital systems must be meaningfully integrated into digital strategies and eHealth policies. All three Scandinavian countries strategies and policies underline the importance of equal access to healthcare services, as thus they promote a stance of dignified care."/>
    <s v="[Raja, Moonika; Kymre, Ingjerd G.; Uhrenfeldt, Lisbeth] Nord Univ, Fac Nursing &amp; Hlth Sci, Bodo, Norway; [Bjerkan, Jorunn] Nord Univ, Fac Nursing &amp; Hlth Sci, Levanger, Norway; [Galvin, Kathleen T.] Univ Brighton, Sch Sport &amp; Hlth Sci, Brighton, England; [Uhrenfeldt, Lisbeth] Kolding Cty Hosp, Ortoped Surg, Kolding, Denmark; [Uhrenfeldt, Lisbeth] Southern Danish Univ, Inst Reg Hlth Res, Odense, Denmark"/>
    <s v="Nord University; Nord University; University of Brighton; Kolding Hospital; University of Southern Denmark"/>
    <s v="Raja, M (corresponding author), Nord Univ, Fac Nursing &amp; Hlth Sci, Bodo, Norway."/>
    <s v="moonika.raja@nord.no"/>
    <s v="Mondaca Gómez, Katherine/JED-5127-2023"/>
    <s v=""/>
    <s v="European Union [813928]"/>
    <s v="European Union(European Union (EU))"/>
    <s v="This project has received funding from the European Union's Horizon 2020 research and innovation programme under grant No. 813928"/>
    <s v=""/>
    <n v="89"/>
    <n v="0"/>
    <n v="0"/>
    <n v="3"/>
    <n v="3"/>
    <s v="BMC"/>
    <s v="LONDON"/>
    <s v="CAMPUS, 4 CRINAN ST, LONDON N1 9XW, ENGLAND"/>
    <s v=""/>
    <s v="1472-6963"/>
    <s v=""/>
    <s v="BMC HEALTH SERV RES"/>
    <s v="BMC Health Serv. Res."/>
    <s v="AUG 10"/>
    <x v="0"/>
    <n v="23"/>
    <n v="1"/>
    <s v=""/>
    <s v=""/>
    <s v=""/>
    <s v=""/>
    <s v=""/>
    <s v=""/>
    <n v="848"/>
    <s v="10.1186/s12913-023-09867-w"/>
    <s v="http://dx.doi.org/10.1186/s12913-023-09867-w"/>
    <s v=""/>
    <s v=""/>
    <n v="15"/>
    <x v="19"/>
    <x v="0"/>
    <s v="Health Care Sciences &amp; Services"/>
    <s v="P1YO5"/>
    <n v="37563599"/>
    <s v="Green Published, gold"/>
    <s v=""/>
    <s v=""/>
    <s v="2023-11-15"/>
    <s v="WOS:001048669500004"/>
    <s v="View Full Record in Web of Science"/>
    <n v="5"/>
  </r>
  <r>
    <x v="23"/>
    <s v="J"/>
    <x v="23"/>
    <s v=""/>
    <s v=""/>
    <s v=""/>
    <s v="Lee, Hyewon"/>
    <s v=""/>
    <s v=""/>
    <x v="23"/>
    <x v="4"/>
    <s v=""/>
    <s v=""/>
    <s v="English"/>
    <s v="Article"/>
    <s v=""/>
    <s v=""/>
    <s v=""/>
    <s v=""/>
    <s v=""/>
    <x v="23"/>
    <x v="18"/>
    <s v="This study aims to utilize a dual physical and digital strategy for the completion of a process that achieves two goals: the treatment of large amounts of clothing waste and the development of materials and products. This study expands the author's previous research on the feasibility of using clothing waste as a textile material and the development of weaving methods. The processes of material analysis, design, material development, and product production for clothing waste were connected by the dual strategy. The project was conducted by three groups of designers for ten months and evaluated by ten experts. A total of eighteen digital products were developed, including three physical products and one digital twin. Digital and physical models were dressed and subjected to objective and in-depth evaluations by experts. The experts determined that the match rate between the physical products and digital twins was over 90% and that each process step was conducted appropriately. The process was also deemed applicable for 50% of the industrial sector and 80% of the education sector. Therefore, this study connected the quantitative disposal of garment waste to the qualitative design and production of new material, introducing a new process strategy to maintain sustainability in the fashion industry."/>
    <s v="[Lee, Hyewon] Catholic Univ Korea, Dept Clothing &amp; Text, Bucheon 14662, South Korea"/>
    <s v="Catholic University of Korea"/>
    <s v="Lee, HYW (corresponding author), Catholic Univ Korea, Dept Clothing &amp; Text, Bucheon 14662, South Korea."/>
    <s v="hyewonlee@catholic.ac.kr"/>
    <s v=""/>
    <s v=""/>
    <s v=""/>
    <s v=""/>
    <s v=""/>
    <s v=""/>
    <n v="51"/>
    <n v="1"/>
    <n v="1"/>
    <n v="8"/>
    <n v="8"/>
    <s v="MDPI"/>
    <s v="BASEL"/>
    <s v="ST ALBAN-ANLAGE 66, CH-4052 BASEL, SWITZERLAND"/>
    <s v=""/>
    <s v="2071-1050"/>
    <s v=""/>
    <s v="SUSTAINABILITY-BASEL"/>
    <s v="Sustainability"/>
    <s v="AUG"/>
    <x v="0"/>
    <n v="15"/>
    <n v="15"/>
    <s v=""/>
    <s v=""/>
    <s v=""/>
    <s v=""/>
    <s v=""/>
    <s v=""/>
    <n v="11509"/>
    <s v="10.3390/su151511509"/>
    <s v="http://dx.doi.org/10.3390/su151511509"/>
    <s v=""/>
    <s v=""/>
    <n v="20"/>
    <x v="4"/>
    <x v="3"/>
    <s v="Science &amp; Technology - Other Topics; Environmental Sciences &amp; Ecology"/>
    <s v="O7RU8"/>
    <s v=""/>
    <s v="gold"/>
    <s v=""/>
    <s v=""/>
    <s v="2023-11-15"/>
    <s v="WOS:001045747500001"/>
    <s v="View Full Record in Web of Science"/>
    <n v="1"/>
  </r>
  <r>
    <x v="24"/>
    <s v="J"/>
    <x v="24"/>
    <s v=""/>
    <s v=""/>
    <s v=""/>
    <s v="Plombon, Savanna; Rudin, Robert S.; Flores, Jorge Sulca; Goolkasian, Gillian; Sousa, Jessica; Rodriguez, Jorge; Lipsitz, Stuart; Foer, Dinah; Dalal, Anuj K."/>
    <s v=""/>
    <s v=""/>
    <x v="24"/>
    <x v="21"/>
    <s v=""/>
    <s v=""/>
    <s v="English"/>
    <s v="Article"/>
    <s v=""/>
    <s v=""/>
    <s v=""/>
    <s v=""/>
    <s v=""/>
    <x v="24"/>
    <x v="19"/>
    <s v="Objective This study aimed to assess a multipronged strategy using primarily digital methods to equitably recruit asthma patients into a clinical trial of a digital health intervention.Methods We approached eligible patients using at least one of eight recruitment strategies. We recorded approach dates and the strategy that led to completion of a web-based eligibility questionnaire that was reported during the verbal consent phone call. Study team members conducted monthly sessions using a structured guide to identify recruitment barriers and facilitators. The proportion of participants who reported being recruited by a portal or nonportal strategy was measured as our outcomes. We used Fisher's exact test to compare outcomes by equity variable, and multivariable logistic regression to control for each covariate and adjust effect size estimates. Using grounded theory, we coded and extracted themes regarding recruitment barriers and facilitators.Results The majority (84.4%) of patients who met study inclusion criteria were patient portal enrollees. Of 6,366 eligible patients who were approached, 627 completed the eligibility questionnaire and were less frequently Hispanic, less frequently Spanish-speaking, and more frequently patient portal enrollees. Of 445 patients who consented to participate, 241 (54.2%) reported completing the eligibility questionnaire after being contacted by a patient portal message. In adjusted analysis, only race (odds ratio [OR]: 0.46, 95% confidence interval [CI]: 0.28-0.77, p = 0.003) and college education (OR: 0.60, 95% CI: 0.39-0.91, p = 0.016) remained significant. Key recruitment barriers included technology issues (e.g., lack of email access) and facilitators included bilingual study staff, Spanish-language recruitment materials, targeted phone calls, and clinician-initiated 1-click referrals.Conclusion A primarily digital strategy to recruit patients into a digital health trial is unlikely to achieve equitable participation, even in a population overrepresented by patient portal enrollees. Nondigital recruitment methods that address racial and educational disparities and less active portal enrollees are necessary to ensure equity in clinical trial enrollment."/>
    <s v="[Plombon, Savanna; Flores, Jorge Sulca; Goolkasian, Gillian; Rodriguez, Jorge; Lipsitz, Stuart; Dalal, Anuj K.] Brigham &amp; Womens Hosp, Div Gen Internal Med Primary Care, Boston, MA USA; [Rudin, Robert S.; Sousa, Jessica] RAND Corp, Healthcare Div, Boston, MA USA; [Rodriguez, Jorge; Lipsitz, Stuart; Foer, Dinah; Dalal, Anuj K.] Harvard Med Sch, Boston, MA USA; [Foer, Dinah] Brigham &amp; Womens Hosp, Div Gen Internal Med, Boston, MA USA; [Foer, Dinah] Brigham &amp; Womens Hosp, Div Allergy &amp; Clin Immunol, Boston, MA USA; [Plombon, Savanna] Brigham &amp; Womens Hosp, Brigham Circle,1620 Tremont St,Suite BC-3-002HH, Boston, MA 02120 USA"/>
    <s v="Harvard University; Brigham &amp; Women's Hospital; RAND Corporation; Harvard University; Harvard Medical School; Harvard University; Brigham &amp; Women's Hospital; Harvard University; Brigham &amp; Women's Hospital; Harvard University; Brigham &amp; Women's Hospital"/>
    <s v="Plombon, S (corresponding author), Brigham &amp; Womens Hosp, Brigham Circle,1620 Tremont St,Suite BC-3-002HH, Boston, MA 02120 USA."/>
    <s v="splombon@bwh.harvard.edu"/>
    <s v=""/>
    <s v=""/>
    <s v="Agency for Healthcare Research and Quality [R18HS026432, R18HS02643202S1]"/>
    <s v="Agency for Healthcare Research and Quality(United States Department of Health &amp; Human ServicesAgency for Healthcare Research &amp; Quality)"/>
    <s v="This project was supported by grant numbers R18HS026432 and R18HS026432-02S1 from the Agency for Healthcare Research and Quality. The content is solely the responsibility of the authors and does not necessarily represent the official views of the NIH or Agency for Healthcare Research and Quality."/>
    <s v=""/>
    <n v="40"/>
    <n v="0"/>
    <n v="0"/>
    <n v="1"/>
    <n v="1"/>
    <s v="GEORG THIEME VERLAG KG"/>
    <s v="STUTTGART"/>
    <s v="RUDIGERSTR 14, D-70469 STUTTGART, GERMANY"/>
    <s v="1869-0327"/>
    <s v=""/>
    <s v=""/>
    <s v="APPL CLIN INFORM"/>
    <s v="Appl. Clin. Inform."/>
    <s v="AUG"/>
    <x v="0"/>
    <n v="14"/>
    <n v="4"/>
    <s v=""/>
    <s v=""/>
    <s v=""/>
    <s v=""/>
    <n v="620"/>
    <n v="631"/>
    <s v=""/>
    <s v="10.1055/a-2090-5745"/>
    <s v="http://dx.doi.org/10.1055/a-2090-5745"/>
    <s v=""/>
    <s v=""/>
    <n v="12"/>
    <x v="20"/>
    <x v="0"/>
    <s v="Medical Informatics"/>
    <s v="O6PM8"/>
    <n v="37164328"/>
    <s v=""/>
    <s v=""/>
    <s v=""/>
    <s v="2023-11-15"/>
    <s v="WOS:001045004800002"/>
    <s v="View Full Record in Web of Science"/>
    <n v="2"/>
  </r>
  <r>
    <x v="25"/>
    <s v="J"/>
    <x v="25"/>
    <s v=""/>
    <s v=""/>
    <s v=""/>
    <s v="Le, Quynh Hoa; Tan, Luc Phan; Hoang, Thu-Hang"/>
    <s v=""/>
    <s v=""/>
    <x v="25"/>
    <x v="22"/>
    <s v=""/>
    <s v=""/>
    <s v="English"/>
    <s v="Article; Early Access"/>
    <s v=""/>
    <s v=""/>
    <s v=""/>
    <s v=""/>
    <s v=""/>
    <x v="25"/>
    <x v="20"/>
    <s v="Creating brand posts that stimulate customer interaction in online communities is both vital and challenging to marketing managers. Using social communication process theoretical framework (i.e. SMCR), the current study examines the impact of brand posts in online brand communities on students' responses in ways that potentially co-create value for universities and illustrate the moderating role of community types. Results show that source credibility and argument quality of online posts are positively associated with both cognitive and affective response, thus motivating brand co-creation activities, while information quantity has insignificant effect on affective response. Additionally, members of communities managed by different parties (student-created vs university-created communities) exhibit a different tendency to develop community and contribute to brand value. Thus, different digital strategies depending on the type of community host are suggested to capture the highest possible co-creation value from these communities."/>
    <s v="[Le, Quynh Hoa; Hoang, Thu-Hang] Univ Econ Ho Chi Minh City, Sch Int Business Mkt, Ho Chi Minh City, Vietnam; [Tan, Luc Phan] Univ Econ Ho Chi Minh City, Sch Management, Ho Chi Minh City, Vietnam"/>
    <s v="Ho Chi Minh City University Economics; Ho Chi Minh City University Economics"/>
    <s v="Tan, LP (corresponding author), Univ Econ Ho Chi Minh City, Sch Management, Ho Chi Minh City, Vietnam."/>
    <s v="lucpt@tdmu.edu.vn"/>
    <s v="Thu Hằng, Hoàng/JFT-0586-2023; Phan Tan, Luc/S-3347-2018"/>
    <s v="Hoang, Thu Hang/0000-0003-2787-1618; Le, Quynh Hoa/0000-0002-8897-1615; Phan Tan, Luc/0000-0001-5603-3918"/>
    <s v="University of Economics Ho Chi Minh City"/>
    <s v="University of Economics Ho Chi Minh City"/>
    <s v="This research is funded by University of Economics Ho Chi Minh City, Vietnam."/>
    <s v=""/>
    <n v="74"/>
    <n v="0"/>
    <n v="0"/>
    <n v="4"/>
    <n v="4"/>
    <s v="ROUTLEDGE JOURNALS, TAYLOR &amp; FRANCIS LTD"/>
    <s v="ABINGDON"/>
    <s v="2-4 PARK SQUARE, MILTON PARK, ABINGDON OX14 4RN, OXON, ENGLAND"/>
    <s v="0884-1241"/>
    <s v="1540-7144"/>
    <s v=""/>
    <s v="J MARK HIGH EDUC"/>
    <s v="J. Mark. High. Educ."/>
    <s v="2023 JUL 25"/>
    <x v="0"/>
    <s v=""/>
    <s v=""/>
    <s v=""/>
    <s v=""/>
    <s v=""/>
    <s v=""/>
    <s v=""/>
    <s v=""/>
    <s v=""/>
    <s v="10.1080/08841241.2023.2239756"/>
    <s v="http://dx.doi.org/10.1080/08841241.2023.2239756"/>
    <s v=""/>
    <s v="JUL 2023"/>
    <n v="24"/>
    <x v="21"/>
    <x v="1"/>
    <s v="Business &amp; Economics; Education &amp; Educational Research"/>
    <s v="M9EG0"/>
    <s v=""/>
    <s v=""/>
    <s v=""/>
    <s v=""/>
    <s v="2023-11-15"/>
    <s v="WOS:001033165800001"/>
    <s v="View Full Record in Web of Science"/>
    <n v="1"/>
  </r>
  <r>
    <x v="26"/>
    <s v="J"/>
    <x v="26"/>
    <s v=""/>
    <s v=""/>
    <s v=""/>
    <s v="Wegmann, Elisa; Schiebener, Johannes; Brand, Matthias"/>
    <s v=""/>
    <s v=""/>
    <x v="26"/>
    <x v="23"/>
    <s v=""/>
    <s v=""/>
    <s v="English"/>
    <s v="Article"/>
    <s v=""/>
    <s v=""/>
    <s v=""/>
    <s v=""/>
    <s v=""/>
    <x v="8"/>
    <x v="21"/>
    <s v="Social networks are frequently used to distract, procrastinate, or cope with stress. We aimed to investigate how (problematic) social-networks use affect stress perception in interaction with different stress recovery conditions. A total of 104 participants were randomly assigned to one of four groups. Three groups underwent a stress induction with subsequent stress recovery via (1) using Facebook, (2) reading magazines, or (3) waiting. Another group (4) waited without stress induction. Stress perception was repeatedly assessed with the State-Trait-Anxiety-Inventory. Facebook use and reading magazines decreased acute stress indicating adaptive coping strategies. Stress-recovery conditions and symptom severity showed significant interactions. Facebook use was not effective for individuals with high symptom severity in contrast to non-digital strategies or for individuals with low symptom severity. The usage of social networks may be an adaptive strategy for coping with stress for some people, it is maladaptive for individuals having a problematic usage."/>
    <s v="[Wegmann, Elisa; Schiebener, Johannes; Brand, Matthias] Univ Duisburg Essen, Cognit &amp; Ctr Behav Addict Res CeBAR, Dept Gen Psychol, Forsthausweg 2, D-47057 Duisburg, Germany; [Brand, Matthias] Erwin L Hahn Inst Magnet Resonance Imaging, Essen, Germany"/>
    <s v="University of Duisburg Essen; University of Duisburg Essen"/>
    <s v="Wegmann, E (corresponding author), Univ Duisburg Essen, Cognit &amp; Ctr Behav Addict Res CeBAR, Dept Gen Psychol, Forsthausweg 2, D-47057 Duisburg, Germany."/>
    <s v="elisa.wegmann@uni-due.de"/>
    <s v=""/>
    <s v=""/>
    <s v="Projekt DEAL; University of Duisburg-Essen"/>
    <s v="Projekt DEAL; University of Duisburg-Essen"/>
    <s v="Open Access funding enabled and organized by Projekt DEAL. The authors received no specific funding for this work. They acknowledge support by the Open Access Publication Fund of the University of Duisburg-Essen."/>
    <s v=""/>
    <n v="41"/>
    <n v="0"/>
    <n v="0"/>
    <n v="4"/>
    <n v="4"/>
    <s v="NATURE PORTFOLIO"/>
    <s v="BERLIN"/>
    <s v="HEIDELBERGER PLATZ 3, BERLIN, 14197, GERMANY"/>
    <s v="2045-2322"/>
    <s v=""/>
    <s v=""/>
    <s v="SCI REP-UK"/>
    <s v="Sci Rep"/>
    <s v="JUL 23"/>
    <x v="0"/>
    <n v="13"/>
    <n v="1"/>
    <s v=""/>
    <s v=""/>
    <s v=""/>
    <s v=""/>
    <s v=""/>
    <s v=""/>
    <n v="11895"/>
    <s v="10.1038/s41598-023-39042-4"/>
    <s v="http://dx.doi.org/10.1038/s41598-023-39042-4"/>
    <s v=""/>
    <s v=""/>
    <n v="9"/>
    <x v="22"/>
    <x v="0"/>
    <s v="Science &amp; Technology - Other Topics"/>
    <s v="N1PH6"/>
    <n v="37482602"/>
    <s v="Green Published, gold"/>
    <s v=""/>
    <s v=""/>
    <s v="2023-11-15"/>
    <s v="WOS:001034811000017"/>
    <s v="View Full Record in Web of Science"/>
    <n v="4"/>
  </r>
  <r>
    <x v="27"/>
    <s v="J"/>
    <x v="27"/>
    <s v=""/>
    <s v=""/>
    <s v=""/>
    <s v="Jiang, Zihao; Shi, Jiarong"/>
    <s v=""/>
    <s v=""/>
    <x v="27"/>
    <x v="24"/>
    <s v=""/>
    <s v=""/>
    <s v="English"/>
    <s v="Article; Early Access"/>
    <s v=""/>
    <s v=""/>
    <s v=""/>
    <s v=""/>
    <s v=""/>
    <x v="26"/>
    <x v="22"/>
    <s v="PurposeAs an emerging socio-technical paradigm, high-speed railways profoundly change individuals' lifestyle and allow for the shift toward a green transportation. Digital technologies open an opportunity window for the development of enterprises. This study aims to clarify the impact of firm digitalization on the innovation efficiency of the Chinese high-speed rail industry. In addition, human capital is the important non-physical capital of enterprises. The authors also elucidate the moderating role of human capital on the above relationship.Design/methodology/approachBased on the data of Chinese high-speed railway listed companies from 2015 to 2021, this study explores the impact of digital transformation on the innovation efficiency, and further clarifies the boundary role of human capital with two-way fixed effect regression models.FindingsThe empirical results indicate that digital transformation has a positive impact on the innovation efficiency of the Chinese high-speed railway enterprises. Furthermore, human capital significantly enhances the above relationship. In addition, digital transformation fosters the innovation efficiency of small- and medium-sized enterprises and private-owned enterprises, but the correlation coefficients between digital transformation and the innovation efficiency of large enterprises and state-owned enterprises are not significant.Originality/valueThis is one of the earliest studies to explore how digital technologies shape R &amp; D activities. From the perspective of relative efficiency, this study evaluates the effectiveness of digital transformation and provides empirical evidence for the formulation and implementation of corporate digital strategies. Moreover, this study links human capital with digital transformation and identifies condition factors that affect the effectiveness of digital transformation, thereby supplementing existing knowledge."/>
    <s v="[Jiang, Zihao; Shi, Jiarong] Univ Sci &amp; Technol China, Sch Management, Hefei, Peoples R China"/>
    <s v="Chinese Academy of Sciences; University of Science &amp; Technology of China, CAS"/>
    <s v="Shi, JR (corresponding author), Univ Sci &amp; Technol China, Sch Management, Hefei, Peoples R China."/>
    <s v="jiangzihao0827@163.com; 2063658340@qq.com"/>
    <s v=""/>
    <s v=""/>
    <s v=""/>
    <s v=""/>
    <s v=""/>
    <s v=""/>
    <n v="122"/>
    <n v="0"/>
    <n v="0"/>
    <n v="16"/>
    <n v="16"/>
    <s v="EMERALD GROUP PUBLISHING LTD"/>
    <s v="BINGLEY"/>
    <s v="HOWARD HOUSE, WAGON LANE, BINGLEY BD16 1WA, W YORKSHIRE, ENGLAND"/>
    <s v="0368-492X"/>
    <s v="1758-7883"/>
    <s v=""/>
    <s v="KYBERNETES"/>
    <s v="Kybernetes"/>
    <s v="2023 JUL 19"/>
    <x v="0"/>
    <s v=""/>
    <s v=""/>
    <s v=""/>
    <s v=""/>
    <s v=""/>
    <s v=""/>
    <s v=""/>
    <s v=""/>
    <s v=""/>
    <s v="10.1108/K-04-2023-0677"/>
    <s v="http://dx.doi.org/10.1108/K-04-2023-0677"/>
    <s v=""/>
    <s v="JUL 2023"/>
    <n v="24"/>
    <x v="23"/>
    <x v="0"/>
    <s v="Computer Science"/>
    <s v="M5OW9"/>
    <s v=""/>
    <s v=""/>
    <s v=""/>
    <s v=""/>
    <s v="2023-11-15"/>
    <s v="WOS:001030720600001"/>
    <s v="View Full Record in Web of Science"/>
    <n v="1"/>
  </r>
  <r>
    <x v="28"/>
    <s v="J"/>
    <x v="28"/>
    <s v=""/>
    <s v=""/>
    <s v=""/>
    <s v="Passos, Leandro; de Vasconcellos, Adalberto Bastos; Kanashiro, Lucio; Kina, Sidney"/>
    <s v=""/>
    <s v=""/>
    <x v="28"/>
    <x v="25"/>
    <s v=""/>
    <s v=""/>
    <s v="English"/>
    <s v="Article; Early Access"/>
    <s v=""/>
    <s v=""/>
    <s v=""/>
    <s v=""/>
    <s v=""/>
    <x v="27"/>
    <x v="23"/>
    <s v="ObjectiveTo report a novel digital workflow to replace an anterior maxillary tooth lost due to trauma with an implant multilayer restoration by using the patient's extracted tooth as a final crown restoration using computer-aided design/computer-aided manufacturing (CAD/CAM) technology. Clinical ConsiderationsInstead of using the patient's natural tooth as an immediate provisional restoration to achieve predictable results in terms of esthetics and soft tissue structure, a novel digital strategy was performed to obtain a natural final crown restoration by using the patient's tooth associated with a lithium disilicate customized implant abutment. ConclusionsThe perspective of using this strategic approach for implant restorative dental treatments in patients with traumatic root fractures in the anterior region has great potential as it helps to maintain the emergence profile of the natural dentition and esthetics. Clinical SignificanceOptimal esthetic outcomes are challenging in implant dentistry regarding soft tissue structure and morphology factors. Using natural teeth from surgery to deliver the final restoration might be beneficial when an anterior tooth is lost due to trauma."/>
    <s v="[Passos, Leandro; de Vasconcellos, Adalberto Bastos] Univ N Carolina, Adams Sch Dent, Div Comprehens Oral Hlth, Operat Dent &amp; Biomat, Chapel Hill, NC USA; [Passos, Leandro] Univ N Carolina, Adams Sch Dent, Div Comprehens Oral Hlth, Operat Dent &amp; Biomat, 385 S Columbia St, Chapel Hill, NC 27599 USA"/>
    <s v="University of North Carolina; University of North Carolina Chapel Hill; University of North Carolina; University of North Carolina Chapel Hill"/>
    <s v="Passos, L (corresponding author), Univ N Carolina, Adams Sch Dent, Div Comprehens Oral Hlth, Operat Dent &amp; Biomat, 385 S Columbia St, Chapel Hill, NC 27599 USA."/>
    <s v="passos@ad.unc.edu"/>
    <s v=""/>
    <s v=""/>
    <s v=""/>
    <s v=""/>
    <s v=""/>
    <s v=""/>
    <n v="35"/>
    <n v="1"/>
    <n v="1"/>
    <n v="2"/>
    <n v="2"/>
    <s v="WILEY"/>
    <s v="HOBOKEN"/>
    <s v="111 RIVER ST, HOBOKEN 07030-5774, NJ USA"/>
    <s v="1496-4155"/>
    <s v="1708-8240"/>
    <s v=""/>
    <s v="J ESTHET RESTOR DENT"/>
    <s v="J. Esthet. Restor. Dent."/>
    <s v="2023 JUL 14"/>
    <x v="0"/>
    <s v=""/>
    <s v=""/>
    <s v=""/>
    <s v=""/>
    <s v=""/>
    <s v=""/>
    <s v=""/>
    <s v=""/>
    <s v=""/>
    <s v="10.1111/jerd.13073"/>
    <s v="http://dx.doi.org/10.1111/jerd.13073"/>
    <s v=""/>
    <s v="JUL 2023"/>
    <n v="11"/>
    <x v="24"/>
    <x v="0"/>
    <s v="Dentistry, Oral Surgery &amp; Medicine"/>
    <s v="M1EU4"/>
    <n v="37449557"/>
    <s v=""/>
    <s v=""/>
    <s v=""/>
    <s v="2023-11-15"/>
    <s v="WOS:001027659400001"/>
    <s v="View Full Record in Web of Science"/>
    <n v="5"/>
  </r>
  <r>
    <x v="29"/>
    <s v="J"/>
    <x v="29"/>
    <s v=""/>
    <s v=""/>
    <s v=""/>
    <s v="Liu, Qian-Ru; Liu, Jian-Mei; He, Zhen-Peng"/>
    <s v=""/>
    <s v=""/>
    <x v="29"/>
    <x v="26"/>
    <s v=""/>
    <s v=""/>
    <s v="English"/>
    <s v="Article"/>
    <s v=""/>
    <s v=""/>
    <s v=""/>
    <s v=""/>
    <s v=""/>
    <x v="28"/>
    <x v="24"/>
    <s v="PurposeWhat distinguishes digital transformation from other traditional IT transformations is its involvement of the entire organization, rather than merely the IT department. Thus, instead of taking a perspective that is confined to the IT department, this paper studies the ambidextrous nature of digital transformation (DT) from the standpoint of the whole firm. The authors define DT ambidexterity as the capability to utilize digital technology to simultaneously improve the efficiency of existing businesses (DT exploitation) and to promote business growth (DT exploration).Design/methodology/approachUsing annual reports of Chinese firms as a mining material, this paper deploys text mining and word frequency analysis to develop a data set of digital transformation to construct DT exploitation, DT exploration and DT ambidexterity, so that the authors can examine and compare their impact on business performance.FindingsThis study's statistics show that observations in this research sample mainly manifest DT ambidexterity and DT exploitation, while DT exploration makes up the smallest proportion. The authors find that DT exploitation, DT exploration, and DT ambidexterity have positive, yet heterogeneous effects on business performance.Research limitations/implicationsThis study expands the existing literature of IT-related ambidexterity by examining the ambidextrous nature of DT from the angle of company-wide strategy instead of the perspective from IT-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Originality/valueThis study expands the existing literature of IT-related ambidexterity by examining the ambidexterity nature of DT from the angle of company-wide strategy instead of the perspective from IT department and expands the extant literature of digital transformation by examining the heterogeneous effects of its different components on business performance. The authors also add to the digital strategizing literature by showing that different business strategy goals can be attained through different stages of DT."/>
    <s v="[Liu, Qian-Ru] Guangdong Univ Foreign Studies, Dept Accounting, Guangzhou, Peoples R China; [Liu, Jian-Mei] Tianjin Univ Finance &amp; Econ, Tianjin, Peoples R China; [He, Zhen-Peng] Univ Int Business &amp; Econ, Beijing, Peoples R China"/>
    <s v="Guangdong University of Foreign Studies; Tianjin University of Finance &amp; Economics; University of International Business &amp; Economics"/>
    <s v="Liu, JM (corresponding author), Tianjin Univ Finance &amp; Econ, Tianjin, Peoples R China."/>
    <s v="iamliuqianru@126.com; weifangljm@126.com; cherrohaw@foxmail.com"/>
    <s v=""/>
    <s v=""/>
    <s v="National Natural Foundation [71702123]; Social Science Foundation of the Ministry of Education of China [19YJC630105, 17YJC790095]; Tianjin University of Finance and Economics Outstanding Young Teachers Support Program"/>
    <s v="National Natural Foundation(National Natural Science Foundation of China (NSFC)); Social Science Foundation of the Ministry of Education of China(Ministry of Education, China); Tianjin University of Finance and Economics Outstanding Young Teachers Support Program"/>
    <s v="The authors really appreciate the funding from the National Natural Foundation (Grant number: 71702123), the Social Science Foundation of the Ministry of Education of China (Grant number: 19YJC630105 and 17YJC790095) and Tianjin University of Finance and Economics Outstanding Young Teachers Support Program. The authors would like to thank the undergraduate students, Ziyu Chen and Qiaomin Li, at Guangdong University of Foreign Studies for their excellent research assitance in this paper."/>
    <s v=""/>
    <n v="72"/>
    <n v="0"/>
    <n v="0"/>
    <n v="53"/>
    <n v="53"/>
    <s v="EMERALD GROUP PUBLISHING LTD"/>
    <s v="BINGLEY"/>
    <s v="HOWARD HOUSE, WAGON LANE, BINGLEY BD16 1WA, W YORKSHIRE, ENGLAND"/>
    <s v="1741-0398"/>
    <s v="1758-7409"/>
    <s v=""/>
    <s v="J ENTERP INF MANAG"/>
    <s v="J. Enterp. Inf. Manag."/>
    <s v="AUG 16"/>
    <x v="0"/>
    <n v="36"/>
    <n v="5"/>
    <s v=""/>
    <s v=""/>
    <s v=""/>
    <s v=""/>
    <n v="1402"/>
    <n v="1420"/>
    <s v=""/>
    <s v="10.1108/JEIM-08-2022-0280"/>
    <s v="http://dx.doi.org/10.1108/JEIM-08-2022-0280"/>
    <s v=""/>
    <s v="JUL 2023"/>
    <n v="19"/>
    <x v="25"/>
    <x v="1"/>
    <s v="Computer Science; Information Science &amp; Library Science; Business &amp; Economics"/>
    <s v="O7IN8"/>
    <s v=""/>
    <s v=""/>
    <s v=""/>
    <s v=""/>
    <s v="2023-11-15"/>
    <s v="WOS:001024625500001"/>
    <s v="View Full Record in Web of Science"/>
    <n v="3"/>
  </r>
  <r>
    <x v="30"/>
    <s v="J"/>
    <x v="30"/>
    <s v=""/>
    <s v=""/>
    <s v=""/>
    <s v="Sonar, Harshad; Ghag, Nikhil; Kharde, Yashomandira; Singodia, Mamta"/>
    <s v=""/>
    <s v=""/>
    <x v="30"/>
    <x v="27"/>
    <s v=""/>
    <s v=""/>
    <s v="English"/>
    <s v="Article; Early Access"/>
    <s v=""/>
    <s v=""/>
    <s v=""/>
    <s v=""/>
    <s v=""/>
    <x v="29"/>
    <x v="25"/>
    <s v="In order to achieve a net zero economy, there must be a thorough digital revolution where sustainability is given top priority by spurring innovation, generating efficiencies, and improving services. Data show that digitalization is essential to reaching sustainable development goals as the world community struggles to meet the urgent need to combat climate change. Therefore, this study aims at identifying important barriers to digital innovation for MSMEs in a net-zero economy. This study used past academic literature and the fuzzy-Delphi method to identify important barriers and the weighted influence nonlinear gauge system (WINGS) method to prioritize and develop contextual relationships between identified barriers. As per the findings, lack of organizational resources and support is the most crucial barrier to digital innovation. This is followed by challenges in designing a digital strategy. The novelty of this study is the identification of digital innovation barriers for MSMEs from net-zero perspectives and prioritizing them using the WINGS method. This work will help practitioners to define clear organizational policies on digital innovation which will offer great promise for MSMEs to increase their performance."/>
    <s v="[Sonar, Harshad; Kharde, Yashomandira; Singodia, Mamta] Symbiosis Inst Operat Management SIOM, Operat &amp; Supply Chain Management, Nasik, India; [Ghag, Nikhil] Natl Inst Ind Engn NITIE, Operat &amp; Supply Chain Management, Mumbai, India"/>
    <s v="Symbiosis International University; Symbiosis Institute of Operations Management (SIOM); National Institute of Industrial Engineering (NITIE)"/>
    <s v="Sonar, H (corresponding author), Symbiosis Inst Operat Management SIOM, Operat &amp; Supply Chain Management, Nasik, India."/>
    <s v="harshad.sonar@siom.in"/>
    <s v="Kharde, Dr Yashomandira Pravin/JMR-0741-2023; Ghag, Nikhil/HTS-6859-2023"/>
    <s v="Kharde, Dr Yashomandira Pravin/0000-0002-4705-1038; Ghag, Nikhil/0000-0002-6823-3279; Sonar, Dr. Harshad C./0000-0001-9114-7785"/>
    <s v=""/>
    <s v=""/>
    <s v=""/>
    <s v=""/>
    <n v="65"/>
    <n v="0"/>
    <n v="0"/>
    <n v="8"/>
    <n v="8"/>
    <s v="WILEY"/>
    <s v="HOBOKEN"/>
    <s v="111 RIVER ST, HOBOKEN 07030-5774, NJ USA"/>
    <s v=""/>
    <s v="2572-3170"/>
    <s v=""/>
    <s v="BUS STRATEGY DEV"/>
    <s v="Bus. Strategy Dev."/>
    <s v="2023 JUL 13"/>
    <x v="0"/>
    <s v=""/>
    <s v=""/>
    <s v=""/>
    <s v=""/>
    <s v=""/>
    <s v=""/>
    <s v=""/>
    <s v=""/>
    <s v=""/>
    <s v="10.1002/bsd2.264"/>
    <s v="http://dx.doi.org/10.1002/bsd2.264"/>
    <s v=""/>
    <s v="JUL 2023"/>
    <n v="12"/>
    <x v="26"/>
    <x v="2"/>
    <s v="Business &amp; Economics; Environmental Sciences &amp; Ecology"/>
    <s v="M3ZI3"/>
    <s v=""/>
    <s v="Bronze"/>
    <s v=""/>
    <s v=""/>
    <s v="2023-11-15"/>
    <s v="WOS:001029603200001"/>
    <s v="View Full Record in Web of Science"/>
    <n v="2"/>
  </r>
  <r>
    <x v="31"/>
    <s v="J"/>
    <x v="31"/>
    <s v=""/>
    <s v=""/>
    <s v=""/>
    <s v="Gezer, Melis; Hunter, Barbara; Hocking, Jane S. S.; Manski-Nankervis, Jo-Anne; Goller, Jane L. L."/>
    <s v=""/>
    <s v=""/>
    <x v="31"/>
    <x v="28"/>
    <s v=""/>
    <s v=""/>
    <s v="English"/>
    <s v="Article; Early Access"/>
    <s v=""/>
    <s v=""/>
    <s v=""/>
    <s v=""/>
    <s v=""/>
    <x v="30"/>
    <x v="26"/>
    <s v="Background. Strengthening sexually transmissible infection (STI) management in general practice is prioritised in Australian STI strategy. Digital interventions incorporating clinical decision support offer a mechanism to assist general practitioners (GPs) in STI care. This study explored clinicians' views towards a proposed digital intervention for supporting STI care in Australian general practice as a first step in the tool's design. Methods. Semi-structured one-to-one interviews were conducted during 2021 with sexual health physicians (n = 2) and GPs (n = 7) practicing in the state of Victoria, Australia. Interviews explored views on a proposed STI digital intervention for general practice. We applied the Theoretical Domains Framework (TDF), a behaviour change framework to our analysis. This involved: (1) directed content analysis of transcripts into TDF domains; and (2) thematic analysis to identify sub-themes within relevant TDF domains. Subthemes were subsequently categorised into enablers and barriers to the use and implementation of a STI computerised clinical decision support system (CDSS). Results. All interviewees viewed a digital intervention for STI care favourably, expressing confidence in its potential to improve care and support management. Within the relevant TDF domains (e.g. environmental context and resources), subthemes emerged as barriers (e.g. lack of sensitivity to patient context) or enablers (e.g. clear communication and guidance) to the use and implementation of a STI CDSS in primary care. Multiple subthemes (e.g. time constraints) have the potential to be a barrier or an enabler, and is largely dependent on end-user needs being met and clinical context being appropriately addressed. Conclusions. A digital intervention incorporating clinical decision support was viewed favourably, indicating a possible role for such a tool in Australian general practice. Co-design with end-users and prototype evaluation with health consumers is recommended to ensure relevance and usefulness."/>
    <s v="[Gezer, Melis; Hocking, Jane S. S.; Goller, Jane L. L.] Univ Melbourne, Melbourne Sch Populat &amp; Global Hlth, 207 Bouverie St, Carlton, Vic 3053, Australia; [Hunter, Barbara; Manski-Nankervis, Jo-Anne] Univ Melbourne, Dept Gen Practice, Melbourne, Vic, Australia"/>
    <s v="University of Melbourne; University of Melbourne"/>
    <s v="Goller, JL (corresponding author), Univ Melbourne, Melbourne Sch Populat &amp; Global Hlth, 207 Bouverie St, Carlton, Vic 3053, Australia."/>
    <s v="jane.goller@unimelb.edu.au"/>
    <s v=""/>
    <s v="Hocking, Jane/0000-0001-9329-8501; Goller, Jane/0000-0001-5580-360X; Hunter, Barbara/0000-0002-1268-3166"/>
    <s v=""/>
    <s v=""/>
    <s v=""/>
    <s v=""/>
    <n v="38"/>
    <n v="0"/>
    <n v="0"/>
    <n v="2"/>
    <n v="2"/>
    <s v="CSIRO PUBLISHING"/>
    <s v="CLAYTON"/>
    <s v="UNIPARK, BLDG 1, LEVEL 1, 195 WELLINGTON RD, LOCKED BAG 10, CLAYTON, VIC 3168, AUSTRALIA"/>
    <s v="1448-5028"/>
    <s v="1449-8987"/>
    <s v=""/>
    <s v="SEX HEALTH"/>
    <s v="Sex Health"/>
    <s v="2023 JUL 6"/>
    <x v="0"/>
    <s v=""/>
    <s v=""/>
    <s v=""/>
    <s v=""/>
    <s v=""/>
    <s v=""/>
    <s v=""/>
    <s v=""/>
    <s v=""/>
    <s v="10.1071/SH22191"/>
    <s v="http://dx.doi.org/10.1071/SH22191"/>
    <s v=""/>
    <s v="JUL 2023"/>
    <n v="10"/>
    <x v="27"/>
    <x v="3"/>
    <s v="Public, Environmental &amp; Occupational Health; Infectious Diseases"/>
    <s v="L6IL8"/>
    <n v="37407286"/>
    <s v="hybrid"/>
    <s v=""/>
    <s v=""/>
    <s v="2023-11-15"/>
    <s v="WOS:001024279200001"/>
    <s v="View Full Record in Web of Science"/>
    <n v="1"/>
  </r>
  <r>
    <x v="32"/>
    <s v="J"/>
    <x v="32"/>
    <s v=""/>
    <s v=""/>
    <s v=""/>
    <s v="Baldassarre, Damiano; Iacoviello, Licia; Baetta, Roberta; Roncaglioni, Maria Carla; Condorelli, Gianluigi; Remuzzi, Giuseppe; Gensini, Gianfranco; Frati, Luigi; Ricciardi, Walter; Conaldi, Pier Giulio; Uccelli, Antonio; Blandini, Fabio; Bosari, Silvano; Scambia, Giovanni; Fini, Massimo; Di Malta, Antonio; Amato, Mauro; Veglia, Fabrizio; Bonomi, Alice; Klersy, Catherine; Colazzo, Francesca; Pengo, Martino; Gorini, Francesca; Auteri, Luciana; Ferrante, Giuseppe; Baviera, Marta; Ambrosio, Giuseppe; Catapano, Alberico; Gialluisi, Alessandro; Malavazos, Alexis Elias; Castelvecchio, Serenella; Corsi-Romanelli, Massimiliano Marco; Cardani, Rosanna; La Rovere, Maria Teresa; Agnese, Valentina; Pane, Bianca; Prati, Daniele; Spinardi, Laura; Liuzzo, Giovanna; Arbustini, Eloisa; Volterrani, Maurizio; Visconti, Marco; Werba, Jose Pablo; Genovese, Stefano; Bilo, Grzegorz; Invitti, Cecilia; Di Blasio, Anna; Lombardi, Carolina; Faini, Andrea; Rosa, Debora; Ojeda-Fernandez, Luisa; Foresta, Andreana; De Curtis, Amalia; Di Castelnuovo, Augusto; Scalvini, Simonetta; Pierobon, Antonia; Gorini, Alessandra; Valenti, Luca; Luzi, Livio; Racca, Annarosa; Bandi, Manuela; Tremoli, Elena; Menicanti, Lorenzo; Parati, Gianfranco; Pompilio, Giulio"/>
    <s v=""/>
    <s v=""/>
    <x v="32"/>
    <x v="29"/>
    <s v=""/>
    <s v=""/>
    <s v="English"/>
    <s v="Article"/>
    <s v=""/>
    <s v=""/>
    <s v=""/>
    <s v=""/>
    <s v=""/>
    <x v="31"/>
    <x v="27"/>
    <s v="Introduction Prevention of cardiovascular disease (CVD) is of key importance in reducing morbidity, disability and mortality worldwide. Observational studies suggest that digital health interventions can be an effective strategy to reduce cardiovascular (CV) risk. However, evidence from large randomised clinical trials is lacking. Methods and analysis The CV-PREVITAL study is a multicentre, prospective, randomised, controlled, open-label interventional trial designed to compare the effectiveness of an educational and motivational mobile health (mHealth) intervention versus usual care in reducing CV risk. The intervention aims at improving diet, physical activity, sleep quality, psycho-behavioural aspects, as well as promoting smoking cessation and adherence to pharmacological treatment for CV risk factors. The trial aims to enrol approximately 80 000 subjects without overt CVDs referring to general practitioners' offices, community pharmacies or clinics of Scientific Institute for Research, Hospitalization and Health Care (Italian acronym IRCCS) affiliated with the Italian Cardiology Network. All participants are evaluated at baseline and after 12 months to assess the effectiveness of the intervention on short-term endpoints, namely improvement in CV risk score and reduction of major CV risk factors. Beyond the funded life of the study, a long-term (7 years) follow-up is also planned to assess the effectiveness of the intervention on the incidence of major adverse CV events. A series of ancillary studies designed to evaluate the effect of the mHealth intervention on additional risk biomarkers are also performed. Ethics and dissemination This study received ethics approval from the ethics committee of the coordinating centre (Monzino Cardiology Center; R1256/20-CCM 1319) and from all other relevant IRBs and ethics committees. Findings are disseminated through scientific meetings and peer-reviewed journals and via social media. Partners are informed about the study's course and findings through regular meetings."/>
    <s v="[Baldassarre, Damiano; Baetta, Roberta; Amato, Mauro; Bonomi, Alice; Colazzo, Francesca; Werba, Jose Pablo; Genovese, Stefano; Pompilio, Giulio] Ctr Cardiol Monzino IRCCS, Milan, Italy; [Baldassarre, Damiano] Univ Milan, Dept Med Biotechnol &amp; Translat Med, Milan, Italy; [Iacoviello, Licia; Gialluisi, Alessandro; De Curtis, Amalia] IRCCS Ist Neurol Mediterraneo NEUROMED, Dept Epidemiol &amp; Prevent, Pozzilli, Italy; [Iacoviello, Licia; Gialluisi, Alessandro] Res Ctr Epidemiol &amp; Prevent Med EPIMED, Varese, Italy; [Roncaglioni, Maria Carla; Baviera, Marta; Ojeda-Fernandez, Luisa; Foresta, Andreana] Ist Ric Farmacol Mario Negri IRCCS, Lab Cardiovasc Prevent, Milan, Italy; [Condorelli, Gianluigi; Ferrante, Giuseppe] IRCCS Humanitas Res Hosp, Dept Cardiovasc Med, Rozzano, Italy; [Condorelli, Gianluigi; Ferrante, Giuseppe] Humanitas Univ, Dept Biomed Sci, Milan, Italy; [Remuzzi, Giuseppe] Ist Ric Farmacog Mario Negri IRCCS, Milan, Italy; [Gensini, Gianfranco; Catapano, Alberico; Luzi, Livio] IRCCS Multimed, Milan, Italy; [Frati, Luigi] IRCCS Ist Neurol Mediterraneo NEUROMED, Pozzilli, Italy; [Ricciardi, Walter] Ist Clin Sci Maugeri IRCCS Pavia, Pavia, Italy; [Ricciardi, Walter; Scambia, Giovanni; Liuzzo, Giovanna] Univ Cattolica Sacro Cuore, Campus Roma, Rome, Italy; [Conaldi, Pier Giulio; Agnese, Valentina] IRCCS ISMETT Mediterranean Inst Transplantat &amp; Adv, Palermo, Italy; [Uccelli, Antonio; Pane, Bianca] IRCCS Osped Policlin San Martino, Genoa, Italy; [Blandini, Fabio; Bosari, Silvano; Spinardi, Laura] Fdn IRCCS Ca Granda Osped Maggiore Policlin, Milan, Italy; [Scambia, Giovanni] Fdn Policlin Univ Agostino Gemelli IRCCS, Rome, Italy; [Fini, Massimo] IRCCS San Raffaele, Rome, Italy; [Di Malta, Antonio; Visconti, Marco] Co S Consorzio San Study Ctr, Soresina, Italy; [Veglia, Fabrizio; Tremoli, Elena] Maria Cecilia Hosp, GVM Care &amp; Res, Cotignola, Ravenna, Italy; [Klersy, Catherine] Fdn IRCCS Policlin San Matteo, Unit Clin Epidemiol &amp; Biostat, Pavia, Italy; [Pengo, Martino; Gorini, Francesca; Auteri, Luciana; Bilo, Grzegorz; Invitti, Cecilia; Di Blasio, Anna; Lombardi, Carolina; Faini, Andrea; Rosa, Debora; Parati, Gianfranco] Ist Auxol Italiano IRCCS, Milan, Italy; [Pengo, Martino; Bilo, Grzegorz; Lombardi, Carolina; Parati, Gianfranco] Univ Milano Bicocca, Dept Med &amp; Surg, Milan, Italy; [Ambrosio, Giuseppe] Univ Perugia, Cardiol, Sch Med, Perugia, Italy; [Catapano, Alberico] Univ Milan, Dept Pharmacol &amp; Biomol Sci, Milan, Italy; [Malavazos, Alexis Elias] IRCCS Policlin San Donato, Clin Nutr &amp; Cardiovasc Prevent Serv, Endocrinol Unit, San Donato Milanese, Italy; [Malavazos, Alexis Elias; Pompilio, Giulio] Univ Milan, Dept Biomed Surg &amp; Dent Sci, Milan, Italy; [Castelvecchio, Serenella; Menicanti, Lorenzo] IRCCS Policlin San Donato, Dept Cardiac Surg, San Donato Milanese, Italy; [Corsi-Romanelli, Massimiliano Marco] IRCCS Policlin SAN DONATO, UOC SMEL 1, San Donato Milanese, Italy; [Corsi-Romanelli, Massimiliano Marco; Luzi, Livio] Univ Milan, Dept Hlth &amp; Biomed Sci, Milan, Italy; [Cardani, Rosanna] IRCCS Policlin San Donato, BioCor Biobank, UOC SMEL 1 Clin Pathol, San Donato Milanese, Italy; [La Rovere, Maria Teresa; Pierobon, Antonia] Ist Clin Sci Maugeri IRCCS Montescano, Montescano, Italy; [Pane, Bianca] Univ Genoa, Dipartimento Sci Chirurg &amp; Diagnost Integrate, Genoa, Italy; [Prati, Daniele; Valenti, Luca] Fdn IRCCS Ca Granda Osped Maggiore Policlin, Dept Transfus Med &amp; Haematol, Milan, Italy; [Liuzzo, Giovanna] Fdn Policlin Gemelli IRCCS, Dipartimento Sci Cardiovascolari, Rome, Italy; [Arbustini, Eloisa] Fdn IRCCS Policlin San Matteo, Ctr Malattie Genet Cardiovasc, Pavia, Italy; [Volterrani, Maurizio] IRCCS San Raffaele, Cardio Pulm Dept, Rome, Italy; [Volterrani, Maurizio] San Raffaele Open Univ, Exercise Sci &amp; Med, Rome, Italy; [Faini, Andrea] Politecn Milan, Dipartimento Elettron Informaz &amp; Bioingn, Milan, Italy; [Di Castelnuovo, Augusto] Mediterranea Cardioctr, Naples, Italy; [Scalvini, Simonetta] Ist Clin Sci Maugeri IRCCS Lumezzane, Lumezzane, Italy; [Gorini, Alessandra] Ist Clin Sci Maugeri IRCCS Milano, Milan, Italy; [Gorini, Alessandra] Univ Milan, Dipartimento Sci Clin &amp; Comun, Milan, Italy; [Valenti, Luca] Univ Milan, Dipartimento Fisiopatol &amp; Trapianti, Milan, Italy; [Racca, Annarosa; Bandi, Manuela] Federfarma Lombardia &amp; Fdn Guido Muralti, Milan, Italy"/>
    <s v="IRCCS Centro Cardiologico Monzino; University of Milan; IRCCS Neuromed; Istituto di Ricerche Farmacologiche Mario Negri IRCCS; Humanitas University; IRCCS Multimedica; IRCCS Neuromed; Catholic University of the Sacred Heart; IRCCS Policlinico Gemelli; IRCCS Ca Granda Ospedale Maggiore Policlinico; Catholic University of the Sacred Heart; IRCCS Policlinico Gemelli; IRCCS San Raffaele Pisana; Vita-Salute San Raffaele University; IRCCS Ospedale San Raffaele; Maria Cecilia Hospital; IRCCS Fondazione San Matteo; IRCCS Istituto Auxologico Italiano; University of Milano-Bicocca; University of Perugia; University of Milan; IRCCS Policlinico San Donato; University of Milan; IRCCS Policlinico San Donato; IRCCS Policlinico San Donato; University of Milan; IRCCS Policlinico San Donato; University of Genoa; IRCCS Ca Granda Ospedale Maggiore Policlinico; Catholic University of the Sacred Heart; IRCCS Policlinico Gemelli; IRCCS Fondazione San Matteo; Vita-Salute San Raffaele University; IRCCS Ospedale San Raffaele; IRCCS San Raffaele Pisana; Polytechnic University of Milan; Istituti Clinici Scientifici Maugeri IRCCS; University of Milan; University of Milan"/>
    <s v="Baldassarre, D (corresponding author), Ctr Cardiol Monzino IRCCS, Milan, Italy.;Baldassarre, D (corresponding author), Univ Milan, Dept Med Biotechnol &amp; Translat Med, Milan, Italy."/>
    <s v="damiano.baldassarre@cardiologicomonzino.it"/>
    <s v="Pompilio, Giulio/J-6701-2014; Pierobon, Antonia/AAA-2859-2021; Vinci, Ramona/AAJ-9226-2020; Colombo, Gualtiero I./B-4737-2010; caminiti, giuseppe/K-5068-2016; La Rovere, Maria Teresa/D-6796-2019; Remuzzi, Giuseppe/V-9766-2017; Iacoviello, Licia/K-4676-2016; Baldassarre, Damiano/J-3295-2016; Valenti, Luca/B-3695-2009; Veglia, Fabrizio/K-1958-2016"/>
    <s v="Pompilio, Giulio/0000-0003-2581-5735; Pierobon, Antonia/0000-0002-4678-781X; Vinci, Ramona/0000-0003-3632-5934; Colombo, Gualtiero I./0000-0002-7348-1939; caminiti, giuseppe/0000-0001-7820-567X; La Rovere, Maria Teresa/0000-0002-1884-5058; Remuzzi, Giuseppe/0000-0002-6194-3446; Iacoviello, Licia/0000-0003-0514-5885; Baldassarre, Damiano/0000-0002-2766-8882; Valenti, Luca/0000-0001-8909-0345; Malavazos, Alexis Elias/0000-0002-0852-9625; Veglia, Fabrizio/0000-0002-9378-8874"/>
    <s v="Italian Ministry of Health (Ministero della Salute) [RCR- 2019- 23669116_001]"/>
    <s v="Italian Ministry of Health (Ministero della Salute)(Ministry of Health, Italy)"/>
    <s v="The CV- PREVITAL study is carried out through funding by the Italian Ministry of Health (Ministero della Salute), Project Code RCR- 2019- 23669116_001. The finantial support includes the cost of developing the app used in the study. The app was built with the technical collaboration of a mobile solutions provider (YouCo s.r.l.) selected through a European tender carried out under Article 60 of Legislative Decree 50/2016 as amended. Ownership of the app is held by the Italian Cardiology Network. Funding source (Italian Ministry of Health) and technical partner (YouCo) are not involved in study execution, data analyses and interpretation, or decision to submit results."/>
    <s v=""/>
    <n v="35"/>
    <n v="0"/>
    <n v="0"/>
    <n v="2"/>
    <n v="2"/>
    <s v="BMJ PUBLISHING GROUP"/>
    <s v="LONDON"/>
    <s v="BRITISH MED ASSOC HOUSE, TAVISTOCK SQUARE, LONDON WC1H 9JR, ENGLAND"/>
    <s v="2044-6055"/>
    <s v=""/>
    <s v=""/>
    <s v="BMJ OPEN"/>
    <s v="BMJ Open"/>
    <s v="JUL"/>
    <x v="0"/>
    <n v="13"/>
    <n v="7"/>
    <s v=""/>
    <s v=""/>
    <s v=""/>
    <s v=""/>
    <s v=""/>
    <s v=""/>
    <s v="e072040"/>
    <s v="10.1136/bmjopen-2023-072040"/>
    <s v="http://dx.doi.org/10.1136/bmjopen-2023-072040"/>
    <s v=""/>
    <s v=""/>
    <n v="11"/>
    <x v="28"/>
    <x v="0"/>
    <s v="General &amp; Internal Medicine"/>
    <s v="O2JX0"/>
    <n v="37451717"/>
    <s v="gold, Green Published"/>
    <s v=""/>
    <s v=""/>
    <s v="2023-11-15"/>
    <s v="WOS:001042144500003"/>
    <s v="View Full Record in Web of Science"/>
    <n v="1"/>
  </r>
  <r>
    <x v="33"/>
    <s v="J"/>
    <x v="33"/>
    <s v=""/>
    <s v=""/>
    <s v=""/>
    <s v="Lerario, Antonella"/>
    <s v=""/>
    <s v=""/>
    <x v="33"/>
    <x v="30"/>
    <s v=""/>
    <s v=""/>
    <s v="English"/>
    <s v="Article"/>
    <s v=""/>
    <s v=""/>
    <s v=""/>
    <s v=""/>
    <s v=""/>
    <x v="32"/>
    <x v="28"/>
    <s v="Archaeological museums play a vital role in regions with ancient roots, holding a millennial image as the cradle of civilization. In the South of Italy (former Magna Graecia) and particularly in Puglia-a melting pot of cultures where ancient Messapian, Byzantine, Roman, and Greek civilizations followed one another in ages, bequeathing a wealth of testimonies-institutions are disseminated across the region, and almost every small municipality has its own archaeological museum hosting a wealth of valuable objects and remains. The gradual structural changes in the role of museums over the last decades and the recent COVID-19 pandemic outbreak, with the sudden closing and subsequent re-opening of facilities, forced institutions to re-think and re-develop their communication practices everywhere. Museums across the world have since been conceiving original and effective strategies based on social media and ICTs. After framing the problem background, the article introduces an overview of good practice and virtuous examples in the museum field and a questionnaire-based focus survey on a sample of archaeological museums in Puglia in order to assess the status of local communication strategies' implementation against the potential of modern technologies. The survey results allowed identifying a peculiar mix of emergency and evolutional approaches in the sample analyzed, main concerns and barriers to the adoption of digital strategies, but also specific strategic drivers for innovation in the very nature of local small institutions. The study's outcomes offer a potential contribution to the alignment of institutions to current standards through informed policies that can be usefully shared in other similar contexts across Europe."/>
    <s v="[Lerario, Antonella] CNR, Ist Tecnol Costruz, I-70124 Bari, Italy"/>
    <s v="Consiglio Nazionale delle Ricerche (CNR); Istituto per le Tecnologie della Costruzione (ITC-CNR)"/>
    <s v="Lerario, A (corresponding author), CNR, Ist Tecnol Costruz, I-70124 Bari, Italy."/>
    <s v="antonella.lerario@itc.cnr.it"/>
    <s v=""/>
    <s v=""/>
    <s v=""/>
    <s v=""/>
    <s v=""/>
    <s v=""/>
    <n v="139"/>
    <n v="0"/>
    <n v="0"/>
    <n v="3"/>
    <n v="3"/>
    <s v="MDPI"/>
    <s v="BASEL"/>
    <s v="ST ALBAN-ANLAGE 66, CH-4052 BASEL, SWITZERLAND"/>
    <s v="2571-9408"/>
    <s v=""/>
    <s v=""/>
    <s v="HERITAGE-BASEL"/>
    <s v="Heritage"/>
    <s v="JUL"/>
    <x v="0"/>
    <n v="6"/>
    <n v="7"/>
    <s v=""/>
    <s v=""/>
    <s v=""/>
    <s v=""/>
    <n v="4956"/>
    <n v="4992"/>
    <s v=""/>
    <s v="10.3390/heritage6070264"/>
    <s v="http://dx.doi.org/10.3390/heritage6070264"/>
    <s v=""/>
    <s v=""/>
    <n v="37"/>
    <x v="29"/>
    <x v="2"/>
    <s v="Arts &amp; Humanities - Other Topics; Science &amp; Technology - Other Topics"/>
    <s v="N3NX0"/>
    <s v=""/>
    <s v="gold"/>
    <s v=""/>
    <s v=""/>
    <s v="2023-11-15"/>
    <s v="WOS:001036130900001"/>
    <s v="View Full Record in Web of Science"/>
    <n v="1"/>
  </r>
  <r>
    <x v="34"/>
    <s v="J"/>
    <x v="34"/>
    <s v=""/>
    <s v=""/>
    <s v=""/>
    <s v="Luo, Tian; Xie, Chenyang; Wu, Jiacheng; Zhu, Jiakang; Yu, Haiyang"/>
    <s v=""/>
    <s v=""/>
    <x v="34"/>
    <x v="31"/>
    <s v=""/>
    <s v=""/>
    <s v="English"/>
    <s v="Article"/>
    <s v=""/>
    <s v=""/>
    <s v=""/>
    <s v=""/>
    <s v=""/>
    <x v="33"/>
    <x v="29"/>
    <s v="A digital workflow to acquire actual position of the drill and assess bony preparation accuracy intraoperatively was described. Based on the widely used intraoral scanner, this digital workflow was a relatively practical and economical option for digital intraoperative measurement. As a result, it could help the clinician in accurate verification and immediate correction of the drill position and consequently facilitating the accurate implant placement in implant surgery."/>
    <s v="[Luo, Tian; Zhu, Jiakang; Yu, Haiyang] Sichuan Univ, West China Hosp Stomatol, Natl Clin Res Ctr Oral Dis, State Key Lab Oral Dis, Chengdu, Peoples R China; [Xie, Chenyang; Wu, Jiacheng] Sichuan Univ, West China Hosp Stomatol, Dept Dent Technol, Chengdu, Peoples R China"/>
    <s v="Sichuan University; Sichuan University"/>
    <s v="Yu, HY (corresponding author), Sichuan Univ, West China Hosp Stomatol, Natl Clin Res Ctr Oral Dis, State Key Lab Oral Dis, Chengdu, Peoples R China."/>
    <s v="YHYmechanics@163.com"/>
    <s v=""/>
    <s v=""/>
    <s v="Sichuan University Horizontal Research Foundation [21Z0019]"/>
    <s v="Sichuan University Horizontal Research Foundation"/>
    <s v="Funding statement This work was supported by the Sichuan University Horizontal Research Foundation [Grant Number: 21Z0019] ."/>
    <s v=""/>
    <n v="16"/>
    <n v="0"/>
    <n v="0"/>
    <n v="1"/>
    <n v="1"/>
    <s v="CELL PRESS"/>
    <s v="CAMBRIDGE"/>
    <s v="50 HAMPSHIRE ST, FLOOR 5, CAMBRIDGE, MA 02139 USA"/>
    <s v=""/>
    <s v="2405-8440"/>
    <s v=""/>
    <s v="HELIYON"/>
    <s v="Heliyon"/>
    <s v="JUL"/>
    <x v="0"/>
    <n v="9"/>
    <n v="7"/>
    <s v=""/>
    <s v=""/>
    <s v=""/>
    <s v=""/>
    <s v=""/>
    <s v=""/>
    <s v="e18004"/>
    <s v="10.1016/j.heliyon.2023.e18004"/>
    <s v="http://dx.doi.org/10.1016/j.heliyon.2023.e18004"/>
    <s v=""/>
    <s v=""/>
    <n v="8"/>
    <x v="22"/>
    <x v="0"/>
    <s v="Science &amp; Technology - Other Topics"/>
    <s v="P1KP6"/>
    <n v="37483804"/>
    <s v="gold, Green Published"/>
    <s v=""/>
    <s v=""/>
    <s v="2023-11-15"/>
    <s v="WOS:001048302300001"/>
    <s v="View Full Record in Web of Science"/>
    <n v="1"/>
  </r>
  <r>
    <x v="35"/>
    <s v="J"/>
    <x v="35"/>
    <s v=""/>
    <s v=""/>
    <s v=""/>
    <s v="Machline-Carrion, M. Julia; Girotto, Alysson Nathan; Nieri, Josue; Pereira, Pedro Marton; Monfardini, Frederico; Forestiero, Francisco; Raupp, Priscila; Roveda, Fabiana; Santo, Karla; Berwanger, Otavio; Santos, Raul D."/>
    <s v=""/>
    <s v=""/>
    <x v="35"/>
    <x v="32"/>
    <s v=""/>
    <s v=""/>
    <s v="English"/>
    <s v="Article"/>
    <s v=""/>
    <s v=""/>
    <s v=""/>
    <s v=""/>
    <s v=""/>
    <x v="34"/>
    <x v="30"/>
    <s v="Background The digitization of the primary care system provides an opportunity to evaluate the current use of statins in secondary prevention populations (myocardial infarction or stroke).Methods We conducted a cross-sectional study (ClinicalTrials.gov, NCT05285085), analysing anonymised data routinely collected by community health workers (CHW) in Brazil between May 2016 and September 2021 to assess the proportion of self-reported statins use and associated factors. Findings From the 2,133,900 individuals on the database, 35,103 (1.6%), mean age 66.2 years (SD14.6), 49.5% (17,382/35,103) male sex, 50.5% (17,721/35,103) female sex, and 29.6% (10,381/34,975) Caucasians, had a previous myocardial infarction (MI) (n = 11,628; 33.1%) or stroke (n = 25,925; 73.9%). Approximately 50% (17,020/35,103) were from the Northeast region, 78.7% (27,605) from urban zones, and 39.4% (13,845) with social development index (SDI) &gt;0.7. Overall, 6.7% (2346) and 0.6% (212) reported statins and high dose statins use, respectively. Age over 60 years old (OR 1.32 [95% CI 1.19-1.47), living in the Southern region (OR 4.53 [95% CI 3.66-5.60]), having a previous diagnosis of MI (OR 4.53 [95% CI 3.66-5.60]), heart failure (OR 2.29 [95% CI 1.13-1.47]), diabetes (OR 1.50 [95% CI 1.37-1.64]), dyslipidaemia (OR 2.90 [95% CI 2.55-3.29]), chronic kidney disease (OR 1.27 [95% CI 1.08-1.48]) and use of anti-hypertensives (OR 5.47 [95% CI 4.60-6.47]) were associated with statin use.Interpretation The analysis of a real-world database from a digitized primary care system, allowed us to identify a very low use of statins in secondary prevention Brazilian patients, mostly influenced by socio-demographic factors and co-morbidities."/>
    <s v="[Machline-Carrion, M. Julia; Girotto, Alysson Nathan; Pereira, Pedro Marton] EpHealth Primary Care Solut, Florianopolis, SC, Brazil; [Nieri, Josue; Monfardini, Frederico; Santo, Karla; Berwanger, Otavio; Santos, Raul D.] Hosp Israelita Albert Einstein HIAE, Acad Res Org ARO, Sao Paulo, SP, Brazil; [Forestiero, Francisco; Raupp, Priscila; Roveda, Fabiana] Novartis Pharmaceut Brazil, Sao Paulo, SP, Brazil; [Berwanger, Otavio] George Inst Global Hlth, London, England; [Berwanger, Otavio] Imperial Coll London, London, England; [Santos, Raul D.] Univ Sao Paulo, Lipid Clin Heart Inst InCor, Med Sch Hosp, Sao Paulo, SP, Brazil; [Machline-Carrion, M. Julia] EpHealth Primary Care Solut, 3339 Dr Antonio Luiz Moura Gonzaga Rd, Florianopolis, SC, Brazil"/>
    <s v="Hospital Israelita Albert Einstein; Imperial College London; Universidade de Sao Paulo"/>
    <s v="Machline-Carrion, MJ (corresponding author), EpHealth Primary Care Solut, 3339 Dr Antonio Luiz Moura Gonzaga Rd, Florianopolis, SC, Brazil."/>
    <s v="julia@ephealth.com.br"/>
    <s v=""/>
    <s v="Monfardini, Frederico/0000-0002-9590-5448"/>
    <s v="Novartis Biociencias, Brazil"/>
    <s v="Novartis Biociencias, Brazil"/>
    <s v="Novartis Biociencias, Brazil"/>
    <s v=""/>
    <n v="42"/>
    <n v="0"/>
    <n v="0"/>
    <n v="0"/>
    <n v="0"/>
    <s v="ELSEVIER"/>
    <s v="AMSTERDAM"/>
    <s v="RADARWEG 29, 1043 NX AMSTERDAM, NETHERLANDS"/>
    <s v="2667-193X"/>
    <s v=""/>
    <s v=""/>
    <s v="LANCET REG HEALTH-AM"/>
    <s v="Lancet Regional Health-Americas"/>
    <s v="JUL"/>
    <x v="0"/>
    <n v="23"/>
    <s v=""/>
    <s v=""/>
    <s v=""/>
    <s v=""/>
    <s v=""/>
    <s v=""/>
    <s v=""/>
    <n v="100534"/>
    <s v="10.1016/j.lana.2023.100534"/>
    <s v="http://dx.doi.org/10.1016/j.lana.2023.100534"/>
    <s v=""/>
    <s v=""/>
    <n v="10"/>
    <x v="12"/>
    <x v="2"/>
    <s v="Health Care Sciences &amp; Services; Public, Environmental &amp; Occupational Health"/>
    <s v="R1AM1"/>
    <n v="37497398"/>
    <s v="Green Published, gold"/>
    <s v=""/>
    <s v=""/>
    <s v="2023-11-15"/>
    <s v="WOS:001061736100001"/>
    <s v="View Full Record in Web of Science"/>
    <m/>
  </r>
  <r>
    <x v="36"/>
    <s v="J"/>
    <x v="36"/>
    <s v=""/>
    <s v=""/>
    <s v=""/>
    <s v="McCarthy, Siobhan E.; Hogan, Catherine; Jenkins, Loretta; Schwanberg, Lorraine; Williams, David J.; Mellon, Lisa; Walsh, Aisling; Keane, Theresa; Rafter, Natasha"/>
    <s v=""/>
    <s v=""/>
    <x v="36"/>
    <x v="33"/>
    <s v=""/>
    <s v=""/>
    <s v="English"/>
    <s v="Article"/>
    <s v=""/>
    <s v=""/>
    <s v=""/>
    <s v=""/>
    <s v=""/>
    <x v="35"/>
    <x v="31"/>
    <s v="Innovation in the education and training of healthcare staff is required to support complementary approaches to learning from patient safety and everyday events in healthcare. Debriefing is a commonly used learning tool in healthcare education but not in clinical practice. Little is known about how to implement debriefing as an approach to safety learning across a health system. After action review (AAR) is a debriefing approach designed to help groups come to a shared mental model about what happened, why it happened and to identify learning and improvement. This paper describes a digital-based implementation strategy adapted to the Irish healthcare system to promote AAR uptake. The digital strategy aims to assist implementation of national level incident management policies and was collaboratively developed by the RCSI University of Medicine and Health Sciences and the National Quality and Patient Safety Directorate of the Health Service Executive. During the COVID-19 pandemic, a well-established in-person AAR training programme was disrupted and this led to the development of a series of open access videos on AAR facilitation skills (which accompany the online version of this paper). These provide: (1) an introduction to the AAR facilitation process; (2) a simulation of a facilitated formal AAR; (3) techniques for handling challenging situations that may arise in an AAR and a (4) reflection on the benefits of the AAR process. These have the potential to be used widely to support learning from patient safety and everyday events including excellent care."/>
    <s v="[McCarthy, Siobhan E.; Keane, Theresa] RCSI Univ Med &amp; Hlth Sci, Grad Sch Healthcare Management, Dublin, Ireland; [Hogan, Catherine; Jenkins, Loretta; Schwanberg, Lorraine] Natl Qual &amp; Patient Safety Directorate, Hlth Serv Execut, Off Chief Clin Officer, Dublin, Ireland; [Williams, David J.] RCSI Univ Med &amp; Hlth Sci, Dept Geriatr &amp; Stroke Med, Dublin, Ireland; [Mellon, Lisa] RCSI Univ Med &amp; Hlth Sci, Sch Populat Hlth, Dept Hlth Psychol, Dublin, Ireland; [Walsh, Aisling; Rafter, Natasha] RCSI Univ Med &amp; Hlth Sci, Sch Populat Hlth, Dept Publ Hlth &amp; Epidemiol, Dublin, Ireland"/>
    <s v=""/>
    <s v="McCarthy, SE (corresponding author), RCSI Univ Med &amp; Hlth Sci, Grad Sch Healthcare Management, Dublin, Ireland."/>
    <s v="smccarthy@rcsi.ie"/>
    <s v=""/>
    <s v="Walsh, Aisling/0000-0002-5312-5101"/>
    <s v=""/>
    <s v=""/>
    <s v=""/>
    <s v=""/>
    <n v="20"/>
    <n v="0"/>
    <n v="0"/>
    <n v="0"/>
    <n v="0"/>
    <s v="BMJ PUBLISHING GROUP"/>
    <s v="LONDON"/>
    <s v="BRITISH MED ASSOC HOUSE, TAVISTOCK SQUARE, LONDON WC1H 9JR, ENGLAND"/>
    <s v=""/>
    <s v="2399-6641"/>
    <s v=""/>
    <s v="BMJ OPEN QUAL"/>
    <s v="BMJ Open Qual."/>
    <s v="JUL"/>
    <x v="0"/>
    <n v="12"/>
    <n v="3"/>
    <s v=""/>
    <s v=""/>
    <s v=""/>
    <s v=""/>
    <s v=""/>
    <s v=""/>
    <s v="e002270"/>
    <s v="10.1136/bmjoq-2023-002270"/>
    <s v="http://dx.doi.org/10.1136/bmjoq-2023-002270"/>
    <s v=""/>
    <s v=""/>
    <n v="5"/>
    <x v="30"/>
    <x v="2"/>
    <s v="Health Care Sciences &amp; Services; General &amp; Internal Medicine"/>
    <s v="O6TQ4"/>
    <n v="37553274"/>
    <s v="gold, Green Published"/>
    <s v=""/>
    <s v=""/>
    <s v="2023-11-15"/>
    <s v="WOS:001045112600001"/>
    <s v="View Full Record in Web of Science"/>
    <m/>
  </r>
  <r>
    <x v="37"/>
    <s v="J"/>
    <x v="37"/>
    <s v=""/>
    <s v=""/>
    <s v=""/>
    <s v="Moran, Aida Margarita Izquierdo; Gomez, Lyzbeth Kruscthalia alvarez; Villanueva, Lisenia Karina Baque; Hernandez, Sary del Rocio alvarez"/>
    <s v=""/>
    <s v=""/>
    <x v="37"/>
    <x v="34"/>
    <s v=""/>
    <s v=""/>
    <s v="Spanish"/>
    <s v="Article"/>
    <s v=""/>
    <s v=""/>
    <s v=""/>
    <s v=""/>
    <s v=""/>
    <x v="36"/>
    <x v="1"/>
    <s v="After overcoming the COVID-19 pandemic, the business market experienced significant expansion, which spurred the development of new business ventures in a variety of industries, including corporate, industrial, and textile, among others. Many companies have been affected by the global economic downturn, requiring the implementation of new strategies to drive sales and improve product marketing. In order to develop digital marketing strategies for the company, a descriptive qualitative and quantitative methodology was used, with the application of analytical, synthetic, inductive and deductive methods, as well as the particular method of administrative sciences. Survey techniques were used to obtain relevant information on the object of study. The results obtained through the application of the SWOT matrix allowed the establishment of clear objectives, the development of the appropriate commercial direction, the creation of the digital strategy and the improvement of the structure of processes and procedures through the execution of the necessary internal organizational actions, to increase the competitiveness of the ferret company Allan del Canton Quevedo."/>
    <s v="[Moran, Aida Margarita Izquierdo; Gomez, Lyzbeth Kruscthalia alvarez; Villanueva, Lisenia Karina Baque] Univ Reg Autonoma Los Andes Quevedo, Quevedo, Ecuador; [Hernandez, Sary del Rocio alvarez] Univ Reg Autonoma Los Andes Ibarra, Ibarra, Ecuador"/>
    <s v=""/>
    <s v="Morán, AMI (corresponding author), Univ Reg Autonoma Los Andes Quevedo, Quevedo, Ecuador."/>
    <s v="uq.aidaizquierdo@uniandes.edu.ec; uq.lyzbethalvarez@uniandes.edu.ec; uq.liseniabaque@uniandes.edu.ec; ui.saryalvarez@uniandes.edu.ec"/>
    <s v=""/>
    <s v=""/>
    <s v=""/>
    <s v=""/>
    <s v=""/>
    <s v=""/>
    <n v="18"/>
    <n v="0"/>
    <n v="0"/>
    <n v="0"/>
    <n v="0"/>
    <s v="UNIV CIENFUEGOS"/>
    <s v="CIENFUEGOS"/>
    <s v="CARRETERA RODAS KM 4, CUATRO CAMINOS, CIENFUEGOS, 00000, CUBA"/>
    <s v="2218-3620"/>
    <s v=""/>
    <s v=""/>
    <s v="REV UNIV SOC"/>
    <s v="Rev. Univ. Soc."/>
    <s v="JUL-AUG"/>
    <x v="0"/>
    <n v="15"/>
    <n v="4"/>
    <s v=""/>
    <s v=""/>
    <s v=""/>
    <s v=""/>
    <n v="76"/>
    <n v="84"/>
    <s v=""/>
    <s v=""/>
    <s v=""/>
    <s v=""/>
    <s v=""/>
    <n v="9"/>
    <x v="31"/>
    <x v="2"/>
    <s v="Social Sciences - Other Topics"/>
    <s v="W1AA1"/>
    <s v=""/>
    <s v=""/>
    <s v=""/>
    <s v=""/>
    <s v="2023-11-15"/>
    <s v="WOS:001089011500007"/>
    <s v="View Full Record in Web of Science"/>
    <m/>
  </r>
  <r>
    <x v="38"/>
    <s v="J"/>
    <x v="38"/>
    <s v=""/>
    <s v=""/>
    <s v=""/>
    <s v="Mosch, Philipp; Majocco, Philipp; Obermaier, Robert"/>
    <s v=""/>
    <s v=""/>
    <x v="38"/>
    <x v="5"/>
    <s v=""/>
    <s v=""/>
    <s v="English"/>
    <s v="Article"/>
    <s v=""/>
    <s v=""/>
    <s v=""/>
    <s v=""/>
    <s v=""/>
    <x v="37"/>
    <x v="32"/>
    <s v="Previous platform research has drawn attention primarily to digital consumer platforms, ignoring the specificities of industrial settings. Hence, existing research findings fall short regarding Industrial Internet-of-Things Plat-forms (IIoTP), which leads to an incomplete understanding of digital platforms. Particularly, IIoTPs from Internet technology firms (Hyperscalers) and incumbent industrial firms (Integrated IIoTPs) deserve special interest due to their coopetitive relationships. Addressing this research need, the study applies explorative multiple case study research to five of these IIoTPs, by analyzing 22 interviews, to describe this phenomenon in-depth in its contextual conditions. As a result, the authors empirically derive, based on existing frameworks and classifica-tions, (1) which strategic measures are needed for a successful evolvement, and (2) which dynamic strategic trajectories occur. We report several findings. First, this study contributes to the literature by showing that existing theories of digital platforms are fertile ground for further and more nuanced empirical research. Second, through the linkage of five strategic measures to the dominant value creation logics, the authors provide important contextualization on different vertical platform layers. Third, the study offers IIoTP managers insights by identifying dynamic strategic trajectories that reveal Hyperscalers are in the best position to profit from innovation, thereby reversing the common notion that downstream positioning is a prerequisite for success."/>
    <s v="[Mosch, Philipp; Majocco, Philipp; Obermaier, Robert] Univ Passau, Chair Business Econ Accounting &amp; Control, Passau, Germany; [Mosch, Philipp] Innstr 27, D-94032 Passau, Germany"/>
    <s v="University of Passau"/>
    <s v="Mosch, P (corresponding author), Innstr 27, D-94032 Passau, Germany."/>
    <s v="philipp.mosch@uni-passau.de; philipp.majocco@uni-passau.de; robert.obermaier@uni-passau.de"/>
    <s v=""/>
    <s v=""/>
    <s v=""/>
    <s v=""/>
    <s v=""/>
    <s v=""/>
    <n v="80"/>
    <n v="1"/>
    <n v="1"/>
    <n v="17"/>
    <n v="17"/>
    <s v="ELSEVIER"/>
    <s v="AMSTERDAM"/>
    <s v="RADARWEG 29, 1043 NX AMSTERDAM, NETHERLANDS"/>
    <s v="0925-5273"/>
    <s v="1873-7579"/>
    <s v=""/>
    <s v="INT J PROD ECON"/>
    <s v="Int. J. Prod. Econ."/>
    <s v="SEP"/>
    <x v="0"/>
    <n v="263"/>
    <s v=""/>
    <s v=""/>
    <s v=""/>
    <s v=""/>
    <s v=""/>
    <s v=""/>
    <s v=""/>
    <n v="108937"/>
    <s v="10.1016/j.ijpe.2023.108937"/>
    <s v="http://dx.doi.org/10.1016/j.ijpe.2023.108937"/>
    <s v=""/>
    <s v="JUL 2023"/>
    <n v="14"/>
    <x v="5"/>
    <x v="0"/>
    <s v="Engineering; Operations Research &amp; Management Science"/>
    <s v="M7GK6"/>
    <s v=""/>
    <s v=""/>
    <s v=""/>
    <s v=""/>
    <s v="2023-11-15"/>
    <s v="WOS:001031861600001"/>
    <s v="View Full Record in Web of Science"/>
    <m/>
  </r>
  <r>
    <x v="39"/>
    <s v="J"/>
    <x v="39"/>
    <s v=""/>
    <s v=""/>
    <s v=""/>
    <s v="Nazarko, Artem; Fedotov, Oleksii"/>
    <s v=""/>
    <s v=""/>
    <x v="39"/>
    <x v="35"/>
    <s v=""/>
    <s v=""/>
    <s v="English"/>
    <s v="Article"/>
    <s v=""/>
    <s v=""/>
    <s v=""/>
    <s v=""/>
    <s v=""/>
    <x v="38"/>
    <x v="1"/>
    <s v="The article analyses the specifics of implementing the processes of digital development, digital transformation, and digitalization of the State Customs Service of Ukraine. The article scrutinizes the legal norms regulating the digital transformation of the State Customs Service of Ukraine to ensure qualitatively new, convenient, and accelerated processes of customs affairs in Ukraine. The article analyses the trend formulated at the normative level regarding the fulfilment by Ukraine of the international legal obligations of the State Customs Service of Ukraine. The article emphasizes that the implementation of relevant measures should be carried out with the help of timely corrections of national legislation. The article focuses on the fact that the world trends of digitalization set new tasks to ensure the functioning of modern, accessible, managed, and cyber-secure electronic information systems that work under the fundamental principles of customs affairs effectiveness. The article outlines the directions of further implementation of the processes of digital development, digital transformation, and digitalization of the State Customs Service of Ukraine in accordance with European and international requirements in the context of the digital strategy of the development of society. The authors conclude that a new cyber-physical system began to form due to innovations in Ukraine. All elements and participants continuously interact with each other, ensuring the constant optimization of the integrated digital system."/>
    <s v="[Nazarko, Artem] London South Bank Univ, London, England; [Nazarko, Artem] Natl Univ Odesa, Law Acad, Odesa, Ukraine; [Fedotov, Oleksii] Natl Univ Odesa, Law Acad, Customs Law, Odesa, Ukraine"/>
    <s v="London South Bank University; Ministry of Education &amp; Science of Ukraine; National University Odesa Law Academy; Ministry of Education &amp; Science of Ukraine; National University Odesa Law Academy"/>
    <s v="Nazarko, A (corresponding author), London South Bank Univ, London, England.;Nazarko, A (corresponding author), Natl Univ Odesa, Law Acad, Odesa, Ukraine."/>
    <s v="nazzarkoartem@gmail.com; fedotov_ap@ukr.net"/>
    <s v=""/>
    <s v=""/>
    <s v=""/>
    <s v=""/>
    <s v=""/>
    <s v=""/>
    <n v="32"/>
    <n v="0"/>
    <n v="0"/>
    <n v="2"/>
    <n v="2"/>
    <s v="KLUWER LAW INT"/>
    <s v="ALPHEN AAN DEN RIJN"/>
    <s v="ZUIDPOOLSINGEL 2, PO BOX 316, 2400 AH ALPHEN AAN DEN RIJN, NETHERLANDS"/>
    <s v="1569-755X"/>
    <s v="1875-6468"/>
    <s v=""/>
    <s v="GLOB TRADE CUST J"/>
    <s v="Glob. Trade Cust. J."/>
    <s v="JUL"/>
    <x v="0"/>
    <n v="18"/>
    <s v="7-8"/>
    <s v=""/>
    <s v=""/>
    <s v=""/>
    <s v=""/>
    <n v="253"/>
    <n v="260"/>
    <s v=""/>
    <s v=""/>
    <s v=""/>
    <s v=""/>
    <s v=""/>
    <n v="8"/>
    <x v="32"/>
    <x v="2"/>
    <s v="International Relations"/>
    <s v="L0WP4"/>
    <s v=""/>
    <s v=""/>
    <s v=""/>
    <s v=""/>
    <s v="2023-11-15"/>
    <s v="WOS:001020547500001"/>
    <s v="View Full Record in Web of Science"/>
    <m/>
  </r>
  <r>
    <x v="40"/>
    <s v="J"/>
    <x v="40"/>
    <s v=""/>
    <s v=""/>
    <s v=""/>
    <s v="Bonfanti, Angelo; Vigolo, Vania; Vannucci, Virginia; Brunetti, Federico"/>
    <s v=""/>
    <s v=""/>
    <x v="40"/>
    <x v="36"/>
    <s v=""/>
    <s v=""/>
    <s v="English"/>
    <s v="Article"/>
    <s v=""/>
    <s v=""/>
    <s v=""/>
    <s v=""/>
    <s v=""/>
    <x v="39"/>
    <x v="33"/>
    <s v="PurposeThis study focuses on memorable customer shopping experience design in the sporting goods retail setting. It aims to identify the phygital customers' needs and expectations that are satisfied through in-store technologies and to detect the in-store strategies that use these technologies to make the store attractive and experiential.Design/methodology/approachThis exploratory study adopted a qualitative research methodology, specifically a multiple-case study, by performing semi-structured interviews with sporting goods store managers.FindingsSporting goods retailers use various in-store technologies to create a phygital customer shopping experience, including devices, mobile apps, wireless communication technologies, in-store activations, support devices, intelligent stations, and sensors. To improve the phygital customer journey and the phygital shopping experience, retailers meet customers' needs for utilitarian, hedonic, social, and playfulness experiences. Purely physical or digital strategies, as well as phygital strategies, are identified. This research also proposes a model of in-store phygital customer shopping experience design for sporting goods retailers.Practical implicationsSporting goods managers can invest in multiple technologies by designing a physical environment according to the customers' needs for utilitarian, hedonic, social, and playful experiences. In addition, they can improve the phygital customer shopping experience with specific push strategies that increase customer engagement and, in turn, brand and store loyalty.Originality/valueThis study highlights how the phygital customer experiential journey can be created through new technologies and improved with specific reference to the sporting goods stores."/>
    <s v="[Bonfanti, Angelo; Vigolo, Vania; Brunetti, Federico] Univ Verona, Dept Management, Verona, Italy; [Vannucci, Virginia] Univ Bologna, Dipartimento Sci Aziendali, Bologna, Italy"/>
    <s v="University of Verona; University of Bologna"/>
    <s v="Bonfanti, A (corresponding author), Univ Verona, Dept Management, Verona, Italy."/>
    <s v="angelo.bonfanti@univr.it; vania.vigolo@univr.it; v.vannucci@unibo.it; federico.brunetti@univr.it"/>
    <s v="Rau, Lea/IXW-9119-2023"/>
    <s v="BONFANTI, Angelo/0000-0002-3332-9780"/>
    <s v=""/>
    <s v=""/>
    <s v=""/>
    <s v=""/>
    <n v="51"/>
    <n v="0"/>
    <n v="0"/>
    <n v="17"/>
    <n v="17"/>
    <s v="EMERALD GROUP PUBLISHING LTD"/>
    <s v="BINGLEY"/>
    <s v="HOWARD HOUSE, WAGON LANE, BINGLEY BD16 1WA, W YORKSHIRE, ENGLAND"/>
    <s v="0959-0552"/>
    <s v="1758-6690"/>
    <s v=""/>
    <s v="INT J RETAIL DISTRIB"/>
    <s v="Int. J. Retail Distrib. Manag."/>
    <s v="JUN 30"/>
    <x v="0"/>
    <n v="51"/>
    <n v="13"/>
    <s v=""/>
    <s v=""/>
    <s v=""/>
    <s v=""/>
    <n v="81"/>
    <n v="100"/>
    <s v=""/>
    <s v="10.1108/IJRDM-12-2021-0588"/>
    <s v="http://dx.doi.org/10.1108/IJRDM-12-2021-0588"/>
    <s v=""/>
    <s v=""/>
    <n v="20"/>
    <x v="6"/>
    <x v="1"/>
    <s v="Business &amp; Economics"/>
    <s v="K9WK6"/>
    <s v=""/>
    <s v="hybrid"/>
    <s v=""/>
    <s v=""/>
    <s v="2023-11-15"/>
    <s v="WOS:001019862400001"/>
    <s v="View Full Record in Web of Science"/>
    <m/>
  </r>
  <r>
    <x v="41"/>
    <s v="J"/>
    <x v="41"/>
    <s v=""/>
    <s v=""/>
    <s v=""/>
    <s v="Soloaga, Paloma Diaz; Dominguez, Gemma Munoz; Zhou, Jing"/>
    <s v=""/>
    <s v=""/>
    <x v="41"/>
    <x v="37"/>
    <s v=""/>
    <s v=""/>
    <s v="English"/>
    <s v="Article"/>
    <s v=""/>
    <s v=""/>
    <s v=""/>
    <s v=""/>
    <s v=""/>
    <x v="40"/>
    <x v="34"/>
    <s v="On this research, we analyze how fashion houses transmit the spirit of the brands, convey the values that constitute their identity and show their heritage through fashion films. High end luxury brands with a long heritage such as Dior and Chanel, use audiovisual narratives fashion films, a form of visual and artistic communication, where the content establishes an emotional relationship between brand and customers and recreates the origins of the brand. Authors primarily selected, classified, and analyzed all fashion films that Chanel and Dior had published on YouTube, and then study a series of representative samples selected from all those contents created by fashion brands. Based on the number of views, likes and comments of each video, it is possible to see the interaction between the brand and the audience and the engagement among the different fashion films. It also delves into the key of the brand to unearth the inheritance and tradition of its origin, trying to record the history of Maison to reach a wider audience and convey a series of values to new digital consumers. The combination of heritage and vitality through digital activities is oriented to deliver values that have a significant impact on the audience."/>
    <s v="[Soloaga, Paloma Diaz; Dominguez, Gemma Munoz; Zhou, Jing] Univ Complutense Madrid, Madrid, Spain"/>
    <s v="Complutense University of Madrid"/>
    <s v="Soloaga, PD (corresponding author), Univ Complutense Madrid, Madrid, Spain."/>
    <s v="pdiaz@ucm.es"/>
    <s v=""/>
    <s v="ZHOU, JING/0009-0000-4307-5924; Munoz Dominguez, Gemma/0000-0003-0854-5534; Diaz Soloaga, Paloma/0000-0003-1798-1768"/>
    <s v=""/>
    <s v=""/>
    <s v=""/>
    <s v=""/>
    <n v="31"/>
    <n v="0"/>
    <n v="0"/>
    <n v="4"/>
    <n v="4"/>
    <s v="TAYLOR &amp; FRANCIS LTD"/>
    <s v="ABINGDON"/>
    <s v="2-4 PARK SQUARE, MILTON PARK, ABINGDON OR14 4RN, OXON, ENGLAND"/>
    <s v="2093-2685"/>
    <s v="2325-4483"/>
    <s v=""/>
    <s v="J GLOB FASH MARK"/>
    <s v="J. Glob. Fash. Mark."/>
    <s v="OCT 2"/>
    <x v="0"/>
    <n v="14"/>
    <n v="4"/>
    <s v=""/>
    <s v=""/>
    <s v="SI"/>
    <s v=""/>
    <n v="429"/>
    <n v="448"/>
    <s v=""/>
    <s v="10.1080/20932685.2023.2214164"/>
    <s v="http://dx.doi.org/10.1080/20932685.2023.2214164"/>
    <s v=""/>
    <s v="JUN 2023"/>
    <n v="20"/>
    <x v="33"/>
    <x v="2"/>
    <s v="Business &amp; Economics"/>
    <s v="R8TW2"/>
    <s v=""/>
    <s v=""/>
    <s v=""/>
    <s v=""/>
    <s v="2023-11-15"/>
    <s v="WOS:001016606200001"/>
    <s v="View Full Record in Web of Science"/>
    <m/>
  </r>
  <r>
    <x v="42"/>
    <s v="J"/>
    <x v="42"/>
    <s v=""/>
    <s v=""/>
    <s v=""/>
    <s v="Dittrich, Florian; Albrecht, Urs-Vito"/>
    <s v=""/>
    <s v=""/>
    <x v="42"/>
    <x v="38"/>
    <s v=""/>
    <s v=""/>
    <s v="German"/>
    <s v="Article; Early Access"/>
    <s v=""/>
    <s v=""/>
    <s v=""/>
    <s v=""/>
    <s v=""/>
    <x v="41"/>
    <x v="1"/>
    <s v="Smartphones and health apps are an integral part of everyday life. They are increasingly being used for medical purposes. However, there is no fundamental basis or consensus on the evidence on which decisions are made towards a unified digital strategy. Consequently, the understanding of the quality of health apps is only inconsistent and fuzzily defined. The 9 quality criteria presented by the Association of Medical Societies (AWMF)-transparency, appropriateness, risk appropriateness, ethical harmlessness, legal conformity, content validity, technical appropriateness, usability, resource efficiency-serve as a guide for individual and institutionalized quality assessment. The principles are based on a comprehensive compilation of existing (inter-) national standards and evaluation benchmarks. Analogously to usual medical practice, it is also obligatory to conduct one's own research for a suitable app and to weigh up the risks and benefits when using an app."/>
    <s v="[Dittrich, Florian] Gelenkzentrum Berg Land, Remscheid, Germany; [Dittrich, Florian] Univ Saarland, Klin Orthopadie &amp; Orthopad Chirurg, Homburg, Germany; [Dittrich, Florian; Albrecht, Urs-Vito] Univ Bielefeld, Med Fak OWL, AG 4 Digitale Med, Bielefeld, Germany"/>
    <s v="Saarland University; University of Bielefeld"/>
    <s v="Dittrich, F (corresponding author), Univ Bielefeld, Med Fak OWL, AG 4 Digitale Med, Bielefeld, Germany."/>
    <s v="dittrich@gelenkzentrum-bergischland.de"/>
    <s v=""/>
    <s v=""/>
    <s v=""/>
    <s v=""/>
    <s v=""/>
    <s v=""/>
    <n v="25"/>
    <n v="0"/>
    <n v="0"/>
    <n v="0"/>
    <n v="0"/>
    <s v="SPRINGER"/>
    <s v="NEW YORK"/>
    <s v="ONE NEW YORK PLAZA, SUITE 4600, NEW YORK, NY, UNITED STATES"/>
    <s v="2731-7145"/>
    <s v="2731-7153"/>
    <s v=""/>
    <s v="ORTHOPADIE"/>
    <s v="Orthopadie"/>
    <s v="2023 JUN 22"/>
    <x v="0"/>
    <s v=""/>
    <s v=""/>
    <s v=""/>
    <s v=""/>
    <s v=""/>
    <s v=""/>
    <s v=""/>
    <s v=""/>
    <s v=""/>
    <s v="10.1007/s00132-023-04395-1"/>
    <s v="http://dx.doi.org/10.1007/s00132-023-04395-1"/>
    <s v=""/>
    <s v="JUN 2023"/>
    <n v="8"/>
    <x v="34"/>
    <x v="0"/>
    <s v="Orthopedics"/>
    <s v="K9BK3"/>
    <n v="37347272"/>
    <s v=""/>
    <s v=""/>
    <s v=""/>
    <s v="2023-11-15"/>
    <s v="WOS:001019315200001"/>
    <s v="View Full Record in Web of Science"/>
    <m/>
  </r>
  <r>
    <x v="43"/>
    <s v="J"/>
    <x v="43"/>
    <s v=""/>
    <s v=""/>
    <s v=""/>
    <s v="Kiernan, Aoife; Boland, Fiona; Moneley, Daragh; Doyle, Frank; Harkin, Denis W."/>
    <s v=""/>
    <s v=""/>
    <x v="43"/>
    <x v="3"/>
    <s v=""/>
    <s v=""/>
    <s v="English"/>
    <s v="Article"/>
    <s v=""/>
    <s v=""/>
    <s v=""/>
    <s v=""/>
    <s v=""/>
    <x v="42"/>
    <x v="35"/>
    <s v="Introduction Doctors have a legal requirement and duty of care to ensure patients are enabled to make an informed decision about their treatment, including discussion of the benefits, risks and alternatives to a procedure. A patient-centred approach to consent has been firmly established in Ireland, and fundamental to this is the ability to engage in a dialogue that offers comprehensible information to patients. Telemedicine has revolutionised the way we can deliver care to patients in the modern era of computers, tablets, and smartphones, and its use has been rapidly expanded. Novel digital strategies to improve the informed consent process for surgical procedures have been increasingly under investigation over the last 10-15 years and may offer a low cost, accessible and tailored solution to consent for surgical interventions. Within vascular surgery, superficial venous interventions have been associated with a high number medicolegal claims and also represents an area within the specialty with rapidly evolving technology and techniques. The ability to communicate comprehensible information to patients has never been greater. Thus, the author's aim is to explore whether it is feasible and acceptable to deliver a digital health education intervention to patients undergoing endovenous thermal ablation (EVTA) to supplement the consent process. Methods This is a prospective, single centre, randomised controlled, feasibility trial recruiting patients with chronic venous disease deemed suitable to undergo EVTA. Patients will be randomised to receive either standard consent (SC) or a newly developed digital health education tool (dHET). The primary outcome is feasibility; assessing the recruitment and retention rate of participants and assessing acceptability of the intervention. Secondary outcomes include knowledge retention, anxiety and satisfaction. This feasibility trial is designed to recruit 40 patients, which will allow for a moderate dropout rate. This pilot study will inform the authors of the appropriateness of an adequately powered multicentre trial. Discussion To examine the role of a digital consent solution for EVTA. This may improve and standardise the consent dialogue with patients and may have the potential to reduce claims related to poor consent processes and disclosure of risks. Ethical committee reference Ethical approval has been sought and received from both the Bon Secours Hospital and RCSI (202109017), on 14 May 2021 and 10 October 2021, respectively. Trial registration ClinicalTrials.gov Identifier: NCT05261412, registered on 1 March 2022"/>
    <s v="[Kiernan, Aoife; Harkin, Denis W.] Royal Coll Surg, Strateg Acad Res StAR Programme, Dublin, Ireland; [Kiernan, Aoife; Moneley, Daragh; Harkin, Denis W.] Bon Secours Hlth Syst, Dept Vasc Surg, Dublin, Ireland; [Boland, Fiona] RCSI Univ Med &amp; Hlth Sci, Data Sci Ctr, Sch Populat Hlth, Dublin, Ireland; [Moneley, Daragh] Beaumont Hosp, Dept Vasc Surg, Dublin, Ireland; [Doyle, Frank] RCSI Univ Med &amp; Hlth Sci, Sch Populat Hlth, Dept Hlth Psychol, Dublin, Ireland; [Harkin, Denis W.] RCSI Univ Med &amp; Hlth Sci, Dept Med Professionalism, Dublin, Ireland"/>
    <s v="Royal College of Surgeons - Ireland"/>
    <s v="Kiernan, A (corresponding author), Royal Coll Surg, Strateg Acad Res StAR Programme, Dublin, Ireland.;Kiernan, A (corresponding author), Bon Secours Hlth Syst, Dept Vasc Surg, Dublin, Ireland."/>
    <s v="aoifekiernan.ak@gmail.com"/>
    <s v=""/>
    <s v="Harkin, Denis/0000-0002-4701-8350"/>
    <s v="Bon Secours Health System (Ireland) [DC21139A01]"/>
    <s v="Bon Secours Health System (Ireland)"/>
    <s v="EIDOTM healthcare will be providing the consent suite free of charge (co-designed with AK, primary investigator), for the duration of the trial. EIDO have no involvement in the design or running of this feasibility study.The Royal College of Surgeons in Ireland, Strategic Academic Research (StAR) programme together with the Bon Secours Health System (Ireland) are sponsoring this study through a research grant DC21139A01"/>
    <s v=""/>
    <n v="47"/>
    <n v="0"/>
    <n v="0"/>
    <n v="0"/>
    <n v="0"/>
    <s v="BMC"/>
    <s v="LONDON"/>
    <s v="CAMPUS, 4 CRINAN ST, LONDON N1 9XW, ENGLAND"/>
    <s v=""/>
    <s v="2055-5784"/>
    <s v=""/>
    <s v="PILOT FEASIBILITY ST"/>
    <s v="Pilot Feasibility Stud."/>
    <s v="JUN 22"/>
    <x v="0"/>
    <n v="9"/>
    <n v="1"/>
    <s v=""/>
    <s v=""/>
    <s v=""/>
    <s v=""/>
    <s v=""/>
    <s v=""/>
    <n v="104"/>
    <s v="10.1186/s40814-023-01336-9"/>
    <s v="http://dx.doi.org/10.1186/s40814-023-01336-9"/>
    <s v=""/>
    <s v=""/>
    <n v="10"/>
    <x v="3"/>
    <x v="2"/>
    <s v="Research &amp; Experimental Medicine"/>
    <s v="K7UU7"/>
    <n v="37349825"/>
    <s v="gold, Green Published"/>
    <s v=""/>
    <s v=""/>
    <s v="2023-11-15"/>
    <s v="WOS:001018461900002"/>
    <s v="View Full Record in Web of Science"/>
    <m/>
  </r>
  <r>
    <x v="44"/>
    <s v="J"/>
    <x v="44"/>
    <s v=""/>
    <s v=""/>
    <s v=""/>
    <s v="Gaynor, SoRelle W.; Gimpel, James G."/>
    <s v=""/>
    <s v=""/>
    <x v="44"/>
    <x v="39"/>
    <s v=""/>
    <s v=""/>
    <s v="English"/>
    <s v="Article"/>
    <s v=""/>
    <s v=""/>
    <s v=""/>
    <s v=""/>
    <s v=""/>
    <x v="43"/>
    <x v="36"/>
    <s v="Not all aspects of a campaign are issue-oriented, nor are many voters. A candidate builds mass support largely by appearing warm, friendly, and likable, not only by propagating their viewpoints on controversial issues. Based on a prominent candidate's Twitter accounts and the associated analytics, our research analyzes the online content and reaction to every post across a four-year period, both before and after a major general election. Twitter's analytic measures demonstrate how a campaign uses social media to accomplish very different outreach goals. Warm and non-politically oriented messages attract broad support in the form of audience likes but are not retweeted with as much frequency as messages that are less liked but more politically pointed. The undeniable popularity of personal, earnest messages underscores the power of the social media platform to present candidates in an approachable and convivial way, despite the necessity of taking positions on difficult issues."/>
    <s v="[Gaynor, SoRelle W.] Coll Holy Cross, Dept Polit Sci, Worcester, MA USA; [Gimpel, James G.] Univ Maryland, Dept Govt &amp; Polit, College Pk, MD USA; [Gimpel, James G.] Univ Maryland, Dept Govt &amp; Polit, 3140 Tydings Hall, College Pk, MD 20742 USA"/>
    <s v="College of the Holy Cross; University System of Maryland; University of Maryland College Park; University System of Maryland; University of Maryland College Park"/>
    <s v="Gimpel, JG (corresponding author), Univ Maryland, Dept Govt &amp; Polit, 3140 Tydings Hall, College Pk, MD 20742 USA."/>
    <s v="jgimpel@gvpt.umd.edu"/>
    <s v=""/>
    <s v=""/>
    <s v=""/>
    <s v=""/>
    <s v=""/>
    <s v=""/>
    <n v="88"/>
    <n v="0"/>
    <n v="0"/>
    <n v="6"/>
    <n v="6"/>
    <s v="SAGE PUBLICATIONS INC"/>
    <s v="THOUSAND OAKS"/>
    <s v="2455 TELLER RD, THOUSAND OAKS, CA 91320 USA"/>
    <s v="1532-673X"/>
    <s v="1552-3373"/>
    <s v=""/>
    <s v="AM POLIT RES"/>
    <s v="Am. Polit. Res."/>
    <s v="SEP"/>
    <x v="0"/>
    <n v="51"/>
    <n v="5"/>
    <s v=""/>
    <s v=""/>
    <s v=""/>
    <s v=""/>
    <n v="570"/>
    <n v="587"/>
    <s v=""/>
    <s v="10.1177/1532673X231184434"/>
    <s v="http://dx.doi.org/10.1177/1532673X231184434"/>
    <s v=""/>
    <s v="JUN 2023"/>
    <n v="18"/>
    <x v="35"/>
    <x v="1"/>
    <s v="Government &amp; Law"/>
    <s v="Q7HZ6"/>
    <s v=""/>
    <s v=""/>
    <s v=""/>
    <s v=""/>
    <s v="2023-11-15"/>
    <s v="WOS:001009298700001"/>
    <s v="View Full Record in Web of Science"/>
    <m/>
  </r>
  <r>
    <x v="45"/>
    <s v="J"/>
    <x v="45"/>
    <s v=""/>
    <s v=""/>
    <s v=""/>
    <s v="Cavalieri, Marina; Ferrante, Livio; Martorana, Marco; Rizzo, Ilde"/>
    <s v=""/>
    <s v=""/>
    <x v="45"/>
    <x v="40"/>
    <s v=""/>
    <s v=""/>
    <s v="English"/>
    <s v="Article; Early Access"/>
    <s v=""/>
    <s v=""/>
    <s v=""/>
    <s v=""/>
    <s v=""/>
    <x v="44"/>
    <x v="37"/>
    <s v="It is common wisdom that the diffusion of information and communication technology (ICT) in cultural institutions can influence their mission and activities, reshaping their role as producers and distributors of cultural content. Nevertheless, the extent of ICT facilities in European museums has been rather scarce, although recently it has grown faster in response to the new challenges brought up by the COVID-19 crisis. This paper aims at exploring the drivers of the ICT strategy adopted by museums and similar institutions (in terms of both in situ and online services), considering not only supply-side but also demand-side characteristics. To the best of our knowledge, such an issue has not been investigated so far in a systematic way. We use a novel dataset based on three waves (2011, 2015, 2018) of a census survey carried out by the Italian National Statistical Office on all the cultural institutes spread over the Italian territory. Results show that supply-side, demand-side and contextual factors are significantly associated with the use of ICT by museums and similar institutions. Interestingly, we find that the relationship between demand features and museums' digital strategy is closely related to the type of services and to the presence of financial incentives."/>
    <s v="[Cavalieri, Marina; Ferrante, Livio; Martorana, Marco; Rizzo, Ilde] Univ Catania, Dept Econ &amp; Business, Catania, Italy"/>
    <s v="University of Catania"/>
    <s v="Ferrante, L (corresponding author), Univ Catania, Dept Econ &amp; Business, Catania, Italy."/>
    <s v="lferrante@unict.it"/>
    <s v=""/>
    <s v="Martorana, Marco Ferdinando/0000-0003-2616-4460"/>
    <s v=""/>
    <s v=""/>
    <s v=""/>
    <s v=""/>
    <n v="54"/>
    <n v="1"/>
    <n v="1"/>
    <n v="3"/>
    <n v="3"/>
    <s v="ROUTLEDGE JOURNALS, TAYLOR &amp; FRANCIS LTD"/>
    <s v="ABINGDON"/>
    <s v="2-4 PARK SQUARE, MILTON PARK, ABINGDON OX14 4RN, OXON, ENGLAND"/>
    <s v="1043-8599"/>
    <s v="1476-8364"/>
    <s v=""/>
    <s v="ECON INNOV NEW TECH"/>
    <s v="Econ. Innov. New Technol."/>
    <s v="2023 JUN 10"/>
    <x v="0"/>
    <s v=""/>
    <s v=""/>
    <s v=""/>
    <s v=""/>
    <s v=""/>
    <s v=""/>
    <s v=""/>
    <s v=""/>
    <s v=""/>
    <s v="10.1080/10438599.2023.2222268"/>
    <s v="http://dx.doi.org/10.1080/10438599.2023.2222268"/>
    <s v=""/>
    <s v="JUN 2023"/>
    <n v="21"/>
    <x v="15"/>
    <x v="1"/>
    <s v="Business &amp; Economics"/>
    <s v="I7EP2"/>
    <s v=""/>
    <s v=""/>
    <s v=""/>
    <s v=""/>
    <s v="2023-11-15"/>
    <s v="WOS:001004384200001"/>
    <s v="View Full Record in Web of Science"/>
    <m/>
  </r>
  <r>
    <x v="46"/>
    <s v="J"/>
    <x v="46"/>
    <s v=""/>
    <s v=""/>
    <s v=""/>
    <s v="Lestari, Diyan; Ma, Shiguang; Jun, Aelee"/>
    <s v=""/>
    <s v=""/>
    <x v="46"/>
    <x v="41"/>
    <s v=""/>
    <s v=""/>
    <s v="English"/>
    <s v="Article"/>
    <s v=""/>
    <s v=""/>
    <s v=""/>
    <s v=""/>
    <s v=""/>
    <x v="45"/>
    <x v="38"/>
    <s v="PurposeThe financial sector's resilience is associated with greater prosperity and a better average income. Banks have evolved their business model and diversified their sources of income, and bank digitalization has become one of the prominent strategies. The purpose of this study is to examine how bank service expansion represented by revenue diversification activities and digital strategy will enhance bank stability in ASEAN countries from 2010 to 2021. Design/methodology/approachThis study uses information from the Datastream database and banks' annual reports to measure bank stability, diversification and market power, which also provide information for bank digital strategy. This study uses the two-step system generalized method of moments to investigate the effect of diversification and digitalization on bank stability in ASEAN. FindingsThe results of this study show that bank revenue diversification has no effect on bank stability, and the presence of the chief digital officer and digital disclosure improves banks' stability. However, alliance strategy with financial technology companies does not significantly impact bank stability and might increase bank risk. Practical implicationsThe findings of this study provide relevant policy implications: the regulation should support bank business to diversify the source of income; regulators and policymakers should regulate and enhance the Information and Communication Technology infrastructure; and banks should design their strategy comprehensively. Originality/valueThis study provides new evidence of the essential role of digital strategy in enhancing bank stability in ASEAN. In addition, this study also shows how banks diversify their business in a competitive environment."/>
    <s v="[Lestari, Diyan; Ma, Shiguang; Jun, Aelee] Univ Wollongong, Sch Business, Wollongong, Australia; [Lestari, Diyan] Inst Teknol &amp; Bisnis Kalbis, Fac Business &amp; Commun, Jakarta, Indonesia"/>
    <s v="University of Wollongong"/>
    <s v="Lestari, D (corresponding author), Univ Wollongong, Sch Business, Wollongong, Australia.;Lestari, D (corresponding author), Inst Teknol &amp; Bisnis Kalbis, Fac Business &amp; Commun, Jakarta, Indonesia."/>
    <s v="diyan.lestari@kalbis.ac.id; shiguang@uow.edu.au; ajun@uow.edu.au"/>
    <s v=""/>
    <s v="ma, shiguang/0000-0003-4510-4236"/>
    <s v=""/>
    <s v=""/>
    <s v=""/>
    <s v=""/>
    <n v="77"/>
    <n v="0"/>
    <n v="0"/>
    <n v="2"/>
    <n v="2"/>
    <s v="EMERALD GROUP PUBLISHING LTD"/>
    <s v="BINGLEY"/>
    <s v="HOWARD HOUSE, WAGON LANE, BINGLEY BD16 1WA, W YORKSHIRE, ENGLAND"/>
    <s v="1086-7376"/>
    <s v="1755-6791"/>
    <s v=""/>
    <s v="STUD ECON FINANC"/>
    <s v="Stud. Econ. Financ."/>
    <s v="AUG 22"/>
    <x v="0"/>
    <n v="40"/>
    <n v="4"/>
    <s v=""/>
    <s v=""/>
    <s v="SI"/>
    <s v=""/>
    <n v="606"/>
    <n v="624"/>
    <s v=""/>
    <s v="10.1108/SEF-12-2022-0554"/>
    <s v="http://dx.doi.org/10.1108/SEF-12-2022-0554"/>
    <s v=""/>
    <s v="JUN 2023"/>
    <n v="19"/>
    <x v="14"/>
    <x v="2"/>
    <s v="Business &amp; Economics"/>
    <s v="P4QX4"/>
    <s v=""/>
    <s v=""/>
    <s v=""/>
    <s v=""/>
    <s v="2023-11-15"/>
    <s v="WOS:000998454700001"/>
    <s v="View Full Record in Web of Science"/>
    <m/>
  </r>
  <r>
    <x v="47"/>
    <s v="J"/>
    <x v="47"/>
    <s v=""/>
    <s v=""/>
    <s v=""/>
    <s v="Aspiranti, Tasya; Ali, Qaisar; Amaliah, Ima"/>
    <s v=""/>
    <s v=""/>
    <x v="47"/>
    <x v="42"/>
    <s v=""/>
    <s v=""/>
    <s v="English"/>
    <s v="Article"/>
    <s v=""/>
    <s v=""/>
    <s v=""/>
    <s v=""/>
    <s v=""/>
    <x v="46"/>
    <x v="39"/>
    <s v="Today's dynamic business environment has pushed service-oriented firms such as banks to collaborate with external partners through open innovation (OI) to address issues of service differentiation, optimize customer experience, and create effective open innovation strategies (OIS). However, the essential elements required to design OIS and the methods to manage these strategies are missing. Therefore, this study aims to investigate the strategic resources essential to creating OIS and identify the tools to manage these resources. Following the fundamentals of the resource-based view (RBV), bank openness (BOP), selection of external partners (SEP), open innovation methods (OIM), formalizing collaboration processes (FCP), and banks' internal practices (BIP) are identified as the strategic elements required for creating OIS, and the role of big data analytics (BDA) in these strategic resources is examined. The data were collected through a survey questionnaire from 425 bank executives employed at different digital banks located in Malaysia. To achieve our research objectives, a quantitative deductive research design was employed and the collected data were processed in WarPLS using the structural equation modeling (SEM) technique to test the research hypotheses of this study. The empirical results reveal that BDA has a significant positive impact on BOP, SEP, and FCP, whereas OIM and BIP have an insignificant positive impact. The findings of this study contribute to designing a robust digital strategy to enhance the banking sector's contribution to the development of financial industries in developing countries by employing BDA as a major strategic policy tool of OIS"/>
    <s v="[Aspiranti, Tasya; Ali, Qaisar; Amaliah, Ima] Univ Islam Bandung, Fac Econ &amp; Business, Bandung 40116, Indonesia"/>
    <s v=""/>
    <s v="Aspiranti, T (corresponding author), Univ Islam Bandung, Fac Econ &amp; Business, Bandung 40116, Indonesia."/>
    <s v="tasya@unisba.ac.id; qaisarali@unisba.ac.id; ima@unisba.ac.id"/>
    <s v=""/>
    <s v="Ali, Qaisar/0000-0002-6825-650X"/>
    <s v=""/>
    <s v=""/>
    <s v=""/>
    <s v=""/>
    <n v="125"/>
    <n v="0"/>
    <n v="0"/>
    <n v="5"/>
    <n v="5"/>
    <s v="MDPI"/>
    <s v="BASEL"/>
    <s v="ST ALBAN-ANLAGE 66, CH-4052 BASEL, SWITZERLAND"/>
    <s v=""/>
    <s v="2227-9091"/>
    <s v=""/>
    <s v="RISKS"/>
    <s v="Risks"/>
    <s v="JUN"/>
    <x v="0"/>
    <n v="11"/>
    <n v="6"/>
    <s v=""/>
    <s v=""/>
    <s v=""/>
    <s v=""/>
    <s v=""/>
    <s v=""/>
    <n v="106"/>
    <s v="10.3390/risks11060106"/>
    <s v="http://dx.doi.org/10.3390/risks11060106"/>
    <s v=""/>
    <s v=""/>
    <n v="23"/>
    <x v="14"/>
    <x v="2"/>
    <s v="Business &amp; Economics"/>
    <s v="K3YZ7"/>
    <s v=""/>
    <s v="gold"/>
    <s v=""/>
    <s v=""/>
    <s v="2023-11-15"/>
    <s v="WOS:001015841000001"/>
    <s v="View Full Record in Web of Science"/>
    <m/>
  </r>
  <r>
    <x v="48"/>
    <s v="J"/>
    <x v="48"/>
    <s v=""/>
    <s v=""/>
    <s v=""/>
    <s v="Bursic, Edgar; Golja, Tea; Benassi, Hermina Maras"/>
    <s v=""/>
    <s v=""/>
    <x v="48"/>
    <x v="43"/>
    <s v=""/>
    <s v=""/>
    <s v="English"/>
    <s v="Article"/>
    <s v=""/>
    <s v=""/>
    <s v=""/>
    <s v=""/>
    <s v=""/>
    <x v="47"/>
    <x v="40"/>
    <s v="The COVID-19 pandemic has presented challenges for public museums in Croatia. This study examines how museum management and professionals have responded to the closure of museums during the pandemic by exploring digital initiatives and online engagement with remote audiences. The authors analysed data from 162 Croatian museums registered in the Museum Documentation Centre in Zagreb to investigate the relationship between socioeconomic and demographic indicators and museums' digital activities using multiple regression analysis. The findings revealed that half of the museums in the sample were active online, with social media being a commonly used platform. Interestingly, museums with a stronger online presence, lower regional unemployment rates, and a lower tourism development index were more likely to engage in activities during the pandemic. The authors conclude with recommendations for museum management and governance to embrace digital acceleration and adapt to the digital age. The study findings hold significant relevance for museums preparing for future pandemics or crises as they highlight the importance of digital initiatives and online presence in ensuring continued engagement with audiences during periods of closure. By leveraging digital tools and platforms, museums can overcome physical limitations and effectively reach remote audiences, thereby enhancing their resilience and adaptability in times of crisis. This study contributes to the understanding of museums' digital transformation in response to the COVID-19 pandemic and provides valuable insights for museum practitioners, policy-makers, and researchers to shape future strategies. Further research could explore the long-term impacts of digital initiatives on museums' sustainability and visitor engagement beyond the pandemic context."/>
    <s v="[Bursic, Edgar] Juraj Dobrila Univ Pula, Fac Humanities, Ronjgova 1, Pula 52100, Croatia; [Golja, Tea] Juraj Dobrila Univ Pula, Fac Econ &amp; Tourism Dr Mijo Mirkov, Preradoviceva 1-1, Pula 52100, Croatia; [Benassi, Hermina Maras] Univ Primorska, Fac Tourism Studies Turist, Obala 11a, Portoroz 6320, Slovenia"/>
    <s v="University of Juraj Dobrila Pula; University of Juraj Dobrila Pula; University of Primorska"/>
    <s v="Golja, T (corresponding author), Juraj Dobrila Univ Pula, Fac Econ &amp; Tourism Dr Mijo Mirkov, Preradoviceva 1-1, Pula 52100, Croatia."/>
    <s v="edgar.bursic@unipu.hr; tea.golja@unipu.hr; hermina.maras@yahoo.com"/>
    <s v=""/>
    <s v="Golja, Tea/0000-0003-3665-8181; Bursic, Edgar/0000-0001-7664-4804; Maras Benassi, Hermina/0000-0003-4606-5427"/>
    <s v=""/>
    <s v=""/>
    <s v=""/>
    <s v=""/>
    <n v="73"/>
    <n v="0"/>
    <n v="0"/>
    <n v="5"/>
    <n v="5"/>
    <s v="UNIV SPLIT, FAC ECONOMICS"/>
    <s v="SPLIT"/>
    <s v="MATICE HRVATSKE 31, SPLIT, 21000, CROATIA"/>
    <s v="1331-0194"/>
    <s v="1846-3363"/>
    <s v=""/>
    <s v="MANAG-J CONTEMP MANA"/>
    <s v="Manag.-J. Contemp. Manag. Issues"/>
    <s v="JUN"/>
    <x v="0"/>
    <n v="28"/>
    <n v="1"/>
    <s v=""/>
    <s v=""/>
    <s v=""/>
    <s v=""/>
    <n v="211"/>
    <n v="226"/>
    <s v=""/>
    <s v="10.30924/mjcmi.28.1.14"/>
    <s v="http://dx.doi.org/10.30924/mjcmi.28.1.14"/>
    <s v=""/>
    <s v=""/>
    <n v="16"/>
    <x v="8"/>
    <x v="2"/>
    <s v="Business &amp; Economics"/>
    <s v="L4EQ7"/>
    <s v=""/>
    <s v="gold"/>
    <s v=""/>
    <s v=""/>
    <s v="2023-11-15"/>
    <s v="WOS:001022810800005"/>
    <s v="View Full Record in Web of Science"/>
    <m/>
  </r>
  <r>
    <x v="49"/>
    <s v="J"/>
    <x v="49"/>
    <s v=""/>
    <s v=""/>
    <s v=""/>
    <s v="Ren, Changman; Lin, Xiaoxing"/>
    <s v=""/>
    <s v=""/>
    <x v="49"/>
    <x v="44"/>
    <s v=""/>
    <s v=""/>
    <s v="English"/>
    <s v="Article; Early Access"/>
    <s v=""/>
    <s v=""/>
    <s v=""/>
    <s v=""/>
    <s v=""/>
    <x v="48"/>
    <x v="41"/>
    <s v="In the wave of digital change, identifying the digital spillover effect of the Internet industry plays a vital role in promoting high-quality economic development. There is still a lack of academic discussion on the connotation of digital spillover of internet enterprises and a lack of shared understanding of the digital spillover effect dimension. This study comprehensively reviews the annual reports and analysis reports of internet enterprises, studies 50 internet enterprises' textual data through theoretical methods, and explores and constructs a complete set of internet enterprises' digital spillover effects model through the process of 'input-process-output'. The study finds that the digital spillover effect of internet enterprises is divided into five dimensions: digital production elements, digital practices, improving internal competitiveness, improving external competitiveness, and improving supply chain efficiency. Digital production elements are the production conditions of digital spillover of internet enterprises, digital practices are the practical actions of digital spillover of internet enterprises, and improving internal and external competitiveness as well as supply chain efficiency are the results of digital spillover of internet enterprises. This study enriches the theoretical framework related to the effect of digital spillover of internet enterprises and provides help to accelerate the promotion of digital practices of enterprises."/>
    <s v="[Ren, Changman] Ningde Normal Univ, Dept Business Adm, Ningde, Peoples R China; [Lin, Xiaoxing] Wuhan Univ Technol, Dept Business Adm, Wuhan, Peoples R China"/>
    <s v="Ningde Normal University; Wuhan University of Technology"/>
    <s v="Lin, XX (corresponding author), Wuhan Univ Technol, Dept Business Adm, Wuhan, Peoples R China."/>
    <s v="1020445267@qq.com"/>
    <s v=""/>
    <s v=""/>
    <s v=""/>
    <s v=""/>
    <s v=""/>
    <s v=""/>
    <n v="48"/>
    <n v="0"/>
    <n v="0"/>
    <n v="20"/>
    <n v="20"/>
    <s v="ROUTLEDGE JOURNALS, TAYLOR &amp; FRANCIS LTD"/>
    <s v="ABINGDON"/>
    <s v="2-4 PARK SQUARE, MILTON PARK, ABINGDON OX14 4RN, OXON, ENGLAND"/>
    <s v="0003-6846"/>
    <s v="1466-4283"/>
    <s v=""/>
    <s v="APPL ECON"/>
    <s v="Appl. Econ."/>
    <s v="2023 MAY 29"/>
    <x v="0"/>
    <s v=""/>
    <s v=""/>
    <s v=""/>
    <s v=""/>
    <s v=""/>
    <s v=""/>
    <s v=""/>
    <s v=""/>
    <s v=""/>
    <s v="10.1080/00036846.2023.2216439"/>
    <s v="http://dx.doi.org/10.1080/00036846.2023.2216439"/>
    <s v=""/>
    <s v="MAY 2023"/>
    <n v="15"/>
    <x v="15"/>
    <x v="1"/>
    <s v="Business &amp; Economics"/>
    <s v="H4VU6"/>
    <s v=""/>
    <s v=""/>
    <s v=""/>
    <s v=""/>
    <s v="2023-11-15"/>
    <s v="WOS:000995965500001"/>
    <s v="View Full Record in Web of Science"/>
    <m/>
  </r>
  <r>
    <x v="50"/>
    <s v="J"/>
    <x v="50"/>
    <s v=""/>
    <s v=""/>
    <s v=""/>
    <s v="Kraus, Sascha; Vonmetz, Katharina; Orlandi, Ludovico Bullini; Zardini, Alessandro; Rossignoli, Cecilia"/>
    <s v=""/>
    <s v=""/>
    <x v="50"/>
    <x v="9"/>
    <s v=""/>
    <s v=""/>
    <s v="English"/>
    <s v="Article"/>
    <s v=""/>
    <s v=""/>
    <s v=""/>
    <s v=""/>
    <s v=""/>
    <x v="49"/>
    <x v="42"/>
    <s v="Innovation boosts economic growth, and one of the most critical factors when considering innovation-driven growth is the role of disruptive innovation, which is hailed as a lodestar by leaders of both small and large firms. However, little is known about the role of entrepreneurial orientation (EO) and digitalization strategy in enhancing or hindering firms' disruptive innovation. Our study thus addresses the relationships between EO and firms' ability to develop disruptive innovation under consideration of the firm's digital strategy. Our empirical analysis is based on quantitative survey data from a sample of 242 firms across a variety of industries, geographic locations, and sizes. Our results demonstrate that EO has a significant positive effect on disruptive innovation and that deployment of a digitalization strategy is perceived as a metaphorical cage for disruptive innovation among highly entrepreneurially oriented firms. However, a digitalization strategy supports disruptive innovation when firms are less entrepreneurially oriented. The insight of this work is that firms should focus on EO to allow disruptive innovation and increase or decrease digitalization strategy deployment and planning depending on the level of EO."/>
    <s v="[Kraus, Sascha; Vonmetz, Katharina] Free Univ Bozen Bolzano, Fac Econ &amp; Management, Piazza Univ 1, I-39100 Bolzano, Italy; [Orlandi, Ludovico Bullini] Univ Bologna, Dept Management, Via Capo Lucca 34, I-40126 Bologna, Italy; [Zardini, Alessandro; Rossignoli, Cecilia] Univ Verona, Dept Business Adm, Via Cantarane 24, I-37129 Verona, Italy; [Kraus, Sascha] Univ Johannesburg, Dept Business Management, ZA-2092 Johannesburg, South Africa"/>
    <s v="Free University of Bozen-Bolzano; University of Bologna; University of Verona; University of Johannesburg"/>
    <s v="Kraus, S (corresponding author), Free Univ Bozen Bolzano, Fac Econ &amp; Management, Piazza Univ 1, I-39100 Bolzano, Italy.;Kraus, S (corresponding author), Univ Johannesburg, Dept Business Management, ZA-2092 Johannesburg, South Africa."/>
    <s v="sascha.kraus@zfke.de"/>
    <s v="Zardini, Alessandro/J-8400-2014"/>
    <s v="Zardini, Alessandro/0000-0002-2598-9877"/>
    <s v="Open Access Publishing Fund by the Free University of Bozen-Bolzano"/>
    <s v="Open Access Publishing Fund by the Free University of Bozen-Bolzano"/>
    <s v="This work was supported by the Open Access Publishing Fund provided by the Free University of Bozen-Bolzano."/>
    <s v=""/>
    <n v="95"/>
    <n v="1"/>
    <n v="1"/>
    <n v="49"/>
    <n v="49"/>
    <s v="ELSEVIER SCIENCE INC"/>
    <s v="NEW YORK"/>
    <s v="STE 800, 230 PARK AVE, NEW YORK, NY 10169 USA"/>
    <s v="0040-1625"/>
    <s v="1873-5509"/>
    <s v=""/>
    <s v="TECHNOL FORECAST SOC"/>
    <s v="Technol. Forecast. Soc. Chang."/>
    <s v="AUG"/>
    <x v="0"/>
    <n v="193"/>
    <s v=""/>
    <s v=""/>
    <s v=""/>
    <s v=""/>
    <s v=""/>
    <s v=""/>
    <s v=""/>
    <n v="122638"/>
    <s v="10.1016/j.techfore.2023.122638"/>
    <s v="http://dx.doi.org/10.1016/j.techfore.2023.122638"/>
    <s v=""/>
    <s v="MAY 2023"/>
    <n v="12"/>
    <x v="9"/>
    <x v="1"/>
    <s v="Business &amp; Economics; Public Administration"/>
    <s v="J9RP2"/>
    <s v=""/>
    <s v="hybrid"/>
    <s v=""/>
    <s v=""/>
    <s v="2023-11-15"/>
    <s v="WOS:001012928700001"/>
    <s v="View Full Record in Web of Science"/>
    <m/>
  </r>
  <r>
    <x v="51"/>
    <s v="J"/>
    <x v="51"/>
    <s v=""/>
    <s v=""/>
    <s v=""/>
    <s v="Behbehani, Dawood; Komninos, Nikos; Al-Begain, Khalid; Rajarajan, Muttukrishnan"/>
    <s v=""/>
    <s v=""/>
    <x v="51"/>
    <x v="45"/>
    <s v=""/>
    <s v=""/>
    <s v="English"/>
    <s v="Article"/>
    <s v=""/>
    <s v=""/>
    <s v=""/>
    <s v=""/>
    <s v=""/>
    <x v="50"/>
    <x v="43"/>
    <s v="Cloud computing adoption has been increasing rapidly amid COVID-19 as organisations accelerate the implementation of their digital strategies. Most models adopt traditional dynamic risk assessment, which does not adequately quantify or monetise risks to enable business-appropriate decision-making. In view of this challenge, a new model is proposed in this paper for assignment of monetary losses terms to the consequences nodes, thereby enabling experts to understand better the financial risks of any consequence. The proposed model is named Cloud Enterprise Dynamic Risk Assessment (CEDRA) model that uses CVSS, threat intelligence feeds and information about exploitation availability in the wild using dynamic Bayesian networks to predict vulnerability exploitations and financial losses. A case study of a scenario based on the Capital One breach attack was conducted to demonstrate experimentally the applicability of the model proposed in this paper. The methods presented in this study has improved vulnerability and financial losses prediction."/>
    <s v="[Behbehani, Dawood; Komninos, Nikos; Rajarajan, Muttukrishnan] City Univ London, Sch Math Comp Sci &amp; Engn, London, England; [Al-Begain, Khalid] Kuwait Coll Sci &amp; Technol, Kuwait, Kuwait"/>
    <s v="City University London; Kuwait College Science &amp; Technology"/>
    <s v="Behbehani, D (corresponding author), City Univ London, Sch Math Comp Sci &amp; Engn, London, England."/>
    <s v="dawood.behbehani@city.ac.uk"/>
    <s v=""/>
    <s v=""/>
    <s v=""/>
    <s v=""/>
    <s v=""/>
    <s v=""/>
    <n v="29"/>
    <n v="1"/>
    <n v="1"/>
    <n v="11"/>
    <n v="11"/>
    <s v="SPRINGER"/>
    <s v="NEW YORK"/>
    <s v="ONE NEW YORK PLAZA, SUITE 4600, NEW YORK, NY, UNITED STATES"/>
    <s v=""/>
    <s v="2192-113X"/>
    <s v=""/>
    <s v="J CLOUD COMPUT-ADV S"/>
    <s v="J. Cloud Comput.-Adv. Syst. Appl."/>
    <s v="MAY 17"/>
    <x v="0"/>
    <n v="12"/>
    <n v="1"/>
    <s v=""/>
    <s v=""/>
    <s v=""/>
    <s v=""/>
    <s v=""/>
    <s v=""/>
    <n v="79"/>
    <s v="10.1186/s13677-023-00454-2"/>
    <s v="http://dx.doi.org/10.1186/s13677-023-00454-2"/>
    <s v=""/>
    <s v=""/>
    <n v="12"/>
    <x v="36"/>
    <x v="0"/>
    <s v="Computer Science"/>
    <s v="G4WN5"/>
    <n v="37220560"/>
    <s v="Green Submitted, Green Published, Green Accepted, gold"/>
    <s v=""/>
    <s v=""/>
    <s v="2023-11-15"/>
    <s v="WOS:000989176900001"/>
    <s v="View Full Record in Web of Science"/>
    <m/>
  </r>
  <r>
    <x v="52"/>
    <s v="J"/>
    <x v="52"/>
    <s v=""/>
    <s v=""/>
    <s v=""/>
    <s v="Borrero, Juan D.; Borrero-Dominguez, Juan-Diego"/>
    <s v=""/>
    <s v=""/>
    <x v="52"/>
    <x v="46"/>
    <s v=""/>
    <s v=""/>
    <s v="English"/>
    <s v="Article"/>
    <s v=""/>
    <s v=""/>
    <s v=""/>
    <s v=""/>
    <s v=""/>
    <x v="51"/>
    <x v="44"/>
    <s v="This study presents a novel hybrid model that combines two different algorithms to increase the accuracy of short-term berry yield prediction using only previous yield data. The model integrates both autoregressive integrated moving average (ARIMA) with Kalman filter refinement and neural network techniques, specifically support vector regression (SVR), and nonlinear autoregressive (NAR) neural networks, to improve prediction accuracy by correcting the errors generated by the system. In order to enhance the prediction performance of the ARIMA model, an innovative method is introduced that reduces randomness and incorporates only observed variables and system errors into the state-space system. The results indicate that the proposed hybrid models exhibit greater accuracy in predicting weekly production, with a goodness-of-fit value above 0.95 and lower root mean square error (RMSE) and mean absolute error (MAE) values compared with non-hybrid models. The study highlights several implications, including the potential for small growers to use digital strategies that offer crop forecasts to increase sales and promote loyalty in relationships with large food retail chains. Additionally, accurate yield forecasting can help berry growers plan their production schedules and optimize resource use, leading to increased efficiency and profitability. The proposed model may serve as a valuable information source for European food retailers, enabling growers to form strategic alliances with their customers."/>
    <s v="[Borrero, Juan D.] Univ Huelva, Dept Management &amp; Mkt, Pza Merced S-N, Huelva 21002, Spain; [Borrero-Dominguez, Juan-Diego] Univ Huelva, Agr Econ Res Grp, Pza Merced S-N, Huelva 21002, Spain"/>
    <s v="Universidad de Huelva; Universidad de Huelva"/>
    <s v="Borrero, JD (corresponding author), Univ Huelva, Dept Management &amp; Mkt, Pza Merced S-N, Huelva 21002, Spain."/>
    <s v="jdiego@uhu.es"/>
    <s v="Borrero-Sanchez, Juan Diego/K-5943-2017"/>
    <s v="Borrero-Sanchez, Juan Diego/0000-0003-0219-2539"/>
    <s v=""/>
    <s v=""/>
    <s v=""/>
    <s v=""/>
    <n v="130"/>
    <n v="0"/>
    <n v="0"/>
    <n v="7"/>
    <n v="7"/>
    <s v="MDPI"/>
    <s v="BASEL"/>
    <s v="ST ALBAN-ANLAGE 66, CH-4052 BASEL, SWITZERLAND"/>
    <s v=""/>
    <s v="2311-7524"/>
    <s v=""/>
    <s v="HORTICULTURAE"/>
    <s v="Horticulturae"/>
    <s v="MAY 3"/>
    <x v="0"/>
    <n v="9"/>
    <n v="5"/>
    <s v=""/>
    <s v=""/>
    <s v=""/>
    <s v=""/>
    <s v=""/>
    <s v=""/>
    <n v="549"/>
    <s v="10.3390/horticulturae9050549"/>
    <s v="http://dx.doi.org/10.3390/horticulturae9050549"/>
    <s v=""/>
    <s v=""/>
    <n v="18"/>
    <x v="37"/>
    <x v="0"/>
    <s v="Agriculture"/>
    <s v="H7QJ0"/>
    <s v=""/>
    <s v="Green Published, gold"/>
    <s v=""/>
    <s v=""/>
    <s v="2023-11-15"/>
    <s v="WOS:000997861200001"/>
    <s v="View Full Record in Web of Science"/>
    <m/>
  </r>
  <r>
    <x v="53"/>
    <s v="J"/>
    <x v="53"/>
    <s v=""/>
    <s v=""/>
    <s v=""/>
    <s v="Urbano, David; Aparicio, Sebastian; Scott, Stephanie; Martinez-Moya, Diego"/>
    <s v=""/>
    <s v=""/>
    <x v="53"/>
    <x v="47"/>
    <s v=""/>
    <s v=""/>
    <s v="English"/>
    <s v="Article; Early Access"/>
    <s v=""/>
    <s v=""/>
    <s v=""/>
    <s v=""/>
    <s v=""/>
    <x v="52"/>
    <x v="45"/>
    <s v="An effective digital strategy provides multifaceted benefits for firms of all sizes, including operational oversight, learning, and effective market interactions. Yet, despite the burgeoning evidence that digitalization provides essential resources for firms, disparate observations on the link between SME performance and digitalization across regions are noted in the literature. There remain concerns about whether SMEs enact effective digital strategies to reap the rewards, especially given that some SMEs have reported entirely forgoing digital activities due to resource constraints and exogenous forces in the market. In light of the varying global observations, it is crucial to understand how regional and multi-layered institutional settings influence SMEs to adopt, implement, and utilize digital resources to form solid policies and appropriate facilitative mechanisms. Therefore, this study compiled 11,485 observations of SME digital activities and performance from 88 distinctive institutional regions within Latin America and the Caribbean from 2006 to 2018. The study used data from the World Bank's Enterprise Survey (WBES) and World Development Indicators (WDI) to reveal various institutional factors influencing SMEs' adoption of technologies and subsequent performance via multilevel regressions. The findings suggest institutional barriers become insignificant when firms use digital technologies and suggest that it may insulate SMEs from exogenous shocks."/>
    <s v="[Urbano, David; Aparicio, Sebastian] Univ Autonoma Barcelona, Dept Business, Edifici B Campus Bellaterra UAB, Bellaterra 08913, Barcelona, Spain; [Urbano, David; Aparicio, Sebastian] Univ Autonoma Barcelona, Ctr Entrepreneurship &amp; Social Innovat Res CREIS, Sabadell, Spain; [Scott, Stephanie] Univ Durham, Durham Univ Business Sch, Durham, England; [Martinez-Moya, Diego] Fdn ECSIM, Medellin, Colombia"/>
    <s v="Autonomous University of Barcelona; Autonomous University of Barcelona; Durham University"/>
    <s v="Urbano, D (corresponding author), Univ Autonoma Barcelona, Dept Business, Edifici B Campus Bellaterra UAB, Bellaterra 08913, Barcelona, Spain."/>
    <s v="david.urbano@uab.cat"/>
    <s v="Urbano, David/B-6879-2009"/>
    <s v="Urbano, David/0000-0001-7600-8656"/>
    <s v="Spanish Ministry of Economy &amp; Competitiveness [ECO2017-87885-P]; Economy &amp; Knowledge Department, Catalan Government [2017-SGR-1056]; ICREA under ICREA Academia programme; COLCIENCIAS Ph.D. programme [617/2013]; Sapiencia-Enlaza Mundos (Municipio de Medellin); Universidad EAFIT"/>
    <s v="Spanish Ministry of Economy &amp; Competitiveness(Spanish Government); Economy &amp; Knowledge Department, Catalan Government; ICREA under ICREA Academia programme; COLCIENCIAS Ph.D. programme(Departamento Administrativo de Ciencia, Tecnologia e Innovacion Colciencias); Sapiencia-Enlaza Mundos (Municipio de Medellin); Universidad EAFIT"/>
    <s v="David Urbano and Sebastian Aparicio acknowledge the financial support from the project ECO2017-87885-P (Spanish Ministry of Economy &amp; Competitiveness). Notably, David acknowledges the financial support from the 2017-SGR-1056 project (Economy &amp; Knowledge Department, Catalan Government) and ICREA under ICREA Academia programme. As a Serra Hunter Fellow, Sebastian Aparicio acknowledges the Serra Hunter Programme and the Catalan government for constant support. Additionally, Sebastian acknowledges the COLCIENCIAS Ph.D. programme (617/2013) and Sapiencia-Enlaza Mundos (Municipio de Medellin) for financial support during his Ph.D. studies. Stephanie Scott acknowledges Durham University Business School for its constant support. Diego Martinez-Moya acknowledges Universidad EAFIT for financial support during postgraduate studies and Fundacion ECSIM for constant support."/>
    <s v=""/>
    <n v="118"/>
    <n v="1"/>
    <n v="1"/>
    <n v="12"/>
    <n v="12"/>
    <s v="ROUTLEDGE JOURNALS, TAYLOR &amp; FRANCIS LTD"/>
    <s v="ABINGDON"/>
    <s v="2-4 PARK SQUARE, MILTON PARK, ABINGDON OX14 4RN, OXON, ENGLAND"/>
    <s v="0898-5626"/>
    <s v="1464-5114"/>
    <s v=""/>
    <s v="ENTREP REGION DEV"/>
    <s v="Entrep. Reg. Dev."/>
    <s v="2023 MAY 3"/>
    <x v="0"/>
    <s v=""/>
    <s v=""/>
    <s v=""/>
    <s v=""/>
    <s v=""/>
    <s v=""/>
    <s v=""/>
    <s v=""/>
    <s v=""/>
    <s v="10.1080/08985626.2023.2208555"/>
    <s v="http://dx.doi.org/10.1080/08985626.2023.2208555"/>
    <s v=""/>
    <s v="MAY 2023"/>
    <n v="20"/>
    <x v="38"/>
    <x v="1"/>
    <s v="Business &amp; Economics; Development Studies"/>
    <s v="F1DG1"/>
    <s v=""/>
    <s v=""/>
    <s v=""/>
    <s v=""/>
    <s v="2023-11-15"/>
    <s v="WOS:000979815600001"/>
    <s v="View Full Record in Web of Science"/>
    <m/>
  </r>
  <r>
    <x v="54"/>
    <s v="J"/>
    <x v="54"/>
    <s v=""/>
    <s v=""/>
    <s v=""/>
    <s v="Fan, Xueyuan; Zhao, Shukuan; Zhang, Bochen; Wang, Shuang; Shao, Dong"/>
    <s v=""/>
    <s v=""/>
    <x v="54"/>
    <x v="31"/>
    <s v=""/>
    <s v=""/>
    <s v="English"/>
    <s v="Article"/>
    <s v=""/>
    <s v=""/>
    <s v=""/>
    <s v=""/>
    <s v=""/>
    <x v="53"/>
    <x v="1"/>
    <s v="Given the development of the digital economy, the shift to digitalization is an inevitable direction for corporate strategic planning. This empirical study investigates the impact of corporate digital strategic orientation on innovation output. It also examines the moderating effects of executive equity and compensation incentives on the relationship between corporate digital strategic orientation and innovation output. We selected a sample of Chinese listed companies and adopted the Heckman two-stage and two-stage least square (2 S LS) methods to control for potential endogenous problems. Our findings indicate that corporate digital strategic orientation significantly enhances innovation output. Additionally, we found that executive compensation and equity incentives positively moderate the impact of corporate digital strategic orientation on innovation output, with equity incentives having a greater moderating effect than compensation incentives. Further analysis shows that the impact of corporate digital strategic orientation on innovation output is greater in non-manufacturing industries and non-state-owned enterprises. Our study provides policy insights on how companies can enhance their innovation capability in the digital economy."/>
    <s v="[Fan, Xueyuan; Zhao, Shukuan; Zhang, Bochen] Jilin Univ, Sch Business &amp; Management, Changchun 130022, Peoples R China; [Wang, Shuang; Shao, Dong] Northeast Normal Univ, Sch Business, Changchun, Peoples R China"/>
    <s v="Jilin University; Northeast Normal University - China"/>
    <s v="Zhao, SK (corresponding author), Jilin Univ, Sch Business &amp; Management, Changchun 130022, Peoples R China."/>
    <s v="zhaosk@jlu.edu.cn"/>
    <s v=""/>
    <s v=""/>
    <s v="National Natural Science Foundation of China [72174073]"/>
    <s v="National Natural Science Foundation of China(National Natural Science Foundation of China (NSFC))"/>
    <s v="Funding statement Shukuan Zhao was supported by National Natural Science Foundation of China [No. 72174073] . Data availability statement This study data mainly from CSMAR database ( www.gtarsc.com .cn) and Wind database ( www.wind.com .cn) ."/>
    <s v=""/>
    <n v="46"/>
    <n v="0"/>
    <n v="0"/>
    <n v="32"/>
    <n v="32"/>
    <s v="CELL PRESS"/>
    <s v="CAMBRIDGE"/>
    <s v="50 HAMPSHIRE ST, FLOOR 5, CAMBRIDGE, MA 02139 USA"/>
    <s v=""/>
    <s v="2405-8440"/>
    <s v=""/>
    <s v="HELIYON"/>
    <s v="Heliyon"/>
    <s v="MAY"/>
    <x v="0"/>
    <n v="9"/>
    <n v="5"/>
    <s v=""/>
    <s v=""/>
    <s v=""/>
    <s v=""/>
    <s v=""/>
    <s v=""/>
    <s v="e16371"/>
    <s v="10.1016/j.heliyon.2023.e16371"/>
    <s v="http://dx.doi.org/10.1016/j.heliyon.2023.e16371"/>
    <s v=""/>
    <s v=""/>
    <n v="12"/>
    <x v="22"/>
    <x v="0"/>
    <s v="Science &amp; Technology - Other Topics"/>
    <s v="L9GY7"/>
    <n v="37251887"/>
    <s v="Green Published, gold"/>
    <s v=""/>
    <s v=""/>
    <s v="2023-11-15"/>
    <s v="WOS:001026288200001"/>
    <s v="View Full Record in Web of Science"/>
    <m/>
  </r>
  <r>
    <x v="55"/>
    <s v="J"/>
    <x v="55"/>
    <s v=""/>
    <s v=""/>
    <s v=""/>
    <s v="Giannopoulos, G.; Podimatas, I.; Stephanopoulos, G."/>
    <s v=""/>
    <s v=""/>
    <x v="55"/>
    <x v="48"/>
    <s v=""/>
    <s v=""/>
    <s v="Greek"/>
    <s v="Article"/>
    <s v=""/>
    <s v=""/>
    <s v=""/>
    <s v=""/>
    <s v=""/>
    <x v="54"/>
    <x v="1"/>
    <s v="In Greece, the national electronic health record (EHR) has not been adequately integrated as an organic function-al element of the health care system. On the contrary, the national e-prescription system (e-PS) has been universally implemented, being the exclusive digital health service that defines the relationship between patients and physicians. This is a peculiarity for the country, not in agreement with international standards, which must be resolved with the implementation of a digital transformation. The EHR must become the main system defining the patients -physicians relationship, with the e-PS functionally intergraded. As part of a broad spectrum of strategic digital health transformation, both, EHR and e-PS infrastructure, need to be upgraded and properly aligned. An important part of this upgrade would be a new tool comprising the necessary clinical codes and terms for managing physician's con-cise clinical diagnosis entries for every patient in the EHR and e-PS."/>
    <s v="[Giannopoulos, G.] Alexandra Gen Hosp, Rheumatol Unit, Athens, Greece; [Podimatas, I.; Stephanopoulos, G.] Elect Engn &amp; Comp Sci, Athens, Greece; [Giannopoulos, G.] Alexandra Gen Hosp, Rheumatol Unit, 7 Lampsakou St, Athens 11528, Greece"/>
    <s v="Alexandra Hospital; Alexandra Hospital"/>
    <s v="Giannopoulos, G (corresponding author), Alexandra Gen Hosp, Rheumatol Unit, 7 Lampsakou St, Athens 11528, Greece."/>
    <s v="George.yiannop@gmail.com"/>
    <s v=""/>
    <s v=""/>
    <s v=""/>
    <s v=""/>
    <s v=""/>
    <s v=""/>
    <n v="6"/>
    <n v="0"/>
    <n v="0"/>
    <n v="0"/>
    <n v="0"/>
    <s v="ATHENS MEDICAL SOC"/>
    <s v="ATHENS"/>
    <s v="23 MAEANDROU ST, ATHENS, 115 28, GREECE"/>
    <s v="1105-3992"/>
    <s v=""/>
    <s v=""/>
    <s v="ARCH HELL MED"/>
    <s v="Arch. Hell. Med."/>
    <s v="MAY-JUN"/>
    <x v="0"/>
    <n v="40"/>
    <n v="3"/>
    <s v=""/>
    <s v=""/>
    <s v=""/>
    <s v=""/>
    <n v="406"/>
    <n v="413"/>
    <s v=""/>
    <s v=""/>
    <s v=""/>
    <s v=""/>
    <s v=""/>
    <n v="8"/>
    <x v="28"/>
    <x v="2"/>
    <s v="General &amp; Internal Medicine"/>
    <s v="J7OK7"/>
    <s v=""/>
    <s v=""/>
    <s v=""/>
    <s v=""/>
    <s v="2023-11-15"/>
    <s v="WOS:001011477000016"/>
    <s v="View Full Record in Web of Science"/>
    <m/>
  </r>
  <r>
    <x v="56"/>
    <s v="J"/>
    <x v="56"/>
    <s v=""/>
    <s v=""/>
    <s v=""/>
    <s v="Hurtado-Mazeyra, Alejandra; Nunez-Pacheco, Rosa; Melina Alejandro-Oviedo, Olga"/>
    <s v=""/>
    <s v=""/>
    <x v="56"/>
    <x v="49"/>
    <s v=""/>
    <s v=""/>
    <s v="English"/>
    <s v="Article"/>
    <s v=""/>
    <s v=""/>
    <s v=""/>
    <s v=""/>
    <s v=""/>
    <x v="55"/>
    <x v="1"/>
    <s v="Digital Storytelling (DST) is a digital strategy that has a multiformat character, which allows enhancing narrative skills in students of different educational levels. A research was conducted with the main objective of verifying the improvement of narrative competence after an educational experience with the use of Sumac Willaquy software (Cuento bonito), which allows the application of the DST strategy. The study is quantitative and pre-experimental. Seventy 5-and 6-year-old children from a Peruvian children's center participated, distributed in three experimental groups under two intervention modalities in 2D and 3D. An instrument on children's narrative competence was adapted to suit the characteristics of five-year-old children in the Peruvian context. The results indicated that in the posttest measurement, the children obtained better scores in narrative competence with the use of the 3D version than with the 2D version. In this sense, it is concluded that the DST is more effective in its augmented reality version."/>
    <s v="[Hurtado-Mazeyra, Alejandra; Nunez-Pacheco, Rosa; Melina Alejandro-Oviedo, Olga] Univ Nacl San Agustin Arequipa, Arequipa, Peru"/>
    <s v="Universidad Nacional de San Agustin de Arequipa"/>
    <s v="Hurtado-Mazeyra, A (corresponding author), Univ Nacl San Agustin Arequipa, Arequipa, Peru."/>
    <s v=""/>
    <s v="Hurtado Mazeyra, Alejandra/JNR-3104-2023"/>
    <s v=""/>
    <s v="Universidad Nacional de San Agustin de Arequipa, UNSA [IBA-CS-08-2020-UNSA]"/>
    <s v="Universidad Nacional de San Agustin de Arequipa, UNSA"/>
    <s v="We thank the Universidad Nacional de San Agustin de Arequipa, UNSA, for funding the research project under Contract N degrees IBA-CS-08-2020-UNSA."/>
    <s v=""/>
    <n v="28"/>
    <n v="0"/>
    <n v="0"/>
    <n v="4"/>
    <n v="4"/>
    <s v="UNIV SEVILLA, EDITORIAL"/>
    <s v="SEVILLE"/>
    <s v="SECRETARIADO PUBLICACIONES, C/ PORVENIR, NO 27, SEVILLE, 41013, SPAIN"/>
    <s v="1133-8482"/>
    <s v="2171-7966"/>
    <s v=""/>
    <s v="PIXEL-BIT"/>
    <s v="Pixel-Bit"/>
    <s v="MAY"/>
    <x v="0"/>
    <s v=""/>
    <n v="67"/>
    <s v=""/>
    <s v=""/>
    <s v=""/>
    <s v=""/>
    <s v=""/>
    <s v=""/>
    <s v=""/>
    <s v="10.12795/pixelbit.97769"/>
    <s v="http://dx.doi.org/10.12795/pixelbit.97769"/>
    <s v=""/>
    <s v=""/>
    <n v="37"/>
    <x v="39"/>
    <x v="2"/>
    <s v="Education &amp; Educational Research"/>
    <s v="H5QS3"/>
    <s v=""/>
    <s v="gold"/>
    <s v=""/>
    <s v=""/>
    <s v="2023-11-15"/>
    <s v="WOS:000996513000007"/>
    <s v="View Full Record in Web of Science"/>
    <m/>
  </r>
  <r>
    <x v="57"/>
    <s v="J"/>
    <x v="57"/>
    <s v=""/>
    <s v=""/>
    <s v=""/>
    <s v="Ivanova, Nataliia; Nazarko, Svitlana; Denysenko, Tetana; Kublitska, Olena; Kononenko, Serhii"/>
    <s v=""/>
    <s v=""/>
    <x v="57"/>
    <x v="50"/>
    <s v=""/>
    <s v=""/>
    <s v="English"/>
    <s v="Article"/>
    <s v=""/>
    <s v=""/>
    <s v=""/>
    <s v=""/>
    <s v=""/>
    <x v="56"/>
    <x v="1"/>
    <s v="The article aims to consider the business strategy transformation process in the context of global digitalization and the COVID-1 9 pandemic in business and the economy. To achieve the goal, the authors analyzed the notions of IT strategy, digital strategy and digital transformation strategy and established their hierarchy; the key features of the strategy in the digital world are identified, namely: risk as the basis for development, people as the main business value and the formation of the right mindset of participants in digital transformation; the process of implementing the digital transformation strategy in the company is considered. The objective of the article was achieved through a review of the literature and the use of scientific methods, namely: comparative analysis, synthesis, and historical and logical methods. The results obtained contribute to the understanding of scientists and professionals about the development management process in the digital world."/>
    <s v="[Ivanova, Nataliia; Denysenko, Tetana] Chernihiv Polytech Natl Univ, Dept Entrepreneurship &amp; Trade, Chernihiv, Ukraine; [Nazarko, Svitlana] Interreg Acad Personnel Management, Higher Educ Inst, North Ukrainian Inst, Kiev, Ukraine; [Kublitska, Olena; Kononenko, Serhii] Chernihiv Polytech Natl Univ, Dept Management &amp; Civil Serv, Chernihiv, Ukraine"/>
    <s v="Ministry of Education &amp; Science of Ukraine; Chernihiv Polytechnic National University; Interregional Academy of Personnel Management; Ministry of Education &amp; Science of Ukraine; National Pedagogical Dragomanov University; Ministry of Education &amp; Science of Ukraine; Chernihiv Polytechnic National University"/>
    <s v="Ivanova, N (corresponding author), Chernihiv Polytech Natl Univ, Dept Entrepreneurship &amp; Trade, Chernihiv, Ukraine."/>
    <s v="ivanova.nat.vlad@gmail.com; s.nazarko@ukr.net; tanjadeni@ukr.net; le.kulit@gmail.com; job.s.kononenko@gmail.com"/>
    <s v="Nazarko, Svitlana/IAO-0813-2023; Ivanova, Nataliia/I-3574-2016; Denysenko, Tetiana/G-6003-2014"/>
    <s v="Nazarko, Svitlana/0000-0002-4841-9201; Ivanova, Nataliia/0000-0001-6622-7310; Denysenko, Tetiana/0000-0002-7022-5884; Kublitska, Olena/0000-0001-5897-1393"/>
    <s v=""/>
    <s v=""/>
    <s v=""/>
    <s v=""/>
    <n v="37"/>
    <n v="0"/>
    <n v="0"/>
    <n v="4"/>
    <n v="4"/>
    <s v="UNIV ZULIA, FAC HUMANIDADES EDUCACION, CENTRO INVE"/>
    <s v="MARACAIBO"/>
    <s v="APARTADO 526, MARACAIBO, ZULIA 00000, VENEZUELA"/>
    <s v="0041-8811"/>
    <s v="2665-0428"/>
    <s v=""/>
    <s v="REV UNIV ZULIA"/>
    <s v="Rev. Univ. Zulia"/>
    <s v="MAY-AUG"/>
    <x v="0"/>
    <n v="14"/>
    <n v="40"/>
    <s v=""/>
    <s v=""/>
    <s v=""/>
    <s v=""/>
    <n v="486"/>
    <n v="505"/>
    <s v=""/>
    <s v="10.46925//rdluz.40.27"/>
    <s v="http://dx.doi.org/10.46925//rdluz.40.27"/>
    <s v=""/>
    <s v=""/>
    <n v="21"/>
    <x v="31"/>
    <x v="2"/>
    <s v="Social Sciences - Other Topics"/>
    <s v="H3CG8"/>
    <s v=""/>
    <s v="hybrid, Green Submitted"/>
    <s v=""/>
    <s v=""/>
    <s v="2023-11-15"/>
    <s v="WOS:000994774100027"/>
    <s v="View Full Record in Web of Science"/>
    <m/>
  </r>
  <r>
    <x v="58"/>
    <s v="J"/>
    <x v="58"/>
    <s v=""/>
    <s v=""/>
    <s v=""/>
    <s v="Sakas, Damianos P.; Giannakopoulos, Nikolaos T.; Nasiopoulos, Dimitrios K.; Kanellos, Nikos; Tsoulfas, Giannis T."/>
    <s v=""/>
    <s v=""/>
    <x v="58"/>
    <x v="4"/>
    <s v=""/>
    <s v=""/>
    <s v="English"/>
    <s v="Article"/>
    <s v=""/>
    <s v=""/>
    <s v=""/>
    <s v=""/>
    <s v=""/>
    <x v="57"/>
    <x v="46"/>
    <s v="Recent developments in blockchain technology have enabled the development of wallet applications for storing peoples' cryptocurrency reserves. Cryptocurrency wallet applications could deploy affiliate marketing processes to increase the visibility of their products. From these affiliate marketing processes, supply chain firms in the air forwarding sector that seek to advertise their services to a larger audience could be benefited. This research examines whether affiliate marketing initials of cryptocurrency wallet applications affect their digital marketing efficiency, as well as whether air forwarding firms' website visibility could be benefited from them. After collecting the required Web Analytic data, the authors performed statistical analysis (correlations and linear regressions), followed by Fuzzy Cognitive Mapping (FCM) macroanalysis and Hybrid Modeling (HM) microanalysis to assess the outcomes of cryptocurrency wallet applications' affiliate marketing programs. Hence, from the deployed methodology, valuable insights arose. The first part of the produced outcomes concerns the effect of cryptocurrency wallet application affiliate marketing metrics on their digital marketing results. The increased implications of affiliate marketing metrics (referring domains, backlinks, etc.) decrease the number of pages their visitors see. Regarding the air forwarder firms' website visibility, specific metrics (branded and referral traffic) were increased and others (social traffic) were decreased from the increment of cryptocurrency wallet application affiliate marketing metrics (backlinks, internal links, etc.). Supply chain firms, in the air forwarding sector, could have increased website visibility by deploying advertisements and affiliate marketing initiatives with cryptocurrency wallet organizations. Summing up, specific affiliate marketing metrics of cryptocurrency wallet applications are capable of significantly impacting their digital marketing performance and also constitute determinant factors of supply chain firms' website visibility."/>
    <s v="[Sakas, Damianos P.; Giannakopoulos, Nikolaos T.; Nasiopoulos, Dimitrios K.; Kanellos, Nikos] Agr Univ Athens, Sch Appl Econ &amp; Social Sci, Dept Agribusiness &amp; Supply Chain Management, Bictevac Lab Business Informat &amp; Commun Technol Va, Athens 11855, Greece; [Tsoulfas, Giannis T.] Agr Univ Athens, Sch Appl Econ &amp; Social Sci, Dept Agribusiness &amp; Supply Chain Management, Orimas Lab Org Innovat &amp; Management Syst, Athens 11855, Greece"/>
    <s v="Agricultural University of Athens; Agricultural University of Athens"/>
    <s v="Giannakopoulos, NT; Nasiopoulos, DK (corresponding author), Agr Univ Athens, Sch Appl Econ &amp; Social Sci, Dept Agribusiness &amp; Supply Chain Management, Bictevac Lab Business Informat &amp; Commun Technol Va, Athens 11855, Greece."/>
    <s v="n.giannakopoulos@aua.gr; dimnas@aua.gr"/>
    <s v=""/>
    <s v="Tsoulfas, Giannis/0000-0003-4538-9016; Nasiopoulos, Dimitrios/0000-0001-7386-1029; Sakas, Damianos/0000-0002-2253-8966; Giannakopoulos, Nikolaos T./0000-0002-4480-5893"/>
    <s v="project Smart Agriculture and Circular Bio-Economy-SmartBIC. - Operational Programme Competitiveness, Entrepreneurship and Innovation (NSRF 2014-2020) [MIS MIS5047106]; European Union (European Regional Development Fund)"/>
    <s v="project Smart Agriculture and Circular Bio-Economy-SmartBIC. - Operational Programme Competitiveness, Entrepreneurship and Innovation (NSRF 2014-2020); European Union (European Regional Development Fund)(European Union (EU))"/>
    <s v="The authors acknowledge the support of this work by the project Smart Agriculture and Circular Bio-Economy-SmartBIC. (MIS MIS5047106), which was implemented underthe Action Reinforcement of the Research and Innovation Infrastructure, funded by the Operational Programme Competitiveness, Entrepreneurship and Innovation (NSRF 2014-2020) co-financed by Greece and the European Union (European Regional Development Fund)"/>
    <s v=""/>
    <n v="74"/>
    <n v="4"/>
    <n v="4"/>
    <n v="5"/>
    <n v="5"/>
    <s v="MDPI"/>
    <s v="BASEL"/>
    <s v="ST ALBAN-ANLAGE 66, CH-4052 BASEL, SWITZERLAND"/>
    <s v=""/>
    <s v="2071-1050"/>
    <s v=""/>
    <s v="SUSTAINABILITY-BASEL"/>
    <s v="Sustainability"/>
    <s v="APR 28"/>
    <x v="0"/>
    <n v="15"/>
    <n v="9"/>
    <s v=""/>
    <s v=""/>
    <s v=""/>
    <s v=""/>
    <s v=""/>
    <s v=""/>
    <n v="7326"/>
    <s v="10.3390/su15097326"/>
    <s v="http://dx.doi.org/10.3390/su15097326"/>
    <s v=""/>
    <s v=""/>
    <n v="21"/>
    <x v="4"/>
    <x v="3"/>
    <s v="Science &amp; Technology - Other Topics; Environmental Sciences &amp; Ecology"/>
    <s v="G3IR5"/>
    <s v=""/>
    <s v="gold"/>
    <s v=""/>
    <s v=""/>
    <s v="2023-11-15"/>
    <s v="WOS:000988138700001"/>
    <s v="View Full Record in Web of Science"/>
    <m/>
  </r>
  <r>
    <x v="59"/>
    <s v="J"/>
    <x v="59"/>
    <s v=""/>
    <s v=""/>
    <s v=""/>
    <s v="Pierce, Poppy; Whitten, Melissa; Hillman, Sara"/>
    <s v=""/>
    <s v=""/>
    <x v="59"/>
    <x v="51"/>
    <s v=""/>
    <s v=""/>
    <s v="English"/>
    <s v="Article"/>
    <s v=""/>
    <s v=""/>
    <s v=""/>
    <s v=""/>
    <s v=""/>
    <x v="58"/>
    <x v="47"/>
    <s v="IntroductionDigitalisation offers innovative solutions within maternity services; however, vulnerable groups risk being overlooked. University College London Hospital's (UCLH) successful implementation of a digital maternity app, MyCare, gives women access to test results, information about appointments, and enables communication with healthcare professionals (HCPs). Yet, little is known about access and engagement among vulnerable pregnant women. MethodologyResearch was conducted over a 3-month period (April-June 2022) in the Maternity Department at UCLH, UK. MyCare datasets were analysed, and anonymised surveys completed by vulnerable pregnant women and HCPs. ResultsLower rates of utilisation and engagement with MyCare were seen in vulnerable pregnant women especially among refugee/asylum seekers, those with mental health issues, and those facing domestic violence. Non-users were also more likely to be individuals from ethnic minority backgrounds, with a lower average social-deprivation-index decile, whose first language was not English, and with a significant history of non-attendance to appointments. Patient and HCP surveys highlighted various barriers to MyCare engagement, including a lack of motivation, limited language options, low e-literacy levels, and complex app interfaces. ConclusionThe use of a single digital tool, without a formulated pathway to identify and assist those not accessing or engaging with it, risks unequal care provision which may exacerbate health inequalities. This research advances the idea that digital exclusion is not necessarily a matter of access to technology, but an issue of a lack of engagement with these tools. Therefore, vulnerable women and HCPs must be integral to the implementation of digital strategies, to ensure no one is left behind."/>
    <s v="[Pierce, Poppy] UCL, Fac Med Sci, Med Sch, London, England; [Whitten, Melissa; Hillman, Sara] Univ Coll London Hosp NHS Fdn Trust, Womens Hlth Div, Elizabeth Garrett Anderson Wing, London, England; [Whitten, Melissa; Hillman, Sara] UCL, EGA Inst Womens Hlth, Dept Maternal &amp; Fetal Med, London, England"/>
    <s v="University of London; University College London; University of London; University College London; University College London Hospitals NHS Foundation Trust; University of London; University College London"/>
    <s v="Pierce, P (corresponding author), UCL, Fac Med Sci, Med Sch, London, England."/>
    <s v="poppy.pierce.19@ucl.ac.uk"/>
    <s v=""/>
    <s v=""/>
    <s v=""/>
    <s v=""/>
    <s v=""/>
    <s v=""/>
    <n v="44"/>
    <n v="0"/>
    <n v="0"/>
    <n v="0"/>
    <n v="0"/>
    <s v="FRONTIERS MEDIA SA"/>
    <s v="LAUSANNE"/>
    <s v="AVENUE DU TRIBUNAL FEDERAL 34, LAUSANNE, CH-1015, SWITZERLAND"/>
    <s v=""/>
    <s v="2673-253X"/>
    <s v=""/>
    <s v="FRONT DIGIT HEALTH"/>
    <s v="Front. Digit. Health"/>
    <s v="APR 21"/>
    <x v="0"/>
    <n v="5"/>
    <s v=""/>
    <s v=""/>
    <s v=""/>
    <s v=""/>
    <s v=""/>
    <s v=""/>
    <s v=""/>
    <n v="1155708"/>
    <s v="10.3389/fdgth.2023.1155708"/>
    <s v="http://dx.doi.org/10.3389/fdgth.2023.1155708"/>
    <s v=""/>
    <s v=""/>
    <n v="11"/>
    <x v="40"/>
    <x v="2"/>
    <s v="Health Care Sciences &amp; Services; Medical Informatics"/>
    <s v="M4TO9"/>
    <n v="37153515"/>
    <s v="Green Published, gold"/>
    <s v=""/>
    <s v=""/>
    <s v="2023-11-15"/>
    <s v="WOS:001030154600001"/>
    <s v="View Full Record in Web of Science"/>
    <m/>
  </r>
  <r>
    <x v="60"/>
    <s v="J"/>
    <x v="60"/>
    <s v=""/>
    <s v=""/>
    <s v=""/>
    <s v="Yao, Qi; Tang, Hongjuan; Liu, Yunqing; Boadu, Francis"/>
    <s v=""/>
    <s v=""/>
    <x v="60"/>
    <x v="26"/>
    <s v=""/>
    <s v=""/>
    <s v="English"/>
    <s v="Article; Early Access"/>
    <s v=""/>
    <s v=""/>
    <s v=""/>
    <s v=""/>
    <s v=""/>
    <x v="59"/>
    <x v="48"/>
    <s v="Purpose - Successful digital transformation involves all areas which bring new impacts and challenges to the leadership of the enterprise. From the perspective of organizational identification, the authors construct a theoretical model of digital leadership-digital strategic consensus-digital transformation and explore the different moderated mediation effects of diversity types.Design/methodology/approach - This paper obtains data from 351 Chinese science and technology enterprises and uses regression analysis and bootstrap analysis to test the research hypotheses.Findings - The results demonstrate that digital leadership has a positive impact on digital transformation. Digital strategic consensus partially mediates the linkage between digital leadership and digital transformation. Disparity diversity and variety diversity positively moderate the mediating role of digital strategic consensus between digital leadership and digital transformation, respectively; and separation diversity negatively moderates the mediating role of digital strategic consensus between digital leadership and digital transformation.Originality/value - The research innovatively measures digital leadership and digital transformation. It expands the application of leadership, strategic consensus, diversity and other related theories in a digital context and provides a decision-making basis for enterprises' digital transformation."/>
    <s v="[Yao, Qi; Tang, Hongjuan] Chongqing Jiaotong Univ, Sch Econ &amp; Management, Chongqing, Peoples R China; [Liu, Yunqing] Anhui Univ Finance &amp; Econ, Sch Finance &amp; Publ Adm, Bengbu, Peoples R China; [Boadu, Francis] Kumasi Tech Univ, Kumasi, Ghana"/>
    <s v="Chongqing Jiaotong University; Anhui University of Finance &amp; Economics"/>
    <s v="Liu, YQ (corresponding author), Anhui Univ Finance &amp; Econ, Sch Finance &amp; Publ Adm, Bengbu, Peoples R China."/>
    <s v="yaoqi@cqjtu.edu.cn; 201732110142@std.uestc.edu.cn; liuyunqing@aufe.edu.cn; linnacus@yahoo.com"/>
    <s v="Boadu, Francis/ABI-3509-2020; Boadu, Francis/AAA-2642-2021"/>
    <s v="Boadu, Francis/0000-0001-7029-2828; Tang, Hongjuan/0000-0003-2686-861X; Liu, Yunqing/0000-0003-2013-8747"/>
    <s v="National Natural Science Foundation of China [72172021, 71772021, 72202001]; Youth Project of Anhui Provincial Philosophy and Social Science Planning Fund [AHSKQ2022D054]; Chongqing Jiaotong University Graduate Scientific Research Innovation Project [CYB22240]"/>
    <s v="National Natural Science Foundation of China(National Natural Science Foundation of China (NSFC)); Youth Project of Anhui Provincial Philosophy and Social Science Planning Fund; Chongqing Jiaotong University Graduate Scientific Research Innovation Project"/>
    <s v="This work was supported by the National Natural Science Foundation of China (No. 72172021, 71772021 and 72202001); the Youth Project of Anhui Provincial Philosophy and Social Science Planning Fund (No. AHSKQ2022D054); and the Chongqing Jiaotong University Graduate Scientific Research Innovation Project (No. CYB22240)."/>
    <s v=""/>
    <n v="79"/>
    <n v="1"/>
    <n v="1"/>
    <n v="262"/>
    <n v="284"/>
    <s v="EMERALD GROUP PUBLISHING LTD"/>
    <s v="BINGLEY"/>
    <s v="HOWARD HOUSE, WAGON LANE, BINGLEY BD16 1WA, W YORKSHIRE, ENGLAND"/>
    <s v="1741-0398"/>
    <s v="1758-7409"/>
    <s v=""/>
    <s v="J ENTERP INF MANAG"/>
    <s v="J. Enterp. Inf. Manag."/>
    <s v="2023 APR 13"/>
    <x v="0"/>
    <s v=""/>
    <s v=""/>
    <s v=""/>
    <s v=""/>
    <s v=""/>
    <s v=""/>
    <s v=""/>
    <s v=""/>
    <s v=""/>
    <s v="10.1108/JEIM-09-2022-0350"/>
    <s v="http://dx.doi.org/10.1108/JEIM-09-2022-0350"/>
    <s v=""/>
    <s v="APR 2023"/>
    <n v="25"/>
    <x v="25"/>
    <x v="1"/>
    <s v="Computer Science; Information Science &amp; Library Science; Business &amp; Economics"/>
    <s v="D3YV9"/>
    <s v=""/>
    <s v=""/>
    <s v=""/>
    <s v=""/>
    <s v="2023-11-15"/>
    <s v="WOS:000968128200001"/>
    <s v="View Full Record in Web of Science"/>
    <m/>
  </r>
  <r>
    <x v="61"/>
    <s v="J"/>
    <x v="61"/>
    <s v=""/>
    <s v=""/>
    <s v=""/>
    <s v="Mihu, Cantemir; Pitic, Antoniu Gabriel; Bayraktar, Dorin"/>
    <s v=""/>
    <s v=""/>
    <x v="61"/>
    <x v="52"/>
    <s v=""/>
    <s v=""/>
    <s v="English"/>
    <s v="Article"/>
    <s v=""/>
    <s v=""/>
    <s v=""/>
    <s v=""/>
    <s v=""/>
    <x v="60"/>
    <x v="49"/>
    <s v="Digital transformation has become a critical topic for organizations that want to stay competitive in today's digital age. The widespread use of digital technologies has brought significant changes to the way organizations exist, operate and interact with customers. They are going through a process of reshaping and reorganizing processes and operations, as well as rethinking and redefining the human role in the value creation process. However, digital technologies and their diffusion are not the only driver of digital transformation, as the success of such change initiatives depends on many other factors, the definition of which is crucial to the success of digital transformation. The objective of this paper is to explore the drivers of digital transformation and their impact on management. The work presents a comprehensive review of the literature on digital transformation, identifying the main drivers that influence the success of digital transformation initiatives. It also defines the impact of these drivers on the management of organizations, identifying how the role of the executive is being redefined in today's digital age."/>
    <s v="[Mihu, Cantemir; Pitic, Antoniu Gabriel; Bayraktar, Dorin] Lucian Blaga Univ Sibiu, Sibiu, Romania"/>
    <s v="Lucian Blaga University of Sibiu"/>
    <s v="Mihu, C (corresponding author), Lucian Blaga Univ Sibiu, Sibiu, Romania."/>
    <s v=""/>
    <s v=""/>
    <s v=""/>
    <s v=""/>
    <s v=""/>
    <s v=""/>
    <s v=""/>
    <n v="131"/>
    <n v="0"/>
    <n v="0"/>
    <n v="30"/>
    <n v="30"/>
    <s v="SCIENDO"/>
    <s v="WARSAW"/>
    <s v="BOGUMILA ZUGA 32A, WARSAW, MAZOVIA, POLAND"/>
    <s v="1842-4120"/>
    <s v="2344-5416"/>
    <s v=""/>
    <s v="STUD BUS ECON-ROM"/>
    <s v="Stud. Bus. Econ."/>
    <s v="APR 1"/>
    <x v="0"/>
    <n v="18"/>
    <n v="1"/>
    <s v=""/>
    <s v=""/>
    <s v=""/>
    <s v=""/>
    <n v="149"/>
    <n v="170"/>
    <s v=""/>
    <s v="10.2478/sbe-2023-0009"/>
    <s v="http://dx.doi.org/10.2478/sbe-2023-0009"/>
    <s v=""/>
    <s v=""/>
    <n v="22"/>
    <x v="15"/>
    <x v="2"/>
    <s v="Business &amp; Economics"/>
    <s v="G4MB7"/>
    <s v=""/>
    <s v="gold"/>
    <s v=""/>
    <s v=""/>
    <s v="2023-11-15"/>
    <s v="WOS:000988904900009"/>
    <s v="View Full Record in Web of Science"/>
    <m/>
  </r>
  <r>
    <x v="62"/>
    <s v="J"/>
    <x v="62"/>
    <s v=""/>
    <s v=""/>
    <s v=""/>
    <s v="Schachtner, Christian"/>
    <s v=""/>
    <s v=""/>
    <x v="62"/>
    <x v="53"/>
    <s v=""/>
    <s v=""/>
    <s v="English"/>
    <s v="Article"/>
    <s v=""/>
    <s v=""/>
    <s v=""/>
    <s v=""/>
    <s v=""/>
    <x v="61"/>
    <x v="50"/>
    <s v="The objectives of this study are to demonstrate the effect of a function called 'Chief Digital Office' as a responsible positioning of digitization at the C-level. This is intended to show both the importance of digitization measures and the effect of change projects with a methodical approach in cross-sectional tasks for strategic work. The previous work shows different functional layouts and individual responsibilities without conceptual foundations in the implementation of digital strategies. To provide the first contribution to a common framework for the work of CDOs, a basic concept for public administration based on the municipalities is to be launched. The results lead to statements about the optimization potentials of the status of the study survey of the digitization of German municipalities: Digital Vorangehen [Leading the way digitally] (2020). In particular, this includes the development of a holistic digital agenda, the use of future technologies and the mindset for the development of innovative implementation solutions in both internal service provision and outward-looking services. The value lies in contributing to the establishment of the framework of 'Public Digital Transformation Governance' to transfer the fundamental standardization of the action strands into a functional profile."/>
    <s v="[Schachtner, Christian] IU Int Hsch, Kaiserpl 1, D-83435 Bad Reichenhall, Germany"/>
    <s v=""/>
    <s v="Schachtner, C (corresponding author), IU Int Hsch, Kaiserpl 1, D-83435 Bad Reichenhall, Germany."/>
    <s v="christian.schachtner@iu.org"/>
    <s v=""/>
    <s v="Schachtner, Christian/0000-0001-5332-6280"/>
    <s v=""/>
    <s v=""/>
    <s v=""/>
    <s v=""/>
    <n v="25"/>
    <n v="0"/>
    <n v="0"/>
    <n v="5"/>
    <n v="5"/>
    <s v="MDPI"/>
    <s v="BASEL"/>
    <s v="ST ALBAN-ANLAGE 66, CH-4052 BASEL, SWITZERLAND"/>
    <s v=""/>
    <s v="2624-6511"/>
    <s v=""/>
    <s v="SMART CITIES-BASEL"/>
    <s v="Smart Cities"/>
    <s v="APR"/>
    <x v="0"/>
    <n v="6"/>
    <n v="2"/>
    <s v=""/>
    <s v=""/>
    <s v=""/>
    <s v=""/>
    <n v="809"/>
    <n v="818"/>
    <s v=""/>
    <s v="10.3390/smartcities6020039"/>
    <s v="http://dx.doi.org/10.3390/smartcities6020039"/>
    <s v=""/>
    <s v=""/>
    <n v="10"/>
    <x v="41"/>
    <x v="2"/>
    <s v="Engineering; Urban Studies"/>
    <s v="E8NS6"/>
    <s v=""/>
    <s v="gold"/>
    <s v=""/>
    <s v=""/>
    <s v="2023-11-15"/>
    <s v="WOS:000978051100001"/>
    <s v="View Full Record in Web of Science"/>
    <m/>
  </r>
  <r>
    <x v="63"/>
    <s v="J"/>
    <x v="63"/>
    <s v=""/>
    <s v=""/>
    <s v=""/>
    <s v="Ruvalcaba-Gomez, Edgar A.; Cifuentes-Faura, Javier"/>
    <s v=""/>
    <s v=""/>
    <x v="63"/>
    <x v="54"/>
    <s v=""/>
    <s v=""/>
    <s v="English"/>
    <s v="Article; Early Access"/>
    <s v=""/>
    <s v=""/>
    <s v=""/>
    <s v=""/>
    <s v=""/>
    <x v="62"/>
    <x v="51"/>
    <s v="The advancement and continuous development of information and communication technologies highlights the importance of analysing and monitoring the development and capabilities of governments to use and exploit the potential of new technologies. Digital government and artificial intelligence in the public sector are two trends associated with technological development. This research conducts an analysis of these elements from the perspective of public officials by conducting a factor analysis. The study is based on a survey administered to civil servants in the state of Jalisco in Mexico. An analysis was made of their training and knowledge of these aspects and whether there are significant differences according to gender, age, level of studies, area of knowledge and place of work. The results obtained show divergences and coincidences between variables and factors. The findings are useful as a reference for the government of Jalisco to promote measures aimed at improving the situation of digital government and artificial intelligence in the short to medium term, in order to optimize administrative management. Points for practitioners Knowing the perspective of public officials on digital government and artificial intelligence is important to evaluate and design a digital strategy in governments. Public officials in charge of technology areas in governments need constant training on emerging technological tools, mainly those related to artificial intelligence. There is a lack of knowledge about the use and implications of artificial intelligence in the public sector by public servants. Data interoperability and coordination between government agencies are relevant to the development of digital government."/>
    <s v="[Ruvalcaba-Gomez, Edgar A.] Univ Guadalajara, Univ Ctr Econ &amp; Adm Sci CUCEA, Dept Publ Policy, Guadalajara, Mexico; [Cifuentes-Faura, Javier] Univ Murcia, Fac Econ &amp; Business, Dept Financial Econ &amp; Accounting, Murcia, Spain; [Cifuentes-Faura, Javier] Univ Murcia, Fac Econ &amp; Business, s-n Campus Univ, Murcia 30100, Spain"/>
    <s v="Universidad de Guadalajara; University of Murcia; University of Murcia"/>
    <s v="Cifuentes-Faura, J (corresponding author), Univ Murcia, Fac Econ &amp; Business, s-n Campus Univ, Murcia 30100, Spain."/>
    <s v="javier.cifuentes@um.es"/>
    <s v=""/>
    <s v="Ruvalcaba-Gomez, Edgar Alejandro/0000-0003-0999-0680; Cifuentes-Faura, Javier/0000-0001-6763-8525"/>
    <s v="Madrid Institute for Advanced Study (MIAS); Instituto de Investigacion en Rendicion de Cuentas y Combate a la Corrupcion (IIRCCC)"/>
    <s v="Madrid Institute for Advanced Study (MIAS); Instituto de Investigacion en Rendicion de Cuentas y Combate a la Corrupcion (IIRCCC)"/>
    <s v="We thank the Centro de Estudios Estrategicos para el Desarrollo (CEED) of the Universidad de Guadalajara for providing us with information and data for this research. Also, we thank the Madrid Institute for Advanced Study (MIAS) and the Instituto de Investigacion en Rendicion de Cuentas y Combate a la Corrupcion (IIRCCC) for their support during the development of this research."/>
    <s v=""/>
    <n v="37"/>
    <n v="1"/>
    <n v="1"/>
    <n v="30"/>
    <n v="31"/>
    <s v="SAGE PUBLICATIONS LTD"/>
    <s v="LONDON"/>
    <s v="1 OLIVERS YARD, 55 CITY ROAD, LONDON EC1Y 1SP, ENGLAND"/>
    <s v="0020-8523"/>
    <s v="1461-7226"/>
    <s v=""/>
    <s v="INT REV ADM SCI"/>
    <s v="Int. Rev. Adm. Sci."/>
    <s v="2023 MAR 29"/>
    <x v="0"/>
    <s v=""/>
    <s v=""/>
    <s v=""/>
    <s v=""/>
    <s v=""/>
    <s v=""/>
    <s v=""/>
    <s v=""/>
    <s v=""/>
    <s v="10.1177/00208523231164587"/>
    <s v="http://dx.doi.org/10.1177/00208523231164587"/>
    <s v=""/>
    <s v="MAR 2023"/>
    <n v="20"/>
    <x v="42"/>
    <x v="1"/>
    <s v="Public Administration"/>
    <s v="D1UJ8"/>
    <s v=""/>
    <s v=""/>
    <s v=""/>
    <s v=""/>
    <s v="2023-11-15"/>
    <s v="WOS:000966637800001"/>
    <s v="View Full Record in Web of Science"/>
    <m/>
  </r>
  <r>
    <x v="64"/>
    <s v="J"/>
    <x v="64"/>
    <s v=""/>
    <s v=""/>
    <s v=""/>
    <s v="Lema, Melisa L. Diaz L.; Rossi, Lidia; Soncin, Mara"/>
    <s v=""/>
    <s v=""/>
    <x v="64"/>
    <x v="55"/>
    <s v=""/>
    <s v=""/>
    <s v="English"/>
    <s v="Article"/>
    <s v=""/>
    <s v=""/>
    <s v=""/>
    <s v=""/>
    <s v=""/>
    <x v="63"/>
    <x v="1"/>
    <s v="The Covid-19 pandemic coerced the closure of most schools around the world and forced teachers and students to change teaching and learning methods. Emergency Remote Teaching (ERT) generated consequences to teachers and students in terms of learning outcomes and personal well-being. This study focuses on teachers' individual and working environment well-being in ERT conditions and intends to explore which factors related to the provision of digital equipment and the implementation of digital strategies by schools explain the school effect on both typologies of well-being during the Covid-19 emergency. To do so, data collected in the Responses to Educational Disruption Survey (REDS) across three countries were used, and a two-step analysis was conducted. A first step involves the use of linear mixed effect models to assess the school effect on teachers individual and working environment well-being. In the second step Regression Trees (RT) are used to investigate which factors and policies related to digital tools explained the identified school effects. The results show that schools and countries played a role in determining teachers perceived well-being during the Covid-19 disruption, in particular the school level explains more than 7% of the work environment well-being and 8% of individual one. In the second step of the analysis results show that a high positive effect on school environment well-being is observed when the school's activity is not influenced by policies limiting the use of online tools and when teacher's readiness for remote teaching, like the development of technical skills and the provision of internet access and digital devices, is met. To the best of our knowledge, this is the first study that evaluates the impact of digital tactics and instruments provided by schools on teachers' well-being on a large scale."/>
    <s v="[Lema, Melisa L. Diaz L.; Rossi, Lidia; Soncin, Mara] Sch Management Politecn Milano, Via Lambruschini 4-B, Milan, Italy"/>
    <s v=""/>
    <s v="Rossi, L (corresponding author), Sch Management Politecn Milano, Via Lambruschini 4-B, Milan, Italy."/>
    <s v="lidia.rossi@polimi.it"/>
    <s v="Soncin, Mara/AAL-5559-2020"/>
    <s v="Rossi, Lidia/0000-0002-6151-2910"/>
    <s v=""/>
    <s v=""/>
    <s v=""/>
    <s v=""/>
    <n v="35"/>
    <n v="0"/>
    <n v="0"/>
    <n v="3"/>
    <n v="4"/>
    <s v="SPRINGER"/>
    <s v="NEW YORK"/>
    <s v="ONE NEW YORK PLAZA, SUITE 4600, NEW YORK, NY, UNITED STATES"/>
    <s v=""/>
    <s v="2196-0739"/>
    <s v=""/>
    <s v="LARGE-SCALE ASSESS E"/>
    <s v="Large-Scale Assess. Educ."/>
    <s v="MAR 27"/>
    <x v="0"/>
    <n v="11"/>
    <n v="1"/>
    <s v=""/>
    <s v=""/>
    <s v=""/>
    <s v=""/>
    <s v=""/>
    <s v=""/>
    <n v="10"/>
    <s v="10.1186/s40536-023-00159-7"/>
    <s v="http://dx.doi.org/10.1186/s40536-023-00159-7"/>
    <s v=""/>
    <s v=""/>
    <n v="20"/>
    <x v="39"/>
    <x v="2"/>
    <s v="Education &amp; Educational Research"/>
    <s v="A2RK7"/>
    <n v="37008281"/>
    <s v="gold, Green Published"/>
    <s v=""/>
    <s v=""/>
    <s v="2023-11-15"/>
    <s v="WOS:000953654700001"/>
    <s v="View Full Record in Web of Science"/>
    <m/>
  </r>
  <r>
    <x v="65"/>
    <s v="J"/>
    <x v="65"/>
    <s v=""/>
    <s v=""/>
    <s v=""/>
    <s v="Dumbrell, Josh; Daneshvar, Hadi; Oteo, Alberto; Baldacchino, Alexander; Matheson, Catriona"/>
    <s v=""/>
    <s v=""/>
    <x v="65"/>
    <x v="56"/>
    <s v=""/>
    <s v=""/>
    <s v="English"/>
    <s v="Article"/>
    <s v=""/>
    <s v=""/>
    <s v=""/>
    <s v=""/>
    <s v=""/>
    <x v="64"/>
    <x v="52"/>
    <s v="BackgroundOpioids were implicated in approximately 88,000 fatal overdoses (OD) globally. However, in principle all opioid OD are reversible with the timely administration of naloxone hydrochloride. Despite the widespread availability of naloxone among people who use opioids (PWUO), many who suffer fatal OD use alone, without others present to administer the reversal agent. Recognising this key aspect of the challenge calls for innovations, a number of technological approaches have emerged which aim to connect OD victims with naloxone. However, the acceptability of OD response technologies to PWUO is of key concern.MethodsDrawing on the Technology People Organisations Macroenvironment (TPOM) framework, this study sought to integrate acceptability-related findings in this space with primary research data from PWUO, affected family members and service providers to understand the factors involved in harm reduction technology acceptability.A qualitative study using a focus group methodology was conducted. The participant groups were people with lived experience of problem opioid use, affected family members and service providers. Data analysis followed a multi-stage approach to thematic analysis and utilised both inductive and deductive methods.ResultsThirty individuals participated in one of six focus groups between November 2021 and September 2022. The analysis generated six major themes, three of which are reported in this article-selected for their close relevance to PWUO and their importance to developers of digital technologies for this group. 'Trust-in technologies, systems and people' was a major theme and was closely linked to data security, privacy and confidentiality. 'Balancing harm reduction, safety and ambivalence' reflects the delicate balance technological solutions must achieve to be acceptable to PWUO. Lastly, 'readiness-a double bind' encapsulates the perception shared across participant groups, that those at the highest risk, may be the least able to engage with interventions.ConclusionEffective digital strategies to prevent fatal OD must be sensitive to the complex relationships between technological, social/human, organisational and wider macroenvironmental factors which can enable or impede intervention delivery. Trust, readiness and performance are central to technology acceptability for PWUO. An augmented TPOM was developed (the TPOM-ODART)."/>
    <s v="[Dumbrell, Josh] Univ Stirling, Drugs Res Network Scotland, Stirling, Scotland; [Daneshvar, Hadi; Matheson, Catriona] Univ Stirling, Fac Social Sci, Stirling, Scotland; [Oteo, Alberto; Baldacchino, Alexander] Univ St Andrews, Med Sch, St Andrews, Scotland"/>
    <s v="University of Stirling; University of Stirling; University of St Andrews"/>
    <s v="Dumbrell, J (corresponding author), Univ Stirling, Drugs Res Network Scotland, Stirling, Scotland."/>
    <s v="j.l.dumbrell@stir.ac.uk"/>
    <s v=""/>
    <s v="Baldacchino, Alex/0000-0002-5388-7376; Oteo Perez, Alberto/0000-0002-4239-9529"/>
    <s v="Scottish Government Technology Enabled Care Directorate"/>
    <s v="Scottish Government Technology Enabled Care Directorate"/>
    <s v="This study was funded by Scottish Government Technology Enabled Care Directorate."/>
    <s v=""/>
    <n v="49"/>
    <n v="1"/>
    <n v="1"/>
    <n v="1"/>
    <n v="2"/>
    <s v="BMC"/>
    <s v="LONDON"/>
    <s v="CAMPUS, 4 CRINAN ST, LONDON N1 9XW, ENGLAND"/>
    <s v=""/>
    <s v="1477-7517"/>
    <s v=""/>
    <s v="HARM REDUCT J"/>
    <s v="Harm Reduct. J."/>
    <s v="MAR 26"/>
    <x v="0"/>
    <n v="20"/>
    <n v="1"/>
    <s v=""/>
    <s v=""/>
    <s v=""/>
    <s v=""/>
    <s v=""/>
    <s v=""/>
    <n v="40"/>
    <s v="10.1186/s12954-023-00763-4"/>
    <s v="http://dx.doi.org/10.1186/s12954-023-00763-4"/>
    <s v=""/>
    <s v=""/>
    <n v="10"/>
    <x v="43"/>
    <x v="1"/>
    <s v="Substance Abuse"/>
    <s v="A7QV7"/>
    <n v="36967388"/>
    <s v="gold, Green Published"/>
    <s v=""/>
    <s v=""/>
    <s v="2023-11-15"/>
    <s v="WOS:000957037500001"/>
    <s v="View Full Record in Web of Science"/>
    <m/>
  </r>
  <r>
    <x v="66"/>
    <s v="J"/>
    <x v="66"/>
    <s v=""/>
    <s v=""/>
    <s v=""/>
    <s v="Alberto Marino-Romero, Jorge; Palos-Sanchez, Pedro R.; Velicia-Martin, Elix"/>
    <s v=""/>
    <s v=""/>
    <x v="66"/>
    <x v="57"/>
    <s v=""/>
    <s v=""/>
    <s v="English"/>
    <s v="Article"/>
    <s v=""/>
    <s v=""/>
    <s v=""/>
    <s v=""/>
    <s v=""/>
    <x v="65"/>
    <x v="53"/>
    <s v="Purpose - The aim of this research is to analyze the success of digital transformation (DT) in the management and performance of organizations. To do so, the role of IT and its ability to integrate in organizations that provide professional services with high added value for their clients are investigated. These services require highly developed skills as they solve complex problems for the clients and this means that success depends on gathering knowledge from different sources (customers, public administrations and competitors). This study analyses the decisive and complementary role of IT in this process. Design/methodology/approach - The analysis combines quantitative and qualitative methods. After questioning managers of Spanish KIBS companies about certain components of DT, the gathered data are subsequently processed with PLS-SEM to establish causal relationships. Findings - The results show that digital capability is the determinant of DT. It has a positive effect on the digital resources integrated in KIBS companies and on their organizational performances. Research limitations/implications - Future research should continue to analyze other components of TD that drive the organizational performance of KIBS firms, such as technological culture or government policies that encourage digital transactions. The present study analyzes data from companies that are part of a single economic sector in Spain which may limit the conclusions drawn. It would be particularly useful to confirm the applicability of the results in companies operating in different markets to explore the direct relationship between digital capability and organizational performance. Practical implications - This research has implications formanagers of KIBS companies, as it shows the high potential of the ability of IT to implement and manage a TD process. Managers can benefit from IT management practices using the appropriate tools (ERP, CRM and management software) to gain more knowledge of customer behavior with the possibility of easily codifying and analyzing the data, which significantly influences innovation activities. The objective is to develop a strong internal capability to absorb knowledge from day-to-day interactions with customers by using IT effectively. This process leads to an improvement in the organizational performance of KIBS companies, as they become more effective in decision making with improved internal communication, generate greater employee satisfaction and reach new customers. Following strategies aimed at the implementation and use of the technological resources studied creates more agile firms and helps to close the production gap between SMEs and large companies. Social implications - The results obtained can help create sustainable businesses through cloud-based technology tools. It can provide insights for policy makers to implement economic policies that help SMEs to become more competitive and sustainable. Originality/value - The development of digital technologies and the ability to manage them is one of the decisive factors that conceptualizesDTand improves organizational performance. This research contributes to the understanding of the need for managers of KIBS companies to follow strategies oriented towards the digitization of their organizations and for the collaborators to have a high level of IT training, especially in the use of cloud technology."/>
    <s v="[Alberto Marino-Romero, Jorge; Velicia-Martin, Elix] Univ Seville, Dept Business Adm &amp; Mkt, Fac Econ &amp; Business Sci, Seville, Spain; [Alberto Marino-Romero, Jorge] Univ Extremadura, Dept Financial Econ &amp; Accounting, Badajoz, Spain; [Palos-Sanchez, Pedro R.] Univ Seville, Dept Financial Econ &amp; Operat Management, Fac Econ &amp; Business Sci, Seville, Spain"/>
    <s v="University of Sevilla; Universidad de Extremadura; University of Sevilla"/>
    <s v="Palos-Sanchez, PR (corresponding author), Univ Seville, Dept Financial Econ &amp; Operat Management, Fac Econ &amp; Business Sci, Seville, Spain."/>
    <s v="ppalos@us.es"/>
    <s v="Mariño Romero, Jorge Alberto/ITR-9914-2023; Velicia-Martin, Felix/M-4710-2014; Palos-Sanchez, Pedro R./A-8952-2017"/>
    <s v="Mariño Romero, Jorge Alberto/0000-0002-9624-5154; Velicia-Martin, Felix/0000-0003-2300-6256; Palos-Sanchez, Pedro R./0000-0001-9966-0698"/>
    <s v=""/>
    <s v=""/>
    <s v=""/>
    <s v=""/>
    <n v="148"/>
    <n v="4"/>
    <n v="4"/>
    <n v="25"/>
    <n v="25"/>
    <s v="EMERALD GROUP PUBLISHING LTD"/>
    <s v="BINGLEY"/>
    <s v="HOWARD HOUSE, WAGON LANE, BINGLEY BD16 1WA, W YORKSHIRE, ENGLAND"/>
    <s v="2055-6225"/>
    <s v=""/>
    <s v=""/>
    <s v="J SERV THEOR PRACT"/>
    <s v="J. Serv. Theory Pract."/>
    <s v="MAR 24"/>
    <x v="0"/>
    <n v="33"/>
    <n v="2"/>
    <s v=""/>
    <s v=""/>
    <s v=""/>
    <s v=""/>
    <n v="169"/>
    <n v="197"/>
    <s v=""/>
    <s v="10.1108/JSTP-04-2022-0095"/>
    <s v="http://dx.doi.org/10.1108/JSTP-04-2022-0095"/>
    <s v=""/>
    <s v=""/>
    <n v="29"/>
    <x v="6"/>
    <x v="1"/>
    <s v="Business &amp; Economics"/>
    <s v="K3ZG9"/>
    <s v=""/>
    <s v="Green Published, hybrid"/>
    <s v=""/>
    <s v=""/>
    <s v="2023-11-15"/>
    <s v="WOS:001015848200001"/>
    <s v="View Full Record in Web of Science"/>
    <m/>
  </r>
  <r>
    <x v="67"/>
    <s v="J"/>
    <x v="67"/>
    <s v=""/>
    <s v=""/>
    <s v=""/>
    <s v="Khan, Shahbaz; Haleem, Abid; Husain, Zafar; Samson, Daniel; Pathak, R. D."/>
    <s v=""/>
    <s v=""/>
    <x v="67"/>
    <x v="58"/>
    <s v=""/>
    <s v=""/>
    <s v="English"/>
    <s v="Article; Early Access"/>
    <s v=""/>
    <s v=""/>
    <s v=""/>
    <s v=""/>
    <s v=""/>
    <x v="66"/>
    <x v="54"/>
    <s v="In the era of digitalization, Blockchain is an evolving technology that has the potential to change the shape of numerous industries. Blockchain is considered the transforming technology that has the ability to change the conventional supply chain network by providing additional transparency of transactions in terms of information and physical goods. Additionally, the implementation of blockchain technology in the supply chain is required to accomplish the objectives of industry 4.0. However, there has to date been a scarcity of blockchain implementations due to the numerous barriers associated with it. Therefore, the primary aim of this research is to identify and investigate the major barriers to implementing blockchain technology in supply chains. We identified ten significant barriers to adopting blockchain technology through a literature review and expert opinions. Additionally, the finalized barriers were categorized into an influential and influenced group using the DEMATEL method. The findings of this study show that 'influential group' barriers require more attention from the supply chain partners to mitigate these barriers. The primary influential barriers are 'Lack of information sharing,' 'Trust management issues,' and 'Lack of upgraded technologies', and these barriers require immediate attention from supply chain stakeholders wishing to use blockchain. These findings contribute to improving managerial decisions and digital strategies regarding blockchain within organisations, and how implementation can effectively be achieved."/>
    <s v="[Khan, Shahbaz] GLA Univ, Inst Business Management, Mathura, India; [Haleem, Abid] Jamila Millia Islamia, Fac Engn, New Delhi, India; [Husain, Zafar] Al Ain Univ, Coll Business, Al Ain, U Arab Emirates; [Samson, Daniel] Univ Melbourne, Melbourne, Australia; [Pathak, R. D.] Univ South Pacific, Grad Sch Business, Suva, Fiji"/>
    <s v="GLA University; Jamia Millia Islamia; University of Melbourne; University of the South Pacific"/>
    <s v="Samson, D (corresponding author), Univ Melbourne, Melbourne, Australia."/>
    <s v="shahbaz.me12@gmail.com; ahaleem@jmi.ac.in; Zafar.husain@aau.ac.ae; d.samson@unimelb.edu.au; raghuvar.pathak@usp.ac.fj"/>
    <s v="Husain, Zafar/F-8033-2015; HALEEM, ABID/G-4761-2012; Khan, Shahbaz/AAE-5608-2019"/>
    <s v="Husain, Zafar/0000-0003-4455-0189; HALEEM, ABID/0000-0002-3487-0229; Khan, Shahbaz/0000-0003-3543-9729; samson, danny/0000-0003-3159-0624"/>
    <s v="CAUL"/>
    <s v="CAUL"/>
    <s v="Open Access funding enabled and organized by CAUL and its Member Institutions."/>
    <s v=""/>
    <n v="64"/>
    <n v="2"/>
    <n v="2"/>
    <n v="27"/>
    <n v="30"/>
    <s v="SPRINGER"/>
    <s v="NEW YORK"/>
    <s v="ONE NEW YORK PLAZA, SUITE 4600, NEW YORK, NY, UNITED STATES"/>
    <s v="1936-9735"/>
    <s v="1936-9743"/>
    <s v=""/>
    <s v="OPER MANAGE RES"/>
    <s v="Oper. Manag. Res."/>
    <s v="2023 MAR 23"/>
    <x v="0"/>
    <s v=""/>
    <s v=""/>
    <s v=""/>
    <s v=""/>
    <s v=""/>
    <s v=""/>
    <s v=""/>
    <s v=""/>
    <s v=""/>
    <s v="10.1007/s12063-023-00358-z"/>
    <s v="http://dx.doi.org/10.1007/s12063-023-00358-z"/>
    <s v=""/>
    <s v="MAR 2023"/>
    <n v="16"/>
    <x v="8"/>
    <x v="1"/>
    <s v="Business &amp; Economics"/>
    <s v="A4VD8"/>
    <s v=""/>
    <s v="hybrid"/>
    <s v=""/>
    <s v=""/>
    <s v="2023-11-15"/>
    <s v="WOS:000955110100001"/>
    <s v="View Full Record in Web of Science"/>
    <m/>
  </r>
  <r>
    <x v="68"/>
    <s v="J"/>
    <x v="68"/>
    <s v=""/>
    <s v=""/>
    <s v=""/>
    <s v="Lotto, Matheus; Hanjahanja-Phiri, Thokozani; Padalko, Halyna; Oetomo, Arlene; Butt, Zahid Ahmad; Boger, Jennifer; Millar, Jason; Cruvinel, Thiago; Morita, Plinio P."/>
    <s v=""/>
    <s v=""/>
    <x v="68"/>
    <x v="59"/>
    <s v=""/>
    <s v=""/>
    <s v="English"/>
    <s v="Article"/>
    <s v=""/>
    <s v=""/>
    <s v=""/>
    <s v=""/>
    <s v=""/>
    <x v="67"/>
    <x v="1"/>
    <s v="Big data originating from user interactions on social media play an essential role in infodemiology and infoveillance outcomes, supporting the planning and implementation of public health actions. Notably, the extrapolation of these data requires an awareness of different ethical elements. Previous studies have investigated and discussed the adoption of conventional ethical approaches in the contemporary public health digital surveillance space. However, there is a lack of specific ethical guidelines to orient infodemiology and infoveillance studies concerning infodemic on social media, making it challenging to design digital strategies to combat this phenomenon. Hence, it is necessary to explore if traditional ethical pillars can support digital purposes or whether new ones must be proposed since we are confronted with a complex online misinformation scenario. Therefore, this perspective provides an overview of the current scenario of ethics-related issues of infodemiology and infoveillance on social media for infodemic studies."/>
    <s v="[Lotto, Matheus; Cruvinel, Thiago] Univ Sao Paulo, Bauru Sch Dent, Dept Pediat Dent Orthodont &amp; Publ Hlth, Bauru, Brazil; [Lotto, Matheus; Hanjahanja-Phiri, Thokozani; Padalko, Halyna; Oetomo, Arlene; Butt, Zahid Ahmad; Morita, Plinio P.] Univ Waterloo, Sch Publ Hlth Sci, Waterloo, ON, Canada; [Boger, Jennifer; Morita, Plinio P.] Univ Waterloo, Dept Syst Design Engn, Waterloo, ON, Canada; [Millar, Jason] Univ Ottawa, Fac Engn, Sch Engn Design &amp; Teaching Innovat, Ottawa, ON, Canada; [Morita, Plinio P.] Univ Waterloo, Res Inst Aging, Waterloo, ON, Canada; [Morita, Plinio P.] Univ Hlth Network, Techna Inst, Ctr Digital Therapeut, Toronto, ON, Canada; [Morita, Plinio P.] Univ Toronto, Inst Hlth Policy Management &amp; Evaluat, Dalla Lana Sch Publ Hlth, Toronto, ON, Canada"/>
    <s v="Universidade de Sao Paulo; University of Waterloo; University of Waterloo; University of Ottawa; University of Waterloo; University of Toronto; University Health Network Toronto; University of Toronto"/>
    <s v="Morita, PP (corresponding author), Univ Waterloo, Sch Publ Hlth Sci, Waterloo, ON, Canada.;Morita, PP (corresponding author), Univ Waterloo, Dept Syst Design Engn, Waterloo, ON, Canada.;Morita, PP (corresponding author), Univ Waterloo, Res Inst Aging, Waterloo, ON, Canada.;Morita, PP (corresponding author), Univ Hlth Network, Techna Inst, Ctr Digital Therapeut, Toronto, ON, Canada.;Morita, PP (corresponding author), Univ Toronto, Inst Hlth Policy Management &amp; Evaluat, Dalla Lana Sch Publ Hlth, Toronto, ON, Canada."/>
    <s v="plinio.morita@uwaterloo.ca"/>
    <s v="Lotto, Matheus/V-4759-2018; Cruvinel, Thiago/K-2707-2012"/>
    <s v="Lotto, Matheus/0000-0002-0121-4006;"/>
    <s v="Sao Paulo Research Foundation [2021/10732-5]"/>
    <s v="Sao Paulo Research Foundation(Fundacao de Amparo a Pesquisa do Estado de Sao Paulo (FAPESP))"/>
    <s v="This work was supported by the Sao Paulo Research Foundation (grant #2021/10732-5)."/>
    <s v=""/>
    <n v="61"/>
    <n v="0"/>
    <n v="0"/>
    <n v="8"/>
    <n v="9"/>
    <s v="FRONTIERS MEDIA SA"/>
    <s v="LAUSANNE"/>
    <s v="AVENUE DU TRIBUNAL FEDERAL 34, LAUSANNE, CH-1015, SWITZERLAND"/>
    <s v=""/>
    <s v="2296-2565"/>
    <s v=""/>
    <s v="FRONT PUBLIC HEALTH"/>
    <s v="Front. Public Health"/>
    <s v="MAR 23"/>
    <x v="0"/>
    <n v="11"/>
    <s v=""/>
    <s v=""/>
    <s v=""/>
    <s v=""/>
    <s v=""/>
    <s v=""/>
    <s v=""/>
    <n v="1130079"/>
    <s v="10.3389/fpubh.2023.1130079"/>
    <s v="http://dx.doi.org/10.3389/fpubh.2023.1130079"/>
    <s v=""/>
    <s v=""/>
    <n v="6"/>
    <x v="44"/>
    <x v="3"/>
    <s v="Public, Environmental &amp; Occupational Health"/>
    <s v="C6HT1"/>
    <n v="37033062"/>
    <s v="Green Published, gold"/>
    <s v=""/>
    <s v=""/>
    <s v="2023-11-15"/>
    <s v="WOS:000962912100001"/>
    <s v="View Full Record in Web of Science"/>
    <m/>
  </r>
  <r>
    <x v="69"/>
    <s v="J"/>
    <x v="69"/>
    <s v=""/>
    <s v=""/>
    <s v=""/>
    <s v="Webb, Jennifer B.; Ford, Nataya M.; Padro, Meagan P."/>
    <s v=""/>
    <s v=""/>
    <x v="69"/>
    <x v="60"/>
    <s v=""/>
    <s v=""/>
    <s v="English"/>
    <s v="Article"/>
    <s v=""/>
    <s v=""/>
    <s v=""/>
    <s v=""/>
    <s v=""/>
    <x v="68"/>
    <x v="55"/>
    <s v="The modern millennial-and Gen Z-targeted Barbiecore feminist movement has emerged in tandem with Barbie (R)'s reinvention to inspire inclusion and active play. Stimulated by these media trends, the present study using a pre-post experimental design evaluated whether exposure to images depicting contemporary passively-posed Barbie Fashionista (R) (BF) dolls versus images of actively-posed Barbie Made to Move (R) (M2M) fitspiration dolls versus images of Lego Friends (R) (LF) scenes would differentially affect aspects of state body image and affect in a sample of 106 racially-diverse young adult college women (MAge = 19.2, SD = 1.39). ANCOVA models assessed the effects of condition on post state measures while controlling for baseline state measures. Results indicated that participants exposed to the BF images reported significantly lower body appreciation relative to those who viewed the LF play sets. A similar trend emerged for par-ticipants shown the newer M2M doll images. Additionally, viewing images of the actively-posed M2M dolls was associated with marginally higher appearance comparison scores versus the LF control. These initial findings have implications for considering the relevance of expanded digital strategies for marketing more realistically appearing and functioning Barbie (R) dolls in affecting the body image experiences and potential purchasing choices of young adult female consumers.(c) 2023 Elsevier Ltd. All rights reserved."/>
    <s v="[Webb, Jennifer B.; Ford, Nataya M.] Univ North Carolina Charlotte, Dept Psychol Sci, Charlotte, NC USA; [Webb, Jennifer B.] Univ North Carolina Charlotte, Hlth Psychol PhD Program, Charlotte, NC USA; [Padro, Meagan P.] Univ North Carolina Chapel Hill, Sch Psychol PhD Program, Charlotte, NC USA; [Webb, Jennifer B.] UNC Charlotte, Dept Psychol Sci, 9201 Univ City Blvd, Charlotte, NC 28223 USA"/>
    <s v="University of North Carolina; University of North Carolina Charlotte; University of North Carolina; University of North Carolina Charlotte; University of North Carolina; University of North Carolina Chapel Hill; University of North Carolina; University of North Carolina Charlotte"/>
    <s v="Webb, JB (corresponding author), UNC Charlotte, Dept Psychol Sci, 9201 Univ City Blvd, Charlotte, NC 28223 USA."/>
    <s v="jennifer.webb@uncc.edu"/>
    <s v=""/>
    <s v=""/>
    <s v=""/>
    <s v=""/>
    <s v=""/>
    <s v=""/>
    <n v="54"/>
    <n v="0"/>
    <n v="0"/>
    <n v="16"/>
    <n v="17"/>
    <s v="ELSEVIER"/>
    <s v="AMSTERDAM"/>
    <s v="RADARWEG 29, 1043 NX AMSTERDAM, NETHERLANDS"/>
    <s v="1740-1445"/>
    <s v="1873-6807"/>
    <s v=""/>
    <s v="BODY IMAGE"/>
    <s v="Body Image"/>
    <s v="JUN"/>
    <x v="0"/>
    <n v="45"/>
    <s v=""/>
    <s v=""/>
    <s v=""/>
    <s v=""/>
    <s v=""/>
    <n v="201"/>
    <n v="209"/>
    <s v=""/>
    <s v="10.1016/j.bodyim.2023.03.004"/>
    <s v="http://dx.doi.org/10.1016/j.bodyim.2023.03.004"/>
    <s v=""/>
    <s v="MAR 2023"/>
    <n v="9"/>
    <x v="45"/>
    <x v="1"/>
    <s v="Psychology; Psychiatry"/>
    <s v="D0CB7"/>
    <n v="36958174"/>
    <s v=""/>
    <s v=""/>
    <s v=""/>
    <s v="2023-11-15"/>
    <s v="WOS:000965482500001"/>
    <s v="View Full Record in Web of Science"/>
    <m/>
  </r>
  <r>
    <x v="70"/>
    <s v="J"/>
    <x v="70"/>
    <s v=""/>
    <s v=""/>
    <s v=""/>
    <s v="Pandita, Deepika; Vapiwala, Fatima"/>
    <s v=""/>
    <s v=""/>
    <x v="70"/>
    <x v="61"/>
    <s v=""/>
    <s v=""/>
    <s v="English"/>
    <s v="Article; Early Access"/>
    <s v=""/>
    <s v=""/>
    <s v=""/>
    <s v=""/>
    <s v=""/>
    <x v="69"/>
    <x v="56"/>
    <s v="Purpose - The purpose of this study is to understand the factors responsible for social media fan engagement and experience. The research study also attempts to analyze the significance of adopting digital strategies with a fan-centric approach for sports organizations. Design/methodology/approach - The authors conducted 18 semi-structured interviews with managers in different sports organizations and fans of various popular sports leagues and clubs in India. The authors used a qualitative exploratory approach by applying coding and thematic analysis to arrive at findings and conclusions. Findings - The responses led to the emergence of three major themes comprising effective planning, harnessing fan participation and boosting the quality of experience. Building on these themes, the authors recommended the PRIME model for sports organizations. Research limitations/implications - As this study explores the growing importance of fan engagement from the top three sports leagues in India, future researchers can focus on obtaining data from multiple countries and multiple leagues to enhance fan engagement's generalizability. Also with the growing popularity of eSports, the scope of the present study may be expanded based on eSports. Practical implications - The authors' study acts as an eye-opener for managers revealing that to get active participation from fans, sports organizations will have to be active in social media initiatives. In addition to this, the authors also propose the PRIME model, which elaborates on the aspects of Planning social media programs, Regularization of content creation, increased Interaction with the fan base, Motivation through rewards and Enriching fan experience for effectively harnessing fan engagement and experience. Originality/value - In the pandemic era, engaging with fans on social media can enable sports organizations to thrive. The authors suggest a PRIME model which can aid sports managers in effectively harnessing fan engagement and experience for the managers of sports organizations. The model can also be applied beyond the sports context in anchoring customer engagement and experience through the social media of other business organizations."/>
    <s v="[Pandita, Deepika; Vapiwala, Fatima] Symbiosis Int Deemed Univ, Symbiosis Inst Business Management Pune, Pune, India"/>
    <s v="Symbiosis International University; Symbiosis Institute of Business Management (SIBM) Pune"/>
    <s v="Pandita, D (corresponding author), Symbiosis Int Deemed Univ, Symbiosis Inst Business Management Pune, Pune, India."/>
    <s v="deepikapandita@sibmpune.edu.in; fatimavapi.jrf@sibmpune.edu.in"/>
    <s v=""/>
    <s v="Vapiwala, Fatima/0000-0003-0300-4157"/>
    <s v=""/>
    <s v=""/>
    <s v=""/>
    <s v=""/>
    <n v="56"/>
    <n v="0"/>
    <n v="0"/>
    <n v="6"/>
    <n v="11"/>
    <s v="EMERALD GROUP PUBLISHING LTD"/>
    <s v="BINGLEY"/>
    <s v="HOWARD HOUSE, WAGON LANE, BINGLEY BD16 1WA, W YORKSHIRE, ENGLAND"/>
    <s v="1755-425X"/>
    <s v=""/>
    <s v=""/>
    <s v="J STRATEGY MANAG"/>
    <s v="J. Strategy Manag."/>
    <s v="2023 MAR 14"/>
    <x v="0"/>
    <s v=""/>
    <s v=""/>
    <s v=""/>
    <s v=""/>
    <s v=""/>
    <s v=""/>
    <s v=""/>
    <s v=""/>
    <s v=""/>
    <s v="10.1108/JSMA-02-2022-0041"/>
    <s v="http://dx.doi.org/10.1108/JSMA-02-2022-0041"/>
    <s v=""/>
    <s v="MAR 2023"/>
    <n v="17"/>
    <x v="8"/>
    <x v="2"/>
    <s v="Business &amp; Economics"/>
    <s v="9W0ZQ"/>
    <s v=""/>
    <s v=""/>
    <s v=""/>
    <s v=""/>
    <s v="2023-11-15"/>
    <s v="WOS:000948811100001"/>
    <s v="View Full Record in Web of Science"/>
    <m/>
  </r>
  <r>
    <x v="71"/>
    <s v="J"/>
    <x v="71"/>
    <s v=""/>
    <s v=""/>
    <s v=""/>
    <s v="Cepa, Katharina; Schildt, Henri"/>
    <s v=""/>
    <s v=""/>
    <x v="71"/>
    <x v="62"/>
    <s v=""/>
    <s v=""/>
    <s v="English"/>
    <s v="Article"/>
    <s v=""/>
    <s v=""/>
    <s v=""/>
    <s v=""/>
    <s v=""/>
    <x v="8"/>
    <x v="57"/>
    <s v="Companies are increasingly pursuing competitive advantage through innovative use of advanced information technologies, such as artificial in-telligence. Management education must prepare students with the skills and knowledge needed to function effectively and ethically in this increasingly digitalized business environment. Yet, we have no consensus on what constitutes digital strategy, let alone how the topic ought to be taught. To advance the emerging subdiscipline of digital strategy, this article takes stock of the teaching in this nascent domain. We conducted an inductive analysis of twelve postgraduate modules and fifteen massive open online courses (MOOCs) to provide an empirically grounded framework. Our analysis categorizes digital strategy-related module content into four domains, constituted by thirteen topic areas. We further identify five distinct course profiles that digital strategy modules typically follow. This article contributes to the strategic management discipline by providing an exploration of digital strategy teaching and offering concrete guidelines for teaching digital strategy in business schools and universities, either as a module on its own right or as part of an existing strategy module."/>
    <s v="[Cepa, Katharina] Vrije Univ Amsterdam, Amsterdam, Netherlands; [Schildt, Henri] Aalto Univ, Espoo, Finland"/>
    <s v="Vrije Universiteit Amsterdam; Aalto University"/>
    <s v="Cepa, K (corresponding author), Vrije Univ Amsterdam, Amsterdam, Netherlands."/>
    <s v="k.c.cepa@vu.nl; henri.schildt@aalto.fi"/>
    <s v=""/>
    <s v="Cepa, Katharina/0000-0001-6934-8177"/>
    <s v=""/>
    <s v=""/>
    <s v=""/>
    <s v=""/>
    <n v="116"/>
    <n v="1"/>
    <n v="1"/>
    <n v="17"/>
    <n v="19"/>
    <s v="ELSEVIER SCI LTD"/>
    <s v="OXFORD"/>
    <s v="THE BOULEVARD, LANGFORD LANE, KIDLINGTON, OXFORD OX5 1GB, OXON, ENGLAND"/>
    <s v="0024-6301"/>
    <s v="1873-1872"/>
    <s v=""/>
    <s v="LONG RANGE PLANN"/>
    <s v="Long Range Plan."/>
    <s v="APR"/>
    <x v="0"/>
    <n v="56"/>
    <n v="2"/>
    <s v=""/>
    <s v=""/>
    <s v=""/>
    <s v=""/>
    <s v=""/>
    <s v=""/>
    <n v="102271"/>
    <s v="10.1016/j.lrp.2022.102271"/>
    <s v="http://dx.doi.org/10.1016/j.lrp.2022.102271"/>
    <s v=""/>
    <s v="MAR 2023"/>
    <n v="18"/>
    <x v="46"/>
    <x v="1"/>
    <s v="Business &amp; Economics; Development Studies"/>
    <s v="A6AB7"/>
    <s v=""/>
    <s v="Green Published, hybrid"/>
    <s v=""/>
    <s v=""/>
    <s v="2023-11-15"/>
    <s v="WOS:000955918500001"/>
    <s v="View Full Record in Web of Science"/>
    <m/>
  </r>
  <r>
    <x v="72"/>
    <s v="J"/>
    <x v="72"/>
    <s v=""/>
    <s v=""/>
    <s v=""/>
    <s v="Busco, Carolina; Gonzalez, Felipe; Aranguiz, Michelle"/>
    <s v=""/>
    <s v=""/>
    <x v="72"/>
    <x v="63"/>
    <s v=""/>
    <s v=""/>
    <s v="English"/>
    <s v="Article"/>
    <s v=""/>
    <s v=""/>
    <s v=""/>
    <s v=""/>
    <s v=""/>
    <x v="70"/>
    <x v="58"/>
    <s v="Organizational culture is often perceived as a valuable strategic asset supporting business transformation and the exploitation of digital technologies. Still, it can also be the source of inertia that impedes change. The research question proposed is What factors favor or hinder the acquisition of digital culture in large organizations in Chile? The aim is to rank factors that promote a digital culture based on the perception of executives using the Delphi method. The expert panel was selected with strategic criteria, considering practical knowledge, up-to-date experience on the subject, and having high decision-making positions in large companies in Chile. The main statistics used are media, maximum, minimum, and average range, along with the search for consensus determined by the interquartile range and Kendall's W concordance coefficient. Results show a high level of agreement on the importance of digital strategy and digital leadership factors when favoring a digital culture in large companies in Chile. However, large companies in Chile must pay attention to the conservative triad of elements that characterize Chilean work culture that considers the belief that changes are exclusively possible when commanded by the strategic apex, a hierarchical work culture that prevents collaborative work, and the rejection of disruptive change. These factors and cultural characteristics will likely hinder any attempt to succeed in a digital transformation plan."/>
    <s v="[Busco, Carolina; Gonzalez, Felipe; Aranguiz, Michelle] Univ Diego Portales, Fac Engn &amp; Sci, Dept Ind Engn, Santiago, Chile"/>
    <s v="University Diego Portales"/>
    <s v="Busco, C (corresponding author), Univ Diego Portales, Fac Engn &amp; Sci, Dept Ind Engn, Santiago, Chile."/>
    <s v="carolina.busco@mail.udp.cl"/>
    <s v=""/>
    <s v=""/>
    <s v="Universidad Diego Portales through the project Indicators of digital maturity in the Chilean industry; Universidad Diego Portales (UDP)"/>
    <s v="Universidad Diego Portales through the project Indicators of digital maturity in the Chilean industry; Universidad Diego Portales (UDP)"/>
    <s v="Research funding for women professors provided by Universidad Diego Portales through the project Indicators of digital maturity in the Chilean industry, awarded in 2022. Open access funding provided by Universidad Diego Portales (UDP)."/>
    <s v=""/>
    <n v="69"/>
    <n v="1"/>
    <n v="1"/>
    <n v="29"/>
    <n v="33"/>
    <s v="FRONTIERS MEDIA SA"/>
    <s v="LAUSANNE"/>
    <s v="AVENUE DU TRIBUNAL FEDERAL 34, LAUSANNE, CH-1015, SWITZERLAND"/>
    <s v="1664-1078"/>
    <s v=""/>
    <s v=""/>
    <s v="FRONT PSYCHOL"/>
    <s v="Front. Psychol."/>
    <s v="MAR 9"/>
    <x v="0"/>
    <n v="14"/>
    <s v=""/>
    <s v=""/>
    <s v=""/>
    <s v=""/>
    <s v=""/>
    <s v=""/>
    <s v=""/>
    <n v="1153031"/>
    <s v="10.3389/fpsyg.2023.1153031"/>
    <s v="http://dx.doi.org/10.3389/fpsyg.2023.1153031"/>
    <s v=""/>
    <s v=""/>
    <n v="13"/>
    <x v="47"/>
    <x v="1"/>
    <s v="Psychology"/>
    <s v="A4BG5"/>
    <n v="36968717"/>
    <s v="gold, Green Published"/>
    <s v=""/>
    <s v=""/>
    <s v="2023-11-15"/>
    <s v="WOS:000954592100001"/>
    <s v="View Full Record in Web of Science"/>
    <m/>
  </r>
  <r>
    <x v="73"/>
    <s v="J"/>
    <x v="73"/>
    <s v=""/>
    <s v=""/>
    <s v=""/>
    <s v="Foria, Federico; Calicchio, Mario; Miceli, Gabriele"/>
    <s v=""/>
    <s v=""/>
    <x v="73"/>
    <x v="64"/>
    <s v=""/>
    <s v=""/>
    <s v="English"/>
    <s v="Article"/>
    <s v=""/>
    <s v=""/>
    <s v=""/>
    <s v=""/>
    <s v=""/>
    <x v="71"/>
    <x v="1"/>
    <s v="The aspects related to the serviceability and long-term of TBM tunnels have assumed increasing relevance in the design, maintenance and management of infrastructures. To guarantee a high level of knowledge through time and improve durability, it is fundamental to carry out new strategies able to digitalize and automatize the aforementioned factors reducing time and costs. ETS introduced a new method for the diagnostic of existing tunnels through an innovative multi-dimensional survey system (ARCHITA), and a new approach for the Management and Identification of the Risk for Existing Tunnels (MIRET). A detailed preliminary assessment of the tunnel condition is obtained through laser scanning and high-definition photo, with minimal impact on the serviceability of the line. Results are digitalized and manipulated, allowing the development of deep learning-based methods for the segmentation of defects with AI algorithms. The paper explains the framework of digital strategies, automatization and artificial intelligence for TBM tunnelling."/>
    <s v="[Foria, Federico; Calicchio, Mario; Miceli, Gabriele] ETS Srl, Rome, Italy"/>
    <s v=""/>
    <s v="Foria, F (corresponding author), ETS Srl, Rome, Italy."/>
    <s v="federico.foria@etsingegneria.it"/>
    <s v=""/>
    <s v=""/>
    <s v=""/>
    <s v=""/>
    <s v=""/>
    <s v=""/>
    <n v="12"/>
    <n v="0"/>
    <n v="0"/>
    <n v="1"/>
    <n v="1"/>
    <s v="PATRON EDITORE S R L"/>
    <s v="BOLOGNA"/>
    <s v="VIA BADINI 12, QUARTO INFERIORE, BOLOGNA, 00000, ITALY"/>
    <s v="0393-1641"/>
    <s v=""/>
    <s v=""/>
    <s v="GALLERIE GD OPER SOT"/>
    <s v="Gallerie Gd. Opere Sotter."/>
    <s v="MAR"/>
    <x v="0"/>
    <s v=""/>
    <n v="145"/>
    <s v=""/>
    <s v=""/>
    <s v=""/>
    <s v=""/>
    <n v="15"/>
    <n v="20"/>
    <s v=""/>
    <s v=""/>
    <s v=""/>
    <s v=""/>
    <s v=""/>
    <n v="6"/>
    <x v="48"/>
    <x v="2"/>
    <s v="Engineering"/>
    <s v="M3QR9"/>
    <s v=""/>
    <s v=""/>
    <s v=""/>
    <s v=""/>
    <s v="2023-11-15"/>
    <s v="WOS:001029367800004"/>
    <s v="View Full Record in Web of Science"/>
    <m/>
  </r>
  <r>
    <x v="74"/>
    <s v="J"/>
    <x v="74"/>
    <s v=""/>
    <s v=""/>
    <s v=""/>
    <s v="Qi, Yudong; Du, Bo; Wen, Xin"/>
    <s v=""/>
    <s v=""/>
    <x v="74"/>
    <x v="65"/>
    <s v=""/>
    <s v=""/>
    <s v="English"/>
    <s v="Article"/>
    <s v=""/>
    <s v=""/>
    <s v=""/>
    <s v=""/>
    <s v=""/>
    <x v="72"/>
    <x v="59"/>
    <s v="China's state-owned enterprises (SOEs) are facing an embedded integration of new functional mission, new classification reform and new digital development. These new tasks require SOEs to embrace digital strategic transformation and innovation for high-quality fulfillment of their national mission. Studying their digital transformation practices, this paper systematically explores the mechanism and path of embedding national mission into SOE digital transformation, and the mode selection of SOE digital transformation under different mission guidance. The findings are: (1) The SOE functional mission focusing on economic development, strategic support and public services in the new era is undertaken by for-profit, strategic and public functional SOEs; (2) the foreign circulation path based on the positioning mechanism-mapping mechanism and the internal consumption connection path for the state capital strategic positioning constitute a double two-way mechanism of embedding the national mission to the SOE digital strategic transformation, leading SOEs to build market-oriented, capacity-oriented and public-oriented digital transformation modes; (3) the three types of reform modes have respectively produced the action mechanism featuring agile strengthening, toughness strengthening and adaptability strengthening, which support the SOE classification performance. This paper attempts to make up for the research gap such as the lack of integration of the SOE digital strategic transformation mode by constructing the theoretical mode of SOE digital strategic transformation under the guidance of national mission, and reveals the intermediary mechanism of digital strategic transformation to support SOEs for fulfilling their functional missions."/>
    <s v="[Qi, Yudong; Du, Bo] Beijing Normal Univ, Business Sch, Beijing 100875, Peoples R China; [Wen, Xin] Beijing Normal Univ Sch, Sch Govt, Beijing 100875, Peoples R China"/>
    <s v="Beijing Normal University"/>
    <s v="Qi, YD (corresponding author), Beijing Normal Univ, Business Sch, Beijing 100875, Peoples R China."/>
    <s v=""/>
    <s v=""/>
    <s v=""/>
    <s v="Major Project of the National Social Science Fund of China  Research on the Mechanism and Path of Promoting Digital Industry Innovation by Technical Standards and Knowledge of Property Rights  [19ZDA077]"/>
    <s v="Major Project of the National Social Science Fund of China  Research on the Mechanism and Path of Promoting Digital Industry Innovation by Technical Standards and Knowledge of Property Rights "/>
    <s v="Acknowledgments This paper is supported by the Major Project of the National Social Science Fund of China  Research on the Mechanism and Path of Promoting Digital Industry Innovation by Technical Standards and Knowledge of Property Rights  (No. 19ZDA077) ."/>
    <s v=""/>
    <n v="49"/>
    <n v="0"/>
    <n v="0"/>
    <n v="0"/>
    <n v="0"/>
    <s v="HIGHER EDUCATION PRESS"/>
    <s v="BEIJING"/>
    <s v="CHAOYANG DIST, 4, HUIXINDONGJIE, FUSHENG BLDG, BEIJING 100029, PEOPLES R CHINA"/>
    <s v="1673-7326"/>
    <s v="1673-7431"/>
    <s v=""/>
    <s v="FRONT BUS RES CHINA"/>
    <s v="Front. Bus. Res. China"/>
    <s v="MAR"/>
    <x v="0"/>
    <n v="17"/>
    <n v="1"/>
    <s v=""/>
    <s v=""/>
    <s v=""/>
    <s v=""/>
    <n v="74"/>
    <n v="125"/>
    <s v=""/>
    <s v="10.3868/s070-008-023-0005-7"/>
    <s v="http://dx.doi.org/10.3868/s070-008-023-0005-7"/>
    <s v=""/>
    <s v=""/>
    <n v="52"/>
    <x v="33"/>
    <x v="2"/>
    <s v="Business &amp; Economics"/>
    <s v="W1ZA6"/>
    <s v=""/>
    <s v=""/>
    <s v=""/>
    <s v=""/>
    <s v="2023-11-15"/>
    <s v="WOS:001089672500006"/>
    <s v="View Full Record in Web of Science"/>
    <m/>
  </r>
  <r>
    <x v="75"/>
    <s v="J"/>
    <x v="75"/>
    <s v=""/>
    <s v=""/>
    <s v=""/>
    <s v="Tunon Navarro, Jorge; Oporto Santofimia, Emma"/>
    <s v=""/>
    <s v=""/>
    <x v="75"/>
    <x v="66"/>
    <s v=""/>
    <s v=""/>
    <s v="English"/>
    <s v="Article"/>
    <s v=""/>
    <s v=""/>
    <s v=""/>
    <s v=""/>
    <s v=""/>
    <x v="73"/>
    <x v="60"/>
    <s v="The development of an effective vaccine against the SARS-CoV-2 coronavirus became the hope for halting the spread of the disease. In recent years, social networks have become important tools for political and strategic communication in the dialogue with citizens. Therefore, the messages emitted through them were important to address vaccine hesitancy and achieve collective immunity. This paper analyses the use of Twitter by politicians and institutions in EU Member States during the first fifty days after the Commission's marketing authorisation of the first COVID-19 vaccine (21 December 2020 to 8 February 2021). To do so, a triple approach content analysis was carried out (quantitative, qualitative and discursive on feelings) applied to 1913 tweets published by the official profiles of the prime ministers, health ministers, governments and health ministries of Germany, Spain, France and Italy, the four most populous EU countries. The results point out that politicians and institutions gave preference to other issues on their political agenda over vaccine-related issues. Moreover, previous research hypotheses, such as those related to the underutilization of the Twitter tool as a two-way communication channel with citizens, are validated."/>
    <s v="[Tunon Navarro, Jorge; Oporto Santofimia, Emma] Carlos III Univ Madrid, Dept Commun, Calle Madrid 126, Getafe 28903, Madrid, Spain"/>
    <s v=""/>
    <s v="Navarro, JT (corresponding author), Carlos III Univ Madrid, Dept Commun, Calle Madrid 126, Getafe 28903, Madrid, Spain."/>
    <s v="jtunon@hum.uc3m.es"/>
    <s v=""/>
    <s v="TUNON NAVARRO, JORGE/0000-0003-0393-6560"/>
    <s v="European Education and Culture Executive Agency (EACEA) [101083334-EPP-1-2022-1-ES-EPPJMO-CHAIR]; MDPI"/>
    <s v="European Education and Culture Executive Agency (EACEA); MDPI"/>
    <s v="This research was funded by the European Education and Culture Executive Agency (EACEA), grant number 101083334-EPP-1-2022-1-ES-EPPJMO-CHAIR and The APC was funded by MDPI."/>
    <s v=""/>
    <n v="79"/>
    <n v="1"/>
    <n v="1"/>
    <n v="5"/>
    <n v="6"/>
    <s v="MDPI"/>
    <s v="BASEL"/>
    <s v="ST ALBAN-ANLAGE 66, CH-4052 BASEL, SWITZERLAND"/>
    <s v=""/>
    <s v="2076-393X"/>
    <s v=""/>
    <s v="VACCINES-BASEL"/>
    <s v="Vaccines"/>
    <s v="MAR"/>
    <x v="0"/>
    <n v="11"/>
    <n v="3"/>
    <s v=""/>
    <s v=""/>
    <s v=""/>
    <s v=""/>
    <s v=""/>
    <s v=""/>
    <n v="619"/>
    <s v="10.3390/vaccines11030619"/>
    <s v="http://dx.doi.org/10.3390/vaccines11030619"/>
    <s v=""/>
    <s v=""/>
    <n v="27"/>
    <x v="49"/>
    <x v="0"/>
    <s v="Immunology; Research &amp; Experimental Medicine"/>
    <s v="D4QW4"/>
    <n v="36992204"/>
    <s v="gold, Green Published"/>
    <s v=""/>
    <s v=""/>
    <s v="2023-11-15"/>
    <s v="WOS:000968604400001"/>
    <s v="View Full Record in Web of Science"/>
    <m/>
  </r>
  <r>
    <x v="76"/>
    <s v="J"/>
    <x v="76"/>
    <s v=""/>
    <s v=""/>
    <s v=""/>
    <s v="Valverde, Maria Teresa Caro; Garcia, Maria Gonzalez; Alcaraz, Patricia Perez"/>
    <s v=""/>
    <s v=""/>
    <x v="76"/>
    <x v="67"/>
    <s v=""/>
    <s v=""/>
    <s v="English"/>
    <s v="Article"/>
    <s v=""/>
    <s v=""/>
    <s v=""/>
    <s v=""/>
    <s v=""/>
    <x v="74"/>
    <x v="1"/>
    <s v="Research This research responds to the objective of analyzing a digital corpus of academic documents with a processual approach, prepared by university students during an educational intervention intended for developing their discursive competence with an argumentative commentary model of multimodal texts in the teaching of Spanish as a mother tongue. A qualitative discourse analysis method has been used both in its linguistic manifestations and in the socio-educational micro-ethnographic interaction carried out in a scenario and the process of its formative evaluation. The digital corpus collects written tests from students who have taken the subject called Strategies for the Teaching of Language and Literature from the Degree in Primary Education of the Education Faculty of the University of Murcia (Spain) during the academic year 2021-2022. Specifically, it collects two types of comments housed in their virtual classroom portfolios: first, their textualized group argumentative comments in intertextual, coherent and negotiated alignment with the individual argumentative comments they had previously written about a patrimonial tale selected and interpreted in their argumentative power; second, their group metacognitive comments focused on the peer-assessment of their group argumentative comments, which had the formative background of self-assessment and peer-review of their individual argumentative comments. The analytical knowledge generated by the students in their peer-assessor metacognitive comments about their group argumentative comments is strategically supported by various previous pedagogical organizers, and, especially, in a rubric with discursive quality indicators on three sections of interest: the argumentative sequence of their individual intertextual comments; the coherence, cohesion and adequacy that articulate the logical artifice of their linguistic communication competence; the intertextual arguments contributed by the commentators. With this, the cooperative evaluative feedback of academic works has been mediated from the strategic digital recursion of a personal learning environment (PLE) that includes both resources and tasks enabled in the university virtual classroom of this university subject as informal interaction supports through Google Drive and Zoom. The formative process from which this student co-evaluation procedure has been analyzed from participant observation in field work by teachers according to the scientific-technical framework of an R+D+i project about epistemic innovation of a multimodal argumentative commentary model that has been funded by the Ministry of Science and Innovation of the Spanish Government (PGC2018-101457-B-100). The results of this analysis reveal three conclusions: first, the discursive interaction between students democratizes the process of their formative evaluation in academic works, since the typical logocentric pattern of the unique hetero-evaluation of student products due to teaching authoritarianism is overcome with a new heteroglossic and co-responsible matrix for student processes co -evaluation in academic works mediated with the instructive, informative, communicative and collaborative digital applications used; second, the importance of posing complex academic writing tasks to achieve authentic learning; third, the need to improve the student's discursive competence in the verbal expression of metacognitive and intertextual arguments that promote self-awareness and the originality of their comments."/>
    <s v="[Valverde, Maria Teresa Caro; Garcia, Maria Gonzalez; Alcaraz, Patricia Perez] Univ Murcia, Murcia, Spain"/>
    <s v="University of Murcia"/>
    <s v="Valverde, MTC (corresponding author), Univ Murcia, Fac Educ, Campus Espinardo, Murcia, Spain."/>
    <s v="maytecar@um.es"/>
    <s v=""/>
    <s v=""/>
    <s v=""/>
    <s v=""/>
    <s v=""/>
    <s v=""/>
    <n v="41"/>
    <n v="0"/>
    <n v="0"/>
    <n v="3"/>
    <n v="3"/>
    <s v="EDICIONES UNIV VALPARAISO"/>
    <s v="VALPARAISO"/>
    <s v="CASILLA 1415, VALPARAISO, 00000, CHILE"/>
    <s v="0718-9729"/>
    <s v=""/>
    <s v=""/>
    <s v="PERSPECT EDUCAC"/>
    <s v="Perspect. Educac."/>
    <s v="MAR"/>
    <x v="0"/>
    <n v="62"/>
    <n v="2"/>
    <s v=""/>
    <s v=""/>
    <s v=""/>
    <s v=""/>
    <n v="165"/>
    <n v="193"/>
    <s v=""/>
    <s v="10.4151/07189729-Vol.62-Iss.2-Art.1422"/>
    <s v="http://dx.doi.org/10.4151/07189729-Vol.62-Iss.2-Art.1422"/>
    <s v=""/>
    <s v=""/>
    <n v="29"/>
    <x v="39"/>
    <x v="2"/>
    <s v="Education &amp; Educational Research"/>
    <s v="Q8BH3"/>
    <s v=""/>
    <s v="gold"/>
    <s v=""/>
    <s v=""/>
    <s v="2023-11-15"/>
    <s v="WOS:001059716100008"/>
    <s v="View Full Record in Web of Science"/>
    <m/>
  </r>
  <r>
    <x v="77"/>
    <s v="J"/>
    <x v="77"/>
    <s v=""/>
    <s v=""/>
    <s v=""/>
    <s v="Li, Jinke; Wang, Le; Nutakor, Felix"/>
    <s v=""/>
    <s v=""/>
    <x v="77"/>
    <x v="68"/>
    <s v=""/>
    <s v=""/>
    <s v="English"/>
    <s v="Article"/>
    <s v=""/>
    <s v=""/>
    <s v=""/>
    <s v=""/>
    <s v=""/>
    <x v="75"/>
    <x v="61"/>
    <s v="The link between corporate digitization and green innovation is now receiving attention from all spheres of life in light of the rapidly developing digital economy and the goal of sustainable development. This study explores how corporate digitalization affects green innovation, its mediating mechanism, and moderating effects by integrating resource-based theory, attention-based view, and institutional theory. We utilize the panel data of Chinese Shanghai and Shenzhen A-share manufacturing corporation data from 2011 to 2020 as samples and use the fixed effect model in linear regression of panel data for regression analysis. Research findings: 1) corporate digitalization fosters not only green innovation directly but also promotes green innovation by enhancing human capital. 2) Executive team environmental attention encourages the beneficial correlation between human capital and green innovation. 3) Media attention promotes the favorable relationship between corporate digitalization and green innovation. 4) Heterogeneity analysis revealed that the corporate digitalization effect on green innovation is more significant when firms are more prominent in high-tech industries. The findings encourage corporations to strengthen their digital strategy, infrastructure, and applications. In addition, they can also inspire green innovation to enable companies to develop sustainably."/>
    <s v="[Li, Jinke; Wang, Le; Nutakor, Felix] Qingdao Univ, Sch Business, Qingdao, Peoples R China"/>
    <s v="Qingdao University"/>
    <s v="Wang, L (corresponding author), Qingdao Univ, Sch Business, Qingdao, Peoples R China."/>
    <s v="wangleyi17@163.com"/>
    <s v=""/>
    <s v=""/>
    <s v="National Social Science Foundation of China [22BJY227]; Natural Science Foundation of Shandong Province [ZR2020MG034]; Social Science Foundation of Shandong Province [21CSDJ09]"/>
    <s v="National Social Science Foundation of China(National Office of Philosophy and Social Sciences); Natural Science Foundation of Shandong Province(Natural Science Foundation of Shandong Province); Social Science Foundation of Shandong Province"/>
    <s v="Funding This work is funded by the National Social Science Foundation of China (No.22BJY227), Natural Science Foundation of Shandong Province (No. ZR2020MG034) and Social Science Foundation of Shandong Province (No. 21CSDJ09)."/>
    <s v=""/>
    <n v="85"/>
    <n v="3"/>
    <n v="3"/>
    <n v="47"/>
    <n v="82"/>
    <s v="FRONTIERS MEDIA SA"/>
    <s v="LAUSANNE"/>
    <s v="AVENUE DU TRIBUNAL FEDERAL 34, LAUSANNE, CH-1015, SWITZERLAND"/>
    <s v=""/>
    <s v="2296-665X"/>
    <s v=""/>
    <s v="FRONT ENV SCI-SWITZ"/>
    <s v="Front. Environ. Sci."/>
    <s v="FEB 21"/>
    <x v="0"/>
    <n v="11"/>
    <s v=""/>
    <s v=""/>
    <s v=""/>
    <s v=""/>
    <s v=""/>
    <s v=""/>
    <s v=""/>
    <n v="1137271"/>
    <s v="10.3389/fenvs.2023.1137271"/>
    <s v="http://dx.doi.org/10.3389/fenvs.2023.1137271"/>
    <s v=""/>
    <s v=""/>
    <n v="18"/>
    <x v="16"/>
    <x v="0"/>
    <s v="Environmental Sciences &amp; Ecology"/>
    <s v="9O7OK"/>
    <s v=""/>
    <s v="gold"/>
    <s v=""/>
    <s v=""/>
    <s v="2023-11-15"/>
    <s v="WOS:000943788300001"/>
    <s v="View Full Record in Web of Science"/>
    <m/>
  </r>
  <r>
    <x v="78"/>
    <s v="J"/>
    <x v="78"/>
    <s v=""/>
    <s v=""/>
    <s v=""/>
    <s v="Fowler, Erika Franklin; Franz, Michael M.; Neumann, Markus; Ridout, Travis N.; Yao, Jielu"/>
    <s v=""/>
    <s v=""/>
    <x v="78"/>
    <x v="69"/>
    <s v=""/>
    <s v=""/>
    <s v="English"/>
    <s v="Article; Early Access"/>
    <s v=""/>
    <s v=""/>
    <s v=""/>
    <s v=""/>
    <s v=""/>
    <x v="76"/>
    <x v="1"/>
    <s v="This analysis focuses on candidate-sponsored digital advertising spending in federal races in the 2022 midterm elections. We focus the analysis on spending on Meta (which includes Facebook and Instagram) and Google (which includes YouTube and search-related ads). We identify just under $150 million in candidate spending in federal races on these two platforms. We find, perhaps surprisingly, that combined spending on Meta and Google was lower in federal races compared to 2020 as a share of media spending. We also focus our analysis on measuring the tone of digital ads on Meta and identifying the goals pursued by candidates in these digital ad buys. Our results confirm prior work that digital advertising remains more positive than television (and less issue-focused than television ads), and we find that nearly half of the candidate-sponsored spending on Meta in the 2022 general election period made appeals for donations, with significant variation across campaigns. The Meta and Google ad libraries are invaluable sources of data for measuring the digital strategies of campaigns, but the declines from 2020, particularly on Meta, suggest candidates are likely pursuing diverse digital investments across platforms, some with no transparency or capacity to track spending and content."/>
    <s v="[Fowler, Erika Franklin; Neumann, Markus; Yao, Jielu] Wesleyan Univ, Middletown, CT 06459 USA; [Franz, Michael M.] Bowdoin Coll, Brunswick, ME USA; [Ridout, Travis N.] Washington State Univ, Pullman, WA USA"/>
    <s v="Wesleyan University; Bowdoin College; Washington State University"/>
    <s v="Fowler, EF (corresponding author), Wesleyan Univ, Middletown, CT 06459 USA."/>
    <s v="efowler@wesleyan.edu; mfranz@bowdoin.edu; mneumann01@wesleyan.edu; tnridout@wsu.edu; jyao01@wesleyan.edu"/>
    <s v=""/>
    <s v="Yao, Jielu/0000-0002-2787-3405; Franklin Fowler, Erika/0000-0003-3141-572X; Franz, Michael/0000-0001-5996-075X; Neumann, Markus/0000-0002-9681-4003"/>
    <s v=""/>
    <s v=""/>
    <s v=""/>
    <s v=""/>
    <n v="13"/>
    <n v="1"/>
    <n v="1"/>
    <n v="6"/>
    <n v="7"/>
    <s v="WALTER DE GRUYTER GMBH"/>
    <s v="BERLIN"/>
    <s v="GENTHINER STRASSE 13, D-10785 BERLIN, GERMANY"/>
    <s v="2194-6183"/>
    <s v="1540-8884"/>
    <s v=""/>
    <s v="FORUM-J APPL RES CON"/>
    <s v="Forum-A J. Appl. Res. Contemp. Polit."/>
    <s v="2023 FEB 20"/>
    <x v="0"/>
    <s v=""/>
    <s v=""/>
    <s v=""/>
    <s v=""/>
    <s v=""/>
    <s v=""/>
    <s v=""/>
    <s v=""/>
    <s v=""/>
    <s v="10.1515/for-2023-2006"/>
    <s v="http://dx.doi.org/10.1515/for-2023-2006"/>
    <s v=""/>
    <s v="FEB 2023"/>
    <n v="21"/>
    <x v="35"/>
    <x v="1"/>
    <s v="Government &amp; Law"/>
    <s v="9I9KA"/>
    <s v=""/>
    <s v="hybrid"/>
    <s v=""/>
    <s v=""/>
    <s v="2023-11-15"/>
    <s v="WOS:000939818500001"/>
    <s v="View Full Record in Web of Science"/>
    <m/>
  </r>
  <r>
    <x v="79"/>
    <s v="J"/>
    <x v="79"/>
    <s v=""/>
    <s v=""/>
    <s v=""/>
    <s v="Kalra, Ashish; Itani, Omar S. S.; Rostami, Amin"/>
    <s v=""/>
    <s v=""/>
    <x v="79"/>
    <x v="70"/>
    <s v=""/>
    <s v=""/>
    <s v="English"/>
    <s v="Article"/>
    <s v=""/>
    <s v=""/>
    <s v=""/>
    <s v=""/>
    <s v=""/>
    <x v="77"/>
    <x v="62"/>
    <s v="PurposeAlthough research analyzing the consequences of salesperson social media use in driving sales behaviors and performance outcomes has proliferated in the recent past, there are significant research gaps in the domain. Grounded in task-technology fit theory, this paper aims to propose a conceptual framework that integrates between previously disjointed areas of research and analyzes the relationships between salesperson social media use, brand awareness, creativity, manager empowerment and company performance. Design/methodology/approachSurvey responses were collected from a multi-industry sample of 158 business-to-business salespeople. Structural relationships were tested using partial least squares structural equation modeling. FindingsThe analysis shows that salesperson social media use positively affects brand awareness. The relationship between social media and brand awareness is magnified with the increase in salesperson creativity. Findings also show that manager empowerment increases salesperson creativity. Finally, brand awareness positively affects company performance. Practical implicationsSales organizations should focus on developing digital strategies, especially focusing on salesperson social media use to enhance company's brand awareness, which in turn increases company performance. Moreover, sales managers should also follow empowering leader behaviors to enhance creativity. Originality/valueThe authors amalgamate salesperson social media use literature and branding literature by proposing salesperson social media use's positive effects on brand awareness. This study also expands the knowledge by exploring the moderating effect of individual-level variables such as salesperson creativity on driving the effects of salesperson social media use."/>
    <s v="[Kalra, Ashish] Univ Dayton, Sch Business Adm, Dept Mkt, Dayton, OH 45469 USA; [Itani, Omar S. S.] Lebanese Amer Univ, Dept Mkt, Beirut, Lebanon; [Rostami, Amin] Univ Minnesota Duluth, Dept Mkt, Duluth, MN USA"/>
    <s v="University of Dayton; Lebanese American University; University of Minnesota System; University of Minnesota Twin Cities; University of Minnesota Hospital; University of Minnesota Duluth"/>
    <s v="Kalra, A (corresponding author), Univ Dayton, Sch Business Adm, Dept Mkt, Dayton, OH 45469 USA."/>
    <s v="kalra.ashishk@gmail.com; omar.itani@lau.edu.lb; rostami@d.umn.edu"/>
    <s v="Itani, Omar S./P-2233-2019"/>
    <s v="Itani, Omar S./0000-0003-2258-7837"/>
    <s v=""/>
    <s v=""/>
    <s v=""/>
    <s v=""/>
    <n v="102"/>
    <n v="0"/>
    <n v="0"/>
    <n v="10"/>
    <n v="18"/>
    <s v="EMERALD GROUP PUBLISHING LTD"/>
    <s v="BINGLEY"/>
    <s v="HOWARD HOUSE, WAGON LANE, BINGLEY BD16 1WA, W YORKSHIRE, ENGLAND"/>
    <s v="0885-8624"/>
    <s v="2052-1189"/>
    <s v=""/>
    <s v="J BUS IND MARK"/>
    <s v="J. Bus. Ind. Mark."/>
    <s v="JUN 27"/>
    <x v="0"/>
    <n v="38"/>
    <n v="8"/>
    <s v=""/>
    <s v=""/>
    <s v="SI"/>
    <s v=""/>
    <n v="1738"/>
    <n v="1753"/>
    <s v=""/>
    <s v="10.1108/JBIM-01-2022-0056"/>
    <s v="http://dx.doi.org/10.1108/JBIM-01-2022-0056"/>
    <s v=""/>
    <s v="FEB 2023"/>
    <n v="16"/>
    <x v="33"/>
    <x v="1"/>
    <s v="Business &amp; Economics"/>
    <s v="K7XI8"/>
    <s v=""/>
    <s v=""/>
    <s v=""/>
    <s v=""/>
    <s v="2023-11-15"/>
    <s v="WOS:000937324900001"/>
    <s v="View Full Record in Web of Science"/>
    <m/>
  </r>
  <r>
    <x v="80"/>
    <s v="J"/>
    <x v="80"/>
    <s v=""/>
    <s v=""/>
    <s v=""/>
    <s v="Xu, Jiawei; Yu, Yubing; Zhang, Min; Zhang, Justin Zuopeng"/>
    <s v=""/>
    <s v=""/>
    <x v="80"/>
    <x v="71"/>
    <s v=""/>
    <s v=""/>
    <s v="English"/>
    <s v="Article"/>
    <s v=""/>
    <s v=""/>
    <s v=""/>
    <s v=""/>
    <s v=""/>
    <x v="78"/>
    <x v="63"/>
    <s v="Companies actively seek digital transformation to achieve sustainable development in a volatile and uncertain environment. This study investigates the effects of digital transformation (digital strategy and capability) on eco-innovation (eco-process, eco-product, and eco-management innovation) and sustainable performance. The par-tial least squares structural equation modeling is employed for assessing the model using data collected from 210 manufacturing companies in China. We find that digital strategy and digital capability significantly improve eco-process, eco-product and eco-management innovation. Eco-process, eco-product and eco-management innova-tion also improve sustainable performance. Meanwhile, eco-innovation partially mediates the positive rela-tionship between digital transformation and sustainable performance. The results not only enrich the theoretical framework of digital transformation and sustainability but also provide guidelines for achieving sustainable development by implementing digital transformation and eco-innovation."/>
    <s v="[Xu, Jiawei; Yu, Yubing] Zhejiang Wanli Univ, Sch Logist &amp; Ecommerce, Ningbo, Peoples R China; [Zhang, Min] Queens Univ Belfast, Queens Management Sch, Belfast, North Ireland; [Zhang, Justin Zuopeng] Univ North Florida, Coggin Coll Business, Jacksonville, FL USA"/>
    <s v="Zhejiang Wanli University; Queens University Belfast; State University System of Florida; University of North Florida"/>
    <s v="Yu, YB (corresponding author), Zhejiang Wanli Univ, Sch Logist &amp; Ecommerce, Ningbo, Peoples R China."/>
    <s v="jiaweixu2022@126.com; yubing@zwu.edu.cn; m.zhang@qub.ac.uk; justin.zhang@unf.edu"/>
    <s v="Zhang, Justin/M-9298-2019; Yu, Yubing/N-4482-2019"/>
    <s v="Zhang, Justin/0000-0002-4074-9505; Yu, Yubing/0000-0002-0763-9718; Xu, Jiawei/0000-0003-1229-8070; zhang, min/0000-0002-7955-1467"/>
    <s v="Zhejiang Provincial Soft ScienceResearch Project [2022C35087]; Zhejiang Provincial Philosophyand Social Sciences Planning Project [23NDJC245YB]"/>
    <s v="Zhejiang Provincial Soft ScienceResearch Project; Zhejiang Provincial Philosophyand Social Sciences Planning Project"/>
    <s v="Acknowledgments This research was supported by Zhejiang Provincial Soft ScienceResearch Project (# 2022C35087) and Zhejiang Provincial Philosophyand Social Sciences Planning Project (# 23NDJC245YB) , China."/>
    <s v=""/>
    <n v="75"/>
    <n v="16"/>
    <n v="16"/>
    <n v="130"/>
    <n v="146"/>
    <s v="ELSEVIER SCI LTD"/>
    <s v="OXFORD"/>
    <s v="THE BOULEVARD, LANGFORD LANE, KIDLINGTON, OXFORD OX5 1GB, OXON, ENGLAND"/>
    <s v="0959-6526"/>
    <s v="1879-1786"/>
    <s v=""/>
    <s v="J CLEAN PROD"/>
    <s v="J. Clean Prod."/>
    <s v="MAR 20"/>
    <x v="0"/>
    <n v="393"/>
    <s v=""/>
    <s v=""/>
    <s v=""/>
    <s v=""/>
    <s v=""/>
    <s v=""/>
    <s v=""/>
    <n v="136278"/>
    <s v="10.1016/j.jclepro.2023.136278"/>
    <s v="http://dx.doi.org/10.1016/j.jclepro.2023.136278"/>
    <s v=""/>
    <s v="FEB 2023"/>
    <n v="12"/>
    <x v="50"/>
    <x v="0"/>
    <s v="Science &amp; Technology - Other Topics; Engineering; Environmental Sciences &amp; Ecology"/>
    <s v="D1ES6"/>
    <s v=""/>
    <s v=""/>
    <s v=""/>
    <s v=""/>
    <s v="2023-11-15"/>
    <s v="WOS:000966229300001"/>
    <s v="View Full Record in Web of Science"/>
    <m/>
  </r>
  <r>
    <x v="81"/>
    <s v="J"/>
    <x v="81"/>
    <s v=""/>
    <s v=""/>
    <s v=""/>
    <s v="Atici, Selim Gokce"/>
    <s v=""/>
    <s v=""/>
    <x v="81"/>
    <x v="72"/>
    <s v=""/>
    <s v=""/>
    <s v="English"/>
    <s v="Article"/>
    <s v=""/>
    <s v=""/>
    <s v=""/>
    <s v=""/>
    <s v=""/>
    <x v="79"/>
    <x v="64"/>
    <s v="Behavioural advertising and algorithmic data trade found fertile ground in Turkey in 2014 as government sponsored corporations demanded image adjustment. Based on five months of participant observation and work as a digital strategist in a digital advertising agency, JazzRabbit, I analyze the significance of algorithmic data in relation to workers who negotiate work and life through predictions based on data traces and consumer categories. Devaluing their embodied labour, they construe online interactions as fungible things while social classes are rendered as tangible digital collectivities. I demonstrate that visions of corporate social welfare and workspace control precarious working conditions against the background of an economy undergirded by high youth unemployment and flexible digital labour markets. I argue that the conditions of digital work reproduce the differential constitution of algorithmic technologies and worker subjectivity. I call for research about multiple histories of algorithmic work and how they give rise to specific imaginations about social classes."/>
    <s v="[Atici, Selim Gokce] Stanford Univ, Anthropol Dept, Stanford, CA 94305 USA"/>
    <s v="Stanford University"/>
    <s v="Atici, SG (corresponding author), Stanford Univ, Anthropol Dept, Stanford, CA 94305 USA."/>
    <s v="sgatici@gmail.com"/>
    <s v=""/>
    <s v=""/>
    <s v="Bogazici University Sociology Department in Istanbul"/>
    <s v="Bogazici University Sociology Department in Istanbul(Bogazici University)"/>
    <s v="This research was supported by Bogazici University Sociology Department in Istanbul"/>
    <s v=""/>
    <n v="58"/>
    <n v="0"/>
    <n v="0"/>
    <n v="0"/>
    <n v="0"/>
    <s v="PALGRAVE MACMILLAN LTD"/>
    <s v="BASINGSTOKE"/>
    <s v="BRUNEL RD BLDG, HOUNDMILLS, BASINGSTOKE RG21 6XS, HANTS, ENGLAND"/>
    <s v="1755-6341"/>
    <s v="1755-635X"/>
    <s v=""/>
    <s v="SUBJECTIVITY"/>
    <s v="Subjectivity"/>
    <s v="MAR"/>
    <x v="0"/>
    <n v="30"/>
    <n v="1"/>
    <s v=""/>
    <s v=""/>
    <s v=""/>
    <s v=""/>
    <n v="70"/>
    <n v="90"/>
    <s v=""/>
    <s v="10.1057/s41286-023-00148-9"/>
    <s v="http://dx.doi.org/10.1057/s41286-023-00148-9"/>
    <s v=""/>
    <s v="FEB 2023"/>
    <n v="21"/>
    <x v="31"/>
    <x v="2"/>
    <s v="Social Sciences - Other Topics"/>
    <s v="G3PZ8"/>
    <s v=""/>
    <s v=""/>
    <s v=""/>
    <s v=""/>
    <s v="2023-11-15"/>
    <s v="WOS:000988262300001"/>
    <s v="View Full Record in Web of Science"/>
    <m/>
  </r>
  <r>
    <x v="82"/>
    <s v="J"/>
    <x v="82"/>
    <s v=""/>
    <s v=""/>
    <s v=""/>
    <s v="Le-Dain, Marie-Anne; Benhayoun, Lamiae; Matthews, Judy; Liard, Marine"/>
    <s v=""/>
    <s v=""/>
    <x v="82"/>
    <x v="73"/>
    <s v=""/>
    <s v=""/>
    <s v="English"/>
    <s v="Article"/>
    <s v=""/>
    <s v=""/>
    <s v=""/>
    <s v=""/>
    <s v=""/>
    <x v="80"/>
    <x v="65"/>
    <s v="Digital servitization enables SMEs to propose smart Product-Service Systems (PSS) integrating products and services. Limited discussion of this contemporary and challenging phenomena stimulated our in-depth literature review, which identified four key themes common to both barriers and opportunities: digital strategy, ecosystem network, internal and operational organization, and human capabilities. Industry expert focus group enabled enriching and refining these themes across smart PSS business models. Digital servitization was found to mostly benefit the SME's digital strategy and ecosystem network and is hindered by insufficient human capabilities and underdeveloped ecosystem networks. Opportunities and barriers vary as the smart PSS business model evolves."/>
    <s v="[Le-Dain, Marie-Anne; Liard, Marine] Univ Grenoble Alpes, Grenoble INP, CNRS, G SCOP, 46 Ave Felix Viallet, F-38000 Grenoble, France; [Benhayoun, Lamiae] Univ Internatl Rabat, Rabat Business Sch, Technopolis Rabat Shore, 11 103, Rabat, Morocco; [Matthews, Judy] Queensland Univ Technol, Sch Management, 2 George St, Brisbane, Qld 4000, Australia"/>
    <s v="Communaute Universite Grenoble Alpes; Institut National Polytechnique de Grenoble; Universite Grenoble Alpes (UGA); Centre National de la Recherche Scientifique (CNRS); Queensland University of Technology (QUT)"/>
    <s v="Le-Dain, MA (corresponding author), Univ Grenoble Alpes, Grenoble INP, CNRS, G SCOP, 46 Ave Felix Viallet, F-38000 Grenoble, France."/>
    <s v="marie-anne.le-dain@grenoble-inp.fr; lamiae.benhayoun@uir.ac.ma; jh.matthews@qut.edu.au; marine.liard@grenoble-inp.org"/>
    <s v="Matthews, Judy Helen/I-9723-2012"/>
    <s v="Matthews, Judy Helen/0000-0002-1117-0780; Le Dain, Marie-Anne/0000-0003-0075-4411"/>
    <s v=""/>
    <s v=""/>
    <s v=""/>
    <s v=""/>
    <n v="132"/>
    <n v="1"/>
    <n v="1"/>
    <n v="37"/>
    <n v="56"/>
    <s v="SPRINGER HEIDELBERG"/>
    <s v="HEIDELBERG"/>
    <s v="TIERGARTENSTRASSE 17, D-69121 HEIDELBERG, GERMANY"/>
    <s v="1862-8516"/>
    <s v="1862-8508"/>
    <s v=""/>
    <s v="SERV BUS"/>
    <s v="Serv. Bus."/>
    <s v="MAR"/>
    <x v="0"/>
    <n v="17"/>
    <n v="1"/>
    <s v=""/>
    <s v=""/>
    <s v="SI"/>
    <s v=""/>
    <n v="359"/>
    <n v="393"/>
    <s v=""/>
    <s v="10.1007/s11628-023-00520-4"/>
    <s v="http://dx.doi.org/10.1007/s11628-023-00520-4"/>
    <s v=""/>
    <s v="FEB 2023"/>
    <n v="35"/>
    <x v="6"/>
    <x v="1"/>
    <s v="Business &amp; Economics"/>
    <s v="9V4LT"/>
    <s v=""/>
    <s v="Bronze"/>
    <s v=""/>
    <s v=""/>
    <s v="2023-11-15"/>
    <s v="WOS:000925587300002"/>
    <s v="View Full Record in Web of Science"/>
    <m/>
  </r>
  <r>
    <x v="83"/>
    <s v="J"/>
    <x v="83"/>
    <s v=""/>
    <s v=""/>
    <s v=""/>
    <s v="Edelmann, Noella; Mergel, Ines; Lampoltshammer, Thomas"/>
    <s v=""/>
    <s v=""/>
    <x v="83"/>
    <x v="74"/>
    <s v=""/>
    <s v=""/>
    <s v="English"/>
    <s v="Article"/>
    <s v=""/>
    <s v=""/>
    <s v=""/>
    <s v=""/>
    <s v=""/>
    <x v="81"/>
    <x v="66"/>
    <s v="Digitalisation has changed society, and, as a result, public administrations are required to undergo significant changes to satisfy emergent societal needs. These changes impact all areas of the public sector, including the development and provision of digital services, the design of processes, and the development of policy. To implement the digital strategies and transformation requirements, public administrations must rethink the competences that their workforce as well as the external stakeholders may need. To understand how one nation implements its digital strategy and upskills its civil servants, we conducted a qualitative analysis of 41 Austrian expert interviews. The research shows that different stakeholders require a variety of competences to participate in the digital transformation of its processes and services. The results demonstrate the high level of diversity and the need for a holistic approach to tackle the complexity of the digital public sector, where leadership plays the most important role. In addition, the study shows that the use of competence frameworks for measurement and monitoring needs to be adapted to the local context."/>
    <s v="[Edelmann, Noella; Lampoltshammer, Thomas] Danube Univ Krems, Dept Egovernance &amp; Adm, A-3500 Krems, Austria; [Mergel, Ines] Univ Konstanz, Dept Polit &amp; Publ Adm, D-78464 Constance, Germany"/>
    <s v="Danube University Krems; University of Konstanz"/>
    <s v="Edelmann, N (corresponding author), Danube Univ Krems, Dept Egovernance &amp; Adm, A-3500 Krems, Austria."/>
    <s v="noella.edelmann@donau-uni.ac.at"/>
    <s v="Edelmann, Noella/P-7459-2017; Mergel, Ines/Q-7249-2016"/>
    <s v="Edelmann, Noella/0000-0001-8386-9585; Lampoltshammer, Thomas J./0000-0002-1122-6908; Mergel, Ines/0000-0003-0285-4758"/>
    <s v="European Commission [770356]"/>
    <s v="European Commission(European Union (EU)European Commission Joint Research Centre)"/>
    <s v="This work was supported by the European Commission Award-Nr. 770356 under the title: Co-VAL: Understanding value co-creation in public services for transforming European public administrations."/>
    <s v=""/>
    <n v="50"/>
    <n v="3"/>
    <n v="3"/>
    <n v="12"/>
    <n v="17"/>
    <s v="MDPI"/>
    <s v="BASEL"/>
    <s v="ST ALBAN-ANLAGE 66, CH-4052 BASEL, SWITZERLAND"/>
    <s v=""/>
    <s v="2076-3387"/>
    <s v=""/>
    <s v="ADM SCI"/>
    <s v="Adm. Sci."/>
    <s v="FEB"/>
    <x v="0"/>
    <n v="13"/>
    <n v="2"/>
    <s v=""/>
    <s v=""/>
    <s v=""/>
    <s v=""/>
    <s v=""/>
    <s v=""/>
    <n v="44"/>
    <s v="10.3390/admsci13020044"/>
    <s v="http://dx.doi.org/10.3390/admsci13020044"/>
    <s v=""/>
    <s v=""/>
    <n v="17"/>
    <x v="8"/>
    <x v="2"/>
    <s v="Business &amp; Economics"/>
    <s v="9G0LI"/>
    <s v=""/>
    <s v="gold"/>
    <s v=""/>
    <s v=""/>
    <s v="2023-11-15"/>
    <s v="WOS:000937852500001"/>
    <s v="View Full Record in Web of Science"/>
    <m/>
  </r>
  <r>
    <x v="84"/>
    <s v="J"/>
    <x v="84"/>
    <s v=""/>
    <s v=""/>
    <s v=""/>
    <s v="Moen, Lars Arvei"/>
    <s v=""/>
    <s v=""/>
    <x v="84"/>
    <x v="75"/>
    <s v=""/>
    <s v=""/>
    <s v="English"/>
    <s v="Article"/>
    <s v=""/>
    <s v=""/>
    <s v=""/>
    <s v=""/>
    <s v=""/>
    <x v="82"/>
    <x v="67"/>
    <s v="Digital transformation has led to several improvements in performance and efficiency, but its impact on growth patterns needs to be clarified. Two schools of thought dominate the literature on digital growth strategies. One stream advocates that digital firms should focus only on scaling their core position, while the other contends that firms should envelop into multiple complimentary markets. This seeming paradox in the strategic management literature, between advocates of a focus and a diversification growth strategy, shows a need for critical review and clarification of this literature. This paper synthesizes both views and argues that the distinct growth strategies are contextual and that a new catalyst, the relative level of digital transformation of firms in each market, influences their optimal strategy. A new conceptual model illustrates how digital firms may move between different strategies depending on their perceived market opportunities, competitive advantages, and the relative level of digital transformation of their competitors. Hereby, this paper contributes to a better understanding of the growth strategies of digital businesses."/>
    <s v="[Moen, Lars Arvei] Norwegian Sch Econ, Dept Strategy &amp; Management, Breiviksveien 40, N-5045 Bergen, Norway"/>
    <s v="Norwegian School of Economics (NHH)"/>
    <s v="Moen, LA (corresponding author), Norwegian Sch Econ, Dept Strategy &amp; Management, Breiviksveien 40, N-5045 Bergen, Norway."/>
    <s v="lars.moen@nhh.no"/>
    <s v=""/>
    <s v=""/>
    <s v=""/>
    <s v=""/>
    <s v=""/>
    <s v=""/>
    <n v="129"/>
    <n v="0"/>
    <n v="0"/>
    <n v="5"/>
    <n v="5"/>
    <s v="WORLD SCIENTIFIC PUBL CO PTE LTD"/>
    <s v="SINGAPORE"/>
    <s v="5 TOH TUCK LINK, SINGAPORE 596224, SINGAPORE"/>
    <s v="1363-9196"/>
    <s v="1757-5877"/>
    <s v=""/>
    <s v="INT J INNOV MANAG"/>
    <s v="Int. J. Innov. Manag."/>
    <s v="FEB"/>
    <x v="0"/>
    <n v="27"/>
    <s v="01N02"/>
    <s v=""/>
    <s v=""/>
    <s v=""/>
    <s v=""/>
    <s v=""/>
    <s v=""/>
    <n v="2350011"/>
    <s v="10.1142/S1363919623500111"/>
    <s v="http://dx.doi.org/10.1142/S1363919623500111"/>
    <s v=""/>
    <s v=""/>
    <n v="34"/>
    <x v="8"/>
    <x v="2"/>
    <s v="Business &amp; Economics"/>
    <s v="Q6SR5"/>
    <s v=""/>
    <s v=""/>
    <s v=""/>
    <s v=""/>
    <s v="2023-11-15"/>
    <s v="WOS:001058807900009"/>
    <s v="View Full Record in Web of Science"/>
    <m/>
  </r>
  <r>
    <x v="85"/>
    <s v="J"/>
    <x v="85"/>
    <s v=""/>
    <s v=""/>
    <s v=""/>
    <s v="Nikopoulou, Maria; Kourouthanassis, Panos; Chasapi, Giota; Pateli, Adamantia; Mylonas, Naoum"/>
    <s v=""/>
    <s v=""/>
    <x v="85"/>
    <x v="4"/>
    <s v=""/>
    <s v=""/>
    <s v="English"/>
    <s v="Article"/>
    <s v=""/>
    <s v=""/>
    <s v=""/>
    <s v=""/>
    <s v=""/>
    <x v="83"/>
    <x v="68"/>
    <s v="The current study aims to investigate the factors that affect a hotels' decision to adopt digital technologies. Our theoretical grounding builds on the Technology-Organization-Environment (TOE) research framework. Our research model was validated through a survey of 502 hoteliers and managers using the Partial Least Squares-Structural Equation Modeling (PLS-SEM) statistical method. The results indicated that micro, small and medium-sized enterprise (MSME) hotels affected by the COVID-19 outbreak are more likely to adopt digital technologies. The intention to adopt digital technology is positively and significantly influenced by the digital maturity of organizations, financial resource availability and government regulations. The current study investigates rather less explored factors, such as the organizational digital maturity, which consists of a multi-dimensional latent variable. Our findings may be employed to guide the formulation of digital strategies by hospitality industry organizations."/>
    <s v="[Nikopoulou, Maria; Kourouthanassis, Panos; Chasapi, Giota; Pateli, Adamantia] Ionian Univ, Dept Informat, Tsirigoti Sq 7, Corfu 49100, Greece; [Mylonas, Naoum] Ionian Univ, Dept Tourism, P Vraila Armeni 4, Corfu 49132, Greece"/>
    <s v="Ionian University; Ionian University"/>
    <s v="Mylonas, N (corresponding author), Ionian Univ, Dept Tourism, P Vraila Armeni 4, Corfu 49132, Greece."/>
    <s v="nmylonas@ionio.gr"/>
    <s v=""/>
    <s v=""/>
    <s v=""/>
    <s v=""/>
    <s v=""/>
    <s v=""/>
    <n v="106"/>
    <n v="0"/>
    <n v="0"/>
    <n v="25"/>
    <n v="36"/>
    <s v="MDPI"/>
    <s v="BASEL"/>
    <s v="ST ALBAN-ANLAGE 66, CH-4052 BASEL, SWITZERLAND"/>
    <s v=""/>
    <s v="2071-1050"/>
    <s v=""/>
    <s v="SUSTAINABILITY-BASEL"/>
    <s v="Sustainability"/>
    <s v="FEB"/>
    <x v="0"/>
    <n v="15"/>
    <n v="3"/>
    <s v=""/>
    <s v=""/>
    <s v=""/>
    <s v=""/>
    <s v=""/>
    <s v=""/>
    <n v="2736"/>
    <s v="10.3390/su15032736"/>
    <s v="http://dx.doi.org/10.3390/su15032736"/>
    <s v=""/>
    <s v=""/>
    <n v="20"/>
    <x v="4"/>
    <x v="3"/>
    <s v="Science &amp; Technology - Other Topics; Environmental Sciences &amp; Ecology"/>
    <s v="8Y3FE"/>
    <s v=""/>
    <s v="gold"/>
    <s v=""/>
    <s v=""/>
    <s v="2023-11-15"/>
    <s v="WOS:000932583400001"/>
    <s v="View Full Record in Web of Science"/>
    <m/>
  </r>
  <r>
    <x v="86"/>
    <s v="J"/>
    <x v="86"/>
    <s v=""/>
    <s v=""/>
    <s v=""/>
    <s v="Rodriguez-Bolanos, Rosibel; Ramirez-Palacios, Paula; Bolanos, Alejandra; Lara, Daimarelys; Millan, Gabriel; Gallegos-Carrillo, Katia; Flores, Yvonne N.; Mejia, Raul M.; Cupertino, Ana Paula; Cartujano-Barrera, Francisco"/>
    <s v=""/>
    <s v=""/>
    <x v="86"/>
    <x v="76"/>
    <s v=""/>
    <s v=""/>
    <s v="English"/>
    <s v="Article"/>
    <s v=""/>
    <s v=""/>
    <s v=""/>
    <s v=""/>
    <s v=""/>
    <x v="84"/>
    <x v="69"/>
    <s v="The objective of this study was to evaluate the effectiveness of digital and traditional methods and strategies in the recruitment of Mexican individuals who smoke into a cessation study. Recruitment method refers in general to either digital or traditional recruitment. Recruitment strategies refer to the particular recruitment type utilized within each recruitment method. Traditional recruitment strategies included radio interviews, word of mouth, newspaper advertisement, posters/banners placed in primary healthcare clinics, and medical referrals. Digital recruitment strategies involved emails and study advertisements through social media (i.e., Facebook, Instagram and Twitter) and website. In a 4-month period, 100 Mexican individuals who smoke were successfully enrolled into a smoking cessation study. The majority of participants were enrolled via traditional recruitment strategies (86%) compared to the digital recruitment strategies (14%). Individuals screened in the digital method were more likely to be eligible to participate in the study, compared to the traditional method. Similarly, in comparison to the traditional method, individuals in the digital method were more likely to enroll in the study. However, these differences were not statistically significant. Both traditional and digital strategies made important contributions to the overall recruitment effort."/>
    <s v="[Rodriguez-Bolanos, Rosibel; Bolanos, Alejandra; Millan, Gabriel] Inst Nacl Salud Publ, Dept Invest Tabaco, Cuernavaca, Morelos, Mexico; [Ramirez-Palacios, Paula; Gallegos-Carrillo, Katia; Flores, Yvonne N.] Inst Mexicano Seguro Social, Unidad Invest Epidemiol, Cuernavaca, Morelos, Mexico; [Ramirez-Palacios, Paula; Gallegos-Carrillo, Katia; Flores, Yvonne N.] Inst Mexicano Seguro Social, Serv Salud Delegac Morelos, Cuernavaca, Morelos, Mexico; [Lara, Daimarelys; Cupertino, Ana Paula; Cartujano-Barrera, Francisco] Univ Rochester, Med Ctr, Dept Publ Hlth Sci, 265 Crittenden Blvd, Rochester, NY 14642 USA; [Mejia, Raul M.] Univ Buenos Aires, Dept Med Ambulatoria, Buenos Aires, DF, Argentina"/>
    <s v="Instituto Nacional de Salud Publica; Instituto Mexicano del Seguro Social; Instituto Mexicano del Seguro Social; University of Rochester; University of Buenos Aires"/>
    <s v="Cartujano-Barrera, F (corresponding author), Univ Rochester, Med Ctr, Dept Publ Hlth Sci, 265 Crittenden Blvd, Rochester, NY 14642 USA."/>
    <s v="Francisco_Cartujano@urmc.rochester.edu"/>
    <s v=""/>
    <s v=""/>
    <s v="National Cancer Institute (NCI) [R01CA212189]"/>
    <s v="National Cancer Institute (NCI)(United States Department of Health &amp; Human ServicesNational Institutes of Health (NIH) - USANIH National Cancer Institute (NCI))"/>
    <s v="The author(s) disclosed receipt of the following financial support for the research, authorship, and/or publication of this article: Research reported in this publication was supported by the National Cancer Institute (NCI) under an Administrative Supplement to Stimulate or Strengthen Global Cancer Health Disparities Research to grant R01CA212189. The content is solely the responsibility of the authors and does not necessarily represent the official views of the NCI."/>
    <s v=""/>
    <n v="25"/>
    <n v="0"/>
    <n v="0"/>
    <n v="2"/>
    <n v="2"/>
    <s v="SAGE PUBLICATIONS LTD"/>
    <s v="LONDON"/>
    <s v="1 OLIVERS YARD, 55 CITY ROAD, LONDON EC1Y 1SP, ENGLAND"/>
    <s v="1179-173X"/>
    <s v=""/>
    <s v=""/>
    <s v="TOB USE INSIGHTS"/>
    <s v="Tob. Use Insights"/>
    <s v="FEB"/>
    <x v="0"/>
    <n v="16"/>
    <s v=""/>
    <s v=""/>
    <s v=""/>
    <s v=""/>
    <s v=""/>
    <s v=""/>
    <s v=""/>
    <s v="1179173X231157378"/>
    <s v="10.1177/1179173X231157378"/>
    <s v="http://dx.doi.org/10.1177/1179173X231157378"/>
    <s v=""/>
    <s v=""/>
    <n v="8"/>
    <x v="44"/>
    <x v="2"/>
    <s v="Public, Environmental &amp; Occupational Health"/>
    <s v="8V7FO"/>
    <n v="37425216"/>
    <s v="Green Published, gold"/>
    <s v=""/>
    <s v=""/>
    <s v="2023-11-15"/>
    <s v="WOS:000930794500001"/>
    <s v="View Full Record in Web of Science"/>
    <m/>
  </r>
  <r>
    <x v="87"/>
    <s v="J"/>
    <x v="87"/>
    <s v=""/>
    <s v=""/>
    <s v=""/>
    <s v="Wang, Mingke; Lau, Newman"/>
    <s v=""/>
    <s v=""/>
    <x v="87"/>
    <x v="30"/>
    <s v=""/>
    <s v=""/>
    <s v="English"/>
    <s v="Article"/>
    <s v=""/>
    <s v=""/>
    <s v=""/>
    <s v=""/>
    <s v=""/>
    <x v="85"/>
    <x v="70"/>
    <s v="Miao silver, generally referred to as the unique silver ornaments manufactured by the Miao ethnicity with over 400 years of history, was listed as a Chinese national intangible cultural heritage in 2006. Through primary research methods, including local investigation, interviews, and workshops at Maliao Village in Guizhou, this study found that sizeable industrial production shrank the market needs for traditional Miao silver handicrafts. A growing number of young Miao people pursue higher incomes and leave their hometowns to make a living in cities instead of engaging in Miao silver handcrafting in villages. Based on the difficulties encountered in the inheritance of Miao silver craftsmanship, this project creatively proposed a digital strategy based on the NFT digital twin application to preserve and maintain Miao silver technology in the context of the metaverse era. By conducting design experiments combining digital technology and the traditional Miao silver manufacturing techniques, a collection of NFT digital twins, digital duplications of Miao silver handicrafts that Miao silversmith jointly worked with 3D technologist, was created as a vital research outcome. The results show that this attempt is beneficial to help expand the use scenarios, extend the lifespan, and increase the commercial value of Miao silver. To sum up, taking Miao silverware handicrafts as a research case, this paper dialectically discusses the relationship between industrial manufacturing and traditional handicraft industries, making contributions to the inheritance and development of Miao silver and also putting forward innovative solutions to promote the prosperity of intangible cultural heritage worldwide."/>
    <s v="[Wang, Mingke] Univ Arts London, London Coll Fash, London W1G 0BJ, England; [Lau, Newman] Hong Kong Polytech Univ, Sch Design, Hung Hom, Hong Kong, Peoples R China"/>
    <s v="University of Arts London; Hong Kong Polytechnic University"/>
    <s v="Wang, MK (corresponding author), Univ Arts London, London Coll Fash, London W1G 0BJ, England."/>
    <s v="wang.mingke@outlook.com"/>
    <s v=", prophe/AAJ-5693-2020"/>
    <s v="LAU, Newman/0000-0001-8668-9467"/>
    <s v=""/>
    <s v=""/>
    <s v=""/>
    <s v=""/>
    <n v="42"/>
    <n v="1"/>
    <n v="1"/>
    <n v="20"/>
    <n v="32"/>
    <s v="MDPI"/>
    <s v="BASEL"/>
    <s v="ST ALBAN-ANLAGE 66, CH-4052 BASEL, SWITZERLAND"/>
    <s v="2571-9408"/>
    <s v=""/>
    <s v=""/>
    <s v="HERITAGE-BASEL"/>
    <s v="Heritage"/>
    <s v="FEB"/>
    <x v="0"/>
    <n v="6"/>
    <n v="2"/>
    <s v=""/>
    <s v=""/>
    <s v=""/>
    <s v=""/>
    <n v="1921"/>
    <n v="1941"/>
    <s v=""/>
    <s v="10.3390/heritage6020103"/>
    <s v="http://dx.doi.org/10.3390/heritage6020103"/>
    <s v=""/>
    <s v=""/>
    <n v="21"/>
    <x v="29"/>
    <x v="2"/>
    <s v="Arts &amp; Humanities - Other Topics; Science &amp; Technology - Other Topics"/>
    <s v="9H7WA"/>
    <s v=""/>
    <s v="gold"/>
    <s v=""/>
    <s v=""/>
    <s v="2023-11-15"/>
    <s v="WOS:000939037200001"/>
    <s v="View Full Record in Web of Science"/>
    <m/>
  </r>
  <r>
    <x v="88"/>
    <s v="J"/>
    <x v="88"/>
    <s v=""/>
    <s v=""/>
    <s v=""/>
    <s v="Agrawal, Ashwin; Thiel, Robert; Jain, Pooja; Singh, Vishal; Fischer, Martin"/>
    <s v=""/>
    <s v=""/>
    <x v="88"/>
    <x v="77"/>
    <s v=""/>
    <s v=""/>
    <s v="English"/>
    <s v="Article"/>
    <s v=""/>
    <s v=""/>
    <s v=""/>
    <s v=""/>
    <s v=""/>
    <x v="86"/>
    <x v="71"/>
    <s v="Digital Twin (DT) technology is far from being comprehensive and mature, resulting in their piecemeal imple-mentation in practice where some functions are automated by DTs, and others are still performed by humans. This piecemeal implementation of DTs often leaves practitioners wondering what roles (or functions) to allocate to DTs in a work system, and how might it impact humans. A lack of knowledge about the roles that humans and DTs play in a work system can result in significant costs, misallocation of resources, unrealistic expectations from DTs, and strategic misalignments. To alleviate this challenge, this paper answers the research question: When humans work with DTs, what types of roles can a DT play, and to what extent can those roles be automated? Spe-cifically, we propose a two-dimensional conceptual framework, Levels of Digital Twin (LoDT). The framework is an integration of the types of roles a DT can play, broadly categorized under (1) Observer, (2) Analyst, (3) Decision Maker, and (4) Action Executor, and the extent of automation for each of these roles, divided into five different levels ranging from completely manual to fully automated. A particular DT can play any number of roles at varying levels. The framework can help practitioners systematically plan DT deployments, clearly commu-nicate goals and deliverables, and lay out a strategic vision. A case study illustrates the usefulness of the framework."/>
    <s v="[Agrawal, Ashwin] Stanford Univ, Dept Civil &amp; Environm Engn, Stanford, CA 94305 USA; [Thiel, Robert] WSP USA, Morristown, NJ USA; [Jain, Pooja] WSP USA, San Francisco, CA USA; [Singh, Vishal] Indian Inst Sci, Ctr Prod Design &amp; Mfg, Bangalore, India; [Fischer, Martin] Stanford Univ, Civil &amp; Environm Engn, Stanford, CA USA"/>
    <s v="Stanford University; Indian Institute of Science (IISC) - Bangalore; Stanford University"/>
    <s v="Agrawal, A (corresponding author), Stanford Univ, Dept Civil &amp; Environm Engn, Stanford, CA 94305 USA."/>
    <s v="ashwin15@stanford.edu; bob.thiel@wsp.com; pooja.jain1@wsp.com; singhv@iisc.ac.in; fischer@stanford.edu"/>
    <s v=""/>
    <s v="Fischer, Martin/0000-0002-5071-017X"/>
    <s v="Center for Integrated Facility Engineering (CIFE) [2019-15, 2020-13]"/>
    <s v="Center for Integrated Facility Engineering (CIFE)"/>
    <s v="We would like to thank all the industry and academic experts who gave us valuable time and feedback. We acknowledge the financial support provided by the Center for Integrated Facility Engineering (CIFE) [Grant number: 2019-15; 2020-13] at Stanford University for completing this project. The authors would also like to express their gratitude to Rui Liu, Stephanie Chin, Melody Spradlin, Cynthia Brosque, Simge Girgin, and Alberto Tono for their feedback on the framework. The authors would also thank the two anonymous reviewers and the editor for their constructive feedback for improving the manuscript. Last but not least, the first author would also like to especially thank Tulika Majumdar, Alissa Cooperman, and Hesam Hamledari for their invalu-able feedback and help during framework preparation and manuscript proofreading."/>
    <s v=""/>
    <n v="107"/>
    <n v="4"/>
    <n v="4"/>
    <n v="12"/>
    <n v="15"/>
    <s v="ELSEVIER"/>
    <s v="AMSTERDAM"/>
    <s v="RADARWEG 29, 1043 NX AMSTERDAM, NETHERLANDS"/>
    <s v="0926-5805"/>
    <s v="1872-7891"/>
    <s v=""/>
    <s v="AUTOMAT CONSTR"/>
    <s v="Autom. Constr."/>
    <s v="APR"/>
    <x v="0"/>
    <n v="148"/>
    <s v=""/>
    <s v=""/>
    <s v=""/>
    <s v=""/>
    <s v=""/>
    <s v=""/>
    <s v=""/>
    <n v="104749"/>
    <s v="10.1016/j.autcon.2023.104749"/>
    <s v="http://dx.doi.org/10.1016/j.autcon.2023.104749"/>
    <s v=""/>
    <s v="JAN 2023"/>
    <n v="15"/>
    <x v="51"/>
    <x v="0"/>
    <s v="Construction &amp; Building Technology; Engineering"/>
    <s v="C3AP8"/>
    <s v=""/>
    <s v="Green Submitted, Green Accepted"/>
    <s v=""/>
    <s v=""/>
    <s v="2023-11-15"/>
    <s v="WOS:000960688500001"/>
    <s v="View Full Record in Web of Science"/>
    <m/>
  </r>
  <r>
    <x v="89"/>
    <s v="J"/>
    <x v="89"/>
    <s v=""/>
    <s v=""/>
    <s v=""/>
    <s v="Liu, Yulong (David); Chung, Henry F. L.; Zhang, Zuopeng (Justin); Wu, Mian"/>
    <s v=""/>
    <s v=""/>
    <x v="89"/>
    <x v="57"/>
    <s v=""/>
    <s v=""/>
    <s v="English"/>
    <s v="Article"/>
    <s v=""/>
    <s v=""/>
    <s v=""/>
    <s v=""/>
    <s v=""/>
    <x v="87"/>
    <x v="72"/>
    <s v="PurposeDrawing on a strategic agility perspective, the authors develop a theoretical framework and empirically examine how digital platform adoption and capability impact business performance via digital-enabled strategic agility in the context of professional service firms.Design/methodology/approachThe authors propose and examine a conceptual framework based on survey data from 127 professional service firms in New Zealand.FindingsThis study reveals the impact of digital platform capability on the business performance of professional service firms that employ digital platform technologies. The results suggest that organizational innovation and managers' creative efficacy will be used as distal antecedents and contribute to digital platform capabilities. In addition, digital strategic agility can mediate the link between digital platform capabilities and business performance.Originality/valueThis study is one of the first to investigate when and how digital platforms empower professional service firms. This study reveals the role of digital strategic agility and digital platform capabilities in knowledge-intensive enterprises. This research advances the development of knowledge-based economy in the information age by applying and extending strategic agility to the uncertain and volatile business environment. The authors' new conceptualization provides a deeper understanding of how and why professional services business and organizations can adapt to the post-COVID era smoothly and successfully."/>
    <s v="[Liu, Yulong (David); Wu, Mian] Massey Univ, Sch Management, Massey Business Sch, Auckland, New Zealand; [Chung, Henry F. L.] Massey Univ, Sch Commun Journalism &amp; Mkt, Massey Business Sch, Auckland, New Zealand; [Zhang, Zuopeng (Justin)] Univ North Florida, Coggin Coll Business, Dept Management, Jacksonville, FL USA"/>
    <s v="Massey University; Massey University; State University System of Florida; University of North Florida"/>
    <s v="Chung, HFL (corresponding author), Massey Univ, Sch Commun Journalism &amp; Mkt, Massey Business Sch, Auckland, New Zealand."/>
    <s v="y.d.liu@massey.ac.nz; H.Chung@massey.ac.nz; justin.zhang@unf.edu; mwu2@massey.ac.nz"/>
    <s v="Zhang, Justin/M-9298-2019; Wu, Mian/ITU-5450-2023"/>
    <s v="Zhang, Justin/0000-0002-4074-9505; Wu, Mian/0000-0003-0640-9977; Chung, Henry F. L./0000-0003-1134-1006"/>
    <s v=""/>
    <s v=""/>
    <s v=""/>
    <s v=""/>
    <n v="108"/>
    <n v="2"/>
    <n v="2"/>
    <n v="42"/>
    <n v="74"/>
    <s v="EMERALD GROUP PUBLISHING LTD"/>
    <s v="BINGLEY"/>
    <s v="HOWARD HOUSE, WAGON LANE, BINGLEY BD16 1WA, W YORKSHIRE, ENGLAND"/>
    <s v="2055-6225"/>
    <s v=""/>
    <s v=""/>
    <s v="J SERV THEOR PRACT"/>
    <s v="J. Serv. Theory Pract."/>
    <s v="MAR 24"/>
    <x v="0"/>
    <n v="33"/>
    <n v="2"/>
    <s v=""/>
    <s v=""/>
    <s v="SI"/>
    <s v=""/>
    <n v="149"/>
    <n v="168"/>
    <s v=""/>
    <s v="10.1108/JSTP-04-2022-0092"/>
    <s v="http://dx.doi.org/10.1108/JSTP-04-2022-0092"/>
    <s v=""/>
    <s v="JAN 2023"/>
    <n v="20"/>
    <x v="6"/>
    <x v="1"/>
    <s v="Business &amp; Economics"/>
    <s v="A8WL9"/>
    <s v=""/>
    <s v=""/>
    <s v=""/>
    <s v=""/>
    <s v="2023-11-15"/>
    <s v="WOS:000909928200001"/>
    <s v="View Full Record in Web of Science"/>
    <m/>
  </r>
  <r>
    <x v="90"/>
    <s v="J"/>
    <x v="90"/>
    <s v=""/>
    <s v=""/>
    <s v=""/>
    <s v="Forliano, Canio; Orlandi, Ludovico Bullini; Zardini, Alessandro; Rossignoli, Cecilia"/>
    <s v=""/>
    <s v=""/>
    <x v="90"/>
    <x v="9"/>
    <s v=""/>
    <s v=""/>
    <s v="English"/>
    <s v="Article"/>
    <s v=""/>
    <s v=""/>
    <s v=""/>
    <s v=""/>
    <s v=""/>
    <x v="88"/>
    <x v="73"/>
    <s v="Grounded in dynamic capabilities theory, this study investigates the impact of firms' technological orientation (TO) on their resilience to the coronavirus disease (Covid-19) pandemic (RTC). The mediating role of the maturity of their digital strategy (MDS) to this relationship is also considered. To do this, we conducted an online survey of 186 firms that operate in Germany and Italy and tested the study's hypotheses by applying the covariance-based structural equation modeling (CB-SEM) and bootstrapped regression analysis. The results indicate that TO positively affects MDS, leading to higher RTC, whereas the relationship between TO and RTC is not significant. This study extends the knowledge about dynamic capabilities theory by providing empirical support for developing a mature digital strategy. Further, it highlights the importance for managers and policy makers to proactively respond to disruptive changes, such as those caused by the Covid-19 pandemic, thus contributing to organizational resilience literature that stresses the importance of ex ante initiatives to improve resiliency."/>
    <s v="[Forliano, Canio] Univ Palermo, Dept Polit Sci &amp; Int Relat, Via Am Ugo Antonio, I-90134 Palermo, Italy; [Forliano, Canio] Univ Turin, Dept Management, Corso Un Soviet 218-bis, I-10134 Turin, Italy; [Orlandi, Ludovico Bullini] Univ Bologna, Dept Management, Via Capo Lucca 34, I-40126 Bologna, Italy; [Zardini, Alessandro; Rossignoli, Cecilia] Univ Verona, Dept Business Adm, Via Cantarane 24, I-37129 Verona, Italy"/>
    <s v="University of Palermo; University of Turin; University of Bologna; University of Verona"/>
    <s v="Orlandi, LB (corresponding author), Univ Bologna, Dept Management, Via Capo Lucca 34, I-40126 Bologna, Italy."/>
    <s v="ludovico.bullini2@unibo.it"/>
    <s v="Zardini, Alessandro/J-8400-2014"/>
    <s v="Zardini, Alessandro/0000-0002-2598-9877; FORLIANO, CANIO/0000-0002-6428-1740"/>
    <s v=""/>
    <s v=""/>
    <s v=""/>
    <s v=""/>
    <n v="99"/>
    <n v="2"/>
    <n v="2"/>
    <n v="46"/>
    <n v="106"/>
    <s v="ELSEVIER SCIENCE INC"/>
    <s v="NEW YORK"/>
    <s v="STE 800, 230 PARK AVE, NEW YORK, NY 10169 USA"/>
    <s v="0040-1625"/>
    <s v="1873-5509"/>
    <s v=""/>
    <s v="TECHNOL FORECAST SOC"/>
    <s v="Technol. Forecast. Soc. Chang."/>
    <s v="MAR"/>
    <x v="0"/>
    <n v="188"/>
    <s v=""/>
    <s v=""/>
    <s v=""/>
    <s v=""/>
    <s v=""/>
    <s v=""/>
    <s v=""/>
    <n v="122288"/>
    <s v="10.1016/j.techfore.2022.122288"/>
    <s v="http://dx.doi.org/10.1016/j.techfore.2022.122288"/>
    <s v=""/>
    <s v="JAN 2023"/>
    <n v="9"/>
    <x v="9"/>
    <x v="1"/>
    <s v="Business &amp; Economics; Public Administration"/>
    <s v="8E5WH"/>
    <n v="36590467"/>
    <s v="Green Published, Bronze"/>
    <s v=""/>
    <s v=""/>
    <s v="2023-11-15"/>
    <s v="WOS:000919042800001"/>
    <s v="View Full Record in Web of Science"/>
    <m/>
  </r>
  <r>
    <x v="91"/>
    <s v="J"/>
    <x v="91"/>
    <s v=""/>
    <s v=""/>
    <s v=""/>
    <s v="Tuerk, Abdullah"/>
    <s v=""/>
    <s v=""/>
    <x v="91"/>
    <x v="63"/>
    <s v=""/>
    <s v=""/>
    <s v="English"/>
    <s v="Article"/>
    <s v=""/>
    <s v=""/>
    <s v=""/>
    <s v=""/>
    <s v=""/>
    <x v="89"/>
    <x v="74"/>
    <s v="Businesses must respond to the ecology in which they operate. Especially the rapid transformation of technology has increased the degree of dependency on the system. The main reason for this is perceived only as the technology costs brought by digital transformation. However, we understand from the bankruptcy of economically strong companies that this is not the real problem. This study looks at it from the perspective of leadership, which is an important skill for businesses. The research focuses on leadership roles needed to adapt to digital transformation. At this point, the roles of digital leadership and its contribution to businesses were investigated. At this point, we try to reveal the role of digital leadership with two different qualitative analyzes. In the research, semi-structured interviews were conducted with senior managers, phenomenological and content analysis was performed using Nvivo and MAXQDA qualitative analysis programs, and relevant confidential information was revealed. As a result of the research, it has been determined that there is an important link between time management and productivity while supporting system efficiency and transformation adaptation. In other words, a positive relationship has been determined between the success of digital transformation and digital leadership roles. In digital transformation, digital leadership has a role in the positive development of the relationship between the digital transformation process and business strategies. As a result, a perspective on how digital leadership can contribute to businesses that want to develop strategies suitable for the digital transformation process is presented."/>
    <s v="[Tuerk, Abdullah] Istanbul Bilgi Univ, Dept Aviat Management, Org, Istanbul, Turkiye"/>
    <s v="Istanbul Bilgi University"/>
    <s v="Tuerk, A (corresponding author), Istanbul Bilgi Univ, Dept Aviat Management, Org, Istanbul, Turkiye."/>
    <s v="abdullah.turk@bilgi.edu.tr"/>
    <s v=""/>
    <s v=""/>
    <s v=""/>
    <s v=""/>
    <s v=""/>
    <s v=""/>
    <n v="64"/>
    <n v="2"/>
    <n v="2"/>
    <n v="84"/>
    <n v="159"/>
    <s v="FRONTIERS MEDIA SA"/>
    <s v="LAUSANNE"/>
    <s v="AVENUE DU TRIBUNAL FEDERAL 34, LAUSANNE, CH-1015, SWITZERLAND"/>
    <s v="1664-1078"/>
    <s v=""/>
    <s v=""/>
    <s v="FRONT PSYCHOL"/>
    <s v="Front. Psychol."/>
    <s v="JAN 4"/>
    <x v="0"/>
    <n v="13"/>
    <s v=""/>
    <s v=""/>
    <s v=""/>
    <s v=""/>
    <s v=""/>
    <s v=""/>
    <s v=""/>
    <n v="1066180"/>
    <s v="10.3389/fpsyg.2022.1066180"/>
    <s v="http://dx.doi.org/10.3389/fpsyg.2022.1066180"/>
    <s v=""/>
    <s v=""/>
    <n v="11"/>
    <x v="47"/>
    <x v="1"/>
    <s v="Psychology"/>
    <s v="7Y1WB"/>
    <n v="36687830"/>
    <s v="gold, Green Published"/>
    <s v=""/>
    <s v=""/>
    <s v="2023-11-15"/>
    <s v="WOS:000914677400001"/>
    <s v="View Full Record in Web of Science"/>
    <m/>
  </r>
  <r>
    <x v="92"/>
    <s v="J"/>
    <x v="92"/>
    <s v=""/>
    <s v=""/>
    <s v=""/>
    <s v="Cinelli, Giulia; Croci, Ileana; Gesualdo, Francesco; Pandolfi, Elisabetta; Miller, Kiersten Pilar; Tozzi, Alberto Eugenio"/>
    <s v=""/>
    <s v=""/>
    <x v="92"/>
    <x v="78"/>
    <s v=""/>
    <s v=""/>
    <s v="English"/>
    <s v="Article"/>
    <s v=""/>
    <s v=""/>
    <s v=""/>
    <s v=""/>
    <s v=""/>
    <x v="90"/>
    <x v="75"/>
    <s v="Web-based digital interventions may play a central role for health promoting strategies in the first 1000 days, from conception through the first 2 years of life. We developed a web platform providing evidence-based recommendations in the first 1000 days through short videos, and we studied engagement by users from preconception through parenthood in the second year of life. We described the access to videos by topic and used a multilevel model to explore the user characteristics associated with access to the video recommendations. Overall, breastfeeding, physical activity and nutrition were the most popular topics (normalized views: 89.2%, 87.2% and 86.4% respectively), while content on paternal health and smoking and alcohol was less engaging (37.3% and 42.0%). Nutrition content was the most viewed in the preconception period and during the first two trimesters of pregnancy. Nutrition and breastfeeding were also the most popular topics for users with children less than 2 years old. Higher levels of health literacy were associated only with child health content. The study findings indicate that digital strategies should be adapted according to the time period in the first 1000 days. Alternative digital promotion strategies for the less engaging topics should be considered."/>
    <s v="[Cinelli, Giulia; Croci, Ileana; Gesualdo, Francesco; Pandolfi, Elisabetta; Miller, Kiersten Pilar; Tozzi, Alberto Eugenio] Bambino Gesu Pediat Hosp, Predict &amp; Prevent Med Res Unit, IRCCS, I-00165 Rome, Italy"/>
    <s v="IRCCS Bambino Gesu"/>
    <s v="Croci, I (corresponding author), Bambino Gesu Pediat Hosp, Predict &amp; Prevent Med Res Unit, IRCCS, I-00165 Rome, Italy."/>
    <s v="ileana.croci@opbg.net"/>
    <s v="Tozzi, Alberto Eugenio/F-9494-2012; Gesualdo, Francesco/H-9221-2012"/>
    <s v="Tozzi, Alberto Eugenio/0000-0002-6884-984X; Gesualdo, Francesco/0000-0002-9087-4398; Croci, Ileana/0000-0002-3448-6059; Miller, Kiersten/0000-0002-0087-2867"/>
    <s v="Italian Ministry of Health"/>
    <s v="Italian Ministry of Health(Ministry of Health, Italy)"/>
    <s v="This work was supported also by the Italian Ministry of Health with Current Research funds."/>
    <s v=""/>
    <n v="42"/>
    <n v="0"/>
    <n v="0"/>
    <n v="3"/>
    <n v="4"/>
    <s v="MDPI"/>
    <s v="BASEL"/>
    <s v="ST ALBAN-ANLAGE 66, CH-4052 BASEL, SWITZERLAND"/>
    <s v=""/>
    <s v="1660-4601"/>
    <s v=""/>
    <s v="INT J ENV RES PUB HE"/>
    <s v="Int. J. Environ. Res. Public Health"/>
    <s v="JAN"/>
    <x v="0"/>
    <n v="20"/>
    <n v="2"/>
    <s v=""/>
    <s v=""/>
    <s v=""/>
    <s v=""/>
    <s v=""/>
    <s v=""/>
    <n v="1329"/>
    <s v="10.3390/ijerph20021329"/>
    <s v="http://dx.doi.org/10.3390/ijerph20021329"/>
    <s v=""/>
    <s v=""/>
    <n v="12"/>
    <x v="52"/>
    <x v="3"/>
    <s v="Environmental Sciences &amp; Ecology; Public, Environmental &amp; Occupational Health"/>
    <s v="8D0CR"/>
    <n v="36674084"/>
    <s v="gold, Green Published"/>
    <s v=""/>
    <s v=""/>
    <s v="2023-11-15"/>
    <s v="WOS:000917967300001"/>
    <s v="View Full Record in Web of Science"/>
    <m/>
  </r>
  <r>
    <x v="93"/>
    <s v="J"/>
    <x v="93"/>
    <s v=""/>
    <s v=""/>
    <s v=""/>
    <s v="Egodawele, Mekhala; Sedera, Darshana; Walton, Varun Grover; Seneviratne, Dilanjan; Sooriyapperuma, Banura"/>
    <s v=""/>
    <s v=""/>
    <x v="93"/>
    <x v="79"/>
    <s v=""/>
    <s v=""/>
    <s v="English"/>
    <s v="Article"/>
    <s v=""/>
    <s v=""/>
    <s v=""/>
    <s v=""/>
    <s v=""/>
    <x v="91"/>
    <x v="1"/>
    <s v="This teaching case is about 'Yohani' - a Global YouTube sensation. Yohani's song 'Menike Mage Hithe' reached the top hits of Amazon Music and Spotify, eventually making its way to the YouTube Top-10 global charts in September 2021. Gathering in-depth insights from the executive staff behind her record label company and her creative company, this teaching case demonstrates (i) the role of a social media strategy in contemporary businesses and entrepreneurs; (ii) social media hygiene factors that one must consider; (iii) how social media insights gained through analytics assisted in delivering a carefully orchestrated business strategy, and (iv) how a combination of social media platforms was employed while considering a range of technological, geographical, financial and social factors. The case and its teaching notes are suitable for undergraduate and postgraduate students studying a contemporary information systems management course."/>
    <s v="[Egodawele, Mekhala; Sedera, Darshana] Southern Cross Univ, Fac Business Law &amp; Arts, Gold Coast, Australia; [Walton, Varun Grover] Univ Arkansas, Walton Sch Business, Fayetteville, AR USA; [Seneviratne, Dilanjan] Pettah Effect, Colombo, Sri Lanka; [Sooriyapperuma, Banura] Theewra Worldwide Pvt Ltd, Colombo, Sri Lanka"/>
    <s v="Southern Cross University; University of Arkansas System; University of Arkansas Fayetteville"/>
    <s v="Egodawele, M (corresponding author), Southern Cross Univ, Fac Business Law &amp; Arts, Gold Coast, Australia."/>
    <s v=""/>
    <s v=""/>
    <s v=""/>
    <s v=""/>
    <s v=""/>
    <s v=""/>
    <s v=""/>
    <n v="0"/>
    <n v="0"/>
    <n v="0"/>
    <n v="0"/>
    <n v="0"/>
    <s v="ASSOC INFORMATION SYSTEMS"/>
    <s v="ATLANTA"/>
    <s v="GEORGIA STATE UNIV, 35 BROAD STREET, STE 916-917, ATLANTA, GA 30303 USA"/>
    <s v="1529-3181"/>
    <s v=""/>
    <s v=""/>
    <s v="COMMUN ASSOC INF SYS"/>
    <s v="Commun. Assoc. Inf. Syst."/>
    <s v=""/>
    <x v="0"/>
    <n v="52"/>
    <s v=""/>
    <s v=""/>
    <s v=""/>
    <s v=""/>
    <s v=""/>
    <n v="500"/>
    <n v="517"/>
    <s v=""/>
    <s v="10.17705/1CAIS.05220"/>
    <s v="http://dx.doi.org/10.17705/1CAIS.05220"/>
    <s v=""/>
    <s v=""/>
    <n v="19"/>
    <x v="36"/>
    <x v="2"/>
    <s v="Computer Science"/>
    <s v="L5VZ0"/>
    <s v=""/>
    <s v="Bronze"/>
    <s v=""/>
    <s v=""/>
    <s v="2023-11-15"/>
    <s v="WOS:001023953500001"/>
    <s v="View Full Record in Web of Science"/>
    <m/>
  </r>
  <r>
    <x v="94"/>
    <s v="J"/>
    <x v="94"/>
    <s v=""/>
    <s v=""/>
    <s v=""/>
    <s v="Foria, Federico; Calicchio, Mario; Moretti, Laura; Loprencipe, Giuseppe"/>
    <s v=""/>
    <s v=""/>
    <x v="94"/>
    <x v="80"/>
    <s v=""/>
    <s v=""/>
    <s v="English"/>
    <s v="Article"/>
    <s v=""/>
    <s v=""/>
    <s v=""/>
    <s v=""/>
    <s v=""/>
    <x v="92"/>
    <x v="76"/>
    <s v="The tunnel industry has started focusing on the maintenance and management challenges of an existing infrastructure. It is an urgent matter in industrialised countries, where the stakeholders' attention is increasing at a fast pace considering the incidents and the disruptions caused by improper monitoring and maintenance. This paper presents an innovative methodology to survey and inspect existing railway tunnels through multi-dimensional mobile mapping systems. The proposed approach belongs to the digital strategies for infrastructure maintenance. An integrated multidimensional survey system (ARCHITA) allows for collecting information necessary for the diagnostics of a structure with non-destructive tests. Linear cameras, thermographic cameras, and ground-penetrating radars acquire data to be digitalised and manipulated in different IT environments. The results, in terms of the collected data on structural defects, allow for a new approach for the Management and Identification of the Risk for Existing Tunnels (MIRET). The innovative approach aims at a smart integration of information and models for the Facility Management of the transport system. The workflow for the digitalisation and diagnosis from mobile mapping data has been implemented on two 40km-long metro tunnels."/>
    <s v="[Foria, Federico; Calicchio, Mario] ETS Srl, Via Appia Nuova 59, I-00183 Rome, Italy; [Moretti, Laura; Loprencipe, Giuseppe] Sapienza Univ Rome, Dept Civil Construct &amp; Environm Engn, Via Eudossiana 18, I-00184 Rome, Italy"/>
    <s v="Sapienza University Rome"/>
    <s v="Moretti, L (corresponding author), Sapienza Univ Rome, Dept Civil Construct &amp; Environm Engn, Via Eudossiana 18, I-00184 Rome, Italy."/>
    <s v="laura.moretti@uniromal.it"/>
    <s v="Loprencipe, Giuseppe/C-2223-2013"/>
    <s v="Loprencipe, Giuseppe/0000-0003-1003-8849"/>
    <s v=""/>
    <s v=""/>
    <s v=""/>
    <s v=""/>
    <n v="38"/>
    <n v="0"/>
    <n v="0"/>
    <n v="0"/>
    <n v="0"/>
    <s v="CZECH TECHNICAL UNIV PRAGUE"/>
    <s v="PRAGUE 6"/>
    <s v="ZIKOVA 4, PRAGUE 6, 16636, CZECH REPUBLIC"/>
    <s v="1210-2709"/>
    <s v="1805-2363"/>
    <s v=""/>
    <s v="ACTA POLYTECH"/>
    <s v="Acta Polytech."/>
    <s v=""/>
    <x v="0"/>
    <n v="63"/>
    <n v="2"/>
    <s v=""/>
    <s v=""/>
    <s v=""/>
    <s v=""/>
    <n v="111"/>
    <n v="122"/>
    <s v=""/>
    <s v="10.14311/AP.2023.63.0111"/>
    <s v="http://dx.doi.org/10.14311/AP.2023.63.0111"/>
    <s v=""/>
    <s v=""/>
    <n v="12"/>
    <x v="53"/>
    <x v="2"/>
    <s v="Engineering"/>
    <s v="M8ET7"/>
    <s v=""/>
    <s v=""/>
    <s v=""/>
    <s v=""/>
    <s v="2023-11-15"/>
    <s v="WOS:001032499800004"/>
    <s v="View Full Record in Web of Science"/>
    <m/>
  </r>
  <r>
    <x v="95"/>
    <s v="J"/>
    <x v="95"/>
    <s v=""/>
    <s v=""/>
    <s v=""/>
    <s v="Gurung, Sitaji; Jones, Stephen Scott; Mehta, Kripa; Budhwani, Henna; MacDonell, Karen; Belzer, Marvin; Naar, Sylvie"/>
    <s v=""/>
    <s v=""/>
    <x v="95"/>
    <x v="81"/>
    <s v=""/>
    <s v=""/>
    <s v="English"/>
    <s v="Article"/>
    <s v=""/>
    <s v=""/>
    <s v=""/>
    <s v=""/>
    <s v=""/>
    <x v="93"/>
    <x v="77"/>
    <s v="Background: Digital strategies and broadened eligibility criteria may optimize the enrollment of youth living with HIV in mobile health adaptive interventions. Prior research suggests that digital recruitment strategies are more efficient than traditional methods for overcoming enrollment challenges of youth living with HIV in the United States.Objective: This study highlights the challenges and strategies that explain screening and enrollment milestones in a national web-based adherence protocol for youth living with HIV.Methods: Baseline data from a national web-based HIV adherence protocol for youth living with HIV, collected from July 2018 to February 2021, were analyzed. A centralized recruitment procedure was developed, which used web-based recruitment via Online Master Screener; paid targeted advertisements on social media platforms (eg, Facebook and Reddit) and geosocial networking dating apps (eg, Grindr and Jack'd); and site and provider referrals from Subject Recruitment Venues and other AIDS service organizations, website referrals, and text-in recruitment.Results: A total of 3 distinct cohorts of youth living with HIV were identified, marked by changes in recruitment strategies. Overall, 3270 individuals consented to screening, 2721 completed screening, 581 were eligible, and 83 completed enrollment. We examined sociodemographic and behavioral differences in completing milestones from eligibility to full enrollment (ie, submitting antiretroviral therapy and viral load data and completing the baseline web-based survey). Those with the most recent viral load tests &gt;6 months ago were half as likely to enroll (odds ratio 0.45, 95% CI 0.21-0.94). Moreover, eligible participants with self-reported antiretroviral therapy adherence (SRA) between 50% and 80% were statistically significant (P&lt;.001 to P=.03) and more likely to enroll than those with SRA &gt;80%.Conclusions: The findings add to our knowledge on the use of digital technologies for youth living with HIV before and during the COVID-19 pandemic and provide insight into the impact of expanding eligibility criteria on enrollment. As the COVID-19 pandemic continues and the use of and engagement with social media and dating apps among youth living with HIV changes, these platforms should continue to be investigated as potential recruitment tools. Using a wide variety of recruitment strategies such as using social media and dating apps as well as provider referral mechanisms, increasing compensation amounts, and including SRA in enrollment criteria should continue to be studied with respect to their ability to successfully recruit and enroll eligible participants.International Registered Report Identifier (IRRID): RR2-10.2196/11183"/>
    <s v="[Gurung, Sitaji] CUNY, New York City Coll Technol, Dept Hlth Sci, Brooklyn, NY USA; [Jones, Stephen Scott; Mehta, Kripa] CUNY Hunter Coll, Dept Psychol, New York, NY USA; [Budhwani, Henna] Florida State Univ, Coll Nursing, Tallahassee, FL USA; [MacDonell, Karen; Naar, Sylvie] Florida State Univ, Coll Med, Ctr Translat Behavorial Sci, Dept Behav Sci &amp; Social Med, Tallahassee, FL USA; [Belzer, Marvin] Childrens Hosp Los Angeles, Los Angeles, CA USA; [Gurung, Sitaji] CUNY, New York City Coll Technol, Dept Hlth Sci, 285 Jay St,A811F, Brooklyn, NY 11201 USA"/>
    <s v="City University of New York (CUNY) System; City University of New York (CUNY) System; Hunter College (CUNY); State University System of Florida; Florida State University; State University System of Florida; Florida State University; Children's Hospital Los Angeles; City University of New York (CUNY) System"/>
    <s v="Gurung, S (corresponding author), CUNY, New York City Coll Technol, Dept Hlth Sci, 285 Jay St,A811F, Brooklyn, NY 11201 USA."/>
    <s v="Sitaji.Gurung65@citytech.cuny.edu"/>
    <s v=""/>
    <s v="Gurung, Sitaji/0000-0003-4713-4228; Jones, Stephen Scott/0000-0002-5361-8088; Budhwani, Henna/0000-0002-6716-9754; Belzer, Marvin/0000-0002-8870-9326; MacDonell, Karen/0000-0001-8916-624X; Mehta, Kripa/0000-0001-8286-8468"/>
    <s v=""/>
    <s v=""/>
    <s v=""/>
    <s v=""/>
    <n v="44"/>
    <n v="0"/>
    <n v="0"/>
    <n v="0"/>
    <n v="0"/>
    <s v="JMIR PUBLICATIONS, INC"/>
    <s v="TORONTO"/>
    <s v="130 QUEENS QUAY East, Unit 1100, TORONTO, ON M5A 0P6, CANADA"/>
    <s v=""/>
    <s v="2561-326X"/>
    <s v=""/>
    <s v="JMIR FORM RES"/>
    <s v="JMIR Form. Res."/>
    <s v=""/>
    <x v="0"/>
    <n v="7"/>
    <s v=""/>
    <s v=""/>
    <s v=""/>
    <s v=""/>
    <s v=""/>
    <s v=""/>
    <s v=""/>
    <s v=""/>
    <s v="10.2196/40077"/>
    <s v="http://dx.doi.org/10.2196/40077"/>
    <s v=""/>
    <s v=""/>
    <n v="18"/>
    <x v="40"/>
    <x v="2"/>
    <s v="Health Care Sciences &amp; Services; Medical Informatics"/>
    <s v="H8RF2"/>
    <n v="36745773"/>
    <s v="Green Published, gold"/>
    <s v=""/>
    <s v=""/>
    <s v="2023-11-15"/>
    <s v="WOS:000998561100003"/>
    <s v="View Full Record in Web of Science"/>
    <m/>
  </r>
  <r>
    <x v="96"/>
    <s v="J"/>
    <x v="96"/>
    <s v=""/>
    <s v=""/>
    <s v=""/>
    <s v="Islam, Md. Ariful; Islam, Md. Antonin; Jacky, Md. Amzad Hossain; Al-Amin, Md.; Miah, Md. Saef Ullah; Khan, Md. Muhidul Islam; Hossain, Md. Iqbal"/>
    <s v=""/>
    <s v=""/>
    <x v="96"/>
    <x v="82"/>
    <s v=""/>
    <s v=""/>
    <s v="English"/>
    <s v="Article"/>
    <s v=""/>
    <s v=""/>
    <s v=""/>
    <s v=""/>
    <s v=""/>
    <x v="94"/>
    <x v="78"/>
    <s v="Healthcare data is highly sensitive and must be safeguarded. Personal and sensitive data, such as names and addresses, is stored in Encrypted Electronic Health Records (EHRs). This paper proposes a Blockchain-based distributed application platform for Bangladesh's public and private healthcare service providers. The proposed application framework enables users to create secure digital agreements for commerce or collaboration by leveraging data immutability and smart contracts. As a result, all stakeholders can collaborate securely over the same Blockchain network, taking advantage of their data's openness and read/write nature. The proposed application is made up of various application interfaces for various stakeholders. The proposed solution employs Hyperledger Fabric and Blockchain to ensure data integrity, privacy, permissions, and service availability. In the application portal, each user has a profile. The creation of a unique identity for each user, as well as the establishment of digital information centers across the country, has greatly aided the process. This application collects health data from each user in a systematic manner, which is useful for research institutes and healthcare-related organizations. For this application, a national data warehouse in Bangladesh is feasible, and various healthcare-related analyses can be performed using the collected data, assisting the strategy and planning department in making informed decisions regarding the healthcare sector in Bangladesh. Because Bangladesh has both public and private healthcare providers, a simple digital strategy is essential for all organizations to accomplish their services. This study proposes a solution to achieve this goal."/>
    <s v="[Islam, Md. Ariful; Islam, Md. Antonin] Brain Stn 23 Ltd, Dhaka 1212, Bangladesh; [Jacky, Md. Amzad Hossain; Al-Amin, Md.; Miah, Md. Saef Ullah] Amer Int Univ Bangladesh, Fac Sci &amp; Technol, Dept Comp Sci, Dhaka 1229, Bangladesh; [Khan, Md. Muhidul Islam] Univ Stavanger, Dept Elect &amp; Comp Sci, N-4021 Stavanger, Norway; [Hossain, Md. Iqbal] Chakaria Un Hosp, Dept Paediat, Chattogram 4349, Bangladesh"/>
    <s v="American International University Bangladesh (AIUB); Universitetet i Stavanger"/>
    <s v="Khan, MMI (corresponding author), Univ Stavanger, Dept Elect &amp; Comp Sci, N-4021 Stavanger, Norway."/>
    <s v="md.m.khan@uis.no"/>
    <s v="MIAH, MD SAEF ULLAH/AAY-6237-2021"/>
    <s v="MIAH, MD SAEF ULLAH/0000-0003-4587-4636"/>
    <s v="Norwegian Research Council through the 5G Management and Orchestration for Data and Network Integration (5G-MODaNeI) [308909]"/>
    <s v="Norwegian Research Council through the 5G Management and Orchestration for Data and Network Integration (5G-MODaNeI)"/>
    <s v="This work was supported by the Norwegian Research Council through the 5G Management and Orchestration for Data and Network Integration (5G-MODaNeI) Project under Grant 308909."/>
    <s v=""/>
    <n v="101"/>
    <n v="1"/>
    <n v="1"/>
    <n v="1"/>
    <n v="1"/>
    <s v="IEEE-INST ELECTRICAL ELECTRONICS ENGINEERS INC"/>
    <s v="PISCATAWAY"/>
    <s v="445 HOES LANE, PISCATAWAY, NJ 08855-4141 USA"/>
    <s v="2169-3536"/>
    <s v=""/>
    <s v=""/>
    <s v="IEEE ACCESS"/>
    <s v="IEEE Access"/>
    <s v=""/>
    <x v="0"/>
    <n v="11"/>
    <s v=""/>
    <s v=""/>
    <s v=""/>
    <s v=""/>
    <s v=""/>
    <n v="51527"/>
    <n v="51556"/>
    <s v=""/>
    <s v="10.1109/ACCESS.2023.3279724"/>
    <s v="http://dx.doi.org/10.1109/ACCESS.2023.3279724"/>
    <s v=""/>
    <s v=""/>
    <n v="30"/>
    <x v="54"/>
    <x v="0"/>
    <s v="Computer Science; Engineering; Telecommunications"/>
    <s v="I9HK7"/>
    <s v=""/>
    <s v="gold, Green Submitted"/>
    <s v=""/>
    <s v=""/>
    <s v="2023-11-15"/>
    <s v="WOS:001005815900001"/>
    <s v="View Full Record in Web of Science"/>
    <m/>
  </r>
  <r>
    <x v="97"/>
    <s v="J"/>
    <x v="97"/>
    <s v=""/>
    <s v=""/>
    <s v=""/>
    <s v="Kim, Donggi; Cho, Keuntae"/>
    <s v=""/>
    <s v=""/>
    <x v="97"/>
    <x v="4"/>
    <s v=""/>
    <s v=""/>
    <s v="English"/>
    <s v="Article"/>
    <s v=""/>
    <s v=""/>
    <s v=""/>
    <s v=""/>
    <s v=""/>
    <x v="95"/>
    <x v="79"/>
    <s v="This study investigates the characteristics of competitive strategies, digital competencies, and management performance as digital drivers in the semiconductor industry. We constructed a conceptual research model and proposed five research hypotheses based on previous studies and analyzed the fit of the research model using IBM SPSS AMOS software. In total, 131 companies specializing in semiconductor materials, components, equipment, and fabless design comprised the sample for analysis. To improve the fit of the research model, several unnecessary paths and measurement items were removed, the final research model was selected, and the five hypotheses were tested. The results indicate that digital drivers positively affect digital competencies, which, in turn, positively affect efficiency-centered and novelty-centered business models. Regarding the relationship between these business models and management performance, only the novelty-centered business model positively affects non-financial performance. These findings could help formulate digital transformation strategies related to products/services, processes, and business models at the firm level, as well as establish policies such as regulation and support programs at the government level."/>
    <s v="[Kim, Donggi] Sungkyunkwan Univ, Grad Sch Management Technol, Chunchundong 300, Suwon 440746, South Korea; [Cho, Keuntae] Sungkyunkwan Univ, Grad Sch Management Technol, Dept Syst Management Engn, Chunchundong 300, Suwon 440746, South Korea"/>
    <s v="Sungkyunkwan University (SKKU); Sungkyunkwan University (SKKU)"/>
    <s v="Cho, KT (corresponding author), Sungkyunkwan Univ, Grad Sch Management Technol, Dept Syst Management Engn, Chunchundong 300, Suwon 440746, South Korea."/>
    <s v="ktcho@skku.edu"/>
    <s v=""/>
    <s v="Kim, Donggi/0009-0008-9340-5205"/>
    <s v=""/>
    <s v=""/>
    <s v=""/>
    <s v=""/>
    <n v="49"/>
    <n v="0"/>
    <n v="0"/>
    <n v="11"/>
    <n v="21"/>
    <s v="MDPI"/>
    <s v="BASEL"/>
    <s v="ST ALBAN-ANLAGE 66, CH-4052 BASEL, SWITZERLAND"/>
    <s v=""/>
    <s v="2071-1050"/>
    <s v=""/>
    <s v="SUSTAINABILITY-BASEL"/>
    <s v="Sustainability"/>
    <s v="JAN"/>
    <x v="0"/>
    <n v="15"/>
    <n v="1"/>
    <s v=""/>
    <s v=""/>
    <s v=""/>
    <s v=""/>
    <s v=""/>
    <s v=""/>
    <n v="483"/>
    <s v="10.3390/su15010483"/>
    <s v="http://dx.doi.org/10.3390/su15010483"/>
    <s v=""/>
    <s v=""/>
    <n v="19"/>
    <x v="4"/>
    <x v="3"/>
    <s v="Science &amp; Technology - Other Topics; Environmental Sciences &amp; Ecology"/>
    <s v="7P8CK"/>
    <s v=""/>
    <s v="gold"/>
    <s v=""/>
    <s v=""/>
    <s v="2023-11-15"/>
    <s v="WOS:000908926400001"/>
    <s v="View Full Record in Web of Science"/>
    <m/>
  </r>
  <r>
    <x v="98"/>
    <s v="J"/>
    <x v="98"/>
    <s v=""/>
    <s v=""/>
    <s v=""/>
    <s v="Medel, Ismael Lopez"/>
    <s v=""/>
    <s v=""/>
    <x v="98"/>
    <x v="83"/>
    <s v=""/>
    <s v=""/>
    <s v="English"/>
    <s v="Article"/>
    <s v=""/>
    <s v=""/>
    <s v=""/>
    <s v=""/>
    <s v=""/>
    <x v="96"/>
    <x v="1"/>
    <s v="During the first two years of the Hamilton show on Broadway, the #Ham4Ham lottery system provided fans waiting outside the theater with live performances that included the show's original cast. These included Hamilton songs, covers of other musicals, and different performing arts. Seeking to reach a non-traditional theater audience, Marathon Digital, a digital agency specializing in Broadway shows, turned the performances into a viral campaign utilizing social media outlets to create proximity to the fans through content relevant to the audience."/>
    <s v="[Medel, Ismael Lopez] Univ CEU San Pablo, Madrid, Spain"/>
    <s v="San Pablo CEU University"/>
    <s v="Medel, IL (corresponding author), Univ CEU San Pablo, Madrid, Spain."/>
    <s v=""/>
    <s v=""/>
    <s v=""/>
    <s v=""/>
    <s v=""/>
    <s v=""/>
    <s v=""/>
    <n v="28"/>
    <n v="0"/>
    <n v="0"/>
    <n v="0"/>
    <n v="0"/>
    <s v="EUROPEAN ASSOC AMER STUDIES"/>
    <s v="LONDON"/>
    <s v="C/O PHILIP JOHN DAVIES, ECCLES CENTRE AMERICAN STUDIES, LONDON, NW1 2DB, ENGLAND"/>
    <s v="1991-9336"/>
    <s v=""/>
    <s v=""/>
    <s v="EUR J AM STUD"/>
    <s v="Eur. J. Am. Stud."/>
    <s v=""/>
    <x v="0"/>
    <n v="18"/>
    <n v="1"/>
    <s v=""/>
    <s v=""/>
    <s v="SI"/>
    <s v=""/>
    <s v=""/>
    <s v=""/>
    <s v=""/>
    <s v=""/>
    <s v=""/>
    <s v=""/>
    <s v=""/>
    <n v="12"/>
    <x v="55"/>
    <x v="2"/>
    <s v="Arts &amp; Humanities - Other Topics"/>
    <s v="H0ZL1"/>
    <s v=""/>
    <s v=""/>
    <s v=""/>
    <s v=""/>
    <s v="2023-11-15"/>
    <s v="WOS:000993327600006"/>
    <s v="View Full Record in Web of Science"/>
    <m/>
  </r>
  <r>
    <x v="99"/>
    <s v="J"/>
    <x v="99"/>
    <s v=""/>
    <s v=""/>
    <s v=""/>
    <s v="Papi-Galvez, Natalia; La Parra-Casado, Daniel"/>
    <s v=""/>
    <s v=""/>
    <x v="99"/>
    <x v="84"/>
    <s v=""/>
    <s v=""/>
    <s v="English"/>
    <s v="Article"/>
    <s v=""/>
    <s v=""/>
    <s v=""/>
    <s v=""/>
    <s v=""/>
    <x v="97"/>
    <x v="80"/>
    <s v="The digitization process is widespread and unrelenting. Compared with other European countries, Spain has a good pos-ition in the latest data compiled in the Digital Economy and Society Index. Direct use of communication and information technologies is high among the regions in Spain, where the national average in the region of Valencia stands out. However, despite this context, differences between population groups continue to be observed in different dimensions of the digital divide. This article explores this multidimensional gap among the midlife and older adult population. The research design adopts a mixed-method sequential design (questionnaire-based survey, follow-up with semi-structured interviews) to explore social positions in relation to access and use of technologies and the meanings that people ascribe to such positions and actions. A telephone survey was conducted with 1,800 people over 54 years of age residing in Valencia in September 2021, followed by 67 in-depth interviews. The results suggest that demographic and socioeconomic characteristics (level of education, age, and gender) determine people's position in the digital divide. Qualitative discourses qualify these results by elucidating key aspects that could be acting as protectors of digital and social exclusion. They are related to the social and family context and the characteristics of digital service providers. The findings are useful to guide both public policies to promote digital inclusion and private market actors when designing their digital strategies."/>
    <s v="[Papi-Galvez, Natalia] Univ Alicante, Dept Commun &amp; Social Psychol, San Vicente Del Raspeig, Spain; [La Parra-Casado, Daniel] Univ Alicante, Dept Sociol, San Vicente Del Raspeig, Spain"/>
    <s v="Universitat d'Alacant; Universitat d'Alacant"/>
    <s v="Papí-Gálvez, N (corresponding author), Univ Alicante, Dept Commun &amp; Social Psychol, San Vicente Del Raspeig, Spain."/>
    <s v="natalia.p@ua.es"/>
    <s v="La Parra-Casado, Daniel/I-5481-2016; Papí Gálvez, Natalia/A-1408-2019"/>
    <s v="La Parra-Casado, Daniel/0000-0002-9096-3972; Papí Gálvez, Natalia/0000-0002-4871-1691"/>
    <s v="Valencia Regional Government's Directorate General for the Fight Against the Digital Divide under the Regional Department of Innovation, Science, Universities, and Digital Society; Digital Society"/>
    <s v="Valencia Regional Government's Directorate General for the Fight Against the Digital Divide under the Regional Department of Innovation, Science, Universities, and Digital Society; Digital Society"/>
    <s v="This work was funded and supported by the Valencia Regional Government's Directorate General for the Fight Against the Digital Divide under the Regional Department of Innovation, Science, Universities, and Digital Society. This study was approved by the Ethics Committee at the University of Alicante with file number UA-2021-06-16."/>
    <s v=""/>
    <n v="63"/>
    <n v="1"/>
    <n v="1"/>
    <n v="30"/>
    <n v="30"/>
    <s v="COGITATIO PRESS"/>
    <s v="LISBON"/>
    <s v="RUA FIALHO ALMEIDA 14, 2 ESQ, LISBON, 1070-129, PORTUGAL"/>
    <s v="2183-2439"/>
    <s v=""/>
    <s v=""/>
    <s v="MEDIA COMMUN-LISBON"/>
    <s v="Media Commun."/>
    <s v=""/>
    <x v="0"/>
    <n v="11"/>
    <n v="3"/>
    <s v=""/>
    <s v=""/>
    <s v=""/>
    <s v=""/>
    <n v="77"/>
    <n v="87"/>
    <s v=""/>
    <s v="10.17645/mac.v11i3.6744"/>
    <s v="http://dx.doi.org/10.17645/mac.v11i3.6744"/>
    <s v=""/>
    <s v=""/>
    <n v="11"/>
    <x v="56"/>
    <x v="1"/>
    <s v="Communication"/>
    <s v="O3EJ6"/>
    <s v=""/>
    <s v="Green Published, gold"/>
    <s v=""/>
    <s v=""/>
    <s v="2023-11-15"/>
    <s v="WOS:001042680500008"/>
    <s v="View Full Record in Web of Science"/>
    <m/>
  </r>
  <r>
    <x v="100"/>
    <s v="J"/>
    <x v="100"/>
    <s v=""/>
    <s v=""/>
    <s v=""/>
    <s v="Perdana, Arif; Wang, Tawei"/>
    <s v=""/>
    <s v=""/>
    <x v="100"/>
    <x v="85"/>
    <s v=""/>
    <s v=""/>
    <s v="English"/>
    <s v="Article"/>
    <s v=""/>
    <s v=""/>
    <s v=""/>
    <s v=""/>
    <s v=""/>
    <x v="98"/>
    <x v="81"/>
    <s v="This case analyzes how Zalora has applied various strategies to gain a sustainable advantage in the e-commerce industry and provide solutions that continuously add value for its customers, even during the COVID-19 pandemic. It describes the company's efforts to capitalize on customer demand and external and internal forces to be more agile and nimble in an increasingly competitive environment. Zalora has introduced several technologies that reflect its digitization, digitalization, and digital transformation efforts. The use of digital technologies has helped Zalora to capture and analyze relevant data from its business processes and customer interactions. The information and automation generated by the technologies have enabled Zalora to continuously improve and reinvent itself to stay ahead of the competition. The challenges and opportunities of digital transformation are also discussed."/>
    <s v="[Perdana, Arif] Monash Univ, Data Sci Program, Tangerang, Banten, Indonesia; [Wang, Tawei] DePaul Univ, Sch Accountancy &amp; MIS, Chicago, IL USA"/>
    <s v="DePaul University"/>
    <s v="Perdana, A (corresponding author), Monash Univ, Data Sci Program, Tangerang, Banten, Indonesia."/>
    <s v=""/>
    <s v=""/>
    <s v=""/>
    <s v=""/>
    <s v=""/>
    <s v=""/>
    <s v=""/>
    <n v="65"/>
    <n v="0"/>
    <n v="0"/>
    <n v="5"/>
    <n v="5"/>
    <s v="AMER ACCOUNTING ASSOC"/>
    <s v="Lakewood Ranch"/>
    <s v="9009 Town Center Parkway, Lakewood Ranch, FL, UNITED STATES"/>
    <s v="1554-1908"/>
    <s v="1558-7940"/>
    <s v=""/>
    <s v="J EMERG TECHNOL ACCO"/>
    <s v="J. Emerg. Technol. Account."/>
    <s v=""/>
    <x v="0"/>
    <n v="20"/>
    <n v="1"/>
    <s v=""/>
    <s v=""/>
    <s v=""/>
    <s v=""/>
    <n v="111"/>
    <n v="123"/>
    <s v=""/>
    <s v="10.2308/JETA-2022-013"/>
    <s v="http://dx.doi.org/10.2308/JETA-2022-013"/>
    <s v=""/>
    <s v=""/>
    <n v="13"/>
    <x v="14"/>
    <x v="2"/>
    <s v="Business &amp; Economics"/>
    <s v="I2KF4"/>
    <s v=""/>
    <s v=""/>
    <s v=""/>
    <s v=""/>
    <s v="2023-11-15"/>
    <s v="WOS:001001117700007"/>
    <s v="View Full Record in Web of Science"/>
    <m/>
  </r>
  <r>
    <x v="101"/>
    <s v="J"/>
    <x v="101"/>
    <s v=""/>
    <s v=""/>
    <s v=""/>
    <s v="Rezende, Denis Alcides"/>
    <s v=""/>
    <s v=""/>
    <x v="101"/>
    <x v="86"/>
    <s v=""/>
    <s v=""/>
    <s v="English"/>
    <s v="Article"/>
    <s v=""/>
    <s v=""/>
    <s v=""/>
    <s v=""/>
    <s v=""/>
    <x v="99"/>
    <x v="82"/>
    <s v="Cities, in addition to being physical, are also digital, requiring the use of information technology resources and strategies, information, and services to make appropriate decisions. The objective is to present the strategic digital city (SDC) concept and project model and its research considering the subprojects: city strategies; city information; public services to citizens; and information technology resources applied in cities. The research methodology comprises approaches mixing techniques in respective phases, including bibliometrics assignment, and model theory applied in SDC cases with more than 11 doctoral, 100 master's, undergraduate, scientific initiation, and postdoctoral program orientations obtained from more than 300 cities since 2003. The results showed that the SDC can be understood as a social project of public policy and is on the city managers' agenda, as demonstrated in the 8 cases researched and in the more than 86 publications in different scientific international journals in the recent decade. The conclusion reiterates the importance of the participatory and democratic SDC original project accepted to contribute to the proper city management and the citizens' quality of life expansion, including infrastructure, policy, and city development. Then, the SDC contemporary concept and model have been maintained regularly over the 10 years."/>
    <s v="[Rezende, Denis Alcides] Pontificia Univ Catolica Parana, BR-0215901 Curitiba, Brazil"/>
    <s v="Pontificia Universidade Catolica do Parana"/>
    <s v="Rezende, DA (corresponding author), Pontificia Univ Catolica Parana, BR-0215901 Curitiba, Brazil."/>
    <s v="denis.rezende@pucpr.br"/>
    <s v=""/>
    <s v=""/>
    <s v=""/>
    <s v=""/>
    <s v=""/>
    <s v=""/>
    <n v="74"/>
    <n v="0"/>
    <n v="0"/>
    <n v="0"/>
    <n v="0"/>
    <s v="ENPRESS PUBL LLC"/>
    <s v="TUSTIN"/>
    <s v="14701 MYFORD RD, STE B-1, TUSTIN, CA, UNITED STATES"/>
    <s v="2572-7923"/>
    <s v="2572-7931"/>
    <s v=""/>
    <s v="J INFRASTRUCT POLICY"/>
    <s v="J. Infrastruct. Policy Dev."/>
    <s v=""/>
    <x v="0"/>
    <n v="7"/>
    <n v="2"/>
    <s v=""/>
    <s v=""/>
    <s v=""/>
    <s v=""/>
    <s v=""/>
    <s v=""/>
    <n v="2177"/>
    <s v="10.24294/jipd.v7i2.2177"/>
    <s v="http://dx.doi.org/10.24294/jipd.v7i2.2177"/>
    <s v=""/>
    <s v=""/>
    <n v="16"/>
    <x v="8"/>
    <x v="2"/>
    <s v="Business &amp; Economics"/>
    <s v="U4PU0"/>
    <s v=""/>
    <s v="gold"/>
    <s v=""/>
    <s v=""/>
    <s v="2023-11-15"/>
    <s v="WOS:001084643300010"/>
    <s v="View Full Record in Web of Science"/>
    <m/>
  </r>
  <r>
    <x v="102"/>
    <s v="J"/>
    <x v="101"/>
    <s v=""/>
    <s v=""/>
    <s v=""/>
    <s v="Rezende, Denis Alcides"/>
    <s v=""/>
    <s v=""/>
    <x v="101"/>
    <x v="86"/>
    <s v=""/>
    <s v=""/>
    <s v="English"/>
    <s v="Article"/>
    <s v=""/>
    <s v=""/>
    <s v=""/>
    <s v=""/>
    <s v=""/>
    <x v="99"/>
    <x v="83"/>
    <s v="Cities, in addition to being physical, are also digital, requiring the use of information technology resources and strategies, information, and services to make appropriate decisions. The objective is to present the strategic digital city (SDC) concept and project model and its research considering the subprojects: city strategies; city information; public services to citizens; and information technology resources applied in cities. The research methodology comprises approaches mixing techniques in respective phases, including bibliometrics assignment, and model theory applied in SDC cases with more than 11 doctoral, 100 master's, undergraduate, scientific initiation, and postdoctoral program orientations obtained from more than 300 cities since 2003. The results showed that the SDC can be understood as a social project of public policy and is on the city managers' agenda, as demonstrated in the 8 cases researched and in the more than 86 publications in different scientific international journals in the recent decade. The conclusion reiterates the importance of the participatory and democratic SDC original project accepted to contribute to the proper city management and the citizens' quality of life expansion, including infrastructure, policy, and city development. Then, the SDC contemporary concept and model have been maintained regularly over the 10 years."/>
    <s v="[Rezende, Denis Alcides] Pontificia Univ Catolica Parana, BR-80215901 Curitiba, Brazil"/>
    <s v="Pontificia Universidade Catolica do Parana"/>
    <s v="Rezende, DA (corresponding author), Pontificia Univ Catolica Parana, BR-80215901 Curitiba, Brazil."/>
    <s v="denis.rezende@pucpr.br"/>
    <s v=""/>
    <s v=""/>
    <s v=""/>
    <s v=""/>
    <s v=""/>
    <s v=""/>
    <n v="52"/>
    <n v="0"/>
    <n v="0"/>
    <n v="0"/>
    <n v="0"/>
    <s v="ENPRESS PUBL LLC"/>
    <s v="TUSTIN"/>
    <s v="14701 MYFORD RD, STE B-1, TUSTIN, CA, UNITED STATES"/>
    <s v="2572-7923"/>
    <s v="2572-7931"/>
    <s v=""/>
    <s v="J INFRASTRUCT POLICY"/>
    <s v="J. Infrastruct. Policy Dev."/>
    <s v=""/>
    <x v="0"/>
    <n v="7"/>
    <n v="2"/>
    <s v=""/>
    <s v=""/>
    <s v=""/>
    <s v=""/>
    <s v=""/>
    <s v=""/>
    <n v="2177"/>
    <s v="10.24294/jipd.v7i2.2177"/>
    <s v="http://dx.doi.org/10.24294/jipd.v7i2.2177"/>
    <s v=""/>
    <s v=""/>
    <n v="16"/>
    <x v="8"/>
    <x v="2"/>
    <s v="Business &amp; Economics"/>
    <s v="U2ZU9"/>
    <s v=""/>
    <s v="gold"/>
    <s v=""/>
    <s v=""/>
    <s v="2023-11-15"/>
    <s v="WOS:001083543000001"/>
    <s v="View Full Record in Web of Science"/>
    <m/>
  </r>
  <r>
    <x v="103"/>
    <s v="J"/>
    <x v="102"/>
    <s v=""/>
    <s v=""/>
    <s v=""/>
    <s v="Roesler, Douglas Andre; Rezende, Denis Alcides; de Almeida, Giovana Goretti Feijo"/>
    <s v=""/>
    <s v=""/>
    <x v="102"/>
    <x v="87"/>
    <s v=""/>
    <s v=""/>
    <s v="English"/>
    <s v="Article"/>
    <s v=""/>
    <s v=""/>
    <s v=""/>
    <s v=""/>
    <s v=""/>
    <x v="100"/>
    <x v="84"/>
    <s v="Public managers seek in city strategies and public services to expand the quality of life of citizens, drawing on effective public policies. The objective is to analyze the city strategies and digital public services and their relations with strategic digital city subprojects. The research methodology emphasized the study of multiple cases in the cities of Toledo-Brazil and Oldenburg-Germany, using a protocol with 5 variables. The results showed 308 municipal strategies in Toledo: social (34.41%); human development (25%); rural, urban and environment (21%); economic and management (8.44%); institutional (10.71%); and community participation strategies (46.14%) related mainly to the themes: social and education. Of the 47 digital public services available, 25.53% enable digital interaction with the user, and 74.47% refer to information services (without digital interaction). In Oldenburg 34 municipal strategies were identified: social (20.58%), health (14.70%), environment (11.76%), and science and technology (11.76%), related to the themes: urban infrastructure and transportation (31.25%), and public management (18.75%). Of the 76 digital public services available, only 21.05% allow digital interaction with the user, and 78.95% refer to information services (without digital interaction). The conclusion reiterates that the articulation between city strategies and digital public services characterizes the existence of an informal strategic digital city project, facilitating the city management through public administration, public policies and extending the citizens' quality of life, as well as the interaction between managers and citizens."/>
    <s v="[Roesler, Douglas Andre] Univ Estadual Oeste Parana UNIOESTE, Campus Marechal Candido Rondon,R Pernambuco 1777, BR-85960000 Mal Candido Rondon, PR, Brazil; [Rezende, Denis Alcides] Pontificia Univ Catolica Parana PUCPR, R Imac Conceicao 1155, BR-80215901 Curitiba, PR, Brazil; [de Almeida, Giovana Goretti Feijo] Polytech Univ Leiria, CiTUR, R Gen Norton de Matos Apartado 4133, P-2411901 Leiria, Portugal"/>
    <s v="Universidade Estadual do Oeste do Parana"/>
    <s v="Roesler, DA (corresponding author), Univ Estadual Oeste Parana UNIOESTE, Campus Marechal Candido Rondon,R Pernambuco 1777, BR-85960000 Mal Candido Rondon, PR, Brazil."/>
    <s v="douglasroesler@gmail.com; denis.rezende@pucpr.br; goretti.giovana@gmail.com"/>
    <s v="Almeida, Giovana Goretti Feijó de/I-2491-2016"/>
    <s v="Almeida, Giovana Goretti Feijó de/0000-0003-0956-1341"/>
    <s v=""/>
    <s v=""/>
    <s v=""/>
    <s v=""/>
    <n v="67"/>
    <n v="0"/>
    <n v="0"/>
    <n v="4"/>
    <n v="5"/>
    <s v="SINDICATO SECRETARIAS ESTADO SAO PAULO"/>
    <s v="SAO PAULO"/>
    <s v="RUA TUPI 118, SAO PAULO, 01233-000, BRAZIL"/>
    <s v="2178-9010"/>
    <s v=""/>
    <s v=""/>
    <s v="REV GEST SECR-GESEC"/>
    <s v="Rec. Gest. Secr.-GeSeC"/>
    <s v=""/>
    <x v="0"/>
    <n v="14"/>
    <n v="3"/>
    <s v=""/>
    <s v=""/>
    <s v=""/>
    <s v=""/>
    <n v="3443"/>
    <n v="3468"/>
    <s v=""/>
    <s v="10.7769/gesec.v14i3.1821"/>
    <s v="http://dx.doi.org/10.7769/gesec.v14i3.1821"/>
    <s v=""/>
    <s v=""/>
    <n v="26"/>
    <x v="8"/>
    <x v="2"/>
    <s v="Business &amp; Economics"/>
    <s v="A4OE3"/>
    <s v=""/>
    <s v="gold"/>
    <s v=""/>
    <s v=""/>
    <s v="2023-11-15"/>
    <s v="WOS:000954928500001"/>
    <s v="View Full Record in Web of Science"/>
    <m/>
  </r>
  <r>
    <x v="104"/>
    <s v="J"/>
    <x v="103"/>
    <s v=""/>
    <s v=""/>
    <s v=""/>
    <s v="Velasco-Molpeceres, Ana; Zarauza-Castro, Jorge; Perez-Curiel, Concha; Mateos-Gonzalez, Sophia"/>
    <s v=""/>
    <s v=""/>
    <x v="103"/>
    <x v="4"/>
    <s v=""/>
    <s v=""/>
    <s v="English"/>
    <s v="Article"/>
    <s v=""/>
    <s v=""/>
    <s v=""/>
    <s v=""/>
    <s v=""/>
    <x v="101"/>
    <x v="85"/>
    <s v="The objective of this research is to study the reasons for the growing impact of sustainable slow fashion brands in the fashion industry and, in particular, how they manage their communication and which digital strategies they employ. We applied a mixed research methodology: a comparative content analysis of qualitative and quantitative indicators, as well as in-depth interviews with 10 professionals and experts in fashion and digital communication, with the aim of contrasting their opinions with the results of the study. The five sustainable fashion brands (YosoLOVEamor, LIFEGIST, ECOALF, Alohas, and ECOOLOGY) chosen are distinguished by the fact that they base their business projects on social and environmental responsibility, and their Instagram accounts were studied over a period. This paper demonstrates the social interest in and concern for sustainability, ethics, and corporate social responsibility in the fashion industry. Additionally, it is evident that slow fashion brands need to have a good online strategy, as it is the future of fashion. No greenwashing was found, but sustainable fashion is a controversial issue with no regulation and a short history, so it has to develop."/>
    <s v="[Velasco-Molpeceres, Ana] Univ Complutense Madrid, Fac Ciencias Informac, Madrid 28040, Spain; [Zarauza-Castro, Jorge] Ctr Univ San Isidoro, Dept Ciencias Sociales &amp; Salud, Seville 41092, Spain; [Perez-Curiel, Concha] Univ Seville, Fac Comunicac, Seville 41092, Spain; [Mateos-Gonzalez, Sophia] Univ Europea Miguel de Cervantes, Fac Ciencias Sociales, Valladolid 47012, Spain"/>
    <s v="Complutense University of Madrid; University of Sevilla; Miguel de Cervantes European University (UEMC)"/>
    <s v="Velasco-Molpeceres, A (corresponding author), Univ Complutense Madrid, Fac Ciencias Informac, Madrid 28040, Spain."/>
    <s v="anamavel@ucm.es"/>
    <s v="Velasco Molpeceres, Ana/P-4568-2016; Perez-Curiel, Concha/O-4919-2018"/>
    <s v="Velasco Molpeceres, Ana/0000-0002-0593-0325; Zarauza Castro, Jorge/0000-0001-6319-7080; Perez-Curiel, Concha/0000-0002-1888-0451"/>
    <s v=""/>
    <s v=""/>
    <s v=""/>
    <s v=""/>
    <n v="41"/>
    <n v="0"/>
    <n v="0"/>
    <n v="22"/>
    <n v="54"/>
    <s v="MDPI"/>
    <s v="BASEL"/>
    <s v="ST ALBAN-ANLAGE 66, CH-4052 BASEL, SWITZERLAND"/>
    <s v=""/>
    <s v="2071-1050"/>
    <s v=""/>
    <s v="SUSTAINABILITY-BASEL"/>
    <s v="Sustainability"/>
    <s v="JAN"/>
    <x v="0"/>
    <n v="15"/>
    <n v="1"/>
    <s v=""/>
    <s v=""/>
    <s v=""/>
    <s v=""/>
    <s v=""/>
    <s v=""/>
    <n v="423"/>
    <s v="10.3390/su15010423"/>
    <s v="http://dx.doi.org/10.3390/su15010423"/>
    <s v=""/>
    <s v=""/>
    <n v="17"/>
    <x v="4"/>
    <x v="3"/>
    <s v="Science &amp; Technology - Other Topics; Environmental Sciences &amp; Ecology"/>
    <s v="7P5BT"/>
    <s v=""/>
    <s v="Green Published, gold"/>
    <s v=""/>
    <s v=""/>
    <s v="2023-11-15"/>
    <s v="WOS:000908721400001"/>
    <s v="View Full Record in Web of Science"/>
    <m/>
  </r>
  <r>
    <x v="105"/>
    <s v="J"/>
    <x v="104"/>
    <s v=""/>
    <s v=""/>
    <s v=""/>
    <s v="Ziehfreund, Stefanie; Reifenrath, Johannes; Wijnen-Meijer, Marjo; Welzel, Julia; Sauter, Fabian; Wecker, Hannah; Biedermann, Tilo; Zink, Alexander"/>
    <s v=""/>
    <s v=""/>
    <x v="104"/>
    <x v="88"/>
    <s v=""/>
    <s v=""/>
    <s v="English"/>
    <s v="Article"/>
    <s v=""/>
    <s v=""/>
    <s v=""/>
    <s v=""/>
    <s v=""/>
    <x v="102"/>
    <x v="86"/>
    <s v="The COVID-19 pandemic forced a rapid shift to digital strategies including e-exams in medical schools. However, there are significant concerns, predominately from student perspectives, and further data is required to successfully establish e-assessment in the medical curricula. The objective of the study was to examine medical students' perceptions, concerns, and needs regarding e-assessment to establish a comprehensive e-exam based on these and previous findings and to evaluate its effectiveness in terms of examinee perceptions and further needs. During the 2021 summer term, a cross-sectional study using qualitative and quantitative methods was conducted among all 1077 students at the School of Medicine, Technical University of Munich. They were asked to provide information regarding their characteristics, preferred exam format, e-assessment perception, concerns, and needs in an online questionnaire. Based on these findings, a pilot e-exam including an e-exam preparation for the students were established and subsequently evaluated among 125 pilot e-exam examinees under study consideration via an online-questionnaire. Of the 317 pre-exam participants (73.2% female), 70.3% preferred in-person exams and showed concerns about the technological framework, privacy, and examination requirements. Qualitative analysis showed that these concerns lead to additional exam stress and fear of failure. The 34 (79.4% female) participants who participated in the evaluation survey showed a significantly more positive e-exam perception. The fairness of the platform, the independence from an internet connection, the organization including the e-exam preparation, and the consideration of participant needs were discussed as particularly positive in the open-ended comments. In both surveys, participants requested uniform platforms and processes for all subjects. This study provides evidence for a positive, complementary role of student participation in a successful e-exam implementation. Furthermore, when establishing an e-exam format in the medical curricula, e-exam training, equal accessibility, availability offline, and all-round fairness should be considered."/>
    <s v="[Ziehfreund, Stefanie; Sauter, Fabian; Wecker, Hannah; Biedermann, Tilo; Zink, Alexander] Tech Univ Munich, Sch Med, Dept Dermatol &amp; Allergy, Munich, Germany; [Ziehfreund, Stefanie] Tech Univ Munich, Sch Med, Inst Gen Practice &amp; Hlth Serv Res, Munich, Germany; [Reifenrath, Johannes; Wijnen-Meijer, Marjo] Tech Univ Munich, TUM Med Educ Ctr TUM MEC, Sch Med, Munich, Germany; [Welzel, Julia] Univ Hosp Augsburg, Dept Dermatol, Augsburg, Germany; [Sauter, Fabian] Tech Univ Munich, Dept Informat, Munich, Germany; [Zink, Alexander] Karolinska Inst, Dept Med Solna, Div Dermatol &amp; Venereol, Stockholm, Sweden"/>
    <s v="Technical University of Munich; Technical University of Munich; Technical University of Munich; Technical University of Munich; Karolinska Institutet"/>
    <s v="Ziehfreund, S (corresponding author), Tech Univ Munich, Sch Med, Dept Dermatol &amp; Allergy, Munich, Germany.;Ziehfreund, S (corresponding author), Tech Univ Munich, Sch Med, Inst Gen Practice &amp; Hlth Serv Res, Munich, Germany."/>
    <s v="stefanie.ziehfreund@tum.de"/>
    <s v=""/>
    <s v="Reifenrath, Johannes/0000-0002-7216-5926"/>
    <s v=""/>
    <s v=""/>
    <s v=""/>
    <s v=""/>
    <n v="38"/>
    <n v="1"/>
    <n v="1"/>
    <n v="4"/>
    <n v="9"/>
    <s v="TAYLOR &amp; FRANCIS LTD"/>
    <s v="ABINGDON"/>
    <s v="2-4 PARK SQUARE, MILTON PARK, ABINGDON OR14 4RN, OXON, ENGLAND"/>
    <s v="1087-2981"/>
    <s v=""/>
    <s v=""/>
    <s v="MED EDUC ONLINE"/>
    <s v="Med. Educ. Online"/>
    <s v="DEC 31"/>
    <x v="1"/>
    <n v="27"/>
    <n v="1"/>
    <s v=""/>
    <s v=""/>
    <s v=""/>
    <s v=""/>
    <s v=""/>
    <s v=""/>
    <n v="2114131"/>
    <s v="10.1080/10872981.2022.2114131"/>
    <s v="http://dx.doi.org/10.1080/10872981.2022.2114131"/>
    <s v=""/>
    <s v=""/>
    <n v="11"/>
    <x v="39"/>
    <x v="1"/>
    <s v="Education &amp; Educational Research"/>
    <s v="3W5FN"/>
    <n v="35993348"/>
    <s v="Green Published, gold"/>
    <s v=""/>
    <s v=""/>
    <s v="2023-11-15"/>
    <s v="WOS:000842370200001"/>
    <s v="View Full Record in Web of Science"/>
    <m/>
  </r>
  <r>
    <x v="106"/>
    <s v="J"/>
    <x v="105"/>
    <s v=""/>
    <s v=""/>
    <s v=""/>
    <s v="Babkin, Aleksandr; Shkarupeta, Elena; Kabasheva, Irina; Rudaleva, Irina; Vicentiy, Alexander"/>
    <s v=""/>
    <s v=""/>
    <x v="105"/>
    <x v="89"/>
    <s v=""/>
    <s v=""/>
    <s v="English"/>
    <s v="Article"/>
    <s v=""/>
    <s v=""/>
    <s v=""/>
    <s v=""/>
    <s v=""/>
    <x v="103"/>
    <x v="87"/>
    <s v="Industry 5.0 is an integral driving force for industrial development to overcome a resurgent strategic drift. This solution is a perfect tool to ensure a sustainable, human-centered, and resilient industry and encourage man-machine collaboration within intelligent cyber-social systems. A complete shift to Industry 5.0 is only feasible when industrial systems apply digital strategizing to enhance digital development. That would invite technologies and humans to facilitate all operational and customer dealings, significantly increasing the rate of innovation. This research aims to articulate a multi-perspective conceptual framework based on the premises of digital development of industrial systems in the strategic drift to Industry 5.0. The methodology implied in this research rests on an interview with industry experts, a case study of digitalization leaders in 2021, extensive and systematic literature review and scientometric analytical tools, content analysis and foresight. In this paper, the authors reframe the concept of digital strategy and consider it as a notion independent of digitalization strategy and digital transformation strategy that is traditionally based on the formation of digital thinking, implementation of digital behavior patterns, the transformation of mindset, and strategic wisdom. As a result, a brand-new perspective on Industry 5.0 is suggested - Nooindustry 5.0. This digital development framework provides grounds for a digital business strategy to advance and shapes a platform-operating model to nurture the digital maturity of industrial systems. This research identifies key strategies for the transformation of an industrial system into a bionic one to sail through the current strategic drift. Further scientific work has to be carried out in order to assess the impact and effects of digital development of industrial systems while shifting to Industry 5.0."/>
    <s v="[Babkin, Aleksandr] Peter Great St Petersburg Polytech Univ, Polytech Sskaia St 29, St Petersburg 195251, Russia; [Shkarupeta, Elena] Voronezh State Tech Univ, 20 letiia Oktiabria St 84, Voronezh 394071, Russia; [Kabasheva, Irina; Rudaleva, Irina] Kazan Volga reg Fed Univ, Kremlevskaya St 18, Kazan 420008, Russia; [Vicentiy, Alexander] Murmansk Arctic State Univ, Russian Acad Sci, Putilov Inst Informat &amp; Math Modeling, Kola Sci Ctr,Apatity branch, Fersman St 24a, Apatity 184209, Russia"/>
    <s v="Peter the Great St. Petersburg Polytechnic University; Voronezh State Technical University; Kazan Federal University; Russian Academy of Sciences; Kola Science Centre of the Russian Academy of Sciences; Murmansk Arctic State University"/>
    <s v="Babkin, A (corresponding author), Peter Great St Petersburg Polytech Univ, Polytech Sskaia St 29, St Petersburg 195251, Russia."/>
    <s v="al-vas@mail.ru"/>
    <s v="Shkarupeta, Elena/Q-4229-2017"/>
    <s v="Shkarupeta, Elena/0000-0003-3644-4239"/>
    <s v="Russian Foundation for Basic Research; [20-010-00942A]; [2020-2022]"/>
    <s v="Russian Foundation for Basic Research(Russian Foundation for Basic Research (RFBR)Spanish Government); ;"/>
    <s v="Acknowledgments The research was carried out within the framework of project No. 20-010-00942A of the Russian Foundation for Basic Research (2020-2022) ."/>
    <s v=""/>
    <n v="38"/>
    <n v="0"/>
    <n v="0"/>
    <n v="11"/>
    <n v="19"/>
    <s v="UNIV INDONESIA, FAC ENGINEERING"/>
    <s v="DEPOK"/>
    <s v="KAMPUS UI DEPOK, DEPOK, 16424, INDONESIA"/>
    <s v="2086-9614"/>
    <s v="2087-2100"/>
    <s v=""/>
    <s v="INT J TECHNOL"/>
    <s v="Int. J. Technol."/>
    <s v="DEC 27"/>
    <x v="1"/>
    <n v="13"/>
    <n v="7"/>
    <s v=""/>
    <s v=""/>
    <s v=""/>
    <s v=""/>
    <n v="1373"/>
    <n v="1382"/>
    <s v=""/>
    <s v="10.14716/ijtech.v13i7.6193"/>
    <s v="http://dx.doi.org/10.14716/ijtech.v13i7.6193"/>
    <s v=""/>
    <s v=""/>
    <n v="10"/>
    <x v="53"/>
    <x v="2"/>
    <s v="Engineering"/>
    <s v="7M5TB"/>
    <s v=""/>
    <s v="gold"/>
    <s v=""/>
    <s v=""/>
    <s v="2023-11-15"/>
    <s v="WOS:000906718400002"/>
    <s v="View Full Record in Web of Science"/>
    <m/>
  </r>
  <r>
    <x v="107"/>
    <s v="J"/>
    <x v="106"/>
    <s v=""/>
    <s v=""/>
    <s v=""/>
    <s v="Yudaruddin, Rizky"/>
    <s v=""/>
    <s v=""/>
    <x v="106"/>
    <x v="90"/>
    <s v=""/>
    <s v=""/>
    <s v="English"/>
    <s v="Article"/>
    <s v=""/>
    <s v=""/>
    <s v=""/>
    <s v=""/>
    <s v=""/>
    <x v="104"/>
    <x v="88"/>
    <s v="PurposeThis paper investigates the joint impact of COVID-19, alliances and digital strategies on bank lending. Additionally, this study examines whether the effect of COVID-19, alliances and digital strategies on bank loans depends on the types of banks.Design/methodology/approachUsing a sample of 92 commercial banks in Indonesia from March 2020 to September 2021, a fixed-effects model (FEM) was used to analyze data.FindingsThis study provides robust results regarding the negative impact of the COVID-19 pandemic on bank loans in Indonesian banking. Furthermore, it reveals that collaboration between banks and FinTech does not substantially influence bank lending, despite the rise in proven cases tending to reduce credit expansion. It emphasizes the importance of the development of mobile banking as part of digitalization in boosting loan bank expansion, and this finding is more noticeable in private and small banks.Practical implicationsThis study highlights some policy recommendations to improve bank lending during the COVID-19 period, particularly the role of new alliances and digital strategy in involving COVID-19 pandemic mitigation within a novel financial ecosystem.Originality/valueThis study offers a significant contribution to the empirical literature that specifically explores the joint impact of the COVID-19 pandemic, alliances and digital strategies on bank lending in banking."/>
    <s v="[Yudaruddin, Rizky] Mulawarman Univ, Dept Management, Samarinda, Indonesia"/>
    <s v="Universitas Mulawarman"/>
    <s v="Yudaruddin, R (corresponding author), Mulawarman Univ, Dept Management, Samarinda, Indonesia."/>
    <s v="rizky.yudaruddin@feb.unmul.ac.id"/>
    <s v="Yudaruddin, Rizky/AAC-3719-2022"/>
    <s v="Yudaruddin, Rizky/0000-0002-0850-9747"/>
    <s v=""/>
    <s v=""/>
    <s v=""/>
    <s v=""/>
    <n v="79"/>
    <n v="2"/>
    <n v="2"/>
    <n v="3"/>
    <n v="4"/>
    <s v="EMERALD GROUP PUBLISHING LTD"/>
    <s v="BINGLEY"/>
    <s v="HOWARD HOUSE, WAGON LANE, BINGLEY BD16 1WA, W YORKSHIRE, ENGLAND"/>
    <s v="0307-4358"/>
    <s v="1758-7743"/>
    <s v=""/>
    <s v="MANAG FINANC"/>
    <s v="Manag. Financ."/>
    <s v="JUN 22"/>
    <x v="0"/>
    <n v="49"/>
    <n v="7"/>
    <s v=""/>
    <s v=""/>
    <s v=""/>
    <s v=""/>
    <n v="1221"/>
    <n v="1238"/>
    <s v=""/>
    <s v="10.1108/MF-04-2022-0167"/>
    <s v="http://dx.doi.org/10.1108/MF-04-2022-0167"/>
    <s v=""/>
    <s v="DEC 2022"/>
    <n v="18"/>
    <x v="14"/>
    <x v="2"/>
    <s v="Business &amp; Economics"/>
    <s v="J2HH4"/>
    <s v=""/>
    <s v=""/>
    <s v=""/>
    <s v=""/>
    <s v="2023-11-15"/>
    <s v="WOS:000902960000001"/>
    <s v="View Full Record in Web of Science"/>
    <m/>
  </r>
  <r>
    <x v="108"/>
    <s v="J"/>
    <x v="107"/>
    <s v=""/>
    <s v=""/>
    <s v=""/>
    <s v="Zimmermann, Laura; Sobolev, Michael"/>
    <s v=""/>
    <s v=""/>
    <x v="107"/>
    <x v="91"/>
    <s v=""/>
    <s v=""/>
    <s v="English"/>
    <s v="Article"/>
    <s v=""/>
    <s v=""/>
    <s v=""/>
    <s v=""/>
    <s v=""/>
    <x v="105"/>
    <x v="89"/>
    <s v="Many consumers nowadays wish to reduce their smartphone usage in the hope of improving productivity and well-being. We conducted a pre-registered field experiment (N = 112) over a period of several weeks to test the effectiveness of two widely available digital strategies for screen time reduction. The effectiveness of a design friction intervention (i.e., activating grayscale mode) was compared with a goal-setting intervention (i.e., self-commitment to time limits) and a control condition (i.e., self-monitoring). The design friction intervention led to an immediate, significant reduction of objectively measured screen time compared with the control condition. Conversely, the goal-setting intervention led to a smaller and more gradual screen time reduction. In contrast to the popular belief that reducing screen time has broad benefits, we found no immediate causal effect of reducing usage on subjective well-being and academic performance."/>
    <s v="[Zimmermann, Laura] IE Univ, IE Tower,Paseo Castellana 259E, Madrid 28046, Spain; [Sobolev, Michael] Cornell Tech, New York, NY USA"/>
    <s v="IE University"/>
    <s v="Zimmermann, L (corresponding author), IE Univ, IE Tower,Paseo Castellana 259E, Madrid 28046, Spain."/>
    <s v="laura.zimmermann@ie.edu"/>
    <s v=""/>
    <s v="Zimmermann, Laura/0000-0001-8174-9459"/>
    <s v=""/>
    <s v=""/>
    <s v=""/>
    <s v=""/>
    <n v="61"/>
    <n v="0"/>
    <n v="0"/>
    <n v="10"/>
    <n v="22"/>
    <s v="MARY ANN LIEBERT, INC"/>
    <s v="NEW ROCHELLE"/>
    <s v="140 HUGUENOT STREET, 3RD FL, NEW ROCHELLE, NY 10801 USA"/>
    <s v="2152-2715"/>
    <s v="2152-2723"/>
    <s v=""/>
    <s v="CYBERPSYCH BEH SOC N"/>
    <s v="Cyberpsychology Behav. Soc. Netw."/>
    <s v="JAN 1"/>
    <x v="0"/>
    <n v="26"/>
    <n v="1"/>
    <s v=""/>
    <s v=""/>
    <s v=""/>
    <s v=""/>
    <n v="42"/>
    <n v="49"/>
    <s v=""/>
    <s v="10.1089/cyber.2022.0027"/>
    <s v="http://dx.doi.org/10.1089/cyber.2022.0027"/>
    <s v=""/>
    <s v="DEC 2022"/>
    <n v="8"/>
    <x v="57"/>
    <x v="1"/>
    <s v="Psychology"/>
    <s v="8C9YR"/>
    <n v="36577008"/>
    <s v=""/>
    <s v=""/>
    <s v=""/>
    <s v="2023-11-15"/>
    <s v="WOS:000904990200001"/>
    <s v="View Full Record in Web of Science"/>
    <m/>
  </r>
  <r>
    <x v="109"/>
    <s v="J"/>
    <x v="108"/>
    <s v=""/>
    <s v=""/>
    <s v=""/>
    <s v="Clark, Serena; Gallagher, Ellen; Boyle, Neasa; Barrett, Michael; Hughes, Corey; O'Malley, Niamh; Sanchez, Ana; Ebuenyi, Ikenna; Smith, Emma; Marshall, Kevin; O'Sullivan, Katriona"/>
    <s v=""/>
    <s v=""/>
    <x v="108"/>
    <x v="92"/>
    <s v=""/>
    <s v=""/>
    <s v="English"/>
    <s v="Article"/>
    <s v=""/>
    <s v=""/>
    <s v=""/>
    <s v=""/>
    <s v=""/>
    <x v="106"/>
    <x v="1"/>
    <s v="Before the COVID-19 pandemic, the world struggled to address growing educational inequalities and fulfil the commitment to Sustainable Development Goal 4, which seeks to ensure inclusive and equitable quality education and promote lifelong learning opportunities for all. The pandemic has exacerbated these inequalities and changed how education functions, moving to online and hybrid methods. The challenges in global education highlighted and worsened by the pandemic make it necessary to re-evaluate education systems and the policies in place to support access, quality and equal opportunity. This article focuses on analysing education policies at a national level. It tests a pilot policy analysis tool, the International Education Index (IEI), developed as a starting point to begin this reconsideration and create an accessible and comprehensive way to evaluate national education systems to inform decision-making and policies in the new context. This research uses Ireland and Northern Ireland to test the IEI pilot tool. The IEI consists of 54 questions across nine indicators, including institutional frameworks, education strategies, digital skills and infrastructure, twenty-first century skills, access to basic social services, adherence to international standards, legal frameworks, data gathering and availability and international partnerships. Countries can score 108 points to be categorised as having developed, emerging or nascent national education systems. Ireland scored 94 and Northern Ireland 81, indicating that they have developed national education systems."/>
    <s v="[Clark, Serena; Gallagher, Ellen; Boyle, Neasa; Sanchez, Ana; Ebuenyi, Ikenna; Smith, Emma; O'Sullivan, Katriona] Maynooth Univ, Maynooth, Kildare, Ireland; [Barrett, Michael; Hughes, Corey; O'Malley, Niamh; Marshall, Kevin] Microsoft Ireland, South Cty Business Pk,One Microsoft Pl, Dublin, Ireland"/>
    <s v="Maynooth University"/>
    <s v="O'Sullivan, K (corresponding author), Maynooth Univ, Maynooth, Kildare, Ireland."/>
    <s v="katriona.osullivan@mu.ie"/>
    <s v=""/>
    <s v="O'Sullivan, Katriona/0000-0001-7202-0033; Clark, Serena/0000-0001-8405-576X; Boyle, Neasa/0000-0003-4226-0751; Marshall, Kevin/0000-0002-6793-5535"/>
    <s v=""/>
    <s v=""/>
    <s v=""/>
    <s v=""/>
    <n v="62"/>
    <n v="0"/>
    <n v="0"/>
    <n v="14"/>
    <n v="21"/>
    <s v="WILEY"/>
    <s v="HOBOKEN"/>
    <s v="111 RIVER ST, HOBOKEN 07030-5774, NJ USA"/>
    <s v="0141-1926"/>
    <s v="1469-3518"/>
    <s v=""/>
    <s v="BRIT EDUC RES J"/>
    <s v="Br. Educ. Res. J."/>
    <s v="APR"/>
    <x v="0"/>
    <n v="49"/>
    <n v="2"/>
    <s v=""/>
    <s v=""/>
    <s v=""/>
    <s v=""/>
    <n v="266"/>
    <n v="287"/>
    <s v=""/>
    <s v="10.1002/berj.3842"/>
    <s v="http://dx.doi.org/10.1002/berj.3842"/>
    <s v=""/>
    <s v="DEC 2022"/>
    <n v="22"/>
    <x v="39"/>
    <x v="1"/>
    <s v="Education &amp; Educational Research"/>
    <s v="C7UA0"/>
    <s v=""/>
    <s v="hybrid"/>
    <s v=""/>
    <s v=""/>
    <s v="2023-11-15"/>
    <s v="WOS:000903702100001"/>
    <s v="View Full Record in Web of Science"/>
    <m/>
  </r>
  <r>
    <x v="110"/>
    <s v="J"/>
    <x v="109"/>
    <s v=""/>
    <s v=""/>
    <s v=""/>
    <s v="Baxter, Jacqueline; Floyd, Alan; Jewitt, Katharine"/>
    <s v=""/>
    <s v=""/>
    <x v="109"/>
    <x v="92"/>
    <s v=""/>
    <s v=""/>
    <s v="English"/>
    <s v="Article"/>
    <s v=""/>
    <s v=""/>
    <s v=""/>
    <s v=""/>
    <s v=""/>
    <x v="8"/>
    <x v="90"/>
    <s v="Following lockdowns in 2020 owing to Covid-19, schools needed to find a way to ensure the education of their pupils. In order to do this, they engaged in digital learning, to varying extents. Innovations emanated from all school staff including, for example, teachers, leaders and teaching assistants. Some were already innovating in this area and brought forward and implemented digital strategies, while others engaged with digital learning for the first time. While research is emerging about the effects of the pandemic restrictions on pupils and staff in relation to key issues such as mental health and educational attainment, very little is known about the impact on school leaders' strategic planning processes. To address this gap, this paper draws on a UK Research and Innovation funded study adopting a strategy as learning approach to report on 50 qualitative interviews with school leaders to examine digital strategy in English secondary schools, before, during and after July 2021, when restrictions were lifted in England. It draws on strategy as learning literature to evaluate if schools have changed their strategic planning for digital learning, as a direct response to having learned and innovated during the pandemic. The paper concludes that there is evidence that digital innovations during the pandemic have changed the ways in which leaders think about their digital strategy, thus supporting a strategy as learning approach. However it also concludes that although there is ample evidence that the pandemic has changed the way many schools view digital learning, for some schools, there remain persistent barriers to digital integration and planning. These emanate both from material and cultural considerations, as well as leader vision and belief in digital learning."/>
    <s v="[Baxter, Jacqueline] Open Univ, Dept Publ Leadership &amp; Social Enterprise, Business Sch, Milton Keynes, England; [Floyd, Alan] Univ Reading, Inst Educ, Reading, England; [Jewitt, Katharine] Open Univ, Open Univ UK, Milton Keynes, England; [Baxter, Jacqueline] Ctr Res &amp; Innovat Online Business &amp; Legal Educ, Dept Publ Leadership &amp; Social Enterprise, Milton Keynes, England"/>
    <s v="Open University - UK; University of Reading; Open University - UK"/>
    <s v="Baxter, J (corresponding author), Ctr Res &amp; Innovat Online Business &amp; Legal Educ, Dept Publ Leadership &amp; Social Enterprise, Milton Keynes, England."/>
    <s v="jacqueline.baxter@open.ac.uk"/>
    <s v="; Floyd, Alan/E-8017-2017"/>
    <s v="Baxter, Jacqueline/0000-0001-6650-2984; Floyd, Alan/0000-0002-2008-7831"/>
    <s v="Economic and Social Research Council"/>
    <s v="Economic and Social Research Council(UK Research &amp; Innovation (UKRI)Economic &amp; Social Research Council (ESRC))"/>
    <s v="Economic and Social Research Council"/>
    <s v=""/>
    <n v="48"/>
    <n v="1"/>
    <n v="1"/>
    <n v="8"/>
    <n v="14"/>
    <s v="WILEY"/>
    <s v="HOBOKEN"/>
    <s v="111 RIVER ST, HOBOKEN 07030-5774, NJ USA"/>
    <s v="0141-1926"/>
    <s v="1469-3518"/>
    <s v=""/>
    <s v="BRIT EDUC RES J"/>
    <s v="Br. Educ. Res. J."/>
    <s v="APR"/>
    <x v="0"/>
    <n v="49"/>
    <n v="2"/>
    <s v=""/>
    <s v=""/>
    <s v=""/>
    <s v=""/>
    <n v="329"/>
    <n v="351"/>
    <s v=""/>
    <s v="10.1002/berj.3845"/>
    <s v="http://dx.doi.org/10.1002/berj.3845"/>
    <s v=""/>
    <s v="DEC 2022"/>
    <n v="23"/>
    <x v="39"/>
    <x v="1"/>
    <s v="Education &amp; Educational Research"/>
    <s v="C7UA0"/>
    <s v=""/>
    <s v="hybrid, Green Accepted"/>
    <s v=""/>
    <s v=""/>
    <s v="2023-11-15"/>
    <s v="WOS:000899226200001"/>
    <s v="View Full Record in Web of Science"/>
    <m/>
  </r>
  <r>
    <x v="111"/>
    <s v="J"/>
    <x v="110"/>
    <s v=""/>
    <s v=""/>
    <s v=""/>
    <s v="Ning, Yu; Li, Lixu; Xu, Su Xiu; Yang, Shuili"/>
    <s v=""/>
    <s v=""/>
    <x v="110"/>
    <x v="93"/>
    <s v=""/>
    <s v=""/>
    <s v="English"/>
    <s v="Article"/>
    <s v=""/>
    <s v=""/>
    <s v=""/>
    <s v=""/>
    <s v=""/>
    <x v="107"/>
    <x v="91"/>
    <s v="Digital technologies (DTs) can assist businesses in coping with supply chain (SC) disruptions caused by unpredictability, such as pandemics. However, the current knowledge of the relationship between DTs and supply chain resilience (SCR) is insufficient. This study draws on information processing theory to develop a serial mediation model to address this deficiency. We analyze a sample set consisting of 264 Chinese manufacturers. The empirical results reveal that digital supply chain platforms (DSCPs), as well as supply chain traceability (SCT) and supply chain agility (SCA), fully mediate the favorable association between DTs and SCR. Specifically, the four significant indirect paths indicated that firms can improve SCR only if they use DTs to directly or indirectly improve SCT and SCA (through DSCPs). Our study contributes to the literature on resilience by examining the possible mechanism of mediation through which DTs influence SCR. The findings also offer essential insights for firms to modify their digital strategies and thrive in a turbulent environment."/>
    <s v="[Ning, Yu] South China Univ Technol, Sch Business Adm, Guangzhou 510641, Peoples R China; [Li, Lixu; Yang, Shuili] Xian Univ Technol, Sch Econ &amp; Management, Xian 710054, Peoples R China; [Xu, Su Xiu] Beijing Inst Technol, Sch Management &amp; Econ, Beijing 100081, Peoples R China"/>
    <s v="South China University of Technology; Xi'an University of Technology; Beijing Institute of Technology"/>
    <s v="Li, LX (corresponding author), Xian Univ Technol, Sch Econ &amp; Management, Xian 710054, Peoples R China."/>
    <s v="li.lixu@foxmail.com"/>
    <s v=""/>
    <s v="Li, Lixu/0000-0002-1927-0604"/>
    <s v="Key Project of the National Social Science Foundation of China [21AJY020]"/>
    <s v="Key Project of the National Social Science Foundation of China(National Office of Philosophy and Social Sciences)"/>
    <s v="This work was funded by the Key Project of the National Social Science Foundation of China (Grant No. 21AJY020)."/>
    <s v=""/>
    <n v="80"/>
    <n v="12"/>
    <n v="12"/>
    <n v="27"/>
    <n v="42"/>
    <s v="HIGHER EDUCATION PRESS"/>
    <s v="BEIJING"/>
    <s v="CHAOYANG DIST, 4, HUIXINDONGJIE, FUSHENG BLDG, BEIJING 100029, PEOPLES R CHINA"/>
    <s v="2095-7513"/>
    <s v="2096-0255"/>
    <s v=""/>
    <s v="FRONT ENG MANAG"/>
    <s v="Front. Eng. Manag."/>
    <s v="MAR"/>
    <x v="0"/>
    <n v="10"/>
    <n v="1"/>
    <s v=""/>
    <s v=""/>
    <s v=""/>
    <s v=""/>
    <n v="39"/>
    <n v="50"/>
    <s v=""/>
    <s v="10.1007/s42524-022-0230-4"/>
    <s v="http://dx.doi.org/10.1007/s42524-022-0230-4"/>
    <s v=""/>
    <s v="DEC 2022"/>
    <n v="12"/>
    <x v="58"/>
    <x v="2"/>
    <s v="Engineering"/>
    <s v="9Z1OH"/>
    <s v=""/>
    <s v="Bronze"/>
    <s v=""/>
    <s v=""/>
    <s v="2023-11-15"/>
    <s v="WOS:000900054200001"/>
    <s v="View Full Record in Web of Science"/>
    <m/>
  </r>
  <r>
    <x v="112"/>
    <s v="J"/>
    <x v="111"/>
    <s v=""/>
    <s v=""/>
    <s v=""/>
    <s v="Barile, Domenica; Secundo, Giustina; Del Vecchio, Pasquale"/>
    <s v=""/>
    <s v=""/>
    <x v="111"/>
    <x v="94"/>
    <s v=""/>
    <s v=""/>
    <s v="English"/>
    <s v="Article; Early Access"/>
    <s v=""/>
    <s v=""/>
    <s v=""/>
    <s v=""/>
    <s v=""/>
    <x v="108"/>
    <x v="92"/>
    <s v="PurposeWithin food industry several changes and innovations are affecting the management of the entire supply chain (production, logistics, etc.). As strategy for the survival and competition, digitalization has assumed a crucial role during the pandemic emergence by causing the reconfiguration of traditional chains and business models. Framed in these premises, the research analyses how digital technologies have innovated the sub-chains of bakery products and pasta within food industry with reference to customers' interactions, delivery and marketing during the COVID-19 pandemic emergence.Design/methodology/approachMoving from a critical literature review about the perspectives of digital technologies within the tradition of food industry, action research has been adopted to analyze in deep a case study of the start-up ArteBianca Delivery located in South Italy. Through this method, researchers have been deeply involved within the start-up to face the challenge of transforming the marketing and customer care into digital ones due to the COVID-19 restriction.FindingsFindings provide empirical evidence about the reconfiguration of the traditional business model of a family firm in the food sector into a digital one with the start-up ArteBianca Delivery. The marketing, delivery, e-commerce and customer care components of the business models have been supported and enhanced through the adoption of digital tools, such as mobile applications and social technologies useful both for users and for a more urgent digitization of company.Practical implicationsImplications for practice can be identified into the pattern of digital transformation implemented as well as in the opportunity of replication and contextualization of the results to other companies looking for setting up a digital strategy.Originality/valueElements of original contribution can be identified into: (1) the exploration of digital transformation in food family firms caused by the pandemic emergence, (2) the contextualization of the digital transformation to the sub-chains of bakery and pasta and (3) the geographical location of the case."/>
    <s v="[Barile, Domenica; Secundo, Giustina; Del Vecchio, Pasquale] Univ LUM Giuseppe Degennaro, Dept Management Finance &amp; Technol, Casamassima, Italy"/>
    <s v=""/>
    <s v="Del Vecchio, P (corresponding author), Univ LUM Giuseppe Degennaro, Dept Management Finance &amp; Technol, Casamassima, Italy."/>
    <s v="barile.phdstudent@lum.it; secundo@lum.it; delvecchio@lum.it"/>
    <s v="Barile, Domenica/HNQ-0458-2023"/>
    <s v=""/>
    <s v=""/>
    <s v=""/>
    <s v=""/>
    <s v=""/>
    <n v="98"/>
    <n v="1"/>
    <n v="1"/>
    <n v="17"/>
    <n v="36"/>
    <s v="EMERALD GROUP PUBLISHING LTD"/>
    <s v="BINGLEY"/>
    <s v="HOWARD HOUSE, WAGON LANE, BINGLEY BD16 1WA, W YORKSHIRE, ENGLAND"/>
    <s v="1460-1060"/>
    <s v="1758-7115"/>
    <s v=""/>
    <s v="EUR J INNOV MANAG"/>
    <s v="Eur. J. Innov. Manag."/>
    <s v="2022 DEC 14"/>
    <x v="1"/>
    <s v=""/>
    <s v=""/>
    <s v=""/>
    <s v=""/>
    <s v=""/>
    <s v=""/>
    <s v=""/>
    <s v=""/>
    <s v=""/>
    <s v="10.1108/EJIM-07-2022-0373"/>
    <s v="http://dx.doi.org/10.1108/EJIM-07-2022-0373"/>
    <s v=""/>
    <s v="DEC 2022"/>
    <n v="22"/>
    <x v="6"/>
    <x v="1"/>
    <s v="Business &amp; Economics"/>
    <s v="6Z5WV"/>
    <s v=""/>
    <s v=""/>
    <s v=""/>
    <s v=""/>
    <s v="2023-11-15"/>
    <s v="WOS:000897847600001"/>
    <s v="View Full Record in Web of Science"/>
    <m/>
  </r>
  <r>
    <x v="113"/>
    <s v="J"/>
    <x v="112"/>
    <s v=""/>
    <s v=""/>
    <s v=""/>
    <s v="Weerabahu, Weerabahu Mudiyanselage Samanthi Kumari; Samaranayake, Premaratne; Nakandala, Dilupa; Lau, Henry; Malaarachchi, Dasun Nirmala"/>
    <s v=""/>
    <s v=""/>
    <x v="112"/>
    <x v="95"/>
    <s v=""/>
    <s v=""/>
    <s v="English"/>
    <s v="Article; Early Access"/>
    <s v=""/>
    <s v=""/>
    <s v=""/>
    <s v=""/>
    <s v=""/>
    <x v="109"/>
    <x v="93"/>
    <s v="PurposeThis research aims to identify, examine and evaluate barriers to the adoption of digital servitization in manufacturing firms in the case of the Sri Lankan manufacturing sector and analyze the inter-relationships among digital servitization barriers.Design/methodology/approachBased on the comprehensive literature review, 13 barriers were identified. The grey decision-making trial and evaluation laboratory (grey-DEMATEL) approach was used to uncover and analyze the relationships among barriers in terms of their overall influence and dependencies.FindingsA prominent barrier to the success of adopting digital servitization in the Sri Lankan manufacturing sector is the lack of digital strategy in developing activities related to the design of digital service packages, organizational structures and processes. Supply chain integration is the most influential factor, which plays an important role in developing a competitive advantage by encouraging innovation process capabilities in servitized companies.Practical implicationsIndustry practitioners can develop guidelines for adopting digital servitization practices based on the importance and interdependencies of different barriers and thereby prioritize projects within a program of digital servitization adoption in their organizations.Originality/valueResearch studies on barriers to digital servitization are limited to exploratory nature and have adopted mainly the qualitative approach, such as in-depth interviews. No empirical study has investigated the inter-relationships among digital servitization adoption barriers in the manufacturing sector. This study provides a holistic view of different barriers to the adoption of digital servitization in the manufacturing sector as a basis for developing comprehensive digital servitization strategies to manage and leverage complexity in digital transformation."/>
    <s v="[Weerabahu, Weerabahu Mudiyanselage Samanthi Kumari; Samaranayake, Premaratne; Nakandala, Dilupa; Lau, Henry] Western Sydney Univ, Sydney, NSW, Australia; [Malaarachchi, Dasun Nirmala] Queensland Univ Technol, Brisbane, QLD, Australia"/>
    <s v="Western Sydney University; Queensland University of Technology (QUT)"/>
    <s v="Weerabahu, WMSK (corresponding author), Western Sydney Univ, Sydney, NSW, Australia."/>
    <s v="S.Weerabahu@westernsydney.edu.au; p.samaranayake@westernsydney.edu.au; D.Nakandala@westernsydney.edu.au; H.Lau@westernsydney.edu.au; dasunnirmala.malaarachchi@hdr.qut.edu.au"/>
    <s v="Samaranayake, Premaratne/ABI-6391-2022; Malaarachchi, Dasun Nirmala/ACO-6020-2022"/>
    <s v="Samaranayake, Premaratne/0000-0002-6253-7976; Malaarachchi, Dasun Nirmala/0000-0002-0511-9858; Weerabahu, Samanthi/0000-0003-4925-7096; Nakandala, Dilupa/0000-0003-1535-5288"/>
    <s v=""/>
    <s v=""/>
    <s v=""/>
    <s v=""/>
    <n v="70"/>
    <n v="0"/>
    <n v="0"/>
    <n v="19"/>
    <n v="37"/>
    <s v="EMERALD GROUP PUBLISHING LTD"/>
    <s v="BINGLEY"/>
    <s v="HOWARD HOUSE, WAGON LANE, BINGLEY BD16 1WA, W YORKSHIRE, ENGLAND"/>
    <s v="1746-8809"/>
    <s v="1746-8817"/>
    <s v=""/>
    <s v="INT J EMERG MARK"/>
    <s v="Int. J. Emerg. Mark."/>
    <s v="2022 DEC 14"/>
    <x v="1"/>
    <s v=""/>
    <s v=""/>
    <s v=""/>
    <s v=""/>
    <s v=""/>
    <s v=""/>
    <s v=""/>
    <s v=""/>
    <s v=""/>
    <s v="10.1108/IJOEM-01-2022-0011"/>
    <s v="http://dx.doi.org/10.1108/IJOEM-01-2022-0011"/>
    <s v=""/>
    <s v="DEC 2022"/>
    <n v="29"/>
    <x v="59"/>
    <x v="1"/>
    <s v="Business &amp; Economics"/>
    <s v="6Y1WT"/>
    <s v=""/>
    <s v=""/>
    <s v=""/>
    <s v=""/>
    <s v="2023-11-15"/>
    <s v="WOS:000896893300001"/>
    <s v="View Full Record in Web of Science"/>
    <m/>
  </r>
  <r>
    <x v="114"/>
    <s v="J"/>
    <x v="113"/>
    <s v=""/>
    <s v=""/>
    <s v=""/>
    <s v="Enrique, Daisy Valle; Lerman, Laura Visintainer; de Sousa, Paulo Renato; Benitez, Guilherme Brittes; Santos, Fernando M. Bigares Charrua; Frank, Alejandro G."/>
    <s v=""/>
    <s v=""/>
    <x v="113"/>
    <x v="5"/>
    <s v=""/>
    <s v=""/>
    <s v="English"/>
    <s v="Article"/>
    <s v=""/>
    <s v=""/>
    <s v=""/>
    <s v=""/>
    <s v=""/>
    <x v="110"/>
    <x v="94"/>
    <s v="The growing environmental business uncertainties have forced companies to focus on developing more flexible supply chains. Digital transformation has been considered a key means to achieving such flexibility, but the literature lacks empirical evidence about how digital technologies effectively contribute to it. Thus, this study aims to analyze how Smart Supply Chain (i.e., a supply chain enabled by digital transformation) contributes to supply chain flexibility and operational performance in environments surrounded by customer and supplier uncertainty. We adopt the organizational information-processing theory to explain the fit between information needs to reduce these uncertainties through more supply chain flexibility (sourcing, delivery, and manufacturing) and information capabilities provided by three main dimensions of the Smart Supply Chain (digital transformation strategy, digital base technologies, and digital front-end technologies). We relate these information-processing fit between Smart Supply Chain and flexibility with the boundary conditions of envi-ronmental uncertainty and operational performance improvements. Such relationships are analyzed through moderation and mediation regression tests based on 379 manufacturing companies surveyed. Our findings show that Smart Supply Chain has a statistical association with operational performance through the sequential mediating role of the three supply chain flexibility dimensions. We also found that environments with high customer uncertainty increase the use of base technologies (IoT, cloud, big data, AI, and blockchain) to reach delivery flexibility and support manufacturing flexibility. When companies face high supplier uncertainty, they use front-end technologies (i.e., robotics, 3D printing, simulation, and augmented reality) to increase sourcing flexibility. We show new advances in supply chain flexibility through digital transformation."/>
    <s v="[Enrique, Daisy Valle; Lerman, Laura Visintainer; Benitez, Guilherme Brittes; Frank, Alejandro G.] Univ Fed Rio Grande do Sul, Dept Ind Engn, Org Engn Grp Nucleo Engn Org NEO, Porto Alegre, Brazil; [Enrique, Daisy Valle; Santos, Fernando M. Bigares Charrua] Univ Beira Interior, Mech Engn Dept, Covilha, Portugal; [de Sousa, Paulo Renato] Fdn Dom Cabral, Dept Management, Nova Lima, Brazil; [Benitez, Guilherme Brittes] Pontifical Catholic Univ Parana PUCPR, Polytech Sch, Ind &amp; Syst Engn Grad Program, Curitiba, Brazil; [Frank, Alejandro G.] Univ Fed Rio Grande do Sul, Escola Engn, Ctr, Ave Osvaldo Aranha 99,Sala LOPP 508,5, BR-90035190 Porto Alegre, RS, Brazil"/>
    <s v="Universidade Federal do Rio Grande do Sul; Universidade da Beira Interior; Pontificia Universidade Catolica do Parana; Universidade Federal do Rio Grande do Sul"/>
    <s v="Frank, AG (corresponding author), Univ Fed Rio Grande do Sul, Escola Engn, Ctr, Ave Osvaldo Aranha 99,Sala LOPP 508,5, BR-90035190 Porto Alegre, RS, Brazil."/>
    <s v="ag.frank@ufrgs.br"/>
    <s v="Benitez, Guilherme Brittes/T-2979-2017; Frank, Alejandro G./H-7379-2014"/>
    <s v="Benitez, Guilherme Brittes/0000-0003-1222-4557; Frank, Alejandro G./0000-0001-5041-6467"/>
    <s v="Brazilian National Council for Scientific and Technological Development (CNPq - Conselho Nacional de Desenvolvimento Cientifico e Tecnologico) [PQ 1D]; Research Council of the State of Rio Grande do Sul (FAPERGS, (Fundacao de Amparo a Pesquisa do Estado do Rio Grande do Sul)) [21/2551-0002161-6]; Funda cao de Amparo a Pesquisa do Estado do Rio Grande do Sul; Research Coordination of the Brazilian Ministry of Education (CAPES); C-MAST/Center for Mechanical and Aerospace Science and Technologies of the University of Beira Interior; PT2020 and COMPETE2020 programs; European Union through the European Regional Development Fund (ERDF) [UID/EMS/00151/2019]"/>
    <s v="Brazilian National Council for Scientific and Technological Development (CNPq - Conselho Nacional de Desenvolvimento Cientifico e Tecnologico)(Conselho Nacional de Desenvolvimento Cientifico e Tecnologico (CNPQ)Fundacao de Apoio a Pesquisa do Distrito Federal (FAPDF)); Research Council of the State of Rio Grande do Sul (FAPERGS, (Fundacao de Amparo a Pesquisa do Estado do Rio Grande do Sul)); Funda cao de Amparo a Pesquisa do Estado do Rio Grande do Sul(Fundacao de Amparo a Ciencia e Tecnologia do Estado do Rio Grande do Sul (FAPERGS)); Research Coordination of the Brazilian Ministry of Education (CAPES); C-MAST/Center for Mechanical and Aerospace Science and Technologies of the University of Beira Interior; PT2020 and COMPETE2020 programs; European Union through the European Regional Development Fund (ERDF)(European Union (EU)Marie Curie Actions)"/>
    <s v="This project received research funds from the Brazilian National Council for Scientific and Technological Development (CNPq - Conselho Nacional de Desenvolvimento Cientfico e Tecnologico) (PQ 1D) , the Research Council of the State of Rio Grande do Sul (FAPERGS, Fundacao de Amparo a Pesquisa do Estado do Rio Grande do Sul) (Process n. 21/2551-0002161-6) and the Research Coordination of the Brazilian Min-istry of Education (CAPES) (PhD scholarship) . One of the authors of this project was also financially supported by C-MAST/Center for Mechani-cal and Aerospace Science and Technologies of the University of Beira Interior, and by the project INDTECH 4.0, co-financed by the PT2020 and COMPETE2020 programs, and the European Union through the European Regional Development Fund (ERDF) and UID/EMS/00151/2019."/>
    <s v=""/>
    <n v="137"/>
    <n v="7"/>
    <n v="7"/>
    <n v="74"/>
    <n v="148"/>
    <s v="ELSEVIER"/>
    <s v="AMSTERDAM"/>
    <s v="RADARWEG 29, 1043 NX AMSTERDAM, NETHERLANDS"/>
    <s v="0925-5273"/>
    <s v="1873-7579"/>
    <s v=""/>
    <s v="INT J PROD ECON"/>
    <s v="Int. J. Prod. Econ."/>
    <s v="AUG"/>
    <x v="1"/>
    <n v="250"/>
    <s v=""/>
    <s v=""/>
    <s v=""/>
    <s v="SI"/>
    <s v=""/>
    <s v=""/>
    <s v=""/>
    <n v="108668"/>
    <s v="10.1016/j.ijpe.2022.108668"/>
    <s v="http://dx.doi.org/10.1016/j.ijpe.2022.108668"/>
    <s v=""/>
    <s v="DEC 2022"/>
    <n v="18"/>
    <x v="5"/>
    <x v="0"/>
    <s v="Engineering; Operations Research &amp; Management Science"/>
    <s v="7K2ZL"/>
    <s v=""/>
    <s v=""/>
    <s v=""/>
    <s v=""/>
    <s v="2023-11-15"/>
    <s v="WOS:000905154500001"/>
    <s v="View Full Record in Web of Science"/>
    <m/>
  </r>
  <r>
    <x v="115"/>
    <s v="J"/>
    <x v="114"/>
    <s v=""/>
    <s v=""/>
    <s v=""/>
    <s v="Corning, Gregory P."/>
    <s v=""/>
    <s v=""/>
    <x v="114"/>
    <x v="96"/>
    <s v=""/>
    <s v=""/>
    <s v="English"/>
    <s v="Article"/>
    <s v=""/>
    <s v=""/>
    <s v=""/>
    <s v=""/>
    <s v=""/>
    <x v="111"/>
    <x v="95"/>
    <s v="How does the complexity and fragmentation of digital trade governance shape the digital trade strategies of members of the Association of Southeast Asian Nations (ASEAN)? And how are these strategies, in turn, shaping digital governance in the region? Drawing on the regime complexity literature in international relations, this article examines the different digital strategies used by three ASEAN members - Singapore, Vietnam, and Indonesia - to navigate between the regulatory approaches of the United States and China. The article highlights the Digital Economy Partnership Agreement (DEPA) as a key venue for increasing cooperation and consistency of digital trade rules in the Asia-Pacific. If the US pushes for a binding digital trade agreement as part of the Indo-Pacific Economic Framework (IPEF), the loose, modular cooperation of DEPA would become more attractive to ASEAN members. Yet, even a modest DEPA that chooses to emphasize breadth of membership over deep liberalization would still represent progress in reducing regime complexity."/>
    <s v="[Corning, Gregory P.] Santa Clara Univ, Dept Polit Sci, Santa Clara, CA 95053 USA"/>
    <s v="Santa Clara University"/>
    <s v="Corning, GP (corresponding author), Santa Clara Univ, Dept Polit Sci, Santa Clara, CA 95053 USA."/>
    <s v="gcorning@scu.edu"/>
    <s v=""/>
    <s v=""/>
    <s v=""/>
    <s v=""/>
    <s v=""/>
    <s v=""/>
    <n v="67"/>
    <n v="0"/>
    <n v="0"/>
    <n v="16"/>
    <n v="30"/>
    <s v="KLUWER LAW INT"/>
    <s v="ALPHEN AAN DEN RIJN"/>
    <s v="ZUIDPOOLSINGEL 2, PO BOX 316, 2400 AH ALPHEN AAN DEN RIJN, NETHERLANDS"/>
    <s v="1011-6702"/>
    <s v="2210-2795"/>
    <s v=""/>
    <s v="J WORLD TRADE"/>
    <s v="J. World Trade"/>
    <s v="DEC"/>
    <x v="1"/>
    <n v="56"/>
    <n v="6"/>
    <s v=""/>
    <s v=""/>
    <s v=""/>
    <s v=""/>
    <n v="915"/>
    <n v="938"/>
    <s v=""/>
    <s v=""/>
    <s v=""/>
    <s v=""/>
    <s v=""/>
    <n v="24"/>
    <x v="60"/>
    <x v="1"/>
    <s v="Business &amp; Economics; International Relations; Government &amp; Law"/>
    <s v="7S6ZL"/>
    <s v=""/>
    <s v=""/>
    <s v=""/>
    <s v=""/>
    <s v="2023-11-15"/>
    <s v="WOS:000910902100003"/>
    <s v="View Full Record in Web of Science"/>
    <m/>
  </r>
  <r>
    <x v="116"/>
    <s v="J"/>
    <x v="115"/>
    <s v=""/>
    <s v=""/>
    <s v=""/>
    <s v="Davila-Moran, Roberto Carlos; Paredes, Manuel Alberto Mori; Roca, Mirian Corina Cribillero; Vigil, Vilma Maria Arroyo; Guzman, Luz Chavela De la Torre"/>
    <s v=""/>
    <s v=""/>
    <x v="115"/>
    <x v="34"/>
    <s v=""/>
    <s v=""/>
    <s v="Spanish"/>
    <s v="Article"/>
    <s v=""/>
    <s v=""/>
    <s v=""/>
    <s v=""/>
    <s v=""/>
    <x v="112"/>
    <x v="1"/>
    <s v="The objective of the study was to determine the relationship between digital transformation and the management of change in teachers of a Peruvian university, in post-pandemic times. The specific objectives were: to determine the relationship between the digital strategy and the management of change in teachers; determine the relationship between technological innovation and the management of change in teachers; determine the relationship between the management of digital talent and the management of change in teachers; determine the relationship between digital communication and the management of change in teachers. The study was of an applied type, correlational descriptive level, quantitative approach and non-experimental design. The population was 245 teachers from a Peruvian university, of which 35 were selected from industrial engineering. Two questionnaires were used, one for digital transformation and the other for change management, each with 16 questions and three response alternatives. The validity of the instrument was confirmed by expert judgment, as well as its reliability by Cronbach's Alpha coefficient. The data was tabulated using Microsoft Excel and SPSS version 26 software, as well as the descriptive analysis of absolute and relative frequencies; and inferential analysis with Spearman's Rho correlation coefficient."/>
    <s v="[Davila-Moran, Roberto Carlos] Univ Privada Norte, Trujillo, Peru; [Paredes, Manuel Alberto Mori] Univ Cesar Vallejo, Trujillo, Peru; [Roca, Mirian Corina Cribillero; Vigil, Vilma Maria Arroyo; Guzman, Luz Chavela De la Torre] Univ Nacl Callao, Bellavista, Peru"/>
    <s v="Universidad Privada del Norte; Universidad Cesar Vallejo; Universidad Nacional de Callao"/>
    <s v="Dávila-Morán, RC (corresponding author), Univ Privada Norte, Trujillo, Peru."/>
    <s v="rdavila430@gmail.com; m2paredes@hotmail.com; mccribilleror@unac.edu.pe; vmarroyov@unac.edu.pe; lcdelatorreg@unac.edu.pe"/>
    <s v=""/>
    <s v=""/>
    <s v=""/>
    <s v=""/>
    <s v=""/>
    <s v=""/>
    <n v="22"/>
    <n v="0"/>
    <n v="0"/>
    <n v="0"/>
    <n v="0"/>
    <s v="UNIV CIENFUEGOS"/>
    <s v="CIENFUEGOS"/>
    <s v="CARRETERA RODAS KM 4, CUATRO CAMINOS, CIENFUEGOS, 00000, CUBA"/>
    <s v="2218-3620"/>
    <s v=""/>
    <s v=""/>
    <s v="REV UNIV SOC"/>
    <s v="Rev. Univ. Soc."/>
    <s v="DEC"/>
    <x v="1"/>
    <n v="14"/>
    <s v=""/>
    <s v=""/>
    <n v="6"/>
    <s v=""/>
    <s v=""/>
    <n v="469"/>
    <n v="479"/>
    <s v=""/>
    <s v=""/>
    <s v=""/>
    <s v=""/>
    <s v=""/>
    <n v="11"/>
    <x v="31"/>
    <x v="2"/>
    <s v="Social Sciences - Other Topics"/>
    <s v="I2HV4"/>
    <s v=""/>
    <s v=""/>
    <s v=""/>
    <s v=""/>
    <s v="2023-11-15"/>
    <s v="WOS:001001054900050"/>
    <s v="View Full Record in Web of Science"/>
    <m/>
  </r>
  <r>
    <x v="117"/>
    <s v="J"/>
    <x v="116"/>
    <s v=""/>
    <s v=""/>
    <s v=""/>
    <s v="Korucuk, Selcuk; Aytekin, Ahmet; Ecer, Fatih; Karamasa, Caglar; Zavadskas, Edmundas Kazimieras"/>
    <s v=""/>
    <s v=""/>
    <x v="116"/>
    <x v="97"/>
    <s v=""/>
    <s v=""/>
    <s v="English"/>
    <s v="Article"/>
    <s v=""/>
    <s v=""/>
    <s v=""/>
    <s v=""/>
    <s v=""/>
    <x v="113"/>
    <x v="96"/>
    <s v="Integrating green approaches and digital marketing strategies for Information and Communication Technologies (ICTs), which reduce environmental risks to desired levels by eliminating emissions and pollution, is considered one of the most promising solutions for logistics companies. The study strives to bring a practical and applicable solution to the decision problem involving the selection of indicators for green approaches and digital marketing strategies for ICTs in the logistics sector. An integrated Fermatean Fuzzy Step-wise Weight Assessment Ratio Analysis (FF-SWARA) and Fermatean Fuzzy Complex Proportional Assessment (FF-COPRAS) methodology is applied to evaluate green approaches and digital marketing strategies. Concerning the findings, the foremost criterion is data management, whereas the best strategy is programmatic advertising. To the best of the authors' knowledge, there is no other study that both offers a strategy selection for the logistics industry and considers environmental protection, sustainability, digital transformation, energy costs, and social and economic factors. The study is a part of ongoing research on productivity, sustainability, the environment, digitization, recycling and estimating levels of waste reduction, as well as business practices, competitiveness and ensuring employee satisfaction and resource efficiency. Also, it investigates the similarities and dissimilarities in the green approach practices of business in logistics and determines the extent to which these practices could be reflected. It is expected to ensure a roadmap for green approach practices and to support sustainable and ecological awareness efforts for ICTs in the logistics sector. Logistics companies can select an integrated digital strategy based on green informatics that suits them using the decision model employed in this study, which can handle uncertainties effectively. In this regard, the study's findings, which focus on reaching customers and the most precise target audience in digital applications for businesses, are critical for developing strategy, plan and process."/>
    <s v="[Korucuk, Selcuk] Giresun Univ, Bulancak Kadir Karabas Vocat Sch, Dept Int Trade &amp; Logist, TR-28300 Giresun, Turkey; [Aytekin, Ahmet] Artvin Coruh Univ, Hopa Fac Econ &amp; Adm Sci, Dept Business Adm, TR-08100 Hopa, Turkey; [Ecer, Fatih] Afyon Kocatepe Univ, Fac Econ &amp; Adm Sci, Sub Dept Operat Res, ANS Campus, TR-03200 Afyon, Turkey; [Karamasa, Caglar] Anadolu Univ, Fac Business, Dept Business Adm, TR-26470 Eskisehir, Turkey; [Zavadskas, Edmundas Kazimieras] Vilnius Gediminas Tech Univ, Inst Sustainable Construct, Sauletekio Al 11, LT-10223 Vilnius, Lithuania"/>
    <s v="Giresun University; Artvin Coruh University; Afyon Kocatepe University; Anadolu University; Vilnius Gediminas Technical University"/>
    <s v="Ecer, F (corresponding author), Afyon Kocatepe Univ, Fac Econ &amp; Adm Sci, Sub Dept Operat Res, ANS Campus, TR-03200 Afyon, Turkey.;Zavadskas, EK (corresponding author), Vilnius Gediminas Tech Univ, Inst Sustainable Construct, Sauletekio Al 11, LT-10223 Vilnius, Lithuania."/>
    <s v="fecer@aku.edu.tr; edmundas.zavadskas@vilniustech.lt"/>
    <s v="Aytekin, Ahmet/AAG-1900-2019; Ecer, Fatih/AAE-8455-2020"/>
    <s v="Aytekin, Ahmet/0000-0002-1536-7097; Ecer, Fatih/0000-0002-6174-3241; KORUCUK, SELCUK/0000-0003-2471-1950; Karamasa, Caglar/0000-0003-2454-1824"/>
    <s v=""/>
    <s v=""/>
    <s v=""/>
    <s v=""/>
    <n v="163"/>
    <n v="7"/>
    <n v="7"/>
    <n v="18"/>
    <n v="32"/>
    <s v="MDPI"/>
    <s v="BASEL"/>
    <s v="ST ALBAN-ANLAGE 66, CH-4052 BASEL, SWITZERLAND"/>
    <s v=""/>
    <s v="2075-1680"/>
    <s v=""/>
    <s v="AXIOMS"/>
    <s v="Axioms"/>
    <s v="DEC"/>
    <x v="1"/>
    <n v="11"/>
    <n v="12"/>
    <s v=""/>
    <s v=""/>
    <s v=""/>
    <s v=""/>
    <s v=""/>
    <s v=""/>
    <n v="709"/>
    <s v="10.3390/axioms11120709"/>
    <s v="http://dx.doi.org/10.3390/axioms11120709"/>
    <s v=""/>
    <s v=""/>
    <n v="25"/>
    <x v="61"/>
    <x v="0"/>
    <s v="Mathematics"/>
    <s v="7D2QU"/>
    <s v=""/>
    <s v="gold"/>
    <s v=""/>
    <s v=""/>
    <s v="2023-11-15"/>
    <s v="WOS:000900342400001"/>
    <s v="View Full Record in Web of Science"/>
    <m/>
  </r>
  <r>
    <x v="118"/>
    <s v="J"/>
    <x v="117"/>
    <s v=""/>
    <s v=""/>
    <s v=""/>
    <s v="Li, Xing; Wu, Ting; Zhang, Hongjuan; Yang, Deyan"/>
    <s v=""/>
    <s v=""/>
    <x v="117"/>
    <x v="98"/>
    <s v=""/>
    <s v=""/>
    <s v="English"/>
    <s v="Article"/>
    <s v=""/>
    <s v=""/>
    <s v=""/>
    <s v=""/>
    <s v=""/>
    <x v="114"/>
    <x v="97"/>
    <s v="Although digital technology adoption has received more attention from researchers in the field of innovation management research, the micro mechanism of the impact of digital technology adoption on the sustainable development of enterprises has not been fully investigated. The objective of this study is to identify the existing relationships between digital technology adoption, digital technology capability, digital strategy, and sustainable development performance of strategic emerging industries. A theoretical conceptual model was developed that analyzed the primary data from 385 sample enterprises in strategic emerging industries. The results indicated that digital technology adoption had a positive influence on both enterprises' economic performance and environmental performance in strategic emerging industries. Digital technology capability played a mediating role in the relationship between digital technology adoption and enterprises' economic performance and environmental performance. And digital strategy strengthened the influence of digital technology adoption on enterprises."/>
    <s v="[Li, Xing; Yang, Deyan] Jiangsu Normal Univ, Xuzhou, Peoples R China; [Wu, Ting] Anyang Univ, Anyang, Peoples R China; [Zhang, Hongjuan] Wuhan Univ Sci &amp; Technol, Wuhan, Peoples R China"/>
    <s v="Jiangsu Normal University; Wuhan University of Science &amp; Technology"/>
    <s v="Zhang, HJ (corresponding author), Wuhan Univ Sci &amp; Technol, Wuhan, Peoples R China."/>
    <s v=""/>
    <s v=""/>
    <s v=""/>
    <s v="National Natural Science Foundation of China [72064003]; MOE (Ministry of Education in China) Project of Humanities and Social Science [18YJCZH234]; Research Project of Philosophy and Social Sciences of Department of Education of Hubei Province [20D017]; High -Level Project Plan of Wuhan University of Science and Technology [W201804]; Humanities and Social Science Foundation Project of Ministry of Education [20YJC630185]; Social Science Foundation of Jiangsu Province [19GLB003]"/>
    <s v="National Natural Science Foundation of China(National Natural Science Foundation of China (NSFC)); MOE (Ministry of Education in China) Project of Humanities and Social Science; Research Project of Philosophy and Social Sciences of Department of Education of Hubei Province; High -Level Project Plan of Wuhan University of Science and Technology; Humanities and Social Science Foundation Project of Ministry of Education; Social Science Foundation of Jiangsu Province"/>
    <s v="Acknowledgment This work was supported by the National Natural Science Foundation of China [No. 72064003] , MOE (Ministry of Education in China) Project of Humanities and Social Science (No. 18YJCZH234) , Research Project of Philosophy and Social Sciences of Department of Education of Hubei Province [No.20D017] , High -Level Project Plan of Wuhan University of Science and Technology [No. W201804] , Humanities and Social Science Foundation Project of Ministry of Education [No. 20YJC630185] , and Social Science Foundation of Jiangsu Province [No.19GLB003] ."/>
    <s v=""/>
    <n v="67"/>
    <n v="1"/>
    <n v="1"/>
    <n v="181"/>
    <n v="234"/>
    <s v="IGI GLOBAL"/>
    <s v="HERSHEY"/>
    <s v="701 E CHOCOLATE AVE, STE 200, HERSHEY, PA 17033-1240 USA"/>
    <s v="1546-2234"/>
    <s v="1546-5012"/>
    <s v=""/>
    <s v="J ORGAN END USER COM"/>
    <s v="J. Organ. End User Comput."/>
    <s v="DEC"/>
    <x v="1"/>
    <n v="34"/>
    <n v="8"/>
    <s v=""/>
    <s v=""/>
    <s v=""/>
    <s v=""/>
    <s v=""/>
    <s v=""/>
    <s v=""/>
    <s v="10.4018/JOEUC.315645"/>
    <s v="http://dx.doi.org/10.4018/JOEUC.315645"/>
    <s v=""/>
    <s v=""/>
    <n v="1"/>
    <x v="62"/>
    <x v="3"/>
    <s v="Computer Science; Information Science &amp; Library Science; Business &amp; Economics"/>
    <s v="9V9BL"/>
    <s v=""/>
    <s v="gold"/>
    <s v=""/>
    <s v=""/>
    <s v="2023-11-15"/>
    <s v="WOS:000948679800010"/>
    <s v="View Full Record in Web of Science"/>
    <m/>
  </r>
  <r>
    <x v="119"/>
    <s v="J"/>
    <x v="118"/>
    <s v=""/>
    <s v=""/>
    <s v=""/>
    <s v="Piccoli, Gabriele; Rodriguez, Joaquin; Grover, Varun"/>
    <s v=""/>
    <s v=""/>
    <x v="118"/>
    <x v="99"/>
    <s v=""/>
    <s v=""/>
    <s v="English"/>
    <s v="Article"/>
    <s v=""/>
    <s v=""/>
    <s v=""/>
    <s v=""/>
    <s v=""/>
    <x v="115"/>
    <x v="98"/>
    <s v="This paper explores the structure and design of digital strategic initiatives (DSI): identifiable competitive moves that depend on digital resources to create and appropriate economic value. We use the term digital deliberately, in line with the recent push for discerning the so-called IT x and Digital x phenomena. The paper contributes to basic science by precisely defining the digital strategic initiative concept and its essential elements: digital resources. It clarifies the difference between digital resources and established constructs such as IT resources and IT-enabled resources. We posit that the defining characteristics of digital resources are their modular design, encapsulation of value, and programmatic interface. This work also shows how the design and development of digital strategic initiatives thrive in an infrastructural, combinatorial, and servitized environment. Using illustrative cases, we demonstrate applications of the concepts by introducing two value creation pathways for DSI: (1) orchestration of digital resources and (2) creation of novel digital resources. The paper concludes by presenting open research questions and offering extensions for future inquiry."/>
    <s v="[Piccoli, Gabriele] Louisiana State Univ, EJ Ourso Coll Business, Stephenson Dept Entrepreneurship &amp; Informat Syst, Baton Rouge, LA 70803 USA; [Piccoli, Gabriele] Louisiana State Univ, Ctr Computat &amp; Technol, Baton Rouge, LA 70803 USA; [Piccoli, Gabriele] Univ Pavia, Dept Econ &amp; Management, Pavia, Italy; [Rodriguez, Joaquin] Genoble Ecole Management, Dept Management Technol &amp; Strategy, F-38000 Grenoble, France; [Grover, Varun] Univ Arkansas, Walton Coll Business, Dept Informat Syst, Fayetteville, AR USA"/>
    <s v="Louisiana State University System; Louisiana State University; Louisiana State University System; Louisiana State University; University of Pavia; University of Arkansas System; University of Arkansas Fayetteville"/>
    <s v="Piccoli, G (corresponding author), Louisiana State Univ, Ctr Computat &amp; Technol, Baton Rouge, LA 70803 USA.;Piccoli, G (corresponding author), Univ Pavia, Dept Econ &amp; Management, Pavia, Italy."/>
    <s v="gpiccoli@lsu.edu; joaquin.rodriguez@grenoble-em.com; vgrover@uark.edu"/>
    <s v=""/>
    <s v=""/>
    <s v=""/>
    <s v=""/>
    <s v=""/>
    <s v=""/>
    <n v="106"/>
    <n v="0"/>
    <n v="0"/>
    <n v="76"/>
    <n v="157"/>
    <s v="SOC INFORM MANAGE-MIS RES CENT"/>
    <s v="MINNEAPOLIS"/>
    <s v="UNIV MINNESOTA-SCH MANAGEMENT 271 19TH AVE SOUTH, MINNEAPOLIS, MN 55455 USA"/>
    <s v="0276-7783"/>
    <s v=""/>
    <s v=""/>
    <s v="MIS QUART"/>
    <s v="MIS Q."/>
    <s v="DEC"/>
    <x v="1"/>
    <n v="46"/>
    <n v="4"/>
    <s v=""/>
    <s v=""/>
    <s v=""/>
    <s v=""/>
    <n v="2289"/>
    <n v="2316"/>
    <s v=""/>
    <s v="10.25300/MISQ/2022/17061"/>
    <s v="http://dx.doi.org/10.25300/MISQ/2022/17061"/>
    <s v=""/>
    <s v=""/>
    <n v="28"/>
    <x v="62"/>
    <x v="3"/>
    <s v="Computer Science; Information Science &amp; Library Science; Business &amp; Economics"/>
    <s v="6R1QC"/>
    <s v=""/>
    <s v=""/>
    <s v=""/>
    <s v=""/>
    <s v="2023-11-15"/>
    <s v="WOS:000892083000015"/>
    <s v="View Full Record in Web of Science"/>
    <m/>
  </r>
  <r>
    <x v="120"/>
    <s v="J"/>
    <x v="119"/>
    <s v=""/>
    <s v=""/>
    <s v=""/>
    <s v="Flores, Carla Cavichiolo; Rezende, Denis Alcides"/>
    <s v=""/>
    <s v=""/>
    <x v="119"/>
    <x v="100"/>
    <s v=""/>
    <s v=""/>
    <s v="English"/>
    <s v="Article"/>
    <s v=""/>
    <s v=""/>
    <s v=""/>
    <s v=""/>
    <s v=""/>
    <x v="116"/>
    <x v="99"/>
    <s v="If strategically implemented, crowdsourcing helps capture the intelligence of a variety of e -participation actors, enabling them to share the leading role with the government in decision -making processes. The objective is to elaborate an original crowdsourcing framework applied to strategic digital city projects. The research methodology is exploratory and descriptive. On the one hand, the model supports a systematic analysis of empowerment degrees of the e-participation actors to initiate task and innovation-oriented spontaneous crowdsourcing activities for solving wicked problems. On the other hand, strategic digital city projects play the role of passively monitoring spontaneous crowdsourcing activities, and actively planning and implementing gov-ernment initiatives. The conclusion shows that the framework can encourage local governments to identify talents, influencers, and partners among different stakeholders - to discover what moti-vates them to participate and the rewards they expect - thus evolving strategies to welcome innovative projects, processes, products, and ideas in a continuous learning cycle."/>
    <s v="[Flores, Carla Cavichiolo; Rezende, Denis Alcides] Pontificia Univ Catolica Parana PUCPR, Urban Management Postgrad Program, Curitiba, Brazil"/>
    <s v="Pontificia Universidade Catolica do Parana"/>
    <s v="Rezende, DA (corresponding author), Pontificia Univ Catolica Parana PUCPR, Urban Management Postgrad Program, Curitiba, Brazil."/>
    <s v="carla@copta.com.br; denis.rezende@pucpr.br"/>
    <s v=""/>
    <s v="Rezende, Denis Alcides/0000-0002-3327-0424"/>
    <s v=""/>
    <s v=""/>
    <s v=""/>
    <s v=""/>
    <n v="86"/>
    <n v="1"/>
    <n v="1"/>
    <n v="2"/>
    <n v="5"/>
    <s v="ELSEVIER"/>
    <s v="AMSTERDAM"/>
    <s v="RADARWEG 29, 1043 NX AMSTERDAM, NETHERLANDS"/>
    <s v="2226-5856"/>
    <s v="2589-0360"/>
    <s v=""/>
    <s v="J URBAN MANAG"/>
    <s v="J. Urban Manag."/>
    <s v="DEC"/>
    <x v="1"/>
    <n v="11"/>
    <n v="4"/>
    <s v=""/>
    <s v=""/>
    <s v=""/>
    <s v=""/>
    <n v="467"/>
    <n v="478"/>
    <s v=""/>
    <s v="10.1016/j.jum.2022.08.004"/>
    <s v="http://dx.doi.org/10.1016/j.jum.2022.08.004"/>
    <s v=""/>
    <s v="NOV 2022"/>
    <n v="12"/>
    <x v="63"/>
    <x v="2"/>
    <s v="Urban Studies"/>
    <s v="6W6FF"/>
    <s v=""/>
    <s v="Green Published"/>
    <s v=""/>
    <s v=""/>
    <s v="2023-11-15"/>
    <s v="WOS:000895823100006"/>
    <s v="View Full Record in Web of Science"/>
    <m/>
  </r>
  <r>
    <x v="121"/>
    <s v="J"/>
    <x v="120"/>
    <s v=""/>
    <s v=""/>
    <s v=""/>
    <s v="Gallardo-Rincon, Hector; Lomelin Gascon, Julieta; Alberto Martinez-Juarez, Luis; Montoya, Alejandra; Saucedo-Martinez, Rodrigo; Mujica Rosales, Ricardo; Tapia-Conyer, Roberto"/>
    <s v=""/>
    <s v=""/>
    <x v="120"/>
    <x v="101"/>
    <s v=""/>
    <s v=""/>
    <s v="English"/>
    <s v="Article"/>
    <s v=""/>
    <s v=""/>
    <s v=""/>
    <s v=""/>
    <s v=""/>
    <x v="8"/>
    <x v="100"/>
    <s v="Screening, prevention, and management of non-communicable diseases (NCDs, including obesity, hypertension, and type 2 diabetes) is the core function of Integrated Measurement for Early Detection (MIDO), a digital strategy developed by the Carlos Slim Foundation in Mexico. An extension of this strategy, MIDO COVID, was developed to address the need for an integrated plan in primary health care during the COVID-19 pandemic. MIDO COVID facilitates planning, surveillance, testing, and clinical management of SARS-CoV-2 infections and the major NCDs and their pre-disease states, to streamline the continuum of care. MIDO COVID screening was applied in 1063 Carso Group workplaces in 190 municipalities of the 32 Mexican states. Staff were trained to screen healthy workers for NCDs using a questionnaire, anthropomorphic measurements, and blood work; healthy individuals returning to work also received a SARS-CoV-2 antibody test. Between June 26 and December 31, 2020, 58,277 asymptomatic individuals underwent screening. The prevalence of obesity, hypertension, and type 2 diabetes was 32.1%, 25.7%, and 9.7% respectively. Only 2.2%, 8.8%, and 4.5% of individuals, respectively, were previously aware of their condition. Pre-obesity was identified in 38.6%, pre-hypertension in 17.4%, and prediabetes in 7.5% of the population. Risk of SARS-CoV-2 infection was highest for individuals with multiple NCDs. Many Mexicans are unaware of their health status and potentially increased risk of COVID-19 and serious complications. As a universal strategy implemented regardless of social factors, MIDO COVID promotes equity in access to health care prevention and early stage detection of NCDs; the information gained may help inform decisionmakers regarding prioritising vulnerable populations for immunisation."/>
    <s v="[Gallardo-Rincon, Hector; Lomelin Gascon, Julieta; Alberto Martinez-Juarez, Luis; Montoya, Alejandra; Saucedo-Martinez, Rodrigo; Mujica Rosales, Ricardo] Carlos Slim Fdn, Mexico City, DF, Mexico; [Gallardo-Rincon, Hector] Guadalajara Univ, Hlth Sci Univ Ctr, Guadalajara, Jalisco, Mexico; [Alberto Martinez-Juarez, Luis] London Sch Hyg &amp; Trop Med, London, England; [Tapia-Conyer, Roberto] Univ Nacl Autonoma Mexico, Mexico City, DF, Mexico"/>
    <s v="Universidad de Guadalajara; University of London; London School of Hygiene &amp; Tropical Medicine; Universidad Nacional Autonoma de Mexico"/>
    <s v="Montoya, A (corresponding author), Carlos Slim Fdn, Mexico City, DF, Mexico."/>
    <s v="airainmr@fundacioncarlosslim.org"/>
    <s v="Gascon, Jose/Y-1746-2018"/>
    <s v="Gascon, Jose/0000-0002-5070-3164; Martinez-Juarez, Luis Alberto/0000-0001-7550-7867; Montoya, Alejandra/0000-0002-9466-8452; Gallardo-Rincon, Hector Jose/0000-0002-0811-4606"/>
    <s v="Carlos Slim Foundation"/>
    <s v="Carlos Slim Foundation"/>
    <s v="The funder of the study, the Carlos Slim Foundation (https://fundacioncarlosslim.org/english/salud/), provided support in the form of salaries for authors (HGR, JLG, LMJ, AM, RSM, and RMR), and contributed to the study design, data collection, data analysis, data interpretation, and writing of the report. The specific roles of the authors are articulated in the `Author contributions' section."/>
    <s v=""/>
    <n v="25"/>
    <n v="0"/>
    <n v="0"/>
    <n v="1"/>
    <n v="1"/>
    <s v="PUBLIC LIBRARY SCIENCE"/>
    <s v="SAN FRANCISCO"/>
    <s v="1160 BATTERY STREET, STE 100, SAN FRANCISCO, CA 94111 USA"/>
    <s v="1932-6203"/>
    <s v=""/>
    <s v=""/>
    <s v="PLOS ONE"/>
    <s v="PLoS One"/>
    <s v="NOV 17"/>
    <x v="1"/>
    <n v="17"/>
    <n v="11"/>
    <s v=""/>
    <s v=""/>
    <s v=""/>
    <s v=""/>
    <s v=""/>
    <s v=""/>
    <s v="e0277014"/>
    <s v="10.1371/journal.pone.0277014"/>
    <s v="http://dx.doi.org/10.1371/journal.pone.0277014"/>
    <s v=""/>
    <s v=""/>
    <n v="14"/>
    <x v="22"/>
    <x v="0"/>
    <s v="Science &amp; Technology - Other Topics"/>
    <s v="8O7KW"/>
    <n v="36395257"/>
    <s v="Green Published, gold"/>
    <s v=""/>
    <s v=""/>
    <s v="2023-11-15"/>
    <s v="WOS:000926013600043"/>
    <s v="View Full Record in Web of Science"/>
    <m/>
  </r>
  <r>
    <x v="122"/>
    <s v="J"/>
    <x v="121"/>
    <s v=""/>
    <s v=""/>
    <s v=""/>
    <s v="Kosnik, Marissa B.; Kephalopoulos, Stylianos; Munoz, Amalia; Aurisano, Nicolo; Cusinato, Alberto; Dimitroulopoulou, Sani; Slobodnik, Jaroslav; De Mello, Jonathas; Jeddi, Maryam Zare; Cascio, Claudia; Ahrens, Andreas; de Bruin, Yuri Bruinen; Lieck, Lothar; Fantke, Peter"/>
    <s v=""/>
    <s v=""/>
    <x v="121"/>
    <x v="102"/>
    <s v=""/>
    <s v=""/>
    <s v="English"/>
    <s v="Article"/>
    <s v=""/>
    <s v=""/>
    <s v=""/>
    <s v=""/>
    <s v=""/>
    <x v="117"/>
    <x v="101"/>
    <s v="High-quality and comprehensive exposure-related data are critical for different decision contexts, including environmental and human health monitoring, and chemicals risk assessment and management. However, exposure-related data are currently scattered, frequently of unclear quality and structure, not readily accessible, and stored in various-partly overlapping-data repositories, leading to inefficient and ineffective data usage in Europe and globally. We propose strategic guidance for an integrated European exposure data production and management framework for use in science and policy, building on current and future data analysis and digita-lization trends. We map the existing exposure data landscape to requirements for data analytics and repositories across European policies and regulations. We further identify needs and ways forward for improving data generation, sharing, and usage, and translate identified needs into an operational action plan for European and global advancement of exposure data for policies and regulations. Identified key areas of action are to develop consistent exposure data standards and terminology for data production and reporting, increase data trans-parency and availability, enhance data storage and related infrastructure, boost automation in data management, increase data integration, and advance tools for innovative data analysis. Improving and streamlining exposure data generation and uptake into science and policy is crucial for the European Chemicals Strategy for Sustain -ability and European Digital Strategy, in line with EU Data policies on data management and interoperability."/>
    <s v="[Kosnik, Marissa B.; Aurisano, Nicolo; Fantke, Peter] Tech Univ Denmark, Dept Environm &amp; Resource Engn, Quantitat Sustainabil Assessment, DK-2800 Lyngby, Denmark; [Kephalopoulos, Stylianos; Cusinato, Alberto] European Commiss, Joint Res Ctr JRC, Ispra, Italy; [Munoz, Amalia] European Commiss, Joint Res Ctr JRC, Geel, Belgium; [Dimitroulopoulou, Sani] UK Hlth Secur Agcy, Air Qual &amp; Publ Hlth, EHE Dept, Chilton OX11 0RQ, England; [Slobodnik, Jaroslav] Environm Inst, Okruzna 784-42, Kos 97241, Slovakia; [De Mello, Jonathas] United Nations Environm Programme, Econ Div, F-75015 Paris, France; [Jeddi, Maryam Zare] Natl Inst Publ Hlth &amp; Environm RIVM, NL-3721 MA Bilthoven, Netherlands; [Cascio, Claudia] European Food Safety Author EFSA, Parma, Italy; [Ahrens, Andreas] European Chem Agcy ECHA, Helsinki, Finland; [de Bruin, Yuri Bruinen; Lieck, Lothar] European Agcy Safety &amp; Hlth Work EU OSHA, Bilbao, Spain"/>
    <s v="Technical University of Denmark; European Commission Joint Research Centre; EC JRC ISPRA Site; UK Health Security Agency (UKHSA); Environmental Institute; Netherlands National Institute for Public Health &amp; the Environment; European Food Safety Authority; European Chemicals Agency"/>
    <s v="Fantke, P (corresponding author), Tech Univ Denmark, Dept Environm &amp; Resource Engn, Quantitat Sustainabil Assessment, DK-2800 Lyngby, Denmark.;Kephalopoulos, S (corresponding author), European Commiss, Joint Res Ctr JRC, Ispra, Italy."/>
    <s v="stylianos.kephalopoulos@ec.europa.eu; pefan@dtu.dk"/>
    <s v="Fantke, Peter/N-2704-2015"/>
    <s v="Fantke, Peter/0000-0001-7148-6982; Dimitroulopoulou, Sani/0000-0001-9913-1526; Cascio, Claudia/0000-0002-3810-4134; Kosnik, Marissa/0000-0002-2609-5816"/>
    <s v="European Commission [30032]; Safe and Efficient Chemistry by Design (SafeChem) project - Swedish Foundation for Strategic Environmental Research [DIA 2018/11]; SPRINT project under the European Union's Horizon 2020 Research and Innovation program [862568]; PARC project under the European Union's Horizon Europe Research and Innovation program [101057014]"/>
    <s v="European Commission(European Union (EU)European Commission Joint Research Centre); Safe and Efficient Chemistry by Design (SafeChem) project - Swedish Foundation for Strategic Environmental Research; SPRINT project under the European Union's Horizon 2020 Research and Innovation program; PARC project under the European Union's Horizon Europe Research and Innovation program"/>
    <s v="The review of the manuscript by Dr Antonio Franco (EC, DG JRC) and Dr Alessandro Carletti (EC, DG JRC), is gratefully acknowledged. This study was executed by the ISES Europe working group on Data repositories &amp; analytics, kicked-off during the 3rd European Exposure Science Strategy Workshop organised and supported by the European Commission's Joint Research Centre on 30/31 Jan 2020 in Ispra, Italy (JRC project no 30032: DTHC - Digital Transformation of Health and Care). The study was financially supported by the Safe and Efficient Chemistry by Design (SafeChem) project funded by the Swedish Foundation for Strategic Environmental Research (grant no. DIA 2018/11), by the SPRINT project (grant no. 862568) funded under the European Union's Horizon 2020 Research and Innovation program, and by the PARC project (grant no. 101057014) funded under the European Union's Horizon Europe Research and Innovation program."/>
    <s v=""/>
    <n v="71"/>
    <n v="2"/>
    <n v="2"/>
    <n v="2"/>
    <n v="3"/>
    <s v="PERGAMON-ELSEVIER SCIENCE LTD"/>
    <s v="OXFORD"/>
    <s v="THE BOULEVARD, LANGFORD LANE, KIDLINGTON, OXFORD OX5 1GB, ENGLAND"/>
    <s v="0160-4120"/>
    <s v="1873-6750"/>
    <s v=""/>
    <s v="ENVIRON INT"/>
    <s v="Environ. Int."/>
    <s v="DEC"/>
    <x v="1"/>
    <n v="170"/>
    <s v=""/>
    <s v=""/>
    <s v=""/>
    <s v=""/>
    <s v=""/>
    <s v=""/>
    <s v=""/>
    <n v="107610"/>
    <s v="10.1016/j.envint.2022.107610"/>
    <s v="http://dx.doi.org/10.1016/j.envint.2022.107610"/>
    <s v=""/>
    <s v="NOV 2022"/>
    <n v="14"/>
    <x v="16"/>
    <x v="0"/>
    <s v="Environmental Sciences &amp; Ecology"/>
    <s v="7W0CJ"/>
    <n v="36356553"/>
    <s v="gold, Green Published"/>
    <s v=""/>
    <s v=""/>
    <s v="2023-11-15"/>
    <s v="WOS:000913180200002"/>
    <s v="View Full Record in Web of Science"/>
    <m/>
  </r>
  <r>
    <x v="123"/>
    <s v="J"/>
    <x v="122"/>
    <s v=""/>
    <s v=""/>
    <s v=""/>
    <s v="Yun, Ke; Yu, Jiaming; Liu, Changyang; Zhang, Xinxin"/>
    <s v=""/>
    <s v=""/>
    <x v="122"/>
    <x v="103"/>
    <s v=""/>
    <s v=""/>
    <s v="English"/>
    <s v="Article"/>
    <s v=""/>
    <s v=""/>
    <s v=""/>
    <s v=""/>
    <s v=""/>
    <x v="118"/>
    <x v="102"/>
    <s v="Background: Mobile phone-based digital interventions have been shown to be a promising strategy for HIV prevention among men who have sex with men (MSM). Objective: This study aimed to evaluate the cost-effectiveness of a mobile phone-based digital intervention for HIV prevention among MSM in China from the perspective of a public health provider. Methods: The cost-effectiveness of the mobile phone-based digital intervention was estimated for a hypothetical cohort of 10,000 HIV-negative MSM who were followed for 1 year. A model was developed with China-specific data to project the clinical impact and cost-effectiveness of two mobile phone-based digital strategies for HIV prevention among MSM. The intervention group received an integrated behavioral intervention that included 1) individualized HIV infection risk assessment, 2) recommendation of centers testing for HIV and other STIs, 3) free online order of condoms and HIV and syphilis self-test kits and 4) educational materials about HIV/AIDS. The control group was only given educational materials about HIV/AIDS. Outcomes of interest were the number of HIV infections among MSM averted by the intervention, intervention costs, cost per HIV infection averted by the mobile phone-based digital intervention, and quality-adjusted life-years (QALYs). Univariate and multivariate sensitivity analyses were also conducted to examine the robustness of the results. Results: It is estimated that the intervention can prevent 48 MSM from becoming infected with HIV and can save 480 QALYs. The cost of preventing 1 case of HIV infection was US $2599.87, and the cost-utility ratio was less than 0. Sensitivity analysis showed that the cost-effectiveness of the mobile phone-based digital intervention was mainly impacted by the average number of sexual behaviors with each sexual partner. Additionally, the higher the HIV prevalence among MSM, the greater the benefit of the intervention. Conclusions: Mobile phone-based digital interventions are a cost-effective HIV-prevention strategy for MSM and could be considered for promotion and application among high-risk MSM subgroups."/>
    <s v="[Yun, Ke] China Med Univ, Dept Lab Med, Affiliated Hosp 1, Shenyang, Peoples R China; [Yu, Jiaming] China Med Univ, Dept Hosp Infect Management, Affiliated Hosp 4, Shenyang, Peoples R China; [Liu, Changyang; Zhang, Xinxin] China Med Univ, Dept Ophthalmol Lab, Affiliated Hosp 4, 11 Xinhua Rd, Shenyang 110006, Peoples R China"/>
    <s v="China Medical University; China Medical University; China Medical University"/>
    <s v="Zhang, XX (corresponding author), China Med Univ, Dept Ophthalmol Lab, Affiliated Hosp 4, 11 Xinhua Rd, Shenyang 110006, Peoples R China."/>
    <s v="zhangxinxin@cmu.edu.cn"/>
    <s v="Yu, Jiaming/JDM-2390-2023; Liu, Changyang/GXM-9414-2022"/>
    <s v="yu, jiaming/0000-0001-5322-2545"/>
    <s v="Liaoning Natural Science Foundation Project [2020-BS-091]"/>
    <s v="Liaoning Natural Science Foundation Project"/>
    <s v="We thank the study participants who participated in the clinical trial. This research received funding from the Liaoning Natural Science Foundation Project (2020-BS-091)."/>
    <s v=""/>
    <n v="27"/>
    <n v="0"/>
    <n v="0"/>
    <n v="3"/>
    <n v="3"/>
    <s v="JMIR PUBLICATIONS, INC"/>
    <s v="TORONTO"/>
    <s v="130 QUEENS QUAY East, Unit 1100, TORONTO, ON M5A 0P6, CANADA"/>
    <s v="1438-8871"/>
    <s v=""/>
    <s v=""/>
    <s v="J MED INTERNET RES"/>
    <s v="J. Med. Internet Res."/>
    <s v="NOV 8"/>
    <x v="1"/>
    <n v="24"/>
    <n v="11"/>
    <s v=""/>
    <s v=""/>
    <s v=""/>
    <s v=""/>
    <s v=""/>
    <s v=""/>
    <s v="e38855"/>
    <s v="10.2196/38855"/>
    <s v="http://dx.doi.org/10.2196/38855"/>
    <s v=""/>
    <s v=""/>
    <n v="10"/>
    <x v="40"/>
    <x v="0"/>
    <s v="Health Care Sciences &amp; Services; Medical Informatics"/>
    <s v="8K4NF"/>
    <n v="36322123"/>
    <s v="Green Published, gold"/>
    <s v=""/>
    <s v=""/>
    <s v="2023-11-15"/>
    <s v="WOS:000923079900008"/>
    <s v="View Full Record in Web of Science"/>
    <m/>
  </r>
  <r>
    <x v="124"/>
    <s v="J"/>
    <x v="123"/>
    <s v=""/>
    <s v=""/>
    <s v=""/>
    <s v="Diaz, Regina; Montalvo, Raul"/>
    <s v=""/>
    <s v=""/>
    <x v="123"/>
    <x v="4"/>
    <s v=""/>
    <s v=""/>
    <s v="English"/>
    <s v="Article"/>
    <s v=""/>
    <s v=""/>
    <s v=""/>
    <s v=""/>
    <s v=""/>
    <x v="119"/>
    <x v="1"/>
    <s v="Not only was Digital Transformation (DT) accelerated by the COVID-19 pandemic, but over recent years some companies have already developed actions related to DT. It is well known that DT has many benefits, such as improving business models, making communication channels more efficient and facilitating decision-making. Furthermore, amongst others, one big challenge of DT is to contribute to areas related to sustainability. The objective of this article is to offer an exploratory review of how a small sample of leading Mexican companies have used DT as an enabler to be more efficient in some sustainability-related issues. The companies analyzed in this paper belong to different sectors: communication services, retail, financial, food and beverages, and materials. Through the identification of DT initiatives and implementations across time, a radar chart was constructed in order to identify, as a first approach, those related to sustainability in order to identify evidence of what some companies are doing in this regard. In addition, actions were grouped under the Business Dimensions defined by Deloitte Development LLC in order to emphasize the focus given by the organizations. One of the main conclusions from the evidence is that indeed big companies have a digital strategy agenda but not necessarily related to sustainability, but also that it is collaterally affected positively due to the economies of scale and operational improvements, from DT. This a qualitative primary study that can be reinforced in the future with analytical evidence that can measure impacts, effects, etc., to enrich strategies that relate to both DT and sustainability."/>
    <s v="[Diaz, Regina] Tecnol Monterrey, EGADE Business Sch, Carlos Lazo 100, Santa Fe 01389, Mexico; [Montalvo, Raul] Tecnol Monterrey, EGADE Business Sch, Ave Gen Ramon Corona 2514, Zapopan 45201, Mexico"/>
    <s v="Tecnologico de Monterrey; Tecnologico de Monterrey"/>
    <s v="Diaz, R (corresponding author), Tecnol Monterrey, EGADE Business Sch, Carlos Lazo 100, Santa Fe 01389, Mexico."/>
    <s v="reginadiaz@tec.mx"/>
    <s v=""/>
    <s v=""/>
    <s v="Tecnologico de Monterrey"/>
    <s v="Tecnologico de Monterrey"/>
    <s v="Tecnologico de Monterrey."/>
    <s v=""/>
    <n v="92"/>
    <n v="2"/>
    <n v="2"/>
    <n v="11"/>
    <n v="21"/>
    <s v="MDPI"/>
    <s v="BASEL"/>
    <s v="ST ALBAN-ANLAGE 66, CH-4052 BASEL, SWITZERLAND"/>
    <s v=""/>
    <s v="2071-1050"/>
    <s v=""/>
    <s v="SUSTAINABILITY-BASEL"/>
    <s v="Sustainability"/>
    <s v="NOV"/>
    <x v="1"/>
    <n v="14"/>
    <n v="22"/>
    <s v=""/>
    <s v=""/>
    <s v=""/>
    <s v=""/>
    <s v=""/>
    <s v=""/>
    <n v="15436"/>
    <s v="10.3390/su142215436"/>
    <s v="http://dx.doi.org/10.3390/su142215436"/>
    <s v=""/>
    <s v=""/>
    <n v="19"/>
    <x v="4"/>
    <x v="3"/>
    <s v="Science &amp; Technology - Other Topics; Environmental Sciences &amp; Ecology"/>
    <s v="6K7RX"/>
    <s v=""/>
    <s v="gold"/>
    <s v=""/>
    <s v=""/>
    <s v="2023-11-15"/>
    <s v="WOS:000887695400001"/>
    <s v="View Full Record in Web of Science"/>
    <m/>
  </r>
  <r>
    <x v="125"/>
    <s v="J"/>
    <x v="124"/>
    <s v=""/>
    <s v=""/>
    <s v=""/>
    <s v="Flores-Vivar, Jesus Miguel; Zaharia, Ana Maria"/>
    <s v=""/>
    <s v=""/>
    <x v="124"/>
    <x v="104"/>
    <s v=""/>
    <s v=""/>
    <s v="Spanish"/>
    <s v="Article"/>
    <s v=""/>
    <s v=""/>
    <s v=""/>
    <s v=""/>
    <s v=""/>
    <x v="120"/>
    <x v="103"/>
    <s v="This paper analyses clickbait as an extra-journalistic viral technique and strategy of digital news media aiming to attract readers. It studies the effects of clickbait and identifies the stylistic techniques most frequently used in Spanish digital newspapers. Clickbait is growing exponentially in news media, in many cases to the detriment of the quality of the information provided. Thus, this study also looks at the adoption by the media of The Trust Project model, a system of trust indicators that aims to counteract the pernicious effects of fake news generated, very often, by the use of clickbait. The study analysed the ten digital newspapers in Spain with the highest readership according to the Reuters Institute (2020). A dual methodology was used: qualitative, focused on the analysis of academic and scientific works on clickbait and the transparency standards of The Trust Project against disinformation; and quantitative. Empirical research on 'bait' headlines found the use of clickbait in 505 out of 1321 news headlines, which suggests a high presence of clickbait content in the selected digital media. It is therefore a key tool for attracting readers, although less common in digital newspapers that have signed up to The Trust Project. The paper reveals, among other findings, that Spanish digital newspapers do not generate dicks through high quality content, but rather through the creation of suspense, exaggeration or lurid subject-matter in the information they publish. Among the paper's conclusions is the dear need for further academic research in this field, to improve strategic digital culture in journalism and communication studies."/>
    <s v="[Flores-Vivar, Jesus Miguel] Univ Complutense Madrid, Madrid, Spain; [Zaharia, Ana Maria] Univ Rey Juan Carlos, Madrid, Spain"/>
    <s v="Complutense University of Madrid; Universidad Rey Juan Carlos"/>
    <s v="Flores-Vivar, JM (corresponding author), Univ Complutense Madrid, Madrid, Spain."/>
    <s v="jmflores@ucm.es; anamaria.zaharia@urjc.es"/>
    <s v=""/>
    <s v=""/>
    <s v=""/>
    <s v=""/>
    <s v=""/>
    <s v=""/>
    <n v="32"/>
    <n v="1"/>
    <n v="1"/>
    <n v="3"/>
    <n v="8"/>
    <s v="UNIV AUTONOMA BARCELONA"/>
    <s v="CERDANYOLA DEL VALLES, BARCELONA"/>
    <s v="VICERECTORAT RELACIONS INSTITUCIONALS &amp; CULTURA, UNIV VALENCIA, VICERECTORAT INVESTIGACIO, CERDANYOLA DEL VALLES, BARCELONA, 08193, SPAIN"/>
    <s v="0211-2175"/>
    <s v="2340-5236"/>
    <s v=""/>
    <s v="ANALISI"/>
    <s v="Analisi"/>
    <s v="NOV"/>
    <x v="1"/>
    <s v=""/>
    <s v=""/>
    <s v=""/>
    <s v=""/>
    <s v="SI"/>
    <s v=""/>
    <n v="5"/>
    <n v="23"/>
    <s v=""/>
    <s v="10.5565/rev/analisi.3463"/>
    <s v="http://dx.doi.org/10.5565/rev/analisi.3463"/>
    <s v=""/>
    <s v=""/>
    <n v="19"/>
    <x v="56"/>
    <x v="2"/>
    <s v="Communication"/>
    <s v="6Z6US"/>
    <s v=""/>
    <s v="Green Submitted, gold"/>
    <s v=""/>
    <s v=""/>
    <s v="2023-11-15"/>
    <s v="WOS:000897909700002"/>
    <s v="View Full Record in Web of Science"/>
    <m/>
  </r>
  <r>
    <x v="126"/>
    <s v="J"/>
    <x v="125"/>
    <s v=""/>
    <s v=""/>
    <s v=""/>
    <s v="Pourmorshed, Sara; Durst, Susanne"/>
    <s v=""/>
    <s v=""/>
    <x v="125"/>
    <x v="4"/>
    <s v=""/>
    <s v=""/>
    <s v="English"/>
    <s v="Article"/>
    <s v=""/>
    <s v=""/>
    <s v=""/>
    <s v=""/>
    <s v=""/>
    <x v="121"/>
    <x v="104"/>
    <s v="Although studies in the field of digital supply chains (DSC) have increased in recent years, there is still a lack of theoretical and empirical studies that show how DSC can be successfully implemented. There is a lack of studies in small and medium-sized enterprises (SMEs) in particular. This paper addresses this situation and explores the usefulness of the digitalization integration framework (DIF) proposed by Buyukozkan and Gocer in 2018 for the development of DSC in SMEs. More precisely, based on a case study design involving Swedish SMEs operating in the same supply chain, this paper provides insight into the DSC process of these Swedish SMEs adopting the DIF. The results of the study enable the proposal of an updated framework consisting of five main components in the digitalization process, namely: digital strategy, digital organization and culture, digital operations, digital products and services, and digital customer experience. Furthermore, each component consists of several steps, called sub-components, which could be considered by SMEs when developing DSC to increase the success of this challenging activity."/>
    <s v="[Pourmorshed, Sara; Durst, Susanne] Halmstad Univ, Sch Business Innovat &amp; Sustainabil, S-30118 Halmstad, Sweden"/>
    <s v="Halmstad University"/>
    <s v="Durst, S (corresponding author), Halmstad Univ, Sch Business Innovat &amp; Sustainabil, S-30118 Halmstad, Sweden."/>
    <s v="susanne.durst@hh.se"/>
    <s v="Durst, Susanne/J-8919-2017"/>
    <s v="Durst, Susanne/0000-0001-8469-2427"/>
    <s v=""/>
    <s v=""/>
    <s v=""/>
    <s v=""/>
    <n v="79"/>
    <n v="0"/>
    <n v="0"/>
    <n v="10"/>
    <n v="25"/>
    <s v="MDPI"/>
    <s v="BASEL"/>
    <s v="ST ALBAN-ANLAGE 66, CH-4052 BASEL, SWITZERLAND"/>
    <s v=""/>
    <s v="2071-1050"/>
    <s v=""/>
    <s v="SUSTAINABILITY-BASEL"/>
    <s v="Sustainability"/>
    <s v="NOV"/>
    <x v="1"/>
    <n v="14"/>
    <n v="21"/>
    <s v=""/>
    <s v=""/>
    <s v=""/>
    <s v=""/>
    <s v=""/>
    <s v=""/>
    <n v="14352"/>
    <s v="10.3390/su142114352"/>
    <s v="http://dx.doi.org/10.3390/su142114352"/>
    <s v=""/>
    <s v=""/>
    <n v="17"/>
    <x v="4"/>
    <x v="3"/>
    <s v="Science &amp; Technology - Other Topics; Environmental Sciences &amp; Ecology"/>
    <s v="6F7CK"/>
    <s v=""/>
    <s v="Green Published, gold"/>
    <s v=""/>
    <s v=""/>
    <s v="2023-11-15"/>
    <s v="WOS:000884214300001"/>
    <s v="View Full Record in Web of Science"/>
    <m/>
  </r>
  <r>
    <x v="127"/>
    <s v="J"/>
    <x v="126"/>
    <s v=""/>
    <s v=""/>
    <s v=""/>
    <s v="Yevtodyeva, Marianna G."/>
    <s v=""/>
    <s v=""/>
    <x v="126"/>
    <x v="105"/>
    <s v=""/>
    <s v=""/>
    <s v="Russian"/>
    <s v="Article"/>
    <s v=""/>
    <s v=""/>
    <s v=""/>
    <s v=""/>
    <s v=""/>
    <x v="122"/>
    <x v="1"/>
    <s v="The article is devoted to the study of tools to regulate the evolution of the labour market and educational sphere in Germany in connection with digitalization and the development of the Industry 4.0. These issues have been studied insufficiently both at the country and cross-country levels, since most of the scientific literature deals mainly with economic and technological aspects of digital transformation, while the role of public policy and the formation of the digital environment (including human resources and education) are given much less attention. The paper highlights key features of Germany's digital strategy, such as the development of cyber-physical systems, IT security, and the reliance on public-private partnerships in the course of digitalization. It also analyzes a wide range of projects, initiatives and programs in the field of regulation of the labour market and education, on the basis of which the German Federal Government provides a solution to the most pressing problems and challenges for the country's digitalization. According to the findings of the White Paper Labour 4.0 by the Federal Ministry of Labour and Social Affairs and of a number of experts in labour market of Germany, these challenges include: the lack of the qualified specialists in MINT professions (Mathematik, Informatik, Naturwissenschaften, Technik), specialists with digital skills and knowledge of information and communication technologies; shortcomings in the development of education and digital environment, in particular low levels of technical equipment of schools and other educational institutions; the negative impact of demographics and migration problems on the labour market and employment."/>
    <s v="[Yevtodyeva, Marianna G.] Russian Acad Sci IMEMO, Primakov Natl Res Inst World Econ &amp; Int Relat, 23 Profsoyuznaya Str, Moscow 117997, Russia"/>
    <s v="Russian Academy of Sciences; Primakov National Research Institute of World Economy &amp; International Relations of the Russian Academy of Sciences"/>
    <s v="Yevtodyeva, MG (corresponding author), Russian Acad Sci IMEMO, Primakov Natl Res Inst World Econ &amp; Int Relat, 23 Profsoyuznaya Str, Moscow 117997, Russia."/>
    <s v="mariannaevt@imemo.ru"/>
    <s v="Yevtodyeva, Marianna/Q-2240-2018"/>
    <s v="Yevtodyeva, Marianna/0000-0002-3477-4763"/>
    <s v="Russian Foundation for Basic Research (RFBR) [20-011-31492]"/>
    <s v="Russian Foundation for Basic Research (RFBR)(Russian Foundation for Basic Research (RFBR))"/>
    <s v="The article has been supported by a grant of the Russian Foundation for Basic Research (RFBR) . Project no. 20-011-31492 Science and Technology Policy in the Context of Society's Digital Transformation: Global Practices and Russia."/>
    <s v=""/>
    <n v="45"/>
    <n v="0"/>
    <n v="0"/>
    <n v="8"/>
    <n v="11"/>
    <s v="NAUKA PUBLISHING HOUSE"/>
    <s v="MOSCOW"/>
    <s v="PROFSOYUZNAYA UL 90, MOSCOW, 117864, RUSSIA"/>
    <s v="0131-2227"/>
    <s v=""/>
    <s v=""/>
    <s v="MIROVAYA EKON MEZHD"/>
    <s v="Mirovaya Ekon. Mezhdunarodyne Otnosheniya"/>
    <s v="NOV"/>
    <x v="1"/>
    <n v="66"/>
    <n v="11"/>
    <s v=""/>
    <s v=""/>
    <s v=""/>
    <s v=""/>
    <n v="50"/>
    <n v="59"/>
    <s v=""/>
    <s v="10.20542/0131-2227-2022-66-11-50-59"/>
    <s v="http://dx.doi.org/10.20542/0131-2227-2022-66-11-50-59"/>
    <s v=""/>
    <s v=""/>
    <n v="10"/>
    <x v="32"/>
    <x v="2"/>
    <s v="International Relations"/>
    <s v="6P7FA"/>
    <s v=""/>
    <s v="Bronze"/>
    <s v=""/>
    <s v=""/>
    <s v="2023-11-15"/>
    <s v="WOS:000891091400006"/>
    <s v="View Full Record in Web of Science"/>
    <m/>
  </r>
  <r>
    <x v="128"/>
    <s v="J"/>
    <x v="127"/>
    <s v=""/>
    <s v=""/>
    <s v=""/>
    <s v="Saihi, Afef; Ben-Daya, Mohamed; As'ad, Rami"/>
    <s v=""/>
    <s v=""/>
    <x v="127"/>
    <x v="5"/>
    <s v=""/>
    <s v=""/>
    <s v="English"/>
    <s v="Article"/>
    <s v=""/>
    <s v=""/>
    <s v=""/>
    <s v=""/>
    <s v=""/>
    <x v="123"/>
    <x v="105"/>
    <s v="In today's competitive landscape, maintenance is one of the critical functions that may greatly benefit from digital transformation (DT). Advances in technological developments are proving to be a game changer for improving maintenance strategies and practices. However, several challenges related to the lack of adequate managerial aspects, and adoption of wrong approaches to this transformation hinder its success. Research has shown that technology alone is not sufficient for organizations to ensure the success of their digitalization at-tempts. Therefore, the aim of this research is to adopt a holistic approach to identify, evaluate and rank a comprehensive list of the various influencing variables, multifaceted in nature, that drive the success of main-tenance DT initiatives. To that end, the authors solicited the different success factors based on a systematic literature review, then conducted a purification phase of these enablers and categorized them. Subsequently, a hybrid reactive Delphi approach, combined with AHP method, was adopted to evaluate and rank the success factors and their corresponding clusters through a panel of 17 highly qualified experts. The verified final list includes 41 factors mapped into 10 categories. The clusters are ranked according to their relative level of importance, and normalized weights are attributed to their factors. In particular, Digital strategy -strategic alignment cluster ranked highest followed by Top management and leadership skills then Organizational development and change management. The findings of this study contribute to enriching the extant literature, serve as a foundation to conduct further academic research, and provide proper guidance to practitioners in this field."/>
    <s v="[Saihi, Afef; Ben-Daya, Mohamed; As'ad, Rami] Amer Univ Sharjah, Ind Engn Dept, Sharjah, U Arab Emirates"/>
    <s v="American University of Sharjah"/>
    <s v="Saihi, A (corresponding author), Amer Univ Sharjah, Ind Engn Dept, Sharjah, U Arab Emirates."/>
    <s v="g00079250@aus.edu; mbendaya@aus.edu; rafif@aus.edu"/>
    <s v="Ben-Daya, Mohamed/AAG-5851-2021"/>
    <s v="Saihi, Afef/0000-0002-3664-8664"/>
    <s v="American University of Sharjah; [FRG22-C-E17]"/>
    <s v="American University of Sharjah;"/>
    <s v="Acknowledgement The authors sincerely thank the experts of the Delphi panel for their contribution to the success of this research and acknowledge the support of the American University of Sharjah under grant number FRG22-C-E17. The authors are also greatly thankful to the anonymous reviewers for their constructive comments and suggestions which substantially improved the content and presentation of the paper."/>
    <s v=""/>
    <n v="67"/>
    <n v="4"/>
    <n v="4"/>
    <n v="15"/>
    <n v="36"/>
    <s v="ELSEVIER"/>
    <s v="AMSTERDAM"/>
    <s v="RADARWEG 29, 1043 NX AMSTERDAM, NETHERLANDS"/>
    <s v="0925-5273"/>
    <s v="1873-7579"/>
    <s v=""/>
    <s v="INT J PROD ECON"/>
    <s v="Int. J. Prod. Econ."/>
    <s v="JAN"/>
    <x v="0"/>
    <n v="255"/>
    <s v=""/>
    <s v=""/>
    <s v=""/>
    <s v=""/>
    <s v=""/>
    <s v=""/>
    <s v=""/>
    <n v="108701"/>
    <s v="10.1016/j.ijpe.2022.108701"/>
    <s v="http://dx.doi.org/10.1016/j.ijpe.2022.108701"/>
    <s v=""/>
    <s v="OCT 2022"/>
    <n v="15"/>
    <x v="5"/>
    <x v="0"/>
    <s v="Engineering; Operations Research &amp; Management Science"/>
    <s v="6C6PA"/>
    <s v=""/>
    <s v=""/>
    <s v=""/>
    <s v=""/>
    <s v="2023-11-15"/>
    <s v="WOS:000882132400001"/>
    <s v="View Full Record in Web of Science"/>
    <m/>
  </r>
  <r>
    <x v="129"/>
    <s v="J"/>
    <x v="128"/>
    <s v=""/>
    <s v=""/>
    <s v=""/>
    <s v="Karimikia, Hadi; Bradshaw, Robert; Singh, Harminder; Ojo, Adegboyega; Donnellan, Brian; Guerin, Michael"/>
    <s v=""/>
    <s v=""/>
    <x v="128"/>
    <x v="9"/>
    <s v=""/>
    <s v=""/>
    <s v="English"/>
    <s v="Article"/>
    <s v=""/>
    <s v=""/>
    <s v=""/>
    <s v=""/>
    <s v=""/>
    <x v="124"/>
    <x v="106"/>
    <s v="Smart cities emphasize the use of advanced technology to deliver better services to and improve the well-being of their residents. Since the administrative authorities that manage cities often lack the knowledge and skills needed to transform their operations in this way, smart city initiatives usually involve a complex set of actors, from local urban authorities and their technical departments to small and large IT firms, academics, and civic organizations, as well as individual citizens. Mediating organizations are often set up to coordinate and manage such interactions. However, little is known about the roles and activities of such bodies. Using data from the Dublin smart city projects, this study draws on the concept of boundary spanning to develop a taxonomy of the work of such intermediaries. Divided into technical, political, social, and cultural domains, the study demonstrates the critical role of the work done by such bodies in enhancing collaboration among and the participation of a diverse group of citizens, IT and digital strategy departments of local authorities, universities and local/international IT companies (e.g., Google, Facebook or Airbnb), leading to a bottom-up governance style of leading smart city initiatives and projects."/>
    <s v="[Karimikia, Hadi] Natl Univ Ireland, Lero Irish Software Res Ctr, Univ Coll Cork, Cork, Cork, Ireland; [Bradshaw, Robert] Maynooth Univ, Sci Fdn Ireland SFI, Maynooth, Kildare, Ireland; [Singh, Harminder] Auckland Univ Technol, AUT Business Sch, Business Informat Syst Dept, Auckland, New Zealand; [Ojo, Adegboyega] Carleton Univ, Sch Publ Policy &amp; Adm, Fac Publ Affairs, Ottawa, ON, Canada; [Ojo, Adegboyega; Donnellan, Brian] Maynooth Univ, Sch Business, Maynooth, Kildare, Ireland; [Donnellan, Brian] Maynooth Univ, Innovat Value Inst, Maynooth, Kildare, Ireland; [Guerin, Michael] Dublins Smart City Testbed Smart Docklands, Dublin, Co Dublin, Ireland"/>
    <s v="University College Cork; Maynooth University; Auckland University of Technology; Carleton University; Maynooth University; Maynooth University"/>
    <s v="Karimikia, H (corresponding author), Natl Univ Ireland, Lero Irish Software Res Ctr, Univ Coll Cork, Cork, Cork, Ireland."/>
    <s v="hkarimikia@ucc.ie; robert.bradshaw@mu.ie; harminder.singh@aut.ac.nz; adegboyega.ojo@carelton.ca; brian.donnellan@mu.ie; michael@smartdocklands.ie"/>
    <s v="Singh, Harminder/AAY-4506-2021"/>
    <s v="Singh, Harminder/0000-0001-7335-035X"/>
    <s v=""/>
    <s v=""/>
    <s v=""/>
    <s v=""/>
    <n v="163"/>
    <n v="1"/>
    <n v="1"/>
    <n v="5"/>
    <n v="11"/>
    <s v="ELSEVIER SCIENCE INC"/>
    <s v="NEW YORK"/>
    <s v="STE 800, 230 PARK AVE, NEW YORK, NY 10169 USA"/>
    <s v="0040-1625"/>
    <s v="1873-5509"/>
    <s v=""/>
    <s v="TECHNOL FORECAST SOC"/>
    <s v="Technol. Forecast. Soc. Chang."/>
    <s v="DEC"/>
    <x v="1"/>
    <n v="185"/>
    <s v=""/>
    <s v=""/>
    <s v=""/>
    <s v=""/>
    <s v=""/>
    <s v=""/>
    <s v=""/>
    <n v="122100"/>
    <s v="10.1016/j.techfore.2022.122100"/>
    <s v="http://dx.doi.org/10.1016/j.techfore.2022.122100"/>
    <s v=""/>
    <s v="OCT 2022"/>
    <n v="22"/>
    <x v="9"/>
    <x v="1"/>
    <s v="Business &amp; Economics; Public Administration"/>
    <s v="8C5SO"/>
    <s v=""/>
    <s v="Green Accepted"/>
    <s v=""/>
    <s v=""/>
    <s v="2023-11-15"/>
    <s v="WOS:000917668300005"/>
    <s v="View Full Record in Web of Science"/>
    <m/>
  </r>
  <r>
    <x v="130"/>
    <s v="J"/>
    <x v="129"/>
    <s v=""/>
    <s v=""/>
    <s v=""/>
    <s v="Christodoulou, Ioannis P.; Wasim, Jahangir; Reinhardt, Robert J.; Ivanov, Kirill"/>
    <s v=""/>
    <s v=""/>
    <x v="129"/>
    <x v="106"/>
    <s v=""/>
    <s v=""/>
    <s v="English"/>
    <s v="Article"/>
    <s v=""/>
    <s v=""/>
    <s v=""/>
    <s v=""/>
    <s v=""/>
    <x v="8"/>
    <x v="107"/>
    <s v="Middle managers play a crucial role in implementing digital strategy. They directly influence the success or failure of an organization's digital transformation. They are the enablers of digital strategy implementation and company transformation and sometimes can cast a sabotaging shadow side when not involved and engaged in the process. However, there are ways to engage them and divert their sabotaging behavior."/>
    <s v="[Christodoulou, Ioannis P.] Univ Westminster, London, England; [Wasim, Jahangir] Heriot Watt Univ Malaysia, Business &amp; Managment, Putrajaya, Malaysia; [Reinhardt, Robert J.] Sustainable Business Consultancy &amp; Res, Hohenzollernpl 7, D-53173 Bonn, Germany; [Ivanov, Kirill] St Petersburg State Univ, St Petersburg, Russia"/>
    <s v="University of Westminster; Heriot Watt University; Saint Petersburg State University"/>
    <s v="Reinhardt, RJ (corresponding author), Sustainable Business Consultancy &amp; Res, Hohenzollernpl 7, D-53173 Bonn, Germany."/>
    <s v="rr.robert.reinhardt@gmail.com"/>
    <s v=""/>
    <s v="Wasim, Jahangir/0000-0001-5699-9755"/>
    <s v=""/>
    <s v=""/>
    <s v=""/>
    <s v=""/>
    <n v="61"/>
    <n v="1"/>
    <n v="1"/>
    <n v="5"/>
    <n v="19"/>
    <s v="JOHN WILEY &amp; SONS LTD"/>
    <s v="CHICHESTER"/>
    <s v="THE ATRIUM, SOUTHERN GATE, CHICHESTER PO19 8SQ, W SUSSEX, ENGLAND"/>
    <s v="1086-1718"/>
    <s v="1099-1697"/>
    <s v=""/>
    <s v="STRATEG CHANG"/>
    <s v="Strateg. Chang."/>
    <s v="NOV"/>
    <x v="1"/>
    <n v="31"/>
    <n v="6"/>
    <s v=""/>
    <s v=""/>
    <s v="SI"/>
    <s v=""/>
    <n v="613"/>
    <n v="622"/>
    <s v=""/>
    <s v="10.1002/jsc.2528"/>
    <s v="http://dx.doi.org/10.1002/jsc.2528"/>
    <s v=""/>
    <s v="OCT 2022"/>
    <n v="10"/>
    <x v="14"/>
    <x v="2"/>
    <s v="Business &amp; Economics"/>
    <s v="5Z8FZ"/>
    <s v=""/>
    <s v="Green Published, Green Submitted"/>
    <s v=""/>
    <s v=""/>
    <s v="2023-11-15"/>
    <s v="WOS:000869789100001"/>
    <s v="View Full Record in Web of Science"/>
    <m/>
  </r>
  <r>
    <x v="131"/>
    <s v="J"/>
    <x v="130"/>
    <s v=""/>
    <s v=""/>
    <s v=""/>
    <s v="Ru, Jing; Mastan, Erlita; Zhou, Liyang; Shao, Chunming; Zhao, Jie; Wang, Shuhua; Zhu, Shiping"/>
    <s v=""/>
    <s v=""/>
    <x v="130"/>
    <x v="107"/>
    <s v=""/>
    <s v=""/>
    <s v="English"/>
    <s v="Article"/>
    <s v=""/>
    <s v=""/>
    <s v=""/>
    <s v=""/>
    <s v=""/>
    <x v="8"/>
    <x v="108"/>
    <s v="Digitalization of industrial polymerization processes repre-sents an effective and efficient approach for product-grade upgrading and for production efficiency improvement. A mechanistic model based on the first principles of elementary reactions and mass balances provides a powerful tool in the practice of process digitalization. In this work, we developed a comprehensive kinetic model for the batch process of bulk copolymerization of tetrafluoroethylene with hexafluoropropylene. A series of experimental runs were carried out under various conditions. The fluorinated ethylene propylene copolymer samples were collected, with the monomer conversions, copolymer compositions, and polymer molecular weights, as well as the melting and crystallization properties, fully analyzed. The model was then correlated with the data for estimation of the model parameters. The reactivity ratios were found to be r1 = 65.5 and r2 = 2.6 x 10-3. With a whole set of estimated parameters, the model was used to simulate results under different polymerization conditions close to industrial production processes, which were further verified with additional experimental data. The agreement between simulated and experimental results was good. The experimentally verified model provides a powerful tool for industrial process optimization aiming at improvement of product quality and production efficiency."/>
    <s v="[Zhou, Liyang; Shao, Chunming; Zhao, Jie; Wang, Shuhua] Zhejiang Juhua Co Ltd, Quzhou 324004, Peoples R China; [Ru, Jing; Mastan, Erlita; Zhu, Shiping] Hangzhou Juyong Technol Ltd, Hangzhou 310030, Peoples R China; [Zhu, Shiping] Chinese Univ Hong Kong, Sch Sci &amp; Engn, Shenzhen 518172, Peoples R China; [Ru, Jing] Hangzhou Oxygen Plant Grp Co Ltd, Hangzhou 310014, Peoples R China"/>
    <s v="Chinese University of Hong Kong, Shenzhen"/>
    <s v="Zhou, LY (corresponding author), Zhejiang Juhua Co Ltd, Quzhou 324004, Peoples R China.;Zhu, SP (corresponding author), Hangzhou Juyong Technol Ltd, Hangzhou 310030, Peoples R China.;Zhu, SP (corresponding author), Chinese Univ Hong Kong, Sch Sci &amp; Engn, Shenzhen 518172, Peoples R China."/>
    <s v="fhzly@juhua.com; shipingzhu@cuhk.edu.cn"/>
    <s v="Zhu, Shiping/M-6313-2016"/>
    <s v="Zhu, Shiping/0000-0001-8551-0859"/>
    <s v=""/>
    <s v=""/>
    <s v=""/>
    <s v=""/>
    <n v="49"/>
    <n v="0"/>
    <n v="0"/>
    <n v="1"/>
    <n v="8"/>
    <s v="AMER CHEMICAL SOC"/>
    <s v="WASHINGTON"/>
    <s v="1155 16TH ST, NW, WASHINGTON, DC 20036 USA"/>
    <s v="0888-5885"/>
    <s v=""/>
    <s v=""/>
    <s v="IND ENG CHEM RES"/>
    <s v="Ind. Eng. Chem. Res."/>
    <s v="OCT 12"/>
    <x v="1"/>
    <n v="61"/>
    <n v="40"/>
    <s v=""/>
    <s v=""/>
    <s v=""/>
    <s v=""/>
    <n v="14813"/>
    <n v="14822"/>
    <s v=""/>
    <s v="10.1021/acs.iecr.2c01834"/>
    <s v="http://dx.doi.org/10.1021/acs.iecr.2c01834"/>
    <s v=""/>
    <s v=""/>
    <n v="10"/>
    <x v="64"/>
    <x v="0"/>
    <s v="Engineering"/>
    <s v="5K4GN"/>
    <s v=""/>
    <s v=""/>
    <s v=""/>
    <s v=""/>
    <s v="2023-11-15"/>
    <s v="WOS:000869686100001"/>
    <s v="View Full Record in Web of Science"/>
    <m/>
  </r>
  <r>
    <x v="132"/>
    <s v="J"/>
    <x v="131"/>
    <s v=""/>
    <s v=""/>
    <s v=""/>
    <s v="Jiao, Kedi; Wang, Chunmei; Liao, Meizhen; Ma, Jing; Kang, Dianmin; Tang, Weiming; Tucker, Joseph D.; Ma, Wei"/>
    <s v=""/>
    <s v=""/>
    <x v="131"/>
    <x v="108"/>
    <s v=""/>
    <s v=""/>
    <s v="English"/>
    <s v="Article"/>
    <s v=""/>
    <s v=""/>
    <s v=""/>
    <s v=""/>
    <s v=""/>
    <x v="125"/>
    <x v="109"/>
    <s v="Background Antiretroviral therapy (ART) adherence is still suboptimal among some key populations, highlighting the need for innovative tailored strategies. This randomized controlled trial (RCT) aimed to evaluate the effect of a differentiated digital intervention on ART adherence among men who have sex with men (MSM) living with HIV in China. Methods The two-armed parallel RCT was conducted at one HIV clinic in Jinan of China from October 19, 2020, to June 31, 2021. Men were referred by health providers to join the study and then choose one of three digital strategies-text message, only instant message, or instant message plus social media. They were assigned in a 1:1 ratio to the intervention arm or control arm using block randomization, and inside each arm, there were three groups depending on the type of delivering the message. The groups were divided according to participants' preferred digital strategies. The intervention arm received ART medication messages, medication reminders, peer education, and involved in online discussion. The control arm received messages on health behavior and nutrition. The primary outcome was self-reported optimal ART adherence, defined as not missing any doses and not having any delayed doses within a one-month period. Secondary outcomes included CD4 T cell counts, viral suppression, HIV treatment adherence self-efficacy, and quality of life. Intention-to-treat analysis with generalized linear mixed models was used to evaluate the intervention's effect. Results A total of 576 participants were enrolled, including 288 participants assigned in the intervention arm and 288 assigned in the control arm. Most were &lt;= 40 years old (79.9%) and initiated ART &lt;= 3 years (60.4%). After intervention, the proportion of participants achieving optimal ART adherence in the intervention arm was higher than in the control arm (82.9% vs 71.1%). The differentiated digital intervention significantly improved ART adherence (RR = 1.74, 95%CI 1.21-2.50). Subgroup analysis showed one-to-one instant message-based intervention significantly improved ART adherence (RR = 2.40, 95% CI 1.39-4.17). Conclusions The differentiated digital intervention improved ART adherence among MSM living with HIV in China, which could be integrated into people living with HIV (PLWH) management and further promoted in areas where PLWH can access text messaging and instant messaging services."/>
    <s v="[Jiao, Kedi; Ma, Jing; Ma, Wei] Shandong Univ, Sch Publ Hlth, Dept Epidemiol, Cheeloo Coll Med, Jinan, Shandong, Peoples R China; [Wang, Chunmei] Shandong Publ Hlth Clin Ctr, Jinan, Shandong, Peoples R China; [Liao, Meizhen; Kang, Dianmin] Shandong Ctr Dis Control &amp; Prevent, Inst AIDS STD Control &amp; Prevent, Jinan, Shandong, Peoples R China; [Tang, Weiming; Tucker, Joseph D.] Univ North Carolina Chapel Hill Project China, Guangzhou, Guangdong, Peoples R China; [Tucker, Joseph D.] London Sch Hyg &amp; Trop Med, Dept Clin Res, Fac Infect &amp; Trop Dis, London, England"/>
    <s v="Shandong University; University of London; London School of Hygiene &amp; Tropical Medicine"/>
    <s v="Ma, W (corresponding author), Shandong Univ, Sch Publ Hlth, Dept Epidemiol, Cheeloo Coll Med, Jinan, Shandong, Peoples R China.;Kang, DM (corresponding author), Shandong Ctr Dis Control &amp; Prevent, Inst AIDS STD Control &amp; Prevent, Jinan, Shandong, Peoples R China.;Tang, WM; Tucker, JD (corresponding author), Univ North Carolina Chapel Hill Project China, Guangzhou, Guangdong, Peoples R China.;Tucker, JD (corresponding author), London Sch Hyg &amp; Trop Med, Dept Clin Res, Fac Infect &amp; Trop Dis, London, England."/>
    <s v="dmkang66@163.com; weiming_tang@med.unc.edu; jdtucker@med.unc.edu; weima@sdu.edu.cn"/>
    <s v="Ma, Wei/C-4748-2019; tang, wei/HZH-5205-2023; Tang, Wei/IZQ-1283-2023; Jiao, Kedi/GQQ-9364-2022"/>
    <s v="Ma, Wei/0000-0002-8092-3280; Jiao, Kedi/0000-0002-1774-8889"/>
    <s v="National Key Research and Development Program of China [2017YFE0103800]"/>
    <s v="National Key Research and Development Program of China"/>
    <s v="The study was supported by the National Key Research and Development Program of China (grant number: 2017YFE0103800). The funders had no role in study design, data collection and analysis, decision to publish, or preparation of the manuscript."/>
    <s v=""/>
    <n v="54"/>
    <n v="3"/>
    <n v="3"/>
    <n v="4"/>
    <n v="12"/>
    <s v="BMC"/>
    <s v="LONDON"/>
    <s v="CAMPUS, 4 CRINAN ST, LONDON N1 9XW, ENGLAND"/>
    <s v="1741-7015"/>
    <s v=""/>
    <s v=""/>
    <s v="BMC MED"/>
    <s v="BMC Med."/>
    <s v="OCT 10"/>
    <x v="1"/>
    <n v="20"/>
    <n v="1"/>
    <s v=""/>
    <s v=""/>
    <s v=""/>
    <s v=""/>
    <s v=""/>
    <s v=""/>
    <n v="341"/>
    <s v="10.1186/s12916-022-02538-3"/>
    <s v="http://dx.doi.org/10.1186/s12916-022-02538-3"/>
    <s v=""/>
    <s v=""/>
    <n v="15"/>
    <x v="28"/>
    <x v="0"/>
    <s v="General &amp; Internal Medicine"/>
    <s v="5E0SZ"/>
    <n v="36210434"/>
    <s v="gold, Green Published, Green Accepted"/>
    <s v=""/>
    <s v=""/>
    <s v="2023-11-15"/>
    <s v="WOS:000865342400001"/>
    <s v="View Full Record in Web of Science"/>
    <m/>
  </r>
  <r>
    <x v="133"/>
    <s v="J"/>
    <x v="132"/>
    <s v=""/>
    <s v=""/>
    <s v=""/>
    <s v="Chen, Qingmei; Zhang, Wei; Jin, Nanshun; Wang, Xiaocheng; Dai, Peiru"/>
    <s v=""/>
    <s v=""/>
    <x v="132"/>
    <x v="4"/>
    <s v=""/>
    <s v=""/>
    <s v="English"/>
    <s v="Article"/>
    <s v=""/>
    <s v=""/>
    <s v=""/>
    <s v=""/>
    <s v=""/>
    <x v="126"/>
    <x v="110"/>
    <s v="In view of the characteristics of small- and medium-sized manufacturing enterprises and the status quo of digitalization, it is necessary to develop a more applicable digital transformation maturity model. The decision testing and evaluation laboratory method (DEMATEL) is used to provide the visual impact relationship between digital transformation criteria, and combined with the network analytic hierarchy process (ANP) to determine the mixed weight of indicators, and then fuzzy comprehensive evaluation is used to evaluate the digital maturity of small- and medium-sized manufacturing enterprises. The empirical analysis of small- and medium-sized manufacturing enterprises in Guangdong Province shows that digital strategy and information technology play a key role in the digital transformation of enterprises, and digital process and digital innovation are the main problems faced by small- and medium-sized enterprises. In addition, the digital maturity of enterprises is related to the industrial base, regional policies, industry types, etc. This study provides some guidance for the implementation path selection of small- and medium-sized enterprises' digital transformation and accelerates the digital transformation and sustainable development of small- and medium-sized manufacturing enterprises."/>
    <s v="[Chen, Qingmei; Zhang, Wei; Jin, Nanshun; Wang, Xiaocheng; Dai, Peiru] Guangdong Univ Sci &amp; Technol, Sch Management, Dongguan 523000, Peoples R China"/>
    <s v="Guangdong University of Science &amp; Technology"/>
    <s v="Chen, QM; Zhang, W (corresponding author), Guangdong Univ Sci &amp; Technol, Sch Management, Dongguan 523000, Peoples R China."/>
    <s v="amaze1211@163.com; zw1010551@whu.edu.cn"/>
    <s v=""/>
    <s v=""/>
    <s v="The 2020 Guangdong Provincial Department of Education Youth Innovation Talents Project Research on the Status Quo and Maturity Evaluation of Digital Transformation of Small and Medium sized Manufacturing Enterprises in Dongguan [2020WQNCX077]; 2021 Research on Digital Transformation of Manufacturing Industry in Guangdong Province, a project of Guangdong Provincial Department of Education to improve the scientific research capacity of key construction disciplines in Guangdong Province [2021ZDJS113]"/>
    <s v="The 2020 Guangdong Provincial Department of Education Youth Innovation Talents Project Research on the Status Quo and Maturity Evaluation of Digital Transformation of Small and Medium sized Manufacturing Enterprises in Dongguan; 2021 Research on Digital Transformation of Manufacturing Industry in Guangdong Province, a project of Guangdong Provincial Department of Education to improve the scientific research capacity of key construction disciplines in Guangdong Province"/>
    <s v="This research was funded by the following two projects. The 2020 Guangdong Provincial Department of Education Youth Innovation Talents Project Research on the Status Quo and Maturity Evaluation of Digital Transformation of Small and Medium sized Manufacturing Enterprises in Dongguan (Project No.: 2020WQNCX077), which was initiated on 28 September 2020. And the 2021 Research on Digital Transformation of Manufacturing Industry in Guangdong Province (Project No.: 2021ZDJS113), a project of Guangdong Provincial Department of Education to improve the scientific research capacity of key construction disciplines in Guangdong Province, was established on 31 December 2021."/>
    <s v=""/>
    <n v="55"/>
    <n v="5"/>
    <n v="5"/>
    <n v="43"/>
    <n v="117"/>
    <s v="MDPI"/>
    <s v="BASEL"/>
    <s v="ST ALBAN-ANLAGE 66, CH-4052 BASEL, SWITZERLAND"/>
    <s v=""/>
    <s v="2071-1050"/>
    <s v=""/>
    <s v="SUSTAINABILITY-BASEL"/>
    <s v="Sustainability"/>
    <s v="OCT"/>
    <x v="1"/>
    <n v="14"/>
    <n v="20"/>
    <s v=""/>
    <s v=""/>
    <s v=""/>
    <s v=""/>
    <s v=""/>
    <s v=""/>
    <n v="13038"/>
    <s v="10.3390/su142013038"/>
    <s v="http://dx.doi.org/10.3390/su142013038"/>
    <s v=""/>
    <s v=""/>
    <n v="23"/>
    <x v="4"/>
    <x v="3"/>
    <s v="Science &amp; Technology - Other Topics; Environmental Sciences &amp; Ecology"/>
    <s v="5P9XC"/>
    <s v=""/>
    <s v="gold"/>
    <s v=""/>
    <s v=""/>
    <s v="2023-11-15"/>
    <s v="WOS:000873494300001"/>
    <s v="View Full Record in Web of Science"/>
    <m/>
  </r>
  <r>
    <x v="134"/>
    <s v="J"/>
    <x v="133"/>
    <s v=""/>
    <s v=""/>
    <s v=""/>
    <s v="da Silva, Marcelo Rodrigues; Bussador, Alessandra; Botton, Janine Padilha; de Freitas Zara, Katya Regina; Feijo de Almeida, Giovana Goretti; Rezende, Denis Alcides"/>
    <s v=""/>
    <s v=""/>
    <x v="133"/>
    <x v="109"/>
    <s v=""/>
    <s v=""/>
    <s v="Portuguese"/>
    <s v="Article"/>
    <s v=""/>
    <s v=""/>
    <s v=""/>
    <s v=""/>
    <s v=""/>
    <x v="127"/>
    <x v="111"/>
    <s v="The cities and public services strategies enhance the production of participatory urban environments for their citizens. The objective is to analyze the strategies and urban public services that use information technology resources and relationships with the strategic digital city subprojects. The research methodology emphasized the study of multiple cases in 2 cities in Parana, Brazil. The results showed that each city sought to highlight themes that coincide with the development provided by its locations. The conclusion reiterates that there is a commitment to comply with the strategies established in plans and institutional documents applying information technology resources to improve urban management and the citizens quality of life in both cities."/>
    <s v="[da Silva, Marcelo Rodrigues] Univ Tecnol Fed Parana, Curitiba, Parana, Brazil; [da Silva, Marcelo Rodrigues] Inst Fed Parana, Curitiba, Parana, Brazil; [Bussador, Alessandra; Botton, Janine Padilha; de Freitas Zara, Katya Regina] Univ Fed Integracao Latino Amer, Foz Do Iguacu, Parana, Brazil; [Feijo de Almeida, Giovana Goretti; Rezende, Denis Alcides] Pontificia Univ Catolica Parana, Curitiba, Parana, Brazil"/>
    <s v="Universidade Tecnologica Federal do Parana; Universidade Federal do Parana; Pontificia Universidade Catolica do Parana; Instituto Federal do Parana; Universidade Federal da Integracao Latino-Americana; Pontificia Universidade Catolica do Parana"/>
    <s v="da Silva, MR (corresponding author), Univ Tecnol Fed Parana, Curitiba, Parana, Brazil.;da Silva, MR (corresponding author), Inst Fed Parana, Curitiba, Parana, Brazil."/>
    <s v="marcelo.silva@ifpr.edu.br; bussador@yahoo.com.br; janine.padilha@unila.edu.br; katya.freitas@unila.edu.br; goretti.giovana@gmail.com; denis.rezende@pucpr.br"/>
    <s v="Almeida, Giovana Goretti Feijó de/I-2491-2016"/>
    <s v="Almeida, Giovana Goretti Feijó de/0000-0003-0956-1341"/>
    <s v=""/>
    <s v=""/>
    <s v=""/>
    <s v=""/>
    <n v="42"/>
    <n v="0"/>
    <n v="0"/>
    <n v="0"/>
    <n v="0"/>
    <s v="UNIV TECNOLOGICA FED PARANA-UTFPR"/>
    <s v="CURITIBA"/>
    <s v="AV SETE SETEMBRO 3165, REBOUCAS, CURITIBA, PR 80230-901, BRAZIL"/>
    <s v="1809-0044"/>
    <s v="1984-3526"/>
    <s v=""/>
    <s v="REV TECNOL SOC"/>
    <s v="REV. TECNOL. SOC."/>
    <s v="OCT-DEC"/>
    <x v="1"/>
    <n v="18"/>
    <n v="54"/>
    <s v=""/>
    <s v=""/>
    <s v=""/>
    <s v=""/>
    <n v="294"/>
    <n v="311"/>
    <s v=""/>
    <s v="10.3895/rts.v18n54.15324"/>
    <s v="http://dx.doi.org/10.3895/rts.v18n54.15324"/>
    <s v=""/>
    <s v=""/>
    <n v="18"/>
    <x v="31"/>
    <x v="2"/>
    <s v="Social Sciences - Other Topics"/>
    <s v="8U3VM"/>
    <s v=""/>
    <s v="gold"/>
    <s v=""/>
    <s v=""/>
    <s v="2023-11-15"/>
    <s v="WOS:000929883700018"/>
    <s v="View Full Record in Web of Science"/>
    <m/>
  </r>
  <r>
    <x v="135"/>
    <s v="J"/>
    <x v="134"/>
    <s v=""/>
    <s v=""/>
    <s v=""/>
    <s v="Deng, Tianyu; Qiao, Limeng; Yao, Xun; Chen, Shuangying; Tang, Xiaowo"/>
    <s v=""/>
    <s v=""/>
    <x v="134"/>
    <x v="4"/>
    <s v=""/>
    <s v=""/>
    <s v="English"/>
    <s v="Article"/>
    <s v=""/>
    <s v=""/>
    <s v=""/>
    <s v=""/>
    <s v=""/>
    <x v="128"/>
    <x v="112"/>
    <s v="With the advent of the smart economy, Chinese digital platform companies have begun the process of digital innovation. The sudden outbreak of the COVID-19 epidemic in early 2020 has added a strong impulse to the acceleration of this process, highlighting the unique characteristics of the platform economy in resource allocation. Although digital platforms have already entered people's daily lives, the profit mechanism of digital platforms remains a black box to be cracked for the industry. The main contribution of this paper is to propose a framework model for the profit mechanism of digital platforms, which to a certain extent solves the problems essential to the digital realm faced by many traditional enterprises in the Internet age-knowing that the profit theory of traditional monopolies is not suitable for the rapidly changing internet economy, but that most of the time people still must use it. In this new profit framework, we first use the symbiotic logic of value sharing to explain the underlying logic of platform profitability; secondly, from the perspective of resource complementarity, we find that the key to digital platform companies' profitability lies in the symbiotic synergy between platform companies and massive userbases; lastly, our study finds that the profit condition of platform enterprises is digital capability, not system possession. This article will analyze the bottom layer of the digital economy and, by identifying the various drawbacks of the traditional industrial economic monopoly theory, propose three key factors for the profitability of platform companies in the digital age: flexible strategy, digital capabilities, and symbiotic synergy capabilities. On this basis, a theoretical model of the profit of a digital platform is constructed. Research shows that the hybrid structure of digital platforms and the need for external diversification together lead to a platform's resilience strategy. The realization process of the platform's strategic flexibility and the process of consumers obtaining the residual value will lead to an explosion in network effects, causing the platform and users to complete value co-creation and realize value sharing. The implementation of a flexible platform strategy also promotes the further development of a differentiation strategy and a more-refined division of labor for manufacturers, lowers the barriers-to-entry in the industry, and enables the platform and the manufacturers to realize value co-creation. On the one hand, platform enterprises can obtain greater market performance; on the other hand, users' personalized needs can be more satisfied."/>
    <s v="[Deng, Tianyu; Qiao, Limeng; Yao, Xun] Southwest Minzu Univ, Sch Business, Chengdu 610041, Peoples R China; [Chen, Shuangying; Tang, Xiaowo] Univ Elect Sci &amp; Technol, Sch Econ &amp; Management, Chengdu 611731, Peoples R China"/>
    <s v="Southwest Minzu University; University of Electronic Science &amp; Technology of China"/>
    <s v="Qiao, LM (corresponding author), Southwest Minzu Univ, Sch Business, Chengdu 610041, Peoples R China."/>
    <s v="mianding@126.com"/>
    <s v=""/>
    <s v="Qiao, limeng/0000-0003-2355-7023"/>
    <s v="National Natural Science Foundation of China [72202186]; National Social Science Foundation of China [71672020, 72072020]; Research on the law of high-quality development of industrial digitization and digital industrialization from the perspective of circular economy [2021SYB10]; Research on the role of industrial digitization and digital industrialization in digital China and the law of high-quality development [4XHJJ-2102]"/>
    <s v="National Natural Science Foundation of China(National Natural Science Foundation of China (NSFC)); National Social Science Foundation of China(National Office of Philosophy and Social Sciences); Research on the law of high-quality development of industrial digitization and digital industrialization from the perspective of circular economy; Research on the role of industrial digitization and digital industrialization in digital China and the law of high-quality development"/>
    <s v="This research was funded by [National Natural Science Foundation of China] grant number [72202186]; [National Social Science Foundation of China] grant number [72072020]; [National Social Science Foundation of China] grant number [71672020]; [Research on the law of high-quality development of industrial digitization and digital industrialization from the perspective of circular economy] grant number [2021SYB10]; [Research on the role of industrial digitization and digital industrialization in digital China and the law of high-quality development] grant number [4XHJJ-2102]."/>
    <s v=""/>
    <n v="74"/>
    <n v="3"/>
    <n v="3"/>
    <n v="25"/>
    <n v="57"/>
    <s v="MDPI"/>
    <s v="BASEL"/>
    <s v="ST ALBAN-ANLAGE 66, CH-4052 BASEL, SWITZERLAND"/>
    <s v=""/>
    <s v="2071-1050"/>
    <s v=""/>
    <s v="SUSTAINABILITY-BASEL"/>
    <s v="Sustainability"/>
    <s v="OCT"/>
    <x v="1"/>
    <n v="14"/>
    <n v="19"/>
    <s v=""/>
    <s v=""/>
    <s v=""/>
    <s v=""/>
    <s v=""/>
    <s v=""/>
    <n v="11954"/>
    <s v="10.3390/su141911954"/>
    <s v="http://dx.doi.org/10.3390/su141911954"/>
    <s v=""/>
    <s v=""/>
    <n v="18"/>
    <x v="4"/>
    <x v="3"/>
    <s v="Science &amp; Technology - Other Topics; Environmental Sciences &amp; Ecology"/>
    <s v="5G8SO"/>
    <s v=""/>
    <s v="gold"/>
    <s v=""/>
    <s v=""/>
    <s v="2023-11-15"/>
    <s v="WOS:000867262000001"/>
    <s v="View Full Record in Web of Science"/>
    <m/>
  </r>
  <r>
    <x v="136"/>
    <s v="J"/>
    <x v="135"/>
    <s v=""/>
    <s v=""/>
    <s v=""/>
    <s v="Ibidunni, Ayodotun Stephen; Ayeni, Adebanji William Adejuwon; Ogundana, Oyedele Martins; Otokiti, Bisayo; Mohalajeng, Lerato"/>
    <s v=""/>
    <s v=""/>
    <x v="135"/>
    <x v="4"/>
    <s v=""/>
    <s v=""/>
    <s v="English"/>
    <s v="Article"/>
    <s v=""/>
    <s v=""/>
    <s v=""/>
    <s v=""/>
    <s v=""/>
    <x v="129"/>
    <x v="113"/>
    <s v="There exists a noticeable void in the literature about strategies that business operators, especially those in highly vulnerable economies, can adapt to sustain their survival and to achieve growth in economically turbulent times. This study investigated strategies that can support the viability and survival of businesses in times of environmental disruptions. The study adopted a qualitative research design that involved the interview of 31 business owners across different sectoral groups including fashion and telecommunication that are operating in Nigeria's Small and Medium Enterprises (SMEs) sector. The interview sessions were audio recorded, transcribed verbatim and thematically analysed. The findings reveal that amid disruptions, the business owners were resilient and established diverse digital strategies that helped them to keep their businesses afloat throughout the time of disruption. This finding contributes to the field of entrepreneurship as it offers practical strategies for supporting business owners during times of disruptions, especially in a developing country context."/>
    <s v="[Ibidunni, Ayodotun Stephen] Chrisl Univ, Dept Business Adm, Abeokuta 110118, Nigeria; [Ibidunni, Ayodotun Stephen] Shaveh Consulting, Int Ctr Policy Res &amp; Ind Linkages ICePRIL, Lagos 106104, Nigeria; [Ibidunni, Ayodotun Stephen] Covenant Univ, Ctr Econ Policy &amp; Dev Res CEPDeR, Ota 112104, Nigeria; [Ayeni, Adebanji William Adejuwon] Landmark Univ, Dept Business Adm, Omu Aran 251103, Nigeria; [Ogundana, Oyedele Martins] Nottingham Trent Univ, Accounting &amp; Finance Dept, Nottingham NG1 4FQ, England; [Otokiti, Bisayo] Kwara State Univ, Dept Business &amp; Entrepreneurship, Malete 241103, Nigeria; [Mohalajeng, Lerato] North West Univ, Dept Business Management, ZA-2531 Potchefstroom, South Africa"/>
    <s v="Covenant University; Landmark University; Nottingham Trent University; North West University - South Africa"/>
    <s v="Ibidunni, AS (corresponding author), Chrisl Univ, Dept Business Adm, Abeokuta 110118, Nigeria.;Ibidunni, AS (corresponding author), Shaveh Consulting, Int Ctr Policy Res &amp; Ind Linkages ICePRIL, Lagos 106104, Nigeria.;Ibidunni, AS (corresponding author), Covenant Univ, Ctr Econ Policy &amp; Dev Res CEPDeR, Ota 112104, Nigeria."/>
    <s v="aibidunni@chrislanduniversity.edu.ng"/>
    <s v="Ogundana, Oyedele Martins/R-9840-2018; Ayeni, Adebanji Adejuwon Ayobami William/R-4754-2017"/>
    <s v="Ogundana, Oyedele Martins/0000-0002-0121-7231; Ibidunni, Ayodotun Stephen/0000-0001-5790-3508; Ayeni, Adebanji Adejuwon Ayobami William/0000-0002-2409-0835"/>
    <s v=""/>
    <s v=""/>
    <s v=""/>
    <s v=""/>
    <n v="77"/>
    <n v="1"/>
    <n v="1"/>
    <n v="4"/>
    <n v="15"/>
    <s v="MDPI"/>
    <s v="BASEL"/>
    <s v="ST ALBAN-ANLAGE 66, CH-4052 BASEL, SWITZERLAND"/>
    <s v=""/>
    <s v="2071-1050"/>
    <s v=""/>
    <s v="SUSTAINABILITY-BASEL"/>
    <s v="Sustainability"/>
    <s v="OCT"/>
    <x v="1"/>
    <n v="14"/>
    <n v="20"/>
    <s v=""/>
    <s v=""/>
    <s v=""/>
    <s v=""/>
    <s v=""/>
    <s v=""/>
    <n v="13549"/>
    <s v="10.3390/su142013549"/>
    <s v="http://dx.doi.org/10.3390/su142013549"/>
    <s v=""/>
    <s v=""/>
    <n v="14"/>
    <x v="4"/>
    <x v="3"/>
    <s v="Science &amp; Technology - Other Topics; Environmental Sciences &amp; Ecology"/>
    <s v="5P8DU"/>
    <s v=""/>
    <s v="Green Accepted, gold"/>
    <s v=""/>
    <s v=""/>
    <s v="2023-11-15"/>
    <s v="WOS:000873375900001"/>
    <s v="View Full Record in Web of Science"/>
    <m/>
  </r>
  <r>
    <x v="137"/>
    <s v="J"/>
    <x v="136"/>
    <s v=""/>
    <s v=""/>
    <s v=""/>
    <s v="Nicolau, Cristina; Nichifor, Eliza; Munteanu, Daniel; Barbulescu, Oana"/>
    <s v=""/>
    <s v=""/>
    <x v="136"/>
    <x v="4"/>
    <s v=""/>
    <s v=""/>
    <s v="English"/>
    <s v="Article"/>
    <s v=""/>
    <s v=""/>
    <s v=""/>
    <s v=""/>
    <s v=""/>
    <x v="130"/>
    <x v="114"/>
    <s v="The digital environment and the businesses can no longer exist separately; the way in which entrepreneurs adapt to digital environments determines the future of the companies. By aiming to understand Romanian entrepreneurs' openness and the assets disposed for digitalisation, the authors performed a study which revealed different managerial approaches used in order to achieve digital entrepreneurial sustainability. With exploratory research, they (i) identified the strategic approaches of the businesses within the digital environment, (ii) analysed the importance of strategic objectives and the entrepreneurial vision, (iii) understood the long-term strategies and the costs of digitalisation, and (iv) analysed the future of the business in terms of cyber security. The study highlighted that no Romanian entrepreneur placed digitalisation as an independent objective for its company, showing that companies needed a proper digitalisation strategy correlated to the opportunities and threats of the business environment. Moreover, the Romanian entrepreneurs' knowledge in cyber security was low even though they were aware that it was imperative to control critical information and develop data security strategy so as to avoid data theft/loss in the company. All the findings favoured conceptualising a new Digital Sustainable Entrepreneurship Model based on owners' entrepreneurial visions and companies' strategic objectives alike, a guide-framework to remain competitive in a sustainable, ever-growing market."/>
    <s v="[Nicolau, Cristina; Nichifor, Eliza; Barbulescu, Oana] Transilvania Univ Brasov, Fac Econ Sci &amp; Business Adm, Brasov 500036, Romania; [Munteanu, Daniel] Transilvania Univ Brasov, Fac Mat Sci &amp; Engn, Brasov 500036, Romania"/>
    <s v="Transylvania University of Brasov; Transylvania University of Brasov"/>
    <s v="Nicolau, C (corresponding author), Transilvania Univ Brasov, Fac Econ Sci &amp; Business Adm, Brasov 500036, Romania."/>
    <s v="cristina.nicolau@unitbv.ro"/>
    <s v="Nicolau, Cristina/E-8312-2015"/>
    <s v="Nicolau, Cristina/0000-0002-7180-2102; NICHIFOR, ELIZA/0000-0003-2838-6155; Munteanu, Daniel/0000-0001-6749-6766"/>
    <s v="Transilvania University of Brasov [CNFISFDI-2022-0012]"/>
    <s v="Transilvania University of Brasov"/>
    <s v="The research was funded by Transilvania University of Brasov within the project CNFISFDI-2022-0012 Innovation and Entrepreneurship at Transilvania University of Brasov-INOVANT."/>
    <s v=""/>
    <n v="91"/>
    <n v="0"/>
    <n v="0"/>
    <n v="7"/>
    <n v="11"/>
    <s v="MDPI"/>
    <s v="BASEL"/>
    <s v="ST ALBAN-ANLAGE 66, CH-4052 BASEL, SWITZERLAND"/>
    <s v=""/>
    <s v="2071-1050"/>
    <s v=""/>
    <s v="SUSTAINABILITY-BASEL"/>
    <s v="Sustainability"/>
    <s v="OCT"/>
    <x v="1"/>
    <n v="14"/>
    <n v="20"/>
    <s v=""/>
    <s v=""/>
    <s v=""/>
    <s v=""/>
    <s v=""/>
    <s v=""/>
    <n v="13636"/>
    <s v="10.3390/su142013636"/>
    <s v="http://dx.doi.org/10.3390/su142013636"/>
    <s v=""/>
    <s v=""/>
    <n v="21"/>
    <x v="4"/>
    <x v="3"/>
    <s v="Science &amp; Technology - Other Topics; Environmental Sciences &amp; Ecology"/>
    <s v="5Q4MQ"/>
    <s v=""/>
    <s v="gold"/>
    <s v=""/>
    <s v=""/>
    <s v="2023-11-15"/>
    <s v="WOS:000873808300001"/>
    <s v="View Full Record in Web of Science"/>
    <m/>
  </r>
  <r>
    <x v="138"/>
    <s v="J"/>
    <x v="137"/>
    <s v=""/>
    <s v=""/>
    <s v=""/>
    <s v="Ovrelid, Egil"/>
    <s v=""/>
    <s v=""/>
    <x v="137"/>
    <x v="110"/>
    <s v=""/>
    <s v=""/>
    <s v="English"/>
    <s v="Article"/>
    <s v=""/>
    <s v=""/>
    <s v=""/>
    <s v=""/>
    <s v=""/>
    <x v="131"/>
    <x v="115"/>
    <s v="Higher education is a key pillar in constructing new knowledge economies for the 21st century, and the digitalization of higher education is a central focus area for national authorities. Visionary discourses from authorities state that the decision-making authority for digital strategies should be centralized to the domain of management. Digitalization is, however, driven by key features of modern technology and may also lead to the transformation of traditional educational methods as well as educational practices. Since the university contains several disciplines, different strategies can be used when products or processes within the disciplines are digitalized. It is important to consider in the ways that different disciplines can proceed to digitalize their educational practices. Based on these interests, our research question is as follows: how do digital strategies in higher education emerge, and how do they align with the educational context? Through a qualitative case study with interviews, participation in workshops, and document analyses, we investigated two digitalization efforts in the fields of medicine and law. We found that the two classical disciplines' strategic approaches differed substantially. Based on the findings, our main contribution is a digitalization model with two archetypes, namely digital transformation strategy and digital innovation strategy. The model highlight the main object of the respective strategies, but also the institutional reaction to digitalization efforts. An implication from our study is the demonstration of how specific faculties adapt digital strategies to educational practices. This may sometimes lead to the transformation of educational practices, while other times more incremental moderate changes may be implemented. From a practical point of view, policymakers, politicians, educational management, and professionals need knowledge and expertise about the implications of digital strategies for educational practices. Our contribution, we propose, strengthens the understanding of strategies within digital infrastructures in higher education."/>
    <s v="[Ovrelid, Egil] Univ Oslo, Dept Informat, N-0373 Oslo, Norway"/>
    <s v="University of Oslo"/>
    <s v="Ovrelid, E (corresponding author), Univ Oslo, Dept Informat, N-0373 Oslo, Norway."/>
    <s v="egilov@ifi.uio.no"/>
    <s v=""/>
    <s v="Ovrelid, Egil/0000-0002-9946-4686"/>
    <s v=""/>
    <s v=""/>
    <s v=""/>
    <s v=""/>
    <n v="42"/>
    <n v="0"/>
    <n v="0"/>
    <n v="4"/>
    <n v="14"/>
    <s v="MDPI"/>
    <s v="BASEL"/>
    <s v="ST ALBAN-ANLAGE 66, CH-4052 BASEL, SWITZERLAND"/>
    <s v=""/>
    <s v="2227-7102"/>
    <s v=""/>
    <s v="EDUC SCI"/>
    <s v="Educ. Sci."/>
    <s v="OCT"/>
    <x v="1"/>
    <n v="12"/>
    <n v="10"/>
    <s v=""/>
    <s v=""/>
    <s v=""/>
    <s v=""/>
    <s v=""/>
    <s v=""/>
    <n v="711"/>
    <s v="10.3390/educsci12100711"/>
    <s v="http://dx.doi.org/10.3390/educsci12100711"/>
    <s v=""/>
    <s v=""/>
    <n v="15"/>
    <x v="39"/>
    <x v="2"/>
    <s v="Education &amp; Educational Research"/>
    <s v="5R0CL"/>
    <s v=""/>
    <s v="gold"/>
    <s v=""/>
    <s v=""/>
    <s v="2023-11-15"/>
    <s v="WOS:000874188300001"/>
    <s v="View Full Record in Web of Science"/>
    <m/>
  </r>
  <r>
    <x v="139"/>
    <s v="J"/>
    <x v="138"/>
    <s v=""/>
    <s v=""/>
    <s v=""/>
    <s v="Sakas, Damianos P.; Giannakopoulos, Nikolaos T.; Terzi, Marina C.; Kamperos, Ioannis Dimitrios G.; Nasiopoulos, Dimitrios K.; Reklitis, Dimitrios P.; Kanellos, Nikos"/>
    <s v=""/>
    <s v=""/>
    <x v="138"/>
    <x v="111"/>
    <s v=""/>
    <s v=""/>
    <s v="English"/>
    <s v="Article"/>
    <s v=""/>
    <s v=""/>
    <s v=""/>
    <s v=""/>
    <s v=""/>
    <x v="132"/>
    <x v="116"/>
    <s v="From the outset of the war in Ukraine, extensive crises in many sectors of the world economy have occurred, with firms offering services and products both online and through physical stores facing serious problems. These problems are mainly related to higher operational costs and the lack of website visibility. For this research study, centralized payment network organizations (CPNs), firms providing online payment services through their networks, were selected and analytical data from their websites were collected for a period of 6 months. The main focus of this research study is to evaluate benefits and the role of social media strategies for CPNs' digital marketing performance during crisis events and to also assess their utility as a risk-management tool. Following data collection, the authors performed statistical processes (regression and correlation analysis) and stationary modeling with Fuzzy Cognitive Mapping (FCM) tools; finally, dynamic simulations were performed by utilizing Agent-Based Models (ABM). The authors suggest that various variables of CPNs' social media platforms can aid in improving their digital marketing performance and, using proper analysis, can lead to higher user social engagement, thus rendering social media strategy a useful risk-management tool."/>
    <s v="[Sakas, Damianos P.; Giannakopoulos, Nikolaos T.; Terzi, Marina C.; Kamperos, Ioannis Dimitrios G.; Nasiopoulos, Dimitrios K.; Reklitis, Dimitrios P.; Kanellos, Nikos] Agr Univ Athens, Sch Appl Econ &amp; Social Sci, Dept Agribusiness &amp; Supply Chain Management, BICTEVAC LAB,Business Informat &amp; Commun Tech Valu, Athens 11855, Greece"/>
    <s v="Agricultural University of Athens"/>
    <s v="Giannakopoulos, NT; Reklitis, DP (corresponding author), Agr Univ Athens, Sch Appl Econ &amp; Social Sci, Dept Agribusiness &amp; Supply Chain Management, BICTEVAC LAB,Business Informat &amp; Commun Tech Valu, Athens 11855, Greece."/>
    <s v="n.giannakopoulos@aua.gr; drekleitis@aua.gr"/>
    <s v="KAMPEROS, IOANNIS/JOJ-6198-2023; REKLITIS, Dimitrios P./HDO-1260-2022; Giannakopoulos, Nikolaos/HZJ-9352-2023"/>
    <s v="REKLITIS, Dimitrios P./0000-0001-6857-6012; Sakas, Damianos/0000-0002-2253-8966; KAMPEROS, IOANNIS DIMITRIOS/0000-0002-0760-3360; Nasiopoulos, Dimitrios/0000-0001-7386-1029; Giannakopoulos, Nikolaos T./0000-0002-4480-5893"/>
    <s v=""/>
    <s v=""/>
    <s v=""/>
    <s v=""/>
    <n v="108"/>
    <n v="8"/>
    <n v="8"/>
    <n v="6"/>
    <n v="8"/>
    <s v="MDPI"/>
    <s v="BASEL"/>
    <s v="ST ALBAN-ANLAGE 66, CH-4052 BASEL, SWITZERLAND"/>
    <s v=""/>
    <s v="2227-9717"/>
    <s v=""/>
    <s v="PROCESSES"/>
    <s v="Processes"/>
    <s v="OCT"/>
    <x v="1"/>
    <n v="10"/>
    <n v="10"/>
    <s v=""/>
    <s v=""/>
    <s v=""/>
    <s v=""/>
    <s v=""/>
    <s v=""/>
    <n v="1995"/>
    <s v="10.3390/pr10101995"/>
    <s v="http://dx.doi.org/10.3390/pr10101995"/>
    <s v=""/>
    <s v=""/>
    <n v="25"/>
    <x v="64"/>
    <x v="0"/>
    <s v="Engineering"/>
    <s v="5Q0JV"/>
    <s v=""/>
    <s v="gold"/>
    <s v=""/>
    <s v=""/>
    <s v="2023-11-15"/>
    <s v="WOS:000873527800001"/>
    <s v="View Full Record in Web of Science"/>
    <m/>
  </r>
  <r>
    <x v="140"/>
    <s v="J"/>
    <x v="139"/>
    <s v=""/>
    <s v=""/>
    <s v=""/>
    <s v="Wang, Yanyong; Guo, Yingdong"/>
    <s v=""/>
    <s v=""/>
    <x v="139"/>
    <x v="112"/>
    <s v=""/>
    <s v=""/>
    <s v="English"/>
    <s v="Article"/>
    <s v=""/>
    <s v=""/>
    <s v=""/>
    <s v=""/>
    <s v=""/>
    <x v="133"/>
    <x v="1"/>
    <s v="Corporate risk-taking, as an essential factor in corporation development, is influenced by the enterprise's strategic decision-making. Today, with the rapid development of science and technology, digital technology has a profound effect on the whole society and enterprises. Then, one question is proposed: how should enterprises make strate-gic decisions to deal with the current opportunities and challenges, enhance their own corporate risk-taking, and then achieve high-quality development? We collected the data from companies listed on China's Shenzhen Stock Exchange and Shanghai Stock Exchange from zo1o to zozo. Starting from the corporate risk-taking perspective, we conducted an empirical analysis to validate the relationship between digital transformation of corporations and corporate risk-taking. We found that digital transformation of corporations enhanced corporate risk-taking. The enhanced effect was realized as digital trans-formation improved the information disclosure quality and asset utilization. The enhanced effect was even greater if the enterprise occupied a less favorable competi-tive position or received less media attention. This paper reviews the literature con-cerning economic consequences of enterprise digital transformation, shed new light on the enterprise's selection of digital strategies to achieve sustainable development, and guides the digital transformation of an enterprise."/>
    <s v="[Wang, Yanyong; Guo, Yingdong] Shandong Jianzhu Univ, Sch Business, Jinan, Peoples R China"/>
    <s v="Shandong Jianzhu University"/>
    <s v="Wang, YY (corresponding author), Shandong Jianzhu Univ, Sch Business, Jinan, Peoples R China."/>
    <s v="wang_689w@163.com; guo_5251220@163.com"/>
    <s v=""/>
    <s v=""/>
    <s v="National Natural Science Foundation of China, Research on the driving mechanism of China's manufacturing industry's green innovation strategy upgrade under the volatility of performance feedback-Dynamic boundary effect based on institutional fitting struc [72174108]"/>
    <s v="National Natural Science Foundation of China, Research on the driving mechanism of China's manufacturing industry's green innovation strategy upgrade under the volatility of performance feedback-Dynamic boundary effect based on institutional fitting struc"/>
    <s v="This study is funded by the National Natural Science Foundation of China, Research on the driving mechanism of China's manufacturing industry's green innovation strategy upgrade under the volatility of performance feedback-Dynamic boundary effect based on institutional fitting structure (72174108)."/>
    <s v=""/>
    <n v="46"/>
    <n v="0"/>
    <n v="0"/>
    <n v="47"/>
    <n v="74"/>
    <s v="BRILL"/>
    <s v="LEIDEN"/>
    <s v="PLANTIJNSTRAAT 2, P O BOX 9000, 2300 PA LEIDEN, NETHERLANDS"/>
    <s v="1569-2094"/>
    <s v="1569-2108"/>
    <s v=""/>
    <s v="AFR ASIAN STUD"/>
    <s v="Afr. Asian Stud."/>
    <s v="OCT"/>
    <x v="1"/>
    <n v="21"/>
    <n v="4"/>
    <s v=""/>
    <s v=""/>
    <s v=""/>
    <s v=""/>
    <n v="309"/>
    <n v="343"/>
    <s v=""/>
    <s v="10.1163/15692108-12341569"/>
    <s v="http://dx.doi.org/10.1163/15692108-12341569"/>
    <s v=""/>
    <s v=""/>
    <n v="35"/>
    <x v="65"/>
    <x v="1"/>
    <s v="Area Studies"/>
    <s v="6R3PM"/>
    <s v=""/>
    <s v=""/>
    <s v=""/>
    <s v=""/>
    <s v="2023-11-15"/>
    <s v="WOS:000892219400003"/>
    <s v="View Full Record in Web of Science"/>
    <m/>
  </r>
  <r>
    <x v="141"/>
    <s v="J"/>
    <x v="140"/>
    <s v=""/>
    <s v=""/>
    <s v=""/>
    <s v="Mikalef, Patrick; Lemmer, Kristina; Schaefer, Cindy; Ylinen, Maija; Fjortoft, Siw Olsen; Torvatn, Hans Yngvar; Gupta, Manjul; Niehaves, Bjoern"/>
    <s v=""/>
    <s v=""/>
    <x v="140"/>
    <x v="113"/>
    <s v=""/>
    <s v=""/>
    <s v="English"/>
    <s v="Article"/>
    <s v=""/>
    <s v=""/>
    <s v=""/>
    <s v=""/>
    <s v=""/>
    <x v="134"/>
    <x v="117"/>
    <s v="Artificial Intelligence (AI) is gradually becoming an integral part of the digital strategy of organizations. Yet, the use of AI in public organizations in still lagging significantly compared to private organizations. Prior literature looking into aspects that facilitate adoption and use of AI has concentrated on challenges concerning technical aspects of AI technologies, providing little insight regarding the organizational deployment of AI, particularly in public organizations. Building on this gap, this study seeks to examine what aspects enable public organizations to develop AI capabilities. To answer this question, we built an integrated and extended model from the Technology-Organization-Environment framework (TOE) and asked high-level technology managers from municipalities in Europe about factors that influence their development of AI capabilities. We collected data from 91 municipalities from three European countries (i.e., Germany, Norway, and Finland) and analyzed responses by means of structural equation modeling. Our findings indicate that five factors - i.e. perceived financial costs, organizational innovativeness, perceived governmental pressure, government incentives, regulatory support have an impact on the development of AI capabilities. We also find that perceived citizen pressure and perceived value of AI solutions are not important determinants of AI capability formation. Our findings bear the potential to stimulate a more reflected adoption of AI supporting managers in public organizations to develop AI capabilities."/>
    <s v="[Mikalef, Patrick; Fjortoft, Siw Olsen; Torvatn, Hans Yngvar] SINTEF Digital, Dept Technol Management, SP Andersens Vei 3, N-7032 Trondheim, Norway; [Lemmer, Kristina; Schaefer, Cindy; Niehaves, Bjoern] Univ Siegen, Inst Business &amp; Informat Syst Engn, Siegen, Germany; [Ylinen, Maija] Tampere Univ Technol, Dept Ind Management, Tampere, Finland; [Gupta, Manjul] Florida Int Univ, Coll Business, Dept Informat Syst &amp; Business Analyt, Miami, FL 33199 USA"/>
    <s v="SINTEF; Universitat Siegen; Tampere University; State University System of Florida; Florida International University"/>
    <s v="Mikalef, P (corresponding author), SINTEF Digital, Dept Technol Management, SP Andersens Vei 3, N-7032 Trondheim, Norway."/>
    <s v="patrick.mikalef@sintef.no"/>
    <s v="Mikalef, Patrick/GVU-5020-2022"/>
    <s v="Mikalef, Patrick/0000-0002-6788-2277; Ylinen, Maija Tuulikki/0000-0001-6331-7847"/>
    <s v="Slovenian Research Agency [P5-0410]"/>
    <s v="Slovenian Research Agency(Slovenian Research Agency - Slovenia)"/>
    <s v="The authors acknowledge the financial support from the Slovenian Research Agency (research core funding No. P5-0410)."/>
    <s v=""/>
    <n v="94"/>
    <n v="35"/>
    <n v="35"/>
    <n v="57"/>
    <n v="114"/>
    <s v="ELSEVIER INC"/>
    <s v="SAN DIEGO"/>
    <s v="525 B STREET, STE 1900, SAN DIEGO, CA 92101-4495 USA"/>
    <s v="0740-624X"/>
    <s v="1872-9517"/>
    <s v=""/>
    <s v="GOV INFORM Q"/>
    <s v="Gov. Inf. Q."/>
    <s v="OCT"/>
    <x v="1"/>
    <n v="39"/>
    <n v="4"/>
    <s v=""/>
    <s v=""/>
    <s v=""/>
    <s v=""/>
    <s v=""/>
    <s v=""/>
    <n v="101596"/>
    <s v="10.1016/j.giq.2021.101596"/>
    <s v="http://dx.doi.org/10.1016/j.giq.2021.101596"/>
    <s v=""/>
    <s v="SEP 2022"/>
    <n v="15"/>
    <x v="66"/>
    <x v="1"/>
    <s v="Information Science &amp; Library Science"/>
    <s v="6M4NR"/>
    <s v=""/>
    <s v="hybrid"/>
    <s v=""/>
    <s v=""/>
    <s v="2023-11-15"/>
    <s v="WOS:000888846500001"/>
    <s v="View Full Record in Web of Science"/>
    <m/>
  </r>
  <r>
    <x v="142"/>
    <s v="J"/>
    <x v="141"/>
    <s v=""/>
    <s v=""/>
    <s v=""/>
    <s v="Shojaei, Reyhaneh S.; Burgess, Gemma"/>
    <s v=""/>
    <s v=""/>
    <x v="141"/>
    <x v="9"/>
    <s v=""/>
    <s v=""/>
    <s v="English"/>
    <s v="Article"/>
    <s v=""/>
    <s v=""/>
    <s v=""/>
    <s v=""/>
    <s v=""/>
    <x v="135"/>
    <x v="118"/>
    <s v="Digital technologies, in particular, Building Information Modelling (BIM), are claimed to provide an effective and efficient solution for tackling the plethora of problems in the UK construction industry, including time and cost overruns, low quality, and inefficient use of resources. Despite the potential benefits and government promotion, the adoption of digital innovation in the construction sector remains low. An extensive range of existing liter-ature has discussed the constraints hampering the widespread uptake in the construction industry. However, most provide quantitative data, preferring to focus on the technical constraints; only a few examine the theo-retical framework underpinning the barriers to increased adoption. This study responds to the call of Davis et al. (2014) to apply socio-technical theory to new areas, and uses a qualitative approach to explore the non-technical barriers to the take up of digital innovation in the construction industry. A number of non-technical barriers that constrain industry uptake (e.g., sociocultural, individual) were identified in a series of interviews, and are grouped under six analytical dimensions, encompassing people, culture, process and procedure, technology, goals and infrastructure. Our findings show that collaborative culture, driven leaders with a human-centric mindset who believe in the changes being implemented, and workforce training and upskilling are all needed for the successful adoption of digital technology in construction firms. Making managers and the wider workforce aware of the benefits of digital innovation results in enhanced perceptions of, and openness to, the adoption of new technologies. Creating a clear digital strategy, early involvement of the supply chain, keeping employees on board during the digitisation journey, and effective communication and coordination, help construction com-panies to tackle challenges related to process and procedure."/>
    <s v="[Shojaei, Reyhaneh S.; Burgess, Gemma] Univ Cambridge, Cambridge Ctr Housing &amp; Planning Res, Dept Land Econ, 19 Silver St, Cambridge CB3 9EP, England; [Shojaei, Reyhaneh S.] Univ Cambridge, Ctr Digital Built Britain, 21 JJ Thomson Ave, Cambridge CB3 0FA, England"/>
    <s v="University of Cambridge; University of Cambridge"/>
    <s v="Shojaei, RS (corresponding author), Univ Cambridge, Cambridge Ctr Housing &amp; Planning Res, Dept Land Econ, 19 Silver St, Cambridge CB3 9EP, England.;Shojaei, RS (corresponding author), Univ Cambridge, Ctr Digital Built Britain, 21 JJ Thomson Ave, Cambridge CB3 0FA, England."/>
    <s v="rss64@cam.ac.uk; glb36@cam.ac.uk"/>
    <s v=""/>
    <s v="Shojaei, Reyhaneh/0000-0003-1897-8245"/>
    <s v="UK Research and Innovation through the Industrial Strategy Fund"/>
    <s v="UK Research and Innovation through the Industrial Strategy Fund"/>
    <s v="This research forms part of the Centre for Digital Built Britain's (CDBB) work at the University of Cambridge within the Construction Innovation Hub. The Construction Innovation Hub is funded by UK Research and Innovation through the Industrial Strategy Fund."/>
    <s v=""/>
    <n v="93"/>
    <n v="6"/>
    <n v="6"/>
    <n v="23"/>
    <n v="84"/>
    <s v="ELSEVIER SCIENCE INC"/>
    <s v="NEW YORK"/>
    <s v="STE 800, 230 PARK AVE, NEW YORK, NY 10169 USA"/>
    <s v="0040-1625"/>
    <s v="1873-5509"/>
    <s v=""/>
    <s v="TECHNOL FORECAST SOC"/>
    <s v="Technol. Forecast. Soc. Chang."/>
    <s v="DEC"/>
    <x v="1"/>
    <n v="185"/>
    <s v=""/>
    <s v=""/>
    <s v=""/>
    <s v=""/>
    <s v=""/>
    <s v=""/>
    <s v=""/>
    <n v="122036"/>
    <s v="10.1016/j.techfore.2022.122036"/>
    <s v="http://dx.doi.org/10.1016/j.techfore.2022.122036"/>
    <s v=""/>
    <s v="SEP 2022"/>
    <n v="13"/>
    <x v="9"/>
    <x v="1"/>
    <s v="Business &amp; Economics; Public Administration"/>
    <s v="5A9OW"/>
    <s v=""/>
    <s v="hybrid, Green Published"/>
    <s v=""/>
    <s v=""/>
    <s v="2023-11-15"/>
    <s v="WOS:000863209400005"/>
    <s v="View Full Record in Web of Science"/>
    <m/>
  </r>
  <r>
    <x v="143"/>
    <s v="J"/>
    <x v="142"/>
    <s v=""/>
    <s v=""/>
    <s v=""/>
    <s v="Chapano, Munodani; Mey, Michelle R.; Werner, Amanda"/>
    <s v=""/>
    <s v=""/>
    <x v="142"/>
    <x v="114"/>
    <s v=""/>
    <s v=""/>
    <s v="English"/>
    <s v="Article"/>
    <s v=""/>
    <s v=""/>
    <s v=""/>
    <s v=""/>
    <s v=""/>
    <x v="136"/>
    <x v="119"/>
    <s v="Orientation: Digital technologies are transforming the way business functions operate, and this also applies to the human resource management (HRM) function. Research purpose: The purpose of this study is to determine the extent to which South African organisations have adopted digital HRM strategies across the human resource (HR) value chain and the extent to which these digital strategies are perceived to contribute to the achievement of business objectives. Motivation for the study: This study provides an indication of the trend of the adoption of digital HRM strategies and whether the digital strategies support business goals. Research approach/design and method: A quantitative research design using a cross-sectional survey was used. Data were collected by means of a survey with a questionnaire from 312 HRM professionals and line managers in the automotive industry in the Eastern Cape Province of South Africa. Purposive and snowball sampling was used, and data were analysed using exploratory factor analysis (EFA), descriptive, paired-sample tests, Pearson correlations and regression analysis. Main flndings: The findings of this study indicate that Digital HRM Strategies have been moderately adopted across the HR value chain. The perceived contribution of these digital strategies towards attainment of business objectives was high. Practical/managerial implications: Constraints such as lack of digital skills by HRM practitioners, which hinder the adoption of digital HRM strategies across the HR value chain, should be addressed. Contribution/value-add: This research assists HRM practitioners and leaders in South Africa regarding which digital strategies to adopt to contribute to the achievement of organisational objectives."/>
    <s v="[Chapano, Munodani; Mey, Michelle R.; Werner, Amanda] Nelson Mandela Univ, Fac Business &amp; Econ Sci, Dept Human Resources Management, Gqeberha, South Africa"/>
    <s v="Nelson Mandela University"/>
    <s v="Chapano, M (corresponding author), Nelson Mandela Univ, Fac Business &amp; Econ Sci, Dept Human Resources Management, Gqeberha, South Africa."/>
    <s v="mchapano@gmail.com"/>
    <s v="Chapano, Munodani/HNQ-6327-2023"/>
    <s v="Chapano, Munodani/0000-0003-4417-5964; Werner, Amanda/0000-0002-6849-6781; Mey, Michelle/0000-0001-5093-2162"/>
    <s v=""/>
    <s v=""/>
    <s v=""/>
    <s v=""/>
    <n v="58"/>
    <n v="1"/>
    <n v="1"/>
    <n v="13"/>
    <n v="22"/>
    <s v="AOSIS"/>
    <s v="Durbanville"/>
    <s v="Postnet Suite 110, Private Bag x 19, Durbanville, SOUTH AFRICA"/>
    <s v="1683-7584"/>
    <s v="2071-078X"/>
    <s v=""/>
    <s v="SA J HUM RESOUR MANA"/>
    <s v="SA J. Hum. Resour. Manag."/>
    <s v="SEP 22"/>
    <x v="1"/>
    <n v="20"/>
    <s v=""/>
    <s v=""/>
    <s v=""/>
    <s v=""/>
    <s v=""/>
    <s v=""/>
    <s v=""/>
    <s v="a1992"/>
    <s v="10.4102/sajhrm.v20i0.1992"/>
    <s v="http://dx.doi.org/10.4102/sajhrm.v20i0.1992"/>
    <s v=""/>
    <s v=""/>
    <n v="12"/>
    <x v="8"/>
    <x v="2"/>
    <s v="Business &amp; Economics"/>
    <s v="5N0QO"/>
    <s v=""/>
    <s v="gold"/>
    <s v=""/>
    <s v=""/>
    <s v="2023-11-15"/>
    <s v="WOS:000871496100001"/>
    <s v="View Full Record in Web of Science"/>
    <m/>
  </r>
  <r>
    <x v="144"/>
    <s v="J"/>
    <x v="143"/>
    <s v=""/>
    <s v=""/>
    <s v=""/>
    <s v="Guo, Yi; Zou, Tingting; Shan, Ziwei"/>
    <s v=""/>
    <s v=""/>
    <x v="143"/>
    <x v="63"/>
    <s v=""/>
    <s v=""/>
    <s v="English"/>
    <s v="Article"/>
    <s v=""/>
    <s v=""/>
    <s v=""/>
    <s v=""/>
    <s v=""/>
    <x v="137"/>
    <x v="120"/>
    <s v="The digital business model emerges as a new business model and gradually penetrates global industries, and countries are putting in place various digital strategies to support their development. As one of the important tools, taxation strategies are highly expected by countries, which not only describe the economic development pattern of a country but also show the digital leadership of a country. Some countries have introduced their own unilateral digital services tax to govern their digital business models, while others have looked more to the global minimum tax, resulting in the current situation of both a unilateral digital services tax and a global minimum tax. However, both of them are of great reference value for the tax governance of digital business models. This paper compares the development history of digital tax strategies, categorizes, and analyzes the design logic of existing digital tax strategies, and takes China, one of the major digital economy countries, as an example to propose China's digital tax strategies by drawing on international experience. We set an example for the design of digital economy tax strategies for countries around the world so that they can manage digital business models more efficiently."/>
    <s v="[Guo, Yi; Shan, Ziwei] Beijing Technol &amp; Business Univ, Sch Int Econ &amp; Management, Beijing, Peoples R China; [Zou, Tingting] Beijing Technol &amp; Business Univ, Sch Econ, Beijing, Peoples R China"/>
    <s v="Beijing Technology &amp; Business University; Beijing Technology &amp; Business University"/>
    <s v="Shan, ZW (corresponding author), Beijing Technol &amp; Business Univ, Sch Int Econ &amp; Management, Beijing, Peoples R China."/>
    <s v="shanzw@th.btbu.edu.cn"/>
    <s v=""/>
    <s v=""/>
    <s v="National Social Science Foundation of China; [21AGL012]"/>
    <s v="National Social Science Foundation of China(National Office of Philosophy and Social Sciences);"/>
    <s v="Funding Thanks to the support of the key project of the National Social Science Foundation of China (21AGL012)."/>
    <s v=""/>
    <n v="14"/>
    <n v="1"/>
    <n v="1"/>
    <n v="19"/>
    <n v="49"/>
    <s v="FRONTIERS MEDIA SA"/>
    <s v="LAUSANNE"/>
    <s v="AVENUE DU TRIBUNAL FEDERAL 34, LAUSANNE, CH-1015, SWITZERLAND"/>
    <s v="1664-1078"/>
    <s v=""/>
    <s v=""/>
    <s v="FRONT PSYCHOL"/>
    <s v="Front. Psychol."/>
    <s v="SEP 22"/>
    <x v="1"/>
    <n v="13"/>
    <s v=""/>
    <s v=""/>
    <s v=""/>
    <s v=""/>
    <s v=""/>
    <s v=""/>
    <s v=""/>
    <n v="1013228"/>
    <s v="10.3389/fpsyg.2022.1013228"/>
    <s v="http://dx.doi.org/10.3389/fpsyg.2022.1013228"/>
    <s v=""/>
    <s v=""/>
    <n v="11"/>
    <x v="47"/>
    <x v="1"/>
    <s v="Psychology"/>
    <s v="6Q1XE"/>
    <n v="36211899"/>
    <s v="gold, Green Published"/>
    <s v=""/>
    <s v=""/>
    <s v="2023-11-15"/>
    <s v="WOS:000891411200001"/>
    <s v="View Full Record in Web of Science"/>
    <m/>
  </r>
  <r>
    <x v="145"/>
    <s v="J"/>
    <x v="144"/>
    <s v=""/>
    <s v=""/>
    <s v=""/>
    <s v="Tamborrino, Rosa; Patti, Edoardo; Aliberti, Alessandro; Dinler, Mesut; Orlando, Matteo; de Luca, Claudia; Tondelli, Simona; Barrientos, Francisco; Martin, John; Cunha, Luis F. M.; Stam, Andries; Nales, Aad; Egusquiza, Aitziber; Amirzada, Zahra; Pavlova, Irina"/>
    <s v=""/>
    <s v=""/>
    <x v="144"/>
    <x v="115"/>
    <s v=""/>
    <s v=""/>
    <s v="English"/>
    <s v="Article"/>
    <s v=""/>
    <s v=""/>
    <s v=""/>
    <s v=""/>
    <s v=""/>
    <x v="138"/>
    <x v="1"/>
    <s v="This paper presents a digital resources ecosystem prototype of integrated tools and resources to support heritage-led regeneration of rural regions, thanks to a deeper understanding of the complexity of cultural natural landscapes throughout their historical and current development. The ecosystem is conceived as a distributed software platform establishing data ecosystem and open standards for the management of information, aimed at providing different services and applications to address the needs of the various end-users identified. The platform has been conceived and realised in the framework of a Horizon 2020 research project, with a view to building a set of holistic knowledge about rural regions and their cultural and natural heritage and making it available for long-lasting heritage-led territorial processes of change. It is the product of a multidisciplinary collaboration amongst heritage, digital humanities and ICTs ex-perts, and combines data and methodologies from a range of approaches to humanities together with the customisation of effective digital tools. It has been designed for deployment also in cloud systems compli-ant with the Infrastructure-as-a-Service paradigm. All data is Findable, Accessible, Interoperable, Reusable (FAIR data). It hosts and integrates different tools, making the data gathered with/for local stakeholders usable and making the same data re-usable within the tools' functions, generating integrated heritage knowledge. It comprises data on 19 rural pilot territories, where the tools and their integration have been developed and tested, while 62 more are partially included as additional territories which partici-pate in certain activities within the project. The main testers for this platform and its functions are the local stakeholders of these territories. The paper describes and analyses the platform and its impact, dis-cussing the integration of tools as an innovative approach that goes beyond the use of individual tools in shaping a multidimensional vision. It also offers an analysis of the potential of an integrated digital ecosystem in evidence-based and place-based regeneration strategies. Some reflections for developments and cooperation during the pandemic are also presented.(c) 2022 Published by Elsevier Masson SAS."/>
    <s v="[Tamborrino, Rosa; Patti, Edoardo; Aliberti, Alessandro; Dinler, Mesut; Orlando, Matteo] Politecn Torino, Viale Pier Andrea Mattioli 39, I-10125 Turin, Italy; [de Luca, Claudia; Tondelli, Simona] Univ Bologna, viale Risorgimento 2, I-40126 Bologna, Italy; [Barrientos, Francisco] CARTIF, Parque Tecnol Boecillo 205, Valladolid 47151, Spain; [Martin, John] Univ Plymouth, Sustainable Earth Inst, Drake Circus, Plymouth PL4, Devon, England; [Cunha, Luis F. M.; Stam, Andries; Nales, Aad] ALMENDE, Unit D1 116, Stationsplein 45, NL-3013 AK Rotterdam, Netherlands; [Egusquiza, Aitziber] Basque Res &amp; Technol Alliance BRTA, TECNALIA, Derio, Spain; [Amirzada, Zahra; Pavlova, Irina] UNESCO, 7 Pl Fontenoy, Paris, France"/>
    <s v="Polytechnic University of Turin; University of Bologna; University of Plymouth"/>
    <s v="Tamborrino, R (corresponding author), Politecn Torino, Viale Pier Andrea Mattioli 39, I-10125 Turin, Italy."/>
    <s v="rosa.tamborrino@polito.it"/>
    <s v="Dinler, Mesut/ISB-7720-2023; Barrientos, Francisco J./C-1040-2013; Egusquiza, Aitziber/ABB-6332-2021"/>
    <s v="Barrientos, Francisco J./0000-0001-6528-0902; Egusquiza, Aitziber/0000-0003-1051-6580; Manteigas Cunha, Luis Filipe/0000-0003-4345-1162; Aliberti, Alessandro/0000-0001-8828-608X; ORLANDO, MATTEO/0000-0002-7028-2301; Dinler, Mesut/0000-0001-5816-1278; Pavlova, Irina/0000-0003-1675-845X; Martin, John/0000-0003-3363-8855; Amirzada, Zahra/0009-0004-0990-1718"/>
    <s v=""/>
    <s v=""/>
    <s v=""/>
    <s v=""/>
    <n v="42"/>
    <n v="0"/>
    <n v="0"/>
    <n v="5"/>
    <n v="20"/>
    <s v="ELSEVIER FRANCE-EDITIONS SCIENTIFIQUES MEDICALES ELSEVIER"/>
    <s v="ISSY-LES-MOULINEAUX"/>
    <s v="65 RUE CAMILLE DESMOULINS, CS50083, 92442 ISSY-LES-MOULINEAUX, FRANCE"/>
    <s v="1296-2074"/>
    <s v="1778-3674"/>
    <s v=""/>
    <s v="J CULT HERIT"/>
    <s v="J. Cult. Herit."/>
    <s v="SEP-OCT"/>
    <x v="1"/>
    <n v="57"/>
    <s v=""/>
    <s v=""/>
    <s v=""/>
    <s v=""/>
    <s v=""/>
    <n v="265"/>
    <n v="275"/>
    <s v=""/>
    <s v="10.1016/j.culher.2022.09.012"/>
    <s v="http://dx.doi.org/10.1016/j.culher.2022.09.012"/>
    <s v=""/>
    <s v="SEP 2022"/>
    <n v="11"/>
    <x v="67"/>
    <x v="4"/>
    <s v="Archaeology; Art; Chemistry; Geology; Materials Science; Spectroscopy"/>
    <s v="5E0FF"/>
    <s v=""/>
    <s v="Green Published, hybrid"/>
    <s v=""/>
    <s v=""/>
    <s v="2023-11-15"/>
    <s v="WOS:000865306200009"/>
    <s v="View Full Record in Web of Science"/>
    <m/>
  </r>
  <r>
    <x v="146"/>
    <s v="J"/>
    <x v="145"/>
    <s v=""/>
    <s v=""/>
    <s v=""/>
    <s v="Cheng, Lin"/>
    <s v=""/>
    <s v=""/>
    <x v="145"/>
    <x v="116"/>
    <s v=""/>
    <s v=""/>
    <s v="English"/>
    <s v="Article"/>
    <s v=""/>
    <s v=""/>
    <s v=""/>
    <s v=""/>
    <s v=""/>
    <x v="8"/>
    <x v="1"/>
    <s v="The paper discusses the commercial opportunities for digitalization, as well as the changes that occur when digital technology is adopted throughout all business areas. A survey of digital firms found that maturing digital organisations are concentrating on integrating digital technologies to revolutionise how businesses operate. A digital strategy supported by management who nurture a culture of change and innovation is a primary predictor of a company's ability to digitally remake itself. Companies that integrate big data, cloud, mobile, and social technologies into their infrastructure are more lucrative, have larger sales, and have a better market valuation than competitors with a weak vision. This paper aims to conduct an in-depth study on the evaluation and decision-making model of the effectiveness of enterprise transforming to digitalization based on data mining in order to address the shortcomings of self-evaluation, promote and improve the process and promote enterprise transforming to digitalization. First, it determines the evaluation index and uses triangular fuzzy numbers to clarify the index weight. It also gathers the opinions of various experts in the decision-making process. Afterward, the decision tree evaluation model is generated through the information gain and ROC curve. Based on enterprises' relevant transforming to digitalization data, the decision tree model is used as the evaluation decision model, and the research on the evaluation model of the point of enterprise transforming to digitalization is completed. Experiments show that the method proposed in this paper has high accuracy, fast algorithm operation efficiency, and robust data mining ability. It can effectively improve and promote the progress of enterprise transforming to digitalization."/>
    <s v="[Cheng, Lin] Shandong Polytech, New Generat Informat Technol Ind Inst, Jinan 250104, Shandong, Peoples R China"/>
    <s v="Qilu University of Technology"/>
    <s v="Cheng, L (corresponding author), Shandong Polytech, New Generat Informat Technol Ind Inst, Jinan 250104, Shandong, Peoples R China."/>
    <s v="1317421013@st.usst.edu.cn"/>
    <s v=""/>
    <s v=""/>
    <s v=""/>
    <s v=""/>
    <s v=""/>
    <s v=""/>
    <n v="20"/>
    <n v="0"/>
    <n v="0"/>
    <n v="9"/>
    <n v="24"/>
    <s v="HINDAWI LTD"/>
    <s v="LONDON"/>
    <s v="ADAM HOUSE, 3RD FLR, 1 FITZROY SQ, LONDON, W1T 5HF, ENGLAND"/>
    <s v="1574-017X"/>
    <s v="1875-905X"/>
    <s v=""/>
    <s v="MOB INF SYST"/>
    <s v="Mob. Inf. Syst."/>
    <s v="SEP 14"/>
    <x v="1"/>
    <n v="2022"/>
    <s v=""/>
    <s v=""/>
    <s v=""/>
    <s v=""/>
    <s v=""/>
    <s v=""/>
    <s v=""/>
    <n v="2380100"/>
    <s v="10.1155/2022/2380100"/>
    <s v="http://dx.doi.org/10.1155/2022/2380100"/>
    <s v=""/>
    <s v=""/>
    <n v="9"/>
    <x v="68"/>
    <x v="0"/>
    <s v="Computer Science; Telecommunications"/>
    <s v="5I6VO"/>
    <s v=""/>
    <s v="gold"/>
    <s v=""/>
    <s v=""/>
    <s v="2023-11-15"/>
    <s v="WOS:000868492000003"/>
    <s v="View Full Record in Web of Science"/>
    <m/>
  </r>
  <r>
    <x v="147"/>
    <s v="J"/>
    <x v="146"/>
    <s v=""/>
    <s v=""/>
    <s v=""/>
    <s v="Yin, Weili"/>
    <s v=""/>
    <s v=""/>
    <x v="146"/>
    <x v="17"/>
    <s v=""/>
    <s v=""/>
    <s v="English"/>
    <s v="Article"/>
    <s v=""/>
    <s v=""/>
    <s v=""/>
    <s v=""/>
    <s v=""/>
    <x v="139"/>
    <x v="121"/>
    <s v="The manufacturing industry has placed a greater emphasis on digital transformation, especially under the impact of COVID-19. However, the influence mechanism between digital transformation and supply chain resilience is still a topic of discussion. Resource orchestration theory indicates that a firm not only need to emphasize the investment of resources but also pays attention to the allocation of resources. Therefore, based on the resource orchestration theory, this study divides the digital transformation into digital transformation breadth and digital transformation depth and combines R&amp;D spending (R&amp;D intensity and R&amp;D employee) and contingency factors (firm size) to construct a theoretical path of digital transformation-supply chain resilience. This research uses fuzzy sets qualitative comparative analysis to explore how to configure the digital transformation to achieve high supply chain resilience based on data from 193 listed manufacturing firms. Using the fsQCA software, it was discovered that there were no necessary conditions for achieving high supply chain resilience; sufficient condition analysis revealed that there are six paths to achieving high supply chain resilience, four of which can be summarized as digital transformation driven and the other two as R&amp;D spending driven. These several approaches highlight the complicated causal relationship between digital transformation and supply chain resilience, as well as give theoretical and practical recommendations for firms looking to implement digital strategies and enhance their supply chains."/>
    <s v="[Yin, Weili] Yunnan Univ Finance &amp; Econ, Sch Logist &amp; Management Engn, Kunming 650221, Yunnan, Peoples R China"/>
    <s v="Yunnan University of Finance &amp; Economics"/>
    <s v="Yin, WL (corresponding author), Yunnan Univ Finance &amp; Econ, Sch Logist &amp; Management Engn, Kunming 650221, Yunnan, Peoples R China."/>
    <s v="yinweili12345@163.com"/>
    <s v="Yin, Weili/ACW-0782-2022"/>
    <s v="Yin, Weili/0000-0002-9073-5195"/>
    <s v="National Natural Science Foundation Council of China [71661029]; Scientific Research Funds in Yunnan Province Department of Education in 2022 [2022Y481]"/>
    <s v="National Natural Science Foundation Council of China(National Natural Science Foundation of China (NSFC)); Scientific Research Funds in Yunnan Province Department of Education in 2022"/>
    <s v="This research was funded by the National Natural Science Foundation Council of China under Project No. 71661029 and the Scientific Research Funds in Yunnan Province Department of Education in 2022 under No. 2022Y481."/>
    <s v=""/>
    <n v="87"/>
    <n v="3"/>
    <n v="3"/>
    <n v="96"/>
    <n v="245"/>
    <s v="SPRINGER HEIDELBERG"/>
    <s v="HEIDELBERG"/>
    <s v="TIERGARTENSTRASSE 17, D-69121 HEIDELBERG, GERMANY"/>
    <s v="0944-1344"/>
    <s v="1614-7499"/>
    <s v=""/>
    <s v="ENVIRON SCI POLLUT R"/>
    <s v="Environ. Sci. Pollut. Res."/>
    <s v="JAN"/>
    <x v="0"/>
    <n v="30"/>
    <n v="4"/>
    <s v=""/>
    <s v=""/>
    <s v=""/>
    <s v=""/>
    <n v="10867"/>
    <n v="10879"/>
    <s v=""/>
    <s v="10.1007/s11356-022-22917-w"/>
    <s v="http://dx.doi.org/10.1007/s11356-022-22917-w"/>
    <s v=""/>
    <s v="SEP 2022"/>
    <n v="13"/>
    <x v="16"/>
    <x v="0"/>
    <s v="Environmental Sciences &amp; Ecology"/>
    <s v="F7SS7"/>
    <n v="36087176"/>
    <s v="Bronze, Green Published"/>
    <s v=""/>
    <s v=""/>
    <s v="2023-11-15"/>
    <s v="WOS:000852342500013"/>
    <s v="View Full Record in Web of Science"/>
    <m/>
  </r>
  <r>
    <x v="148"/>
    <s v="J"/>
    <x v="147"/>
    <s v=""/>
    <s v=""/>
    <s v=""/>
    <s v="Stewart, Harrison"/>
    <s v=""/>
    <s v=""/>
    <x v="147"/>
    <x v="117"/>
    <s v=""/>
    <s v=""/>
    <s v="English"/>
    <s v="Article"/>
    <s v=""/>
    <s v=""/>
    <s v=""/>
    <s v=""/>
    <s v=""/>
    <x v="140"/>
    <x v="122"/>
    <s v="Digital transformation has become one of the most popular strategies for information systems (IS). Developing and implementing a digital strategy is a mandatory task for any organization that relies on information systems. In this digital age, an IS/IT strategy without security considerations could lead to serious data breaches. Despite all countermeasures, security remains a major concern in digital transformation, as digitization is misjudged and brings with it major security concerns. The digitization of manual goods, processes and services, as well as their use, leads to various security issues in different organizations. The aim of this study is to identify and analyze elements that are typical barriers to digital innovation in organizations. This study addresses common elements that impact the security of digital transformation through a literature review and a case study."/>
    <s v="[Stewart, Harrison] Univeril, Richmond, VA 23230 USA"/>
    <s v=""/>
    <s v="Stewart, H (corresponding author), Univeril, Robert Koch Str, D-20249 Hamburg 20249, Germany."/>
    <s v="stewart@harrisonstewart.net"/>
    <s v=""/>
    <s v="Stewart, Harrison/0000-0002-6956-9508"/>
    <s v=""/>
    <s v=""/>
    <s v=""/>
    <s v=""/>
    <n v="97"/>
    <n v="0"/>
    <n v="0"/>
    <n v="28"/>
    <n v="74"/>
    <s v="TAYLOR &amp; FRANCIS INC"/>
    <s v="PHILADELPHIA"/>
    <s v="530 WALNUT STREET, STE 850, PHILADELPHIA, PA 19106 USA"/>
    <s v="0887-4417"/>
    <s v="2380-2057"/>
    <s v=""/>
    <s v="J COMPUT INFORM SYST"/>
    <s v="J. Comput. Inf. Syst."/>
    <s v="JUL 4"/>
    <x v="0"/>
    <n v="63"/>
    <n v="4"/>
    <s v=""/>
    <s v=""/>
    <s v=""/>
    <s v=""/>
    <n v="919"/>
    <n v="936"/>
    <s v=""/>
    <s v="10.1080/08874417.2022.2115953"/>
    <s v="http://dx.doi.org/10.1080/08874417.2022.2115953"/>
    <s v=""/>
    <s v="SEP 2022"/>
    <n v="18"/>
    <x v="36"/>
    <x v="0"/>
    <s v="Computer Science"/>
    <s v="L5TP7"/>
    <s v=""/>
    <s v=""/>
    <s v=""/>
    <s v=""/>
    <s v="2023-11-15"/>
    <s v="WOS:000850937400001"/>
    <s v="View Full Record in Web of Science"/>
    <m/>
  </r>
  <r>
    <x v="149"/>
    <s v="J"/>
    <x v="148"/>
    <s v=""/>
    <s v=""/>
    <s v=""/>
    <s v="Nakamura, Carina Akemi; Scazufca, Marcia; Moretti, Felipe Azevedo; Nadaleto Didone, Thiago Vinicius; de Sa Martins, Mariana Mendes; Pereira, Luara Aragoni; Queiroz de Souza, Caio Hudson; de Oliveira, Gabriel Macias; da Costa, Marcelo Oliveira; Machado, Marcelo; Bitencourt, Evelyn da Silva; dos Santos, Monica Souza; Murdoch, Jamie; van de Ven, Pepijn; Seward, Nadine; Hollingworth, William; Peters, Tim J.; Araya, Ricardo"/>
    <s v=""/>
    <s v=""/>
    <x v="148"/>
    <x v="118"/>
    <s v=""/>
    <s v=""/>
    <s v="English"/>
    <s v="Article"/>
    <s v=""/>
    <s v=""/>
    <s v=""/>
    <s v=""/>
    <s v=""/>
    <x v="141"/>
    <x v="123"/>
    <s v="Background Depression in older adults is a challenge for health systems in most low- and middle-income countries (LMICs). Digital strategies for the management of this condition have been emerging worldwide, but the effectiveness of most of them is still unclear, especially among older adults. Thus, we aim to assess the effectiveness and cost-effectiveness of a digital psychosocial intervention to treat depression among older adults living in socioeconomically deprived areas in Guarulhos, Brazil. Methods We will conduct a two-arm individually randomised controlled trial with 1:1 allocation ratio. Five hundred older adults aged 60 years or over with depressive symptomatology (9-item Patient Health Questionnaire score, PHQ-9 &gt;= 10) and registered with one of the primary care clinics will be recruited to participate in this study. A 6-week digital psychosocial programme, named Viva Vida, will be delivered via WhatsApp to participants allocated to the intervention arm. The Viva Vida will send psychoeducational and behavioural activation audio and visual messages 4 days a week for 6 weeks. The control arm will only receive a single message with general information about depression. The primary outcome will be the proportion of depression recovery (PHQ-9 &lt; 10) assessed at 3 months. The cost-effectiveness of the intervention will be assessed at 5 months. A detailed process evaluation will be used to explore context and important implementation outcomes. Discussion This programme was based on the PROACTIVE intervention and designed to be delivered without face-to-face contact. If effective, it could be a simple treatment option, appropriate not only when social distancing is required, but it could also be included as a regular public health programme to initiate depression treatment, particularly in LMICs where resources allocated to mental health are scarce."/>
    <s v="[Nakamura, Carina Akemi; Scazufca, Marcia; Moretti, Felipe Azevedo; Nadaleto Didone, Thiago Vinicius; de Sa Martins, Mariana Mendes; Queiroz de Souza, Caio Hudson; de Oliveira, Gabriel Macias; da Costa, Marcelo Oliveira; dos Santos, Monica Souza] Univ Sao Paulo, Fac Med FMUSP, Dept Psiquiatria, Sao Paulo, Brazil; [Pereira, Luara Aragoni] Univ Sao Paulo, Fac Med, Hosp Clin HCF MUSP, Inst Psiquiatria, Sao Paulo, Brazil; [Machado, Marcelo] Debase Audiovisual, Sao Paulo, Brazil; [Bitencourt, Evelyn da Silva] Univ Sao Paulo, Fac Arquitetura &amp; Urbanismo FAU, Sao Paulo, Brazil; [Murdoch, Jamie] Kings Coll London, Dept Populat Hlth Sci, London, England; [van de Ven, Pepijn] Univ Limerick, Hlth Res Inst, Limerick, Ireland; [Seward, Nadine; Araya, Ricardo] Kings Coll London, Inst Psychiat Psychol &amp; Neurosci, Hlth Serv &amp; Populat Res, London, England; [Hollingworth, William] Univ Bristol, Bristol Med Sch, Hlth Econ Bristol, Populat Hlth Sci, Bristol, Avon, England; [Peters, Tim J.] Univ Bristol, Populat Hlth Sci, Bristol Med Sch, Bristol, Avon, England; [Peters, Tim J.] Univ Bristol, Bristol Dent Sch, Bristol, Avon, England"/>
    <s v="Universidade de Sao Paulo; Universidade de Sao Paulo; Universidade de Sao Paulo; University of London; King's College London; University of Limerick; University of London; King's College London; University of Bristol; University of Bristol; University of Bristol"/>
    <s v="Scazufca, M (corresponding author), Univ Sao Paulo, Fac Med FMUSP, Dept Psiquiatria, Sao Paulo, Brazil."/>
    <s v="scazufca@usp.br; ricardo.araya@kcl.ac.uk"/>
    <s v="Peters, Tim/HNI-2741-2023; Scazufca, Marcia/K-7418-2012; Bitencourt, Evelyn/AGY-7211-2022"/>
    <s v="Peters, Tim/0000-0003-2881-4180; Scazufca, Marcia/0000-0002-4545-006X; Nakamura, Carina Akemi/0000-0002-4761-4486; Araya, Ricardo/0000-0002-0420-5148; Seward, Nadine/0000-0002-4821-9437; Hollingworth, William/0000-0002-0840-6254; Murdoch, Jamie/0000-0002-9021-3629; Azevedo Moretti, Felipe/0000-0002-9747-7790"/>
    <s v="Sao Paulo Research Foundation (FAPESP) [2017/50094-2]; Joint Global Health Trials initiative - Medical Research Council; Wellcome Trust; UK Department for International Development (MRC) [MR/R006229/1]; FAPESP [2018/19343-9, 2020/02272-1, 2021/04493-8, 2021/03849-3, 2020/14504-4, 2021/04230-7, 2020/14768-1, 2021/10148-1]; CNPq-Brazil [307579/2019-0]"/>
    <s v="Sao Paulo Research Foundation (FAPESP)(Fundacao de Amparo a Pesquisa do Estado de Sao Paulo (FAPESP)); Joint Global Health Trials initiative - Medical Research Council; Wellcome Trust(Wellcome Trust); UK Department for International Development (MRC); FAPESP(Fundacao de Amparo a Pesquisa do Estado de Sao Paulo (FAPESP)); CNPq-Brazil(Conselho Nacional de Desenvolvimento Cientifico e Tecnologico (CNPQ))"/>
    <s v="This study was funded by Sao Paulo Research Foundation (FAPESP, process number 2017/50094-2) and the Joint Global Health Trials initiative jointly funded by Medical Research Council, Wellcome Trust, and the UK Department for International Development (MRC, process number MR/R006229/1). FAPESP supported CAN (2018/19343-9), FAM (2020/02272-1), TVND (2021/04493-8), MMSM (2021/03849-3), CHQS (2020/14504-4), GMO (2021/04230-7), MOC (2020/14768-1), and MSS (2021/10148-1). MS is supported by CNPq-Brazil (307579/2019-0). For the purpose of open access, the authors have applied a CC BY public copyright licence to any Author Accepted Manuscript version arising from this submission. The funding bodies did not have any role in the design of the study or data collection, analyses, or interpretation of the data or in writing the manuscript."/>
    <s v=""/>
    <n v="37"/>
    <n v="1"/>
    <n v="1"/>
    <n v="0"/>
    <n v="1"/>
    <s v="BMC"/>
    <s v="LONDON"/>
    <s v="CAMPUS, 4 CRINAN ST, LONDON N1 9XW, ENGLAND"/>
    <s v=""/>
    <s v="1745-6215"/>
    <s v=""/>
    <s v="TRIALS"/>
    <s v="Trials"/>
    <s v="SEP 7"/>
    <x v="1"/>
    <n v="23"/>
    <n v="1"/>
    <s v=""/>
    <s v=""/>
    <s v=""/>
    <s v=""/>
    <s v=""/>
    <s v=""/>
    <n v="761"/>
    <s v="10.1186/s13063-022-06623-z"/>
    <s v="http://dx.doi.org/10.1186/s13063-022-06623-z"/>
    <s v=""/>
    <s v=""/>
    <n v="12"/>
    <x v="3"/>
    <x v="0"/>
    <s v="Research &amp; Experimental Medicine"/>
    <s v="4I8IC"/>
    <n v="36071463"/>
    <s v="gold, Green Published"/>
    <s v=""/>
    <s v=""/>
    <s v="2023-11-15"/>
    <s v="WOS:000850816900003"/>
    <s v="View Full Record in Web of Science"/>
    <m/>
  </r>
  <r>
    <x v="150"/>
    <s v="J"/>
    <x v="149"/>
    <s v=""/>
    <s v=""/>
    <s v=""/>
    <s v="Alexander, Bethan; Bellandi, Niccolo"/>
    <s v=""/>
    <s v=""/>
    <x v="149"/>
    <x v="119"/>
    <s v=""/>
    <s v=""/>
    <s v="English"/>
    <s v="Article"/>
    <s v=""/>
    <s v=""/>
    <s v=""/>
    <s v=""/>
    <s v=""/>
    <x v="142"/>
    <x v="124"/>
    <s v="Accelerated by the global pandemic, the speed of technology adoption has significantly increased, resulting in new business opportunities, channels, touchpoints and digital toolkits. One such burgeoning technology which is generating increasing attention is Nonfungible tokens (NFTs). Adopting an exploratory approach, this study aims to develop a deeper understanding of the value of NFTs from a luxury business and consumer perspective. Taking a qualitative approach, interviews were conducted with luxury experts and consumers, totaling 11 informants. Our findings revealed new technology acceptance and value dimensions in addition to the existing dimensions from literature, within a luxury context, from which two models ensue, NFT value creation and NFT digital strategies. The research makes a valuable contribution to the paucity of existing scholarly studies on blockchain and NFTs and their value creation within a luxury context. It serves to provide preliminary insight into perceptions toward and potential value creation of NFTs for both luxury industry and consumers to inform future luxury digital strategies."/>
    <s v="[Alexander, Bethan] Univ Arts, London Coll Fash, Fash Retailing &amp; Customer Experience, London, England; [Alexander, Bethan] Univ Arts, London Coll Fash, Fash Business Sch, London, England"/>
    <s v="University of Arts London; University of Arts London"/>
    <s v="Alexander, B (corresponding author), Univ Arts, London Coll Fash, Fash Retailing &amp; Customer Experience, London, England.;Alexander, B (corresponding author), Univ Arts, London Coll Fash, Fash Business Sch, London, England."/>
    <s v="b.alexander@fashion.arts.ac.uk"/>
    <s v=""/>
    <s v="Alexander, Bethan/0000-0001-5122-9866"/>
    <s v=""/>
    <s v=""/>
    <s v=""/>
    <s v=""/>
    <n v="111"/>
    <n v="2"/>
    <n v="2"/>
    <n v="8"/>
    <n v="23"/>
    <s v="ROUTLEDGE JOURNALS, TAYLOR &amp; FRANCIS LTD"/>
    <s v="ABINGDON"/>
    <s v="2-4 PARK SQUARE, MILTON PARK, ABINGDON OX14 4RN, OXON, ENGLAND"/>
    <s v="1756-9370"/>
    <s v="1756-9389"/>
    <s v=""/>
    <s v="FASHION PRACT"/>
    <s v="Fash. Pract."/>
    <s v="SEP 2"/>
    <x v="1"/>
    <n v="14"/>
    <n v="3"/>
    <s v=""/>
    <s v=""/>
    <s v="SI"/>
    <s v=""/>
    <n v="376"/>
    <n v="400"/>
    <s v=""/>
    <s v="10.1080/17569370.2022.2118969"/>
    <s v="http://dx.doi.org/10.1080/17569370.2022.2118969"/>
    <s v=""/>
    <s v=""/>
    <n v="25"/>
    <x v="55"/>
    <x v="5"/>
    <s v="Arts &amp; Humanities - Other Topics"/>
    <s v="6C2JE"/>
    <s v=""/>
    <s v="Green Accepted"/>
    <s v=""/>
    <s v=""/>
    <s v="2023-11-15"/>
    <s v="WOS:000881846600004"/>
    <s v="View Full Record in Web of Science"/>
    <m/>
  </r>
  <r>
    <x v="151"/>
    <s v="J"/>
    <x v="150"/>
    <s v=""/>
    <s v=""/>
    <s v=""/>
    <s v="Cillo, Paola; Verona, Gianmario"/>
    <s v=""/>
    <s v=""/>
    <x v="150"/>
    <x v="120"/>
    <s v=""/>
    <s v=""/>
    <s v="English"/>
    <s v="Article"/>
    <s v=""/>
    <s v=""/>
    <s v=""/>
    <s v=""/>
    <s v=""/>
    <x v="143"/>
    <x v="125"/>
    <s v="Building on the vast literature on technological innovation and new product development, we propose a strategic organization framework to inform future research. The framework focuses on two core constructs: agents (external stakeholders and internal members of the firm involved in innovation activities) and capabilities (activities, systems, and values that retain and unfold organizational knowledge). It also distinguishes between two levels: the new product development process (the strategic and organizational sequences of tasks and decisions that compose product development activities); and the firm (the strategic and higher-order activities that shape corporate governance, corporate strategy, competitive strategy, and the organizational configuration of the firm). We draw on the framework to highlight how the strategic and organizational management of innovation has moved from a specialized organizational unit, the Research and Development function, to the C-suite. We discuss the implications of this framework for future research and highlight emerging challenges related to short-term financial pressures, sustainability, and digital transformation."/>
    <s v="[Cillo, Paola; Verona, Gianmario] Bocconi Univ, Management, Milan, Italy"/>
    <s v="Bocconi University"/>
    <s v="Verona, G (corresponding author), Bocconi Univ, Dept Management &amp; Technol, Via Roentgen 1, I-20136 Milan, Italy."/>
    <s v="paola.cillo@unibocconi.it; gianmario.verona@unibocconi.it"/>
    <s v="Raharisoa, Emérancia/HOH-8694-2023"/>
    <s v="VERONA, GIANMARIO/0000-0002-9992-2544; CILLO, PAOLA/0000-0002-2496-8900"/>
    <s v=""/>
    <s v=""/>
    <s v=""/>
    <s v=""/>
    <n v="104"/>
    <n v="2"/>
    <n v="2"/>
    <n v="11"/>
    <n v="37"/>
    <s v="SAGE PUBLICATIONS LTD"/>
    <s v="LONDON"/>
    <s v="1 OLIVERS YARD, 55 CITY ROAD, LONDON EC1Y 1SP, ENGLAND"/>
    <s v="1476-1270"/>
    <s v="1741-315X"/>
    <s v=""/>
    <s v="STRATEG ORGAN"/>
    <s v="Strateg. Organ."/>
    <s v="NOV"/>
    <x v="1"/>
    <n v="20"/>
    <n v="4"/>
    <s v=""/>
    <s v=""/>
    <s v="SI"/>
    <s v=""/>
    <n v="743"/>
    <n v="756"/>
    <s v=""/>
    <s v="10.1177/14761270221119113"/>
    <s v="http://dx.doi.org/10.1177/14761270221119113"/>
    <s v=""/>
    <s v="SEP 2022"/>
    <n v="14"/>
    <x v="6"/>
    <x v="1"/>
    <s v="Business &amp; Economics"/>
    <s v="6H4QN"/>
    <s v=""/>
    <s v=""/>
    <s v=""/>
    <s v=""/>
    <s v="2023-11-15"/>
    <s v="WOS:000849427700001"/>
    <s v="View Full Record in Web of Science"/>
    <m/>
  </r>
  <r>
    <x v="152"/>
    <s v="J"/>
    <x v="151"/>
    <s v=""/>
    <s v=""/>
    <s v=""/>
    <s v="Ciccone, Angelo; Suglia, Pompilio; Asprone, Domenico; Salzano, Antonio; Nicolella, Maurizio"/>
    <s v=""/>
    <s v=""/>
    <x v="151"/>
    <x v="4"/>
    <s v=""/>
    <s v=""/>
    <s v="English"/>
    <s v="Article"/>
    <s v=""/>
    <s v=""/>
    <s v=""/>
    <s v=""/>
    <s v=""/>
    <x v="144"/>
    <x v="126"/>
    <s v="Regulatory activity concerning the management of existing bridges has recently been affected by updates, for instance, in Italy, which calls for a speedy and pragmatic approach based on new technologies such as building information modeling (BIM), when dealing with the survey and risk classification as well as the evaluation and monitoring of structural safety. This paper focuses on the development and integration of a digital solution, based principally on the specific framework developed by the authors, which supports BIM modeling and information management activities, in the structural setting under investigation, through the use of several technologies and tools, namely BIM-authoring, CDE platform and visual programming, in addition to programming in Python. Starting from the organization of a specific BIM object library and the initial data, inserted by means of a custom-made input environment, it was possible to reproduce digital models of bridges in accordance with specific information requirements following the new Level of Information Need setting. The applicability of the proposal is tested on two judiciously chosen real-life cases with different characteristics. Through this implementation, a series of advantages emerge, including expediting traditional procedures for BIM modeling, accessibility and traceability of information-which are constantly updated to support the monitoring of structural safety over time-and the decision-making process related to the bridge management context."/>
    <s v="[Ciccone, Angelo; Suglia, Pompilio; Asprone, Domenico] Univ Naples Federico II, Dept Struct Engn &amp; Architecture, I-80125 Naples, Italy; [Salzano, Antonio; Nicolella, Maurizio] Univ Naples Federico II, Dept Civil Architectural &amp; Environm Engn, I-80125 Naples, Italy"/>
    <s v="University of Naples Federico II; University of Naples Federico II"/>
    <s v="Ciccone, A (corresponding author), Univ Naples Federico II, Dept Struct Engn &amp; Architecture, I-80125 Naples, Italy."/>
    <s v="angelo.ciccone@unina.it"/>
    <s v="Asprone, Domenico/G-8166-2012"/>
    <s v="CICCONE, ANGELO/0000-0001-9737-4698; Salzano, Antonio/0000-0002-2068-760X"/>
    <s v=""/>
    <s v=""/>
    <s v=""/>
    <s v=""/>
    <n v="83"/>
    <n v="0"/>
    <n v="0"/>
    <n v="7"/>
    <n v="12"/>
    <s v="MDPI"/>
    <s v="BASEL"/>
    <s v="ST ALBAN-ANLAGE 66, CH-4052 BASEL, SWITZERLAND"/>
    <s v=""/>
    <s v="2071-1050"/>
    <s v=""/>
    <s v="SUSTAINABILITY-BASEL"/>
    <s v="Sustainability"/>
    <s v="SEP"/>
    <x v="1"/>
    <n v="14"/>
    <n v="18"/>
    <s v=""/>
    <s v=""/>
    <s v=""/>
    <s v=""/>
    <s v=""/>
    <s v=""/>
    <n v="11767"/>
    <s v="10.3390/su141811767"/>
    <s v="http://dx.doi.org/10.3390/su141811767"/>
    <s v=""/>
    <s v=""/>
    <n v="26"/>
    <x v="4"/>
    <x v="3"/>
    <s v="Science &amp; Technology - Other Topics; Environmental Sciences &amp; Ecology"/>
    <s v="4R8WZ"/>
    <s v=""/>
    <s v="gold"/>
    <s v=""/>
    <s v=""/>
    <s v="2023-11-15"/>
    <s v="WOS:000857038300001"/>
    <s v="View Full Record in Web of Science"/>
    <m/>
  </r>
  <r>
    <x v="153"/>
    <s v="J"/>
    <x v="152"/>
    <s v=""/>
    <s v=""/>
    <s v=""/>
    <s v="de Araujo Junior, Edson Modesto; Rezende, Denis Alcides; Feijo de Almeida, Giovana Goretti"/>
    <s v=""/>
    <s v=""/>
    <x v="152"/>
    <x v="87"/>
    <s v=""/>
    <s v=""/>
    <s v="English"/>
    <s v="Article"/>
    <s v=""/>
    <s v=""/>
    <s v=""/>
    <s v=""/>
    <s v=""/>
    <x v="145"/>
    <x v="127"/>
    <s v="The complexity of cities involves municipal transactional public strategies and services, involving the making of important decisions related to public administration strategies. The objective is to analyze city strategies and transactional services in the context of the strategic digital city. The research methodology adopted a case study with a qualitative approach and a research protocol with 6 variables. The results obtained were that the focus of transactional public services and city strategies are concentrated on the government theme. This shows that the other themes of the city still need to evolve in terms of public services and city strategies. The conclusion reiterates that there are municipal transactional strategies and services in Porto Velho in the context of the strategic digital city, which can help in the quality of life of citizens."/>
    <s v="[de Araujo Junior, Edson Modesto] Univ Fed Rondonia UNIR, V Pres Dutra,2965 Olaria, BR-76801058 Porto Velho, RO, Brazil; [Rezende, Denis Alcides] Depaul Univ, Sch Publ Serv, Cidade Digital Estrateg, Chicago, IL 60604 USA; [Rezende, Denis Alcides] Pontificia Univ Catolica Parana PUCPR, R Imac Conceicao,1155 Prado Velho, BR-80215901 Curitiba, PR, Brazil; [Feijo de Almeida, Giovana Goretti] CiTUR Leiria, R Gen Norton Matos Apartado 4133, P-2411901 Leiria, Portugal; [Feijo de Almeida, Giovana Goretti] Inst Politecn Leiria, R Gen Norton Matos Apartado 4133, P-2411901 Leiria, Portugal"/>
    <s v="Universidade Federal de Rondonia; DePaul University; Polytechnic Institute of Leiria"/>
    <s v="de Araujo, EM (corresponding author), Univ Fed Rondonia UNIR, V Pres Dutra,2965 Olaria, BR-76801058 Porto Velho, RO, Brazil."/>
    <s v="modesto@unir.br; denis.rezende@pucpr.br; goretti.giovana@gmail.com"/>
    <s v="Almeida, Giovana Goretti Feijó de/I-2491-2016"/>
    <s v="Almeida, Giovana Goretti Feijó de/0000-0003-0956-1341"/>
    <s v=""/>
    <s v=""/>
    <s v=""/>
    <s v=""/>
    <n v="56"/>
    <n v="0"/>
    <n v="0"/>
    <n v="3"/>
    <n v="6"/>
    <s v="SINDICATO SECRETARIAS ESTADO SAO PAULO"/>
    <s v="SAO PAULO"/>
    <s v="RUA TUPI 118, SAO PAULO, 01233-000, BRAZIL"/>
    <s v="2178-9010"/>
    <s v=""/>
    <s v=""/>
    <s v="REV GEST SECR-GESEC"/>
    <s v="Rec. Gest. Secr.-GeSeC"/>
    <s v="SEP-DEC"/>
    <x v="1"/>
    <n v="13"/>
    <n v="3"/>
    <s v=""/>
    <s v=""/>
    <s v=""/>
    <s v=""/>
    <n v="974"/>
    <n v="991"/>
    <s v=""/>
    <s v="10.7769/gesec.v13i3.1387"/>
    <s v="http://dx.doi.org/10.7769/gesec.v13i3.1387"/>
    <s v=""/>
    <s v=""/>
    <n v="18"/>
    <x v="8"/>
    <x v="2"/>
    <s v="Business &amp; Economics"/>
    <s v="6R9AC"/>
    <s v=""/>
    <s v="gold"/>
    <s v=""/>
    <s v=""/>
    <s v="2023-11-15"/>
    <s v="WOS:000892587000004"/>
    <s v="View Full Record in Web of Science"/>
    <m/>
  </r>
  <r>
    <x v="154"/>
    <s v="J"/>
    <x v="153"/>
    <s v=""/>
    <s v=""/>
    <s v=""/>
    <s v="Hoyk, Edit; Szalai, Adam; Palkovics, Andras; Farkas, Jeno Zsolt"/>
    <s v=""/>
    <s v=""/>
    <x v="153"/>
    <x v="121"/>
    <s v=""/>
    <s v=""/>
    <s v="English"/>
    <s v="Article"/>
    <s v=""/>
    <s v=""/>
    <s v=""/>
    <s v=""/>
    <s v=""/>
    <x v="146"/>
    <x v="128"/>
    <s v="The world's agriculture faces many challenges nowadays, such as tackling the effects of climate change, conserving agrobiodiversity, or feeding the Earth's growing population. These issues often induce conflicting development directions, such as digitalization and ecologization, as the case of the European Union's Common Agricultural Policy (CAP) shows. In the last decades, policymakers have focused mainly on greening agricultural production and the food industry, and now the CAP is part of the European Green Deal. In our research, we assessed the sustainability problems affecting the agribusiness sector and food consumption in Hungary using descriptive statistical analysis. On the other hand, we examined the latest sectoral development documents (Digital Agricultural Strategy, Digital Food Industry Strategy) in order to find out to what extent they answer the identified issues. Our results revealed that the Hungarian agribusiness sector is struggling with several sustainability challenges, which do not receive adequate attention from policymakers. The newest development strategies are characterized by forced digitalization efforts, while their applicability and effectiveness are uncertain. Because of similar development trajectories, we believe most of our results are relevant to other Central Eastern European Member states. Hence, further CAP and national policy reforms are needed to make Europe's agribusiness sector more sustainable."/>
    <s v="[Hoyk, Edit; Szalai, Adam; Farkas, Jeno Zsolt] Ctr Econ &amp; Reg Studies, Great Plain Res Dept, 3 Rakoczi Str, H-6000 Kecskemet, Hungary; [Hoyk, Edit; Palkovics, Andras] John von Neumann Univ, Fac Hort &amp; Rural Dev, 10 Izsaki Str, H-6000 Kecskemet, Hungary"/>
    <s v="Eotvos Lorand Research Network; Hungarian Academy of Sciences; Hungarian Centre for Economic &amp; Regional Studies; John von Neumann University"/>
    <s v="Hoyk, E (corresponding author), Ctr Econ &amp; Reg Studies, Great Plain Res Dept, 3 Rakoczi Str, H-6000 Kecskemet, Hungary.;Hoyk, E (corresponding author), John von Neumann Univ, Fac Hort &amp; Rural Dev, 10 Izsaki Str, H-6000 Kecskemet, Hungary."/>
    <s v="hoyk.edit@krtk.hu"/>
    <s v=""/>
    <s v="Szalai, Adam/0000-0002-8786-0470; Farkas, Jeno Zsolt/0000-0002-4245-2908; Hoyk, Edit/0000-0002-2956-8308"/>
    <s v="Janos Bolyai Research Scholarship of the Hungarian Academy of Sciences [BO/00353/21/10]"/>
    <s v="Janos Bolyai Research Scholarship of the Hungarian Academy of Sciences(Hungarian Academy of Sciences)"/>
    <s v="This paper was supported by the Janos Bolyai Research Scholarship of the Hungarian Academy of Sciences (BO/00353/21/10)."/>
    <s v=""/>
    <n v="90"/>
    <n v="2"/>
    <n v="3"/>
    <n v="5"/>
    <n v="13"/>
    <s v="MDPI"/>
    <s v="BASEL"/>
    <s v="ST ALBAN-ANLAGE 66, CH-4052 BASEL, SWITZERLAND"/>
    <s v=""/>
    <s v="2073-4395"/>
    <s v=""/>
    <s v="AGRONOMY-BASEL"/>
    <s v="Agronomy-Basel"/>
    <s v="SEP"/>
    <x v="1"/>
    <n v="12"/>
    <n v="9"/>
    <s v=""/>
    <s v=""/>
    <s v=""/>
    <s v=""/>
    <s v=""/>
    <s v=""/>
    <n v="2084"/>
    <s v="10.3390/agronomy12092084"/>
    <s v="http://dx.doi.org/10.3390/agronomy12092084"/>
    <s v=""/>
    <s v=""/>
    <n v="20"/>
    <x v="69"/>
    <x v="0"/>
    <s v="Agriculture; Plant Sciences"/>
    <s v="4Q6BB"/>
    <s v=""/>
    <s v="Green Accepted, gold"/>
    <s v=""/>
    <s v=""/>
    <s v="2023-11-15"/>
    <s v="WOS:000856165100001"/>
    <s v="View Full Record in Web of Science"/>
    <m/>
  </r>
  <r>
    <x v="155"/>
    <s v="J"/>
    <x v="154"/>
    <s v=""/>
    <s v=""/>
    <s v=""/>
    <s v="Koman, Gabriel; Bubeliny, Oliver; Tumova, Dominika; Jankal, Radoslav"/>
    <s v=""/>
    <s v=""/>
    <x v="154"/>
    <x v="122"/>
    <s v=""/>
    <s v=""/>
    <s v="English"/>
    <s v="Article"/>
    <s v=""/>
    <s v=""/>
    <s v=""/>
    <s v=""/>
    <s v=""/>
    <x v="147"/>
    <x v="1"/>
    <s v="The presented article focuses on the area of sustainable transport within the Smart City concept. Mobility, created in connection with the Smart City concept, is a service integrating several other types of transport services into one complex platform. The article examined the current situation in this area and its future development in the Slovak Republic. The main motivation of the authors for focusing on the Smart City concept was the topicality of this issue and its usability for process optimization, cost savings, and the achievement of sustainability. Methods such as orientation analysis, content analysis of documents, or sociological questioning using the questionnaire survey technique were used in the analysis. Several research questions and a research hypothesis were defined. It focused on the operation of local governments in the implementation of the Smart City concept and their orientation on the aspect of transport. The main findings include the fact that 22 Slovak cities out of the total number of 39 analysed cities are interested in the application of modern technologies. Another finding concerns the availability of a strategy focused directly on the Smart City concept on the city's website. It can be argued that only five websites had such a strategy available. The output of the research presented in this article was the creation of recommendations aimed at the implementation of the Smart City concept regarding the support of sustainable transport in the Slovak Republic. Using these recommendations, local governments will be able to formulate their digital strategies more effectively, leading to the practical implementation of the Smart City concept."/>
    <s v="[Koman, Gabriel; Bubeliny, Oliver; Jankal, Radoslav] Univ Zilina, Fac Management Sci &amp; Informat, Univ 8215-1, Zilina 01026, Slovakia; [Tumova, Dominika] Univ Zilina, Fac Management Sci &amp; Informat, Univ Sci Pk,Univ 8215-1, Zilina 01026, Slovakia"/>
    <s v="University of Zilina; University of Zilina"/>
    <s v="Koman, G (corresponding author), Univ Zilina, Fac Management Sci &amp; Informat, Univ 8215-1, Zilina 01026, Slovakia."/>
    <s v="gabriel.koman@fri.uniza.sk; oliver.bubeliny@fri.uniza.sk; dominika.tumova@uniza.sk; radoslav.jankal@fri.uniza.sk"/>
    <s v="Tumová, Dominika/AAY-2006-2021"/>
    <s v="Tumová, Dominika/0000-0003-2393-2946; Bubeliny, Oliver/0000-0002-0818-2510"/>
    <s v="Operational Program Integrated Infrastructure 2014 - 2020 of the project: Intelligent operating and processing systems for UAVs [ITMS 313011V422]; European Regional Development Fund"/>
    <s v="Operational Program Integrated Infrastructure 2014 - 2020 of the project: Intelligent operating and processing systems for UAVs; European Regional Development Fund(European Union (EU))"/>
    <s v="This publication was created with the support of Operational Program Integrated Infrastructure 2014 - 2020 of the project: Intelligent operating and processing systems for UAVs, code ITMS 313011V422, co-financed by the European Regional Development Fund."/>
    <s v=""/>
    <n v="55"/>
    <n v="3"/>
    <n v="3"/>
    <n v="2"/>
    <n v="10"/>
    <s v="ENTERPRENEURSHIP &amp; SUSTAINABILITY CENTER"/>
    <s v="VILNUS"/>
    <s v="M K CIURLIONIO STR 86A, VILNUS, 03100, LITHUANIA"/>
    <s v="2345-0282"/>
    <s v=""/>
    <s v=""/>
    <s v="ENTREP SUSTAIN ISS"/>
    <s v="Entrepreneurship. Sustain."/>
    <s v="SEP"/>
    <x v="1"/>
    <n v="10"/>
    <n v="1"/>
    <s v=""/>
    <s v=""/>
    <s v=""/>
    <s v=""/>
    <n v="175"/>
    <n v="199"/>
    <s v=""/>
    <s v="10.9770/jesi.2022.10.1(9)"/>
    <s v="http://dx.doi.org/10.9770/jesi.2022.10.1(9)"/>
    <s v=""/>
    <s v=""/>
    <n v="25"/>
    <x v="33"/>
    <x v="2"/>
    <s v="Business &amp; Economics"/>
    <s v="6O7CA"/>
    <s v=""/>
    <s v="gold"/>
    <s v=""/>
    <s v=""/>
    <s v="2023-11-15"/>
    <s v="WOS:000890397700001"/>
    <s v="View Full Record in Web of Science"/>
    <m/>
  </r>
  <r>
    <x v="156"/>
    <s v="J"/>
    <x v="155"/>
    <s v=""/>
    <s v=""/>
    <s v=""/>
    <s v="Lousa, Mario Dias; Lousa, Eva Petiz"/>
    <s v=""/>
    <s v=""/>
    <x v="155"/>
    <x v="123"/>
    <s v=""/>
    <s v=""/>
    <s v="English"/>
    <s v="Article"/>
    <s v=""/>
    <s v=""/>
    <s v=""/>
    <s v=""/>
    <s v=""/>
    <x v="148"/>
    <x v="129"/>
    <s v="With the epidemiological scenario produced by the COVID-19 pandemic, information technologies have increased their importance in education and become even more significant, forcing unforeseen and fundamental adjustments in the organization of work. To ensure that students continue to learn, these developments in educational institutions have led to the increasing use of remote learning. This study investigates the factors that facilitate or condition students' perception of their perceived efficacy and development of soft skills in a remote learning environment during the second COVID-19 blockade in Portugal. Between March 1 and 15, 2021, 258 students (higher education) who were enrolled in remote learning answered a web-based cross-sectional questionnaire. The results of the regression analysis revealed several conditioning factors for this type of learning that can impact on the effectiveness and development of students' competencies: technological issues, learning conditions (e.g., autonomy, study materials) and demotivation were significant factors. Given current and future generations of students, the results of this study provide clues for higher education managers and teachers to develop digital strategies to provide innovative, attractive and motivating learning environments."/>
    <s v="[Lousa, Mario Dias] Inst Politecn Gaya ISPGaya, Lisbon, Portugal; [Lousa, Eva Petiz] Inst Univ Maia ISMAI, Porto, Portugal; [Lousa, Eva Petiz] Inst Politecn Porto, Escola Super Contabilidade &amp; Negocios Porto, Porto, Portugal"/>
    <s v="Instituto Universitario da Maia (ISMAI); Instituto Politecnico do Porto"/>
    <s v="Lousa, MD (corresponding author), Inst Politecn Gaya ISPGaya, Lisbon, Portugal."/>
    <s v=""/>
    <s v="Lousã, Mário Dias/AAA-3387-2019; Lousa, Eva/S-1815-2018"/>
    <s v="Lousã, Mário Dias/0000-0001-7776-5528; Lousa, Eva/0000-0001-8212-8638"/>
    <s v=""/>
    <s v=""/>
    <s v=""/>
    <s v=""/>
    <n v="34"/>
    <n v="0"/>
    <n v="0"/>
    <n v="0"/>
    <n v="0"/>
    <s v="UNIV FEDERAL SERGIPE"/>
    <s v="SERGIPE"/>
    <s v="AV VEREADOR OLIMPIO GRANDE, ITABAIANA, SERGIPE, 00000, BRAZIL"/>
    <s v="2176-171X"/>
    <s v=""/>
    <s v=""/>
    <s v="REV EDAPECI"/>
    <s v="Rev. EDaPECI"/>
    <s v="SEP-DEC"/>
    <x v="1"/>
    <n v="22"/>
    <n v="3"/>
    <s v=""/>
    <s v=""/>
    <s v=""/>
    <s v=""/>
    <n v="19"/>
    <n v="31"/>
    <s v=""/>
    <s v="10.29276/redapeci.2022.22.318349.19-31"/>
    <s v="http://dx.doi.org/10.29276/redapeci.2022.22.318349.19-31"/>
    <s v=""/>
    <s v=""/>
    <n v="13"/>
    <x v="39"/>
    <x v="2"/>
    <s v="Education &amp; Educational Research"/>
    <s v="8F4ZN"/>
    <s v=""/>
    <s v="Green Submitted, gold"/>
    <s v=""/>
    <s v=""/>
    <s v="2023-11-15"/>
    <s v="WOS:000919673400003"/>
    <s v="View Full Record in Web of Science"/>
    <m/>
  </r>
  <r>
    <x v="157"/>
    <s v="J"/>
    <x v="156"/>
    <s v=""/>
    <s v=""/>
    <s v=""/>
    <s v="Nikitenko, Vitalina; Voronkova, Valentyna; Oleksenko, Roman; Andriukaitiene, Regina; Holovii, Liudmyla"/>
    <s v=""/>
    <s v=""/>
    <x v="156"/>
    <x v="50"/>
    <s v=""/>
    <s v=""/>
    <s v="English"/>
    <s v="Article"/>
    <s v=""/>
    <s v=""/>
    <s v=""/>
    <s v=""/>
    <s v=""/>
    <x v="149"/>
    <x v="130"/>
    <s v="The purpose of the study is to conceptualize the cognitive development of society as a factor of digital transformation. The solution of this problem contributes to the formation of a new theory that requires the introduction of innovative technologies that play a very important role in the sustainable development of society. The research methodology used consists of axiological, comparative, synergistic, structural-functional methods and approaches. The emergence of a new digital person is explored, whose essence is that the technological revolution has made it possible for everyone to connect to the network, to contribute to the network effect, allowing people to work in real time and generate income by moving in the markets. The concept of the formation of the digital economy has been structured, as a factor in the cognitive development of society, and new digital strategies have been revealed for firms, companies, organizations, companies that face immeasurable challenges and opportunities for digitization and for achieve success."/>
    <s v="[Nikitenko, Vitalina; Voronkova, Valentyna] Zaporizhzhia Natl Univ, Zaporizhzhia, Ukraine; [Oleksenko, Roman] Dmytro Motornyi Tavria State Agrotechnol Univ, Melitopol, Ukraine; [Andriukaitiene, Regina] Marijampole Univ Appl Sci, Marijampole, Lithuania; [Andriukaitiene, Regina] Lithuanian Sports Univ, Kaunas, Lithuania; [Holovii, Liudmyla] Natl Univ Life &amp; Environm Sci Ukraine, Kiev, Ukraine"/>
    <s v="Ministry of Education &amp; Science of Ukraine; Zaporizhzhia National University; Ministry of Education &amp; Science of Ukraine; Dmytro Motornyi Tavria State Agrotechnological University; Lithuanian Sports University; National University of Life &amp; Environmental Sciences of Ukraine"/>
    <s v="Nikitenko, V (corresponding author), Zaporizhzhia Natl Univ, Zaporizhzhia, Ukraine."/>
    <s v="vitalina2006@ukr.net; valentinavoronkova236@gmail.com; roman.xdsl@ukr.net; regina.andriukaitiene@gmail.com; Lyudmyla_Holoviy@nubip.edu.ua"/>
    <s v="Holovii, Liudmyla/AET-4065-2022; Vitalina, Nikitenko/AAQ-5631-2021; Oleksenko, Roman/I-4725-2017; Voronkova, Valentyna/T-2057-2017"/>
    <s v="Vitalina, Nikitenko/0000-0001-9588-7836; Oleksenko, Roman/0000-0002-2171-514X; Voronkova, Valentyna/0000-0002-0719-1546"/>
    <s v=""/>
    <s v=""/>
    <s v=""/>
    <s v=""/>
    <n v="31"/>
    <n v="10"/>
    <n v="10"/>
    <n v="3"/>
    <n v="10"/>
    <s v="UNIV ZULIA, FAC HUMANIDADES EDUCACION, CENTRO INVE"/>
    <s v="MARACAIBO"/>
    <s v="APARTADO 526, MARACAIBO, ZULIA 00000, VENEZUELA"/>
    <s v="0041-8811"/>
    <s v="2665-0428"/>
    <s v=""/>
    <s v="REV UNIV ZULIA"/>
    <s v="Rev. Univ. Zulia"/>
    <s v="SEP-DEC"/>
    <x v="1"/>
    <n v="13"/>
    <n v="38"/>
    <s v=""/>
    <s v=""/>
    <s v=""/>
    <s v=""/>
    <n v="680"/>
    <n v="695"/>
    <s v=""/>
    <s v="10.46925//rdluz.38.37"/>
    <s v="http://dx.doi.org/10.46925//rdluz.38.37"/>
    <s v=""/>
    <s v=""/>
    <n v="16"/>
    <x v="31"/>
    <x v="2"/>
    <s v="Social Sciences - Other Topics"/>
    <s v="5E3FE"/>
    <s v=""/>
    <s v="Green Submitted, hybrid"/>
    <s v=""/>
    <s v=""/>
    <s v="2023-11-15"/>
    <s v="WOS:000865512800035"/>
    <s v="View Full Record in Web of Science"/>
    <m/>
  </r>
  <r>
    <x v="158"/>
    <s v="J"/>
    <x v="157"/>
    <s v=""/>
    <s v=""/>
    <s v=""/>
    <s v="Panduru, Dan Andrei; Scarlat, Cezar"/>
    <s v=""/>
    <s v=""/>
    <x v="157"/>
    <x v="124"/>
    <s v=""/>
    <s v=""/>
    <s v="English"/>
    <s v="Article"/>
    <s v=""/>
    <s v=""/>
    <s v=""/>
    <s v=""/>
    <s v=""/>
    <x v="150"/>
    <x v="1"/>
    <s v="The oil and gas industry is among the most affected industries as a result of war in Ukraine, on top of other economic, political, and environmental global turbulences that culminated with the coronavirus pandemic. The purpose of this qualitative, explorative study was to identify strategic changes as well as the role played by newer technologies-digital technologies in particular-in this industry. The focus is on the Romanian oil and gas industry, more specifically on the retail fuel networks of the top companies. In addition to secondary research (literature and company documents), interview-based primary research was conducted. The data were collected during spring of 2022 by conducting interviews with two groups of subjects: the strategists-consisting of top managers from the largest companies active in the oil and gas industry in Romania; and the informed consumers-selected from people working in the oil and gas industry. The interview guides were slightly different depending on the two groups targeted, and the structure of the interview guide was developed according to research questions. Among the findings, we can observe that the fuel retail market and consumer behaviour changed due to a series of factors, such as the global economic crisis, COVID-19, the Russian invasion of Ukraine, and inflation. Those factors forced fuel retail companies, at the global level, to invest in filling station shops, services development, digitalization, and divestment-selling gas station networks in countries with poor integration with refineries. Romanian fuel retail companies are following the global trends and focusing on filling station shops, alternative fuels development, and digitalization. The results are followed by discussions, and several managerial implications are suggested. The study limitations and several further research paths are also identified. Based on the data available, we can conclude that the strategic directions at the level of products and services are aligned, but at the execution level, specialists offer different solutions for customer expectations."/>
    <s v="[Panduru, Dan Andrei; Scarlat, Cezar] Univ Politehn Bucuresti, Doctoral Sch Entrepreneurship Business Engn &amp; Man, Bucharest 060042, Romania"/>
    <s v="Polytechnic University of Bucharest"/>
    <s v="Panduru, DA (corresponding author), Univ Politehn Bucuresti, Doctoral Sch Entrepreneurship Business Engn &amp; Man, Bucharest 060042, Romania."/>
    <s v="dpanduru91@gmail.com"/>
    <s v=""/>
    <s v=""/>
    <s v=""/>
    <s v=""/>
    <s v=""/>
    <s v=""/>
    <n v="40"/>
    <n v="2"/>
    <n v="2"/>
    <n v="4"/>
    <n v="7"/>
    <s v="MDPI"/>
    <s v="BASEL"/>
    <s v="ST ALBAN-ANLAGE 66, CH-4052 BASEL, SWITZERLAND"/>
    <s v=""/>
    <s v="2078-2489"/>
    <s v=""/>
    <s v="INFORMATION"/>
    <s v="Information"/>
    <s v="SEP"/>
    <x v="1"/>
    <n v="13"/>
    <n v="9"/>
    <s v=""/>
    <s v=""/>
    <s v=""/>
    <s v=""/>
    <s v=""/>
    <s v=""/>
    <n v="416"/>
    <s v="10.3390/info13090416"/>
    <s v="http://dx.doi.org/10.3390/info13090416"/>
    <s v=""/>
    <s v=""/>
    <n v="11"/>
    <x v="36"/>
    <x v="2"/>
    <s v="Computer Science"/>
    <s v="4T6GR"/>
    <s v=""/>
    <s v="gold"/>
    <s v=""/>
    <s v=""/>
    <s v="2023-11-15"/>
    <s v="WOS:000858213600001"/>
    <s v="View Full Record in Web of Science"/>
    <m/>
  </r>
  <r>
    <x v="159"/>
    <s v="J"/>
    <x v="158"/>
    <s v=""/>
    <s v=""/>
    <s v=""/>
    <s v="Ruiz Diaz, Gonzalo"/>
    <s v=""/>
    <s v=""/>
    <x v="158"/>
    <x v="125"/>
    <s v=""/>
    <s v=""/>
    <s v="English"/>
    <s v="Article"/>
    <s v=""/>
    <s v=""/>
    <s v=""/>
    <s v=""/>
    <s v=""/>
    <x v="151"/>
    <x v="1"/>
    <s v="This study presents an ex post comparative assessment of the relative performance of three Latin American broadband network emblematic projects implemented through public-private projects (PPP). Results show that the relative performance of these projects is extremely sensitive to differences in contractual design and regulatory approaches applied in each case. The detailed examination and comparative analysis of these experiences allowed us to extract important lessons in terms of design and implementation of PPP in telecommunications sector. In particular, our analysis finds that imperfect financing and demand risk allocations in projects can jeopardize their operational and financial sustainability. As well, the examination of these experiences allows us to conclude that in markets characterized by continuous economic and technological transformations, vertical separation restrictions imposed for reducing the risk of increasing market power and concentration may not be justified. As well, analysis shows that in such evolving contexts, a more flexible and adaptable regulatory approach is recommendable. Finally, our analysis reveals the role of complementary policies in the context of the implementation of countries' digital strategies, as a means that contribute to ensure the accomplishment of broadband accessibility national targets."/>
    <s v="[Ruiz Diaz, Gonzalo] Pontifical Catholic Univ Peru, Dept Econ, Lima, Peru"/>
    <s v="Pontificia Universidad Catolica del Peru"/>
    <s v="Díaz, GR (corresponding author), Pontifical Catholic Univ Peru, Dept Econ, Lima, Peru."/>
    <s v="gruiz@pucp.edu.pe"/>
    <s v="Ruiz Diaz, Gonzalo Martin/AGF-8317-2022"/>
    <s v="Ruiz Diaz, Gonzalo Martin/0000-0001-9972-9181"/>
    <s v=""/>
    <s v=""/>
    <s v=""/>
    <s v=""/>
    <n v="48"/>
    <n v="1"/>
    <n v="1"/>
    <n v="3"/>
    <n v="5"/>
    <s v="ELSEVIER SCI LTD"/>
    <s v="OXFORD"/>
    <s v="THE BOULEVARD, LANGFORD LANE, KIDLINGTON, OXFORD OX5 1GB, OXON, ENGLAND"/>
    <s v="0308-5961"/>
    <s v="1879-3258"/>
    <s v=""/>
    <s v="TELECOMMUN POLICY"/>
    <s v="Telecommun. Policy"/>
    <s v="SEP"/>
    <x v="1"/>
    <n v="46"/>
    <n v="8"/>
    <s v=""/>
    <s v=""/>
    <s v=""/>
    <s v=""/>
    <s v=""/>
    <s v=""/>
    <n v="102367"/>
    <s v="10.1016/j.telpol.2022.102367"/>
    <s v="http://dx.doi.org/10.1016/j.telpol.2022.102367"/>
    <s v=""/>
    <s v=""/>
    <n v="14"/>
    <x v="70"/>
    <x v="3"/>
    <s v="Communication; Information Science &amp; Library Science; Telecommunications"/>
    <s v="8T1UH"/>
    <s v=""/>
    <s v=""/>
    <s v=""/>
    <s v=""/>
    <s v="2023-11-15"/>
    <s v="WOS:000929053500004"/>
    <s v="View Full Record in Web of Science"/>
    <m/>
  </r>
  <r>
    <x v="160"/>
    <s v="J"/>
    <x v="159"/>
    <s v=""/>
    <s v=""/>
    <s v=""/>
    <s v="Santana, Yaimara Penate"/>
    <s v=""/>
    <s v=""/>
    <x v="159"/>
    <x v="34"/>
    <s v=""/>
    <s v=""/>
    <s v="English"/>
    <s v="Article"/>
    <s v=""/>
    <s v=""/>
    <s v=""/>
    <s v=""/>
    <s v=""/>
    <x v="152"/>
    <x v="1"/>
    <s v="Every day, SMEs face various challenges to operate, in which the use of digital marketing strategies has been crucial to ensure their success or failure. This study analyzed the perception of Ecuadorian entrepreneurs on the role of these strategies in the failure of their businesses. The research was exploratory-descriptive; through a survey applied to a non-probabilistic sample of 21 entrepreneurs. The results showed that the use of digital strategies as a means of advertising and promotion is almost null. The most used medium has been social networks (whatsapp and Facebook) and promotions were based on offers and free samples. E-commerce was not a widely used channel either, despite the fact that the benefit of web pages to achieve a greater reach and attract new customers is recognized. Correspondingly, investment in this type of strategy was almost nil, as was the use of metrics to track them. Finally, the entrepreneurs agreed that the limited use of digital marketing had no influence on the closure of their businesses, an opinion that contradicts the results of other research."/>
    <s v="[Santana, Yaimara Penate] Univ Guayaquil, Guayaquil, Ecuador"/>
    <s v=""/>
    <s v="Santana, YP (corresponding author), Univ Guayaquil, Guayaquil, Ecuador."/>
    <s v="yaimara.penates@ug.edu.ec"/>
    <s v=""/>
    <s v=""/>
    <s v=""/>
    <s v=""/>
    <s v=""/>
    <s v=""/>
    <n v="17"/>
    <n v="0"/>
    <n v="0"/>
    <n v="0"/>
    <n v="1"/>
    <s v="UNIV CIENFUEGOS"/>
    <s v="CIENFUEGOS"/>
    <s v="CARRETERA RODAS KM 4, CUATRO CAMINOS, CIENFUEGOS, 00000, CUBA"/>
    <s v="2218-3620"/>
    <s v=""/>
    <s v=""/>
    <s v="REV UNIV SOC"/>
    <s v="Rev. Univ. Soc."/>
    <s v="SEP-OCT"/>
    <x v="1"/>
    <n v="14"/>
    <n v="5"/>
    <s v=""/>
    <s v=""/>
    <s v=""/>
    <s v=""/>
    <n v="248"/>
    <n v="255"/>
    <s v=""/>
    <s v=""/>
    <s v=""/>
    <s v=""/>
    <s v=""/>
    <n v="8"/>
    <x v="31"/>
    <x v="2"/>
    <s v="Social Sciences - Other Topics"/>
    <s v="6Z5OJ"/>
    <s v=""/>
    <s v=""/>
    <s v=""/>
    <s v=""/>
    <s v="2023-11-15"/>
    <s v="WOS:000897825500026"/>
    <s v="View Full Record in Web of Science"/>
    <m/>
  </r>
  <r>
    <x v="161"/>
    <s v="J"/>
    <x v="159"/>
    <s v=""/>
    <s v=""/>
    <s v=""/>
    <s v="Santana, Yaimara Penate"/>
    <s v=""/>
    <s v=""/>
    <x v="159"/>
    <x v="34"/>
    <s v=""/>
    <s v=""/>
    <s v="English"/>
    <s v="Article"/>
    <s v=""/>
    <s v=""/>
    <s v=""/>
    <s v=""/>
    <s v=""/>
    <x v="152"/>
    <x v="1"/>
    <s v="Every day, SMEs face various challenges to operate, in which the use of digital marketing strategies has been crucial to ensure their success or failure. This study analyzed the perception of Ecuadorian entrepreneurs on the role of these strategies in the failure of their businesses. The research was exploratory-descriptive; through a survey applied to a non-probabilistic sample of 21 entrepreneurs. The results showed that the use of digital strategies as a means of advertising and promotion is almost null. The most used medium has been social networks (whatsapp and Facebook) and promotions were based on offers and free samples. E-commerce was not a widely used channel either, despite the fact that the benefit of web pages to achieve a greater reach and attract new customers is recognized. Correspondingly, investment in this type of strategy was almost nil, as was the use of metrics to track them. Finally, the entrepreneurs agreed that the limited use of digital marketing had no influence on the closure of their businesses, an opinion that contradicts the results of other research."/>
    <s v="[Santana, Yaimara Penate] Univ Guayaquil, Guayaquil, Ecuador"/>
    <s v=""/>
    <s v="Santana, YP (corresponding author), Univ Guayaquil, Guayaquil, Ecuador."/>
    <s v="yaimara.penates@ug.edu.ec"/>
    <s v=""/>
    <s v=""/>
    <s v=""/>
    <s v=""/>
    <s v=""/>
    <s v=""/>
    <n v="17"/>
    <n v="0"/>
    <n v="0"/>
    <n v="0"/>
    <n v="0"/>
    <s v="UNIV CIENFUEGOS"/>
    <s v="CIENFUEGOS"/>
    <s v="CARRETERA RODAS KM 4, CUATRO CAMINOS, CIENFUEGOS, 00000, CUBA"/>
    <s v="2218-3620"/>
    <s v=""/>
    <s v=""/>
    <s v="REV UNIV SOC"/>
    <s v="Rev. Univ. Soc."/>
    <s v="SEP-OCT"/>
    <x v="1"/>
    <n v="14"/>
    <n v="5"/>
    <s v=""/>
    <s v=""/>
    <s v=""/>
    <s v=""/>
    <n v="248"/>
    <n v="255"/>
    <s v=""/>
    <s v=""/>
    <s v=""/>
    <s v=""/>
    <s v=""/>
    <n v="8"/>
    <x v="31"/>
    <x v="2"/>
    <s v="Social Sciences - Other Topics"/>
    <s v="7B7UO"/>
    <s v=""/>
    <s v=""/>
    <s v=""/>
    <s v=""/>
    <s v="2023-11-15"/>
    <s v="WOS:000899334400026"/>
    <s v="View Full Record in Web of Science"/>
    <m/>
  </r>
  <r>
    <x v="162"/>
    <s v="J"/>
    <x v="160"/>
    <s v=""/>
    <s v=""/>
    <s v=""/>
    <s v="Byiringiro, Samuel; Lacanienta, Cyd; Clark, Roger; Evans, Crystal; Stevens, Sarah; Reese, Melanie; Ouyang, Pamela; Terkowitz, Mia; Weston, Christine; Galiatsatos, Panagis; Vazquez, Monica Guerrero; Luthardt, Frederick W.; Himmelfarb, Cheryl R. Dennison"/>
    <s v=""/>
    <s v=""/>
    <x v="160"/>
    <x v="126"/>
    <s v=""/>
    <s v=""/>
    <s v="English"/>
    <s v="Article"/>
    <s v=""/>
    <s v=""/>
    <s v=""/>
    <s v=""/>
    <s v=""/>
    <x v="153"/>
    <x v="1"/>
    <s v="Despite the adversity presented by COVID-19 pandemic, it also pushed for experimenting with innovative strategies for community engagement. The Community Research Advisory Council (C-RAC) at Johns Hopkins University (JHU), is an initiative to promote community engagement in research. COVID-19 rendered it impossible for C-RAC to conduct its meetings all of which have historically been in person. We describe the experience of advancing the work of the C-RAC during COVID-19 using digital and virtual strategies. Since March 2020, C-RAC transitioned from in person to virtual meetings. The needs assessment was conducted among C-RAC members, and individualized solutions provided for a successful virtual engagement. The usual working schedule was altered to respond to COVID-19 and promote community engaged research. Attendance to C-RAC meetings before and after the transition to virtual operation increased from 69% to 76% among C-RAC members from the community. In addition, the C-RAC launched new initiatives and in eighteen months since January 2020, it conducted 50 highly rated research reviews for 20 research teams. The experience of the C-RAC demonstrates that when community needs are assessed and addressed, and technical support is provided, digital strategies can lead to greater community collaborations."/>
    <s v="[Byiringiro, Samuel; Himmelfarb, Cheryl R. Dennison] Johns Hopkins Sch Nursing, Baltimore, MD USA; [Byiringiro, Samuel; Lacanienta, Cyd; Evans, Crystal; Stevens, Sarah; Ouyang, Pamela; Terkowitz, Mia; Weston, Christine; Vazquez, Monica Guerrero; Luthardt, Frederick W.; Himmelfarb, Cheryl R. Dennison] Johns Hopkins Inst Clin &amp; Translat Res, Baltimore, MD USA; [Clark, Roger; Reese, Melanie; Ouyang, Pamela; Galiatsatos, Panagis; Vazquez, Monica Guerrero; Luthardt, Frederick W.] Community Res Advisory Council, Baltimore, MD USA; [Ouyang, Pamela; Galiatsatos, Panagis; Vazquez, Monica Guerrero; Luthardt, Frederick W.; Himmelfarb, Cheryl R. Dennison] Johns Hopkins Univ, Sch Med, Baltimore, MD USA; [Galiatsatos, Panagis] Off Divers Inclus &amp; Hlth Equ, Baltimore, MD USA; [Vazquez, Monica Guerrero] Ctr Hlth &amp; Opportun Latinos, Baltimore, MD USA"/>
    <s v="Johns Hopkins University; Johns Hopkins University; Johns Hopkins University"/>
    <s v="Byiringiro, S (corresponding author), 525 N Wolfe St, Baltimore, MD 21205 USA."/>
    <s v="sbyirin1@jhu.edu"/>
    <s v=""/>
    <s v="Byiringiro, Samuel/0000-0001-9165-0348; Lacanienta, Cyd/0000-0002-3840-0822; Guerrero Vazquez, Monica/0000-0002-4072-3954"/>
    <s v="National Center for Advancing Translational Sciences (NCATS) a component of the National Institutes of Health (NIH) [UL1 TR003098]; NIH Roadmap for Medical Research; Communities and Universities Engaged to Fight COVID-19 (CUE COVID-19) [OT2HL161612]"/>
    <s v="National Center for Advancing Translational Sciences (NCATS) a component of the National Institutes of Health (NIH)(United States Department of Health &amp; Human ServicesNational Institutes of Health (NIH) - USANIH National Center for Advancing Translational Sciences (NCATS)); NIH Roadmap for Medical Research(United States Department of Health &amp; Human ServicesNational Institutes of Health (NIH) - USA); Communities and Universities Engaged to Fight COVID-19 (CUE COVID-19)"/>
    <s v="This work was made possible by the Johns Hopkins Institute for Clinical and Translational Research (ICTR) which is funded in part by Grant Number UL1 TR003098 from the National Center for Advancing Translational Sciences (NCATS) a component of the National Institutes of Health (NIH), and NIH Roadmap for Medical Research. Its contents are solely the responsibility of the authors and do not necessarily represent the official view of the Johns Hopkins ICTR, NCATS or NIH. Funding was also provided by grant number OT2HL161612, Communities and Universities Engaged to Fight COVID-19 (CUE COVID-19)."/>
    <s v=""/>
    <n v="23"/>
    <n v="4"/>
    <n v="4"/>
    <n v="1"/>
    <n v="1"/>
    <s v="CAMBRIDGE UNIV PRESS"/>
    <s v="CAMBRIDGE"/>
    <s v="EDINBURGH BLDG, SHAFTESBURY RD, CB2 8RU CAMBRIDGE, ENGLAND"/>
    <s v=""/>
    <s v="2059-8661"/>
    <s v=""/>
    <s v="J CLIN TRANSL SCI"/>
    <s v="J. Clin. Transl. Sci."/>
    <s v="AUG 30"/>
    <x v="1"/>
    <n v="6"/>
    <n v="1"/>
    <s v=""/>
    <s v=""/>
    <s v=""/>
    <s v=""/>
    <s v=""/>
    <s v=""/>
    <s v="e121"/>
    <s v="10.1017/cts.2022.457"/>
    <s v="http://dx.doi.org/10.1017/cts.2022.457"/>
    <s v=""/>
    <s v=""/>
    <n v="6"/>
    <x v="3"/>
    <x v="2"/>
    <s v="Research &amp; Experimental Medicine"/>
    <s v="5B5HF"/>
    <n v="36285018"/>
    <s v="gold, Green Published"/>
    <s v=""/>
    <s v=""/>
    <s v="2023-11-15"/>
    <s v="WOS:000863599900001"/>
    <s v="View Full Record in Web of Science"/>
    <m/>
  </r>
  <r>
    <x v="163"/>
    <s v="J"/>
    <x v="161"/>
    <s v=""/>
    <s v=""/>
    <s v=""/>
    <s v="Ali, Faris Hyder; Bandi, Shamsulhadi"/>
    <s v=""/>
    <s v=""/>
    <x v="161"/>
    <x v="127"/>
    <s v=""/>
    <s v=""/>
    <s v="English"/>
    <s v="Article; Early Access"/>
    <s v=""/>
    <s v=""/>
    <s v=""/>
    <s v=""/>
    <s v=""/>
    <x v="154"/>
    <x v="131"/>
    <s v="Considerable effort to leverage digital data was exerted as construction adopts innovative work processes. Among these, Building Information Modelling (BIM) sat at the backbone of digital strategy, with the capability to create huge digital data through its realizable multifunctionality and integration capacity. Ubiquitous to construction, the explosion of huge data through BIM sparked the relevancy of big data. While it was logical that the volume of BIM data swells from the adoption of BIM, a question remains whether the creation of BIM data conjures to big data progression. Hence, this research aimed to examine the relationship between BIM data creation and big data attributes. The study was carried out by a combination of literature reviews and a questionnaire survey. The outcome indicates two groups which are cost and operation and maintenance (OM) data had a very low correlation due to irrefutable reasons, the remaining material, design and schedule data reflected a strong positive relationship. Therefore, the outcome reflects the earlier attestation of the technological fusion in construction."/>
    <s v="[Ali, Faris Hyder; Bandi, Shamsulhadi] Univ Technol Malaysia, Fac Built Environm &amp; Surveying, Johor Baharu, Malaysia"/>
    <s v="Universiti Teknologi Malaysia"/>
    <s v="Ali, FH (corresponding author), Univ Technol Malaysia, Fac Built Environm &amp; Surveying, Johor Baharu, Malaysia."/>
    <s v="faris.ha@graduate.utm.my"/>
    <s v=""/>
    <s v="Hyder Ali, Faris/0000-0001-7780-5577"/>
    <s v="Ministry of Higher Education under the Fundamental Research Grant Scheme (FRGS) [FRGS/1/2019/SS03/UTM/02/4]"/>
    <s v="Ministry of Higher Education under the Fundamental Research Grant Scheme (FRGS)"/>
    <s v="All these works are being supported/funded by Ministry of Higher Education under the Fundamental Research Grant Scheme (FRGS) (FRGS/1/2019/SS03/UTM/02/4)."/>
    <s v=""/>
    <n v="138"/>
    <n v="1"/>
    <n v="1"/>
    <n v="6"/>
    <n v="19"/>
    <s v="TAYLOR &amp; FRANCIS LTD"/>
    <s v="ABINGDON"/>
    <s v="2-4 PARK SQUARE, MILTON PARK, ABINGDON OR14 4RN, OXON, ENGLAND"/>
    <s v="1562-3599"/>
    <s v="2331-2327"/>
    <s v=""/>
    <s v="INT J CONSTR MANAG"/>
    <s v="Int. J. Constr. Manag."/>
    <s v="2022 AUG 29"/>
    <x v="1"/>
    <s v=""/>
    <s v=""/>
    <s v=""/>
    <s v=""/>
    <s v=""/>
    <s v=""/>
    <s v=""/>
    <s v=""/>
    <s v=""/>
    <s v="10.1080/15623599.2022.2119071"/>
    <s v="http://dx.doi.org/10.1080/15623599.2022.2119071"/>
    <s v=""/>
    <s v="AUG 2022"/>
    <n v="10"/>
    <x v="8"/>
    <x v="2"/>
    <s v="Business &amp; Economics"/>
    <s v="4K8FH"/>
    <s v=""/>
    <s v=""/>
    <s v=""/>
    <s v=""/>
    <s v="2023-11-15"/>
    <s v="WOS:000852177800001"/>
    <s v="View Full Record in Web of Science"/>
    <m/>
  </r>
  <r>
    <x v="164"/>
    <s v="J"/>
    <x v="162"/>
    <s v=""/>
    <s v=""/>
    <s v=""/>
    <s v="Gandon, Clea; Gricourt, Yann; Thomas, Maxime; Garnaud, Benjamin; Elhaj, Mona; Boisson, Christophe; Boudemaghe, Thierry; Jaber, Samir; Claret, Pierre Geraud; Cuvillon, Philippe"/>
    <s v=""/>
    <s v=""/>
    <x v="162"/>
    <x v="128"/>
    <s v=""/>
    <s v=""/>
    <s v="English"/>
    <s v="Article"/>
    <s v=""/>
    <s v=""/>
    <s v=""/>
    <s v=""/>
    <s v=""/>
    <x v="155"/>
    <x v="132"/>
    <s v="Purpose: This quality improvement project evaluated interventions implemented to enhance individual adherence to a lung-protective ventilation strategy and its triad: low tidal volume, PEEP &gt;= 5, recruitment manoeuvres.Methods: For two years, nine anaesthesia workstations were connected to an automated cloud-based analytics software tool, which automatically recorded ventilation parameters as soon as a new patient case was opened. Four quality improvement periods were determined over the first year: baseline, intervention, no intervention, intervention + digital. In the second year, the digital strategy was continued for nine months, followed by a final overtime period. Baseline and no intervention periods included no training. The intervention period included both conventional and educational programs. The digital period included pop-up messages, which automatically appeared on the screen of the anaesthesia data management system when patients were intubated. The primary endpoint was provider adherence to the recommended triad.Results: From October 2018 to December 2020, 12,883 procedures were performed. Data were available for 8968 procedures: baseline (n = 2361), intervention (n = 2423), no intervention (n = 1064), intervention + digital (n = 1862), overtime (n = 1258). Age, Predicted Body Weight, ASA score, type of surgery and airway management were similar between periods. At baseline, 75.2% of procedures reported low tidal volume but only 6.9% involved the complete triad. At over time, Triad was 22% (p &lt; 0.001). Over study period, each parameter of the Triad (RM, Vt and Peep) increased (p &lt; 0.001 vs. baseline), driving pressure decreased although EtCO2 and plateau pressure had not changed.Conclusion: Training with the help of digital apps improved LPV adherence over time.(c) 2022 Socie acute accent te acute accent franc , aise d'anesthe acute accent sie et de re acute accent animation (Sfar). Published by Elsevier Masson SAS. All rights reserved."/>
    <s v="[Gandon, Clea; Gricourt, Yann; Thomas, Maxime; Garnaud, Benjamin; Elhaj, Mona; Boisson, Christophe; Cuvillon, Philippe] Ctr Hosp Univ CHU Caremeau, Dept Anaesthesiol &amp; Pain Management, Place Professeur Debre, Nimes, France; [Gandon, Clea; Gricourt, Yann; Thomas, Maxime; Garnaud, Benjamin; Elhaj, Mona; Boisson, Christophe; Boudemaghe, Thierry; Claret, Pierre Geraud; Cuvillon, Philippe] Montpellier Univ 1, Montpellier, France; [Boudemaghe, Thierry] Ctr Hosp Univ CHU Caremeau, Dept Med Informat, Pl Prof Debre, Nimes, France; [Jaber, Samir] Montpellier Univ, St Eloi Univ Hosp, Res Unit Phy MedExp, Dept Anaesthesiol &amp; Intensive Care DARB,INSERM ,CN, 80 Ave Augustin Fl, F-34295 Montpellier, France; [Claret, Pierre Geraud] Ctr Hosp Univ CHU Caremeau, Emergency Dept, Pl Prof Debre, Nimes, France; [Cuvillon, Philippe] Ctr Hosp Univ CHU Caremeau, Dept Anaesthesiol &amp; Pain Management, Pl Prof Debre, Nimes, France"/>
    <s v="Universite de Montpellier; CHU de Nimes; Universite de Montpellier; Universite de Montpellier; CHU de Nimes; Institut National de la Sante et de la Recherche Medicale (Inserm); Universite de Montpellier; CHU de Montpellier; Universite de Montpellier; CHU de Nimes; Universite de Montpellier; CHU de Nimes"/>
    <s v="Cuvillon, P (corresponding author), Ctr Hosp Univ CHU Caremeau, Dept Anaesthesiol &amp; Pain Management, Pl Prof Debre, Nimes, France."/>
    <s v="philippe.cuvillon@chu-nimes.fr"/>
    <s v=""/>
    <s v="BOUDEMAGHE, Thierry/0000-0003-4768-2267"/>
    <s v=""/>
    <s v=""/>
    <s v=""/>
    <s v=""/>
    <n v="13"/>
    <n v="0"/>
    <n v="0"/>
    <n v="0"/>
    <n v="0"/>
    <s v="ELSEVIER FRANCE-EDITIONS SCIENTIFIQUES MEDICALES ELSEVIER"/>
    <s v="ISSY-LES-MOULINEAUX"/>
    <s v="65 RUE CAMILLE DESMOULINS, CS50083, 92442 ISSY-LES-MOULINEAUX, FRANCE"/>
    <s v="2352-5568"/>
    <s v=""/>
    <s v=""/>
    <s v="ANAESTH CRIT CARE PA"/>
    <s v="Anaesth. Crit. Care Pain Med."/>
    <s v="DEC"/>
    <x v="1"/>
    <n v="41"/>
    <n v="6"/>
    <s v=""/>
    <s v=""/>
    <s v=""/>
    <s v=""/>
    <s v=""/>
    <s v=""/>
    <n v="101143"/>
    <s v="10.1016/j.accpm.2022.101143"/>
    <s v="http://dx.doi.org/10.1016/j.accpm.2022.101143"/>
    <s v=""/>
    <s v="AUG 2022"/>
    <n v="6"/>
    <x v="71"/>
    <x v="0"/>
    <s v="Anesthesiology; General &amp; Internal Medicine"/>
    <s v="4W7UH"/>
    <n v="35988703"/>
    <s v="hybrid, Green Submitted"/>
    <s v=""/>
    <s v=""/>
    <s v="2023-11-15"/>
    <s v="WOS:000860362800001"/>
    <s v="View Full Record in Web of Science"/>
    <m/>
  </r>
  <r>
    <x v="165"/>
    <s v="J"/>
    <x v="163"/>
    <s v=""/>
    <s v=""/>
    <s v=""/>
    <s v="Doellgast, Virginia"/>
    <s v=""/>
    <s v=""/>
    <x v="163"/>
    <x v="129"/>
    <s v=""/>
    <s v=""/>
    <s v="English"/>
    <s v="Article"/>
    <s v=""/>
    <s v=""/>
    <s v=""/>
    <s v=""/>
    <s v=""/>
    <x v="156"/>
    <x v="133"/>
    <s v="National economies with different industrial relations and welfare state traditions are experiencing a similar digital transformation. This article examines how labour unions are seeking to influence digital strategies and investments in the information and communication technology (ICT) industry, based on initial research findings in the US and Germany. These efforts can be divided into three action fields: campaigns focused on influencing state investment and data protection or AI regulation; efforts to extend legal or negotiated labour market protections to new groups of workers; and collective negotiations over new technologies at firm and workplace levels. All three can be seen as complementary in establishing the conditions for the social regulation of new digitally enabled markets."/>
    <s v="[Doellgast, Virginia] Cornell Univ, ILR Sch, Ithaca, NY 14850 USA"/>
    <s v="Cornell University"/>
    <s v="Doellgast, V (corresponding author), Cornell Univ, ILR Sch, Ithaca, NY 14850 USA."/>
    <s v="vld7@cornell.edu"/>
    <s v=""/>
    <s v=""/>
    <s v="Social Sciences and Humanities Research Council of Canada (SSHRC) Insight Development Grant; Research Council of Norway Grant [295914]; German Academic Exchange Service (DAAD) Research Award"/>
    <s v="Social Sciences and Humanities Research Council of Canada (SSHRC) Insight Development Grant(Social Sciences and Humanities Research Council of Canada (SSHRC)); Research Council of Norway Grant(Research Council of Norway); German Academic Exchange Service (DAAD) Research Award(Deutscher Akademischer Austausch Dienst (DAAD))"/>
    <s v="Case study findings draw on research in progress with Sean O'Brady and Ines Wagner, funded by a Social Sciences and Humanities Research Council of Canada (SSHRC) Insight Development Grant, a Research Council of Norway Grant (#295914), and a German Academic Exchange Service (DAAD) Research Award."/>
    <s v=""/>
    <n v="34"/>
    <n v="3"/>
    <n v="3"/>
    <n v="1"/>
    <n v="5"/>
    <s v="ROUTLEDGE JOURNALS, TAYLOR &amp; FRANCIS LTD"/>
    <s v="ABINGDON"/>
    <s v="2-4 PARK SQUARE, MILTON PARK, ABINGDON OX14 4RN, OXON, ENGLAND"/>
    <s v="1030-1763"/>
    <s v="2325-5676"/>
    <s v=""/>
    <s v="LABOUR IND"/>
    <s v="Labour Ind."/>
    <s v="JAN 2"/>
    <x v="0"/>
    <n v="33"/>
    <n v="1"/>
    <s v=""/>
    <s v=""/>
    <s v="SI"/>
    <s v=""/>
    <n v="22"/>
    <n v="38"/>
    <s v=""/>
    <s v="10.1080/10301763.2022.2111987"/>
    <s v="http://dx.doi.org/10.1080/10301763.2022.2111987"/>
    <s v=""/>
    <s v="AUG 2022"/>
    <n v="17"/>
    <x v="72"/>
    <x v="2"/>
    <s v="Business &amp; Economics"/>
    <s v="9R6WF"/>
    <s v=""/>
    <s v=""/>
    <s v=""/>
    <s v=""/>
    <s v="2023-11-15"/>
    <s v="WOS:000844955300001"/>
    <s v="View Full Record in Web of Science"/>
    <m/>
  </r>
  <r>
    <x v="166"/>
    <s v="J"/>
    <x v="164"/>
    <s v=""/>
    <s v=""/>
    <s v=""/>
    <s v="de Amorim, Luzia Arantes; Sousa, Bruno Barbosa; Dias, Alvaro Lopes; Santos, Vasco Ribeiro"/>
    <s v=""/>
    <s v=""/>
    <x v="164"/>
    <x v="130"/>
    <s v=""/>
    <s v=""/>
    <s v="English"/>
    <s v="Article; Early Access"/>
    <s v=""/>
    <s v=""/>
    <s v=""/>
    <s v=""/>
    <s v=""/>
    <x v="157"/>
    <x v="1"/>
    <s v="Purpose Digital communication and social media have an increasing importance in society and in tourism boosting. This study aims to analyse the role of digital marketing in the destination image and visitor loyalty of historic sites. Design/methodology/approach Using a mixed-method approach combining survey data from 318 respondents and three in-depth interviews. Using structural equations modelling results reveals experience, satisfaction, image and loyalty are concepts to be considered by the destinations' digital marketing promotion, as well as the increasing use of digital marketing by tourists, in the sense that tourists are increasing the habit of checking the opinion of others before scheduling their trip and gives them more importance, and a growing importance is given by tourists to the web/social networks of places they intend to visit. Findings This study contributes to the theory on tourism digital marketing which can be transposed to organizations management in order to encourage discussion on the processes of capture, retention and loyalty of target audiences. Research limitations/implications To enhance the importance of digital marketing in the process of the tourist development of the city, it is fundamental to define a clear strategy for attracting and responding to the greatest demand from cultural tourists who are increasingly interested in actively participating in learning experiences. Practical implications The results show that digital communication and social media have an increasing importance in society and in tourism boosting and economy recovery. Social implications The paper presents digital marketing as a possible factor in tourism development and social inclusion, advancing practical measures aimed at social justice through a fairer distribution of tourism revenues and the defence of historic centre residents' way (i.e. Barcelos'), and quality of life. Originality/value The authors suggest the development of a strategic digital marketing plan applied to the development and promotion of tourism in the city of Barcelos (Portugal), to complement the research presented here, thus contributing with a more practical perspective of the subject under study."/>
    <s v="[de Amorim, Luzia Arantes] Univ Minho, Braga, Portugal; [Sousa, Bruno Barbosa] Polytech Inst Cavado &amp; Ave IPCA, CiTUR &amp; UNIAG, Barcelos, Portugal; [Dias, Alvaro Lopes] Univ Lusofona, TRIE &amp; ISCTE IUL, Lisbon, Portugal; [Santos, Vasco Ribeiro] ISLA Santarem &amp; CiTUR, Santarem, Portugal"/>
    <s v="Universidade do Minho; Instituto Politecnico do Cavado e do Ave - IPCA; Lusofona University"/>
    <s v="Sousa, BB (corresponding author), Polytech Inst Cavado &amp; Ave IPCA, CiTUR &amp; UNIAG, Barcelos, Portugal."/>
    <s v="bsousa@ipca.pt"/>
    <s v="Sousa, Bruno Miguel Barbosa/A-5325-2019"/>
    <s v="Sousa, Bruno Miguel Barbosa/0000-0002-8588-2422; Arantes, Luzia/0000-0003-1179-9113; Santos, Vasco/0000-0002-3535-9377; Dias, Alvaro/0000-0003-4074-1586"/>
    <s v=""/>
    <s v=""/>
    <s v=""/>
    <s v=""/>
    <n v="40"/>
    <n v="0"/>
    <n v="0"/>
    <n v="12"/>
    <n v="25"/>
    <s v="EMERALD GROUP PUBLISHING LTD"/>
    <s v="BINGLEY"/>
    <s v="HOWARD HOUSE, WAGON LANE, BINGLEY BD16 1WA, W YORKSHIRE, ENGLAND"/>
    <s v="2044-1266"/>
    <s v="2044-1274"/>
    <s v=""/>
    <s v="J CULT HERIT MANAG S"/>
    <s v="J. Cult. Herit. Manag. Sustain. Dev."/>
    <s v="2022 AUG 23"/>
    <x v="1"/>
    <s v=""/>
    <s v=""/>
    <s v=""/>
    <s v=""/>
    <s v=""/>
    <s v=""/>
    <s v=""/>
    <s v=""/>
    <s v=""/>
    <s v="10.1108/JCHMSD-11-2021-0202"/>
    <s v="http://dx.doi.org/10.1108/JCHMSD-11-2021-0202"/>
    <s v=""/>
    <s v="AUG 2022"/>
    <n v="16"/>
    <x v="73"/>
    <x v="2"/>
    <s v="Science &amp; Technology - Other Topics"/>
    <s v="3Y4EU"/>
    <s v=""/>
    <s v="Green Accepted, Green Submitted"/>
    <s v=""/>
    <s v=""/>
    <s v="2023-11-15"/>
    <s v="WOS:000843680000001"/>
    <s v="View Full Record in Web of Science"/>
    <m/>
  </r>
  <r>
    <x v="167"/>
    <s v="J"/>
    <x v="165"/>
    <s v=""/>
    <s v=""/>
    <s v=""/>
    <s v="de las Heras-Pedrosa, Carlos; Iglesias-Sanchez, Patricia P.; Jambrino-Maldonado, Carmen; Lopez-Delgado, Pilar; Galarza-Fernandez, Emelina"/>
    <s v=""/>
    <s v=""/>
    <x v="165"/>
    <x v="131"/>
    <s v=""/>
    <s v=""/>
    <s v="English"/>
    <s v="Article"/>
    <s v=""/>
    <s v=""/>
    <s v=""/>
    <s v=""/>
    <s v=""/>
    <x v="158"/>
    <x v="134"/>
    <s v="The COVID-19 pandemic has seriously affected the world's cultural institutions, as well as driving digitization and a change in the relationships with their audiences. This study explores how the most visited art-museums in Spain have reacted through their social networks to the pandemic. Two key moments, the confinement and a period one-year after the declaration of the health crisis are compared. A mixed method by combining a content analysis of 2392 publications on Twitter and Instagram and two regression models evidence that COVID-19 has been a turning point in the management of museum communication in digital ecosystems. The main findings highlight the importance of active listening and the ability of these channels to create experiences beyond the physical visit. The strategic value of its implementation is underlined. Practical implications are included and it emphasized the role of entertainment and social support of the museums in crisis situations."/>
    <s v="[de las Heras-Pedrosa, Carlos; Galarza-Fernandez, Emelina] Univ Malaga, Fac Commun Sci, Dept Audiovisual Commun &amp; Advertising, Malaga, Spain; [Iglesias-Sanchez, Patricia P.; Jambrino-Maldonado, Carmen] Univ Malaga, Fac Commerce &amp; Management, Dept Econ &amp; Business Org, Malaga 29071, Spain; [Lopez-Delgado, Pilar] Univ Malaga, Fac Econ &amp; Business Studies, Dept Stat &amp; Econometr, Malaga, Spain"/>
    <s v="Universidad de Malaga; Universidad de Malaga; Universidad de Malaga"/>
    <s v="Jambrino-Maldonado, C (corresponding author), Univ Malaga, Fac Commerce &amp; Management, Dept Econ &amp; Business Org, Malaga 29071, Spain."/>
    <s v="mcjambrino@uma.es"/>
    <s v="Jambrino-Maldonado, Carmen/H-6297-2017; de las Heras-Pedrosa, Carlos/M-4492-2015; Iglesias-Sanchez, Patricia P./A-2308-2015; Lopez Delgado, Pilar/K-4420-2015"/>
    <s v="Jambrino-Maldonado, Carmen/0000-0001-8444-0967; de las Heras-Pedrosa, Carlos/0000-0002-2738-4177; Galarza Fernandez, Emelina/0000-0002-8299-7179; Lopez Delgado, Pilar/0000-0001-5937-7644"/>
    <s v="Programme PAIDI Andalucia [PY20_00407]; Universidad de Malaga/CBUA; Consejeria de Conocimiento, Investigacion y Universidad; Junta de Andalucia"/>
    <s v="Programme PAIDI Andalucia; Universidad de Malaga/CBUA; Consejeria de Conocimiento, Investigacion y Universidad; Junta de Andalucia(Junta de Andalucia)"/>
    <s v="This work was supported by the Programme PAIDI Andalucia under grant number PY20_00407 (Junta de Andalucia/Universidad de Malaga) and Funding for Open Access Charge: Universidad de Malaga/CBUA; Consejeria de Conocimiento, Investigacion y Universidad, Junta de Andalucia"/>
    <s v=""/>
    <n v="45"/>
    <n v="4"/>
    <n v="4"/>
    <n v="6"/>
    <n v="27"/>
    <s v="ROUTLEDGE JOURNALS, TAYLOR &amp; FRANCIS LTD"/>
    <s v="ABINGDON"/>
    <s v="2-4 PARK SQUARE, MILTON PARK, ABINGDON OX14 4RN, OXON, ENGLAND"/>
    <s v="0964-7775"/>
    <s v="1872-9185"/>
    <s v=""/>
    <s v="MUS MANAGE CURATOR"/>
    <s v="Mus. Manag. Curatorship"/>
    <s v="SEP 3"/>
    <x v="0"/>
    <n v="38"/>
    <n v="5"/>
    <s v=""/>
    <s v=""/>
    <s v=""/>
    <s v=""/>
    <n v="548"/>
    <n v="570"/>
    <s v=""/>
    <s v="10.1080/09647775.2022.2111335"/>
    <s v="http://dx.doi.org/10.1080/09647775.2022.2111335"/>
    <s v=""/>
    <s v="AUG 2022"/>
    <n v="23"/>
    <x v="55"/>
    <x v="5"/>
    <s v="Arts &amp; Humanities - Other Topics"/>
    <s v="T4XN7"/>
    <s v=""/>
    <s v="hybrid"/>
    <s v=""/>
    <s v=""/>
    <s v="2023-11-15"/>
    <s v="WOS:000843141000001"/>
    <s v="View Full Record in Web of Science"/>
    <m/>
  </r>
  <r>
    <x v="168"/>
    <s v="J"/>
    <x v="166"/>
    <s v=""/>
    <s v=""/>
    <s v=""/>
    <s v="Naraine, Michael L.; Thompson, Ashley; Lachance, Erik L.; Seguin, Benoit; Taks, Marijke; Parent, Milena M.; Hoye, Russell"/>
    <s v=""/>
    <s v=""/>
    <x v="166"/>
    <x v="132"/>
    <s v=""/>
    <s v=""/>
    <s v="English"/>
    <s v="Article; Early Access"/>
    <s v=""/>
    <s v=""/>
    <s v=""/>
    <s v=""/>
    <s v=""/>
    <x v="159"/>
    <x v="135"/>
    <s v="The purpose of this paper was to highlight (1) how (if at all) social media is governed as a marketing communication channel and (2) whether there is conceptual congruence between board and executive staff with regards to social media in their organizations. Semi-structured interviews were conducted with one board member and one executive staff member from 22 Canadian national sport organizations. Results suggest nil governance and strategic oversight of social media; however, board and executive staff are seemingly aligned in this position. While having conceptual congruence is important for the organization's collective achievement, it is inherently problematic that neither side sees value in moving the discussion of social media to a governing level given its implications on marketing communication efforts. At the board level, NSOs should proactively establish a digital strategy considering the importance of the social (and digital) media function in the 21st century sport business landscape."/>
    <s v="[Naraine, Michael L.] Brock Univ, Sport Management, St Catharines, ON, Canada; [Thompson, Ashley; Lachance, Erik L.; Seguin, Benoit; Taks, Marijke; Parent, Milena M.] Univ Ottawa, Sport Management, Ottawa, ON, Canada; [Hoye, Russell] La Trobe Univ, Sch Allied Heath Human Serv &amp; Sport, Melbourne, Vic, Australia"/>
    <s v="Brock University; University of Ottawa; La Trobe University"/>
    <s v="Naraine, ML (corresponding author), Brock Univ, Sport Management, St Catharines, ON, Canada."/>
    <s v="mnaraine@brocku.ca"/>
    <s v=""/>
    <s v="Thompson, Ashley/0000-0003-4868-0482; Hoye, Russell/0000-0001-9000-1848; Lachance, Erik L./0000-0003-4935-5833"/>
    <s v="Social Sciences and Humanities Research Council of Canada [435-2017-0247]; Government of Canada - Sport Canada [862-2017-0006]"/>
    <s v="Social Sciences and Humanities Research Council of Canada(Social Sciences and Humanities Research Council of Canada (SSHRC)); Government of Canada - Sport Canada"/>
    <s v="This work was supported by the Social Sciences and Humanities Research Council of Canada [grant number 435-2017-0247]; and Government of Canada - Sport Canada [grant number 862-2017-0006]."/>
    <s v=""/>
    <n v="50"/>
    <n v="2"/>
    <n v="2"/>
    <n v="0"/>
    <n v="1"/>
    <s v="TAYLOR &amp; FRANCIS LTD"/>
    <s v="ABINGDON"/>
    <s v="2-4 PARK SQUARE, MILTON PARK, ABINGDON OR14 4RN, OXON, ENGLAND"/>
    <s v="2470-4067"/>
    <s v="2470-4075"/>
    <s v=""/>
    <s v="J GLOB SPORT MANAGE"/>
    <s v="J. Glob. Sport Manage."/>
    <s v="2022 AUG 23"/>
    <x v="1"/>
    <s v=""/>
    <s v=""/>
    <s v=""/>
    <s v=""/>
    <s v=""/>
    <s v=""/>
    <s v=""/>
    <s v=""/>
    <s v=""/>
    <s v="10.1080/24704067.2022.2116591"/>
    <s v="http://dx.doi.org/10.1080/24704067.2022.2116591"/>
    <s v=""/>
    <s v="AUG 2022"/>
    <n v="21"/>
    <x v="74"/>
    <x v="2"/>
    <s v="Social Sciences - Other Topics; Business &amp; Economics"/>
    <s v="4H8SJ"/>
    <s v=""/>
    <s v=""/>
    <s v=""/>
    <s v=""/>
    <s v="2023-11-15"/>
    <s v="WOS:000850147000001"/>
    <s v="View Full Record in Web of Science"/>
    <m/>
  </r>
  <r>
    <x v="169"/>
    <s v="J"/>
    <x v="167"/>
    <s v=""/>
    <s v=""/>
    <s v=""/>
    <s v="Esmeralda Lardon-Lopez, Maria; Martin-Rojas, Rodrigo; Jesus Garcia-Morales, Victor"/>
    <s v=""/>
    <s v=""/>
    <x v="167"/>
    <x v="133"/>
    <s v=""/>
    <s v=""/>
    <s v="English"/>
    <s v="Article"/>
    <s v=""/>
    <s v=""/>
    <s v=""/>
    <s v=""/>
    <s v=""/>
    <x v="160"/>
    <x v="136"/>
    <s v="Purpose The purpose of this study is to deepen understanding of the effects of using social media technologies to acquire technological knowledge and organizational learning competences, of technological knowledge competences on organizational learning and finally of organizational learning on organizational performance. Design/methodology/approach The study was performed by analyzing data from a sample of 197 technology firms located in Spain. The hypotheses were tested using a structural equations model with the program LISREL 8.80. Findings This study's conceptual framework is grounded in complexity theory - along with dynamic capabilities theory, which complements the resource-based view. The study contributes to the literature by proposing a model that reflects empirically how business ecosystems that use social media technologies enable the development of interorganizational and social collaboration networks that encourage learning and development of technological knowledge competences. Research limitations/implications It would be interesting for future studies to consider other elements to conceptualize and measure social media technologies, including (among others) significance of the various tools used and strategic integration. The model might also analyze other sectors and another combination of variables. Practical implications The results of this study have several managerial implications: developing social media technologies and interorganizational social collaboration networks not only enables the organizational learning process but also encourages technological knowledge competences. Through innovation processes, use of social media technologies also contributes to strengthening companies' strategic positioning, which ultimately helps to improve firms' organizational performance. Social implications Since social media technologies drive information systems in contemporary society (because they enable interaction with numerous agents), the authors highlight the use of complexity theory to develop a conceptual framework. Originality/value The study also deepens understanding of the connections by which new experiential learning contributes to the generation of coevolutionary adaptive business ecosystems and digital strategies that enable development of interorganizational and social collaborative networks through technological knowledge competences. Only after examining the impact of social media technologies on organizational performance in prior literature, did the authors underscore that both quantity and frequency of social media technology use are positively related to improvement in knowledge processes that lead to employees' creation and acquisition of new metaknowledge."/>
    <s v="[Esmeralda Lardon-Lopez, Maria; Martin-Rojas, Rodrigo; Jesus Garcia-Morales, Victor] Univ Granada, Dept Business Adm, Granada, Spain"/>
    <s v="University of Granada"/>
    <s v="Lardón-López, ME (corresponding author), Univ Granada, Dept Business Adm, Granada, Spain."/>
    <s v="elardon@ugr.es"/>
    <s v="MORALES, VÍCTOR JESÚS GARCÍA/F-9736-2016; Lardón-López, María Esmeralda/AAU-1126-2020"/>
    <s v="MORALES, VÍCTOR JESÚS GARCÍA/0000-0001-9061-6973; Lardón-López, María Esmeralda/0000-0001-7422-5278"/>
    <s v="Excellence Unit Advanced Research in Economics and Business of the University of Granada (Spain); Andalusian Regional Government [B-SEJ-042-UGR18, A-SEJ-192-UGR20, P20_00568]"/>
    <s v="Excellence Unit Advanced Research in Economics and Business of the University of Granada (Spain); Andalusian Regional Government"/>
    <s v="This study was funded by the Excellence Unit Advanced Research in Economics and Business of the University of Granada (Spain). It was also supported by the Andalusian Regional Government (projects: B-SEJ-042-UGR18, A-SEJ-192-UGR20, and P20_00568)."/>
    <s v=""/>
    <n v="134"/>
    <n v="4"/>
    <n v="4"/>
    <n v="13"/>
    <n v="54"/>
    <s v="EMERALD GROUP PUBLISHING LTD"/>
    <s v="BINGLEY"/>
    <s v="HOWARD HOUSE, WAGON LANE, BINGLEY BD16 1WA, W YORKSHIRE, ENGLAND"/>
    <s v="1367-3270"/>
    <s v="1758-7484"/>
    <s v=""/>
    <s v="J KNOWL MANAG"/>
    <s v="J. Knowl. Manag."/>
    <s v="AUG 22"/>
    <x v="1"/>
    <n v="26"/>
    <n v="11"/>
    <s v=""/>
    <s v=""/>
    <s v=""/>
    <s v=""/>
    <n v="348"/>
    <n v="377"/>
    <s v=""/>
    <s v="10.1108/JKM-02-2022-0130"/>
    <s v="http://dx.doi.org/10.1108/JKM-02-2022-0130"/>
    <s v=""/>
    <s v=""/>
    <n v="30"/>
    <x v="75"/>
    <x v="1"/>
    <s v="Information Science &amp; Library Science; Business &amp; Economics"/>
    <s v="4F7LL"/>
    <s v=""/>
    <s v="Green Published, hybrid"/>
    <s v=""/>
    <s v=""/>
    <s v="2023-11-15"/>
    <s v="WOS:000848691400001"/>
    <s v="View Full Record in Web of Science"/>
    <m/>
  </r>
  <r>
    <x v="170"/>
    <s v="J"/>
    <x v="168"/>
    <s v=""/>
    <s v=""/>
    <s v=""/>
    <s v="Wang, Yurong"/>
    <s v=""/>
    <s v=""/>
    <x v="168"/>
    <x v="134"/>
    <s v=""/>
    <s v=""/>
    <s v="English"/>
    <s v="Article"/>
    <s v=""/>
    <s v=""/>
    <s v=""/>
    <s v=""/>
    <s v=""/>
    <x v="8"/>
    <x v="137"/>
    <s v="Under the background of the 2030 sustainable performance goal, in the sustainable performance, strategic orientation has been paid much attention because of its importance and management controllability. Whether the market-oriented strategy of enterprises can affect the legitimacy of enterprises and what kind of complex relationship exists between market orientation, legitimacy of enterprises, and enterprise performance. Therefore, from the perspective of digital theory, this paper makes an empirical test on the above problems by introducing the intermediary variable of enterprise legitimacy, so as to make up for the shortcomings of the existing research. When the time index reaches 50, among the four dimensions of the experiment, the average correlation of digital culture is 1.12, the average correlation of resource integration is 0.58, the average correlation of process optimization is 0.74, and the average correlation of technical capability is 0.64. Among the four dimensions, the proportion of digital culture is the highest, and the CITC value of each measurement item in each dimension is greater than 0.5, so the deletion of each item cannot be increased. If the enterprises under digitalization can meet the social expectations and cognition of all stakeholders in the strategic-oriented sustainable performance system, they will be recognized and accepted by them, thus gaining higher legitimacy."/>
    <s v="[Wang, Yurong] Xian Univ Finance &amp; Econ, Sch Business, Xian 710100, Peoples R China; [Wang, Yurong] Xian Univ Finance &amp; Econ, Res Ctr Modern Enterprise Management, Xian 710100, Peoples R China"/>
    <s v="Xi'an University of Finance &amp; Economics; Xi'an University of Finance &amp; Economics"/>
    <s v="Wang, YR (corresponding author), Xian Univ Finance &amp; Econ, Sch Business, Xian 710100, Peoples R China.;Wang, YR (corresponding author), Xian Univ Finance &amp; Econ, Res Ctr Modern Enterprise Management, Xian 710100, Peoples R China."/>
    <s v="wangyurong@xaufe.edu.cn"/>
    <s v=""/>
    <s v=""/>
    <s v="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18JZ029]; [2021R008]"/>
    <s v="Philosophy and Social Science Key Research Base project of Shaanxi Education Department: Evaluation of innovation efficiency of equipment manufacturing industry in Shaanxi Province: An empirical study based on exploratory spatial analysis; Social Science Fund project of Shaanxi Province: Green innovation performance evaluation and spatial difference evolution in Shaanxi Province; ;"/>
    <s v="AcknowledgmentsThis work was supported by Philosophy and Social Science Key Research Base project of Shaanxi Education Department: Evaluation of innovation efficiency of equipment manufacturing industry in Shaanxi Province: An empirical study based on exploratory spatial analysis (No. 18JZ029) and Social Science Fund project of Shaanxi Province: Green innovation performance evaluation and spatial difference evolution in Shaanxi Province (No. 2021R008)."/>
    <s v=""/>
    <n v="25"/>
    <n v="0"/>
    <n v="0"/>
    <n v="11"/>
    <n v="30"/>
    <s v="HINDAWI LTD"/>
    <s v="LONDON"/>
    <s v="ADAM HOUSE, 3RD FLR, 1 FITZROY SQ, LONDON, W1T 5HF, ENGLAND"/>
    <s v="1024-123X"/>
    <s v="1563-5147"/>
    <s v=""/>
    <s v="MATH PROBL ENG"/>
    <s v="Math. Probl. Eng."/>
    <s v="AUG 17"/>
    <x v="1"/>
    <n v="2022"/>
    <s v=""/>
    <s v=""/>
    <s v=""/>
    <s v=""/>
    <s v=""/>
    <s v=""/>
    <s v=""/>
    <n v="2263222"/>
    <s v="10.1155/2022/2263222"/>
    <s v="http://dx.doi.org/10.1155/2022/2263222"/>
    <s v=""/>
    <s v=""/>
    <n v="10"/>
    <x v="76"/>
    <x v="0"/>
    <s v="Engineering; Mathematics"/>
    <s v="4F3IN"/>
    <s v=""/>
    <s v="gold"/>
    <s v=""/>
    <s v=""/>
    <s v="2023-11-15"/>
    <s v="WOS:000848407800003"/>
    <s v="View Full Record in Web of Science"/>
    <m/>
  </r>
  <r>
    <x v="171"/>
    <s v="J"/>
    <x v="169"/>
    <s v=""/>
    <s v=""/>
    <s v=""/>
    <s v="Khalili-Mahani, Najmeh; Woods, Sandra; Holowka, Eileen Mary; Pahayahay, Amber; Roy, Mathieu"/>
    <s v=""/>
    <s v=""/>
    <x v="169"/>
    <x v="135"/>
    <s v=""/>
    <s v=""/>
    <s v="English"/>
    <s v="Article"/>
    <s v=""/>
    <s v=""/>
    <s v=""/>
    <s v=""/>
    <s v=""/>
    <x v="161"/>
    <x v="138"/>
    <s v="BackgroundMyriad psychosocial and cultural factors influence personal ways of coping with chronic pain (CP). Mobile health (mHealth) apps facilitate creation of citizen laboratories outside clinical frameworks. However, issues of safety, privacy and technostress must be addressed. This attitudinal user study aimed to assess whether persons with persistent pain (PwPP) would be open to sharing qualitative and quantitative data about their self-management of CP via mHealth platforms. MethodsIn March 2020, we invited PwPPs, their personal or medical caregivers, or those interested in the development of an app for researching alternative ways of self-managing CP to complete an anonymous survey. We formulated an attitudinal survey within the theoretical framework of stress to estimate whether the novelty, unpredictability, and risks of data-sharing via mHealth apps concerned users. Descriptive statistics (% Part/Group) were used to interpret the survey, and open comments were reflectively analyzed to identify emerging themes. ResultsOf 202 responses (June 2021), 127 identified as PwPPs (average age 43.86 +/- 14.97; 100/127 female), and listed several primary and secondary CP diagnoses. In almost 90% of PwPPs, physical and emotional wellbeing were affected by CP. More than 90% of PwPPs used alternative therapies (acupuncture, homeopathy, massage therapy, etc.). Attitude toward mHealth apps were positive even though nearly half of PwPPs were unfamiliar with them. More than 72% of respondents were open to using a health-related app as a research tool for data collection in real life situations. Comprehensive data collection (especially about psychosocial factors) was the most important requirement. More respondents (especially medical professionals) were concerned about health hazards of misinformation communicated via health-related information and communication systems (maximum 80%) than about privacy (maximum 40%). Qualitative analyses revealed several promises and impediments to creation of data-sharing platforms for CP. ConclusionsThis study shows a general willingness among PwPPs to become partners in studying alternative pain management. Despite a generally positive attitude toward the concept of sharing complex personal data to advance research, heterogeneity of attitudes shaped by personal experiences must be considered. Our study underlines the need for any digital strategy for CP research to be person-centered and flexible."/>
    <s v="[Khalili-Mahani, Najmeh] Montreal Neurol Inst, McGill Ctr Integrat Neurosci, Montreal, PQ, Canada; [Khalili-Mahani, Najmeh] Concordia Univ, Fac Fine Arts, Dept Design &amp; Computat Arts, Montreal, PQ, Canada; [Khalili-Mahani, Najmeh] Concordia Univ, PERFORM Ctr, Montreal, PQ, Canada; [Khalili-Mahani, Najmeh; Woods, Sandra; Roy, Mathieu] Quebec Pain Res Network QPRN, Sherbrooke, PQ, Canada; [Woods, Sandra] Patient Partner, Montreal, PQ, Canada; [Holowka, Eileen Mary] Concordia Univ, Fac Arts &amp; Sci, Dept Commun Studies, Montreal, PQ, Canada; [Pahayahay, Amber] Univ Waterloo, Sch Publ Hlth &amp; Hlth Syst, Waterloo, ON, Canada; [Roy, Mathieu] McGill Univ, Fac Sci, Dept Psychol, Montreal, PQ, Canada"/>
    <s v="McGill University; Concordia University - Canada; Concordia University - Canada; Concordia University - Canada; University of Waterloo; McGill University"/>
    <s v="Khalili-Mahani, N (corresponding author), Montreal Neurol Inst, McGill Ctr Integrat Neurosci, Montreal, PQ, Canada.;Khalili-Mahani, N (corresponding author), Concordia Univ, Fac Fine Arts, Dept Design &amp; Computat Arts, Montreal, PQ, Canada.;Khalili-Mahani, N (corresponding author), Concordia Univ, PERFORM Ctr, Montreal, PQ, Canada.;Khalili-Mahani, N (corresponding author), Quebec Pain Res Network QPRN, Sherbrooke, PQ, Canada."/>
    <s v="najmeh.khalilimahani@mcgill.ca"/>
    <s v=""/>
    <s v=""/>
    <s v=""/>
    <s v=""/>
    <s v=""/>
    <s v=""/>
    <n v="82"/>
    <n v="1"/>
    <n v="1"/>
    <n v="1"/>
    <n v="1"/>
    <s v="FRONTIERS MEDIA SA"/>
    <s v="LAUSANNE"/>
    <s v="AVENUE DU TRIBUNAL FEDERAL 34, LAUSANNE, CH-1015, SWITZERLAND"/>
    <s v=""/>
    <s v="2673-6861"/>
    <s v=""/>
    <s v="FRONT REHABIL SCI"/>
    <s v="Front. Rehabil. Sci."/>
    <s v="AUG 15"/>
    <x v="1"/>
    <n v="3"/>
    <s v=""/>
    <s v=""/>
    <s v=""/>
    <s v=""/>
    <s v=""/>
    <s v=""/>
    <s v=""/>
    <n v="942822"/>
    <s v="10.3389/fresc.2022.942822"/>
    <s v="http://dx.doi.org/10.3389/fresc.2022.942822"/>
    <s v=""/>
    <s v=""/>
    <n v="19"/>
    <x v="77"/>
    <x v="2"/>
    <s v="Rehabilitation"/>
    <s v="J0LS0"/>
    <n v="36188996"/>
    <s v="gold, Green Published"/>
    <s v=""/>
    <s v=""/>
    <s v="2023-11-15"/>
    <s v="WOS:001006612900001"/>
    <s v="View Full Record in Web of Science"/>
    <m/>
  </r>
  <r>
    <x v="172"/>
    <s v="J"/>
    <x v="170"/>
    <s v=""/>
    <s v=""/>
    <s v=""/>
    <s v="Remane, Gerrit; Schneider, Sabrina; Hanelt, Andre"/>
    <s v=""/>
    <s v=""/>
    <x v="170"/>
    <x v="75"/>
    <s v=""/>
    <s v=""/>
    <s v="English"/>
    <s v="Article"/>
    <s v=""/>
    <s v=""/>
    <s v=""/>
    <s v=""/>
    <s v=""/>
    <x v="162"/>
    <x v="139"/>
    <s v="The increasingly digital business landscape has created manifold novel opportunities as well as threats to traditional business models. In consequence, a broad variety of digital business models emerged. Powerful tools and managerial guidance on how to shape digital strategies in this volatile and uncertain terrain are sought-after, but remain rare. Building on an analysis of the world's top-1.000 venture funded technology startups over the last decade, we identify 49 novel business model types that describe firms as vendors of digitally enabled products and services, as providers of resources and capabilities for digital business, and as facilitators of intermediation. Furthermore, we identify the novelties of these digital business models types in their components, i.c.. value proposition as well as their value creation, delivery, and capture processes. The result is a recipe collection of novel mechanisms to guide and inspire other firms when coirunercialising digital technologies in their business models."/>
    <s v="[Remane, Gerrit] Fachhochschule Wedel, Wedel, Germany; [Schneider, Sabrina] Management Ctr Innsbruck, Innsbruck, Austria; [Hanelt, Andre] Univ Kassel, Kassel, Germany"/>
    <s v="Universitat Kassel"/>
    <s v="Remané, G (corresponding author), Fachhochschule Wedel, Wedel, Germany."/>
    <s v="gerrit.remane@fh-wedel.de; sabrina.schneider@mci.edu; hanelt@uni-kassel.de"/>
    <s v=""/>
    <s v="Schneider, Sabrina/0000-0001-6027-5282"/>
    <s v=""/>
    <s v=""/>
    <s v=""/>
    <s v=""/>
    <n v="84"/>
    <n v="1"/>
    <n v="1"/>
    <n v="17"/>
    <n v="47"/>
    <s v="WORLD SCIENTIFIC PUBL CO PTE LTD"/>
    <s v="SINGAPORE"/>
    <s v="5 TOH TUCK LINK, SINGAPORE 596224, SINGAPORE"/>
    <s v="1363-9196"/>
    <s v="1757-5877"/>
    <s v=""/>
    <s v="INT J INNOV MANAG"/>
    <s v="Int. J. Innov. Manag."/>
    <s v="APR"/>
    <x v="1"/>
    <n v="26"/>
    <n v="3"/>
    <s v=""/>
    <s v=""/>
    <s v=""/>
    <s v=""/>
    <s v=""/>
    <s v=""/>
    <n v="2240019"/>
    <s v="10.1142/S1363919622400199"/>
    <s v="http://dx.doi.org/10.1142/S1363919622400199"/>
    <s v=""/>
    <s v="AUG 2022"/>
    <n v="27"/>
    <x v="8"/>
    <x v="2"/>
    <s v="Business &amp; Economics"/>
    <s v="4T1PW"/>
    <s v=""/>
    <s v=""/>
    <s v=""/>
    <s v=""/>
    <s v="2023-11-15"/>
    <s v="WOS:000848604400002"/>
    <s v="View Full Record in Web of Science"/>
    <m/>
  </r>
  <r>
    <x v="173"/>
    <s v="J"/>
    <x v="171"/>
    <s v=""/>
    <s v=""/>
    <s v=""/>
    <s v="Weerabahu, W. M. Samanthi Kumari; Samaranayake, Premaratne; Nakandala, Dilupa; Hurriyet, Hilal"/>
    <s v=""/>
    <s v=""/>
    <x v="171"/>
    <x v="136"/>
    <s v=""/>
    <s v=""/>
    <s v="English"/>
    <s v="Article; Early Access"/>
    <s v=""/>
    <s v=""/>
    <s v=""/>
    <s v=""/>
    <s v=""/>
    <x v="163"/>
    <x v="140"/>
    <s v="Purpose This study investigates the enablers and challenges of digital supply chains (DSCs) adoption and develops a digital supply chain maturity (DSCM) model as a basis for developing guidelines for DSC adoption in the digital transformation journey. Design/methodology/approach The research involves a systematic literature review (SLR) of Industry 4.0 (I4) adoption in supply chain (SC) practices to identify key enablers and associated maturity levels. The literature search of published articles during the 1997-2020 period and subsequent screening resulted in 64 articles. A DSCM model was developed using the categorization of important enablers and associated levels transitioning from the traditional SC to the DSC ecosystem. Findings Four broader categories of DSC enablers and challenges were identified from the content analysis of SLR. Digital strategy alongside I4 technologies and human capital were prominent in DSC adoption as I4 technologies and human capital depend on other enablers such as dynamic capabilities (DCs). Lack of infrastructure and financial constraints to implementing I4 were significant challenges in the DSC adoption. Research limitations/implications The proposed DSCM model provides a holistic view of enablers and maturity levels from traditional SC to DSC adoption. However, the DSCM model needs to be empirically validated and streamlined further using inputs from practitioners. Practical implications The proposed DSCM model can be used as a framework to guide practitioners in assessing maturity and developing implementation plans for successful DSC adoption. Originality/value This research introduces a novel DSC maturity model through a holistic view of enablers and maturity levels from traditional SC to DSC adoption."/>
    <s v="[Weerabahu, W. M. Samanthi Kumari; Samaranayake, Premaratne; Nakandala, Dilupa; Hurriyet, Hilal] Western Sydney Univ, Sch Business, Penrith, NSW, Australia"/>
    <s v="Western Sydney University"/>
    <s v="Weerabahu, WMSK (corresponding author), Western Sydney Univ, Sch Business, Penrith, NSW, Australia."/>
    <s v="S.Weerabahu@westernsydney.edu.au"/>
    <s v="Samaranayake, Premaratne/ABI-6391-2022"/>
    <s v="Samaranayake, Premaratne/0000-0002-6253-7976; Weerabahu, Samanthi/0000-0003-4925-7096; Nakandala, Dilupa/0000-0003-1535-5288"/>
    <s v=""/>
    <s v=""/>
    <s v=""/>
    <s v=""/>
    <n v="71"/>
    <n v="7"/>
    <n v="7"/>
    <n v="19"/>
    <n v="42"/>
    <s v="EMERALD GROUP PUBLISHING LTD"/>
    <s v="BINGLEY"/>
    <s v="HOWARD HOUSE, WAGON LANE, BINGLEY BD16 1WA, W YORKSHIRE, ENGLAND"/>
    <s v="1463-5771"/>
    <s v="1758-4094"/>
    <s v=""/>
    <s v="BENCHMARKING"/>
    <s v="Benchmarking"/>
    <s v="2022 AUG 8"/>
    <x v="1"/>
    <s v=""/>
    <s v=""/>
    <s v=""/>
    <s v=""/>
    <s v=""/>
    <s v=""/>
    <s v=""/>
    <s v=""/>
    <s v=""/>
    <s v="10.1108/BIJ-12-2021-0782"/>
    <s v="http://dx.doi.org/10.1108/BIJ-12-2021-0782"/>
    <s v=""/>
    <s v="AUG 2022"/>
    <n v="27"/>
    <x v="8"/>
    <x v="2"/>
    <s v="Business &amp; Economics"/>
    <s v="3N6UJ"/>
    <s v=""/>
    <s v=""/>
    <s v=""/>
    <s v=""/>
    <s v="2023-11-15"/>
    <s v="WOS:000836281300001"/>
    <s v="View Full Record in Web of Science"/>
    <m/>
  </r>
  <r>
    <x v="174"/>
    <s v="J"/>
    <x v="172"/>
    <s v=""/>
    <s v=""/>
    <s v=""/>
    <s v="Wang, Sining; Lin, Dandan"/>
    <s v=""/>
    <s v=""/>
    <x v="172"/>
    <x v="31"/>
    <s v=""/>
    <s v=""/>
    <s v="English"/>
    <s v="Article"/>
    <s v=""/>
    <s v=""/>
    <s v=""/>
    <s v=""/>
    <s v=""/>
    <x v="164"/>
    <x v="1"/>
    <s v="New architectural forms offered by digital design approaches often appear incompatible with the prescribed precision and control in construction, especially in developing regions where advanced implementation means are limited. In response, this paper suggests working with design practice indeterminacy. Named 'anexact architec-ture', the post-digital design practice strategy presents a convergent diagram of seeking the feasible design so-lution space. It relies on the procedural parametric modelling to constantly integrate computation and humanisation, so that a rigorous built outcome is capable of accommodating project-specific idiosyncrasies and constraints. The demonstrator projects are discussed based on the combination of the Participatory Action Research method and the idea of anexact architecture. This paper aims to illustrate the peculiarity of anexact architecture and its ideology of treating design delivery uncertainties as essentials rather than negatives when practicing in a volatile construction context."/>
    <s v="[Wang, Sining; Lin, Dandan] Soochow Univ, Sch Architecture, Suzhou, Peoples R China"/>
    <s v="Soochow University - China"/>
    <s v="Wang, SN (corresponding author), Soochow Univ, Sch Architecture, Suzhou, Peoples R China."/>
    <s v="snwang@suda.edu.cn"/>
    <s v=""/>
    <s v=""/>
    <s v="Natural Science Foundation of Jiangsu Higher Education Institutions, China; Social Science Foundation of Jiangsu Province, China [20KJB560022]; [21SHD001]"/>
    <s v="Natural Science Foundation of Jiangsu Higher Education Institutions, China; Social Science Foundation of Jiangsu Province, China;"/>
    <s v="This work was supported by Natural Science Foundation of Jiangsu Higher Education Institutions, China (No. 20KJB560022) and by Social Science Foundation of Jiangsu Province, China (No. 21SHD001)"/>
    <s v=""/>
    <n v="42"/>
    <n v="0"/>
    <n v="0"/>
    <n v="2"/>
    <n v="10"/>
    <s v="CELL PRESS"/>
    <s v="CAMBRIDGE"/>
    <s v="50 HAMPSHIRE ST, FLOOR 5, CAMBRIDGE, MA 02139 USA"/>
    <s v=""/>
    <s v="2405-8440"/>
    <s v=""/>
    <s v="HELIYON"/>
    <s v="Heliyon"/>
    <s v="AUG"/>
    <x v="1"/>
    <n v="8"/>
    <n v="8"/>
    <s v=""/>
    <s v=""/>
    <s v=""/>
    <s v=""/>
    <s v=""/>
    <s v=""/>
    <s v="e09982"/>
    <s v="10.1016/j.heliyon.2022.e09982"/>
    <s v="http://dx.doi.org/10.1016/j.heliyon.2022.e09982"/>
    <s v=""/>
    <s v="AUG 2022"/>
    <n v="13"/>
    <x v="22"/>
    <x v="0"/>
    <s v="Science &amp; Technology - Other Topics"/>
    <s v="5F3MM"/>
    <n v="35965988"/>
    <s v="gold, Green Published"/>
    <s v=""/>
    <s v=""/>
    <s v="2023-11-15"/>
    <s v="WOS:000866223200014"/>
    <s v="View Full Record in Web of Science"/>
    <m/>
  </r>
  <r>
    <x v="175"/>
    <s v="J"/>
    <x v="173"/>
    <s v=""/>
    <s v=""/>
    <s v=""/>
    <s v="Centobelli, Piera; Cerchione, Roberto; Esposito, Emilio; Passaro, Renato; Quinto, Ivana"/>
    <s v=""/>
    <s v=""/>
    <x v="173"/>
    <x v="137"/>
    <s v=""/>
    <s v=""/>
    <s v="English"/>
    <s v="Article"/>
    <s v=""/>
    <s v=""/>
    <s v=""/>
    <s v=""/>
    <s v=""/>
    <x v="165"/>
    <x v="141"/>
    <s v="Purpose This paper aims to conceptualize the digital behavior of startups and investigate the emerging behaviors about digital strategies of the Italian startup firms enrolled in the Startup Act policy initiative. Digital technologies were divided into intra- and inter-organizational digital infrastructures, and this categorization offers startups the opportunity to identify a set of enabling technologies that could be used to improve their digital strategies. Design/methodology/approach An empirical analysis has been conducted to investigate the degree of adoption of digital intra- and inter-organizational digital infrastructures in the entire population of 6,178 Italian firms listed in the Register of Innovative Startups. Findings The paper proposes a taxonomy bringing together four startup behaviors for adopting digital technologies: digital follower, technical influencer, social influencer and digital leader. From the perspective of policy makers, considering the financial efforts that public authorities are supporting in the last decade, implications are mainly concerned with policy measures aimed both to reinforce the overall adoption of digital technologies and to develop a balanced adoption of intra- and inter-organizational digital infrastructures. Originality/value Measures addressed to support female and foreign entrepreneurship could be useful to support a more dynamic and well-balanced cultural and racial contamination, thus improving the adoption of digital tools."/>
    <s v="[Centobelli, Piera; Esposito, Emilio] Univ Naples Federico II, Dept Ind Engn, Naples, Italy; [Cerchione, Roberto; Passaro, Renato; Quinto, Ivana] Univ Naples Parthenope, Dept Engn, Naples, Italy"/>
    <s v="University of Naples Federico II; Parthenope University Naples"/>
    <s v="Cerchione, R (corresponding author), Univ Naples Parthenope, Dept Engn, Naples, Italy."/>
    <s v="piera.centobelli@unina.it; roberto.cerchione@uniparthenope.it; emilio.esposito@unina.it; renato.passaro@uniparthenope.it; ivana.quinto@uniparthenope.it"/>
    <s v="Quinto, Ivana/AAO-3661-2020; Passaro, Renato/AFO-8339-2022; Peter, Serin/ITR-8938-2023"/>
    <s v="Passaro, Renato/0000-0002-3263-2294; Cerchione, Roberto/0000-0002-7025-3295; Centobelli, Piera/0000-0002-3302-2236"/>
    <s v=""/>
    <s v=""/>
    <s v=""/>
    <s v=""/>
    <n v="84"/>
    <n v="0"/>
    <n v="0"/>
    <n v="22"/>
    <n v="58"/>
    <s v="EMERALD GROUP PUBLISHING LTD"/>
    <s v="BINGLEY"/>
    <s v="HOWARD HOUSE, WAGON LANE, BINGLEY BD16 1WA, W YORKSHIRE, ENGLAND"/>
    <s v="1355-2554"/>
    <s v="1758-6534"/>
    <s v=""/>
    <s v="INT J ENTREP BEHAV R"/>
    <s v="Int. J. Entrep. Behav. Res."/>
    <s v="AUG 3"/>
    <x v="1"/>
    <n v="28"/>
    <n v="9"/>
    <s v=""/>
    <s v=""/>
    <s v=""/>
    <s v=""/>
    <n v="219"/>
    <n v="241"/>
    <s v=""/>
    <s v="10.1108/IJEBR-08-2021-0626"/>
    <s v="http://dx.doi.org/10.1108/IJEBR-08-2021-0626"/>
    <s v=""/>
    <s v=""/>
    <n v="23"/>
    <x v="6"/>
    <x v="1"/>
    <s v="Business &amp; Economics"/>
    <s v="3M9JV"/>
    <s v=""/>
    <s v="hybrid"/>
    <s v=""/>
    <s v=""/>
    <s v="2023-11-15"/>
    <s v="WOS:000835773700001"/>
    <s v="View Full Record in Web of Science"/>
    <m/>
  </r>
  <r>
    <x v="176"/>
    <s v="J"/>
    <x v="174"/>
    <s v=""/>
    <s v=""/>
    <s v=""/>
    <s v="Fabac, Robert"/>
    <s v=""/>
    <s v=""/>
    <x v="174"/>
    <x v="4"/>
    <s v=""/>
    <s v=""/>
    <s v="English"/>
    <s v="Article"/>
    <s v=""/>
    <s v=""/>
    <s v=""/>
    <s v=""/>
    <s v=""/>
    <x v="166"/>
    <x v="142"/>
    <s v="Reports of the high percentage of failed digital transformation ventures motivate the need to find a comprehensive framework with regulatory attributes to support these initiatives. Due to its structure, consistent strategy decomposition capabilities, and strategic map architecture, the assumption is that a customized version of the Balanced Scorecard can ensure the better overall success of digital transformation projects. The qualitative analysis methodology was applied to previous research, and this study identified critical issues and challenges related to the strategy and overall endeavor of digital transformation. Based on the methodology of the traditional Balanced Scorecard, a draft version of the Digital Balanced Scorecard was formulated. The Digital Balanced Scorecard is a comprehensive, primarily prescriptive model that is focused directly on the challenges, opportunities, and obstacles of transformation. The proposed BSC model can consistently interpret a digital strategy and assist organization leaders in successfully formulating and coordinating all necessary activities and projects to apply technologies. The Digital BSC provides the projection of financial results and improvements in sustainability after transformation. The proposed solution to support digital transformation can accelerate an organization's development, improve efficiency, and strengthen efforts to achieve an organization's sustainability goals."/>
    <s v="[Fabac, Robert] Univ Zagreb, Fac Org &amp; Informat, Pavlinska 2, Varazhdin 42000, Croatia"/>
    <s v="University of Zagreb"/>
    <s v="Fabac, R (corresponding author), Univ Zagreb, Fac Org &amp; Informat, Pavlinska 2, Varazhdin 42000, Croatia."/>
    <s v="rfabac@foi.unizg.hr"/>
    <s v="Fabac, Robert/HII-6702-2022"/>
    <s v=""/>
    <s v=""/>
    <s v=""/>
    <s v=""/>
    <s v=""/>
    <n v="124"/>
    <n v="2"/>
    <n v="2"/>
    <n v="17"/>
    <n v="48"/>
    <s v="MDPI"/>
    <s v="BASEL"/>
    <s v="ST ALBAN-ANLAGE 66, CH-4052 BASEL, SWITZERLAND"/>
    <s v=""/>
    <s v="2071-1050"/>
    <s v=""/>
    <s v="SUSTAINABILITY-BASEL"/>
    <s v="Sustainability"/>
    <s v="AUG"/>
    <x v="1"/>
    <n v="14"/>
    <n v="15"/>
    <s v=""/>
    <s v=""/>
    <s v=""/>
    <s v=""/>
    <s v=""/>
    <s v=""/>
    <n v="9690"/>
    <s v="10.3390/su14159690"/>
    <s v="http://dx.doi.org/10.3390/su14159690"/>
    <s v=""/>
    <s v=""/>
    <n v="26"/>
    <x v="4"/>
    <x v="3"/>
    <s v="Science &amp; Technology - Other Topics; Environmental Sciences &amp; Ecology"/>
    <s v="3R5QL"/>
    <s v=""/>
    <s v="gold"/>
    <s v=""/>
    <s v=""/>
    <s v="2023-11-15"/>
    <s v="WOS:000838967000001"/>
    <s v="View Full Record in Web of Science"/>
    <m/>
  </r>
  <r>
    <x v="177"/>
    <s v="J"/>
    <x v="175"/>
    <s v=""/>
    <s v=""/>
    <s v=""/>
    <s v="Schallmo, Daniel; Williams, Christopher A.; Tidd, Joe"/>
    <s v=""/>
    <s v=""/>
    <x v="175"/>
    <x v="75"/>
    <s v=""/>
    <s v=""/>
    <s v="English"/>
    <s v="Article"/>
    <s v=""/>
    <s v=""/>
    <s v=""/>
    <s v=""/>
    <s v=""/>
    <x v="167"/>
    <x v="143"/>
    <s v="In the new global digital economy, holistic digitalisation has become central for all non-profit and for-profit institutions. Recent developments in digital initiatives have heightened the need to investigate holistic digitalisation. This paper aims to develop a meta-view of holistic digitalisation consisting of several fundamental perspectives for strategically oriented digitalisation. These perspectives include digital strategy. digital transformation of business models, digital implementation, and digital maturity. Each perspective consists of an approach including a procedure model and relevant content. Combined with our previous work, we applied semi-structured interviews and included the insights to develop an initial, grounded theory for a meta-view of holistic digitalisation. The paper offers a relevant concept and outlines an appropriate research methodology to advance this research field. This closes an existing research gap regarding digitalisation."/>
    <s v="[Schallmo, Daniel] Neu Ulm Univ Appl Sci, Wileystr 1, D-89231 Neu Ulm, Germany; [Williams, Christopher A.] Johannes Kepler Univ Linz, Altenberger Str 69, A-4040 Linz, Austria; [Tidd, Joe] Univ Sussex, Sussex House Falmer, Brighton BN1 9RH, E Sussex, England"/>
    <s v="Johannes Kepler University Linz; University of Sussex"/>
    <s v="Schallmo, D (corresponding author), Neu Ulm Univ Appl Sci, Wileystr 1, D-89231 Neu Ulm, Germany."/>
    <s v="daniel.schallmo@hnu.de; chrs.a.willlams@gmail.com; j.tidd@sussex.ac.uk"/>
    <s v="Williams, Christopher/GQQ-9115-2022"/>
    <s v="Schallmo, Daniel/0000-0002-4221-001X"/>
    <s v=""/>
    <s v=""/>
    <s v=""/>
    <s v=""/>
    <n v="82"/>
    <n v="7"/>
    <n v="7"/>
    <n v="5"/>
    <n v="23"/>
    <s v="WORLD SCIENTIFIC PUBL CO PTE LTD"/>
    <s v="SINGAPORE"/>
    <s v="5 TOH TUCK LINK, SINGAPORE 596224, SINGAPORE"/>
    <s v="1363-9196"/>
    <s v="1757-5877"/>
    <s v=""/>
    <s v="INT J INNOV MANAG"/>
    <s v="Int. J. Innov. Manag."/>
    <s v="APR"/>
    <x v="1"/>
    <n v="26"/>
    <n v="3"/>
    <s v=""/>
    <s v=""/>
    <s v=""/>
    <s v=""/>
    <s v=""/>
    <s v=""/>
    <n v="2240007"/>
    <s v="10.1142/S1363919622400072"/>
    <s v="http://dx.doi.org/10.1142/S1363919622400072"/>
    <s v=""/>
    <s v="JUL 2022"/>
    <n v="34"/>
    <x v="8"/>
    <x v="2"/>
    <s v="Business &amp; Economics"/>
    <s v="4T1PW"/>
    <s v=""/>
    <s v=""/>
    <s v=""/>
    <s v=""/>
    <s v="2023-11-15"/>
    <s v="WOS:000848605600004"/>
    <s v="View Full Record in Web of Science"/>
    <m/>
  </r>
  <r>
    <x v="178"/>
    <s v="J"/>
    <x v="176"/>
    <s v=""/>
    <s v=""/>
    <s v=""/>
    <s v="Fernandez-Vidal, Jorge; Perotti, Francesco Antonio; Gonzalez, Reyes; Gasco, Jose"/>
    <s v=""/>
    <s v=""/>
    <x v="176"/>
    <x v="138"/>
    <s v=""/>
    <s v=""/>
    <s v="English"/>
    <s v="Article"/>
    <s v=""/>
    <s v=""/>
    <s v=""/>
    <s v=""/>
    <s v=""/>
    <x v="168"/>
    <x v="144"/>
    <s v="Digital Transformation is upending businesses everywhere. While there is ample research on this topic, there is a clear gap when it comes to understanding the changing talent management role of senior executives in digital transformation processes and the demands of individual employees. This article relies on 23 in-depth interviews with senior managers who are leading all or some of the digital transformation efforts of their respective or-ganizations. Our research, using a grounded theory approach, identifies four key activities (and 37 sub-activities or themes) stemming from the new managerial needs and talent management practices arising from DT pro-cesses. We branded these key activities Drive business change, Master fluid &amp; loose organizational structures, Master Talent Complexity, and Prioritize learning. This paper aims to provide an overview into the thinking and managerial practices of senior executives in a digital transformation context and complements the limited number of studies that examine the intersection between managerial actions and digital transformation. It also provides a conceptual framework that captures the key managerial demands arising from digital transformation processes and identifies key actions made by senior executives as part of these processes, which can be leveraged by both scholars and practitioners alike."/>
    <s v="[Fernandez-Vidal, Jorge] IE Business Sch, Dept Strategy, Alicante, Spain; [Fernandez-Vidal, Jorge] Univ Alicante, Alicante, Spain; [Perotti, Francesco Antonio] Univ Turin, Dept Management, Turin, Italy; [Gonzalez, Reyes; Gasco, Jose] Univ Alicante, Dept Management, Alicante, Spain"/>
    <s v="IE University; Universitat d'Alacant; University of Turin; Universitat d'Alacant"/>
    <s v="Fernandez-Vidal, J (corresponding author), IE Business Sch, Dept Strategy, Alicante, Spain.;Fernandez-Vidal, J (corresponding author), Univ Alicante, Alicante, Spain."/>
    <s v="jfernandezv@faculty.ie.edu; francescoantonio.perotti@unito.it; mr.gonzalez@ua.es; jl.gasco@ua.es"/>
    <s v="Gascó, José L/L-1794-2014; Celestino, Leandro/HIR-4215-2022; Fernandez Vidal, Jorge/HIZ-5766-2022; Gonzalez-Ramirez, Reyes/L-1893-2014"/>
    <s v="Gascó, José L/0000-0003-2461-7702; Gonzalez-Ramirez, Reyes/0000-0002-9758-7957; Perotti, Francesco Antonio/0000-0002-4719-7774"/>
    <s v=""/>
    <s v=""/>
    <s v=""/>
    <s v=""/>
    <n v="120"/>
    <n v="16"/>
    <n v="16"/>
    <n v="66"/>
    <n v="260"/>
    <s v="ELSEVIER SCIENCE INC"/>
    <s v="NEW YORK"/>
    <s v="STE 800, 230 PARK AVE, NEW YORK, NY 10169 USA"/>
    <s v="0148-2963"/>
    <s v="1873-7978"/>
    <s v=""/>
    <s v="J BUS RES"/>
    <s v="J. Bus. Res."/>
    <s v="NOV"/>
    <x v="1"/>
    <n v="152"/>
    <s v=""/>
    <s v=""/>
    <s v=""/>
    <s v=""/>
    <s v=""/>
    <n v="29"/>
    <n v="41"/>
    <s v=""/>
    <s v="10.1016/j.jbusres.2022.07.020"/>
    <s v="http://dx.doi.org/10.1016/j.jbusres.2022.07.020"/>
    <s v=""/>
    <s v="JUL 2022"/>
    <n v="13"/>
    <x v="33"/>
    <x v="1"/>
    <s v="Business &amp; Economics"/>
    <s v="3P9HG"/>
    <s v=""/>
    <s v="hybrid"/>
    <s v=""/>
    <s v=""/>
    <s v="2023-11-15"/>
    <s v="WOS:000837844200003"/>
    <s v="View Full Record in Web of Science"/>
    <m/>
  </r>
  <r>
    <x v="179"/>
    <s v="J"/>
    <x v="177"/>
    <s v=""/>
    <s v=""/>
    <s v=""/>
    <s v="Schulte-Derne, Dorte; Lehmann, Claudia"/>
    <s v=""/>
    <s v=""/>
    <x v="177"/>
    <x v="75"/>
    <s v=""/>
    <s v=""/>
    <s v="English"/>
    <s v="Article"/>
    <s v=""/>
    <s v=""/>
    <s v=""/>
    <s v=""/>
    <s v=""/>
    <x v="169"/>
    <x v="145"/>
    <s v="This paper focuses on challenges regarding managerial behaviour and productivity in the context of digitalisation. It is neither understood precisely how managerial behaviours transcribe digital strategy into economic success nor how opportunities from digital innovations are transferred into productivity. A systematic literature review (SLR) is applied to acquire an organised overview of the research question How does managerial behaviour concerning digital innovations change productivity? The outcomes of this paper are threefold: (1) The research question will be answered by showing several aspects managers can make use of to influence productivity. In this regard knowledge, change management and data-driven behaviours, the creation of collaborative settings. and (customer) co-creative aspects are of particular importance. (2) Executives will be motivated to reflect and calibrate their own practices. (3) The Gutenberg rooted framework of production factors is used to discuss the results and six suggestions are made to transform the model to digital readiness."/>
    <s v="[Schulte-Derne, Dorte; Lehmann, Claudia] LF Grp Chair Digital Innovat Serv Ind, HHL Leipzig Grad Sch Management, Jahnallee 59, D-04109 Leipzig, Germany"/>
    <s v="HHL Leipzig Graduate School of Management"/>
    <s v="Schulte-Derne, D (corresponding author), LF Grp Chair Digital Innovat Serv Ind, HHL Leipzig Grad Sch Management, Jahnallee 59, D-04109 Leipzig, Germany."/>
    <s v="doerte.schulte-derne@hhl.de; claudia.lehmann@hhl.de"/>
    <s v=""/>
    <s v=""/>
    <s v=""/>
    <s v=""/>
    <s v=""/>
    <s v=""/>
    <n v="72"/>
    <n v="1"/>
    <n v="1"/>
    <n v="10"/>
    <n v="34"/>
    <s v="WORLD SCIENTIFIC PUBL CO PTE LTD"/>
    <s v="SINGAPORE"/>
    <s v="5 TOH TUCK LINK, SINGAPORE 596224, SINGAPORE"/>
    <s v="1363-9196"/>
    <s v="1757-5877"/>
    <s v=""/>
    <s v="INT J INNOV MANAG"/>
    <s v="Int. J. Innov. Manag."/>
    <s v="APR"/>
    <x v="1"/>
    <n v="26"/>
    <n v="3"/>
    <s v=""/>
    <s v=""/>
    <s v=""/>
    <s v=""/>
    <s v=""/>
    <s v=""/>
    <n v="2240020"/>
    <s v="10.1142/S1363919622400205"/>
    <s v="http://dx.doi.org/10.1142/S1363919622400205"/>
    <s v=""/>
    <s v="JUL 2022"/>
    <n v="33"/>
    <x v="8"/>
    <x v="2"/>
    <s v="Business &amp; Economics"/>
    <s v="4T1PW"/>
    <s v=""/>
    <s v=""/>
    <s v=""/>
    <s v=""/>
    <s v="2023-11-15"/>
    <s v="WOS:000848604700001"/>
    <s v="View Full Record in Web of Science"/>
    <m/>
  </r>
  <r>
    <x v="180"/>
    <s v="J"/>
    <x v="178"/>
    <s v=""/>
    <s v=""/>
    <s v=""/>
    <s v="Senna, Pedro P.; Ferreira, Luis Miguel D. F.; Barros, Ana C.; Roca, Jaime Bonnin; Magalhaes, Vanessa"/>
    <s v=""/>
    <s v=""/>
    <x v="178"/>
    <x v="0"/>
    <s v=""/>
    <s v=""/>
    <s v="English"/>
    <s v="Article"/>
    <s v=""/>
    <s v=""/>
    <s v=""/>
    <s v=""/>
    <s v=""/>
    <x v="170"/>
    <x v="146"/>
    <s v="While Industry 4.0 promises large technological improvements, firms face multiple challenges in its adoption. Current literature has made significant efforts to identify the barriers which are common to most companies but fails to identify their interrelationships and their implications for practitioners. We use interpretive structural modelling (ISM) methodology to identify these barriers and their interrelationships, combined with matrix impact of cross multiplication applied to classification (MICMAC) analysis to identify the root barriers, in the context of the Portuguese manufacturing industry. We categorize these barriers using the Technology -Organization-Environment framework. We conclude that barriers related to standardization and lack of off -the-shelf solutions are considered root barriers. Our results differ from other studies that regard barriers related to legal and contractual uncertainty with the highest driving power and lowest dependence power. Also, we find that organizational barriers have the highest dependency and lowest driving power, contradicting studies on the topic. We provide recommendations for managers and policymakers in three areas: Standardization Dissemination, Infrastructure Development, and Digital Strategy."/>
    <s v="[Senna, Pedro P.] Univ Porto, Fac Engn, Rua Dr Roberto Frias, P-4200465 Porto, Portugal; [Senna, Pedro P.; Barros, Ana C.] Campus FEUP, Ctr Enterprise Syst Engn, INESC TEC, Rua Dr Roberto Frias, P-4200465 Porto, Portugal; [Ferreira, Luis Miguel D. F.; Magalhaes, Vanessa] Univ Coimbra, Dept Mech Engn, CEMMPRE, Coimbra, Portugal; [Roca, Jaime Bonnin] Eindhoven Univ Technol, Dept Ind Engn &amp; Innovat Sci, Eindhoven, Netherlands; [Senna, Pedro P.] Campus FEUP, INESC TEC, Rua Dr Roberto Frias S-N, P-4200465 Porto, Portugal"/>
    <s v="Universidade do Porto; Universidade do Porto; INESC TEC; Universidade de Coimbra; Eindhoven University of Technology; Universidade do Porto; INESC TEC"/>
    <s v="Senna, PP (corresponding author), Campus FEUP, INESC TEC, Rua Dr Roberto Frias S-N, P-4200465 Porto, Portugal."/>
    <s v="pedro.senna@inesctec.pt; luis.ferreira@dem.uc.pt; abarros2222@gmail.com; j.bonnin.roca@tue.nl; vanessa.magalhaes@dem.uc.pt"/>
    <s v="Magalhães, Vanessa Sofia Melo/GZL-2926-2022; Roca, Jaime/AAK-3477-2021; Senna, Pedro Pinho/GRS-5705-2022; Ferreira, Luis/H-3046-2016"/>
    <s v="Magalhães, Vanessa Sofia Melo/0000-0002-5265-8555; Roca, Jaime/0000-0003-4244-0357; Senna, Pedro Pinho/0000-0002-4025-5716; Ferreira, Luis/0000-0003-0459-0020"/>
    <s v="FEDER funds; National Funds, National Funds through the Portuguese funding agency"/>
    <s v="FEDER funds(European Union (EU)); National Funds, National Funds through the Portuguese funding agency"/>
    <s v="This research is supported by FEDER funds through the program COMPETE - Programa Operacional Factores de Competitividade. This work was financed by National Funds through the Portuguese funding agency, FCT - Fundacao para a Ciencia e a Tecnologia, within project UIDB/50014/2020."/>
    <s v=""/>
    <n v="90"/>
    <n v="19"/>
    <n v="19"/>
    <n v="6"/>
    <n v="12"/>
    <s v="PERGAMON-ELSEVIER SCIENCE LTD"/>
    <s v="OXFORD"/>
    <s v="THE BOULEVARD, LANGFORD LANE, KIDLINGTON, OXFORD OX5 1GB, ENGLAND"/>
    <s v="0360-8352"/>
    <s v="1879-0550"/>
    <s v=""/>
    <s v="COMPUT IND ENG"/>
    <s v="Comput. Ind. Eng."/>
    <s v="SEP"/>
    <x v="1"/>
    <n v="171"/>
    <s v=""/>
    <s v=""/>
    <s v=""/>
    <s v=""/>
    <s v=""/>
    <s v=""/>
    <s v=""/>
    <n v="108428"/>
    <s v="10.1016/j.cie.2022.108428"/>
    <s v="http://dx.doi.org/10.1016/j.cie.2022.108428"/>
    <s v=""/>
    <s v="JUL 2022"/>
    <n v="12"/>
    <x v="0"/>
    <x v="0"/>
    <s v="Computer Science; Engineering"/>
    <s v="3R4TL"/>
    <s v=""/>
    <s v="Green Published, hybrid"/>
    <s v=""/>
    <s v=""/>
    <s v="2023-11-15"/>
    <s v="WOS:000838907100011"/>
    <s v="View Full Record in Web of Science"/>
    <m/>
  </r>
  <r>
    <x v="181"/>
    <s v="J"/>
    <x v="179"/>
    <s v=""/>
    <s v=""/>
    <s v=""/>
    <s v="Li, Lan"/>
    <s v=""/>
    <s v=""/>
    <x v="179"/>
    <x v="134"/>
    <s v=""/>
    <s v=""/>
    <s v="English"/>
    <s v="Article"/>
    <s v=""/>
    <s v=""/>
    <s v=""/>
    <s v=""/>
    <s v=""/>
    <x v="8"/>
    <x v="1"/>
    <s v="This paper firstly constructs a set of digital maturity evaluation system for small and medium-sized enterprises based on the maturity model theory and adopts the AHP-DEMATEL evaluation method to evaluate the digital maturity of small and medium-sized enterprises. The four dimensions of digital strategy, operational technology, cultural organization capabilities, and ecosystem explore the impact mechanism of digitalization on enterprise product transformation capabilities. This research fully combines theory with practice and effectively makes up for the lack of digital theory research of small- and medium-sized enterprises."/>
    <s v="[Li, Lan] Balivag Univ Gil Carlos, St Baliuag 3006, Bulacan, Philippines"/>
    <s v=""/>
    <s v="Li, L (corresponding author), Balivag Univ Gil Carlos, St Baliuag 3006, Bulacan, Philippines."/>
    <s v="lanli@baliuagu.edu.ph"/>
    <s v=""/>
    <s v=""/>
    <s v=""/>
    <s v=""/>
    <s v=""/>
    <s v=""/>
    <n v="24"/>
    <n v="0"/>
    <n v="0"/>
    <n v="14"/>
    <n v="57"/>
    <s v="HINDAWI LTD"/>
    <s v="LONDON"/>
    <s v="ADAM HOUSE, 3RD FLR, 1 FITZROY SQ, LONDON, W1T 5HF, ENGLAND"/>
    <s v="1024-123X"/>
    <s v="1563-5147"/>
    <s v=""/>
    <s v="MATH PROBL ENG"/>
    <s v="Math. Probl. Eng."/>
    <s v="JUL 11"/>
    <x v="1"/>
    <n v="2022"/>
    <s v=""/>
    <s v=""/>
    <s v=""/>
    <s v=""/>
    <s v=""/>
    <s v=""/>
    <s v=""/>
    <n v="7085322"/>
    <s v="10.1155/2022/7085322"/>
    <s v="http://dx.doi.org/10.1155/2022/7085322"/>
    <s v=""/>
    <s v=""/>
    <n v="11"/>
    <x v="76"/>
    <x v="0"/>
    <s v="Engineering; Mathematics"/>
    <s v="4X3MM"/>
    <s v=""/>
    <s v="gold"/>
    <s v=""/>
    <s v=""/>
    <s v="2023-11-15"/>
    <s v="WOS:000860750100013"/>
    <s v="View Full Record in Web of Science"/>
    <m/>
  </r>
  <r>
    <x v="182"/>
    <s v="J"/>
    <x v="180"/>
    <s v=""/>
    <s v=""/>
    <s v=""/>
    <s v="Konigorski, Stefan; Wernicke, Sarah; Slosarek, Tamara; Zenner, Alexander M.; Strelow, Nils; Ruether, Darius F.; Henschel, Florian; Manaswini, Manisha; Pottbaecker, Fabian; Edelman, Jonathan A.; Owoyele, Babajide; Danieletto, Matteo; Golden, Eddye; Zweig, Micol; Nadkarni, Girish N.; Boettinger, Erwin"/>
    <s v=""/>
    <s v=""/>
    <x v="180"/>
    <x v="103"/>
    <s v=""/>
    <s v=""/>
    <s v="English"/>
    <s v="Article"/>
    <s v=""/>
    <s v=""/>
    <s v=""/>
    <s v=""/>
    <s v=""/>
    <x v="171"/>
    <x v="147"/>
    <s v="N-of-1 trials are the gold standard study design to evaluate individual treatment effects and derive personalized treatment strategies. Digital tools have the potential to initiate a new era of N-of-1 trials in terms of scale and scope, but fully functional platforms are not yet available. Here, we present the open source StudyU platform, which includes the StudyU Designer and StudyU app. With the StudyU Designer, scientists are given a collaborative web application to digitally specify, publish, and conduct N-of-1 trials. The StudyU app is a smartphone app with innovative user-centric elements for participants to partake in trials published through the StudyU Designer to assess the effects of different interventions on their health. Thereby, the StudyU platform allows clinicians and researchers worldwide to easily design and conduct digital N-of-1 trials in a safe manner. We envision that StudyU can change the landscape of personalized treatments both for patients and healthy individuals, democratize and personalize evidence generation for self-optimization and medicine, and can be integrated in clinical practice."/>
    <s v="[Konigorski, Stefan; Wernicke, Sarah; Slosarek, Tamara; Zenner, Alexander M.; Strelow, Nils; Ruether, Darius F.; Henschel, Florian; Manaswini, Manisha; Pottbaecker, Fabian; Edelman, Jonathan A.; Owoyele, Babajide; Boettinger, Erwin] Univ Potsdam, Hasso Plattner Inst Digital Engn, Digital Hlth Ctr, Potsdam, Germany; [Konigorski, Stefan; Wernicke, Sarah; Slosarek, Tamara; Zenner, Alexander M.; Strelow, Nils; Ruether, Darius F.; Henschel, Florian; Manaswini, Manisha; Pottbaecker, Fabian; Boettinger, Erwin] Univ Potsdam, Digital Engn Fac, Potsdam, Germany; [Konigorski, Stefan; Wernicke, Sarah; Slosarek, Tamara; Danieletto, Matteo; Golden, Eddye; Zweig, Micol; Nadkarni, Girish N.; Boettinger, Erwin] Hasso Plattner Inst Digital Hlth Mt Sinai, Icahn Sch Med Mt Sinai, New York, NY 10029 USA; [Ruether, Darius F.] Univ Med Ctr Hamburg Eppendorf, Dept Med, Hamburg, Germany; [Edelman, Jonathan A.] Ctr Adv Design Studies, Palo Alto, CA USA; [Konigorski, Stefan] Univ Potsdam, Hasso Plattner Inst Digital Engn, Digital Hlth Ctr, Prof Dr Helmert Str 2-3, D-14482 Potsdam, Germany"/>
    <s v="University of Potsdam; University of Potsdam; Icahn School of Medicine at Mount Sinai; University of Hamburg; University Medical Center Hamburg-Eppendorf; University of Potsdam"/>
    <s v="Konigorski, S (corresponding author), Univ Potsdam, Hasso Plattner Inst Digital Engn, Digital Hlth Ctr, Prof Dr Helmert Str 2-3, D-14482 Potsdam, Germany."/>
    <s v="stefan.konigorski@hpi.de"/>
    <s v=""/>
    <s v="Wernicke, Sarah/0000-0001-8127-1969; Slosarek, Tamara/0000-0003-1514-1706; owoyele, babajide/0000-0002-3688-5248; Ruether, Darius Ferenc/0000-0003-3783-380X; Zenner, Alexander Maximilian/0000-0002-6745-1610; Manaswini, Manisha/0000-0003-4403-7692"/>
    <s v="European Union [491466077]; building a citizen -centered EU-electronic health record exchange for personalized health [826117]; Deutsche Forschungsgemeinschaft (DFG, German Research Foundation) [826117]"/>
    <s v="European Union(European Union (EU)); building a citizen -centered EU-electronic health record exchange for personalized health; Deutsche Forschungsgemeinschaft (DFG, German Research Foundation)(German Research Foundation (DFG))"/>
    <s v="This work has received funding from the European Union's Horizon 2020 research and innovation program under the grant agreement 826117 Smart4Health, building a citizen -centered EU-electronic health record exchange for personalized health, and from the Deutsche Forschungsgemeinschaft (DFG, German Research Foundation; project 491466077) ."/>
    <s v=""/>
    <n v="66"/>
    <n v="3"/>
    <n v="3"/>
    <n v="1"/>
    <n v="3"/>
    <s v="JMIR PUBLICATIONS, INC"/>
    <s v="TORONTO"/>
    <s v="130 QUEENS QUAY E, STE 1102, TORONTO, ON M5A 0P6, CANADA"/>
    <s v="1438-8871"/>
    <s v=""/>
    <s v=""/>
    <s v="J MED INTERNET RES"/>
    <s v="J. Med. Internet Res."/>
    <s v="JUL 5"/>
    <x v="1"/>
    <n v="24"/>
    <n v="7"/>
    <s v=""/>
    <s v=""/>
    <s v=""/>
    <s v=""/>
    <s v=""/>
    <s v=""/>
    <s v="e35884"/>
    <s v="10.2196/35884"/>
    <s v="http://dx.doi.org/10.2196/35884"/>
    <s v=""/>
    <s v=""/>
    <n v="12"/>
    <x v="40"/>
    <x v="0"/>
    <s v="Health Care Sciences &amp; Services; Medical Informatics"/>
    <s v="3B8QR"/>
    <n v="35787512"/>
    <s v="gold, Green Submitted, Green Published"/>
    <s v=""/>
    <s v=""/>
    <s v="2023-11-15"/>
    <s v="WOS:000828200900002"/>
    <s v="View Full Record in Web of Science"/>
    <m/>
  </r>
  <r>
    <x v="183"/>
    <s v="J"/>
    <x v="181"/>
    <s v=""/>
    <s v=""/>
    <s v=""/>
    <s v="Uskup, Dilara K.; Nieto, Omar; Rosenberg-Carlson, Elena; Lee, Sung-Jae; Milburn, Norweeta G.; Brooks, Ronald A."/>
    <s v=""/>
    <s v=""/>
    <x v="181"/>
    <x v="139"/>
    <s v=""/>
    <s v=""/>
    <s v="English"/>
    <s v="Article"/>
    <s v=""/>
    <s v=""/>
    <s v=""/>
    <s v=""/>
    <s v=""/>
    <x v="172"/>
    <x v="148"/>
    <s v="Background: Black and Latina cisgender women (BLCW) experience disproportionately high rates of HIV infection compared with White women. BLCW also experience disparities in uptake of pre-exposure prophylaxis (PrEP), a highly effective HIV prevention strategy. Digital technology interventions may help to improve PrEP accessibility among BLCW and address barriers to receiving PrEP services in clinical settings. Methods: We conducted a formative implementation research project with service providers to explore the use of digital technology interventions to improve PrEP care continuum outcomes among priority populations in Los Angeles County. A thematic analysis approach was then used to assess the perceived acceptability and appropriateness of digital PrEP interventions for BLCW. Results: Of the five technology products presented, service providers viewed the stand-alone telemedicine platforms as the most acceptable intervention type for BLCW. Service providers also noted perceived benefits and barriers that BLCW may experience in using stand-alone telemedicine platforms, and offered recommendations for tailoring the products to meet the individual needs of BLCW. Conclusions: Digital PrEP interventions may help address barriers BLCW experience in accessing PrEP in clinical settings. We offer suggestions of implementation strategies to optimize the use of digital PrEP interventions among BLCW."/>
    <s v="[Uskup, Dilara K.; Nieto, Omar; Rosenberg-Carlson, Elena; Brooks, Ronald A.] Univ Calif Los Angeles, Dept Family Med, 10880 Wilshire Blvd,Suite 1800, Los Angeles, CA 90024 USA; [Uskup, Dilara K.; Rosenberg-Carlson, Elena; Lee, Sung-Jae; Milburn, Norweeta G.; Brooks, Ronald A.] Univ Calif Los Angeles, Ctr HIV Identificat Prevent &amp; Treatment Serv CHIP, Los Angeles, CA 90024 USA; [Lee, Sung-Jae; Milburn, Norweeta G.] Univ Calif Los Angeles, Dept Psychiat &amp; Biobehav Sci, Los Angeles, CA 90024 USA"/>
    <s v="University of California System; University of California Los Angeles; University of California System; University of California Los Angeles; University of California System; University of California Los Angeles"/>
    <s v="Brooks, RA (corresponding author), Univ Calif Los Angeles, Dept Family Med, 10880 Wilshire Blvd,Suite 1800, Los Angeles, CA 90024 USA."/>
    <s v="rabrooks@mednet.ucla.edu"/>
    <s v=""/>
    <s v=""/>
    <s v="Center for HIV Identification, Prevention, and Treatment Services (CHIPTS) under the National Institutes of Mental Health (NIMH) [P30 MH058107-23S]; National Institute of Neurological Disorders and Stroke (NINDS) [R25NS094093]; NIMH [5T32MH109205-03]"/>
    <s v="Center for HIV Identification, Prevention, and Treatment Services (CHIPTS) under the National Institutes of Mental Health (NIMH); National Institute of Neurological Disorders and Stroke (NINDS)(United States Department of Health &amp; Human ServicesNational Institutes of Health (NIH) - USANIH National Institute of Neurological Disorders &amp; Stroke (NINDS)); NIMH(United States Department of Health &amp; Human ServicesNational Institutes of Health (NIH) - USANIH National Institute of Mental Health (NIMH))"/>
    <s v="Supported by the Center for HIV Identification, Prevention, and Treatment Services (CHIPTS) under the National Institutes of Mental Health (NIMH) Grant No. P30 MH058107-23S. D.K.U. is supported by the National Institute of Neurological Disorders and Stroke (NINDS) under Grant No. R25NS094093 and NIMH under Grant No. 5T32MH109205-03. The content is solely the responsibility of the authors and does not necessarily represent the official views of NIH."/>
    <s v=""/>
    <n v="47"/>
    <n v="0"/>
    <n v="0"/>
    <n v="0"/>
    <n v="0"/>
    <s v="LIPPINCOTT WILLIAMS &amp; WILKINS"/>
    <s v="PHILADELPHIA"/>
    <s v="TWO COMMERCE SQ, 2001 MARKET ST, PHILADELPHIA, PA 19103 USA"/>
    <s v="1525-4135"/>
    <s v="1077-9450"/>
    <s v=""/>
    <s v="JAIDS-J ACQ IMM DEF"/>
    <s v="JAIDS"/>
    <s v="JUL 1"/>
    <x v="1"/>
    <n v="90"/>
    <s v=""/>
    <s v=""/>
    <n v="1"/>
    <s v=""/>
    <s v=""/>
    <s v="S134"/>
    <s v="S140"/>
    <s v=""/>
    <s v="10.1097/QAI.0000000000002973"/>
    <s v="http://dx.doi.org/10.1097/QAI.0000000000002973"/>
    <s v=""/>
    <s v=""/>
    <n v="7"/>
    <x v="78"/>
    <x v="0"/>
    <s v="Immunology; Infectious Diseases"/>
    <s v="2C7PI"/>
    <n v="35703765"/>
    <s v="Bronze, Green Accepted"/>
    <s v=""/>
    <s v=""/>
    <s v="2023-11-15"/>
    <s v="WOS:000811055100017"/>
    <s v="View Full Record in Web of Science"/>
    <m/>
  </r>
  <r>
    <x v="184"/>
    <s v="J"/>
    <x v="182"/>
    <s v=""/>
    <s v=""/>
    <s v=""/>
    <s v="de la Guardia Garcia-Lomas, Juan; Palacios, Miguel; Zurdo, Ricardo Palomo"/>
    <s v=""/>
    <s v=""/>
    <x v="182"/>
    <x v="140"/>
    <s v=""/>
    <s v=""/>
    <s v="English"/>
    <s v="Article"/>
    <s v=""/>
    <s v=""/>
    <s v=""/>
    <s v=""/>
    <s v=""/>
    <x v="173"/>
    <x v="1"/>
    <s v="Mergers and Acquisitions (M&amp;A) is one of the most explored growth strategies in all markets, and this is indeed the case in the elevator industry, an engineering-based industry with important service contracts. The reality is that a high percentage of the operations carried out do not meet the expectations of the investors once the integration phase has been completed. The authors have reviewed 290 papers related to successes and failures of M&amp;A operations from different industries, between 1990 and 2020, and the conclusion is that there are several causes of failures in M&amp;A operations, but the most common one, and the one with the highest risk of overprice in an acquisition decision, is information asymmetry. During the negotiation phase a large amount of data is collected, and subsequently analyzed during the due diligence period, but it may not correspond to the reality during the integration phase. In this article we will propose how information asymmetry can be avoided through internet of things (hereinafter IoT) devices installed in an elevator. This can also be applied to other engineering-based industries with service involvement and potential remote measurements."/>
    <s v="[de la Guardia Garcia-Lomas, Juan] Univ CEU San Pablo, CEU Univ, CEINDO, Madrid, Spain; [Palacios, Miguel] ESCP Business Sch, Madrid, Spain; [Zurdo, Ricardo Palomo] Univ CEU San Pablo, CEU Univ, Sch Business &amp; Econ, Madrid, Spain"/>
    <s v="San Pablo CEU University; heSam Universite; ESCP Business School; San Pablo CEU University"/>
    <s v="Garcia-Lomas, JD (corresponding author), Univ CEU San Pablo, CEU Univ, Madrid 28003, Spain."/>
    <s v="juan.deguardiagarcialomas@usp.ceu.es"/>
    <s v="de la Guardia, Juan/HKE-8412-2023; PALOMO-ZURDO, RICARDO/C-4070-2015"/>
    <s v="de la Guardia, Juan/0000-0002-8861-0940; PALOMO-ZURDO, RICARDO/0000-0002-4243-6684"/>
    <s v=""/>
    <s v=""/>
    <s v=""/>
    <s v=""/>
    <n v="26"/>
    <n v="0"/>
    <n v="0"/>
    <n v="1"/>
    <n v="5"/>
    <s v="WILEY"/>
    <s v="HOBOKEN"/>
    <s v="111 RIVER ST, HOBOKEN 07030-5774, NJ USA"/>
    <s v=""/>
    <s v="2577-8196"/>
    <s v=""/>
    <s v="ENG REP"/>
    <s v="Eng. Rep."/>
    <s v="FEB"/>
    <x v="0"/>
    <n v="5"/>
    <n v="2"/>
    <s v=""/>
    <s v=""/>
    <s v=""/>
    <s v=""/>
    <s v=""/>
    <s v=""/>
    <s v="e12539"/>
    <s v="10.1002/eng2.12539"/>
    <s v="http://dx.doi.org/10.1002/eng2.12539"/>
    <s v=""/>
    <s v="JUN 2022"/>
    <n v="9"/>
    <x v="79"/>
    <x v="2"/>
    <s v="Computer Science; Engineering; Materials Science"/>
    <s v="9E9CL"/>
    <s v=""/>
    <s v="gold"/>
    <s v=""/>
    <s v=""/>
    <s v="2023-11-15"/>
    <s v="WOS:000815732000001"/>
    <s v="View Full Record in Web of Science"/>
    <m/>
  </r>
  <r>
    <x v="185"/>
    <s v="J"/>
    <x v="183"/>
    <s v=""/>
    <s v=""/>
    <s v=""/>
    <s v="Massa, Alessandra; Anzera, Giuseppe"/>
    <s v=""/>
    <s v=""/>
    <x v="183"/>
    <x v="141"/>
    <s v=""/>
    <s v=""/>
    <s v="English"/>
    <s v="Article"/>
    <s v=""/>
    <s v=""/>
    <s v=""/>
    <s v=""/>
    <s v=""/>
    <x v="174"/>
    <x v="149"/>
    <s v="Platforms are conditioning the way public communication is conducted while presenting themselves as neutral connectors. Social media logic encompasses norms, strategies, mechanisms and economies acting at the intersection between online platforms and society. Military communication is adapting itself to communicative and socio-technical innovations dictated by online platforms and social network sites. Armies are currently using digital media and online platforms in at least two different ways: a promotional one, based on the 'normalization' of militarism, and a conflictual one, based on the display and management of conflicts. In this article, the authors apply qualitative content analysis to investigate the platformed strategy of the Israel Defense Forces (IDF) Twitter account. Results show how the IDF embraces platformization and uses social media logic to develop a coherent narrative, projecting an attractive image, establishing an international positioning and defining international interlocutors. The institution of communicative formats, the multiplication of themes and representational artefacts, and a redefined aesthetics of army and violence are enabled by social media logic. Tweets from the IDF follow a dual path: they contribute to normalizing militarism and act on the conflictual display of current affairs."/>
    <s v="[Massa, Alessandra] Univ Cagliari, Cagliari, Italy; [Anzera, Giuseppe] Sapienza Univ Rome, Dept Commun &amp; Social Res, Rome, Italy"/>
    <s v="University of Cagliari; Sapienza University Rome"/>
    <s v="Massa, A (corresponding author), Univ Cagliari, Dept Polit &amp; Social Sci, S Ignazio St 78, I-09123 Cagliari, Italy."/>
    <s v="alessandra.massa86@unica.it"/>
    <s v="MASSA, ALESSANDRA/HTN-7674-2023"/>
    <s v="MASSA, ALESSANDRA/0000-0002-2360-6772"/>
    <s v=""/>
    <s v=""/>
    <s v=""/>
    <s v=""/>
    <n v="64"/>
    <n v="1"/>
    <n v="1"/>
    <n v="2"/>
    <n v="5"/>
    <s v="SAGE PUBLICATIONS LTD"/>
    <s v="LONDON"/>
    <s v="1 OLIVERS YARD, 55 CITY ROAD, LONDON EC1Y 1SP, ENGLAND"/>
    <s v="1750-6352"/>
    <s v="1750-6360"/>
    <s v=""/>
    <s v="MEDIA WAR CONFL"/>
    <s v="Media War Confl."/>
    <s v="SEP"/>
    <x v="0"/>
    <n v="16"/>
    <n v="3"/>
    <s v=""/>
    <s v=""/>
    <s v=""/>
    <s v=""/>
    <n v="364"/>
    <n v="382"/>
    <s v=""/>
    <s v="10.1177/17506352221101257"/>
    <s v="http://dx.doi.org/10.1177/17506352221101257"/>
    <s v=""/>
    <s v="JUN 2022"/>
    <n v="19"/>
    <x v="56"/>
    <x v="2"/>
    <s v="Communication"/>
    <s v="Q1TJ1"/>
    <s v=""/>
    <s v=""/>
    <s v=""/>
    <s v=""/>
    <s v="2023-11-15"/>
    <s v="WOS:000811019600001"/>
    <s v="View Full Record in Web of Science"/>
    <m/>
  </r>
  <r>
    <x v="186"/>
    <s v="J"/>
    <x v="184"/>
    <s v=""/>
    <s v=""/>
    <s v=""/>
    <s v="Chukwu, Emeka; Garg, Lalit; Foday, Edward; Konomanyi, Abdul; Wright, Royston; Smart, Francis"/>
    <s v=""/>
    <s v=""/>
    <x v="184"/>
    <x v="81"/>
    <s v=""/>
    <s v=""/>
    <s v="English"/>
    <s v="Article"/>
    <s v=""/>
    <s v=""/>
    <s v=""/>
    <s v=""/>
    <s v=""/>
    <x v="175"/>
    <x v="150"/>
    <s v="Background: The government and partners have invested heavily in the health information system (HIS) for service delivery, surveillance, reporting, and monitoring. Sierra Leone's government launched its first digital health strategy in 2018. In 2019, a broader national innovation and digital strategy was launched. The health pillar direction will use big data and artificial intelligence (AI) to improve health care in general and maternal and child health in particular. Understanding the number, distribution, and interoperability of digital health solutions is crucial for successful implementation strategies. Objective: This paper presents the state of digital health solutions in Sierra Leone and how these solutions currently interoperate. This study further presents opportunities for big data and AI applications. Methods: All the district health management teams, all digital health implementing organizations, and a stratified sample of 72 (out of 1284) health facilities were purposefully selected from all health districts and surveyed. Results: The National Health Management Information System's (NHMIS's) aggregate reporting solution populated by health facility forms HF1 to HF9 was, by far, the most used tool. A health facility-based weekly aggregate electronic integrated disease surveillance and response solution was also widely used. Half of the health facilities had more than 2 digital health solutions in use. The different digital health software solutions do not share data among one another, though aggregate reporting data were sent as necessary. None of the respondents use any of the health care registries for patient, provider, health facility, or terminology identification. Conclusions: Many digital health solutions are currently used at health facilities in Sierra Leone. The government can leverage current investment in HIS from surveillance and reporting for using big data and AI for care. The vision of using big data for health care is achievable if stakeholders prioritize individualized and longitudinal patient data exchange using agreed use cases from national strategies. This study has shown evidence of distribution, types, and scale of digital health solutions in health facilities and opportunities for leveraging big data to fill critical gaps necessary to achieve the national digital health vision."/>
    <s v="[Chukwu, Emeka; Garg, Lalit] Univ Malta, Fac Informat &amp; Commun Technol, Dept Comp Informat Syst, PG Room A24,Level 0, MSD-2080 Msida, Malta; [Foday, Edward; Smart, Francis] Minist Hlth &amp; Sanitat, Directorate Planning Policy &amp; Informat, Freetown, Sierra Leone; [Konomanyi, Abdul] Minist Informat &amp; Commun, Directorate eGovt, Freetown, Sierra Leone; [Wright, Royston] UNICEF, Monitoring &amp; Evaluat Unit, Hlth &amp; Nutr, Freetown, Sierra Leone"/>
    <s v="University of Malta; Ministry of Health &amp; Sanitation Sierra Leone"/>
    <s v="Chukwu, E (corresponding author), Univ Malta, Fac Informat &amp; Commun Technol, Dept Comp Informat Syst, PG Room A24,Level 0, MSD-2080 Msida, Malta."/>
    <s v="nnaemeka.ec@hotmail.com"/>
    <s v="Nasarian, Elham/ISB-6863-2023; Garg, Lalit/AAE-6453-2019"/>
    <s v="Garg, Lalit/0000-0002-3868-0481; Chukwu, Emeka/0000-0003-3474-8108; Foday, Edward/0000-0003-3075-0964; Smart, Francis/0000-0002-9389-4730"/>
    <s v="UNICEF; United States Agency for International Development; University of Malta"/>
    <s v="UNICEF; United States Agency for International Development(United States Agency for International Development (USAID)); University of Malta"/>
    <s v="The Ministry of Health and Sanitation was supported for this study by UNICEF with support from United States Agency for International Development. The University of Malta also supported this research. The authors would like to appreciate all survey respondents including district health medical officers, health facility officers in charge, Focus1000, eHealthAfrica, Emergency Operation Center, World Vision, GIZ, World Health Organization, UNICEF, Johns Hopkins University-Center for Communications Program, United Nations Population Fund, Cell, Care International, GOAL, Partners In Health, United Nations, Hellen Keller International, World Hope International, Community Health Workers Hub, and Monitoring and Evaluation, Directorate of Policy, Planning and Information."/>
    <s v=""/>
    <n v="19"/>
    <n v="1"/>
    <n v="1"/>
    <n v="0"/>
    <n v="2"/>
    <s v="JMIR PUBLICATIONS, INC"/>
    <s v="TORONTO"/>
    <s v="130 QUEENS QUAY East, Unit 1100, TORONTO, ON M5A 0P6, CANADA"/>
    <s v=""/>
    <s v="2561-326X"/>
    <s v=""/>
    <s v="JMIR FORM RES"/>
    <s v="JMIR Form. Res."/>
    <s v="JUN"/>
    <x v="1"/>
    <n v="6"/>
    <n v="6"/>
    <s v=""/>
    <s v=""/>
    <s v=""/>
    <s v=""/>
    <s v=""/>
    <s v=""/>
    <s v="e29930"/>
    <s v="10.2196/29930"/>
    <s v="http://dx.doi.org/10.2196/29930"/>
    <s v=""/>
    <s v=""/>
    <n v="10"/>
    <x v="40"/>
    <x v="2"/>
    <s v="Health Care Sciences &amp; Services; Medical Informatics"/>
    <s v="4N5SX"/>
    <n v="35687406"/>
    <s v="gold, Green Submitted, Green Published"/>
    <s v=""/>
    <s v=""/>
    <s v="2023-11-15"/>
    <s v="WOS:000854080300016"/>
    <s v="View Full Record in Web of Science"/>
    <m/>
  </r>
  <r>
    <x v="187"/>
    <s v="J"/>
    <x v="185"/>
    <s v=""/>
    <s v=""/>
    <s v=""/>
    <s v="Ferretti, Federico"/>
    <s v=""/>
    <s v=""/>
    <x v="185"/>
    <x v="142"/>
    <s v=""/>
    <s v=""/>
    <s v="English"/>
    <s v="Article"/>
    <s v=""/>
    <s v=""/>
    <s v=""/>
    <s v=""/>
    <s v=""/>
    <x v="176"/>
    <x v="151"/>
    <s v="In its new digital strategy for Europe, the EU highlights the need for better data-access and sharing. In line with this priority, it is working on a proposal for a Data Act that aims to provide the underlying legal framework. This paper seeks to disentangle key legal concepts and issues related to datafication that affect the envisaged European Data Space. It reveals that the EU already has a suitable regulatory model under the Payment Services Directive 2 ('PSD2'). The strategy focuses on market imbalances of the platform economy and challenges the legitimacy of large technological companies ('Big-Techs'). The latter act as gatekeepers to maintain a key role in data-access and monetise their data dominance. The paper casts into question the existence of a data market, suggesting that the EU already has a viable legislative model provided by the 'PSD2' sectoral legislation. Its data-access model could be applied horizontally across data-driven markets and the platform economy without engineering new rules or adding regulatory layers."/>
    <s v="[Ferretti, Federico] Alma Mater Studiorum Univ Bologna, Law, Bologna, Italy"/>
    <s v="University of Bologna"/>
    <s v="Ferretti, F (corresponding author), Alma Mater Studiorum Univ Bologna, Law, Bologna, Italy."/>
    <s v=""/>
    <s v=""/>
    <s v=""/>
    <s v="Erasmus+ Programme of the European Union"/>
    <s v="Erasmus+ Programme of the European Union(Erasmus+)"/>
    <s v="Associate Professor of Law, Alma Mater Studiorum University of Bologna; Director of the Jean Monnet Centre of Excellence 'Consumers and SMEs in the Digital Single Market (Digi-ConSME)'; Jean Monnet Chair of EU Digital Market Law (E-DSM). Co-funded by the Erasmus+ Programme of the European Union. The author is grateful to the three anonymous reviewers for their insightful and helpful comments. The usual disclaimer applies."/>
    <s v=""/>
    <n v="133"/>
    <n v="0"/>
    <n v="0"/>
    <n v="8"/>
    <n v="18"/>
    <s v="EUROPEAN UNIV INST"/>
    <s v="FIRENZE"/>
    <s v="COMMUNICATIONS SERV-PUBL UNIT, VILLA SALVIATI, VIA BOLOGNESE 156, FIRENZE, FI 50139, ITALY"/>
    <s v=""/>
    <s v="1973-2937"/>
    <s v=""/>
    <s v="EUR J LEG STUD"/>
    <s v="Eur. J. Leg. Stud."/>
    <s v="SUM"/>
    <x v="1"/>
    <n v="14"/>
    <n v="1"/>
    <s v=""/>
    <s v=""/>
    <s v=""/>
    <s v=""/>
    <n v="173"/>
    <n v="218"/>
    <s v=""/>
    <s v="10.2924/EJLS.2022.015"/>
    <s v="http://dx.doi.org/10.2924/EJLS.2022.015"/>
    <s v=""/>
    <s v=""/>
    <n v="46"/>
    <x v="10"/>
    <x v="2"/>
    <s v="Government &amp; Law"/>
    <s v="4U3TE"/>
    <s v=""/>
    <s v=""/>
    <s v=""/>
    <s v=""/>
    <s v="2023-11-15"/>
    <s v="WOS:000858719700008"/>
    <s v="View Full Record in Web of Science"/>
    <m/>
  </r>
  <r>
    <x v="188"/>
    <s v="J"/>
    <x v="186"/>
    <s v=""/>
    <s v=""/>
    <s v=""/>
    <s v="Gulati, Sonal; Grover, Abha"/>
    <s v=""/>
    <s v=""/>
    <x v="186"/>
    <x v="143"/>
    <s v=""/>
    <s v=""/>
    <s v="English"/>
    <s v="Article"/>
    <s v=""/>
    <s v=""/>
    <s v=""/>
    <s v=""/>
    <s v=""/>
    <x v="177"/>
    <x v="1"/>
    <s v="The fundamental reason behind this research is to study and investigate what role digital channels play if startups in India decide to advertise and promote their brand, product, or service through online mode. Nowadays, almost everyone wants to start a new venture and want to launch their brands and compete with more prominent names in the markets through cost effective ways. There have been several studies in the past where one can learn how one should expand their business in a certain targeted market. These research materials give us insights on failed startups as well who were unable to grow and could not run their business for more than two years. However; in today's era; we have observed that many entrepreneurs are now gaining momentum and their success rate is higher and they are relying maximum on digital strategies to promote their companies' offerings. Smart phones and smart devices have been a massive trend in marketing and they are contributing to more than half of the online traffic. Startups are now leveraging the digital space and using several digital channels for increasing their brand's visibility and influencing online sales. They are finding virtual mediums more cost effective with better customer engagement rate. They are able to control their marketing funds and execute their campaigns effectively if using digital marketing techniques such as pay per click, email marketing, search engine optimization &amp; social media marketing. The findings of this research imply that digital advertising for entrepreneurs has a huge impact on growing their business. If they do not utilize digital channels effectively, the augment is slow and redundant in some cases. It does show that online marketing efforts impact sales numbers and lead numbers for startups."/>
    <s v="[Gulati, Sonal] New Delhi Inst Management, Digital Mkt, New Delhi, India; [Grover, Abha] New Delhi Inst Management, Mkt, New Delhi, India"/>
    <s v=""/>
    <s v="Gulati, S (corresponding author), New Delhi Inst Management, Digital Mkt, New Delhi, India."/>
    <s v="sonalgulati.22@gmail.com; abhagrover.delhi@gmail.com"/>
    <s v=""/>
    <s v=""/>
    <s v=""/>
    <s v=""/>
    <s v=""/>
    <s v=""/>
    <n v="13"/>
    <n v="0"/>
    <n v="0"/>
    <n v="4"/>
    <n v="19"/>
    <s v="ANADOLU UNIV"/>
    <s v="ESKISEHIR"/>
    <s v="INST FINE ARTS, ESKISEHIR, 26470, TURKEY"/>
    <s v="1308-5581"/>
    <s v=""/>
    <s v=""/>
    <s v="INT J EARLY CHILD SP"/>
    <s v="Int. J. Early Child. Spec. Educ."/>
    <s v="JUN"/>
    <x v="1"/>
    <n v="14"/>
    <n v="1"/>
    <s v=""/>
    <s v=""/>
    <s v=""/>
    <s v=""/>
    <n v="2240"/>
    <n v="2247"/>
    <s v=""/>
    <s v="10.9756/INT-JECSE/V14I1.260"/>
    <s v="http://dx.doi.org/10.9756/INT-JECSE/V14I1.260"/>
    <s v=""/>
    <s v=""/>
    <n v="8"/>
    <x v="80"/>
    <x v="2"/>
    <s v="Education &amp; Educational Research"/>
    <s v="0U9VM"/>
    <s v=""/>
    <s v=""/>
    <s v=""/>
    <s v=""/>
    <s v="2023-11-15"/>
    <s v="WOS:000787994800006"/>
    <s v="View Full Record in Web of Science"/>
    <m/>
  </r>
  <r>
    <x v="189"/>
    <s v="J"/>
    <x v="187"/>
    <s v=""/>
    <s v=""/>
    <s v=""/>
    <s v="Lotto, Matheus; Jorge, Olivia Santana; Menezes, Tamires Sa; Ramalho, Ana Maria; Oliveira, Thais Marchini; Bevilacqua, Fernando; Cruvinel, Thiago"/>
    <s v=""/>
    <s v=""/>
    <x v="187"/>
    <x v="144"/>
    <s v=""/>
    <s v=""/>
    <s v="English"/>
    <s v="Article"/>
    <s v=""/>
    <s v=""/>
    <s v=""/>
    <s v=""/>
    <s v=""/>
    <x v="178"/>
    <x v="152"/>
    <s v="Background: False messages on the internet continually propagate possible adverse effects of fluoridated oral care products and water, despite their essential role in preventing and controlling dental caries. Objective: This study aims to evaluate the patterns of psychophysiological reactions of adults after the consumption of internet-based fluoride-related information and disinformation. Methods: A 2-armed, single-blinded, parallel, and randomized controlled trial will be conducted with 58 parents or caregivers of children who attend the Clinics of Pediatric Dentistry at the Bauru School of Dentistry, considering an attrition of 10% and a significance level of 5%. The participants will be randomized into test and intervention groups, being respectively exposed to fluoride-related information and disinformation presented on a computer with simultaneous monitoring of their psychophysiological reactions, including analysis of their heart rates (HRs) and 7 facial features (mouth outer, mouth corner, eye area, eyebrow activity, face area, face motion, and facial center of mass). Then, participants will respond to questions about the utility and truthfulness of content, their emotional state after the experiment, eHealth literacy, oral health knowledge, and socioeconomic characteristics. The Shapiro-Wilk and Levene tests will be used to determine the normality and homogeneity of the data, which could lead to further statistical analyses for elucidating significant differences between groups, using parametric (Student t test) or nonparametric (Mann-Whitney U test) analyses. Moreover, multiple logistic regression models will be developed to evaluate the association of distinct variables with the psychophysiological aspects. Only factors with significant Wald statistics in the simple analysis will be included in the multiple models (P&lt;.2). Furthermore, receiver operating characteristic curve analysis will be performed to determine the accuracy of the remote HR with respect to the measured HR. For all analyses, P&lt;.05 will be considered significant. Results: From June 2022, parents and caregivers who frequent the Clinics of Pediatric Dentistry at the Bauru School of Dentistry will be invited to participate in the study and will be randomized into 1 of the 2 groups (control or intervention). Data collection is expected to be completed in December 2023. Subsequently, the authors will analyze the data and publish the findings of the clinical trial by June 2024. Conclusions: This randomized controlled trial aims to elucidate differences between psychophysiological patterns of adults exposed to true or false oral health content. This evidence may support the development of further studies and digital strategies, such as neural network models to automatically detect disinformation available on the internet."/>
    <s v="[Lotto, Matheus; Jorge, Olivia Santana; Menezes, Tamires Sa; Ramalho, Ana Maria; Oliveira, Thais Marchini; Cruvinel, Thiago] Univ Sao Paulo, Bauru Sch Dent, Dept Pediat Dent Orthodont &amp; Publ Hlth, Al Dr Octavio Pinheiro Brisolla 9-75,Vila Univ, BR-17012901 Bauru, SP, Brazil; [Bevilacqua, Fernando] Fed Univ Fronteira Sul, Dept Comp Sci, Chapeco, SC, Brazil"/>
    <s v="Universidade de Sao Paulo; Universidade Federal da Fronteira Sul"/>
    <s v="Cruvinel, T (corresponding author), Univ Sao Paulo, Bauru Sch Dent, Dept Pediat Dent Orthodont &amp; Publ Hlth, Al Dr Octavio Pinheiro Brisolla 9-75,Vila Univ, BR-17012901 Bauru, SP, Brazil."/>
    <s v="thiagocruvinel@fob.usp.br"/>
    <s v="Lotto, Matheus/V-4759-2018; Cruvinel Silva, Thiago/K-2707-2012"/>
    <s v="Lotto, Matheus/0000-0002-0121-4006; Menezes, Tamires/0000-0002-2184-5075; Santana Jorge, Olivia/0000-0002-5266-5798; Cruvinel Silva, Thiago/0000-0001-7095-908X; Juca, Ana Maria/0000-0003-0908-6819"/>
    <s v="Sao Paulo Research Foundation [2019/27242-0]"/>
    <s v="Sao Paulo Research Foundation(Fundacao de Amparo a Pesquisa do Estado de Sao Paulo (FAPESP))"/>
    <s v="This work was supported by the Sao Paulo Research Foundation (grant #2019/27242-0)."/>
    <s v=""/>
    <n v="43"/>
    <n v="0"/>
    <n v="0"/>
    <n v="3"/>
    <n v="4"/>
    <s v="JMIR PUBLICATIONS, INC"/>
    <s v="TORONTO"/>
    <s v="130 QUEENS QUAY East, Unit 1100, TORONTO, ON M5A 0P6, CANADA"/>
    <s v="1929-0748"/>
    <s v=""/>
    <s v=""/>
    <s v="JMIR RES PROTOC"/>
    <s v="JMIR RES. Protoc."/>
    <s v="JUN"/>
    <x v="1"/>
    <n v="11"/>
    <n v="6"/>
    <s v=""/>
    <s v=""/>
    <s v=""/>
    <s v=""/>
    <s v=""/>
    <s v=""/>
    <s v="e39133"/>
    <s v="10.2196/39133"/>
    <s v="http://dx.doi.org/10.2196/39133"/>
    <s v=""/>
    <s v=""/>
    <n v="10"/>
    <x v="12"/>
    <x v="2"/>
    <s v="Health Care Sciences &amp; Services; Public, Environmental &amp; Occupational Health"/>
    <s v="E2AV8"/>
    <n v="35708767"/>
    <s v="Green Published, gold"/>
    <s v=""/>
    <s v=""/>
    <s v="2023-11-15"/>
    <s v="WOS:000973635700047"/>
    <s v="View Full Record in Web of Science"/>
    <m/>
  </r>
  <r>
    <x v="190"/>
    <s v="J"/>
    <x v="188"/>
    <s v=""/>
    <s v=""/>
    <s v=""/>
    <s v="Pilares, Iris Cathrina Abacan; Azam, Sami; Akbulut, Serkan; Jonkman, Mirjam; Shanmugam, Bharanidharan"/>
    <s v=""/>
    <s v=""/>
    <x v="188"/>
    <x v="145"/>
    <s v=""/>
    <s v=""/>
    <s v="English"/>
    <s v="Article"/>
    <s v=""/>
    <s v=""/>
    <s v=""/>
    <s v=""/>
    <s v=""/>
    <x v="179"/>
    <x v="153"/>
    <s v="Electronic Health Records (EHR) are the healthcare sector's core digital strategy meant to improve the quality of care provided to patients. Despite the benefits afforded by this digital transformation initiative, adoption among healthcare organizations has been slower than desired. The sheer volume and sensitive nature of patient records compel these organizations to exercise a healthy amount of caution in implementing EHR. Cyberattacks have also increased the risks associated with non-optimal EHR implementations. An influx of high-profile data breaches has plagued the sector during the COVID-19 pandemic, which put the spotlight on EHR cybersecurity. One objective of this research project is to aid the acceleration of EHR adoption. Another objective is to ensure the robustness of the system to resist malicious attacks. For the former, a systematic review was used to unearth all the possible causes why the adoption of EHR has been anemic. In this paper, sixty-five existing proposed EHR solutions were analyzed and it was found that there are fourteen major challenges that need to be addressed to reduce friction and risk for health organizations. These were privacy, security, confidentiality, interoperability, access control, scalability, authentication, accessibility, availability, data storage, data ownership, data validity, data integrity, and ease of use. We propose EHRChain, a new framework that tackles all the listed challenges simultaneously to address the first objective while also being designed to achieve the second objective. It is enabled by dual-blockchains based on Hyperledger Sawtooth to allow patient data decentralization via a consortium blockchain and IPFS for distributed data storage."/>
    <s v="[Pilares, Iris Cathrina Abacan; Azam, Sami; Akbulut, Serkan; Jonkman, Mirjam; Shanmugam, Bharanidharan] Charles Darwin Univ, Coll Engn IT &amp; Environm, Ellengowan Dr, Casuarina, NT 0810, Australia"/>
    <s v="Charles Darwin University"/>
    <s v="Azam, S (corresponding author), Charles Darwin Univ, Coll Engn IT &amp; Environm, Ellengowan Dr, Casuarina, NT 0810, Australia."/>
    <s v="iris.abacan@gmail.com; sami.azam@cdu.edu.au; s3rkanakbulut@gmail.com; mirjam.jonkman@cdu.edu.au; bharanidharan.shanmugam@cdu.edu.au"/>
    <s v="; Shanmugam, Bharanidharan/C-3611-2011"/>
    <s v="Azam, Sami/0000-0001-7572-9750; Shanmugam, Bharanidharan/0000-0002-2591-1949; AKBULUT, Serkan/0000-0002-4893-1379"/>
    <s v=""/>
    <s v=""/>
    <s v=""/>
    <s v=""/>
    <n v="102"/>
    <n v="5"/>
    <n v="5"/>
    <n v="4"/>
    <n v="17"/>
    <s v="MDPI"/>
    <s v="BASEL"/>
    <s v="ST ALBAN-ANLAGE 66, CH-4052 BASEL, SWITZERLAND"/>
    <s v=""/>
    <s v="1424-8220"/>
    <s v=""/>
    <s v="SENSORS-BASEL"/>
    <s v="Sensors"/>
    <s v="JUN"/>
    <x v="1"/>
    <n v="22"/>
    <n v="11"/>
    <s v=""/>
    <s v=""/>
    <s v=""/>
    <s v=""/>
    <s v=""/>
    <s v=""/>
    <n v="4032"/>
    <s v="10.3390/s22114032"/>
    <s v="http://dx.doi.org/10.3390/s22114032"/>
    <s v=""/>
    <s v=""/>
    <n v="43"/>
    <x v="81"/>
    <x v="0"/>
    <s v="Chemistry; Engineering; Instruments &amp; Instrumentation"/>
    <s v="1Z5XM"/>
    <n v="35684652"/>
    <s v="Green Published, gold"/>
    <s v=""/>
    <s v=""/>
    <s v="2023-11-15"/>
    <s v="WOS:000808897100001"/>
    <s v="View Full Record in Web of Science"/>
    <m/>
  </r>
  <r>
    <x v="191"/>
    <s v="J"/>
    <x v="189"/>
    <s v=""/>
    <s v=""/>
    <s v=""/>
    <s v="Zhu, Xiumei; Liu, Yue"/>
    <s v=""/>
    <s v=""/>
    <x v="189"/>
    <x v="65"/>
    <s v=""/>
    <s v=""/>
    <s v="English"/>
    <s v="Article"/>
    <s v=""/>
    <s v=""/>
    <s v=""/>
    <s v=""/>
    <s v=""/>
    <x v="180"/>
    <x v="154"/>
    <s v="The rapid development of big data, artificial intelligence (AI), and blockchain technology makes the digital intelligence transformation of an enterprise possible. Based on the case study of Haier Group, this paper attempts to address the rationales behind building up the capability of digital intelligence transformation of enterprises by means of the traditional Chinese idiom, knowledge -action oneness. The result indicates that the learning process is an important factor for an enterprise to form its digital intelligence transformation capability. It is a process of mutual coupling between digital knowledge and digital actions. As a result of such a unity, different learning subjects form their corresponding digital intelligence transformation capability through their own learning process of mutual coupling of knowledge and action: Leaders form digital strategic capabilities through the mutual coupling of strategic knowledge and actions; employees form digital absorption capabilities through the mutual coupling of scenario -based knowledge and actions; teams form digital integration capabilities through the mutual coupling of integrated knowledge and actions; and the whole organization forms digital, eco-systemic capabilities through the mutual coupling of institutionalized knowledge and autonomous actions. Such a multi -level digital intelligence transformation system requires efforts from everyone in the enterprise."/>
    <s v="[Zhu, Xiumei; Liu, Yue] Jilin Univ, Sch Management, Changchun 130022, Peoples R China"/>
    <s v="Jilin University"/>
    <s v="Zhu, XM (corresponding author), Jilin Univ, Sch Management, Changchun 130022, Peoples R China."/>
    <s v=""/>
    <s v=""/>
    <s v=""/>
    <s v="Project of the National Natural Science Foundation of China Research on the Formation and Evolution Mechanism of Digital Entrepreneurial Ecosystem [71972086]; Jilin University Doctoral Interdisciplinary Science and Technology Funding Scheme [101832020DJX015]"/>
    <s v="Project of the National Natural Science Foundation of China Research on the Formation and Evolution Mechanism of Digital Entrepreneurial Ecosystem; Jilin University Doctoral Interdisciplinary Science and Technology Funding Scheme"/>
    <s v="This paper is supported by Project of the National Natural Science Foundation of China Research on the Formation and Evolution Mechanism of Digital Entrepreneurial Ecosystem (No. 71972086) and Jilin University Doctoral Interdisciplinary Science and Technology Funding Scheme (No.101832020DJX015) ."/>
    <s v=""/>
    <n v="41"/>
    <n v="0"/>
    <n v="0"/>
    <n v="31"/>
    <n v="34"/>
    <s v="HIGHER EDUCATION PRESS"/>
    <s v="BEIJING"/>
    <s v="CHAOYANG DIST, 4, HUIXINDONGJIE, FUSHENG BLDG, BEIJING 100029, PEOPLES R CHINA"/>
    <s v="1673-7326"/>
    <s v="1673-7431"/>
    <s v=""/>
    <s v="FRONT BUS RES CHINA"/>
    <s v="Front. Bus. Res. China"/>
    <s v="JUN"/>
    <x v="1"/>
    <n v="16"/>
    <n v="2"/>
    <s v=""/>
    <s v=""/>
    <s v=""/>
    <s v=""/>
    <n v="126"/>
    <n v="150"/>
    <s v=""/>
    <s v="10.3868/s070-007-022-0007-7"/>
    <s v="http://dx.doi.org/10.3868/s070-007-022-0007-7"/>
    <s v=""/>
    <s v=""/>
    <n v="25"/>
    <x v="33"/>
    <x v="2"/>
    <s v="Business &amp; Economics"/>
    <s v="D5YQ9"/>
    <s v=""/>
    <s v=""/>
    <s v=""/>
    <s v=""/>
    <s v="2023-11-15"/>
    <s v="WOS:000969490800003"/>
    <s v="View Full Record in Web of Science"/>
    <m/>
  </r>
  <r>
    <x v="192"/>
    <s v="J"/>
    <x v="190"/>
    <s v=""/>
    <s v=""/>
    <s v=""/>
    <s v="Gartner, Johannes; Maresch, Daniela; Tierney, Robert"/>
    <s v=""/>
    <s v=""/>
    <x v="190"/>
    <x v="146"/>
    <s v=""/>
    <s v=""/>
    <s v="English"/>
    <s v="Article; Early Access"/>
    <s v=""/>
    <s v=""/>
    <s v=""/>
    <s v=""/>
    <s v=""/>
    <x v="181"/>
    <x v="155"/>
    <s v="In this paper, we develop a theoretical framework that explains how digital technologies can help small businesses generate competitive advantages for scaling. To gain and sustain competitive advantages, small businesses traditionally had to choose between cost leadership and differentiation strategies. Digital technologies enable small businesses to reduce their costs and at the same time enhance the value of their market offerings through differentiation. The aim of this paper is to explain the role of digital technologies in such hybrid strategies for small businesses. We first identify automation, individualization and interdisciplinarity as the three dimensions of digital technologies that together enable technology-driven firms to gain and sustain competitive advantages and to scale rapidly. Second, we integrate these three dimensions into a theoretical framework. Third, we test and confirm the theoretical framework in an explanatory case study and discuss the results."/>
    <s v="[Gartner, Johannes] Lund Univ, Sch Econ &amp; Management, Box 7080, SE-22007 Lund, Sweden; [Maresch, Daniela] Grenoble Ecole Management, Dept Management Technol &amp; Strategy, Grenoble, France; [Maresch, Daniela] Univ Southern Denmark, Dept Entrepreneurship &amp; Relationship Management, Odense, Denmark; [Tierney, Robert] Northern New Mexico Coll, Espanola, NM USA"/>
    <s v="Lund University; Grenoble Ecole Management; University of Southern Denmark"/>
    <s v="Gartner, J (corresponding author), Lund Univ, Sch Econ &amp; Management, Box 7080, SE-22007 Lund, Sweden."/>
    <s v="johannes.gartner@fek.lu.se"/>
    <s v=""/>
    <s v="Maresch, Daniela/0000-0002-1443-2520"/>
    <s v=""/>
    <s v=""/>
    <s v=""/>
    <s v=""/>
    <n v="100"/>
    <n v="6"/>
    <n v="6"/>
    <n v="12"/>
    <n v="49"/>
    <s v="TAYLOR &amp; FRANCIS INC"/>
    <s v="PHILADELPHIA"/>
    <s v="530 WALNUT STREET, STE 850, PHILADELPHIA, PA 19106 USA"/>
    <s v="0047-2778"/>
    <s v="1540-627X"/>
    <s v=""/>
    <s v="J SMALL BUS MANAGE"/>
    <s v="J. Small Bus. Manag."/>
    <s v="2022 MAY 28"/>
    <x v="1"/>
    <s v=""/>
    <s v=""/>
    <s v=""/>
    <s v=""/>
    <s v=""/>
    <s v=""/>
    <s v=""/>
    <s v=""/>
    <s v=""/>
    <s v="10.1080/00472778.2022.2073361"/>
    <s v="http://dx.doi.org/10.1080/00472778.2022.2073361"/>
    <s v=""/>
    <s v="MAY 2022"/>
    <n v="28"/>
    <x v="8"/>
    <x v="1"/>
    <s v="Business &amp; Economics"/>
    <s v="1N2VG"/>
    <s v=""/>
    <s v="hybrid"/>
    <s v=""/>
    <s v=""/>
    <s v="2023-11-15"/>
    <s v="WOS:000800518200001"/>
    <s v="View Full Record in Web of Science"/>
    <m/>
  </r>
  <r>
    <x v="193"/>
    <s v="J"/>
    <x v="191"/>
    <s v=""/>
    <s v=""/>
    <s v=""/>
    <s v="Birnbaum, Michael L.; Garrett, Chantel; Baumel, Amit; Germano, Nicole T.; Lee, Cynthia; Sosa, Danny; Ngo, Hong; Fox, Kira H.; Dixon, Lisa; Kane, John M."/>
    <s v=""/>
    <s v=""/>
    <x v="191"/>
    <x v="147"/>
    <s v=""/>
    <s v=""/>
    <s v="English"/>
    <s v="Article"/>
    <s v=""/>
    <s v=""/>
    <s v=""/>
    <s v=""/>
    <s v=""/>
    <x v="182"/>
    <x v="156"/>
    <s v="BackgroundMental illness in transition age youth is common and treatment initiation is often delayed. Youth overwhelmingly report utilizing the Internet to gather information while psychiatric symptoms emerge, however, most are not yet ready to receive a referral to care, forestalling the established benefit of early intervention. MethodsA digital outreach campaign and interactive online care navigation platform was developed and deployed in New York State on October 22, 2020. The campaign offers live connection to a peer or counselor, a self-assessment mental health quiz, and educational material all designed to promote help-seeking in youth and their allies. ResultsBetween October 22, 2020 and July 31, 2021, the campaign resulted in 581,981 ad impressions, 16,665 (2.9%) clicks, and 13,717 (2.4%) unique website visitors. A third (4,562, 33.2%) completed the quiz and 793 (0.1%) left contact information. Of those, 173 (21.8%) completed a virtual assessment and 155 (19.5%) resulted in a referral to care. The median age of those referred was 21 years (IQR = 11) and 40% were considered to be from low-income areas. Among quiz completers, youth endorsing symptoms of depression or anxiety were more likely to leave contact information (OR = 2.18, 95% CI [1.39, 3.41] and OR = 1.69, 95% CI [1.31, 2.19], respectively) compared to those not reporting symptoms of depression or anxiety. Youth endorsing symptoms of psychosis were less likely to report a desire to receive a referral to care (OR = 0.58, 95% CI [0.43, 0.80]) compared to those who did not endorse symptoms of psychosis. ConclusionSelf-reported symptomatology impact trajectories to care, even at the earliest stages of help-seeking, while youth and their allies are searching for information online. An online care navigation team could serve as an important resource for individuals with emerging behavioral health concerns and help to guide the transition between online information seeking at baseline to care."/>
    <s v="[Birnbaum, Michael L.; Sosa, Danny; Kane, John M.] Zucker Hillside Hosp, Northwell Hlth, Glen Oaks, NY 11004 USA; [Birnbaum, Michael L.; Germano, Nicole T.; Lee, Cynthia; Sosa, Danny; Kane, John M.] Feinstein Inst Med Res, Manhasset, NY 11030 USA; [Birnbaum, Michael L.; Kane, John M.] Donald &amp; Barbara Zucker Sch Med Hofstra Northwell, Hempstead, NY 11549 USA; [Garrett, Chantel] Univ Washington, Dept Hlth Syst &amp; Populat Hlth, Seattle, WA USA; [Baumel, Amit] Univ Haifa, Dept Community Mental Hlth, Haifa, Israel; [Ngo, Hong; Dixon, Lisa] New York State Psychiat Inst &amp; Hosp, Dept Psychiat, New York, NY 10032 USA; [Fox, Kira H.] Columbia Univ, Barnard Coll, Dept Psychol, New York, NY 10027 USA"/>
    <s v="Northwell Health; Northwell Health; Northwell Health; University of Washington; University of Washington Seattle; University of Haifa; New York State Psychiatry Institute; Columbia University"/>
    <s v="Birnbaum, ML (corresponding author), Zucker Hillside Hosp, Northwell Hlth, Glen Oaks, NY 11004 USA.;Birnbaum, ML (corresponding author), Feinstein Inst Med Res, Manhasset, NY 11030 USA.;Birnbaum, ML (corresponding author), Donald &amp; Barbara Zucker Sch Med Hofstra Northwell, Hempstead, NY 11549 USA."/>
    <s v="Mbirnbaum@northwell.edu"/>
    <s v=""/>
    <s v="Fox, Kira/0009-0001-2610-9739"/>
    <s v="National Institutes of Mental Health"/>
    <s v="National Institutes of Mental Health(United States Department of Health &amp; Human ServicesNational Institutes of Health (NIH) - USANIH National Institute of Mental Health (NIMH))"/>
    <s v="This work was supported through funding from the National Institutes of Mental Health (R34MH120790) as well as the One Mind Foundation."/>
    <s v=""/>
    <n v="56"/>
    <n v="0"/>
    <n v="0"/>
    <n v="1"/>
    <n v="6"/>
    <s v="FRONTIERS MEDIA SA"/>
    <s v="LAUSANNE"/>
    <s v="AVENUE DU TRIBUNAL FEDERAL 34, LAUSANNE, CH-1015, SWITZERLAND"/>
    <s v="1664-0640"/>
    <s v=""/>
    <s v=""/>
    <s v="FRONT PSYCHIATRY"/>
    <s v="Front. Psychiatry"/>
    <s v="MAY 16"/>
    <x v="1"/>
    <n v="13"/>
    <s v=""/>
    <s v=""/>
    <s v=""/>
    <s v=""/>
    <s v=""/>
    <s v=""/>
    <s v=""/>
    <n v="889602"/>
    <s v="10.3389/fpsyt.2022.889602"/>
    <s v="http://dx.doi.org/10.3389/fpsyt.2022.889602"/>
    <s v=""/>
    <s v=""/>
    <n v="14"/>
    <x v="82"/>
    <x v="3"/>
    <s v="Psychiatry"/>
    <s v="1T6DJ"/>
    <n v="35664474"/>
    <s v="Green Published, gold"/>
    <s v=""/>
    <s v=""/>
    <s v="2023-11-15"/>
    <s v="WOS:000804816900001"/>
    <s v="View Full Record in Web of Science"/>
    <m/>
  </r>
  <r>
    <x v="194"/>
    <s v="J"/>
    <x v="192"/>
    <s v=""/>
    <s v=""/>
    <s v=""/>
    <s v="Marcelin, Jasmine R.; del Rio, Carlos; Spec, Andrej; Swartz, Talia H."/>
    <s v=""/>
    <s v=""/>
    <x v="192"/>
    <x v="148"/>
    <s v=""/>
    <s v=""/>
    <s v="English"/>
    <s v="Article"/>
    <s v=""/>
    <s v=""/>
    <s v=""/>
    <s v=""/>
    <s v=""/>
    <x v="183"/>
    <x v="157"/>
    <s v="This supplement demonstrates the profound reach of social media across several domains: improved clinical care and advocacy, data analysis, broad reach to diverse patient populations, educational access, best practices in medical education, peer review, digital strategy for individuals and institutions, and combating misinformation."/>
    <s v="[Marcelin, Jasmine R.] Univ Nebraska Med Ctr, Dept Internal Med, Div Infect Dis, Omaha, NE USA; [del Rio, Carlos] Emory Univ, Dept Med, Div Infect Dis, Atlanta, GA USA; [Spec, Andrej] Washington Univ, Dept Internal Med, Div Infect Dis, Sch Med, St Louis, MO USA; [Swartz, Talia H.] Icahn Sch Med Mt Sinai, Inst Immunol, Dept Med, Div Infect Dis, New York, NY USA"/>
    <s v="University of Nebraska System; University of Nebraska Medical Center; Emory University; Washington University (WUSTL); Icahn School of Medicine at Mount Sinai"/>
    <s v="Swartz, TH (corresponding author), Mt Sinai Sch Med, Dept Med, Div Infect Dis, One Gustave L Levy Pl,Box 1090, New York, NY 10029 USA."/>
    <s v="talia.swartz@mssm.edu"/>
    <s v="del Rio, Carlos/B-3763-2012; Swartz, Talia H./AAN-8591-2020"/>
    <s v="del Rio, Carlos/0000-0002-0153-3517; Swartz, Talia H./0000-0003-1572-045X; Marcelin, Jasmine/0000-0003-0504-753X"/>
    <s v="National Institutes of Health (National Institute of Allergy and Infectious Diseases) [1R01DA054526, R01DA052822, 1R21AI152833]"/>
    <s v="National Institutes of Health (National Institute of Allergy and Infectious Diseases)(United States Department of Health &amp; Human ServicesNational Institutes of Health (NIH) - USANIH National Institute of Allergy &amp; Infectious Diseases (NIAID))"/>
    <s v="The following grants were paid to T. H. S.: 1R01DA054526, R01DA052822, and 1R21AI152833 from the National Institutes of Health (National Institute of Allergy and Infectious Diseases)."/>
    <s v=""/>
    <n v="31"/>
    <n v="2"/>
    <n v="2"/>
    <n v="0"/>
    <n v="2"/>
    <s v="OXFORD UNIV PRESS INC"/>
    <s v="CARY"/>
    <s v="JOURNALS DEPT, 2001 EVANS RD, CARY, NC 27513 USA"/>
    <s v="1058-4838"/>
    <s v="1537-6591"/>
    <s v=""/>
    <s v="CLIN INFECT DIS"/>
    <s v="Clin. Infect. Dis."/>
    <s v="MAY 15"/>
    <x v="1"/>
    <n v="74"/>
    <s v="SUPPL 3"/>
    <s v=""/>
    <n v="3"/>
    <s v="SI"/>
    <s v=""/>
    <s v="S219"/>
    <s v="S221"/>
    <s v=""/>
    <s v="10.1093/cid/ciac046"/>
    <s v="http://dx.doi.org/10.1093/cid/ciac046"/>
    <s v=""/>
    <s v=""/>
    <n v="3"/>
    <x v="83"/>
    <x v="0"/>
    <s v="Immunology; Infectious Diseases; Microbiology"/>
    <s v="1H0SY"/>
    <n v="35568476"/>
    <s v="Bronze, Green Published"/>
    <s v=""/>
    <s v=""/>
    <s v="2023-11-15"/>
    <s v="WOS:000796257700007"/>
    <s v="View Full Record in Web of Science"/>
    <m/>
  </r>
  <r>
    <x v="195"/>
    <s v="J"/>
    <x v="193"/>
    <s v=""/>
    <s v=""/>
    <s v=""/>
    <s v="Nematollahi, Saman; Minter, Daniel J.; Barlow, Brooke; Nolan, Nathanial S.; Spicer, Jennifer O.; Wooten, Darcy; Cortes-Penfield, Nicolas; Barlow, Ashley; Chavez, Miguel A.; McCarty, Todd; Abdoler, Emily; Escota, Gerome, V"/>
    <s v=""/>
    <s v=""/>
    <x v="193"/>
    <x v="148"/>
    <s v=""/>
    <s v=""/>
    <s v="English"/>
    <s v="Article"/>
    <s v=""/>
    <s v=""/>
    <s v=""/>
    <s v=""/>
    <s v=""/>
    <x v="184"/>
    <x v="158"/>
    <s v="Social media (SoMe) platforms have been increasingly used by infectious diseases (ID) learners and educators in recent years. This trend has only accelerated with the changes brought to our educational spaces by the coronavirus disease 2019 pandemic. Given the increasingly diverse SoMe landscape, educators may find themselves struggling with how to effectively use these tools. In this Viewpoint we describe how to use SoMe platforms (e.g., Twitter, podcasts, and open-access online content portals) in medical education, highlight medical education theories supporting their use, and discuss how educators can engage with these learning tools effectively. We focus on how these platforms harness key principles of adult learning and provide a guide for educators in the effective use of SoMe tools in educating ID learners. Finally, we suggest how to effectively interact with and leverage these increasingly important digital platforms."/>
    <s v="[Nematollahi, Saman] Univ Arizona, Dept Med, Coll Med, Tucson, AZ USA; [Minter, Daniel J.] Univ Calif San Francisco, Dept Med, San Francisco, CA 94143 USA; [Barlow, Brooke] Univ Florida, Dept Pharm, Shands Hosp, Gainesville, FL USA; [Nolan, Nathanial S.; Chavez, Miguel A.; Escota, Gerome, V] Washington Univ, Dept Med, St Louis, MO USA; [Spicer, Jennifer O.] Emory Univ, Sch Med, Dept Med, Atlanta, GA USA; [Wooten, Darcy] Univ Calif San Diego, Dept Med, San Diego, CA 92103 USA; [Cortes-Penfield, Nicolas] Univ Nebraska Med Ctr, Dept Med, Omaha, NE USA; [Barlow, Ashley] MD Anderson Canc Ctr, Dept Pharm, Houston, TX USA; [McCarty, Todd] Univ Alabama Birmingham, Dept Med, Birmingham, AL 35294 USA; [Abdoler, Emily] Univ Michigan, Dept Med, Ann Arbor, MI 48109 USA"/>
    <s v="University of Arizona; University of California System; University of California San Francisco; State University System of Florida; University of Florida; Washington University (WUSTL); Emory University; University of California System; University of California San Diego; University of Nebraska System; University of Nebraska Medical Center; University of Texas System; UTMD Anderson Cancer Center; University of Alabama System; University of Alabama Birmingham; University of Michigan System; University of Michigan"/>
    <s v="Nematollahi, S (corresponding author), 1501 N Campbell Ave,POB 245039, Tucson, AZ 85724 USA."/>
    <s v="snematol@email.arizona.edu"/>
    <s v="Chávez, Miguel/HZJ-1612-2023; Barlow, Brooke/GZM-7960-2022"/>
    <s v="Chávez, Miguel/0000-0001-7849-343X; Abdoler, Emily/0000-0002-0938-0527; Spicer, Jennifer/0000-0002-5565-9617"/>
    <s v="Infectious Diseases Society of America"/>
    <s v="Infectious Diseases Society of America"/>
    <s v="This supplement is supported by the Infectious Diseases Society of America."/>
    <s v=""/>
    <n v="40"/>
    <n v="6"/>
    <n v="6"/>
    <n v="1"/>
    <n v="5"/>
    <s v="OXFORD UNIV PRESS INC"/>
    <s v="CARY"/>
    <s v="JOURNALS DEPT, 2001 EVANS RD, CARY, NC 27513 USA"/>
    <s v="1058-4838"/>
    <s v="1537-6591"/>
    <s v=""/>
    <s v="CLIN INFECT DIS"/>
    <s v="Clin. Infect. Dis."/>
    <s v="MAY 15"/>
    <x v="1"/>
    <n v="74"/>
    <s v="SUPPL 3"/>
    <s v=""/>
    <n v="3"/>
    <s v="SI"/>
    <s v=""/>
    <s v="S237"/>
    <s v="S243"/>
    <s v=""/>
    <s v="10.1093/cid/ciac048"/>
    <s v="http://dx.doi.org/10.1093/cid/ciac048"/>
    <s v=""/>
    <s v=""/>
    <n v="7"/>
    <x v="83"/>
    <x v="0"/>
    <s v="Immunology; Infectious Diseases; Microbiology"/>
    <s v="1H0SY"/>
    <n v="35568480"/>
    <s v="Green Published, Bronze"/>
    <s v=""/>
    <s v=""/>
    <s v="2023-11-15"/>
    <s v="WOS:000796257700010"/>
    <s v="View Full Record in Web of Science"/>
    <m/>
  </r>
  <r>
    <x v="196"/>
    <s v="J"/>
    <x v="194"/>
    <s v=""/>
    <s v=""/>
    <s v=""/>
    <s v="Huda, Miftachul"/>
    <s v=""/>
    <s v=""/>
    <x v="194"/>
    <x v="149"/>
    <s v=""/>
    <s v=""/>
    <s v="English"/>
    <s v="Article"/>
    <s v=""/>
    <s v=""/>
    <s v=""/>
    <s v=""/>
    <s v=""/>
    <x v="185"/>
    <x v="159"/>
    <s v="Purpose This paper aims to examine the initiative of low-price hotels, budget hotels, in Malaysia, to restore the financial sustainability through empowering the digital marketplace strategy in the tourism resilience sector. Giving an open accessibility to customers for achieving their venue with a low price and have a friendly service comes from initiating the digital marketplace arrangement. Design/methodology/approach This study focuses on what is the importance of the digital marketplace strategy for tourism resilience in the pandemic age and how is it important. The data come from qualitative interview from one couple, husband and wife, regarding the budget hotel operation practice in the city of Sri Iskandar, the Perak state of Malaysia. Findings The findings revealed the importance of initiating the strategy of digital marketplace in enabling the customers' personalised decision towards the tourism destination they prefer based on their needs of low-cost and proper service. There are three main points, namely the importance of digital marketplace for tourism market enhancement, readiness of digital marketplace for tourism market enhancement and continued capacity to strategize digital marketplace for tourism market enhancement. The initiative to commit with applying for the resilience for tourism sustainability in the pandemic age is important to ensure they can take a small advantage continually with the frequent customers' sustainability. Originality/value This paper is supposed to contribute in developing the resilience practice through advancing the strategy of digital marketplace in raising the tourism sector, budget hotel operators. The main occupation aims to empower resilience for tourism sustainability in the pandemic age, in order to recover the market in online platform."/>
    <s v="[Huda, Miftachul] Univ Pendidikan Sultan Idris, Fac Human Sci, Tanjung Malim, Malaysia"/>
    <s v="Universiti Pendidikan Sultan Idris"/>
    <s v="Huda, M (corresponding author), Univ Pendidikan Sultan Idris, Fac Human Sci, Tanjung Malim, Malaysia."/>
    <s v="halimelhuda@gmail.com"/>
    <s v="Huda, Miftachul/K-8125-2015"/>
    <s v="Huda, Miftachul/0000-0001-6712-0056"/>
    <s v=""/>
    <s v=""/>
    <s v=""/>
    <s v=""/>
    <n v="58"/>
    <n v="6"/>
    <n v="6"/>
    <n v="5"/>
    <n v="15"/>
    <s v="EMERALD GROUP PUBLISHING LTD"/>
    <s v="BINGLEY"/>
    <s v="HOWARD HOUSE, WAGON LANE, BINGLEY BD16 1WA, W YORKSHIRE, ENGLAND"/>
    <s v="1934-8835"/>
    <s v="1758-8561"/>
    <s v=""/>
    <s v="INT J ORGAN ANAL"/>
    <s v="Int. J. Organ. Anal."/>
    <s v="JAN 13"/>
    <x v="0"/>
    <n v="31"/>
    <n v="1"/>
    <s v=""/>
    <s v=""/>
    <s v="SI"/>
    <s v=""/>
    <n v="149"/>
    <n v="167"/>
    <s v=""/>
    <s v="10.1108/IJOA-10-2021-2987"/>
    <s v="http://dx.doi.org/10.1108/IJOA-10-2021-2987"/>
    <s v=""/>
    <s v="MAY 2022"/>
    <n v="19"/>
    <x v="8"/>
    <x v="2"/>
    <s v="Business &amp; Economics"/>
    <s v="7U3ZG"/>
    <s v=""/>
    <s v=""/>
    <s v=""/>
    <s v=""/>
    <s v="2023-11-15"/>
    <s v="WOS:000793338200001"/>
    <s v="View Full Record in Web of Science"/>
    <m/>
  </r>
  <r>
    <x v="197"/>
    <s v="J"/>
    <x v="195"/>
    <s v=""/>
    <s v=""/>
    <s v=""/>
    <s v="Pradana, Mahir; Silvianita, Anita; Syarifuddin, Syarifuddin; Renaldi, Renaldi"/>
    <s v=""/>
    <s v=""/>
    <x v="195"/>
    <x v="63"/>
    <s v=""/>
    <s v=""/>
    <s v="English"/>
    <s v="Article"/>
    <s v=""/>
    <s v=""/>
    <s v=""/>
    <s v=""/>
    <s v=""/>
    <x v="186"/>
    <x v="160"/>
    <s v="Digital technologies have become a major factor for innovation in the business environment. Organisations have taken advantage of digitised data and information to increase performance. However, there is still little research focusing on the effect of digitalisation on organisational culture, which in the end will affect performance. We develop this research by exploring a proposed model involving digital organisational culture with the final goal to enhance organisational performance. The research involved 263 managers of state-owned companies in Indonesia. We analysed the theoretical model by using structural equation modelling and processed the data using the SmartPLS version 3 software. We conclude that digital organisational culture can become an essential factor in improving digital strategy and performance. However, business digitalisation does not really affect digital organisational values."/>
    <s v="[Pradana, Mahir; Silvianita, Anita; Syarifuddin, Syarifuddin] Telkom Univ, Dept Business Adm, Bandung, Indonesia; [Renaldi, Renaldi] Andi Djemma Univ Palopo, Dept Management, Palopo, Indonesia"/>
    <s v="Telkom University"/>
    <s v="Pradana, M (corresponding author), Telkom Univ, Dept Business Adm, Bandung, Indonesia."/>
    <s v="mahir.pradana@gmail.com"/>
    <s v="PRADANA, MAHIR/AAL-8975-2020"/>
    <s v="PRADANA, MAHIR/0000-0003-4761-2891"/>
    <s v=""/>
    <s v=""/>
    <s v=""/>
    <s v=""/>
    <n v="35"/>
    <n v="2"/>
    <n v="2"/>
    <n v="9"/>
    <n v="42"/>
    <s v="FRONTIERS MEDIA SA"/>
    <s v="LAUSANNE"/>
    <s v="AVENUE DU TRIBUNAL FEDERAL 34, LAUSANNE, CH-1015, SWITZERLAND"/>
    <s v="1664-1078"/>
    <s v=""/>
    <s v=""/>
    <s v="FRONT PSYCHOL"/>
    <s v="Front. Psychol."/>
    <s v="MAY 12"/>
    <x v="1"/>
    <n v="13"/>
    <s v=""/>
    <s v=""/>
    <s v=""/>
    <s v=""/>
    <s v=""/>
    <s v=""/>
    <s v=""/>
    <n v="840699"/>
    <s v="10.3389/fpsyg.2022.840699"/>
    <s v="http://dx.doi.org/10.3389/fpsyg.2022.840699"/>
    <s v=""/>
    <s v=""/>
    <n v="7"/>
    <x v="47"/>
    <x v="1"/>
    <s v="Psychology"/>
    <s v="1R9XV"/>
    <n v="35645930"/>
    <s v="gold, Green Published"/>
    <s v=""/>
    <s v=""/>
    <s v="2023-11-15"/>
    <s v="WOS:000803715500001"/>
    <s v="View Full Record in Web of Science"/>
    <m/>
  </r>
  <r>
    <x v="198"/>
    <s v="J"/>
    <x v="196"/>
    <s v=""/>
    <s v=""/>
    <s v=""/>
    <s v="Zheng, Run; Li, Zhuyuan; Na, Sanggyun"/>
    <s v=""/>
    <s v=""/>
    <x v="196"/>
    <x v="150"/>
    <s v=""/>
    <s v=""/>
    <s v="English"/>
    <s v="Article"/>
    <s v=""/>
    <s v=""/>
    <s v=""/>
    <s v=""/>
    <s v=""/>
    <x v="187"/>
    <x v="161"/>
    <s v="In the emerging retail market, e-tailers operating in developing economies have to cope with the rapid use of the Internet, new electronic purchasing methods and online selling platforms. However, e-tailers do not understand the effect patterns in which customer engagement on purchase intention and customer acquisition. From e-tailers' perspective, this study explores how customer engagement behaviors are related to both purchase intention and customer acquisition. We obtained live streaming data in the mature e-tail live streaming market environment and found empirical evidence supporting the conceptual framework through regression model analysis. The analysis results show that the specific indicators of the customer engagement are not all positively related to customer purchase intention and customer acquisition, and it is worth noting that the influence of like behavior on customer acquisition is no statistical significance. This is expected to encourage e-tailers to rethink their focus on customer acquisition and sales enhancement digital strategies as they operate in emerging markets."/>
    <s v="[Zheng, Run; Li, Zhuyuan; Na, Sanggyun] Wonkwang Univ, Coll Business Adm, 460 Iksandae Ro, Iksan 54538, South Korea"/>
    <s v="Wonkwang University"/>
    <s v="Li, Z (corresponding author), Wonkwang Univ, Coll Business Adm, 460 Iksandae Ro, Iksan 54538, South Korea."/>
    <s v="runzheng290@gmail.com; lzyazr520@gmail.com; nsghy@wku.ac.kr"/>
    <s v="zhuyuan, li/IUN-4515-2023"/>
    <s v="Li, Zhuyuan/0000-0003-4640-5129"/>
    <s v="Wonkwang University"/>
    <s v="Wonkwang University"/>
    <s v="This paper was supported by Wonkwang University in 2022."/>
    <s v=""/>
    <n v="94"/>
    <n v="26"/>
    <n v="26"/>
    <n v="40"/>
    <n v="194"/>
    <s v="ELSEVIER SCI LTD"/>
    <s v="OXFORD"/>
    <s v="THE BOULEVARD, LANGFORD LANE, KIDLINGTON, OXFORD OX5 1GB, OXON, ENGLAND"/>
    <s v="0969-6989"/>
    <s v="1873-1384"/>
    <s v=""/>
    <s v="J RETAIL CONSUM SERV"/>
    <s v="J. Retail. Consum. Serv."/>
    <s v="SEP"/>
    <x v="1"/>
    <n v="68"/>
    <s v=""/>
    <s v=""/>
    <s v=""/>
    <s v=""/>
    <s v=""/>
    <s v=""/>
    <s v=""/>
    <n v="103015"/>
    <s v="10.1016/j.jretconser.2022.103015"/>
    <s v="http://dx.doi.org/10.1016/j.jretconser.2022.103015"/>
    <s v=""/>
    <s v="MAY 2022"/>
    <n v="10"/>
    <x v="33"/>
    <x v="1"/>
    <s v="Business &amp; Economics"/>
    <s v="1Q3ON"/>
    <s v=""/>
    <s v=""/>
    <s v=""/>
    <s v=""/>
    <s v="2023-11-15"/>
    <s v="WOS:000802601300002"/>
    <s v="View Full Record in Web of Science"/>
    <m/>
  </r>
  <r>
    <x v="199"/>
    <s v="J"/>
    <x v="197"/>
    <s v=""/>
    <s v=""/>
    <s v=""/>
    <s v="Luo, Xiaowen; Yu, Shun-Chi"/>
    <s v=""/>
    <s v=""/>
    <x v="197"/>
    <x v="151"/>
    <s v=""/>
    <s v=""/>
    <s v="English"/>
    <s v="Article"/>
    <s v=""/>
    <s v=""/>
    <s v=""/>
    <s v=""/>
    <s v=""/>
    <x v="8"/>
    <x v="162"/>
    <s v="As the digital technologies develop, traditional pharmaceutical enterprises have also begun the exploration of digital transformation (DT). Previous studies mainly focused on the technology application, strategy, performance, and leadership of digital in manufacturing enterprises and small- and medium-sized enterprises (SMEs), and more qualitative methods were used. However, few researchers systematically investigated the impact mechanism of pharmaceutical enterprises' DT. The purpose of this study is to analyze the influencing factors of Chinese pharmaceutical enterprises' DT by constructing the structural equation model (SEM) based on synergetics. This study shows that the influencing factors of pharmaceutical enterprises' DT include the external environment (customer needs, market competition, government policy, and digital technology) and internal conditions (digital strategy, leadership, and organization capability). The theoretical innovation of this study is to explore the synergistic effect of external environment and internal conditions on DT and put forward that the internal conditions play mediating role in the external environment and DT. Customer needs and digital strategies have great impacts on pharmaceutical enterprises' DT. Therefore, this study finds the main influencing factors, which are helpful in promoting pharmaceutical enterprises' DT."/>
    <s v="[Luo, Xiaowen; Yu, Shun-Chi] Natl Inst Dev Adm, Int Coll, Bangkok 10240, Thailand; [Luo, Xiaowen] Yunnan Minzu Univ, Coll Appl Technol, Kunming 650504, Peoples R China"/>
    <s v="National Institute of Development Administration - Thailand; Yunnan Minzu University"/>
    <s v="Yu, SC (corresponding author), Natl Inst Dev Adm, Int Coll, Bangkok 10240, Thailand."/>
    <s v="xiaowen.lu@stu.nida.ac.th; gavinee188@gmail.com"/>
    <s v="Yu, Shun-Chi/AEQ-9076-2022"/>
    <s v="Luo, Xiaowen/0000-0001-7507-8994; Yu, Shun Chi/0000-0001-9453-0229"/>
    <s v=""/>
    <s v=""/>
    <s v=""/>
    <s v=""/>
    <n v="36"/>
    <n v="4"/>
    <n v="4"/>
    <n v="20"/>
    <n v="88"/>
    <s v="HINDAWI LTD"/>
    <s v="LONDON"/>
    <s v="ADAM HOUSE, 3RD FLR, 1 FITZROY SQ, LONDON, W1T 5HF, ENGLAND"/>
    <s v="1026-0226"/>
    <s v="1607-887X"/>
    <s v=""/>
    <s v="DISCRETE DYN NAT SOC"/>
    <s v="Discrete Dyn. Nat. Soc."/>
    <s v="MAY 5"/>
    <x v="1"/>
    <n v="2022"/>
    <s v=""/>
    <s v=""/>
    <s v=""/>
    <s v=""/>
    <s v=""/>
    <s v=""/>
    <s v=""/>
    <n v="6756548"/>
    <s v="10.1155/2022/6756548"/>
    <s v="http://dx.doi.org/10.1155/2022/6756548"/>
    <s v=""/>
    <s v=""/>
    <n v="12"/>
    <x v="84"/>
    <x v="3"/>
    <s v="Mathematics; Science &amp; Technology - Other Topics"/>
    <s v="1I7XY"/>
    <s v=""/>
    <s v="gold"/>
    <s v=""/>
    <s v=""/>
    <s v="2023-11-15"/>
    <s v="WOS:000797442100003"/>
    <s v="View Full Record in Web of Science"/>
    <m/>
  </r>
  <r>
    <x v="200"/>
    <s v="J"/>
    <x v="198"/>
    <s v=""/>
    <s v=""/>
    <s v=""/>
    <s v="Katz, Ari"/>
    <s v=""/>
    <s v=""/>
    <x v="198"/>
    <x v="152"/>
    <s v=""/>
    <s v=""/>
    <s v="English"/>
    <s v="Article"/>
    <s v=""/>
    <s v=""/>
    <s v=""/>
    <s v=""/>
    <s v=""/>
    <x v="188"/>
    <x v="163"/>
    <s v="Beyond Access was the first major global attempt to connect the international development and public library worlds. Taking the form of a series of projects in a dozen countries meant to help catalyze library development around national goals, the program operated from 2011 to 2018. Starting from a point at which libraries in most low - and middle-income countries were neglected, disused and staffed by librarians with outdated skills, it effectively launched public libraries into national dialogue in some countries and failed to do so in others. This article explores the conditions and actions that led to effective projects and what lessons for future library development efforts might be gleaned from the program's work. In Myanmar and Georgia, the program attracted new investment into public libraries aligned with central government digital strategies. In Bangladesh and the Philippines, the program integrated public libraries into education efforts where they had been previously ignored. With more than a quarter million public libraries in low - and middle-income countries, there remains vast potential for library systems to reinforce their relevancy in the 21st century, attract new resources, and provide vital services. Library leaders around the world can build on the experience of Beyond Access to help inform initiatives to revive libraries around modern needs."/>
    <s v="[Katz, Ari] San Jose State Univ, Sch Informat, One Washington Sq, San Jose, CA 95192 USA"/>
    <s v="California State University System; San Jose State University"/>
    <s v="Katz, A (corresponding author), San Jose State Univ, Sch Informat, One Washington Sq, San Jose, CA 95192 USA."/>
    <s v="ari.katz@sjsu.edu"/>
    <s v=""/>
    <s v=""/>
    <s v="Bill and Melinda Gates Foundation"/>
    <s v="Bill and Melinda Gates Foundation(Bill &amp; Melinda Gates Foundation)"/>
    <s v="This paper owes a debt to the support, encouragement, and wisdom of advisor Dr. Michael Stephens at San Jose State University. None of the lessons described above would have been possible without the effort and dedication of the Beyond Access team at IREX, including Matthew Vanderwerff, Joel Turner, Rachel Crocker, Amber Ehrke, Matej Novak and Rob Cronin. Siri Oswald, Melissa Pailthorp and Deborah Jacobs at the Bill and Melinda Gates Foundation believed in the concept of Beyond Access and supported us to get the funding to accomplish it. Beyond Access's local partners in Myanmar (MBAPF), the Philippines (Molave Foundation), Georgia (Georgian Library Association) and Bangladesh (Save the Children) were responsible for the tough, day-to-day work that became the lessons discussed in this paper."/>
    <s v=""/>
    <n v="34"/>
    <n v="0"/>
    <n v="0"/>
    <n v="2"/>
    <n v="4"/>
    <s v="ROUTLEDGE JOURNALS, TAYLOR &amp; FRANCIS LTD"/>
    <s v="ABINGDON"/>
    <s v="2-4 PARK SQUARE, MILTON PARK, ABINGDON OX14 4RN, OXON, ENGLAND"/>
    <s v="0161-6846"/>
    <s v="1541-1540"/>
    <s v=""/>
    <s v="PUBLIC LIBR Q"/>
    <s v="Public Libr. Q."/>
    <s v="MAY 4"/>
    <x v="1"/>
    <n v="41"/>
    <n v="3"/>
    <s v=""/>
    <s v=""/>
    <s v=""/>
    <s v=""/>
    <n v="273"/>
    <n v="293"/>
    <n v="1880260"/>
    <s v="10.1080/01616846.2021.1880260"/>
    <s v="http://dx.doi.org/10.1080/01616846.2021.1880260"/>
    <s v=""/>
    <s v=""/>
    <n v="21"/>
    <x v="66"/>
    <x v="2"/>
    <s v="Information Science &amp; Library Science"/>
    <s v="8K7DO"/>
    <s v=""/>
    <s v=""/>
    <s v=""/>
    <s v=""/>
    <s v="2023-11-15"/>
    <s v="WOS:000923257700004"/>
    <s v="View Full Record in Web of Science"/>
    <m/>
  </r>
  <r>
    <x v="201"/>
    <s v="J"/>
    <x v="199"/>
    <s v=""/>
    <s v=""/>
    <s v=""/>
    <s v="Alqahtani, Mdawi; Albahar, Marwan Ali"/>
    <s v=""/>
    <s v=""/>
    <x v="199"/>
    <x v="153"/>
    <s v=""/>
    <s v=""/>
    <s v="English"/>
    <s v="Article"/>
    <s v=""/>
    <s v=""/>
    <s v=""/>
    <s v=""/>
    <s v=""/>
    <x v="189"/>
    <x v="164"/>
    <s v="Digital transformation has been accelerated in recent years, and COVID-19 has resulted in a rise in overall internet spending. Businesses must take measures in order to ensure that customers have a safe and enjoyable online purchasing experience. In this paper, customers' security perceptions regarding the most popular e-commerce applications in Saudi Arabia are explored. Surveys were distributed online via Google Form to 200 participants in total as part of a cross-sectional research design using quantitative methodology. The main findings were related to confirming eight main hypotheses of the research that were related to testing if some factors were important to forming perceived trust by customers. Five factors (trust, security, reputation, benefits, and convenience) were found to have a positive effect, and the remaining three were not (familiarity, size, and usefulness). Finally, this study recommends various actions for practitioners and policymakers to take in order to improve customer perceptions of payment methods and security in Saudi Arabia."/>
    <s v="[Alqahtani, Mdawi] Umm Al Qura Univ, Dept Business, POB 715, Mecca, Saudi Arabia; [Albahar, Marwan Ali] Umm Al Qura Univ, Dept Sci, POB 715, Mecca, Saudi Arabia"/>
    <s v="Umm Al Qura University; Umm Al Qura University"/>
    <s v="Alqahtani, M (corresponding author), Umm Al Qura Univ, Dept Business, POB 715, Mecca, Saudi Arabia."/>
    <s v=""/>
    <s v=""/>
    <s v=""/>
    <s v=""/>
    <s v=""/>
    <s v=""/>
    <s v=""/>
    <n v="41"/>
    <n v="0"/>
    <n v="0"/>
    <n v="0"/>
    <n v="2"/>
    <s v="SCIENCE &amp; INFORMATION SAI ORGANIZATION LTD"/>
    <s v="WEST YORKSHIRE"/>
    <s v="19 BOLLING RD, BRADFORD, WEST YORKSHIRE, 00000, ENGLAND"/>
    <s v="2158-107X"/>
    <s v="2156-5570"/>
    <s v=""/>
    <s v="INT J ADV COMPUT SC"/>
    <s v="Int. J. Adv. Comput. Sci. Appl."/>
    <s v="MAY"/>
    <x v="1"/>
    <n v="13"/>
    <n v="5"/>
    <s v=""/>
    <s v=""/>
    <s v=""/>
    <s v=""/>
    <n v="81"/>
    <n v="88"/>
    <s v=""/>
    <s v=""/>
    <s v=""/>
    <s v=""/>
    <s v=""/>
    <n v="8"/>
    <x v="85"/>
    <x v="2"/>
    <s v="Computer Science"/>
    <s v="3L9OZ"/>
    <s v=""/>
    <s v=""/>
    <s v=""/>
    <s v=""/>
    <s v="2023-11-15"/>
    <s v="WOS:000835090900001"/>
    <s v="View Full Record in Web of Science"/>
    <m/>
  </r>
  <r>
    <x v="202"/>
    <s v="J"/>
    <x v="200"/>
    <s v=""/>
    <s v=""/>
    <s v=""/>
    <s v="Castro Diaz, Adriel; Delgado Fernandez, Tatiana; Ash Hernandez, Gladys"/>
    <s v=""/>
    <s v=""/>
    <x v="200"/>
    <x v="34"/>
    <s v=""/>
    <s v=""/>
    <s v="Spanish"/>
    <s v="Article"/>
    <s v=""/>
    <s v=""/>
    <s v=""/>
    <s v=""/>
    <s v=""/>
    <x v="190"/>
    <x v="40"/>
    <s v="In the tourism sector, digital transformation is not an option, but rather an imperative, both to achieve a sustained increase in visitors and in the continuous improvement of the service provided to the client. Tourist-centric digitization is a prerequisite for being able to respond to growing consumer demands and remain competitive. From the administration of the hotel facilities, it is necessary to carry out a permanent monitoring of the operation of all internal operational processes and of the services offered to tourists through the use of digital technologies. In this scenario, the customer experience, increasingly immersed in digital technology, is a key element. This article offers a methodology for diagnosing digital transformation in the hotel sector, by combining a Digital Maturity Model with techniques of Empathy Maps and customer experience, which is applied to the Hotel Nacional de Cuba, as the case study, where there are the necessary readiness conditions to adopt a comprehensive digital transformation, supported by a digital strategy that has been deployed some years ago. Finally, recommendations are made to the hotel based on the main findings of the study."/>
    <s v="[Castro Diaz, Adriel; Delgado Fernandez, Tatiana] Univ Tecnol La Habana Jose Antonio Echeverria, Havana, Cuba; [Ash Hernandez, Gladys] Hotel Nacl Cuba, Havana, Cuba"/>
    <s v=""/>
    <s v="Díaz, AC (corresponding author), Univ Tecnol La Habana Jose Antonio Echeverria, Havana, Cuba."/>
    <s v="adrielcasdia@ind.cujae.edu.cu; tatiana.delgado@uic.cu; cinder0314@gmail.com"/>
    <s v=""/>
    <s v=""/>
    <s v=""/>
    <s v=""/>
    <s v=""/>
    <s v=""/>
    <n v="20"/>
    <n v="0"/>
    <n v="0"/>
    <n v="5"/>
    <n v="9"/>
    <s v="UNIV CIENFUEGOS"/>
    <s v="CIENFUEGOS"/>
    <s v="CARRETERA RODAS KM 4, CUATRO CAMINOS, CIENFUEGOS, 00000, CUBA"/>
    <s v="2218-3620"/>
    <s v=""/>
    <s v=""/>
    <s v="REV UNIV SOC"/>
    <s v="Rev. Univ. Soc."/>
    <s v="MAY-JUN"/>
    <x v="1"/>
    <n v="14"/>
    <n v="3"/>
    <s v=""/>
    <s v=""/>
    <s v=""/>
    <s v=""/>
    <n v="542"/>
    <n v="552"/>
    <s v=""/>
    <s v=""/>
    <s v=""/>
    <s v=""/>
    <s v=""/>
    <n v="11"/>
    <x v="31"/>
    <x v="2"/>
    <s v="Social Sciences - Other Topics"/>
    <s v="2T9BY"/>
    <s v=""/>
    <s v=""/>
    <s v=""/>
    <s v=""/>
    <s v="2023-11-15"/>
    <s v="WOS:000822762700055"/>
    <s v="View Full Record in Web of Science"/>
    <m/>
  </r>
  <r>
    <x v="203"/>
    <s v="J"/>
    <x v="201"/>
    <s v=""/>
    <s v=""/>
    <s v=""/>
    <s v="Kim, Kyungtae; Kim, Boyoung"/>
    <s v=""/>
    <s v=""/>
    <x v="201"/>
    <x v="124"/>
    <s v=""/>
    <s v=""/>
    <s v="English"/>
    <s v="Article"/>
    <s v=""/>
    <s v=""/>
    <s v=""/>
    <s v=""/>
    <s v=""/>
    <x v="191"/>
    <x v="165"/>
    <s v="Firms' digital environment changes and industrial competitions have evolved quickly since the Fourth Industrial Revolution and the COVID-19 pandemic. Many companies are propelling company-wide digital transformation strategies based on artificial intelligence (AI) technology for the digital innovation of organizations and businesses. This study aims to define the factors affecting digital transformation strategies and present a decision-making model required for digital transformation strategies based on the definition. It also reviews previous AI technology and digital transformation strategies and draws influence factors. The research model drew four evaluation areas, such as subject, environment, resource, and mechanism, and 16 evaluation factors through the SERM model. After the factors were reviewed through the Delphi methods, a questionnaire survey was conducted targeting experts with over 10 years of work experience in the digital strategy field. The study results were produced by comparing the data's importance using an Analytic Hierarchy Process (AHP) on each group. According to the analysis, the subject was the most critical factor, and the CEO (top management) was more vital than the core talent or technical development organization. The importance was shown in the order of resource, mechanism and environment, following subject. It was ascertained that there were differences of importance in industrial competition and market digitalization in the demander and provider groups."/>
    <s v="[Kim, Kyungtae; Kim, Boyoung] Seoul Sch Integrated Sci &amp; Technol aSSIST, Seoul Business Sch, Seoul 03767, South Korea"/>
    <s v=""/>
    <s v="Kim, B (corresponding author), Seoul Sch Integrated Sci &amp; Technol aSSIST, Seoul Business Sch, Seoul 03767, South Korea."/>
    <s v="ktkim@stud.assistac.kr; bykim2@assist.ac.kr"/>
    <s v=""/>
    <s v=""/>
    <s v=""/>
    <s v=""/>
    <s v=""/>
    <s v=""/>
    <n v="65"/>
    <n v="6"/>
    <n v="6"/>
    <n v="12"/>
    <n v="42"/>
    <s v="MDPI"/>
    <s v="BASEL"/>
    <s v="ST ALBAN-ANLAGE 66, CH-4052 BASEL, SWITZERLAND"/>
    <s v=""/>
    <s v="2078-2489"/>
    <s v=""/>
    <s v="INFORMATION"/>
    <s v="Information"/>
    <s v="MAY"/>
    <x v="1"/>
    <n v="13"/>
    <n v="5"/>
    <s v=""/>
    <s v=""/>
    <s v=""/>
    <s v=""/>
    <s v=""/>
    <s v=""/>
    <n v="253"/>
    <s v="10.3390/info13050253"/>
    <s v="http://dx.doi.org/10.3390/info13050253"/>
    <s v=""/>
    <s v=""/>
    <n v="15"/>
    <x v="36"/>
    <x v="2"/>
    <s v="Computer Science"/>
    <s v="1R4DD"/>
    <s v=""/>
    <s v="gold"/>
    <s v=""/>
    <s v=""/>
    <s v="2023-11-15"/>
    <s v="WOS:000803320500001"/>
    <s v="View Full Record in Web of Science"/>
    <m/>
  </r>
  <r>
    <x v="204"/>
    <s v="J"/>
    <x v="202"/>
    <s v=""/>
    <s v=""/>
    <s v=""/>
    <s v="Majdalawieh, Munir; Khan, Shafaq"/>
    <s v=""/>
    <s v=""/>
    <x v="202"/>
    <x v="4"/>
    <s v=""/>
    <s v=""/>
    <s v="English"/>
    <s v="Article"/>
    <s v=""/>
    <s v=""/>
    <s v=""/>
    <s v=""/>
    <s v=""/>
    <x v="192"/>
    <x v="166"/>
    <s v="The purpose of this paper is to propose an integrated digital transformation system framework (IDTSF) to help support business leaders and teams in making their products, services, and operations more streamlined and competitive. The framework will help organizations to best meet user/customer needs with minimum waste and time and enables businesses to achieve efficiency compared with island and traditional sequential approaches. The proposed framework can also provide insights to help organizations to avoid common failures when deploying digital transformation initiatives. The paper follows the design science research (DSR) and the information systems design science research (ISDSR) methodologies to develop the IDTSF model and a practical design artifact. The main problems were the initiation, execution, and governance challenges associated with digital transformation. After identifying the problems and the objectives, a relevant IDTSF model was synthesized and tested as a design artifact. The results of the test of the proposed artifact showed its effectiveness and efficiency in facilitating the components of the model in creating a cohesive framework."/>
    <s v="[Majdalawieh, Munir] Zayed Univ, Informat Syst &amp; Technol Management Dept, POB 19282, Dubai, U Arab Emirates; [Khan, Shafaq] Univ Windsor, Sch Comp Sci, Windsor, ON N9B 3P4, Canada"/>
    <s v="Zayed University; University of Windsor"/>
    <s v="Majdalawieh, M (corresponding author), Zayed Univ, Informat Syst &amp; Technol Management Dept, POB 19282, Dubai, U Arab Emirates."/>
    <s v="munir.majdalawieh@zu.ac.ae; shafaq.khan@uwindsor.ca"/>
    <s v=""/>
    <s v="Khan, Shafaq/0000-0003-3091-5394"/>
    <s v="Zayed University [R21064]"/>
    <s v="Zayed University"/>
    <s v="This research was funded by Zayed University, grant number R21064."/>
    <s v=""/>
    <n v="85"/>
    <n v="2"/>
    <n v="2"/>
    <n v="6"/>
    <n v="29"/>
    <s v="MDPI"/>
    <s v="BASEL"/>
    <s v="ST ALBAN-ANLAGE 66, CH-4052 BASEL, SWITZERLAND"/>
    <s v=""/>
    <s v="2071-1050"/>
    <s v=""/>
    <s v="SUSTAINABILITY-BASEL"/>
    <s v="Sustainability"/>
    <s v="MAY"/>
    <x v="1"/>
    <n v="14"/>
    <n v="10"/>
    <s v=""/>
    <s v=""/>
    <s v=""/>
    <s v=""/>
    <s v=""/>
    <s v=""/>
    <n v="6121"/>
    <s v="10.3390/su14106121"/>
    <s v="http://dx.doi.org/10.3390/su14106121"/>
    <s v=""/>
    <s v=""/>
    <n v="20"/>
    <x v="4"/>
    <x v="3"/>
    <s v="Science &amp; Technology - Other Topics; Environmental Sciences &amp; Ecology"/>
    <s v="1R4XJ"/>
    <s v=""/>
    <s v="gold"/>
    <s v=""/>
    <s v=""/>
    <s v="2023-11-15"/>
    <s v="WOS:000803373100001"/>
    <s v="View Full Record in Web of Science"/>
    <m/>
  </r>
  <r>
    <x v="205"/>
    <s v="J"/>
    <x v="203"/>
    <s v=""/>
    <s v=""/>
    <s v=""/>
    <s v="McGillivray, Lauren; Gan, Daniel Z. Q.; Wong, Quincy; Han, Jin; Hetrick, Sarah; Christensen, Helen; Torok, Michelle"/>
    <s v=""/>
    <s v=""/>
    <x v="203"/>
    <x v="29"/>
    <s v=""/>
    <s v=""/>
    <s v="English"/>
    <s v="Article"/>
    <s v=""/>
    <s v=""/>
    <s v=""/>
    <s v=""/>
    <s v=""/>
    <x v="193"/>
    <x v="167"/>
    <s v="Introduction Youth suicidal ideation and behaviour is concerning due to its widespread prevalence, morbidity and potentially fatal consequences. Digital mental health interventions have been found to improve access to low-cost and high-quality support for a range of mental health issues, yet there are few digital interventions available for suicide prevention in young people. In addition, no studies have examined how digital engagement strategies may impact the engagement and efficacy of digital interventions in suicide prevention. The current protocol describes a three-arm parallel randomised controlled trial. A therapeutic smartphone application ('LifeBuoy'; intervention condition) will be tested against a condition that consists of the LifeBuoy application plus access to a digital engagement strategy ('LifeBuoy+engagement'; intervention condition) to determine whether the addition of the digital strategy improves app engagement metrics. To establish the efficacy of the LifeBuoy application, both of these intervention conditions will be tested against an attention-matched control condition (a placebo app). Methods and analysis 669 young Australians aged 17-24 years who have experienced suicidal ideation in the past 30 days will be recruited by Facebook advertisement. The primary outcomes will be suicidal ideation severity and level of app engagement. Primary analyses will use an intention-to-treat approach and compare changes from baseline to 30-day, 60-day and 120-day follow-up time points relative to the control group using mixed-effect modelling. A subset of participants in the intervention groups will be interviewed on their experience with the app and engagement strategy. Qualitative data will be analysed using an inductive approach, independent of a theoretical confirmative method to identify the group themes. Ethics and dissemination The study has been approved by the University of New South Wales Human Research Ethics Committee (HC210400). The results of the trial will be disseminated via peer-reviewed publications in scientific journals and conferences."/>
    <s v="[McGillivray, Lauren; Gan, Daniel Z. Q.; Han, Jin; Christensen, Helen; Torok, Michelle] Univ New South Wales, Black Dog Inst, Sydney, NSW, Australia; [Wong, Quincy] Western Sydney Univ, Sch Psychol, Sydney, NSW, Australia; [Hetrick, Sarah] Univ Auckland, Dept Psychol Med, Auckland, New Zealand"/>
    <s v="Black Dog Institute; University of New South Wales Sydney; Western Sydney University; University of Auckland"/>
    <s v="Torok, M (corresponding author), Univ New South Wales, Black Dog Inst, Sydney, NSW, Australia."/>
    <s v="m.torok@unsw.edu.au"/>
    <s v="Torok, Michelle/R-3231-2018"/>
    <s v="Torok, Michelle/0000-0003-3741-8075; Gan, Daniel/0000-0002-3788-5848"/>
    <s v="Australian Rotary Health; Roth Family Foundation; Goodman Foundation; Mantana Foundation for Young People"/>
    <s v="Australian Rotary Health; Roth Family Foundation; Goodman Foundation; Mantana Foundation for Young People"/>
    <s v="This work was supported by Australian Rotary Health, The Roth Family Foundation, Mantana Foundation for Young People, and The Goodman Foundation."/>
    <s v=""/>
    <n v="36"/>
    <n v="2"/>
    <n v="2"/>
    <n v="1"/>
    <n v="6"/>
    <s v="BMJ PUBLISHING GROUP"/>
    <s v="LONDON"/>
    <s v="BRITISH MED ASSOC HOUSE, TAVISTOCK SQUARE, LONDON WC1H 9JR, ENGLAND"/>
    <s v="2044-6055"/>
    <s v=""/>
    <s v=""/>
    <s v="BMJ OPEN"/>
    <s v="BMJ Open"/>
    <s v="MAY"/>
    <x v="1"/>
    <n v="12"/>
    <n v="5"/>
    <s v=""/>
    <s v=""/>
    <s v=""/>
    <s v=""/>
    <s v=""/>
    <s v=""/>
    <s v="e058584"/>
    <s v="10.1136/bmjopen-2021-058584"/>
    <s v="http://dx.doi.org/10.1136/bmjopen-2021-058584"/>
    <s v=""/>
    <s v=""/>
    <n v="11"/>
    <x v="28"/>
    <x v="0"/>
    <s v="General &amp; Internal Medicine"/>
    <s v="1S6ML"/>
    <n v="35636787"/>
    <s v="Green Published, gold"/>
    <s v=""/>
    <s v=""/>
    <s v="2023-11-15"/>
    <s v="WOS:000804163100015"/>
    <s v="View Full Record in Web of Science"/>
    <m/>
  </r>
  <r>
    <x v="206"/>
    <s v="J"/>
    <x v="204"/>
    <s v=""/>
    <s v=""/>
    <s v=""/>
    <s v="Sakas, Damianos P.; Giannakopoulos, Nikolaos T.; Kanellos, Nikos; Tryfonopoulos, Christos"/>
    <s v=""/>
    <s v=""/>
    <x v="204"/>
    <x v="111"/>
    <s v=""/>
    <s v=""/>
    <s v="English"/>
    <s v="Article"/>
    <s v=""/>
    <s v=""/>
    <s v=""/>
    <s v=""/>
    <s v=""/>
    <x v="194"/>
    <x v="168"/>
    <s v="Today, more than ever, the popularity of decentralized payment systems has risen, creating an outbreak of new cryptocurrencies hitting the market. Unique websites have been staged for each cryptocurrency, where information and means for mining cryptocurrencies are available daily. People visit those cryptocurrency websites either from desktop or mobile devices. Thus, the impulsion for appropriate promotion of cryptocurrency websites and customer factors affecting it rises. The above process increases cryptocurrency organizations' website visibility, raising the need for customer relationships and satisfaction optimization concerning organizations' supply chain strategy. Research data were collected from 10 well-known cryptocurrency websites, regarding mobile and desktop devices, in 180 days, regarding on-site web analytics. Therefore, a model consisting of three stages was applied. Starting phase of the model pertains to statistical and regression analysis of cryptocurrency web analytics, followed by Fuzzy Cognitive Mapping and Agent-Based Model deployment. Throughout this study, methods for promoting cryptocurrency websites can be deduced from assessing specific website metrics and device preferences. Research results indicate that web analytics give a clearer image of customer behavior in cryptocurrency websites and, therefore, provide opportunities for further website optimization through increased web traffic and digital reputation."/>
    <s v="[Sakas, Damianos P.; Giannakopoulos, Nikolaos T.; Kanellos, Nikos] Agr Univ Athens, Sch Appl Econ &amp; Social Sci, Dept Agribusiness &amp; Supply Chain Management, Business Informat &amp; Commun Technol Value Chains L, Athens 11855, Greece; [Tryfonopoulos, Christos] Univ Peloponnese, Dept Informat &amp; Telecommun, Karaiskaki 70, Tripoli 22100, Greece"/>
    <s v="Agricultural University of Athens; University of Peloponnese"/>
    <s v="Giannakopoulos, NT (corresponding author), Agr Univ Athens, Sch Appl Econ &amp; Social Sci, Dept Agribusiness &amp; Supply Chain Management, Business Informat &amp; Commun Technol Value Chains L, Athens 11855, Greece."/>
    <s v="d.sakas@aua.gr; n.giannakopoulos@aua.gr; nikos.kanellos2@aua.gr; trifon@uop.gr"/>
    <s v="Giannakopoulos, Nikolaos/HZJ-9352-2023; Tryfonopoulos, Christos/HKW-5651-2023"/>
    <s v="Sakas, Damianos/0000-0002-2253-8966; Tryfonopoulos, Christos/0000-0003-0640-9088; Giannakopoulos, Nikolaos T./0000-0002-4480-5893"/>
    <s v=""/>
    <s v=""/>
    <s v=""/>
    <s v=""/>
    <n v="77"/>
    <n v="5"/>
    <n v="5"/>
    <n v="2"/>
    <n v="7"/>
    <s v="MDPI"/>
    <s v="BASEL"/>
    <s v="ST ALBAN-ANLAGE 66, CH-4052 BASEL, SWITZERLAND"/>
    <s v=""/>
    <s v="2227-9717"/>
    <s v=""/>
    <s v="PROCESSES"/>
    <s v="Processes"/>
    <s v="MAY"/>
    <x v="1"/>
    <n v="10"/>
    <n v="5"/>
    <s v=""/>
    <s v=""/>
    <s v=""/>
    <s v=""/>
    <s v=""/>
    <s v=""/>
    <n v="960"/>
    <s v="10.3390/pr10050960"/>
    <s v="http://dx.doi.org/10.3390/pr10050960"/>
    <s v=""/>
    <s v=""/>
    <n v="24"/>
    <x v="64"/>
    <x v="0"/>
    <s v="Engineering"/>
    <s v="1Q0UZ"/>
    <s v=""/>
    <s v="gold"/>
    <s v=""/>
    <s v=""/>
    <s v="2023-11-15"/>
    <s v="WOS:000802415300001"/>
    <s v="View Full Record in Web of Science"/>
    <m/>
  </r>
  <r>
    <x v="207"/>
    <s v="J"/>
    <x v="205"/>
    <s v=""/>
    <s v=""/>
    <s v=""/>
    <s v="Valencia, Jose Townsend; Filian, Janina Figueroa"/>
    <s v=""/>
    <s v=""/>
    <x v="205"/>
    <x v="154"/>
    <s v=""/>
    <s v=""/>
    <s v="English"/>
    <s v="Article"/>
    <s v=""/>
    <s v=""/>
    <s v=""/>
    <s v=""/>
    <s v=""/>
    <x v="195"/>
    <x v="1"/>
    <s v="The phenomenon of digital transformation is emerging as a result of the Covid-19 crisis, which has accelerated commercial companies, forcing them to modify their processes, improve their competitiveness and develop new digital strategies, taking advantage of the full potential of technology to meet their customers. The objective of the study is to establish whether companies in the commerce sector are prepared for the digital transformation process. The proposed research model exposes the areas of the business in which digital technologies are most affected; it focuses on answering the what? and the which? from the perspective of five domains of the underlying principles of the strategies, changing the rules of the business. The research conducted is of qualitative and non-experimental design. The research method was inductive and its scope descriptive and correlational with the objective of quantifying the relationship between the concepts and their variables. The statistical and field technique was used, the main instrument for collecting information was the questionnaire, followed by the databases, using a statistical analysis program that showed the most significant aspects of the indicators studied."/>
    <s v="[Valencia, Jose Townsend; Filian, Janina Figueroa] Business Technol Univ Guayaquil, Guayaquil, Ecuador"/>
    <s v=""/>
    <s v="Valencia, JT (corresponding author), Business Technol Univ Guayaquil, Guayaquil, Ecuador."/>
    <s v="jose.townsend@uteg.edu.ec; jfigueroaf@outlook.es"/>
    <s v=""/>
    <s v=""/>
    <s v=""/>
    <s v=""/>
    <s v=""/>
    <s v=""/>
    <n v="20"/>
    <n v="0"/>
    <n v="0"/>
    <n v="1"/>
    <n v="1"/>
    <s v="UNIV PINAR RIO HERMANOS SAIZ MONTES OCA"/>
    <s v="PINA DEL RIO"/>
    <s v="CALLE MARTI NO 300 27 NOVIEMBRE &amp; GONZALEZ ALCORTA, PINA DEL RIO, CP 20100, CUBA"/>
    <s v="2310-340X"/>
    <s v=""/>
    <s v=""/>
    <s v="REV COOP DESARRO-COO"/>
    <s v="Rev. Coop. Desarro.-COODES"/>
    <s v="MAY-AUG"/>
    <x v="1"/>
    <n v="10"/>
    <n v="2"/>
    <s v=""/>
    <s v=""/>
    <s v=""/>
    <s v=""/>
    <n v="407"/>
    <n v="429"/>
    <s v=""/>
    <s v=""/>
    <s v=""/>
    <s v=""/>
    <s v=""/>
    <n v="22"/>
    <x v="86"/>
    <x v="2"/>
    <s v="Development Studies"/>
    <s v="H1UQ5"/>
    <s v=""/>
    <s v=""/>
    <s v=""/>
    <s v=""/>
    <s v="2023-11-15"/>
    <s v="WOS:000993888800009"/>
    <s v="View Full Record in Web of Science"/>
    <m/>
  </r>
  <r>
    <x v="208"/>
    <s v="J"/>
    <x v="206"/>
    <s v=""/>
    <s v=""/>
    <s v=""/>
    <s v="Hogberg, Karin; Willermark, Sara"/>
    <s v=""/>
    <s v=""/>
    <x v="206"/>
    <x v="117"/>
    <s v=""/>
    <s v=""/>
    <s v="English"/>
    <s v="Article"/>
    <s v=""/>
    <s v=""/>
    <s v=""/>
    <s v=""/>
    <s v=""/>
    <x v="196"/>
    <x v="169"/>
    <s v="Hardly any organization remains unaffected by the digitalization of society and the whole global economy is shaken by disruptive digital innovations (DDI). This calls for strategic responses from incumbent firms to remain relevant in a changing environment. This study explores the phenomenon of digital transformation and the development of digital business strategy in the context of incumbent firms, in this case, the hotel industry. We address the following research questions: 1) How are hotel organizations disrupted by digital innovations? and 2) How do they respond strategically to these disruptions? The research approach consists of multiple longitudinal case studies of two international hotel chains, offering a rich dataset. Strategy-as-practice is used as a theoretical lens. The results show three overall organizational responses due to DDI including: 1) relating to a new digital business environment; 2) translating strategy to practices 3) renegotiating value. Contributions include extending the existing literature on digital strategies and responses to digital disruptions in incumbent firms as well as providing implications to practice."/>
    <s v="[Hogberg, Karin; Willermark, Sara] Univ West, Trollhattan, Sweden"/>
    <s v="University West - Sweden"/>
    <s v="Högberg, K (corresponding author), Univ West, Trollhattan, Sweden."/>
    <s v="karin.hogberg@hv.se"/>
    <s v=""/>
    <s v="Willermark, Sara/0000-0003-1390-8379"/>
    <s v=""/>
    <s v=""/>
    <s v=""/>
    <s v=""/>
    <n v="56"/>
    <n v="1"/>
    <n v="1"/>
    <n v="9"/>
    <n v="36"/>
    <s v="TAYLOR &amp; FRANCIS INC"/>
    <s v="PHILADELPHIA"/>
    <s v="530 WALNUT STREET, STE 850, PHILADELPHIA, PA 19106 USA"/>
    <s v="0887-4417"/>
    <s v="2380-2057"/>
    <s v=""/>
    <s v="J COMPUT INFORM SYST"/>
    <s v="J. Comput. Inf. Syst."/>
    <s v="MAR 4"/>
    <x v="0"/>
    <n v="63"/>
    <n v="2"/>
    <s v=""/>
    <s v=""/>
    <s v=""/>
    <s v=""/>
    <n v="281"/>
    <n v="292"/>
    <s v=""/>
    <s v="10.1080/08874417.2022.2057373"/>
    <s v="http://dx.doi.org/10.1080/08874417.2022.2057373"/>
    <s v=""/>
    <s v="APR 2022"/>
    <n v="12"/>
    <x v="36"/>
    <x v="0"/>
    <s v="Computer Science"/>
    <s v="9L9NI"/>
    <s v=""/>
    <s v="hybrid"/>
    <s v=""/>
    <s v=""/>
    <s v="2023-11-15"/>
    <s v="WOS:000790136000001"/>
    <s v="View Full Record in Web of Science"/>
    <m/>
  </r>
  <r>
    <x v="209"/>
    <s v="J"/>
    <x v="207"/>
    <s v=""/>
    <s v=""/>
    <s v=""/>
    <s v="Partridge, Stephanie R.; Reece, Lindsey; Sim, Kyra A.; Todd, Allyson; Jia, Si Si; Raeside, Rebecca; Schirmer, Teisha; Phongsavan, Philayrath; Redfern, Julie"/>
    <s v=""/>
    <s v=""/>
    <x v="207"/>
    <x v="155"/>
    <s v=""/>
    <s v=""/>
    <s v="English"/>
    <s v="Article"/>
    <s v=""/>
    <s v=""/>
    <s v=""/>
    <s v=""/>
    <s v=""/>
    <x v="197"/>
    <x v="1"/>
    <s v="Issue addressed Obesity is a significant health challenge facing adolescents. There is a critical need for government action to support all adolescents to improve risk factors for obesity. This study critically appraised initiatives, guidelines and policies (termed strategies) from local health districts (LHDs), speciality health networks and Primary Health Networks (PHNs) across New South Wales (NSW), relevant to the prevention and management of obesity amongst adolescents and compare these to best practice recommendations. Methods We critically appraised strategies against best practice recommendations that included support, access, responsiveness to needs, supportive environment, monitoring and evaluation and health equity. Strategies were collected by systematically searching websites of 15 LHDs, one speciality health network and 10 PHNs. Results There was evidence of strategies regarding adolescent obesity prevention and management across all best practice recommendations. There was limited evidence of adolescent consumer participation, digital strategies for health services and online health information. There were minimal targeted public or school-based education campaigns and interventions on physical activity or nutrition. Place-based approaches such as sports and recreation facilities were not included in policies regarding the sale of healthy food and drinks. Evaluation evidence across all strategies was minimal. Conclusions Numerous strategies are being implemented across NSW to address adolescent obesity. Despite this, the alignment of strategies with best practice recommendations is poor and evidence of progress in tackling adolescent obesity remains unclear. So what? Opportunities to generate and translate best practice evidence within government strategies for obesity must be prioritised with embedded measurement and evaluation plans."/>
    <s v="[Partridge, Stephanie R.; Todd, Allyson; Jia, Si Si; Raeside, Rebecca; Redfern, Julie] Univ Sydney, Fac Med &amp; Hlth, Sch Hlth Sci, Engagement &amp; Codesign Hub, Sydney, NSW, Australia; [Partridge, Stephanie R.; Reece, Lindsey; Phongsavan, Philayrath] Univ Sydney, Fac Med &amp; Hlth, Sydney Sch Publ Hlth, Prevent Res Collaborat, Sydney, NSW, Australia; [Partridge, Stephanie R.; Reece, Lindsey; Sim, Kyra A.; Phongsavan, Philayrath] Univ Sydney, Charles Perkins Ctr, Sydney, NSW, Australia; [Sim, Kyra A.] Sydney Local Hlth Dist, Camperdown, NSW, Australia; [Schirmer, Teisha] Mid North Coast Local Hlth Dist, Port Macquarie, NSW, Australia; [Redfern, Julie] Univ New South Wales, George Inst Global Hlth, Camperdown, NSW, Australia"/>
    <s v="University of Sydney; University of Sydney; University of Sydney; University of New South Wales Sydney; University of Sydney; George Institute for Global Health"/>
    <s v="Partridge, SR (corresponding author), Univ Sydney, Westmead Hosp, Level 6,Block K, Westmead, NSW 2145, Australia."/>
    <s v="stephanie.partridge@sydney.edu.au"/>
    <s v="Redfern, Julie/AAM-8617-2020; Partridge, Stephanie R/B-7327-2018"/>
    <s v="Redfern, Julie/0000-0001-8707-5563; Todd, Allyson/0000-0001-6948-9754; Raeside, Rebecca/0000-0003-2016-6393; Sim, Kyra/0000-0003-2825-665X; Reece, Lindsey/0000-0003-2883-3963; Phongsavan, Philayrath/0000-0003-2460-5031; Partridge, Stephanie R/0000-0001-5390-3922; Schirmer, Teisha/0000-0002-5863-3885"/>
    <s v="University of Sydney; Heart Foundation; National Health and Medical Research Council [APP1143538, APP1157438]"/>
    <s v="University of Sydney(University of Sydney); Heart Foundation; National Health and Medical Research Council(National Health and Medical Research Council (NHMRC) of Australia)"/>
    <s v="University of Sydney; Heart Foundation; National Health and Medical Research Council, Grant/Award Numbers: APP1143538, APP1157438"/>
    <s v=""/>
    <n v="50"/>
    <n v="2"/>
    <n v="2"/>
    <n v="0"/>
    <n v="1"/>
    <s v="WILEY"/>
    <s v="HOBOKEN"/>
    <s v="111 RIVER ST, HOBOKEN 07030-5774, NJ USA"/>
    <s v="1036-1073"/>
    <s v="2201-1617"/>
    <s v=""/>
    <s v="HEALTH PROMOT J AUST"/>
    <s v="Health Promot. J. Aust."/>
    <s v="APR"/>
    <x v="0"/>
    <n v="34"/>
    <n v="2"/>
    <s v=""/>
    <s v=""/>
    <s v=""/>
    <s v=""/>
    <n v="390"/>
    <n v="397"/>
    <s v=""/>
    <s v="10.1002/hpja.606"/>
    <s v="http://dx.doi.org/10.1002/hpja.606"/>
    <s v=""/>
    <s v="APR 2022"/>
    <n v="8"/>
    <x v="44"/>
    <x v="1"/>
    <s v="Public, Environmental &amp; Occupational Health"/>
    <s v="F1HJ2"/>
    <n v="35411703"/>
    <s v="hybrid"/>
    <s v=""/>
    <s v=""/>
    <s v="2023-11-15"/>
    <s v="WOS:000786521800001"/>
    <s v="View Full Record in Web of Science"/>
    <m/>
  </r>
  <r>
    <x v="210"/>
    <s v="J"/>
    <x v="208"/>
    <s v=""/>
    <s v=""/>
    <s v=""/>
    <s v="Li, Lixu"/>
    <s v=""/>
    <s v=""/>
    <x v="208"/>
    <x v="156"/>
    <s v=""/>
    <s v=""/>
    <s v="English"/>
    <s v="Article"/>
    <s v=""/>
    <s v=""/>
    <s v=""/>
    <s v=""/>
    <s v=""/>
    <x v="198"/>
    <x v="170"/>
    <s v="As digital technologies disrupt one sector after another, many companies are actively embracing digital transformation. However, the relationship between digital transformation and sustainable performance remains unclear. To fill this gap, based on an integrated perspective of dynamic capability and organizational inertia, this study examines the curvilinear relationships between digital transformation and economic and environmental dimensions of sustainable performance. Survey data from 223 Chinese companies articulate that although digital transformation fosters economic performance at an accelerating rate, it depicts an inverse U-shaped relationship with environmental performance. More interestingly, the accelerating rate of digital transformation on economic performance is quicker under low market turbulence. In contrast, when market turbulence is high, higher digital transformation is associated with worse environmental performance. This study contributes to the literature by providing new theoretical explanations for the inconsistent relationship between digital transformation and sustainable performance. This study also assists companies in re-evaluating their digital strategies."/>
    <s v="[Li, Lixu] Xian Univ Technol, Sch Econ &amp; Management, Xian 710054, Peoples R China"/>
    <s v="Xi'an University of Technology"/>
    <s v="Li, LX (corresponding author), Xian Univ Technol, Sch Econ &amp; Management, Xian 710054, Peoples R China."/>
    <s v="li.lixu@foxmail.com"/>
    <s v=""/>
    <s v="Li, Lixu/0000-0002-1927-0604"/>
    <s v=""/>
    <s v=""/>
    <s v=""/>
    <s v=""/>
    <n v="74"/>
    <n v="74"/>
    <n v="74"/>
    <n v="341"/>
    <n v="905"/>
    <s v="ELSEVIER SCIENCE INC"/>
    <s v="NEW YORK"/>
    <s v="STE 800, 230 PARK AVE, NEW YORK, NY 10169 USA"/>
    <s v="0019-8501"/>
    <s v="1873-2062"/>
    <s v=""/>
    <s v="IND MARKET MANAG"/>
    <s v="Ind. Mark. Manage."/>
    <s v="JUL"/>
    <x v="1"/>
    <n v="104"/>
    <s v=""/>
    <s v=""/>
    <s v=""/>
    <s v=""/>
    <s v=""/>
    <n v="28"/>
    <n v="37"/>
    <s v=""/>
    <s v="10.1016/j.indmarman.2022.04.007"/>
    <s v="http://dx.doi.org/10.1016/j.indmarman.2022.04.007"/>
    <s v=""/>
    <s v="APR 2022"/>
    <n v="10"/>
    <x v="6"/>
    <x v="1"/>
    <s v="Business &amp; Economics"/>
    <s v="1E2DQ"/>
    <s v=""/>
    <s v=""/>
    <s v=""/>
    <s v=""/>
    <s v="2023-11-15"/>
    <s v="WOS:000794305800001"/>
    <s v="View Full Record in Web of Science"/>
    <m/>
  </r>
  <r>
    <x v="211"/>
    <s v="J"/>
    <x v="209"/>
    <s v=""/>
    <s v=""/>
    <s v=""/>
    <s v="Dal Forno, Ana Julia; Bataglini, Walakis Vieira; Steffens, Fernanda; Ulson de Souza, Antonio Augusto"/>
    <s v=""/>
    <s v=""/>
    <x v="209"/>
    <x v="157"/>
    <s v=""/>
    <s v=""/>
    <s v="English"/>
    <s v="Article"/>
    <s v=""/>
    <s v=""/>
    <s v=""/>
    <s v=""/>
    <s v=""/>
    <x v="199"/>
    <x v="171"/>
    <s v="Purpose The purpose of this paper is to present a diagnostic instrument of the maturity of Industry 4.0 technologies adapted to the textile and clothing sector and constructed based on the technological references that support this industrial evolution process. Design/methodology/approach The proposed methodology began with the systematic literature review using the SciMAT software and then a questionnaire was developed with 49 questions divided into 5 categories - demography, technologies, strategy, digital skills and benefits of the deployment. Findings The application in 19 different sectors and 72 people in a textile industry showed this sector is still traditional. The diagnosis results pointed that the level of implementation of Industry 4.0 is considered the first level, later advancing in this order to levels of connectivity, visibility, predictability and adaptability of the processes. Research limitations/implications Only in one company was applied the developed instrument, in this case study, a factory that makes children's and adult clothing items located in Santa Catarina, Brazil. Practical implications Through the use of this assessment instrument, it is possible to perform an internal benchmarking at the company detecting the strong and weak points, as well as involve a multidisciplinary collaborator team. Social implications The comparisons and improvements may be carried out per dimension or sector, which motivates the constant application and assessment of improvements. The instrument to diagnose the maturity of Industry 4.0 technologies in the textile and clothing sector is considered an effective tool for application in a single company or to have its use expanded in a new piece of research to the entire industrial textile segment. Originality/value The developed diagnostic tool may be used for both the internal assessment of the company and its placement relative to its competitors, involving several companies from the same sector. It is possible to know about what level of Industry 4.0 maturity the company is and after benchmarking by others and improve."/>
    <s v="[Dal Forno, Ana Julia; Bataglini, Walakis Vieira; Steffens, Fernanda; Ulson de Souza, Antonio Augusto] Santa Catarina Fed Univ, Text Engn Postgrad Program PGETEX UFSC, Blumenau, Brazil"/>
    <s v="Universidade Federal de Santa Catarina (UFSC)"/>
    <s v="Dal Forno, AJ (corresponding author), Santa Catarina Fed Univ, Text Engn Postgrad Program PGETEX UFSC, Blumenau, Brazil."/>
    <s v="ana.forno@ufsc.br"/>
    <s v="Dal Forno, Ana Julia/F-3652-2015; Ulson de Souza, Antonio Augusto/K-1051-2012"/>
    <s v="Dal Forno, Ana Julia/0000-0003-2441-5385; Ulson de Souza, Antonio Augusto/0000-0002-7115-2621"/>
    <s v="CAPES/Brazil (Coordenac~ao de Apefeicoamento de Pessoal de N~ivel Superior -Coordination for the Improvement of Higher Education Personnel)"/>
    <s v="CAPES/Brazil (Coordenac~ao de Apefeicoamento de Pessoal de N~ivel Superior -Coordination for the Improvement of Higher Education Personnel)"/>
    <s v="The authors would like to thank CAPES/Brazil (Coordenac~ao de Apefeicoamento de Pessoal de N~ivel Superior -Coordination for the Improvement of Higher Education Personnel) for incentivizing the postgraduate program and Lunelli company."/>
    <s v=""/>
    <n v="48"/>
    <n v="0"/>
    <n v="0"/>
    <n v="6"/>
    <n v="17"/>
    <s v="EMERALD GROUP PUBLISHING LTD"/>
    <s v="BINGLEY"/>
    <s v="HOWARD HOUSE, WAGON LANE, BINGLEY BD16 1WA, W YORKSHIRE, ENGLAND"/>
    <s v="1361-2026"/>
    <s v="1758-7433"/>
    <s v=""/>
    <s v="J FASH MARK MANAG"/>
    <s v="J. Fash. Mark. Manag."/>
    <s v="MAR 23"/>
    <x v="0"/>
    <n v="27"/>
    <n v="2"/>
    <s v=""/>
    <s v=""/>
    <s v=""/>
    <s v=""/>
    <n v="201"/>
    <n v="219"/>
    <s v=""/>
    <s v="10.1108/JFMM-09-2021-0241"/>
    <s v="http://dx.doi.org/10.1108/JFMM-09-2021-0241"/>
    <s v=""/>
    <s v="APR 2022"/>
    <n v="19"/>
    <x v="6"/>
    <x v="1"/>
    <s v="Business &amp; Economics"/>
    <s v="D4DA0"/>
    <s v=""/>
    <s v=""/>
    <s v=""/>
    <s v=""/>
    <s v="2023-11-15"/>
    <s v="WOS:000783066900001"/>
    <s v="View Full Record in Web of Science"/>
    <m/>
  </r>
  <r>
    <x v="212"/>
    <s v="J"/>
    <x v="210"/>
    <s v=""/>
    <s v=""/>
    <s v=""/>
    <s v="Liu, Longjun; Fan, Qing; Liu, Ruhong; Zhang, Guiqing; Wan, Wenhai; Long, Jing"/>
    <s v=""/>
    <s v=""/>
    <x v="210"/>
    <x v="94"/>
    <s v=""/>
    <s v=""/>
    <s v="English"/>
    <s v="Article"/>
    <s v=""/>
    <s v=""/>
    <s v=""/>
    <s v=""/>
    <s v=""/>
    <x v="200"/>
    <x v="172"/>
    <s v="Purpose This study aims to explore whether digital platform capabilities (integration and reconstruction) affect technological innovation through knowledge bases in the dimensions of breadth and depth and the moderating role of organisational routines updating. Design/methodology/approach Hierarchical regression, mediation effect test macro and bootstrap were conducted to empirically analyse two waves of longitudinal survey data from 179 Chinese technology firms. Findings Results confirmed that knowledge bases (breadth and depth) mediated the effect of digital platform capabilities (integration and reconstruction) on technological innovation and that updating of organisational routines moderated the relationship between knowledge bases and technological innovation. Practical implications These findings offer guidance to firms that aim to achieve technological innovation and advantages, highlighting the importance of digital platform capabilities, knowledge bases and organisational routines updating. Originality/value Advancing from existing digital strategies and firm innovation literature, the authors provide a new perspective (knowledge bases) to respond to the information technology (IT) paradox and understand the role of digital platform capabilities in improving technological innovation."/>
    <s v="[Liu, Longjun; Liu, Ruhong; Long, Jing] Nanjing Univ, Sch Business, Nanjing, Peoples R China; [Fan, Qing] Shanghai Univ, Sch Management, Shanghai, Peoples R China; [Zhang, Guiqing] Hohai Univ, Business Sch, Nanjing, Peoples R China; [Wan, Wenhai] Huaqiao Univ, Sch Business Adm, Quanzhou, Peoples R China"/>
    <s v="Nanjing University; Shanghai University; Hohai University; Huaqiao University"/>
    <s v="Long, J (corresponding author), Nanjing Univ, Sch Business, Nanjing, Peoples R China."/>
    <s v="longjing@nju.edu.cn"/>
    <s v=""/>
    <s v="Zhang, Guiqing/0000-0002-6706-1946; Fan, Qing/0000-0001-5179-921X; Liu, Longjun/0000-0002-6495-1695"/>
    <s v=""/>
    <s v=""/>
    <s v=""/>
    <s v=""/>
    <n v="93"/>
    <n v="5"/>
    <n v="5"/>
    <n v="55"/>
    <n v="182"/>
    <s v="EMERALD GROUP PUBLISHING LTD"/>
    <s v="Leeds"/>
    <s v="floor 5, Northspring 21-23 Wellington Street, Leeds, W YORKSHIRE, ENGLAND"/>
    <s v="1460-1060"/>
    <s v="1758-7115"/>
    <s v=""/>
    <s v="EUR J INNOV MANAG"/>
    <s v="Eur. J. Innov. Manag."/>
    <s v="AUG 29"/>
    <x v="0"/>
    <n v="26"/>
    <n v="5"/>
    <s v=""/>
    <s v=""/>
    <s v=""/>
    <s v=""/>
    <n v="1394"/>
    <n v="1420"/>
    <s v=""/>
    <s v="10.1108/EJIM-10-2021-0532"/>
    <s v="http://dx.doi.org/10.1108/EJIM-10-2021-0532"/>
    <s v=""/>
    <s v="APR 2022"/>
    <n v="27"/>
    <x v="6"/>
    <x v="1"/>
    <s v="Business &amp; Economics"/>
    <s v="R3XR2"/>
    <s v=""/>
    <s v=""/>
    <s v=""/>
    <s v=""/>
    <s v="2023-11-15"/>
    <s v="WOS:000780937900001"/>
    <s v="View Full Record in Web of Science"/>
    <m/>
  </r>
  <r>
    <x v="213"/>
    <s v="J"/>
    <x v="211"/>
    <s v=""/>
    <s v=""/>
    <s v=""/>
    <s v="Boyd, LouAnne; Berardi, Vincent; Hughes, Deanna; Cibrian, Franceli; Johnson, Jazette; Sean, Viseth; DelPizzo-Cheng, Eliza; Mackin, Brandon; Tusneem, Ayra; Mody, Riya; Jones, Sara; Lotich, Karen"/>
    <s v=""/>
    <s v=""/>
    <x v="211"/>
    <x v="158"/>
    <s v=""/>
    <s v=""/>
    <s v="English"/>
    <s v="Article"/>
    <s v=""/>
    <s v=""/>
    <s v=""/>
    <s v=""/>
    <s v=""/>
    <x v="8"/>
    <x v="173"/>
    <s v="Autism has been characterized by a tendency to attend to the local visual details over surveying an image to understand the gist-a phenomenon called local interference. This sensory processing trait has been found to negatively impact social communication. Although much work has been conducted to understand these traits, little to no work has been conducted to intervene to provide support for local interference. Additionally, recent understanding of autism now introduces the core role of sensory processing and its impact on social communication. However, no interventions to the end of our knowledge have been explored to leverage this relationship. This work builds on the connection between visual attention and semantic representation in autistic children. In this work, we ask the following research questions: RQ1: Does manipulating image characteristics of luminance and spatial frequency increase likelihood of fixations in hot spots (Areas of Interest) for autistic children? RQ2: Does manipulating low-level image characteristics of luminance and spatial frequency increase the likelihood of global verbal responses for autistic children? We sought to manipulate visual attention as measured by eye gaze fixations and semantic representation of verbal response to the question What is this picture about?. We explore digital strategies to offload low-level, sensory processing of global features via digital filtering. In this work, we designed a global filter to reduce image characteristics found to be distracting for autistic people and compared baseline images to featured images in 11 autistic children. Participants saw counterbalanced images way over 2 sessions. Eye gaze in areas of interest and verbal responses were collected and analyzed. We found that luminance in non-salient areas impacted both eye gaze and verbal responding-however in opposite ways (however versus high levels of luminance). Additionally, the interaction of luminance and spatial frequency in areas of interest is also significant. This is the first empirical study in designing an assistive technology aimed to augment global processing that occurs at a sensory-processing and social-communication level. Contributions of this work include empirical findings regarding the quantification of local interference in images of natural scenes for autistic children in real-world settings; digital methods to offload global visual processing to make this information more accessible via insight on the role of luminance and spatial frequency in visual perception of and semantic representation in images of natural scenes."/>
    <s v="[Boyd, LouAnne; Berardi, Vincent; Hughes, Deanna; Cibrian, Franceli; Sean, Viseth; Mackin, Brandon; Tusneem, Ayra; Mody, Riya] Chapman Univ, Orange, CA 92866 USA; [Johnson, Jazette] Univ Calif Irvine, Irvine, CA USA; [DelPizzo-Cheng, Eliza] Endicott Coll, Beverly, MA USA; [Jones, Sara; Lotich, Karen] Speech &amp; Language Dev Ctr, Buena Pk, CA USA"/>
    <s v="Chapman University System; Chapman University; University of California System; University of California Irvine"/>
    <s v="Boyd, L (corresponding author), Chapman Univ, Orange, CA 92866 USA."/>
    <s v="lboyd@chapman.edu"/>
    <s v=""/>
    <s v="Cibrian, Franceli L./0000-0002-7084-6904"/>
    <s v=""/>
    <s v=""/>
    <s v=""/>
    <s v=""/>
    <n v="59"/>
    <n v="0"/>
    <n v="0"/>
    <n v="0"/>
    <n v="4"/>
    <s v="SPRINGERNATURE"/>
    <s v="LONDON"/>
    <s v="CAMPUS, 4 CRINAN ST, LONDON, N1 9XW, ENGLAND"/>
    <s v=""/>
    <s v="2662-9992"/>
    <s v=""/>
    <s v="HUM SOC SCI COMMUN"/>
    <s v="Hum. Soc. Sci. Commun."/>
    <s v="APR 4"/>
    <x v="1"/>
    <n v="9"/>
    <n v="1"/>
    <s v=""/>
    <s v=""/>
    <s v=""/>
    <s v=""/>
    <s v=""/>
    <s v=""/>
    <n v="110"/>
    <s v="10.1057/s41599-022-01131-6"/>
    <s v="http://dx.doi.org/10.1057/s41599-022-01131-6"/>
    <s v=""/>
    <s v=""/>
    <n v="9"/>
    <x v="87"/>
    <x v="6"/>
    <s v="Arts &amp; Humanities - Other Topics; Social Sciences - Other Topics"/>
    <s v="0G5XJ"/>
    <s v=""/>
    <s v="gold, Green Published"/>
    <s v=""/>
    <s v=""/>
    <s v="2023-11-15"/>
    <s v="WOS:000778117600004"/>
    <s v="View Full Record in Web of Science"/>
    <m/>
  </r>
  <r>
    <x v="214"/>
    <s v="J"/>
    <x v="212"/>
    <s v=""/>
    <s v=""/>
    <s v=""/>
    <s v="Alberto Longhi-Heredia, Sebastian; Liset Quezada-Tello, Laddy"/>
    <s v=""/>
    <s v=""/>
    <x v="212"/>
    <x v="159"/>
    <s v=""/>
    <s v=""/>
    <s v="Spanish"/>
    <s v="Article"/>
    <s v=""/>
    <s v=""/>
    <s v=""/>
    <s v=""/>
    <s v=""/>
    <x v="201"/>
    <x v="1"/>
    <s v="The global pandemic derived from Covid-19 affected cultural institutions since 2020 implied an adaptation by museums to the new social reality. The context favored fostering digital interactions to connect with the public and digital communication prospered towards dialogue with society during the confinement and the Spanish state of alarm. This article analyzes the digital strategies carried out by two Spanish museum: the Museo Nacional del Prado and the Museo Nacional Centro de Arte Reina Sofia in order to understand how the four essential functions outlined by UNESCO (research, preservation, education and communication) were implemented during the pandemic. The results indicated that the communicative actions were the most used together with the educational ones. Digital technologies focused on education had as their epicenter social networks and numerous initiatives that helped educommunicate Spanish heritage during the health crisis."/>
    <s v="[Alberto Longhi-Heredia, Sebastian; Liset Quezada-Tello, Laddy] Univ Huelva, Huelva, Spain; [Liset Quezada-Tello, Laddy] Inst Tecnol Super Ismael Perez Pazmino, Machala, Ecuador"/>
    <s v="Universidad de Huelva"/>
    <s v="Longhi-Heredia, SA (corresponding author), Univ Huelva, Huelva, Spain."/>
    <s v="slonghi7@yahoo.com.ar; laddy.quezada@gmail.com"/>
    <s v="wang, wjd/GSD-2051-2022"/>
    <s v=""/>
    <s v=""/>
    <s v=""/>
    <s v=""/>
    <s v=""/>
    <n v="53"/>
    <n v="0"/>
    <n v="0"/>
    <n v="1"/>
    <n v="7"/>
    <s v="UNIV NACIONAL PLATA, INST INVESTIGACIONES &amp; COMUNICACION-IICOM"/>
    <s v="BUENOS AIRES"/>
    <s v="FAC PERIODISMO &amp; COMUNICACION SOCIAL, AVE 44 NO 676, LA PLATA, BUENOS AIRES, 1900, ARGENTINA"/>
    <s v="1669-6581"/>
    <s v=""/>
    <s v=""/>
    <s v="QUESTION"/>
    <s v="Question"/>
    <s v="APR-JUN"/>
    <x v="1"/>
    <n v="3"/>
    <n v="71"/>
    <s v=""/>
    <s v=""/>
    <s v=""/>
    <s v=""/>
    <s v=""/>
    <s v=""/>
    <s v="e666"/>
    <s v="10.24215/16696581e666"/>
    <s v="http://dx.doi.org/10.24215/16696581e666"/>
    <s v=""/>
    <s v=""/>
    <n v="22"/>
    <x v="56"/>
    <x v="2"/>
    <s v="Communication"/>
    <s v="2X6TS"/>
    <s v=""/>
    <s v="Green Submitted, Green Published, gold"/>
    <s v=""/>
    <s v=""/>
    <s v="2023-11-15"/>
    <s v="WOS:000825334300002"/>
    <s v="View Full Record in Web of Science"/>
    <m/>
  </r>
  <r>
    <x v="215"/>
    <s v="J"/>
    <x v="213"/>
    <s v=""/>
    <s v=""/>
    <s v=""/>
    <s v="de Souza Fonseca, Diego Leonardo; Severo Fonseca, Maria Gabriella Flores"/>
    <s v=""/>
    <s v=""/>
    <x v="213"/>
    <x v="160"/>
    <s v=""/>
    <s v=""/>
    <s v="Portuguese"/>
    <s v="Article"/>
    <s v=""/>
    <s v=""/>
    <s v=""/>
    <s v=""/>
    <s v=""/>
    <x v="202"/>
    <x v="1"/>
    <s v="The study aims to analyze the digital positioning of some libraries in the social network TikTok, observing the use of this platform as an innovation strategy in services from the perspective of new trends in information consumption. This is a descriptive research of qualitative approach, whose study design was divided into two phases: bibliographic research (survey of research and experience reports on the theme) and survey of the profiles of libraries on the social network that use the platform. Five profiles were analyzed: Sierra Madre Public Library, Vancouver Public Library, Iowa Public Library, Dover Public Library, and Calgary Public Library. The research analysis process about the digital positioning of these spaces was carried out based on four aspects: marketing, engagement, interaction with users, and content production. It was observed that these libraries, by combining their professional character with the entertainment potential of the social network TikTok, developed a relationship of interaction and engagement with their users, which generated greater interest in their information services and products through digital marketing. They thus became innovative in their strategic digital positioning, following the new trends of information consumption by users."/>
    <s v="[de Souza Fonseca, Diego Leonardo] Univ Estadual Londrina, Londrina, Parana, Brazil; [Severo Fonseca, Maria Gabriella Flores] Univ Brasilia, Brasilia, DF, Brazil"/>
    <s v="Universidade Estadual de Londrina; Universidade de Brasilia"/>
    <s v="Fonseca, DLD (corresponding author), Univ Estadual Londrina, Londrina, Parana, Brazil."/>
    <s v="diego.leonardo@uel.br; gabriellafloress@hotmail.com"/>
    <s v=""/>
    <s v=""/>
    <s v=""/>
    <s v=""/>
    <s v=""/>
    <s v=""/>
    <n v="43"/>
    <n v="1"/>
    <n v="1"/>
    <n v="15"/>
    <n v="69"/>
    <s v="UNIV FEDERAL RIO GRANDE SUL, FAC BIBLIOTECONOMIA &amp; COMUNICACAO"/>
    <s v="PORTO ALEGRE"/>
    <s v="RUA RAMIRO BARCELOS, 2705, SALA 519, PORTO ALEGRE, RS 90040-060, BRAZIL"/>
    <s v="1807-8893"/>
    <s v="1808-5245"/>
    <s v=""/>
    <s v="EM QUESTAO"/>
    <s v="Em. Questao"/>
    <s v="APR-JUN"/>
    <x v="1"/>
    <n v="28"/>
    <n v="2"/>
    <s v=""/>
    <s v=""/>
    <s v=""/>
    <s v=""/>
    <n v="13"/>
    <n v="39"/>
    <s v="e-116231"/>
    <s v="10.19132/1808-5245282.116231"/>
    <s v="http://dx.doi.org/10.19132/1808-5245282.116231"/>
    <s v=""/>
    <s v=""/>
    <n v="27"/>
    <x v="66"/>
    <x v="2"/>
    <s v="Information Science &amp; Library Science"/>
    <s v="ZH5ZX"/>
    <s v=""/>
    <s v="gold"/>
    <s v=""/>
    <s v=""/>
    <s v="2023-11-15"/>
    <s v="WOS:000761017800008"/>
    <s v="View Full Record in Web of Science"/>
    <m/>
  </r>
  <r>
    <x v="216"/>
    <s v="J"/>
    <x v="214"/>
    <s v=""/>
    <s v=""/>
    <s v=""/>
    <s v="Hensel, Przemyslaw G."/>
    <s v=""/>
    <s v=""/>
    <x v="214"/>
    <x v="120"/>
    <s v=""/>
    <s v=""/>
    <s v="English"/>
    <s v="Article; Early Access"/>
    <s v=""/>
    <s v=""/>
    <s v=""/>
    <s v=""/>
    <s v=""/>
    <x v="203"/>
    <x v="174"/>
    <s v="Despite capitalizing on many new possibilities offered by the digital revolution, our research community still remains bound by the 17th-century technology of research results reporting. Our work can progress faster and achieve greater impact within and beyond academia if we replace the one-package manuscript form, born three hundred years ago, with a full package that takes advantage of everything digital technology has to offer. However, the switch from paper-bound to digitally enabled logic will not be easy as our thinking and practices have been formed by decades of honing skills that bring success in the current conventions."/>
    <s v="[Hensel, Przemyslaw G.] Univ Warsaw, Fac Management, 1-3 Szturmowa St, PL-02678 Warsaw, Poland"/>
    <s v="University of Warsaw"/>
    <s v="Hensel, PG (corresponding author), Univ Warsaw, Fac Management, 1-3 Szturmowa St, PL-02678 Warsaw, Poland."/>
    <s v="phensel@uw.edu.pl"/>
    <s v="Hensel, Przemysław/K-9234-2019"/>
    <s v="Hensel, Przemysław/0000-0002-2352-2317"/>
    <s v="National Science Centre, Poland [2018/31/B/HS4/00390]"/>
    <s v="National Science Centre, Poland(National Science Centre, Poland)"/>
    <s v="The author disclosed receipt of the following financial support for the research, authorship, and/or publication of this article: This work was supported by the National Science Centre, Poland under Grant 2018/31/B/HS4/00390."/>
    <s v=""/>
    <n v="38"/>
    <n v="0"/>
    <n v="0"/>
    <n v="1"/>
    <n v="10"/>
    <s v="SAGE PUBLICATIONS LTD"/>
    <s v="LONDON"/>
    <s v="1 OLIVERS YARD, 55 CITY ROAD, LONDON EC1Y 1SP, ENGLAND"/>
    <s v="1476-1270"/>
    <s v="1741-315X"/>
    <s v=""/>
    <s v="STRATEG ORGAN"/>
    <s v="Strateg. Organ."/>
    <s v="2022 APR 1"/>
    <x v="1"/>
    <s v=""/>
    <s v=""/>
    <s v=""/>
    <s v=""/>
    <s v=""/>
    <s v=""/>
    <s v=""/>
    <s v=""/>
    <n v="1.4761270211067162E+16"/>
    <s v="10.1177/14761270211067162"/>
    <s v="http://dx.doi.org/10.1177/14761270211067162"/>
    <s v=""/>
    <s v="APR 2022"/>
    <n v="12"/>
    <x v="6"/>
    <x v="1"/>
    <s v="Business &amp; Economics"/>
    <s v="0F9JV"/>
    <s v=""/>
    <s v="hybrid"/>
    <s v=""/>
    <s v=""/>
    <s v="2023-11-15"/>
    <s v="WOS:000777672700001"/>
    <s v="View Full Record in Web of Science"/>
    <m/>
  </r>
  <r>
    <x v="217"/>
    <s v="J"/>
    <x v="215"/>
    <s v=""/>
    <s v=""/>
    <s v=""/>
    <s v="Leiva, Juan J.; Alcala del Olmo, Ma Jose; Garcia Aguilera, Francisco J.; Santos Villalba, Ma Jesus"/>
    <s v=""/>
    <s v=""/>
    <x v="215"/>
    <x v="161"/>
    <s v=""/>
    <s v=""/>
    <s v="Spanish"/>
    <s v="Article"/>
    <s v=""/>
    <s v=""/>
    <s v=""/>
    <s v=""/>
    <s v=""/>
    <x v="204"/>
    <x v="1"/>
    <s v="Intercultural and inclusive education has become a priority for higher education professionals due to the presence of cultural diversity in educational spaces and the heterogeneity of the student body. The university of the 21st century must promote the implementation of pedagogical guidelines aimed at facilitating the acquisition of intercultural and digital competences, with the aim of empowering students through ICT, favouring their integral development and the autonomous construction of their identity. The aim of this study is to find out teachers' evaluations of the potential of ICT to favour the acquisition of intercultural competences in their students. The methodology is qualitative through focus groups in which 14 teachers from the University of Malaga (Spain) participated. The content analysis followed a deductive category development model. The results reveal that the participating teachers use digital tools as a means of acquiring knowledge rather than to promote cultural interaction. The main conclusions include the importance of improving lifelong learning, more in line with participatory, creative, and digital strategies in university classrooms."/>
    <s v="[Leiva, Juan J.; Alcala del Olmo, Ma Jose; Garcia Aguilera, Francisco J.; Santos Villalba, Ma Jesus] Univ Malaga, Malaga, Spain"/>
    <s v="Universidad de Malaga"/>
    <s v="Leiva, JJ (corresponding author), Univ Malaga, Malaga, Spain."/>
    <s v="juanleiva@uma.es; mjalcaladelolmo@uma.es; fjgarciaa@uma.es; mjsantos@ugr.es"/>
    <s v="Aguilera, Francisco José García/AAE-5361-2021; Santos-Villalba, María Jesús/AAE-7185-2021"/>
    <s v="Aguilera, Francisco José García/0000-0002-5764-7409; Santos-Villalba, María Jesús/0000-0001-6641-0916"/>
    <s v=""/>
    <s v=""/>
    <s v=""/>
    <s v=""/>
    <n v="26"/>
    <n v="1"/>
    <n v="3"/>
    <n v="3"/>
    <n v="11"/>
    <s v="UNIV AUTONOMA MADRID, FAC FORMACION PROFESORADO &amp; EDUCACION"/>
    <s v="MADRID"/>
    <s v="MODULO III, DESPACHO 302, CAMPUS CANTOBLANCO, MADRID, 28049, SPAIN"/>
    <s v="1696-4713"/>
    <s v=""/>
    <s v=""/>
    <s v="REICE-REV IBEROAM CA"/>
    <s v="REICE-Rev. Iberoam. Calid. Efic. Cambio Educ."/>
    <s v="APR"/>
    <x v="1"/>
    <n v="20"/>
    <n v="2"/>
    <s v=""/>
    <s v=""/>
    <s v=""/>
    <s v=""/>
    <n v="47"/>
    <n v="64"/>
    <s v=""/>
    <s v="10.15366/reice2022.20.2.003"/>
    <s v="http://dx.doi.org/10.15366/reice2022.20.2.003"/>
    <s v=""/>
    <s v=""/>
    <n v="18"/>
    <x v="39"/>
    <x v="2"/>
    <s v="Education &amp; Educational Research"/>
    <s v="1J4GD"/>
    <s v=""/>
    <s v="Green Submitted"/>
    <s v=""/>
    <s v=""/>
    <s v="2023-11-15"/>
    <s v="WOS:000797875600004"/>
    <s v="View Full Record in Web of Science"/>
    <m/>
  </r>
  <r>
    <x v="218"/>
    <s v="J"/>
    <x v="216"/>
    <s v=""/>
    <s v=""/>
    <s v=""/>
    <s v="Wernecke Fumagalli, Luis Andre; Rezende, Denis Alcides; Guimaraes, Thiago Andre"/>
    <s v=""/>
    <s v=""/>
    <x v="216"/>
    <x v="4"/>
    <s v=""/>
    <s v=""/>
    <s v="English"/>
    <s v="Article"/>
    <s v=""/>
    <s v=""/>
    <s v=""/>
    <s v=""/>
    <s v=""/>
    <x v="205"/>
    <x v="175"/>
    <s v="Transport infrastructure investments must be linked to the public transport demand strategically. User behavior and decision-making process bring several possible alternative transportation options due to a series of factors that define it. Municipalities must manage these factors to promote equal and sustainable transport solutions through urban infrastructure, public transport competitiveness, and attractiveness, and fossil fuels use and pricing policy. The research objective is to determine these factors to monitor and use them for citizens' benefit by means of analytical tools and methods to gain a superior knowledge of reality with a focus on improving investments and services in an agile and efficient manner. Methodologically, the number of passengers of main Curitiba's (Brazil) bus rapid transit (BRT) lines is operated in two linear regression models combined with the number of private vehicles, public transport fare, and fuel price for the period between January/2010 and December/2019. Research analysis indicates direct causal relationships between the studied factors and that the necessary data for decision-making is available in the government information systems. In conclusion, urban management and strategic digital city project can be more balanced and assertive in transport infrastructure investments and citizen services provision."/>
    <s v="[Wernecke Fumagalli, Luis Andre; Rezende, Denis Alcides] Pontificia Univ Catolica Parana PUCPR, Strateg Digital City Res Grp CNPq, Masters &amp; Doctoral Program Urban Management, BR-80215901 Curitiba, Parana, Brazil; [Wernecke Fumagalli, Luis Andre] FAE Business Sch FAE, MBA Dept, BR-80010100 Curitiba, Parana, Brazil; [Guimaraes, Thiago Andre] Fed Univ Parana UFPR, Business Sch, BR-80210170 Curitiba, Parana, Brazil; [Guimaraes, Thiago Andre] Fed Inst Sci &amp; Technol Parana IFPR, Tech &amp; Technol Educ Dept, BR-80230150 Curitiba, Parana, Brazil"/>
    <s v="Pontificia Universidade Catolica do Parana; Universidade Federal do Parana"/>
    <s v="Rezende, DA (corresponding author), Pontificia Univ Catolica Parana PUCPR, Strateg Digital City Res Grp CNPq, Masters &amp; Doctoral Program Urban Management, BR-80215901 Curitiba, Parana, Brazil."/>
    <s v="luis.fumagalli@fae.edu; denis.rezende@pucpr.br; thiagoandre@ufpr.br"/>
    <s v="Guimaraes, Thiago Andre/JCN-8842-2023; Fumagalli, Luis Andre Wernecke/C-7061-2013"/>
    <s v="Rezende, Denis Alcides/0000-0002-3327-0424; Guimaraes, Thiago Andre/0000-0003-2483-976X; Fumagalli, Luis Andre Wernecke/0000-0002-1406-5230"/>
    <s v=""/>
    <s v=""/>
    <s v=""/>
    <s v=""/>
    <n v="43"/>
    <n v="2"/>
    <n v="2"/>
    <n v="8"/>
    <n v="15"/>
    <s v="MDPI"/>
    <s v="BASEL"/>
    <s v="ST ALBAN-ANLAGE 66, CH-4052 BASEL, SWITZERLAND"/>
    <s v=""/>
    <s v="2071-1050"/>
    <s v=""/>
    <s v="SUSTAINABILITY-BASEL"/>
    <s v="Sustainability"/>
    <s v="APR"/>
    <x v="1"/>
    <n v="14"/>
    <n v="8"/>
    <s v=""/>
    <s v=""/>
    <s v=""/>
    <s v=""/>
    <s v=""/>
    <s v=""/>
    <n v="4683"/>
    <s v="10.3390/su14084683"/>
    <s v="http://dx.doi.org/10.3390/su14084683"/>
    <s v=""/>
    <s v=""/>
    <n v="16"/>
    <x v="4"/>
    <x v="3"/>
    <s v="Science &amp; Technology - Other Topics; Environmental Sciences &amp; Ecology"/>
    <s v="0T4KT"/>
    <s v=""/>
    <s v="gold"/>
    <s v=""/>
    <s v=""/>
    <s v="2023-11-15"/>
    <s v="WOS:000786938000001"/>
    <s v="View Full Record in Web of Science"/>
    <m/>
  </r>
  <r>
    <x v="219"/>
    <s v="J"/>
    <x v="217"/>
    <s v=""/>
    <s v=""/>
    <s v=""/>
    <s v="Xie, Xuemei; Han, Yuhang; Anderson, Alistair; Ribeiro-Navarrete, Samuel"/>
    <s v=""/>
    <s v=""/>
    <x v="217"/>
    <x v="162"/>
    <s v=""/>
    <s v=""/>
    <s v="English"/>
    <s v="Article"/>
    <s v=""/>
    <s v=""/>
    <s v=""/>
    <s v=""/>
    <s v=""/>
    <x v="206"/>
    <x v="176"/>
    <s v="In our digital era, many small and medium-sized enterprises (SMEs) face the challenge of relying on digital platforms to enhance their business model innovation. Prior research on this subject has mainly focused on the interaction between SMEs and their partners through their use of digital platforms. Meanwhile, how SMEs reconfigure their capabilities to promote business model innovation by adopting digital platforms has remained an under-researched area. To address this gap, we establish a conceptual framework to explain how digital platforms affect SMEs' business model innovation through capability reconfiguration, and we then test this conceptual framework empirically by using a sample of 325 manufacturing SMEs in China. We find that digital platforms positively affect both business model innovation and the capability reconfiguration of SMEs. We also find that both evolutionary capability reconfiguration and substitutional capability reconfiguration mediate the relationship between digital platforms and SMEs' business model innovation. These findings contribute theoretically to the research on digital platforms and SMEs while also providing important managerial implications for policymakers and SMEs to help firms implement digital strategies."/>
    <s v="[Xie, Xuemei; Han, Yuhang] Tongji Univ, Sch Econ &amp; Management, Shanghai 200092, Peoples R China; [Anderson, Alistair] Lancaster Univ Management Sch, Lancaster, England; [Ribeiro-Navarrete, Samuel] ES Business &amp; Mkt Sch, Madrid, Spain"/>
    <s v="Tongji University"/>
    <s v="Han, YH (corresponding author), Tongji Univ, Sch Econ &amp; Management, Shanghai 200092, Peoples R China."/>
    <s v="hanyuhang@tongji.edu.cn"/>
    <s v="Ribeiro-Navarrete, Samuel/GXW-2229-2022; Xie, X.M./ABQ-6831-2022; Han, Yuhang/HGB-0213-2022; Ribeiro-Navarrete, Samuel/CAG-7783-2022"/>
    <s v="HAN, Yuhang/0000-0002-7688-619X; Ribeiro-Navarrete, Samuel/0000-0003-1046-5322"/>
    <s v="National Natural Science Foundation of China [71922016, 71772118]; Major Project of National Social Science Fund of China [20ZD059]; Fundamental Research Funds for the Central Universities [22120220119]"/>
    <s v="National Natural Science Foundation of China(National Natural Science Foundation of China (NSFC)); Major Project of National Social Science Fund of China; Fundamental Research Funds for the Central Universities(Fundamental Research Funds for the Central Universities)"/>
    <s v="This research was supported by the National Natural Science Foundation of China (Grant number: 71922016; 71772118) , Major Project of National Social Science Fund of China (Grant number: 20&amp;ZD059) , and the Fundamental Research Funds for the Central Universities (Grant number: 22120220119) ."/>
    <s v=""/>
    <n v="107"/>
    <n v="38"/>
    <n v="38"/>
    <n v="187"/>
    <n v="605"/>
    <s v="ELSEVIER SCI LTD"/>
    <s v="OXFORD"/>
    <s v="THE BOULEVARD, LANGFORD LANE, KIDLINGTON, OXFORD OX5 1GB, OXON, ENGLAND"/>
    <s v="0268-4012"/>
    <s v="1873-4707"/>
    <s v=""/>
    <s v="INT J INFORM MANAGE"/>
    <s v="Int. J. Inf. Manage."/>
    <s v="AUG"/>
    <x v="1"/>
    <n v="65"/>
    <s v=""/>
    <s v=""/>
    <s v=""/>
    <s v=""/>
    <s v=""/>
    <s v=""/>
    <s v=""/>
    <n v="102513"/>
    <s v="10.1016/j.ijinfomgt.2022.102513"/>
    <s v="http://dx.doi.org/10.1016/j.ijinfomgt.2022.102513"/>
    <s v=""/>
    <s v="MAR 2022"/>
    <n v="13"/>
    <x v="66"/>
    <x v="1"/>
    <s v="Information Science &amp; Library Science"/>
    <s v="0Z7YM"/>
    <s v=""/>
    <s v=""/>
    <s v=""/>
    <s v=""/>
    <s v="2023-11-15"/>
    <s v="WOS:000791289200008"/>
    <s v="View Full Record in Web of Science"/>
    <m/>
  </r>
  <r>
    <x v="220"/>
    <s v="J"/>
    <x v="218"/>
    <s v=""/>
    <s v=""/>
    <s v=""/>
    <s v="Yu, Honglan; Fletcher, Margaret; Buck, Trevor"/>
    <s v=""/>
    <s v=""/>
    <x v="218"/>
    <x v="163"/>
    <s v=""/>
    <s v=""/>
    <s v="English"/>
    <s v="Article"/>
    <s v=""/>
    <s v=""/>
    <s v=""/>
    <s v=""/>
    <s v=""/>
    <x v="207"/>
    <x v="177"/>
    <s v="This paper contributes to our theoretical understanding of how SMEs digitally transform during re-internationalization. We conducted qualitative, multiple-case studies into reinternationalization processes across 11 Chinese international SMEs. Using inductive data analysis, we identify two types of digital transformation, operational and strategic, and trajectories during re-internationalization. The complexity of digital transformation in re-internationalization is delineated by the intricate tensions between strategic digital transformation and new product development. Firm re-internationalization performance can plausibly be differentiated by how these tensions are managed."/>
    <s v="[Yu, Honglan] Univ Huddersfield, Huddersfield Business Sch, Huddersfield HD1 3DH, W Yorkshire, England; [Fletcher, Margaret; Buck, Trevor] Univ Glasgow, Adam Smith Business Sch, Gilbert Scott Bldg, Glasgow G12 8QQ, Lanark, Scotland"/>
    <s v="University of Huddersfield; University of Glasgow"/>
    <s v="Yu, HL (corresponding author), Univ Huddersfield, Huddersfield Business Sch, Huddersfield HD1 3DH, W Yorkshire, England."/>
    <s v="H.Yu2@hud.ac.uk; Margaret.Fletcher@glasgow.ac.uk; Trevor.Buck@glasgow.ac.uk"/>
    <s v="Fletcher, Margaret/HNQ-5888-2023; N'Dri, Amoin Bernadine/IWD-7811-2023"/>
    <s v="Yu, Honglan/0000-0002-1492-4250"/>
    <s v=""/>
    <s v=""/>
    <s v=""/>
    <s v=""/>
    <n v="132"/>
    <n v="17"/>
    <n v="17"/>
    <n v="29"/>
    <n v="152"/>
    <s v="ELSEVIER"/>
    <s v="AMSTERDAM"/>
    <s v="RADARWEG 29, 1043 NX AMSTERDAM, NETHERLANDS"/>
    <s v="1075-4253"/>
    <s v="1873-0620"/>
    <s v=""/>
    <s v="J INT MANAG"/>
    <s v="J. Int. Manag."/>
    <s v="DEC"/>
    <x v="1"/>
    <n v="28"/>
    <n v="4"/>
    <s v=""/>
    <s v=""/>
    <s v=""/>
    <s v=""/>
    <s v=""/>
    <s v=""/>
    <n v="100947"/>
    <s v="10.1016/j.intman.2022.100947"/>
    <s v="http://dx.doi.org/10.1016/j.intman.2022.100947"/>
    <s v=""/>
    <s v="MAR 2022"/>
    <n v="22"/>
    <x v="8"/>
    <x v="1"/>
    <s v="Business &amp; Economics"/>
    <s v="1C4UL"/>
    <s v=""/>
    <s v="hybrid, Green Accepted"/>
    <s v=""/>
    <s v=""/>
    <s v="2023-11-15"/>
    <s v="WOS:000793116100001"/>
    <s v="View Full Record in Web of Science"/>
    <m/>
  </r>
  <r>
    <x v="221"/>
    <s v="J"/>
    <x v="219"/>
    <s v=""/>
    <s v=""/>
    <s v=""/>
    <s v="AlNuaimi, Bader K.; Singh, Sanjay Kumar; Ren, Shuang; Budhwar, Pawan; Vorobyev, Dmitriy"/>
    <s v=""/>
    <s v=""/>
    <x v="219"/>
    <x v="138"/>
    <s v=""/>
    <s v=""/>
    <s v="English"/>
    <s v="Article"/>
    <s v=""/>
    <s v=""/>
    <s v=""/>
    <s v=""/>
    <s v=""/>
    <x v="208"/>
    <x v="178"/>
    <s v="Drawing upon new institutional theory, we developed and tested a model on how digital transformational leadership and organizational agility influence digital transformation with digital strategy as a moderator. We found that digital transformational leadership and organizational agility positively influence digital transformation, and digital transformational leadership influences organizational agility. The finding of our study also indicates organizational agility to mediate the relationship between digital transformational leadership and digital transformation. Our findings offer an advanced understanding of the impact of transformational leadership and organizational agility on digital transformation and the role of digital strategy. Our study's findings address critical questions about how leadership style and promoting organizational agility in the public sector can enhance digital transformation."/>
    <s v="[AlNuaimi, Bader K.] Abu Dhabi Univ, Coll Business, Abu Dhabi, U Arab Emirates; [Singh, Sanjay Kumar] Maynooth Univ, Sch Business, Maynooth, Ireland; [Ren, Shuang] Deakin Business Sch, Melbourne, Australia; [Budhwar, Pawan] Aston Business Sch, Birmingham, England; [Vorobyev, Dmitriy] PRIGO Univ, Havirov, Czech Republic"/>
    <s v="Abu Dhabi University; Deakin University; Aston University; PRIGO University"/>
    <s v="Singh, SK (corresponding author), Maynooth Univ, Sch Business, Maynooth, Ireland."/>
    <s v="1063826@students.adu.ac.ae; sanjay.singh@mu.ie; shuang.ren@deakin.edu.au; p.s.budhwar@aston.ac.uk; dmitriy.vorobyev@prigo.cz"/>
    <s v="SINGH, SANJAY KUMAR/M-8813-2013; Singh, Srishti/JCO-3741-2023; Singh, Sanjay Prithviraj/IQV-1492-2023; Vorobyev, Dmitriy/A-6975-2018"/>
    <s v="SINGH, SANJAY KUMAR/0000-0001-7651-5009; Singh, Sanjay Prithviraj/0000-0001-5043-8762; Vorobyev, Dmitriy/0000-0002-2230-182X; Ren, Shuang/0000-0002-8768-8447"/>
    <s v=""/>
    <s v=""/>
    <s v=""/>
    <s v=""/>
    <n v="157"/>
    <n v="70"/>
    <n v="71"/>
    <n v="692"/>
    <n v="1522"/>
    <s v="ELSEVIER SCIENCE INC"/>
    <s v="NEW YORK"/>
    <s v="STE 800, 230 PARK AVE, NEW YORK, NY 10169 USA"/>
    <s v="0148-2963"/>
    <s v="1873-7978"/>
    <s v=""/>
    <s v="J BUS RES"/>
    <s v="J. Bus. Res."/>
    <s v="JUN"/>
    <x v="1"/>
    <n v="145"/>
    <s v=""/>
    <s v=""/>
    <s v=""/>
    <s v=""/>
    <s v=""/>
    <n v="636"/>
    <n v="648"/>
    <s v=""/>
    <s v="10.1016/j.jbusres.2022.03.038"/>
    <s v="http://dx.doi.org/10.1016/j.jbusres.2022.03.038"/>
    <s v=""/>
    <s v="MAR 2022"/>
    <n v="13"/>
    <x v="33"/>
    <x v="1"/>
    <s v="Business &amp; Economics"/>
    <s v="1L3NN"/>
    <s v=""/>
    <s v="hybrid, Green Published"/>
    <s v=""/>
    <s v=""/>
    <s v="2023-11-15"/>
    <s v="WOS:000799198500009"/>
    <s v="View Full Record in Web of Science"/>
    <m/>
  </r>
  <r>
    <x v="222"/>
    <s v="J"/>
    <x v="220"/>
    <s v=""/>
    <s v=""/>
    <s v=""/>
    <s v="Ding, Difeng; Zhang, Ruilian"/>
    <s v=""/>
    <s v=""/>
    <x v="220"/>
    <x v="59"/>
    <s v=""/>
    <s v=""/>
    <s v="English"/>
    <s v="Article"/>
    <s v=""/>
    <s v=""/>
    <s v=""/>
    <s v=""/>
    <s v=""/>
    <x v="209"/>
    <x v="17"/>
    <s v="Public health crises are challenging for governments and health systems, and coronavirus disease 2019 (COVID-19) has presented huge challenges to humans worldwide. In the context of COVID-19 in China, we explore China's control strategies and challenges. Our analysis examines seven strategies: digital technology pandemic prevention, zero-case policy, all-staff nucleic acid testing, all-staff vaccinations, the long-term quarantine system, and the official accountability system. Additionally, it considers three challenges: repeated pandemic waves, increased downward pressure on the economy and social exhaustion. We identify the causes of these challenges, including social and natural factors, and the controls put in place. We contend that China's control strategies slowed the spread of the global pandemic and that Chinese vaccines have promoted global vaccine equity."/>
    <s v="[Ding, Difeng] Hohai Univ, Sch Marxism, Nanjing, Peoples R China; [Zhang, Ruilian] Univ Queensland, Sustainable Minerals Inst, Brisbane, Qld, Australia"/>
    <s v="Hohai University; University of Queensland"/>
    <s v="Zhang, RL (corresponding author), Univ Queensland, Sustainable Minerals Inst, Brisbane, Qld, Australia."/>
    <s v="ruilian.zhang@uq.edu.au"/>
    <s v="Zhang, Ruilian/N-4087-2017"/>
    <s v="Zhang, Ruilian/0000-0001-5064-1226"/>
    <s v=""/>
    <s v=""/>
    <s v=""/>
    <s v=""/>
    <n v="45"/>
    <n v="17"/>
    <n v="18"/>
    <n v="6"/>
    <n v="49"/>
    <s v="FRONTIERS MEDIA SA"/>
    <s v="LAUSANNE"/>
    <s v="AVENUE DU TRIBUNAL FEDERAL 34, LAUSANNE, CH-1015, SWITZERLAND"/>
    <s v=""/>
    <s v="2296-2565"/>
    <s v=""/>
    <s v="FRONT PUBLIC HEALTH"/>
    <s v="Front. Public Health"/>
    <s v="MAR 14"/>
    <x v="1"/>
    <n v="10"/>
    <s v=""/>
    <s v=""/>
    <s v=""/>
    <s v=""/>
    <s v=""/>
    <s v=""/>
    <s v=""/>
    <n v="857003"/>
    <s v="10.3389/fpubh.2022.857003"/>
    <s v="http://dx.doi.org/10.3389/fpubh.2022.857003"/>
    <s v=""/>
    <s v=""/>
    <n v="10"/>
    <x v="44"/>
    <x v="3"/>
    <s v="Public, Environmental &amp; Occupational Health"/>
    <s v="0H1RG"/>
    <n v="35359767"/>
    <s v="gold, Green Published"/>
    <s v=""/>
    <s v=""/>
    <s v="2023-11-15"/>
    <s v="WOS:000778515400001"/>
    <s v="View Full Record in Web of Science"/>
    <m/>
  </r>
  <r>
    <x v="223"/>
    <s v="J"/>
    <x v="221"/>
    <s v=""/>
    <s v=""/>
    <s v=""/>
    <s v="Almeida, Sofia; Ramires, Ana; Marinho, Joao"/>
    <s v=""/>
    <s v=""/>
    <x v="221"/>
    <x v="164"/>
    <s v=""/>
    <s v=""/>
    <s v="English"/>
    <s v="Article"/>
    <s v=""/>
    <s v=""/>
    <s v=""/>
    <s v=""/>
    <s v=""/>
    <x v="210"/>
    <x v="179"/>
    <s v="One of the ways hoteliers can gain a competitive advantage is by increasing their digital footprint, which includes a hashtag strategy. In fact, hashtags have become an integral part of social networks, but are often not properly implemented in the hotel sector. The purpose of this study is to explore the importance of hashtags as an effective tool for a hotel's online marketing strategy, with a particular focus on Instagram. The objective of this research is to provide an in-depth analysis of the hotel chains' Instagram accounts with the most followers in Portugal and Spain. To such end, ten hotel chains were analyzed in both countries. Desk research was carried out to identify the sample and to consider metrics such as: number of mentions, hashtag reach, likes, comments and followers. The hotel with the most Instagram mentions is the Ushuaia Beach Hotel in Spain and the Six Senses Douro Valley in Portugal. By means of this last example, results showed that the average of likes, and comments increased significantly with the use of hashtags. Therefore, it is possible to ascertain that the use of hashtags increases the engagement of followers with the hotel brand."/>
    <s v="[Almeida, Sofia] Univ Lisbon, Univ Europeia &amp; Ceg Igot, Fac Social Sci &amp; Technol, Lisbon, Portugal; [Ramires, Ana; Marinho, Joao] Univ Europeia, Fac Social Sci &amp; Technol, Lisbon, Portugal"/>
    <s v="Universidade de Lisboa; Universidade Europeia"/>
    <s v="Almeida, S (corresponding author), Univ Lisbon, Univ Europeia &amp; Ceg Igot, Fac Social Sci &amp; Technol, Lisbon, Portugal."/>
    <s v="salmeida@universidadeeuropeia.pt"/>
    <s v="Almeida, Sofia/HHC-1576-2022; Ramires, Ana/AAL-9851-2021"/>
    <s v="Almeida, Sofia/0000-0003-4561-6776; Ramires, Ana/0000-0002-3028-0563"/>
    <s v=""/>
    <s v=""/>
    <s v=""/>
    <s v=""/>
    <n v="48"/>
    <n v="1"/>
    <n v="1"/>
    <n v="1"/>
    <n v="6"/>
    <s v="ROUTLEDGE JOURNALS, TAYLOR &amp; FRANCIS LTD"/>
    <s v="ABINGDON"/>
    <s v="2-4 PARK SQUARE, MILTON PARK, ABINGDON OX14 4RN, OXON, ENGLAND"/>
    <s v="1528-008X"/>
    <s v="1528-0098"/>
    <s v=""/>
    <s v="J QUAL ASSUR HOSP TO"/>
    <s v="J. Qual. Assur. Hosp. Tour."/>
    <s v="MAY 4"/>
    <x v="0"/>
    <n v="24"/>
    <n v="3"/>
    <s v=""/>
    <s v=""/>
    <s v=""/>
    <s v=""/>
    <n v="311"/>
    <n v="329"/>
    <s v=""/>
    <s v="10.1080/1528008X.2022.2050876"/>
    <s v="http://dx.doi.org/10.1080/1528008X.2022.2050876"/>
    <s v=""/>
    <s v="MAR 2022"/>
    <n v="19"/>
    <x v="88"/>
    <x v="2"/>
    <s v="Social Sciences - Other Topics"/>
    <s v="E1TP7"/>
    <s v=""/>
    <s v=""/>
    <s v=""/>
    <s v=""/>
    <s v="2023-11-15"/>
    <s v="WOS:000767649100001"/>
    <s v="View Full Record in Web of Science"/>
    <m/>
  </r>
  <r>
    <x v="224"/>
    <s v="J"/>
    <x v="222"/>
    <s v=""/>
    <s v=""/>
    <s v=""/>
    <s v="Lane, Julie; Cote, Louis-Philippe; Gaudreault, Jerome; Massicotte, Luc; Manceau, Luiza Maria; Labelle, Real; Bardon, Cecile; Bazinet, Jeanne; Rassy, Jessica; Rembert, Melanie"/>
    <s v=""/>
    <s v=""/>
    <x v="222"/>
    <x v="165"/>
    <s v=""/>
    <s v=""/>
    <s v="French"/>
    <s v="Article"/>
    <s v=""/>
    <s v=""/>
    <s v=""/>
    <s v=""/>
    <s v=""/>
    <x v="211"/>
    <x v="180"/>
    <s v="In Quebec, nearly 3 persons still take their own lives every day, even though this number has been declining since 2000. Several institutional and community actors are involved in suicide prevention and several initiatives have contributed to the reduction of suicide rates. Despite this hard work, additional efforts are needed to intensify service offers and resource access to better reach people at risk of suicide not reached by actual services. For many years, several countries have been implementing digital technologies to reach them. In Quebec, there were delays in adoption of digital technologies for suicide prevention. In this context, the Health and Social services Ministry mandated Association quebecoise de prevention du suicide (AQPS) to develop a Digital Strategy for Suicide Prevention (DSPS). From the beginning, AQPS wanted to anchor DSPS's development in a decision-making process based on scientific, contextual and experiential evidence. A process, derived from implementation science, was therefore put in place to actualize this intent. Implementation science is defined as the science of implementing programs in real-world settings. It is recognized as contributing to the successful implementation of new programs while promoting a rigorous evaluation of their impacts and outcomes. Objectives This article aims to: 1) present the process that was put in place to facilitate DSPS design, implementation, and evaluation; and 2) describe the DSPS action model and the DSPS. Method The Knowledge to Action (KTA) framework is central to the design, implementation, and evaluation of DSPS. This framework proposes a cyclical process in 7 iterative phases, each with its own methodological aspects and data collections Results The results section illustrates the concrete actions taken at each phase of the KTA process and the highlights that emerge from the analysis of the data collected. This section also presents the DSPS. Conclusion Optimal conditions to promote the implementation of DSPS, its use and its sustainability have been put in place. The current implementation and evaluation of this implementation and its impacts will allow to assess the capacity of DSPS to achieve its main objectives: to provide information about suicide, to identify suicidal individuals, to increase the visibility of resources, and to offer help to suicidal individuals who respond less to traditional resources."/>
    <s v="[Lane, Julie] Univ Sherbrooke, Dept Etud Adaptat Scolaire &amp; Sociale, Sherbrooke, PQ, Canada; [Lane, Julie] Univ Sherbrooke, Ctr RBC Expertise Univ Sante Mentale, Sherbrooke, PQ, Canada; [Cote, Louis-Philippe; Labelle, Real; Bardon, Cecile] Univ Quebec Montreal, Dept Psychol, Montreal, PQ, Canada; [Gaudreault, Jerome; Massicotte, Luc; Rembert, Melanie] Assoc Quebecoise Prevent Suicide, Quebec City, PQ, Canada; [Manceau, Luiza Maria] Univ Sherbrooke, Sherbrooke, PQ, Canada; [Labelle, Real] Univ Quebec Montreal, Ctr Serv Psychol, Montreal, PQ, Canada; [Bazinet, Jeanne] CIUSSS Estrie CHUS, Inst Univ Premiere Ligne Sante &amp; Serv Sociaux, Montreal, PQ, Canada; [Rassy, Jessica] Univ Sherbrooke, Ecole Sci Infirmieres, Sherbrooke, PQ, Canada"/>
    <s v="University of Sherbrooke; University of Sherbrooke; University of Quebec; University of Quebec Montreal; University of Sherbrooke; University of Quebec; University of Quebec Montreal; University of Sherbrooke"/>
    <s v="Lane, J (corresponding author), Univ Sherbrooke, Dept Etud Adaptat Scolaire &amp; Sociale, Sherbrooke, PQ, Canada.;Lane, J (corresponding author), Univ Sherbrooke, Ctr RBC Expertise Univ Sante Mentale, Sherbrooke, PQ, Canada."/>
    <s v=""/>
    <s v=""/>
    <s v=""/>
    <s v=""/>
    <s v=""/>
    <s v=""/>
    <s v=""/>
    <n v="23"/>
    <n v="0"/>
    <n v="0"/>
    <n v="0"/>
    <n v="0"/>
    <s v="REVUE SANTE MENTALE QUEBEC"/>
    <s v="MONTREAL"/>
    <s v="C P 60194, MONTREAL, QC H2J 4E1, CANADA"/>
    <s v="0383-6320"/>
    <s v="1708-3923"/>
    <s v=""/>
    <s v="SANTE MENT QUE"/>
    <s v="Sant. Ment. Que."/>
    <s v="SPR"/>
    <x v="1"/>
    <n v="47"/>
    <n v="1"/>
    <s v=""/>
    <s v=""/>
    <s v=""/>
    <s v=""/>
    <n v="333"/>
    <n v="356"/>
    <s v=""/>
    <s v=""/>
    <s v=""/>
    <s v=""/>
    <s v=""/>
    <n v="24"/>
    <x v="82"/>
    <x v="2"/>
    <s v="Psychiatry"/>
    <s v="7K7YQ"/>
    <n v="36548805"/>
    <s v=""/>
    <s v=""/>
    <s v=""/>
    <s v="2023-11-15"/>
    <s v="WOS:000905494300017"/>
    <s v="View Full Record in Web of Science"/>
    <m/>
  </r>
  <r>
    <x v="225"/>
    <s v="J"/>
    <x v="223"/>
    <s v=""/>
    <s v=""/>
    <s v=""/>
    <s v="Rundel, Christina; Salemink, Koen"/>
    <s v=""/>
    <s v=""/>
    <x v="223"/>
    <x v="166"/>
    <s v=""/>
    <s v=""/>
    <s v="English"/>
    <s v="Article"/>
    <s v=""/>
    <s v=""/>
    <s v=""/>
    <s v=""/>
    <s v=""/>
    <x v="212"/>
    <x v="181"/>
    <s v="The transition to a digitally inclusive and knowledge-based rural society can be challenging. Digital hubs are often proposed as a way of overcoming digital exclusion in rural and small-town contexts, yet studies into how to set up such a hub in these challenging contexts are scarce. While hubs are usually associated with an urban environment, this case study deals with the development of a rural digital hub over several years in a small town in East Groningen (NL). In the context of an Interreg project, observations during project meetings, in-depth interviews and document analysis were conducted to closely monitor the hub's development process. Initially, the hub initiators aimed at stimulating business activities and innovation linked to digital technologies. Thereby, an originally urban digital hub concept was copied into a rural context without a rural translation. Along the way, they were forced to adapt and scale down the scope of the project while at the same time, a broader target group had to be formulated. Moreover, the municipality lacked an overarching digital strategy, which compromised demand aggregation and supply synchronisation - two essential ingredients for rural digital hubs."/>
    <s v="[Rundel, Christina; Salemink, Koen] Univ Groningen, Dept Cultural Geog, POB 800, NL-9700 AV Groningen, Netherlands"/>
    <s v="University of Groningen"/>
    <s v="Rundel, C (corresponding author), Univ Groningen, Dept Cultural Geog, POB 800, NL-9700 AV Groningen, Netherlands."/>
    <s v="c.t.rundel@rug.nl"/>
    <s v=""/>
    <s v="Salemink, Koen/0000-0002-9331-7343; Rundel, Christina/0000-0002-3687-9198"/>
    <s v="EU Interreg VB North Sea Region Programme (CORA project); EU Interreg VB North Sea Region Programme (COM3 project)"/>
    <s v="EU Interreg VB North Sea Region Programme (CORA project)(Interreg Europe); EU Interreg VB North Sea Region Programme (COM3 project)(Interreg Europe)"/>
    <s v="The author(s) disclosed receipt of the following financial support for the research, authorship, and/or publication of this article: This research would not have been possible without the funding we received from the EU Interreg VB North Sea Region Programme (CORA and COM3 project)."/>
    <s v=""/>
    <n v="49"/>
    <n v="5"/>
    <n v="5"/>
    <n v="0"/>
    <n v="7"/>
    <s v="SAGE PUBLICATIONS LTD"/>
    <s v="LONDON"/>
    <s v="1 OLIVERS YARD, 55 CITY ROAD, LONDON EC1Y 1SP, ENGLAND"/>
    <s v="0269-0942"/>
    <s v="1470-9325"/>
    <s v=""/>
    <s v="LOCAL ECON"/>
    <s v="Local Econ."/>
    <s v="NOV"/>
    <x v="2"/>
    <n v="36"/>
    <s v="7-8"/>
    <s v=""/>
    <s v=""/>
    <s v="SI"/>
    <s v=""/>
    <n v="650"/>
    <n v="668"/>
    <n v="2690942221077120"/>
    <s v="10.1177/02690942221077120"/>
    <s v="http://dx.doi.org/10.1177/02690942221077120"/>
    <s v=""/>
    <s v="FEB 2022"/>
    <n v="19"/>
    <x v="15"/>
    <x v="2"/>
    <s v="Business &amp; Economics"/>
    <s v="1N7XQ"/>
    <s v=""/>
    <s v="Green Published, hybrid"/>
    <s v=""/>
    <s v=""/>
    <s v="2023-11-15"/>
    <s v="WOS:000759655500001"/>
    <s v="View Full Record in Web of Science"/>
    <m/>
  </r>
  <r>
    <x v="226"/>
    <s v="J"/>
    <x v="224"/>
    <s v=""/>
    <s v=""/>
    <s v=""/>
    <s v="Jain, Bhav; Bajaj, Simar S.; Stanford, Fatima Cody"/>
    <s v=""/>
    <s v=""/>
    <x v="224"/>
    <x v="167"/>
    <s v=""/>
    <s v=""/>
    <s v="English"/>
    <s v="Article"/>
    <s v=""/>
    <s v=""/>
    <s v=""/>
    <s v=""/>
    <s v=""/>
    <x v="213"/>
    <x v="1"/>
    <s v="During the COVID-19 pandemic, digital strategies and decentralized approaches allowed for the continuation of weight loss clinical trials despite in-person engagement coming to a halt. In particular, trials leveraged remote mediums to measure data in real-time across a broad array of metrics while testing novel strategies to streamline patient care. Such approaches may address longstanding challenges with traditional trials, including attrition and underrepresentation of racial and ethnic minorities. Ultimately, emerging data from trials utilizing both digital and in-person strategies may indicate the promise of a hybrid approach in incorporating a robust virtual component for continuous patient monitoring and an in-person component for patient adherence and data standardization. In this commentary, we provide an overview of the most innovative digital approaches in clinical trials of weight loss during the COVID-19 era, as well as identify opportunities and challenges for these modes of research going forward."/>
    <s v="[Jain, Bhav] MIT, 77 Massachusetts Ave, Cambridge, MA 02139 USA; [Bajaj, Simar S.] Harvard Univ, Cambridge, MA 02138 USA; [Stanford, Fatima Cody] Massachusetts Gen Hosp, Dept Med, Neuroendocrine Unit, Boston, MA USA; [Stanford, Fatima Cody] Harvard Med Sch, Boston, MA 02115 USA; [Stanford, Fatima Cody] Nutr Obes Res Ctr Harvard NORCH, Dept Pediat, Div Endocrinol, 50 Staniford St, Boston, MA 02114 USA"/>
    <s v="Massachusetts Institute of Technology (MIT); Harvard University; Harvard University; Massachusetts General Hospital; Harvard University; Harvard Medical School"/>
    <s v="Stanford, FC (corresponding author), Weight Ctr, 4th Floor,50 Staniford St, Boston, MA 02114 USA."/>
    <s v="fstanford@mgh.harvard.edu"/>
    <s v="Stanford, Fatima Cody/H-3953-2019; Jain, Bhav/HLW-2803-2023"/>
    <s v="Stanford, Fatima Cody/0000-0003-4616-533X; Jain, Bhav/0000-0003-2648-4894; Bajaj, Simar/0000-0002-8498-9674"/>
    <s v="NIH NIDDK [P30 DK040561]"/>
    <s v="NIH NIDDK(United States Department of Health &amp; Human ServicesNational Institutes of Health (NIH) - USANIH National Institute of Diabetes &amp; Digestive &amp; Kidney Diseases (NIDDK))"/>
    <s v="NIH NIDDK P30 DK040561 (FCS)."/>
    <s v=""/>
    <n v="24"/>
    <n v="1"/>
    <n v="1"/>
    <n v="1"/>
    <n v="4"/>
    <s v="ELSEVIER SCIENCE INC"/>
    <s v="NEW YORK"/>
    <s v="STE 800, 230 PARK AVE, NEW YORK, NY 10169 USA"/>
    <s v="1551-7144"/>
    <s v="1559-2030"/>
    <s v=""/>
    <s v="CONTEMP CLIN TRIALS"/>
    <s v="Contemp. Clin. Trials"/>
    <s v="MAR"/>
    <x v="1"/>
    <n v="114"/>
    <s v=""/>
    <s v=""/>
    <s v=""/>
    <s v=""/>
    <s v=""/>
    <s v=""/>
    <s v=""/>
    <n v="106687"/>
    <s v="10.1016/j.cct.2022.106687"/>
    <s v="http://dx.doi.org/10.1016/j.cct.2022.106687"/>
    <s v=""/>
    <s v="FEB 2022"/>
    <n v="4"/>
    <x v="89"/>
    <x v="0"/>
    <s v="Research &amp; Experimental Medicine; Pharmacology &amp; Pharmacy"/>
    <s v="2Q2IR"/>
    <n v="35085830"/>
    <s v="Green Published"/>
    <s v=""/>
    <s v=""/>
    <s v="2023-11-15"/>
    <s v="WOS:000820252100006"/>
    <s v="View Full Record in Web of Science"/>
    <m/>
  </r>
  <r>
    <x v="227"/>
    <s v="J"/>
    <x v="225"/>
    <s v=""/>
    <s v=""/>
    <s v=""/>
    <s v="Gebretekle, Yisshak Tadesse; Kamau, Daniel Waweru; Raoufi, Mohammad; Fayek, Aminah Robinson"/>
    <s v=""/>
    <s v=""/>
    <x v="225"/>
    <x v="168"/>
    <s v=""/>
    <s v=""/>
    <s v="English"/>
    <s v="Article"/>
    <s v=""/>
    <s v=""/>
    <s v=""/>
    <s v=""/>
    <s v=""/>
    <x v="214"/>
    <x v="182"/>
    <s v="The construction industry is entering the digital age, which offers innovative digitalization opportunities (DOs) regarding cost efficiency, project management, and improved client experience. In their early efforts to implement DOs, construction organizations have had varying degrees of success, and the results prompted organizations to question whether they have the appropriate digital strategy and capabilities. Hence, construction organizations need a framework to systematically evaluate the potential benefits of implementing DOs and factors influencing their successful implementation. This paper presents a framework that supports decision makers in construction organizations to assess DOs based on experts' judgement of the factors influencing their successful implementation. The framework incorporates fuzzy arithmetic and linguistic evaluation to capture experts' subjective assessments and is implemented in the Digitalization Opportunities Road Mapping Tool (DORMT (c)). DORMT (c), which allows organizations to evaluate individual DOs, rank multiple DOs, and identify the best options for implementing digitalization within their organization."/>
    <s v="[Gebretekle, Yisshak Tadesse] Univ Alberta, Sch Construct Engn, Dept Civil &amp; Environm Engn, CNRL Nat Resources Engn Facil, 1-051 Markin, Edmonton, AB T6G 2W2, Canada; [Kamau, Daniel Waweru] Univ Alberta, Sch Construct Engn, Dept Civil &amp; Environm Engn, CNRL Nat Resources Engn Facil, 1-048 Markin, Edmonton, AB T6G 2W2, Canada; [Kamau, Daniel Waweru] Univ Alberta, Alberta Sch Business, CNRL Nat Resources Engn Facil, 1-048 Markin, Edmonton, AB T6G 2W2, Canada; [Raoufi, Mohammad] Univ Alberta, Dept Civil &amp; Environm Engn, 7-203 Donadeo Innovat Ctr Engn,9211 116 St NW, Edmonton, AB T6G 1H9, Canada; [Fayek, Aminah Robinson] Univ Alberta, Sch Construct Engn, Dept Civil &amp; Environm Engn, 7-203 Donadeo Innovat Ctr Engn,9211 116 St NW, Edmonton, AB T6G 1H9, Canada"/>
    <s v="University of Alberta; University of Alberta; University of Alberta; University of Alberta; University of Alberta"/>
    <s v="Fayek, AR (corresponding author), Univ Alberta, Sch Construct Engn, Dept Civil &amp; Environm Engn, 7-203 Donadeo Innovat Ctr Engn,9211 116 St NW, Edmonton, AB T6G 1H9, Canada."/>
    <s v="aminah.robinson@ualberta.ca"/>
    <s v=""/>
    <s v=""/>
    <s v="Natural Sciences and Engineering Research Council of Canada Industrial Research Chair in Strategic Construction Modeling and Delivery [NSERC IRCPJ 428226-15]"/>
    <s v="Natural Sciences and Engineering Research Council of Canada Industrial Research Chair in Strategic Construction Modeling and Delivery(Natural Sciences and Engineering Research Council of Canada (NSERC))"/>
    <s v="This research is funded by the Natural Sciences and Engineering Research Council of Canada Industrial Research Chair in Strategic Construction Modeling and Delivery (NSERC IRCPJ 428226-15), which is held by Dr. Aminah Robinson Fayek."/>
    <s v=""/>
    <n v="36"/>
    <n v="3"/>
    <n v="3"/>
    <n v="3"/>
    <n v="14"/>
    <s v="CANADIAN SCIENCE PUBLISHING"/>
    <s v="OTTAWA"/>
    <s v="65 AURIGA DR, SUITE 203, OTTAWA, ON K2E 7W6, CANADA"/>
    <s v="0315-1468"/>
    <s v="1208-6029"/>
    <s v=""/>
    <s v="CAN J CIVIL ENG"/>
    <s v="Can. J. Civ. Eng."/>
    <s v="FEB"/>
    <x v="1"/>
    <n v="49"/>
    <n v="2"/>
    <s v=""/>
    <s v=""/>
    <s v=""/>
    <s v=""/>
    <n v="171"/>
    <n v="182"/>
    <s v=""/>
    <s v="10.1139/cjce-2020-0762"/>
    <s v="http://dx.doi.org/10.1139/cjce-2020-0762"/>
    <s v=""/>
    <s v=""/>
    <n v="12"/>
    <x v="48"/>
    <x v="0"/>
    <s v="Engineering"/>
    <s v="YR3TB"/>
    <s v=""/>
    <s v=""/>
    <s v=""/>
    <s v=""/>
    <s v="2023-11-15"/>
    <s v="WOS:000749915700004"/>
    <s v="View Full Record in Web of Science"/>
    <m/>
  </r>
  <r>
    <x v="228"/>
    <s v="J"/>
    <x v="226"/>
    <s v=""/>
    <s v=""/>
    <s v=""/>
    <s v="Gull, Hina; Saeed, Saqib; Iqbal, Sardar Zafar; Bamarouf, Yasser A.; Alqahtani, Mohammed A.; Alabbad, Dina A.; Saqib, Madeeha; Al Qahtani, Saeed Hussein; Alamer, Albandary"/>
    <s v=""/>
    <s v=""/>
    <x v="226"/>
    <x v="169"/>
    <s v=""/>
    <s v=""/>
    <s v="English"/>
    <s v="Article"/>
    <s v=""/>
    <s v=""/>
    <s v=""/>
    <s v=""/>
    <s v=""/>
    <x v="215"/>
    <x v="183"/>
    <s v="Digital transformation of businesses has seen tremendous growth recently, moreover, COVID-19 has increased online shopping. However, it is important for businesses that customers' online shopping experience is secure and joyful. In this paper, customers' security perception regarding some leading mobile commerce applications in Saudi Arabia is explored. Our survey questions focused on three aspects, namely: Consumer rating, trustworthiness, and credit card security. The results highlight that consumers perceive that mobile commerce applications in Saudi Arabia need further improvement in security. In this work, a model to improve customers' security perception in Saudi Arabia is presented. This model can be generalized to other geographical regions as well. The model outlines different actions for practitioners and policymakers that help in improving security infrastructure, authentication mechanisms, and trustworthiness."/>
    <s v="[Gull, Hina; Iqbal, Sardar Zafar; Bamarouf, Yasser A.; Alqahtani, Mohammed A.; Saqib, Madeeha; Al Qahtani, Saeed Hussein; Alamer, Albandary] Imam Abdulrahman Bin Faisal Univ, Coll Comp Sci &amp; Informat Technol, Dept Comp Informat Syst, POB 1982, Dammam 31441, Saudi Arabia; [Saeed, Saqib] Imam Abdulrahman Bin Faisal Univ, Coll Comp Sci &amp; Informat Technol, Dept Comp Informat Syst, Saudi Aramco Cybersecur Chair, POB 1982, Dammam 31441, Saudi Arabia; [Alabbad, Dina A.] Imam Abdulrahman Bin Faisal Univ, Coll Comp Sci &amp; Informat Technol, Dept Comp Engn, POB 1982, Dammam 31441, Saudi Arabia"/>
    <s v="Imam Abdulrahman Bin Faisal University; Imam Abdulrahman Bin Faisal University; Imam Abdulrahman Bin Faisal University"/>
    <s v="Saqib, M (corresponding author), Imam Abdulrahman Bin Faisal Univ, Coll Comp Sci &amp; Informat Technol, Dept Comp Informat Syst, POB 1982, Dammam 31441, Saudi Arabia."/>
    <s v="hgull@iau.edu.sa; sbsaed@iau.edu.sa; saiqbal@iau.edu.sa; yabamarouf@iau.edu.sa; maqhtani@iau.edu.sa; daalabbad@iau.edu.sa; mssaeed@iau.edu.sa; shaqahtani@iau.edu.sa; amalamer@iau.edu.sa"/>
    <s v="Alamer, Albandary/GYA-4905-2022; Saeed, Saqib/E-4381-2014; Alabbad, Dina/GYU-5534-2022; Saqib, Madeeha/GYA-2663-2022"/>
    <s v="Alamer, Albandary/0000-0002-5994-2321; Saeed, Saqib/0000-0001-7136-3480; Alabbad, Dina/0000-0001-7624-8924; Saqib, Madeeha/0000-0003-4856-8095; Gull, Hina/0000-0002-6685-5189; Al Qahtani, Saeed Hussein/0000-0002-7424-6420; Alqahtani, Dr. Mohammed/0000-0002-5158-3344"/>
    <s v=""/>
    <s v=""/>
    <s v=""/>
    <s v=""/>
    <n v="68"/>
    <n v="12"/>
    <n v="12"/>
    <n v="0"/>
    <n v="18"/>
    <s v="MDPI"/>
    <s v="BASEL"/>
    <s v="ST ALBAN-ANLAGE 66, CH-4052 BASEL, SWITZERLAND"/>
    <s v=""/>
    <s v="2079-9292"/>
    <s v=""/>
    <s v="ELECTRONICS-SWITZ"/>
    <s v="Electronics"/>
    <s v="FEB"/>
    <x v="1"/>
    <n v="11"/>
    <n v="3"/>
    <s v=""/>
    <s v=""/>
    <s v=""/>
    <s v=""/>
    <s v=""/>
    <s v=""/>
    <n v="293"/>
    <s v="10.3390/electronics11030293"/>
    <s v="http://dx.doi.org/10.3390/electronics11030293"/>
    <s v=""/>
    <s v=""/>
    <n v="20"/>
    <x v="90"/>
    <x v="3"/>
    <s v="Computer Science; Engineering; Physics"/>
    <s v="ZA2UI"/>
    <s v=""/>
    <s v="gold"/>
    <s v=""/>
    <s v=""/>
    <s v="2023-11-15"/>
    <s v="WOS:000756024500001"/>
    <s v="View Full Record in Web of Science"/>
    <m/>
  </r>
  <r>
    <x v="229"/>
    <s v="J"/>
    <x v="227"/>
    <s v=""/>
    <s v=""/>
    <s v=""/>
    <s v="Martin, Nina M.; Barnett, Daniel J.; Poirier, Lisa; Sundermeir, Samantha M.; Reznar, Melissa M.; Gittelsohn, Joel"/>
    <s v=""/>
    <s v=""/>
    <x v="227"/>
    <x v="78"/>
    <s v=""/>
    <s v=""/>
    <s v="English"/>
    <s v="Article"/>
    <s v=""/>
    <s v=""/>
    <s v=""/>
    <s v=""/>
    <s v=""/>
    <x v="216"/>
    <x v="184"/>
    <s v="One of the most basic needs globally, food assistance refers to the multitude of programs, both governmental and non-governmental, to improve food access and consumption by food-insecure individuals and families. Despite the importance of digital and mobile Health (mHealth) strategies in food insecurity contexts, little is known about their specific use in food assistance programs. Therefore, the purpose of this study was to address that gap by conducting a scoping review of the literature. Keywords were defined within the concepts of food assistance and digital technology. The search included relevant peer-reviewed and grey literature from 2011 to 2021. Excluded articles related to agriculture and non-digital strategies. PRISMA guidelines were followed to perform a partnered, two-round scoping literature review. The final synthesis included 39 studies of which most (84.6%) were from the last five years and United States-based (93.2%). The top three types of articles or studies included text and opinion, qualitative research, and website, application, or model development (17.9%). The top three types of digital tools were websites (56.4%), smartphone applications (20.5%), and chatbots (5.1%). Nineteen digital features were identified as desirable. Most tools included just one or two features. The most popular feature to include was online shopping (n = 14), followed by inventory management, and client tracking. Digital tools for individual food assistance represent an opportunity for equitable and stable access to programs that can enhance or replace in-person services. While this review identified 39 tools, all are in early development and/or implementation stages. Review findings highlight an overall lack of these tools, an absence of user-centered design in their development, and a critical need for research on their effectiveness globally. Further analysis and testing of current digital tool usage and interventions examining the health and food security impacts of such tools should be explored in future studies, including in the context of pandemics, where digital tools allow for help from a distance."/>
    <s v="[Martin, Nina M.; Poirier, Lisa; Sundermeir, Samantha M.; Gittelsohn, Joel] Johns Hopkins Bloomberg Sch Publ Hlth, Dept Int Hlth, Human Nutr Program, Baltimore, MD 21205 USA; [Barnett, Daniel J.] Johns Hopkins Bloomberg Sch Publ Hlth, Dept Environm Hlth &amp; Engn, Baltimore, MD 21205 USA; [Reznar, Melissa M.] Oakland Univ, Sch Hlth Sci, Dept Interdisciplinary Hlth Sci, Rochester, MI 48309 USA"/>
    <s v="Johns Hopkins University; Johns Hopkins Bloomberg School of Public Health; Johns Hopkins University; Johns Hopkins Bloomberg School of Public Health; Oakland University"/>
    <s v="Martin, NM (corresponding author), Johns Hopkins Bloomberg Sch Publ Hlth, Dept Int Hlth, Human Nutr Program, Baltimore, MD 21205 USA."/>
    <s v="nmarti38@jhu.edu; dbarnet4@jhu.edu; lpoirie4@jhu.edu; srex2@jh.edu; reznar@oakland.edu; jgittel1@jh.edu"/>
    <s v="Reznar, Melissa/AGF-5330-2022"/>
    <s v="Reznar, Melissa/0000-0002-6304-3943; Sundermeir, Samantha/0000-0003-4471-0621; Martin, Nina/0000-0002-3361-7037; Poirier, Lisa/0000-0003-4180-0357; Gittelsohn, Joel/0000-0003-2761-3280"/>
    <s v="Bloomberg American Health Initiative"/>
    <s v="Bloomberg American Health Initiative"/>
    <s v="This research was funded by the Bloomberg American Health Initiative."/>
    <s v=""/>
    <n v="71"/>
    <n v="2"/>
    <n v="2"/>
    <n v="0"/>
    <n v="3"/>
    <s v="MDPI"/>
    <s v="BASEL"/>
    <s v="ST ALBAN-ANLAGE 66, CH-4052 BASEL, SWITZERLAND"/>
    <s v=""/>
    <s v="1660-4601"/>
    <s v=""/>
    <s v="INT J ENV RES PUB HE"/>
    <s v="Int. J. Environ. Res. Public Health"/>
    <s v="FEB"/>
    <x v="1"/>
    <n v="19"/>
    <n v="3"/>
    <s v=""/>
    <s v=""/>
    <s v=""/>
    <s v=""/>
    <s v=""/>
    <s v=""/>
    <n v="1328"/>
    <s v="10.3390/ijerph19031328"/>
    <s v="http://dx.doi.org/10.3390/ijerph19031328"/>
    <s v=""/>
    <s v=""/>
    <n v="20"/>
    <x v="52"/>
    <x v="3"/>
    <s v="Environmental Sciences &amp; Ecology; Public, Environmental &amp; Occupational Health"/>
    <s v="ZA3JX"/>
    <n v="35162351"/>
    <s v="Green Published, gold"/>
    <s v=""/>
    <s v=""/>
    <s v="2023-11-15"/>
    <s v="WOS:000756065300001"/>
    <s v="View Full Record in Web of Science"/>
    <m/>
  </r>
  <r>
    <x v="230"/>
    <s v="J"/>
    <x v="228"/>
    <s v=""/>
    <s v=""/>
    <s v=""/>
    <s v="Han, Brian Rongqing; Sun, Tianshu; Chu, Leon Yang; Wu, Lixia"/>
    <s v=""/>
    <s v=""/>
    <x v="228"/>
    <x v="170"/>
    <s v=""/>
    <s v=""/>
    <s v="English"/>
    <s v="Article"/>
    <s v=""/>
    <s v=""/>
    <s v=""/>
    <s v=""/>
    <s v=""/>
    <x v="217"/>
    <x v="185"/>
    <s v="Problem definition: This paper investigates the impact of COVID-19 on e-commerce sales and the underlying operational driver. Academic/practical relevance: As COVID-19 continues to disrupt offline retail, anecdotal evidence suggests a rapid growth of e-commerce. However, the pandemic may also significantly decrease offline logistics capacity, which in turn decreases e-commerce sales. Then, how does e-commerce respond to COVID-19, and what are the corresponding opportunities and challenges? Methodology: We leverage e-commerce sales data from Alibaba and construct a city-day panel across three years, representing sales for all buyers and sellers on the platform across 339 cities in mainland China. We develop three identification strategies to estimate the overall impact of COVID-19 (based on a year-on-year comparison), the impact of COVID-19 intensity (based on the different number of cases across cities), and the impact of corresponding containment measures (leveraging policy changes of checkpoint, partial shutdown, and complete shutdown measures across cities). Results: We provide two key findings. First, across different identification strategies, we observe a common drop and recovery pattern, which illustrates the digital resilience of e-commerce during the pandemic. For example, we estimate an overall decrease of 22% in e-commerce sales during the period of the Wuhan shutdown (January 23-April 7, 2020). However, it recovers in most cities within five weeks. Second, we identify a key operational driver-logistics capacity-that significantly explains the decline and recovery of e-commerce sales during and after the outbreak. Managerial implications: We provide important evidence on how e-commerce responds to and recovers from COVID-19, contrary to the common perception. The evidence in the recovery phase can also inform platforms and policymakers to design digital strategies and invest in logistics infrastructure."/>
    <s v="[Han, Brian Rongqing] Univ Illinois, Gies Coll Business, Champaign, IL 61820 USA; [Sun, Tianshu] Univ Southern Calif, Marshall Sch Business, Los Angeles, CA 90089 USA; [Chu, Leon Yang] Cheung Kong Grad Sch Business, Beijing 100006, Peoples R China; [Wu, Lixia] Alibaba Grp Inc, Hangzhou 311121, Peoples R China"/>
    <s v="University of Illinois System; University of Illinois Urbana-Champaign; University of Southern California; Alibaba Group"/>
    <s v="Han, BR (corresponding author), Univ Illinois, Gies Coll Business, Champaign, IL 61820 USA."/>
    <s v="brianhan@illinois.edu; tianshus@marshall.usc.edu; yzhu@ckgsb.edu.cn; wallace.wulx@cainiao.com"/>
    <s v=""/>
    <s v="Han, Brian/0000-0002-7730-7401"/>
    <s v=""/>
    <s v=""/>
    <s v=""/>
    <s v=""/>
    <n v="79"/>
    <n v="15"/>
    <n v="15"/>
    <n v="15"/>
    <n v="173"/>
    <s v="INFORMS"/>
    <s v="CATONSVILLE"/>
    <s v="5521 RESEARCH PARK DR, SUITE 200, CATONSVILLE, MD 21228 USA"/>
    <s v="1523-4614"/>
    <s v="1526-5498"/>
    <s v=""/>
    <s v="M&amp;SOM-MANUF SERV OP"/>
    <s v="M&amp;SOM-Manuf. Serv. Oper. Manag."/>
    <s v="MAY-JUN"/>
    <x v="1"/>
    <n v="24"/>
    <n v="3"/>
    <s v=""/>
    <s v=""/>
    <s v=""/>
    <s v=""/>
    <n v="1388"/>
    <n v="1405"/>
    <s v=""/>
    <s v="10.1287/msom.2021.1075"/>
    <s v="http://dx.doi.org/10.1287/msom.2021.1075"/>
    <s v=""/>
    <s v="JAN 2022"/>
    <n v="18"/>
    <x v="91"/>
    <x v="3"/>
    <s v="Business &amp; Economics; Operations Research &amp; Management Science"/>
    <s v="8N3KE"/>
    <s v=""/>
    <s v=""/>
    <s v=""/>
    <s v=""/>
    <s v="2023-11-15"/>
    <s v="WOS:000748655300001"/>
    <s v="View Full Record in Web of Science"/>
    <m/>
  </r>
  <r>
    <x v="231"/>
    <s v="J"/>
    <x v="229"/>
    <s v=""/>
    <s v=""/>
    <s v=""/>
    <s v="Hu, Lala"/>
    <s v=""/>
    <s v=""/>
    <x v="229"/>
    <x v="70"/>
    <s v=""/>
    <s v=""/>
    <s v="English"/>
    <s v="Article"/>
    <s v=""/>
    <s v=""/>
    <s v=""/>
    <s v=""/>
    <s v=""/>
    <x v="218"/>
    <x v="186"/>
    <s v="Purpose The purpose of this paper is to analyze how the personal protective equipment (PPE) industry managed supply chain and business relationships disrupted by the COVID-19 pandemic, and the adoption of digital and social media during the period of crisis management. Design/methodology/approach The methodology used is qualitative based on 14 interviews with 11 PPE firms operating in Italy, the first Western country that implemented a national lockdown during the COVID-19 outbreak in 2020. Findings Findings suggest that although most PPE companies in Italy have been slow in implementing digital transformation, digital technologies and communication enhanced existing assets and capabilities creating new customer value during the COVID-19 outbreak. The pandemic has increased the relevance of social media as an effective tool in the business-to-business (B2B) context to provide updated information and training, as well as to reinforce and personalize business relationships, weakened by the lack of physical contacts during the lockdown. Moreover, highly interdependent buyer-supplier relations can increase supply chain resilience to disruptions in mutually dependent relationships/partnerships. Research limitations/implications By analyzing the main issues encountered during the pandemic and the digital strategies adopted by PPE companies, this study seeks to extend B2B literature on supply chain disruption management and digitalization. The limitations refer to the study's generalizability as a limited number of firms are analyzed. Practical implications Implications for B2B companies and policymakers are provided with the extent of managing supply chain disruptions during emergency situations such as COVID-19 pandemic, when collaboration between different actors involved become essential. Originality/value No previous studies have analyzed how PPE firms used digital and social media in managing disruption in supply chain and business relationships. Therefore, the present study contributes to extend the B2B literature by analyzing the related effects during the COVID-19 pandemic."/>
    <s v="[Hu, Lala] Univ Cattolica Sacro Cuore, Milan, Italy"/>
    <s v="Catholic University of the Sacred Heart"/>
    <s v="Hu, LL (corresponding author), Univ Cattolica Sacro Cuore, Milan, Italy."/>
    <s v="lala.hu@unicatt.it"/>
    <s v=""/>
    <s v="Hu, Lala/0000-0001-5492-3706"/>
    <s v=""/>
    <s v=""/>
    <s v=""/>
    <s v=""/>
    <n v="61"/>
    <n v="14"/>
    <n v="14"/>
    <n v="8"/>
    <n v="47"/>
    <s v="EMERALD GROUP PUBLISHING LTD"/>
    <s v="BINGLEY"/>
    <s v="HOWARD HOUSE, WAGON LANE, BINGLEY BD16 1WA, W YORKSHIRE, ENGLAND"/>
    <s v="0885-8624"/>
    <s v="2052-1189"/>
    <s v=""/>
    <s v="J BUS IND MARK"/>
    <s v="J. Bus. Ind. Mark."/>
    <s v="OCT 21"/>
    <x v="1"/>
    <n v="37"/>
    <n v="10"/>
    <s v=""/>
    <s v=""/>
    <s v="SI"/>
    <s v=""/>
    <n v="2050"/>
    <n v="2063"/>
    <s v=""/>
    <s v="10.1108/JBIM-01-2021-0005"/>
    <s v="http://dx.doi.org/10.1108/JBIM-01-2021-0005"/>
    <s v=""/>
    <s v="JAN 2022"/>
    <n v="14"/>
    <x v="33"/>
    <x v="1"/>
    <s v="Business &amp; Economics"/>
    <s v="5L3YB"/>
    <s v=""/>
    <s v=""/>
    <s v=""/>
    <s v=""/>
    <s v="2023-11-15"/>
    <s v="WOS:000751085600001"/>
    <s v="View Full Record in Web of Science"/>
    <m/>
  </r>
  <r>
    <x v="232"/>
    <s v="J"/>
    <x v="230"/>
    <s v=""/>
    <s v=""/>
    <s v=""/>
    <s v="Oztig, Lacin Idil"/>
    <s v=""/>
    <s v=""/>
    <x v="230"/>
    <x v="171"/>
    <s v=""/>
    <s v=""/>
    <s v="English"/>
    <s v="Article; Early Access"/>
    <s v=""/>
    <s v=""/>
    <s v=""/>
    <s v=""/>
    <s v=""/>
    <x v="219"/>
    <x v="187"/>
    <s v="There is a rich body of literature examining the contribution of Holocaust museums to the Holocaust memorial culture by focusing on their educative, awareness-raising, and memorializing functions. In this context, ample attention has been devoted to these museums' exhibitions, educatory activities, reenactment practices, digital strategies, as well as their historical and architectural narratives. This article brings a novel perspective to the literature by giving an account of how Holocaust museums act as a medium through which individuals contribute to the Holocaust memorial culture from a Constructivist perspective. It argues that Holocaust museums do not treat individuals as passive recipients of the Holocaust memorial culture, but actors who could exercise agential capacities in relation to the Holocaust memorial culture. This argument is illustrated by case studies of the United States Holocaust Memorial Museum (USHMM), the Berlin Jewish Museum, and the Anne Frank House. It is shown that these museums offer platforms through which individuals actively contribute to the Holocaust memorial culture by encouraging them to conduct and share their Holocaust-related research, donating Holocaust-related objects, and engaging in social activities to diffuse related norms and messages."/>
    <s v="[Oztig, Lacin Idil] Yildiz Tech Univ, Dept Polit Sci &amp; Int Relat, Istanbul, Turkey"/>
    <s v="Yildiz Technical University"/>
    <s v="Oztig, LI (corresponding author), Yildiz Tech Univ, Dept Polit Sci &amp; Int Relat, Istanbul, Turkey."/>
    <s v="loztig@yildiz.edu.tr"/>
    <s v=""/>
    <s v=""/>
    <s v=""/>
    <s v=""/>
    <s v=""/>
    <s v=""/>
    <n v="62"/>
    <n v="2"/>
    <n v="2"/>
    <n v="1"/>
    <n v="2"/>
    <s v="ROUTLEDGE JOURNALS, TAYLOR &amp; FRANCIS LTD"/>
    <s v="ABINGDON"/>
    <s v="2-4 PARK SQUARE, MILTON PARK, ABINGDON OX14 4RN, OXON, ENGLAND"/>
    <s v="1472-5886"/>
    <s v="1472-5894"/>
    <s v=""/>
    <s v="J MOD JEW STUD"/>
    <s v="J. Mod. Jew. Stud."/>
    <s v="2022 JAN 21"/>
    <x v="1"/>
    <s v=""/>
    <s v=""/>
    <s v=""/>
    <s v=""/>
    <s v=""/>
    <s v=""/>
    <s v=""/>
    <s v=""/>
    <s v=""/>
    <s v="10.1080/14725886.2021.2011607"/>
    <s v="http://dx.doi.org/10.1080/14725886.2021.2011607"/>
    <s v=""/>
    <s v="JAN 2022"/>
    <n v="22"/>
    <x v="55"/>
    <x v="2"/>
    <s v="Arts &amp; Humanities - Other Topics"/>
    <s v="6R0YY"/>
    <s v=""/>
    <s v=""/>
    <s v=""/>
    <s v=""/>
    <s v="2023-11-15"/>
    <s v="WOS:000892035000001"/>
    <s v="View Full Record in Web of Science"/>
    <m/>
  </r>
  <r>
    <x v="233"/>
    <s v="J"/>
    <x v="231"/>
    <s v=""/>
    <s v=""/>
    <s v=""/>
    <s v="Ho, Wan Ri; Tsolakis, Naoum; Dawes, Tom; Dora, Manoj; Kumar, Mukesh"/>
    <s v=""/>
    <s v=""/>
    <x v="231"/>
    <x v="172"/>
    <s v=""/>
    <s v=""/>
    <s v="English"/>
    <s v="Article"/>
    <s v=""/>
    <s v=""/>
    <s v=""/>
    <s v=""/>
    <s v=""/>
    <x v="220"/>
    <x v="188"/>
    <s v="Digitalization has provoked rapid changes in the operational landscape, thus requiring prompt decision-making across end-to-end supply chains. Notwithstanding the fact that technology is the epicenter of digital transformation, more often than not, organizations fail to effectively adopt innovative applications, harness their full potential, and realize growth and competitiveness. Therefore, this article argues that a unique strategy formulation process is required to embrace digitalization in manufacturing supply chains. However, within the context of manufacturing networks, strategy formulation approaches are limited. To this end, this article adopts a case study approach to extract tacit knowledge across 12 multinational companies within the theoretical boundaries of corporate strategy development. Research findings and a theoretically derived framework demonstrate that there are three typologies of digital strategy development for manufacturing supply chains, namely: 1) top-down; 2) bottom-up; and 3) mixed. Every identified typology is supplemented with three determinant criteria for digital supply chain strategy formulation, i.e., number of suppliers, market demand, and product types. Noteworthy, the aforementioned strategies are context-dependent. This article contributes to the operations management field by formulating a novel strategy development framework for digital supply chains. The proposed framework, synthesized via strategic management theoretical views and primary evidence, can provide a reference point as companies chart their current and future digital supply chain strategy state."/>
    <s v="[Ho, Wan Ri; Tsolakis, Naoum; Dawes, Tom; Kumar, Mukesh] Univ Cambridge, Inst Mfg, Dept Engn, Cambridge CB3 0FS, England; [Ho, Wan Ri] Swiss Fed Inst Technol, Dept Management Technol &amp; Econ, CH-8092 Zurich, Switzerland; [Dawes, Tom] Valuechain, Warrington WA4 4FS, Cheshire, England; [Dora, Manoj] Brunel Univ London, Brunel Business Sch, Uxbridge UB8 3PH, Middx, England"/>
    <s v="University of Cambridge; Swiss Federal Institutes of Technology Domain; ETH Zurich; Brunel University"/>
    <s v="Tsolakis, N (corresponding author), Univ Cambridge, Inst Mfg, Dept Engn, Cambridge CB3 0FS, England."/>
    <s v="who@ethz.ch; nt377@cam.ac.uk; tbd24@cam.ac.uk; manoj.dora@brunel.ac.uk; mk501@cam.ac.uk"/>
    <s v="Kumar, Mukesh/A-9178-2012; N'Dri, Amoin Bernadine/IWD-7811-2023; Tsolakis, Naoum/AAQ-9163-2021"/>
    <s v="Kumar, Mukesh/0000-0002-1961-5078; Tsolakis, Naoum/0000-0003-2042-7047; Dora, Manoj/0000-0003-4730-8144"/>
    <s v="Industrial Resilience Research Group at the University of Cambridge"/>
    <s v="Industrial Resilience Research Group at the University of Cambridge"/>
    <s v="This work was supported by the Industrial Resilience Research Group at the University of Cambridge. Review of this manuscript was arranged by Department Editor F. CEBI. (Corresponding author: Naoum Tsolakis.)"/>
    <s v=""/>
    <n v="88"/>
    <n v="15"/>
    <n v="15"/>
    <n v="53"/>
    <n v="204"/>
    <s v="IEEE-INST ELECTRICAL ELECTRONICS ENGINEERS INC"/>
    <s v="PISCATAWAY"/>
    <s v="445 HOES LANE, PISCATAWAY, NJ 08855-4141 USA"/>
    <s v="0018-9391"/>
    <s v="1558-0040"/>
    <s v=""/>
    <s v="IEEE T ENG MANAGE"/>
    <s v="IEEE Trans. Eng. Manage."/>
    <s v="JUL"/>
    <x v="0"/>
    <n v="70"/>
    <n v="7"/>
    <s v=""/>
    <s v=""/>
    <s v=""/>
    <s v=""/>
    <n v="2493"/>
    <n v="2506"/>
    <s v=""/>
    <s v="10.1109/TEM.2021.3131605"/>
    <s v="http://dx.doi.org/10.1109/TEM.2021.3131605"/>
    <s v=""/>
    <s v="JAN 2022"/>
    <n v="14"/>
    <x v="92"/>
    <x v="3"/>
    <s v="Business &amp; Economics; Engineering"/>
    <s v="I6YE0"/>
    <s v=""/>
    <s v="Green Published"/>
    <s v=""/>
    <s v=""/>
    <s v="2023-11-15"/>
    <s v="WOS:000750226100001"/>
    <s v="View Full Record in Web of Science"/>
    <m/>
  </r>
  <r>
    <x v="234"/>
    <s v="J"/>
    <x v="232"/>
    <s v=""/>
    <s v=""/>
    <s v=""/>
    <s v="Wu, Shaohui; Tan, Yong; Chen, Yubo; Liang, Yitian (Sky)"/>
    <s v=""/>
    <s v=""/>
    <x v="232"/>
    <x v="173"/>
    <s v=""/>
    <s v=""/>
    <s v="English"/>
    <s v="Article; Early Access"/>
    <s v=""/>
    <s v=""/>
    <s v=""/>
    <s v=""/>
    <s v=""/>
    <x v="221"/>
    <x v="189"/>
    <s v="Mobile application use has become an essential activity in many people's daily lives in the mobile Internet era. Driven by its ubiquity and strong context dependence, Internet companies are in a race of cross-industry expansion to build a seamless ecosystem incorporating various contexts. Amid such trends, a better understanding of cross-app uses and the impact of contexts becomes critical and imperative. Yet, research on cross-app uses in information systems and marketing is scarce. In this paper, we aim to fill this gap. We develop a hidden Markov model to study cross-app uses (choice and duration), capturing their interdependence and the impacts of contextual factors. We calibrate it using a consumer panel that contains real-time app use information. Our key findings are as follows. (1) In addition to the utilitarian and hedonic states behind consumer decisions identified in prior literature, we uncover a novel social state behind mobile user behavior. App use behavior exhibits large differences across three states. (2) Within-state app interdependence is strongest in the hedonic state, followed by the social and utilitarian states. (3) Social state is the most transient (i.e., mostly likely to switch away), followed by the hedonic and utilitarian states. (4) Contextual factors-in particular, location and time of day-influence the state dynamic. Compared with the intrinsic state transition, being at home or on the way (versus office) and in the morning or evening (versus night) leads to higher volatility. We discuss the managerial implications for a variety of mobile digital strategies."/>
    <s v="[Wu, Shaohui] Harbin Inst Technol, Sch Management, Harbin 150080, Peoples R China; [Wu, Shaohui] Univ Sci &amp; Technol China, Sch Management, Int Inst Finance, Hefei 230026, Peoples R China; [Tan, Yong] Univ Washington, Michael G Foster Sch Business, Seattle, WA 98195 USA; [Chen, Yubo; Liang, Yitian (Sky)] Tsinghua Univ, Sch Econ &amp; Management, Dept Mkt, Beijing 100084, Peoples R China"/>
    <s v="Harbin Institute of Technology; Chinese Academy of Sciences; University of Science &amp; Technology of China, CAS; University of Washington; University of Washington Seattle; Tsinghua University"/>
    <s v="Chen, YB (corresponding author), Tsinghua Univ, Sch Econ &amp; Management, Dept Mkt, Beijing 100084, Peoples R China."/>
    <s v="wushaohui@hit.edu.cn; ytan@uw.edu; chenyubo@sem.tsinghua.edu.cn; liangyt@sem.tsinghua.edu.cn"/>
    <s v="Chen, Yubo/AFM-3238-2022"/>
    <s v="Chen, Yubo/0000-0002-2322-2349; Liang, Yitian (Sky)/0000-0002-3091-4861"/>
    <s v="National Natural Science Foundation of China [71991461, 71902095, 91746302, 71532006, 71325005]; China Ministry of Education Project for Key Research Institute of Humanities and Social Sciences in Universities [16JJD630006]; Fundamental Research Funds for the Central Universities [WK2040000022]"/>
    <s v="National Natural Science Foundation of China(National Natural Science Foundation of China (NSFC)); China Ministry of Education Project for Key Research Institute of Humanities and Social Sciences in Universities; Fundamental Research Funds for the Central Universities(Fundamental Research Funds for the Central Universities)"/>
    <s v="This work was supported by the National Natural Science Foundation of China [Grants 71991461, 71902095, 91746302, 71532006, and 71325005], the China Ministry of Education Project for Key Research Institute of Humanities and Social Sciences in Universities [Grant 16JJD630006], and the Fundamental Research Funds for the Central Universities [WK2040000022]."/>
    <s v=""/>
    <n v="55"/>
    <n v="0"/>
    <n v="0"/>
    <n v="14"/>
    <n v="94"/>
    <s v="INFORMS"/>
    <s v="CATONSVILLE"/>
    <s v="5521 RESEARCH PARK DR, SUITE 200, CATONSVILLE, MD 21228 USA"/>
    <s v="1047-7047"/>
    <s v="1526-5536"/>
    <s v=""/>
    <s v="INFORM SYST RES"/>
    <s v="Inf. Syst. Res."/>
    <s v="2022 JAN 20"/>
    <x v="1"/>
    <s v=""/>
    <s v=""/>
    <s v=""/>
    <s v=""/>
    <s v=""/>
    <s v=""/>
    <s v=""/>
    <s v=""/>
    <s v=""/>
    <s v="10.1287/isre.2021.1093"/>
    <s v="http://dx.doi.org/10.1287/isre.2021.1093"/>
    <s v=""/>
    <s v="JAN 2022"/>
    <n v="22"/>
    <x v="75"/>
    <x v="1"/>
    <s v="Information Science &amp; Library Science; Business &amp; Economics"/>
    <s v="YP9PZ"/>
    <s v=""/>
    <s v=""/>
    <s v=""/>
    <s v=""/>
    <s v="2023-11-15"/>
    <s v="WOS:000748953200001"/>
    <s v="View Full Record in Web of Science"/>
    <m/>
  </r>
  <r>
    <x v="235"/>
    <s v="J"/>
    <x v="233"/>
    <s v=""/>
    <s v=""/>
    <s v=""/>
    <s v="Scupola, Ada; Mergel, Ines"/>
    <s v=""/>
    <s v=""/>
    <x v="233"/>
    <x v="113"/>
    <s v=""/>
    <s v=""/>
    <s v="English"/>
    <s v="Article"/>
    <s v=""/>
    <s v=""/>
    <s v=""/>
    <s v=""/>
    <s v=""/>
    <x v="222"/>
    <x v="190"/>
    <s v="Public administrations are investing in the digital transformation of their citizen-oriented services and internal administrative processes. They are using co-production approaches and include different types of stakeholders into these transformative processes to increase service quality and generate public value. In this study, we investigate how these co-production approaches are implemented in both digital strategy formulation and implementation in Denmark. We identify four different types of public value: citizen, economic, administrative and societal public value."/>
    <s v="[Scupola, Ada] Roskilde Univ, Dept Social Sci &amp; Business, Univ Svej 1, DK-4000 Roskilde, Denmark; [Mergel, Ines] Univ Konstanz, Dept Polit &amp; Publ Adm, Univ Str 10, D-78464 Constance, Germany"/>
    <s v="Roskilde University; University of Konstanz"/>
    <s v="Scupola, A (corresponding author), Roskilde Univ, Dept Social Sci &amp; Business, Univ Svej 1, DK-4000 Roskilde, Denmark."/>
    <s v="ada@ruc.dk; ines.mergel@uni-konstanz.de"/>
    <s v=""/>
    <s v="Scupola, Ada/0000-0002-3537-7639"/>
    <s v="European Union [770356]"/>
    <s v="European Union(European Union (EU))"/>
    <s v="This project has received funding from the European Union's Horizon 2020 research and innovation programme under grant agreement No 770356. This publication reflects the views only of the authors, and the Agency cannot be held responsible for any use, which may be made of the information contained therein."/>
    <s v=""/>
    <n v="69"/>
    <n v="25"/>
    <n v="26"/>
    <n v="48"/>
    <n v="182"/>
    <s v="ELSEVIER INC"/>
    <s v="SAN DIEGO"/>
    <s v="525 B STREET, STE 1900, SAN DIEGO, CA 92101-4495 USA"/>
    <s v="0740-624X"/>
    <s v="1872-9517"/>
    <s v=""/>
    <s v="GOV INFORM Q"/>
    <s v="Gov. Inf. Q."/>
    <s v="JAN"/>
    <x v="1"/>
    <n v="39"/>
    <n v="1"/>
    <s v=""/>
    <s v=""/>
    <s v=""/>
    <s v=""/>
    <s v=""/>
    <s v=""/>
    <n v="101650"/>
    <s v="10.1016/j.giq.2021.101650"/>
    <s v="http://dx.doi.org/10.1016/j.giq.2021.101650"/>
    <s v=""/>
    <s v="JAN 2022"/>
    <n v="11"/>
    <x v="66"/>
    <x v="1"/>
    <s v="Information Science &amp; Library Science"/>
    <s v="YG9BV"/>
    <s v=""/>
    <s v="Green Published, hybrid"/>
    <s v=""/>
    <s v=""/>
    <s v="2023-11-15"/>
    <s v="WOS:000742775400016"/>
    <s v="View Full Record in Web of Science"/>
    <m/>
  </r>
  <r>
    <x v="236"/>
    <s v="J"/>
    <x v="234"/>
    <s v=""/>
    <s v=""/>
    <s v=""/>
    <s v="Ali, Zuraina"/>
    <s v=""/>
    <s v=""/>
    <x v="234"/>
    <x v="174"/>
    <s v=""/>
    <s v=""/>
    <s v="English"/>
    <s v="Article"/>
    <s v=""/>
    <s v=""/>
    <s v=""/>
    <s v=""/>
    <s v=""/>
    <x v="223"/>
    <x v="191"/>
    <s v="Background and Purpose: The study concerns investigating the learning of English in the 21st-century when digital learning platforms were used in assigning writing activities to students. Specifically, the use of the media was related to the Language Learning Strategies (LLS), namely metacognitive, cognitive, and social strategies classified by O'Malley et al. (1985) with the learning in the 21st-century. Methodology: The study employed a qualitative research design to collect responses from 72 engineering students studying at a technical university on the East Coast of Malaysia. An open-ended questionnaire was used to collect the responses from the participants and was validated by the researcher's colleague. Reliability was also taken care of in that verbatim reporting was observed in writing the current study's findings. Data were analysed using codes and themes formulated before they were reported. Findings: The study found that students used metacognitive strategies to check their language in the writing tasks. It was evident that Grammarly, Quillbot, and Google translate, to name a few, were used to check their writing. It was also reported that they linked new information to visual concepts in terms of cognitive strategies. Specifically, they used deduction methods to ensure they understood the sentences they composed. For social strategy, digital platforms, namely WhatsApp, Google Meet, and Discord, were among the common platforms used by the students. The study confirmed that the students demonstrated strong technology literacy as they could use multi-digital platforms to complete the writing tasks. Contributions: The study identifies the LLS employed by English as a Second Language (ESL) learners in 21st-century-learning. Also, it contributes to providing techniques that English practitioners can use in their writing classes."/>
    <s v="[Ali, Zuraina] Univ Malaysia Pahang, Ctr Modern Languages, Pekan 26600, Pahang, Malaysia"/>
    <s v="Universiti Malaysia Pahang Al-Sultan Abdullah (UMPSA)"/>
    <s v="Ali, Z (corresponding author), Univ Malaysia Pahang, Ctr Modern Languages, Pekan 26600, Pahang, Malaysia."/>
    <s v="zuraina@ump.edu.my"/>
    <s v="ali, zuraina/L-3331-2016"/>
    <s v="ali, zuraina/0000-0002-1527-6320"/>
    <s v=""/>
    <s v=""/>
    <s v=""/>
    <s v=""/>
    <n v="26"/>
    <n v="0"/>
    <n v="0"/>
    <n v="5"/>
    <n v="11"/>
    <s v="UNIV SULTAN ZAINAL ABIDIN"/>
    <s v="TERENGGANU DARUL IMAN"/>
    <s v="21300 KUALA NERUS, TERENGGANU DARUL IMAN, 00000, MALAYSIA"/>
    <s v="0127-9319"/>
    <s v="0127-9386"/>
    <s v=""/>
    <s v="J NUSANT STUD-JONUS"/>
    <s v="J. Nusant. Stud.-JONUS"/>
    <s v=""/>
    <x v="1"/>
    <n v="7"/>
    <n v="2"/>
    <s v=""/>
    <s v=""/>
    <s v=""/>
    <s v=""/>
    <n v="202"/>
    <n v="220"/>
    <s v=""/>
    <s v="10.24200/jonus.vol7iss2pp202-220"/>
    <s v="http://dx.doi.org/10.24200/jonus.vol7iss2pp202-220"/>
    <s v=""/>
    <s v=""/>
    <n v="19"/>
    <x v="65"/>
    <x v="2"/>
    <s v="Area Studies"/>
    <s v="2X5EK"/>
    <s v=""/>
    <s v="gold"/>
    <s v=""/>
    <s v=""/>
    <s v="2023-11-15"/>
    <s v="WOS:000825226800011"/>
    <s v="View Full Record in Web of Science"/>
    <m/>
  </r>
  <r>
    <x v="237"/>
    <s v="J"/>
    <x v="235"/>
    <s v=""/>
    <s v=""/>
    <s v=""/>
    <s v="Baslyman, Malak"/>
    <s v=""/>
    <s v=""/>
    <x v="235"/>
    <x v="82"/>
    <s v=""/>
    <s v=""/>
    <s v="English"/>
    <s v="Article"/>
    <s v=""/>
    <s v=""/>
    <s v=""/>
    <s v=""/>
    <s v=""/>
    <x v="224"/>
    <x v="192"/>
    <s v="Digital transformation (DT) is a unique transformation that organizations undergo, as it depends on understanding the role of data and available technologies, which bring drastic changes to an organization's structure and capabilities. Studies discussing DT concepts, frameworks, and tools are increasing rapidly. However, few studies empirically present the industrial understanding and practices of the DT process and how to successfully implement DT. In this study, I interviewed nine senior DT leaders to provide a holistic and comprehensive understanding of DT in practice. The DT leaders provided definitions of DT, its core goals and motivations, its concepts and relationships, and its implementation processes. Through analyzing the leaders' responses, an empirically driven definition of DT and its goals are presented. In addition, the study provides a conceptual model that depicts the basic entities in the DT context and their relationships. Finally, it provides a comprehensive representation of phases and processes through which organizations, that have already implemented DT successfully in some of their business units, undergo."/>
    <s v="[Baslyman, Malak] King Fahd Univ Petr &amp; Minerals, Dept Informat &amp; Comp Sci, Dhahran 31261, Saudi Arabia"/>
    <s v="King Fahd University of Petroleum &amp; Minerals"/>
    <s v="Baslyman, M (corresponding author), King Fahd Univ Petr &amp; Minerals, Dept Informat &amp; Comp Sci, Dhahran 31261, Saudi Arabia."/>
    <s v="malak.baslyman@kfupm.edu.sa"/>
    <s v=""/>
    <s v="Baslyman, Malak/0000-0003-4002-4480"/>
    <s v="Deanship of Scienti~c Research, King Fahd University of Petroleum and Minerals [SR191012]"/>
    <s v="Deanship of Scienti~c Research, King Fahd University of Petroleum and Minerals"/>
    <s v="This work was supported by the Deanship of Scienti~c Research, King Fahd University of Petroleum and Minerals, under Grant SR191012."/>
    <s v=""/>
    <n v="43"/>
    <n v="2"/>
    <n v="2"/>
    <n v="18"/>
    <n v="62"/>
    <s v="IEEE-INST ELECTRICAL ELECTRONICS ENGINEERS INC"/>
    <s v="PISCATAWAY"/>
    <s v="445 HOES LANE, PISCATAWAY, NJ 08855-4141 USA"/>
    <s v="2169-3536"/>
    <s v=""/>
    <s v=""/>
    <s v="IEEE ACCESS"/>
    <s v="IEEE Access"/>
    <s v=""/>
    <x v="1"/>
    <n v="10"/>
    <s v=""/>
    <s v=""/>
    <s v=""/>
    <s v=""/>
    <s v=""/>
    <n v="42961"/>
    <n v="42970"/>
    <s v=""/>
    <s v="10.1109/ACCESS.2022.3166937"/>
    <s v="http://dx.doi.org/10.1109/ACCESS.2022.3166937"/>
    <s v=""/>
    <s v=""/>
    <n v="10"/>
    <x v="54"/>
    <x v="3"/>
    <s v="Computer Science; Engineering; Telecommunications"/>
    <s v="0W4GM"/>
    <s v=""/>
    <s v="gold"/>
    <s v=""/>
    <s v=""/>
    <s v="2023-11-15"/>
    <s v="WOS:000788987300001"/>
    <s v="View Full Record in Web of Science"/>
    <m/>
  </r>
  <r>
    <x v="238"/>
    <s v="B"/>
    <x v="236"/>
    <s v=""/>
    <s v="Beauregard, D; Paquette, J"/>
    <s v=""/>
    <s v="Bourcheix-Laporte, Mariane"/>
    <s v=""/>
    <s v=""/>
    <x v="236"/>
    <x v="175"/>
    <s v="Routledge Studies in Media and Cultural Industries"/>
    <s v=""/>
    <s v="English"/>
    <s v="Article; Book Chapter"/>
    <s v=""/>
    <s v=""/>
    <s v=""/>
    <s v=""/>
    <s v=""/>
    <x v="8"/>
    <x v="1"/>
    <s v=""/>
    <s v="[Bourcheix-Laporte, Mariane] Simon Fraser Univ, Sch Commun, Vancouver, BC, Canada"/>
    <s v="Simon Fraser University"/>
    <s v="Bourcheix-Laporte, M (corresponding author), Simon Fraser Univ, Sch Commun, Vancouver, BC, Canada."/>
    <s v=""/>
    <s v=""/>
    <s v=""/>
    <s v=""/>
    <s v=""/>
    <s v=""/>
    <s v=""/>
    <n v="47"/>
    <n v="2"/>
    <n v="2"/>
    <n v="1"/>
    <n v="1"/>
    <s v="ROUTLEDGE"/>
    <s v="ABINGDON"/>
    <s v="2 PARK SQ, MILTON PARK, ABINGDON OX14 4RN, OXFORD, ENGLAND"/>
    <s v=""/>
    <s v=""/>
    <s v="978-0-367-68061-9; 978-1-00-313402-2; 978-0-367-68059-6"/>
    <s v="ROU S MEDIA CULT IND"/>
    <s v=""/>
    <s v=""/>
    <x v="1"/>
    <s v=""/>
    <s v=""/>
    <s v=""/>
    <s v=""/>
    <s v=""/>
    <s v=""/>
    <n v="183"/>
    <n v="197"/>
    <s v=""/>
    <s v="10.4324/9781003134022-16"/>
    <s v="http://dx.doi.org/10.4324/9781003134022-16"/>
    <s v="10.4324/9781003134022"/>
    <s v=""/>
    <n v="15"/>
    <x v="93"/>
    <x v="7"/>
    <s v="Arts &amp; Humanities - Other Topics; Cultural Studies; Public Administration"/>
    <s v="BT5GJ"/>
    <s v=""/>
    <s v=""/>
    <s v=""/>
    <s v=""/>
    <s v="2023-11-15"/>
    <s v="WOS:000836414000014"/>
    <s v="View Full Record in Web of Science"/>
    <m/>
  </r>
  <r>
    <x v="239"/>
    <s v="J"/>
    <x v="237"/>
    <s v=""/>
    <s v=""/>
    <s v=""/>
    <s v="Castrejon Mata, Carmen"/>
    <s v=""/>
    <s v=""/>
    <x v="237"/>
    <x v="176"/>
    <s v=""/>
    <s v=""/>
    <s v="Spanish"/>
    <s v="Article"/>
    <s v=""/>
    <s v=""/>
    <s v=""/>
    <s v=""/>
    <s v=""/>
    <x v="225"/>
    <x v="1"/>
    <s v="The present work shows the consumption of local brands derived from the impact generated by COVID-19, with the objective of identifying the increase in the purchase of local brands over national and global ones. The research had a quantitative, descriptive and cross-sectional approach, it was carried out a little more than a year after the beginning of the pandemic in Mexico, in the period of June-July 2021, in order to see more clearly and objective the effects generated by it in the consumption of local brands. An instrument was developed that was applied as a pilot test before the final instrument and later 268 instruments were applied on various digital platforms to people such as the analysis units that allowed us to identify their consumption of local brands in the different municipalities of the state of Guanajuato., Mexico; a considerable increase in the consumption of these brands was identified. Important data was obtained regarding the consumer profiles of local brands in the particular case of the genre that most consumed local brands. The study is intended to be carried out with the purpose of identifying the social behaviors of consumers with respect to an external element such as the COVID-19 virus, which transformed the consumption habits themselves in the various local, national and international markets, causing a transformation unprecedented global economy. Marketing from its own conception becomes important from the point of view of identifying social needs and developing products and services that satisfy them, it does not create needs, it identifies them derived from and influenced by these needs of social and cultural psychological factors that lead the consumer to take your purchasing decisions."/>
    <s v="[Castrejon Mata, Carmen] Univ Autonoma Guanajuato, Guanajuato, Mexico"/>
    <s v=""/>
    <s v="Mata, CC (corresponding author), Univ Autonoma Guanajuato, Guanajuato, Mexico."/>
    <s v="carsais@hotmail.com"/>
    <s v=""/>
    <s v=""/>
    <s v=""/>
    <s v=""/>
    <s v=""/>
    <s v=""/>
    <n v="25"/>
    <n v="0"/>
    <n v="0"/>
    <n v="0"/>
    <n v="0"/>
    <s v="UNIV MICHOACANA SAN NICOLAS HIDALGO, INST INVESTIGACIONES HISTORICAS"/>
    <s v="MICHOACAN"/>
    <s v="BENEDICTO LOPEZ 122, COLONIA VENTURA PUENTE, AP 46-A, MICHOACAN, MORELIA CP 58020, MEXICO"/>
    <s v="1870-6479"/>
    <s v="2007-9206"/>
    <s v=""/>
    <s v="CIMEXUS"/>
    <s v="Cimexus"/>
    <s v="JAN-JUN"/>
    <x v="1"/>
    <n v="17"/>
    <n v="1"/>
    <s v=""/>
    <s v=""/>
    <s v=""/>
    <s v=""/>
    <n v="129"/>
    <n v="143"/>
    <s v=""/>
    <s v="10.33110/cimexus170109"/>
    <s v="http://dx.doi.org/10.33110/cimexus170109"/>
    <s v=""/>
    <s v=""/>
    <n v="15"/>
    <x v="35"/>
    <x v="2"/>
    <s v="Government &amp; Law"/>
    <s v="2F7HY"/>
    <s v=""/>
    <s v="gold, Green Submitted"/>
    <s v=""/>
    <s v=""/>
    <s v="2023-11-15"/>
    <s v="WOS:000813078300006"/>
    <s v="View Full Record in Web of Science"/>
    <m/>
  </r>
  <r>
    <x v="240"/>
    <s v="J"/>
    <x v="238"/>
    <s v=""/>
    <s v=""/>
    <s v=""/>
    <s v="Evans, Jabari M.; Baym, Nancy K."/>
    <s v=""/>
    <s v=""/>
    <x v="238"/>
    <x v="177"/>
    <s v=""/>
    <s v=""/>
    <s v="English"/>
    <s v="Article"/>
    <s v=""/>
    <s v=""/>
    <s v=""/>
    <s v=""/>
    <s v=""/>
    <x v="226"/>
    <x v="193"/>
    <s v="Though many scholars have theorized about the communication of Black youth in digital spaces, academic work has generally not sought artist perspectives of how their platformed creation might be connected to relational labor. Using observations and interviews with artists, artist managers, and entrepreneurs, we examine relational practices of hip- hop youth on social media. We describe their work on social media toward acquiring clout-a digital form of influence self-described by emerging musicians as allowing them to leverage digital tools in building social and professional status, amplify authenticity, cultivate connections with fans, and connect with friends and other cultural producers. In this study, we detail examples of three relational strategies that our respondents used to acquire clout: (a) corralling (b) capping, and (c) cosigning. To conclude, we argue that Chicago's hip-hop scene provides an example of why formal institutions and researchers need to rethink how race, class, gender, and geography influence the digital interactions of young people and how their social practices add to the understanding of the counterpublics arising from globalizing social media."/>
    <s v="[Evans, Jabari M.] Univ South Carolina, Columbia, SC 29208 USA; [Baym, Nancy K.] Microsoft Res, Redmond, WA USA"/>
    <s v="University of South Carolina System; University of South Carolina Columbia; Microsoft"/>
    <s v="Evans, JM (corresponding author), Univ South Carolina, Columbia, SC 29208 USA."/>
    <s v="JE27@mailbox.sc.edu; baym@microsoft.com"/>
    <s v=""/>
    <s v=""/>
    <s v=""/>
    <s v=""/>
    <s v=""/>
    <s v=""/>
    <n v="68"/>
    <n v="1"/>
    <n v="1"/>
    <n v="0"/>
    <n v="0"/>
    <s v="USC ANNENBERG PRESS"/>
    <s v="LOS ANGELES"/>
    <s v="UNIV SOUTHERN CALIFORNIA, KERCKHOFF HALL, 734 W ADAMS BLVD, MC7725, LOS ANGELES, CA 90089 USA"/>
    <s v="1932-8036"/>
    <s v=""/>
    <s v=""/>
    <s v="INT J COMMUN-US"/>
    <s v="Int. J. Commun."/>
    <s v=""/>
    <x v="1"/>
    <n v="16"/>
    <s v=""/>
    <s v=""/>
    <s v=""/>
    <s v=""/>
    <s v=""/>
    <n v="2669"/>
    <n v="2687"/>
    <s v=""/>
    <s v=""/>
    <s v=""/>
    <s v=""/>
    <s v=""/>
    <n v="19"/>
    <x v="56"/>
    <x v="1"/>
    <s v="Communication"/>
    <s v="T7KQ9"/>
    <s v=""/>
    <s v=""/>
    <s v=""/>
    <s v=""/>
    <s v="2023-11-15"/>
    <s v="WOS:001079739800002"/>
    <s v="View Full Record in Web of Science"/>
    <m/>
  </r>
  <r>
    <x v="241"/>
    <s v="J"/>
    <x v="239"/>
    <s v=""/>
    <s v=""/>
    <s v=""/>
    <s v="Gault, Jimmy; Cuevas, Joshua A."/>
    <s v=""/>
    <s v=""/>
    <x v="239"/>
    <x v="178"/>
    <s v=""/>
    <s v=""/>
    <s v="English"/>
    <s v="Article"/>
    <s v=""/>
    <s v=""/>
    <s v=""/>
    <s v=""/>
    <s v=""/>
    <x v="227"/>
    <x v="194"/>
    <s v="As society becomes more technologically advanced, digital instructional strategies continue to emerge. Students are becoming more involved with technology, and schools must supply students with more tools to succeed in an increasingly technology-based world. This study examined the impact of technology-based strategies in a high school social studies classroom. It focused on blended learning pedagogy in addition to the flexibility of digital strategies and their impact on student achievement and perceptions. The sample comprised 88 students from three 9th grade geography courses. No differences in achievement were found, and there was no correlation between time spent on the digital modules and student learning. However, students reported positive perceptions regarding blended learning, including high confidence in their ability to access information and confidence in interactions regarding collaborations with peers and the teacher. They also most often believed that they were learning more in the blended learning environment and reported high enjoyment."/>
    <s v="[Gault, Jimmy; Cuevas, Joshua A.] Univ North Georgia, Coll Educ, 3820 Mundy Mill Rd, Oakwood, GA 30566 USA"/>
    <s v="University of North Georgia"/>
    <s v="Cuevas, JA (corresponding author), Univ North Georgia, Coll Educ, 3820 Mundy Mill Rd, Oakwood, GA 30566 USA."/>
    <s v="josh.cuevas@ung.edu"/>
    <s v=""/>
    <s v=""/>
    <s v=""/>
    <s v=""/>
    <s v=""/>
    <s v=""/>
    <n v="47"/>
    <n v="2"/>
    <n v="2"/>
    <n v="3"/>
    <n v="6"/>
    <s v="INT SOC TECHNOLOGY EDUCATION &amp; SCIENCE-ISTES"/>
    <s v="MONUMENT"/>
    <s v="19723 LINDENMERE DR, MONUMENT, COLORADO, UNITED STATES"/>
    <s v=""/>
    <s v="2689-2758"/>
    <s v=""/>
    <s v="INT J TECHNOL EDUC"/>
    <s v="Int. J. Technol. Educ."/>
    <s v=""/>
    <x v="1"/>
    <n v="5"/>
    <n v="3"/>
    <s v=""/>
    <s v=""/>
    <s v=""/>
    <s v=""/>
    <n v="383"/>
    <n v="410"/>
    <s v=""/>
    <s v="10.46328/ijte.247"/>
    <s v="http://dx.doi.org/10.46328/ijte.247"/>
    <s v=""/>
    <s v=""/>
    <n v="28"/>
    <x v="39"/>
    <x v="2"/>
    <s v="Education &amp; Educational Research"/>
    <s v="6I5UR"/>
    <s v=""/>
    <s v="gold"/>
    <s v=""/>
    <s v=""/>
    <s v="2023-11-15"/>
    <s v="WOS:000886192900001"/>
    <s v="View Full Record in Web of Science"/>
    <m/>
  </r>
  <r>
    <x v="242"/>
    <s v="J"/>
    <x v="240"/>
    <s v=""/>
    <s v=""/>
    <s v=""/>
    <s v="Godoy-Martin, Francisco Javier"/>
    <s v=""/>
    <s v=""/>
    <x v="240"/>
    <x v="179"/>
    <s v=""/>
    <s v=""/>
    <s v="Spanish"/>
    <s v="Article"/>
    <s v=""/>
    <s v=""/>
    <s v=""/>
    <s v=""/>
    <s v=""/>
    <x v="228"/>
    <x v="1"/>
    <s v="Social media are already part of the communicative routines of most organizations, including communication agencies. Nevertheless, given their duty to serve other companies, these agencies should have an advanced understanding of these platforms, not only in their most profound sense but also in a time-advanced one. In other words, agencies should test emerging social media with the aim of knowing them in-depth and determining whether they serve their communicative purpose. It should be noticed that investment in digital advertising and actions with influencers are greater and greater. Besides, they are platforms that not necessarily remain unalterable, but some of them achieve their life cycle, even disappearing. On this matter, it is necessary to check if agencies really are working on the most recent social networks or only on those which are already consolidated. For such a research, the quantitative method, based on the content analysis, was adopted within a descriptive study. It was used on a sample of the ten communication agencies with the highest billing which operate in Spain. As secondary research objectives, it was considered to analyze the use that agencies do of social media which they are present in, to determine the existence of online content strategies, as well as to value the interaction level of these companies on online channels. The results show that most of analyzed agencies offer web 2.0-related services, such as digital strategy, online content management, monitoring and influencers relations. Social media talking, except for a few cases, communication agencies prefer to maintain a presence on the most consolidated social networks (Twitter, Facebook, Instagram, LinkedIn and YouTube). Furthermore, those are the ones that usually have links on their websites. This does not mean that agencies do not use the more recent applications, but that, mostly, they do not do this for their benefit as a brand. Otherwise they keep them in the background. In fact, some agencies use current platforms, such as Twitch or TikTok, publishing suitable content to their characteristics, which means that agencies know their possibilities, although their use is not still usual among them. Among the commonly used social networks, the activity of these agencies remains along the lines of what has already been concluded in previous academic papers: the purpose of information dissemination prevails with a self-promoting role. Communication agencies keep their social profiles updated and, during the month of research, they constantly published content, especially, information about themselves or about the communication sector, followed by news of common interest, clients news and projects carried out. Finally, although they published content frequently, the interaction with other users is low and, when it happens, it usually has, as mentioned, a self-promoting intention. In conclusion, communication agencies, as other kinds of organizations, are used to introduce social media work in their routines. However, it cannot be said that they are early adopters, at least to self-use. Probably, public relations professionals are researching and going deep in these new platforms, but in a private way, so agencies cannot, or prefer not to show their know-how by doing it."/>
    <s v="[Godoy-Martin, Francisco Javier] Univ Cadiz, Grad Publ Relaciones Publ, Cadiz, Spain"/>
    <s v="Universidad de Cadiz"/>
    <s v="Godoy-Martín, FJ (corresponding author), Univ Cadiz, Grad Publ Relaciones Publ, Cadiz, Spain."/>
    <s v="franciscojavier.godoy@uca.es"/>
    <s v=""/>
    <s v="Godoy Martin, Francisco Javier/0000-0001-5284-2283"/>
    <s v=""/>
    <s v=""/>
    <s v=""/>
    <s v=""/>
    <n v="27"/>
    <n v="0"/>
    <n v="0"/>
    <n v="7"/>
    <n v="19"/>
    <s v="UNIV MALAGA, INST INVESTIGACION RELACIONES PUBLICAS"/>
    <s v="MALAGA"/>
    <s v="CAMPUS TEATINOS, MALAGA, 29071, SPAIN"/>
    <s v="2174-3681"/>
    <s v=""/>
    <s v=""/>
    <s v="REV INT RELAC PUBLIC"/>
    <s v="Rev. Int. Relac. Publicas"/>
    <s v="JAN-JUN"/>
    <x v="1"/>
    <n v="12"/>
    <n v="23"/>
    <s v=""/>
    <s v=""/>
    <s v=""/>
    <s v=""/>
    <n v="225"/>
    <n v="244"/>
    <s v=""/>
    <s v="10.5783/RIRP-23-2022-12-225-244"/>
    <s v="http://dx.doi.org/10.5783/RIRP-23-2022-12-225-244"/>
    <s v=""/>
    <s v=""/>
    <n v="20"/>
    <x v="56"/>
    <x v="2"/>
    <s v="Communication"/>
    <s v="2Z9NV"/>
    <s v=""/>
    <s v="gold"/>
    <s v=""/>
    <s v=""/>
    <s v="2023-11-15"/>
    <s v="WOS:000826896000009"/>
    <s v="View Full Record in Web of Science"/>
    <m/>
  </r>
  <r>
    <x v="243"/>
    <s v="J"/>
    <x v="241"/>
    <s v=""/>
    <s v=""/>
    <s v=""/>
    <s v="Kamariotou, Maria; Kitsios, Fotis; Charatsari, Chrysanthi; Lioutas, Evagelos D.; Talias, Michael A."/>
    <s v=""/>
    <s v=""/>
    <x v="241"/>
    <x v="145"/>
    <s v=""/>
    <s v=""/>
    <s v="English"/>
    <s v="Article"/>
    <s v=""/>
    <s v=""/>
    <s v=""/>
    <s v=""/>
    <s v=""/>
    <x v="229"/>
    <x v="195"/>
    <s v="The specific attributes of agrifood supply chains, along with their importance for the economy and society, have led to an increased interest in the parameters that enhance their effectiveness. Recently, numerous digital tools aimed at improving supply chain effectiveness have been developed. The majority of existing research focuses on optimizing individual processes rather than the overall growth of a food supply chain. This study aims to identify the stages of the information systems planning (ISP) process that affect the success of developing a strategic decision support system (DSS) for improving the decision-making process in the agrifood supply chains. Data were collected from 66 IT executives from Greek small and medium-sized enterprises (SMEs) in the agrifood sector and analyzed using regression analysis. The results revealed that situation analysis is the only stage of ISP that predicts ISP success. These findings can assist managers in appreciating the critical role of ISP for improving the performance of agrifood supply chain operations. Implementing the most appropriate information systems (IS) and digital tools results in increased competitive advantage, cost savings, and increased customer value."/>
    <s v="[Kamariotou, Maria; Kitsios, Fotis] Univ Macedonia, Dept Appl Informat, 156 Egnatia St, GR-54636 Thessaloniki, Greece; [Charatsari, Chrysanthi] Aristotle Univ Thessaloniki, Sch Agr, GR-54124 Thessaloniki, Greece; [Lioutas, Evagelos D.] Int Hellen Univ, Dept Supply Chain Management, Katerini 60100, Greece; [Talias, Michael A.] Open Univ Cyprus, Hlthcare Management Postgrad Program, POB 12794, CY-2252 Nicosia, Cyprus"/>
    <s v="University of Macedonia; Aristotle University of Thessaloniki; Open University of Cyprus"/>
    <s v="Kitsios, F (corresponding author), Univ Macedonia, Dept Appl Informat, 156 Egnatia St, GR-54636 Thessaloniki, Greece."/>
    <s v="mkamariotou@uom.edu.gr; kitsios@uom.gr; chcharat@agro.auth.gr; evagelos@agro.auth.gr; michael.talias@ouc.ac.cy"/>
    <s v="Lioutas, Evagelos/AGK-8015-2022; Lioutas, Evagelos/W-9206-2019; Talias, Michael A./R-1867-2017; Charatsari, Chrysanthi/X-2312-2019; Kamariotou, Maria/AAZ-8488-2021; Kitsios, Fotis C./B-2286-2017"/>
    <s v="Lioutas, Evagelos/0000-0003-3784-9553; Talias, Michael A./0000-0002-1802-5586; Charatsari, Chrysanthi/0000-0002-9160-3469; Kamariotou, Maria/0000-0002-7873-9265; Kitsios, Fotis C./0000-0001-7269-5567"/>
    <s v=""/>
    <s v=""/>
    <s v=""/>
    <s v=""/>
    <n v="84"/>
    <n v="3"/>
    <n v="3"/>
    <n v="10"/>
    <n v="38"/>
    <s v="MDPI"/>
    <s v="BASEL"/>
    <s v="ST ALBAN-ANLAGE 66, CH-4052 BASEL, SWITZERLAND"/>
    <s v=""/>
    <s v="1424-8220"/>
    <s v=""/>
    <s v="SENSORS-BASEL"/>
    <s v="Sensors"/>
    <s v="JAN"/>
    <x v="1"/>
    <n v="22"/>
    <n v="1"/>
    <s v=""/>
    <s v=""/>
    <s v=""/>
    <s v=""/>
    <s v=""/>
    <s v=""/>
    <n v="274"/>
    <s v="10.3390/s22010274"/>
    <s v="http://dx.doi.org/10.3390/s22010274"/>
    <s v=""/>
    <s v=""/>
    <n v="14"/>
    <x v="81"/>
    <x v="0"/>
    <s v="Chemistry; Engineering; Instruments &amp; Instrumentation"/>
    <s v="YE8OJ"/>
    <n v="35009816"/>
    <s v="gold, Green Published"/>
    <s v=""/>
    <s v=""/>
    <s v="2023-11-15"/>
    <s v="WOS:000741378600001"/>
    <s v="View Full Record in Web of Science"/>
    <m/>
  </r>
  <r>
    <x v="244"/>
    <s v="J"/>
    <x v="242"/>
    <s v=""/>
    <s v=""/>
    <s v=""/>
    <s v="Letsio, A.; Polyzos, N.; Poulopoulos, Ch; Skamnakis, Ch"/>
    <s v=""/>
    <s v=""/>
    <x v="242"/>
    <x v="180"/>
    <s v=""/>
    <s v=""/>
    <s v="English"/>
    <s v="Article"/>
    <s v=""/>
    <s v=""/>
    <s v=""/>
    <s v=""/>
    <s v=""/>
    <x v="230"/>
    <x v="196"/>
    <s v="Background: The performance of the public hospitals of the National Health System (NHS) of Greece, as reflected in their financial and operational results, is related to their strategic planning and the factors that influence the accomplishment of their objectives. Method: The organizational performance of NHS hospitals was assessed by analyzing their operational and financial data for the period 2010-2020 (recorded by the BI-Health system of the Ministry of Health). Based on internationally accepted factors that influence the successful implementation of strategic planning and the achievement of its objectives, a structured questionnaire consisting of 11 demographic and 93 (on a scale of 1 to 7) factor-related questions was developed and addressed to 56 managers and senior executives. Their response was analyzed using descriptive statistical methods and inference, and significant factors were extracted using Principal Components Analysis. Results: Hospitals reduced their expenditure from 2010 to 2015 by 34.6 %, while the number of inpatients increased by 5.9 %. However, expenditure increased by 41.2 % in the period 2016-2020, while concurrently, inpatients rose by 14.7 %. Outpatient and emergency department visits remained almost stable (6.5 and 4.8 million/year, respectively), during 2010-2015, while increased by 14.5 % till 2020. The average length of stay decreased from 4.1 in 2010 to 3.8 in 2015 and 3.4 in 2020. The survey data showed that NHS hospitals' strategic plan is well documented, but its actual implementation is moderate; The achievement of the objectives related to clinical work, quality improvement of services, human resources development, financial strategy, asset strategy, digital strategy, communication and engagement strategy, and research might be good; chief executive officers, nurses, laboratory physicians, and administrators receive a positive grade of participation while the Board of Directors, physicians, employee representatives and the School of Medicine/University receive a moderate grade. The factors: elements of strategic planning (33.6 %), evaluation of services and staff (20.5 %), employees' commitment and involvement (20.1 %), and operational outcomes and performance (8.9 %), as derived from the principal component analysis, had the highest impact on achieving their financial and operational objectives, as assessed by the views of the managers of the 35 NHS hospitals. Conclusion: The NHS hospitals increased their efficiency from 2010 to 2020 but failed to maintain control over their expenditure. Through their clinical managers and other employees' representatives, chief executive officers and the Board of Directors need to improve planning formulation, staff involvement and utilization, financial performance, and outcomes as their primary commitment among health policy and management sectors in the Greek NHS."/>
    <s v="[Letsio, A.; Polyzos, N.; Poulopoulos, Ch] Democritus Univ Thrace, Dept Social Work Sch Social Polit &amp; Econ Sci, Komotini, Greece; [Skamnakis, Ch] Pante Univ, Dept Social Policy, Athens, Greece; [Letsio, A.] 42 Byzantiou Str, Athens 16232, Greece"/>
    <s v="Democritus University of Thrace; Panteion University"/>
    <s v="Letsio, A (corresponding author), 42 Byzantiou Str, Athens 16232, Greece."/>
    <s v="apostolos.letsios@gmail.com"/>
    <s v=""/>
    <s v=""/>
    <s v=""/>
    <s v=""/>
    <s v=""/>
    <s v=""/>
    <n v="31"/>
    <n v="0"/>
    <n v="0"/>
    <n v="1"/>
    <n v="1"/>
    <s v="LITHOGRAPHIA"/>
    <s v="THESSALONIKI"/>
    <s v="ANTONIADIS I-PSARRAS TH G P, NEA REDESTOS, THESSALONIKI, 00000, GREECE"/>
    <s v="1108-4189"/>
    <s v=""/>
    <s v=""/>
    <s v="HIPPOKRATIA"/>
    <s v="Hippokratia"/>
    <s v=""/>
    <x v="1"/>
    <n v="26"/>
    <n v="3"/>
    <s v=""/>
    <s v=""/>
    <s v=""/>
    <s v=""/>
    <n v="91"/>
    <n v="97"/>
    <s v=""/>
    <s v=""/>
    <s v=""/>
    <s v=""/>
    <s v=""/>
    <n v="7"/>
    <x v="28"/>
    <x v="0"/>
    <s v="General &amp; Internal Medicine"/>
    <s v="L4ZC4"/>
    <n v="37324045"/>
    <s v=""/>
    <s v=""/>
    <s v=""/>
    <s v="2023-11-15"/>
    <s v="WOS:001023353200001"/>
    <s v="View Full Record in Web of Science"/>
    <m/>
  </r>
  <r>
    <x v="245"/>
    <s v="J"/>
    <x v="243"/>
    <s v=""/>
    <s v=""/>
    <s v=""/>
    <s v="Macababbad Zamora, Gina"/>
    <s v=""/>
    <s v=""/>
    <x v="243"/>
    <x v="143"/>
    <s v=""/>
    <s v=""/>
    <s v="English"/>
    <s v="Article"/>
    <s v=""/>
    <s v=""/>
    <s v=""/>
    <s v=""/>
    <s v=""/>
    <x v="231"/>
    <x v="197"/>
    <s v="Every student's heart and spirit are instilled with all they learn in school. For those students who are in severe need of it, it is the most effective cure for lack of education that has ever been identified. It is revealed in this study that medical laboratory students have had academic lived-experiences in digital learning, as well as their appreciation of the motivational learning strategies that have been adopted by their professors. It was decided to use the qualitative research method for this investigation. The research approach included investigating or unraveling the lived-experiences of Medical laboratory Science students in an online learning environment, as well as the impact of these experiences on their scholastic standing. It also included investigating the attitudes of students toward flexible learning. As a result of the iterative and analytical examination of the data, the following categories were identified from the open-ended response questions: flexibility and time convenience; self-confidence in discussion posts; a lack of support; language and linguistics differences (cultural); and a lack of self-regulated learning skills. Flexible and convenient scheduling, student trust in discussion postings, disparities in language and linguistics, a lack of self-regulated learning skills, and a lack of assistance were all shown by the students' responses to the open-ended questions. Faculty members must make an effort to incorporate diversity into their curriculum in order to ensure that all students are supported and met in their educational efforts."/>
    <s v="[Macababbad Zamora, Gina] Cagayan State Univ, Andrews Campus, Tuguegarao City, Philippines"/>
    <s v="Cagayan State University"/>
    <s v="Zamora, GM (corresponding author), Cagayan State Univ, Andrews Campus, Tuguegarao City, Philippines."/>
    <s v="gmzmsmt0530@gmail.com"/>
    <s v=""/>
    <s v=""/>
    <s v=""/>
    <s v=""/>
    <s v=""/>
    <s v=""/>
    <n v="17"/>
    <n v="0"/>
    <n v="0"/>
    <n v="1"/>
    <n v="2"/>
    <s v="ANADOLU UNIV"/>
    <s v="ESKISEHIR"/>
    <s v="INST FINE ARTS, ESKISEHIR, 26470, TURKEY"/>
    <s v="1308-5581"/>
    <s v=""/>
    <s v=""/>
    <s v="INT J EARLY CHILD SP"/>
    <s v="Int. J. Early Child. Spec. Educ."/>
    <s v=""/>
    <x v="1"/>
    <n v="14"/>
    <n v="2"/>
    <s v=""/>
    <s v=""/>
    <s v=""/>
    <s v=""/>
    <n v="2642"/>
    <n v="2647"/>
    <s v=""/>
    <s v="10.9756/INT-JECSE/V14I2.248"/>
    <s v="http://dx.doi.org/10.9756/INT-JECSE/V14I2.248"/>
    <s v=""/>
    <s v=""/>
    <n v="6"/>
    <x v="80"/>
    <x v="2"/>
    <s v="Education &amp; Educational Research"/>
    <s v="1V7BX"/>
    <s v=""/>
    <s v=""/>
    <s v=""/>
    <s v=""/>
    <s v="2023-11-15"/>
    <s v="WOS:000806241600015"/>
    <s v="View Full Record in Web of Science"/>
    <m/>
  </r>
  <r>
    <x v="246"/>
    <s v="B"/>
    <x v="244"/>
    <s v=""/>
    <s v="Kazeroony, HH; Tsang, D"/>
    <s v=""/>
    <s v="Murayama, Meiko"/>
    <s v=""/>
    <s v=""/>
    <x v="244"/>
    <x v="181"/>
    <s v="Routledge Advances in Management and Business Studies"/>
    <s v=""/>
    <s v="English"/>
    <s v="Article; Book Chapter"/>
    <s v=""/>
    <s v=""/>
    <s v=""/>
    <s v=""/>
    <s v=""/>
    <x v="8"/>
    <x v="198"/>
    <s v=""/>
    <s v="[Murayama, Meiko] Univ Reading, Reading, Berks, England; [Murayama, Meiko] Akita Int Univ, Akita, Japan"/>
    <s v="University of Reading; Akita International University"/>
    <s v="Murayama, M (corresponding author), Univ Reading, Reading, Berks, England.;Murayama, M (corresponding author), Akita Int Univ, Akita, Japan."/>
    <s v=""/>
    <s v=""/>
    <s v=""/>
    <s v=""/>
    <s v=""/>
    <s v=""/>
    <s v=""/>
    <n v="87"/>
    <n v="0"/>
    <n v="0"/>
    <n v="0"/>
    <n v="0"/>
    <s v="ROUTLEDGE"/>
    <s v="ABINGDON"/>
    <s v="2 PARK SQ, MILTON PARK, ABINGDON OX14 4RN, OXFORD, ENGLAND"/>
    <s v=""/>
    <s v=""/>
    <s v="978-1-032-06108-5; 978-1-003-01770-7; 978-0-367-86111-7"/>
    <s v="ROUTL ADV MANAG BUS"/>
    <s v=""/>
    <s v=""/>
    <x v="1"/>
    <s v=""/>
    <s v=""/>
    <s v=""/>
    <s v=""/>
    <s v=""/>
    <s v=""/>
    <n v="7"/>
    <n v="29"/>
    <s v=""/>
    <s v=""/>
    <s v=""/>
    <s v=""/>
    <s v=""/>
    <n v="23"/>
    <x v="94"/>
    <x v="7"/>
    <s v="Business &amp; Economics; Education &amp; Educational Research"/>
    <s v="BT5VM"/>
    <s v=""/>
    <s v=""/>
    <s v=""/>
    <s v=""/>
    <s v="2023-11-15"/>
    <s v="WOS:000838665700003"/>
    <s v="View Full Record in Web of Science"/>
    <m/>
  </r>
  <r>
    <x v="247"/>
    <s v="J"/>
    <x v="245"/>
    <s v=""/>
    <s v=""/>
    <s v=""/>
    <s v="Ng, Pai Chet; Spachos, Petros; Gregori, Stefano; Plataniotis, Konstantinos N."/>
    <s v=""/>
    <s v=""/>
    <x v="245"/>
    <x v="82"/>
    <s v=""/>
    <s v=""/>
    <s v="English"/>
    <s v="Article"/>
    <s v=""/>
    <s v=""/>
    <s v=""/>
    <s v=""/>
    <s v=""/>
    <x v="232"/>
    <x v="199"/>
    <s v="The recent pandemic revealed weaknesses in several areas, including the limited capacity of public health systems for efficient case tracking and reporting. In the post-pandemic era, it is essential to be ready and provide not only preventive measures, but also effective digital strategies and solutions to protect our population from future outbreaks. This work presents a contact tracing solution based on wearable devices to track epidemic exposure. Our proximity-based privacy-preserving contact tracing (P3CT) integrates: 1) the Bluetooth Low Energy (BLE) technology for reliable proximity sensing, 2) a machine-learning approach to classify the exposure risk of a user, and 3) an ambient signature protocol for preserving the user's identity. Proximity sensing exploits the signals emitted from a smartwatch to estimate users' interaction, in terms of distance and duration. Supervised learning is then used to train four classification models to identify the exposure risk of a user with respect to a patient diagnosed with an infectious disease. Finally, our proposed P3CT protocol uses ambient signatures to anonymize the infected patient's identity. Extensive experiments demonstrate the feasibility of our proposed solution for real-world contact tracing problems. The large-scale dataset consisting of the signal information collected from the smartwatch is available online. According to experimental results, wearable devices along with machine learning models are a promising approach for epidemic exposure notification and tracking."/>
    <s v="[Ng, Pai Chet; Spachos, Petros; Gregori, Stefano] Univ Guelph, Sch Engn, Guelph, ON N1G 2W1, Canada; [Ng, Pai Chet; Plataniotis, Konstantinos N.] Univ Toronto, Dept Elect &amp; Comp Engn, Toronto, ON M5S 3G8, Canada"/>
    <s v="University of Guelph; University of Toronto"/>
    <s v="Spachos, P (corresponding author), Univ Guelph, Sch Engn, Guelph, ON N1G 2W1, Canada."/>
    <s v="petros@uoguelph.ca"/>
    <s v="Ng, Pc/ITV-2513-2023; Gregori, Stefano/U-8583-2019; Plataniotis, Konstantinos/E-8471-2014"/>
    <s v="Gregori, Stefano/0000-0001-5410-1139; Plataniotis, Konstantinos/0000-0003-3647-5473"/>
    <s v="Natural Sciences and Engineering Research Council of Canada (NSERC) [401656]"/>
    <s v="Natural Sciences and Engineering Research Council of Canada (NSERC)(Natural Sciences and Engineering Research Council of Canada (NSERC))"/>
    <s v="This work was supported in part by the Natural Sciences and Engineering Research Council of Canada (NSERC) through the NSERC Alliance COVID-19 grant #401656."/>
    <s v=""/>
    <n v="39"/>
    <n v="2"/>
    <n v="2"/>
    <n v="0"/>
    <n v="4"/>
    <s v="IEEE-INST ELECTRICAL ELECTRONICS ENGINEERS INC"/>
    <s v="PISCATAWAY"/>
    <s v="445 HOES LANE, PISCATAWAY, NJ 08855-4141 USA"/>
    <s v="2169-3536"/>
    <s v=""/>
    <s v=""/>
    <s v="IEEE ACCESS"/>
    <s v="IEEE Access"/>
    <s v=""/>
    <x v="1"/>
    <n v="10"/>
    <s v=""/>
    <s v=""/>
    <s v=""/>
    <s v=""/>
    <s v=""/>
    <n v="14134"/>
    <n v="14148"/>
    <s v=""/>
    <s v="10.1109/ACCESS.2022.3148051"/>
    <s v="http://dx.doi.org/10.1109/ACCESS.2022.3148051"/>
    <s v=""/>
    <s v=""/>
    <n v="15"/>
    <x v="54"/>
    <x v="0"/>
    <s v="Computer Science; Engineering; Telecommunications"/>
    <s v="YW4SM"/>
    <s v=""/>
    <s v="gold"/>
    <s v=""/>
    <s v=""/>
    <s v="2023-11-15"/>
    <s v="WOS:000753404200001"/>
    <s v="View Full Record in Web of Science"/>
    <m/>
  </r>
  <r>
    <x v="248"/>
    <s v="J"/>
    <x v="246"/>
    <s v=""/>
    <s v=""/>
    <s v=""/>
    <s v="Nishanov, Akhram Khasanovich; Norboyo'g'li, Saidrasulov Sherzod; Satimbaevich, Babadjanov Elmurad"/>
    <s v=""/>
    <s v=""/>
    <x v="246"/>
    <x v="143"/>
    <s v=""/>
    <s v=""/>
    <s v="English"/>
    <s v="Article"/>
    <s v=""/>
    <s v=""/>
    <s v=""/>
    <s v=""/>
    <s v=""/>
    <x v="233"/>
    <x v="1"/>
    <s v="This article discusses the new rating assessment methodology approved by the Cabinet of Ministers of the Republic of Uzbekistan on June 15, 2021 On measures to further improve the rating system of the digital economy and e-government No. 373. initially the indicators are examined. In accordance with the Strategy Digital Uzbekistan - 2030 in order to assess the state of digital transformation in the regions, a methodology for rating the level of digital development of regions was developed, which made it possible to diagnose the state of digitalization in the regions. In the rating assessment methodology, the indicators used by the United Nations (UN) to assess the development of information technology and the introduction of e-government in countries around the world have been adopted."/>
    <s v="[Nishanov, Akhram Khasanovich] Tashkent Univ Informat Technol, Dept Software Informat Technol, Tashkent, Uzbekistan; [Norboyo'g'li, Saidrasulov Sherzod] Minist Innovat Dev Republ Uzbekistan, Dept Intro Digital Technol Innovat Act, Tashkent, Uzbekistan; [Satimbaevich, Babadjanov Elmurad] Tashkent Univ Informat Technol, Nukus Branch, Dept Informat Secur, Tashkent, Uzbekistan"/>
    <s v="Tashkent University of Information Technologies; Ministry of Innovative Development of the Republic of Uzbekistan; Tashkent University of Information Technologies"/>
    <s v="Norboyo'g'li, SS (corresponding author), Minist Innovat Dev Republ Uzbekistan, Dept Intro Digital Technol Innovat Act, Tashkent, Uzbekistan."/>
    <s v="sh.saidrasulov@mininnovation.uz"/>
    <s v="Akhram, Nishanov Khasanovich/AAQ-9342-2021"/>
    <s v=""/>
    <s v=""/>
    <s v=""/>
    <s v=""/>
    <s v=""/>
    <n v="4"/>
    <n v="0"/>
    <n v="0"/>
    <n v="0"/>
    <n v="7"/>
    <s v="ANADOLU UNIV"/>
    <s v="ESKISEHIR"/>
    <s v="INST FINE ARTS, ESKISEHIR, 26470, TURKEY"/>
    <s v="1308-5581"/>
    <s v=""/>
    <s v=""/>
    <s v="INT J EARLY CHILD SP"/>
    <s v="Int. J. Early Child. Spec. Educ."/>
    <s v=""/>
    <x v="1"/>
    <n v="14"/>
    <n v="2"/>
    <s v=""/>
    <s v=""/>
    <s v=""/>
    <s v=""/>
    <n v="2447"/>
    <n v="2452"/>
    <s v=""/>
    <s v="10.9756/INT-JECSE/V14I2.230"/>
    <s v="http://dx.doi.org/10.9756/INT-JECSE/V14I2.230"/>
    <s v=""/>
    <s v=""/>
    <n v="6"/>
    <x v="80"/>
    <x v="2"/>
    <s v="Education &amp; Educational Research"/>
    <s v="1V3YY"/>
    <s v=""/>
    <s v=""/>
    <s v=""/>
    <s v=""/>
    <s v="2023-11-15"/>
    <s v="WOS:000806030700037"/>
    <s v="View Full Record in Web of Science"/>
    <m/>
  </r>
  <r>
    <x v="249"/>
    <s v="J"/>
    <x v="247"/>
    <s v=""/>
    <s v=""/>
    <s v=""/>
    <s v="Payutvorased, Rinyapat; Sukwatthana, Saijaisiri"/>
    <s v=""/>
    <s v=""/>
    <x v="247"/>
    <x v="143"/>
    <s v=""/>
    <s v=""/>
    <s v="English"/>
    <s v="Article"/>
    <s v=""/>
    <s v=""/>
    <s v=""/>
    <s v=""/>
    <s v=""/>
    <x v="234"/>
    <x v="200"/>
    <s v="The purpose of this research was to study big data, social media, Web Data, Sensor, Mobile Usage correlating to Strategic Digital Marketing Development: A Case Study of an Online Entrepreneur in Facebook During emerging diseases of the Novel Coronavirus 2019 (COVID-19) pandemic is quantitative research in the research is a group of entrepreneurs selling online products, a total of 1,332 people determined the sample size by Taro Yamane (1973) was a sample size of 400 people. questionnaire created by the researcher which is a 5-level estimator and the data is analyzed by means of the standard deviation and the statistic used to test the hypothesis were multiple regression analysis. The results showed that Big data, Social Media, Web Data, Sensor, Mobile Usage correlates with the Strategic Digital Marketing Development: A Case Study of an Online Entrepreneur in Facebook During emerging diseases of the Novel Coronavirus 2019 (COVID-19) pandemic statistically significant .05"/>
    <s v="[Payutvorased, Rinyapat] Rattana Bundit Univ, Coll Business &amp; Finance, Bangkok, Thailand; [Sukwatthana, Saijaisiri] Rattana Bundit Univ, Fac Business &amp; Financial Management, Bangkok, Thailand"/>
    <s v=""/>
    <s v="Payutvorased, R (corresponding author), Rattana Bundit Univ, Coll Business &amp; Finance, Bangkok, Thailand."/>
    <s v=""/>
    <s v=""/>
    <s v=""/>
    <s v=""/>
    <s v=""/>
    <s v=""/>
    <s v=""/>
    <n v="13"/>
    <n v="0"/>
    <n v="0"/>
    <n v="2"/>
    <n v="10"/>
    <s v="ANADOLU UNIV"/>
    <s v="ESKISEHIR"/>
    <s v="INST FINE ARTS, ESKISEHIR, 26470, TURKEY"/>
    <s v="1308-5581"/>
    <s v=""/>
    <s v=""/>
    <s v="INT J EARLY CHILD SP"/>
    <s v="Int. J. Early Child. Spec. Educ."/>
    <s v=""/>
    <x v="1"/>
    <n v="14"/>
    <n v="2"/>
    <s v=""/>
    <s v=""/>
    <s v=""/>
    <s v=""/>
    <n v="6584"/>
    <n v="6591"/>
    <s v=""/>
    <s v="10.9756/INT-JECSE/V14I2.750"/>
    <s v="http://dx.doi.org/10.9756/INT-JECSE/V14I2.750"/>
    <s v=""/>
    <s v=""/>
    <n v="8"/>
    <x v="80"/>
    <x v="2"/>
    <s v="Education &amp; Educational Research"/>
    <s v="2Z9HK"/>
    <s v=""/>
    <s v=""/>
    <s v=""/>
    <s v=""/>
    <s v="2023-11-15"/>
    <s v="WOS:000826879200029"/>
    <s v="View Full Record in Web of Science"/>
    <m/>
  </r>
  <r>
    <x v="250"/>
    <s v="J"/>
    <x v="248"/>
    <s v=""/>
    <s v=""/>
    <s v=""/>
    <s v="Peres-Neto, Luiz"/>
    <s v=""/>
    <s v=""/>
    <x v="248"/>
    <x v="84"/>
    <s v=""/>
    <s v=""/>
    <s v="English"/>
    <s v="Article"/>
    <s v=""/>
    <s v=""/>
    <s v=""/>
    <s v=""/>
    <s v=""/>
    <x v="235"/>
    <x v="201"/>
    <s v="The ascendency of Jair Bolsonaro to the presidency of Brazil in 2018 put the role of traditional media companies and jour-nalists under the spotlight. Bad news or opinions against his government have been officially treated as fake, inaccurate, or false information. In this context, data show a decrease in news trust and growing news consumption through platforms. According to the 2021 Reuters Institute report on news trust, only 21% of Brazilians trust the press as an institution, with 71% using social media platforms to be informed. As part of a broad and complex crisis of the traditional intermediary model, several journalists appeared in the Brazilian public sphere as influencers on social media platforms such as Twitter. Based on a qualitative perspective, this article aims to research the role of journalists as political influencers and their use of Twitter to express their voices. A sample of 10 journalists with more than 10,000 followers on Twitter, five working for traditional media and five from native digital media, were interviewed in depth. We realized that they use their digital capital in two political directions. On the one hand, as part of a digital strategy promoted by media outlets to gain attention and call the audience, journalists share their spots and comments on daily issues. On the other hand, in a polarized political context, journalists have found Twitter a means to express their voices in a context of increasing violence and restrictions on free expression among this collective."/>
    <s v="[Peres-Neto, Luiz] Autonomous Univ Barcelona, Dept Journalism &amp; Commun Sci, Barcelona, Spain"/>
    <s v="Autonomous University of Barcelona"/>
    <s v="Peres-Neto, L (corresponding author), Autonomous Univ Barcelona, Dept Journalism &amp; Commun Sci, Barcelona, Spain."/>
    <s v="luiz.peres@uab.cat"/>
    <s v="Peres-Neto, Luiz/ABF-8201-2021"/>
    <s v="Peres-Neto, Luiz/0000-0001-8190-8720"/>
    <s v=""/>
    <s v=""/>
    <s v=""/>
    <s v=""/>
    <n v="61"/>
    <n v="3"/>
    <n v="3"/>
    <n v="6"/>
    <n v="15"/>
    <s v="COGITATIO PRESS"/>
    <s v="LISBON"/>
    <s v="RUA FIALHO ALMEIDA 14, 2 ESQ, LISBON, 1070-129, PORTUGAL"/>
    <s v="2183-2439"/>
    <s v=""/>
    <s v=""/>
    <s v="MEDIA COMMUN-LISBON"/>
    <s v="Media Commun."/>
    <s v=""/>
    <x v="1"/>
    <n v="10"/>
    <n v="3"/>
    <s v=""/>
    <s v=""/>
    <s v=""/>
    <s v=""/>
    <n v="28"/>
    <n v="38"/>
    <s v=""/>
    <s v="10.17645/mac.v10i3.5363"/>
    <s v="http://dx.doi.org/10.17645/mac.v10i3.5363"/>
    <s v=""/>
    <s v=""/>
    <n v="11"/>
    <x v="56"/>
    <x v="1"/>
    <s v="Communication"/>
    <s v="3R1AL"/>
    <s v=""/>
    <s v="gold, Green Published"/>
    <s v=""/>
    <s v=""/>
    <s v="2023-11-15"/>
    <s v="WOS:000838651500004"/>
    <s v="View Full Record in Web of Science"/>
    <m/>
  </r>
  <r>
    <x v="251"/>
    <s v="J"/>
    <x v="249"/>
    <s v=""/>
    <s v=""/>
    <s v=""/>
    <s v="Pesci, Ariann; Teza, Giordano; Loddo, Fabiana; Fabris, Massimo; Monego, Michele; Amoroso, Sara"/>
    <s v=""/>
    <s v=""/>
    <x v="249"/>
    <x v="182"/>
    <s v=""/>
    <s v=""/>
    <s v="Italian"/>
    <s v="Article"/>
    <s v=""/>
    <s v=""/>
    <s v=""/>
    <s v=""/>
    <s v=""/>
    <x v="236"/>
    <x v="1"/>
    <s v="Structure from Motion (SfM) photogrammetry is based on the use of algorithms allowing the automatically identification of a large amount of homologous points (or pixels) between images overlapping areas. The coordinates of the homologous points (provided in different reference systems for each acquisition), allow the images alignment meaning the internal and external camera calibration. The number and the distribution of homologous points drives the entire procedure of photogrammetric restitution. In some cases, due to a fatal combination of acquisition strategy, digital cameras and software, anomalies could occur causing systematic effects in the point clouds representing the observed surfaces. This paper shows the results obtained from SfM surveys carried out as part of a project for the study of deformations due to the phenomenon of liquefaction by comparing multi-temporal models. This is the only case we have observed in years of SfM survey experience in which there are systematic effects preventing the direct use of the point clouds obtained using Photoscan (versions 1.1.2 and 1.7.0). Some approaches aimed at mitigating the distortions by balancing the distribution of homologous points and inhibiting the adjustment of internal camera calibration are used to improve results. A reference Terrestrial Laser Scanning (TLS) survey allowed the evaluation unexpected problems. Finally, the images data set processed by means of Metashape (1.5.0), a new improved version of Photoscan, provide good results free from systematism proving the greater efficiency of new algorithms for homologous points selection optimization. Since Photoscan is a very widespread product and also used within the INGV, it is believed that this experience can be useful to many operators involved in monitoring and studying surface deformations."/>
    <s v="[Pesci, Ariann; Loddo, Fabiana] Ist Nazl Geofis &amp; Vulcanol, INGV, Sez Bologna, Rome, Italy; [Teza, Giordano] Univ Padua, Dipartimento Geosci, Padua, Italy; [Fabris, Massimo; Monego, Michele] Univ Padua, Dipartimento ICEA, Padua, Italy; [Amoroso, Sara] Univ G dAnnunzio, Dipartimento Ingn &amp; Geol, Chieti, Italy; [Amoroso, Sara] INGV Ist Nazl Geofis &amp; Vulcanol, Sez Sismol &amp; Tettonofis, Rome, Italy"/>
    <s v="Istituto Nazionale Geofisica e Vulcanologia (INGV); University of Padua; University of Padua; G d'Annunzio University of Chieti-Pescara; Istituto Nazionale Geofisica e Vulcanologia (INGV)"/>
    <s v="Pesci, A (corresponding author), Ist Nazl Geofis &amp; Vulcanol, INGV, Sez Bologna, Rome, Italy."/>
    <s v=""/>
    <s v="Amoroso, Sara/L-7179-2014"/>
    <s v="Amoroso, Sara/0000-0001-5835-079X"/>
    <s v=""/>
    <s v=""/>
    <s v=""/>
    <s v=""/>
    <n v="18"/>
    <n v="0"/>
    <n v="0"/>
    <n v="0"/>
    <n v="3"/>
    <s v="IST NAZIONALE GEOFISICA &amp; VULCANOLOGIA-INGV"/>
    <s v="ROME"/>
    <s v="VIA VIGNA MURATA, 605, ROME, 00143, ITALY"/>
    <s v="1590-2595"/>
    <s v=""/>
    <s v=""/>
    <s v="QUAD GEOFIS"/>
    <s v="Quad. Geofis."/>
    <s v=""/>
    <x v="1"/>
    <s v=""/>
    <n v="177"/>
    <s v=""/>
    <s v=""/>
    <s v=""/>
    <s v=""/>
    <n v="1"/>
    <n v="22"/>
    <s v=""/>
    <s v="10.13127/qdg/177"/>
    <s v="http://dx.doi.org/10.13127/qdg/177"/>
    <s v=""/>
    <s v=""/>
    <n v="22"/>
    <x v="95"/>
    <x v="2"/>
    <s v="Geochemistry &amp; Geophysics"/>
    <s v="1L3KT"/>
    <s v=""/>
    <s v=""/>
    <s v=""/>
    <s v=""/>
    <s v="2023-11-15"/>
    <s v="WOS:000799191100001"/>
    <s v="View Full Record in Web of Science"/>
    <m/>
  </r>
  <r>
    <x v="252"/>
    <s v="J"/>
    <x v="250"/>
    <s v=""/>
    <s v=""/>
    <s v=""/>
    <s v="Sakas, Damianos P.; Giannakopoulos, Nikolaos T.; Kanellos, Nikos; Migkos, Stavros P."/>
    <s v=""/>
    <s v=""/>
    <x v="250"/>
    <x v="82"/>
    <s v=""/>
    <s v=""/>
    <s v="English"/>
    <s v="Article"/>
    <s v=""/>
    <s v=""/>
    <s v=""/>
    <s v=""/>
    <s v=""/>
    <x v="237"/>
    <x v="168"/>
    <s v="Nowadays, the cryptocurrency market is thriving, through the rise in cryptocurrency trading, opening the way for cryptocurrency trading websites' optimization. Optimization of customer satisfaction is a vital part of cryptocurrency trade organizations' digital marketing problems. It is vital to keep digital advertisement costs low while driving more traffic to a website. This study aims to define a digital marketing strategy for cryptocurrency trading websites by utilizing digital behavior metrics. Web analytics data were gathered from 10 world-leading cryptocurrency trade websites over 80 days. Statistical analysis of cryptocurrency trade web analytics, Fuzzy Cognitive Mapping modeling, and Agent-Based Model development have been deployed. Enhancement of cryptocurrency trade digital engagement levels can boost organizations' SEO and SEM strategy campaigns. Outputs of the study provide a handful of insights regarding cryptocurrency trading websites' digital promotion strategy optimization and the parameters of digital behavior mostly connected with websites' digital marketing costs and traffic. Cryptocurrency trade organizations should utilize both organic and paid campaigns, observe regularly their website KPIs connected with visitors' behavior and enhance their website users' experience, by increasing their engagement."/>
    <s v="[Sakas, Damianos P.; Giannakopoulos, Nikolaos T.; Kanellos, Nikos] Agr Univ Athens, Sch Appl Econ &amp; Social Sci, Dept Agribusiness &amp; Supply Chain Management, BICTEVAC Lab, Athens 11855, Greece; [Migkos, Stavros P.] Univ Western Macedonia, Sch Econ Sci, Dept Int &amp; European Econ Studies, Kozani 50100, Greece"/>
    <s v="Agricultural University of Athens; University of Western Macedonia"/>
    <s v="Giannakopoulos, NT (corresponding author), Agr Univ Athens, Sch Appl Econ &amp; Social Sci, Dept Agribusiness &amp; Supply Chain Management, BICTEVAC Lab, Athens 11855, Greece."/>
    <s v="n.giannakopoulos@aua.gr"/>
    <s v="Giannakopoulos, Nikolaos/HZJ-9352-2023"/>
    <s v="Giannakopoulos, Nikolaos T./0000-0002-4480-5893; Migkos, Stavros/0000-0003-2356-5568"/>
    <s v=""/>
    <s v=""/>
    <s v=""/>
    <s v=""/>
    <n v="72"/>
    <n v="5"/>
    <n v="5"/>
    <n v="5"/>
    <n v="18"/>
    <s v="IEEE-INST ELECTRICAL ELECTRONICS ENGINEERS INC"/>
    <s v="PISCATAWAY"/>
    <s v="445 HOES LANE, PISCATAWAY, NJ 08855-4141 USA"/>
    <s v="2169-3536"/>
    <s v=""/>
    <s v=""/>
    <s v="IEEE ACCESS"/>
    <s v="IEEE Access"/>
    <s v=""/>
    <x v="1"/>
    <n v="10"/>
    <s v=""/>
    <s v=""/>
    <s v=""/>
    <s v=""/>
    <s v=""/>
    <n v="63163"/>
    <n v="63176"/>
    <s v=""/>
    <s v="10.1109/ACCESS.2022.3182396"/>
    <s v="http://dx.doi.org/10.1109/ACCESS.2022.3182396"/>
    <s v=""/>
    <s v=""/>
    <n v="14"/>
    <x v="54"/>
    <x v="0"/>
    <s v="Computer Science; Engineering; Telecommunications"/>
    <s v="2H8JK"/>
    <s v=""/>
    <s v="gold"/>
    <s v=""/>
    <s v=""/>
    <s v="2023-11-15"/>
    <s v="WOS:000814535000001"/>
    <s v="View Full Record in Web of Science"/>
    <m/>
  </r>
  <r>
    <x v="253"/>
    <s v="J"/>
    <x v="251"/>
    <s v=""/>
    <s v=""/>
    <s v=""/>
    <s v="Sangil, Luis; Salaverria, Ramon; Javier Perez-Latre, Francisco"/>
    <s v=""/>
    <s v=""/>
    <x v="251"/>
    <x v="183"/>
    <s v=""/>
    <s v=""/>
    <s v="English"/>
    <s v="Article"/>
    <s v=""/>
    <s v=""/>
    <s v=""/>
    <s v=""/>
    <s v=""/>
    <x v="238"/>
    <x v="202"/>
    <s v="This paper addresses how Unidad Editorial, publisher of El Mundo newspaper, understood the digital business and the role that it has given to elmundo.es within the strategy over the years. The stages of evolution in the twenty-five years since its beginning (1996-2021) are described, which were conditioned by external and internal factors. Among the external ones, the ???dot-com bubble???, the economic crisis in 2008 and the economic exploitation due to the handling of large volumes of data, big data, are especially important. Regarding internal components, the most important was the merger with Recoletos media company and the management by brands that the inherited."/>
    <s v="[Sangil, Luis; Salaverria, Ramon; Javier Perez-Latre, Francisco] Univ Navarra, Navarra, Spain"/>
    <s v="University of Navarra"/>
    <s v="Sangil, L (corresponding author), Univ Navarra, Navarra, Spain."/>
    <s v="luis.sangil@gmail.com; rsalaver@unav.es; perezlatre@unav.es"/>
    <s v="Salaverría, Ramón/D-8527-2013; Pérez-Latre, Francisco J./I-6615-2016"/>
    <s v="Salaverría, Ramón/0000-0002-4188-7811; Pérez-Latre, Francisco J./0000-0002-9844-3496"/>
    <s v=""/>
    <s v=""/>
    <s v=""/>
    <s v=""/>
    <n v="55"/>
    <n v="0"/>
    <n v="0"/>
    <n v="2"/>
    <n v="2"/>
    <s v="UNIV COMPLUTENSE MADRID, SERVICIO PUBLICACIONES"/>
    <s v="MADRID"/>
    <s v="CIUDAD UNIV, OBISPO TREJO 3, MADRID, 28040, SPAIN"/>
    <s v="1137-0734"/>
    <s v="1988-3056"/>
    <s v=""/>
    <s v="HIST COMUN SOC"/>
    <s v="Hist. Comun. Soc."/>
    <s v=""/>
    <x v="1"/>
    <n v="27"/>
    <n v="1"/>
    <s v=""/>
    <s v=""/>
    <s v=""/>
    <s v=""/>
    <n v="175"/>
    <n v="185"/>
    <s v=""/>
    <s v="10.5209/hics.81585"/>
    <s v="http://dx.doi.org/10.5209/hics.81585"/>
    <s v=""/>
    <s v=""/>
    <n v="11"/>
    <x v="96"/>
    <x v="5"/>
    <s v="Film, Radio &amp; Television; History"/>
    <s v="1P3RX"/>
    <s v=""/>
    <s v="Green Submitted, gold"/>
    <s v=""/>
    <s v=""/>
    <s v="2023-11-15"/>
    <s v="WOS:000801931300015"/>
    <s v="View Full Record in Web of Science"/>
    <m/>
  </r>
  <r>
    <x v="254"/>
    <s v="J"/>
    <x v="252"/>
    <s v=""/>
    <s v=""/>
    <s v=""/>
    <s v="Santos, Joana; Lima, Ana Pinto"/>
    <s v=""/>
    <s v=""/>
    <x v="252"/>
    <x v="184"/>
    <s v=""/>
    <s v=""/>
    <s v="Portuguese"/>
    <s v="Article"/>
    <s v=""/>
    <s v=""/>
    <s v=""/>
    <s v=""/>
    <s v=""/>
    <x v="239"/>
    <x v="203"/>
    <s v="The Covid-19 pandemic is considered an unprecedented crisis, due to its atypical character and because it has dragged on over time. Metaphorically, it is considered a black swan event, that is, a surprising and unpredictable event of great significance and serious consequences that drastically alter the political and economic environment. As a result of the existing changes, companies had to adapt to a new context, a new consumer and a new way of operating. This study is aimed at exploring the main digital strategies carried out by companies to mitigate/exploit the effects of the current pandemic situation. For this purpose, a qualitative methodology is proposed, based on 7 semi structured interviews with managers of companies that acted during the pandemic and in the digital context, in order to know the main impacts of the pandemic and digital strategies used to minimize/explore them. The study approaches the digital strategies that have proven successful to manage the pandemic situation in the interviewed companies, highlighting the focus on the customer, the focus on service, the development of partnerships, the creation of new products and services and the adoption of socially responsible measures. This study presents the main digital guidelines carried out by the companies under study in a context of fear and uncertainty. It is a valuable contribution at the business level, not only for the pandemic period in question, but also for future crises."/>
    <s v="[Santos, Joana; Lima, Ana Pinto] Inst Politecn Porto, Inst Super Contabilidade &amp; Adm Porto, Porto, Portugal"/>
    <s v="Instituto Politecnico do Porto"/>
    <s v="Santos, J (corresponding author), Inst Politecn Porto, Inst Super Contabilidade &amp; Adm Porto, Porto, Portugal."/>
    <s v="joanaaasantos_@hotmail.com; analima@iscap.ipp.pt"/>
    <s v=""/>
    <s v=""/>
    <s v=""/>
    <s v=""/>
    <s v=""/>
    <s v=""/>
    <n v="32"/>
    <n v="0"/>
    <n v="0"/>
    <n v="0"/>
    <n v="16"/>
    <s v="INST SUPERIOR ENTRE DOURO &amp; VOUGA"/>
    <s v="SANTA MARIA DA FEIRA"/>
    <s v="RUA ANT CASTRO CORTE REAL, SANTA MARIA DA FEIRA, AVEIRO 4520-909, PORTUGAL"/>
    <s v="2182-9306"/>
    <s v=""/>
    <s v=""/>
    <s v="INT J MARKET COMMUN"/>
    <s v="Int. J. Market. Commun. New Media"/>
    <s v="JAN"/>
    <x v="1"/>
    <s v=""/>
    <n v="11"/>
    <s v=""/>
    <s v=""/>
    <s v="SI"/>
    <s v=""/>
    <n v="92"/>
    <n v="113"/>
    <s v=""/>
    <s v="10.1054663/2182-9306.sn11.92-113"/>
    <s v="http://dx.doi.org/10.1054663/2182-9306.sn11.92-113"/>
    <s v=""/>
    <s v=""/>
    <n v="22"/>
    <x v="56"/>
    <x v="2"/>
    <s v="Communication"/>
    <s v="YV0HS"/>
    <s v=""/>
    <s v=""/>
    <s v=""/>
    <s v=""/>
    <s v="2023-11-15"/>
    <s v="WOS:000752414800001"/>
    <s v="View Full Record in Web of Science"/>
    <m/>
  </r>
  <r>
    <x v="255"/>
    <s v="J"/>
    <x v="253"/>
    <s v=""/>
    <s v=""/>
    <s v=""/>
    <s v="Solar, Belen Merino; Reyes, Rene Jara"/>
    <s v=""/>
    <s v=""/>
    <x v="253"/>
    <x v="185"/>
    <s v=""/>
    <s v=""/>
    <s v="Spanish"/>
    <s v="Article"/>
    <s v=""/>
    <s v=""/>
    <s v=""/>
    <s v=""/>
    <s v=""/>
    <x v="240"/>
    <x v="204"/>
    <s v="This article addresses the issue of feminist cyberactivism, focusing on the experience of the Observatory against Street Harassment (OCAC in Spanish) in Chile, between 2014 and 2017. Based on an analysis centred on its digital strategy, the article explores its effects on three areas: the organization of the collective, identity and their ability to put the issue of gender violence on the public agenda, by promoting a bill proposal named Respeto Callejero (Spanish for Respect in the Streets). Three study techniques were used: interviews with movement participants, analysis of Facebook metrics and keywords analysis in traditional and digital media. Amongst the results, we can point out that before the emergence of this organization there was no media coverage in Chile regarding Street Harassment, and, therefore, the digital strategy of positioning and call to action developed by the OCAC has allowed for a gradual change in these affairs, installing the matter of gender violence in public spaces."/>
    <s v="[Solar, Belen Merino; Reyes, Rene Jara] Univ Santiago Chile, Santiago, Chile"/>
    <s v="Universidad de Santiago de Chile"/>
    <s v="Solar, BM (corresponding author), Univ Santiago Chile, Santiago, Chile."/>
    <s v="belen.merino@usach.cl; rene.jara@usach.cl"/>
    <s v="jara reyes, rene/JAZ-0211-2023"/>
    <s v=""/>
    <s v=""/>
    <s v=""/>
    <s v=""/>
    <s v=""/>
    <n v="32"/>
    <n v="1"/>
    <n v="1"/>
    <n v="1"/>
    <n v="8"/>
    <s v="UNIV PACIFICO"/>
    <s v="LIMA"/>
    <s v="AVE SALAVERRY 2020, JESUS MARIA, LIMA, 11, PERU"/>
    <s v="0252-1865"/>
    <s v="2223-1757"/>
    <s v=""/>
    <s v="APUNTES-REV CIENC SO"/>
    <s v="Apuntes-Rev. Cienc. Soc."/>
    <s v=""/>
    <x v="1"/>
    <n v="49"/>
    <n v="90"/>
    <s v=""/>
    <s v=""/>
    <s v=""/>
    <s v=""/>
    <n v="53"/>
    <n v="80"/>
    <s v=""/>
    <s v="10.21678/apuntes.90.1372"/>
    <s v="http://dx.doi.org/10.21678/apuntes.90.1372"/>
    <s v=""/>
    <s v=""/>
    <n v="28"/>
    <x v="31"/>
    <x v="2"/>
    <s v="Social Sciences - Other Topics"/>
    <s v="YP3BZ"/>
    <s v=""/>
    <s v="Green Submitted, gold"/>
    <s v=""/>
    <s v=""/>
    <s v="2023-11-15"/>
    <s v="WOS:000748501500002"/>
    <s v="View Full Record in Web of Science"/>
    <m/>
  </r>
  <r>
    <x v="256"/>
    <s v="J"/>
    <x v="254"/>
    <s v=""/>
    <s v=""/>
    <s v=""/>
    <s v="Sorrentino, Carlo; Solito, Laura; Pezzoli, Silvia; Materassi, Letizia"/>
    <s v=""/>
    <s v=""/>
    <x v="254"/>
    <x v="186"/>
    <s v=""/>
    <s v=""/>
    <s v="Italian"/>
    <s v="Article"/>
    <s v=""/>
    <s v=""/>
    <s v=""/>
    <s v=""/>
    <s v=""/>
    <x v="241"/>
    <x v="205"/>
    <s v="The COVID-19 pandemic has monopolized communication and media information for months, becoming the first global social fact in the digital age. In a new and redefined communicative space, characterized by the pervasive presence of digital media, each information source needs to establish a specific positioning strategy in the crowded communication field. The article aims at investigating the impact of those processes on the production, spread and use of institutional information. It focuses the attention on the communicative behaviors of 12 Italian institutional, political and media players, analyzing their contents' production, the intensity and characteristics of this production and the communicative resources they used in managing their Facebook pages/profiles. In order to outline the players' digital strategies and to frame their positioning in the public sphere, different metrics were analyzed and the possible and meaningful connections among the different players and strategies were considered. From this study, a dense interweaving of voices seems to emerge, attesting the complexity of the communicative space, but also the functionality of each voice in a sort of inter-relational attitude."/>
    <s v="[Sorrentino, Carlo; Solito, Laura; Pezzoli, Silvia; Materassi, Letizia] Univ Firenze, Florence, Italy"/>
    <s v="University of Florence"/>
    <s v="Sorrentino, C (corresponding author), Univ Firenze, Florence, Italy."/>
    <s v="carlo.sorrentino@unifi.it; laura.solito@unifi.it; silvia.pezzoli@unifi.it; letizia.materassi@unifi.it"/>
    <s v=""/>
    <s v=""/>
    <s v=""/>
    <s v=""/>
    <s v=""/>
    <s v=""/>
    <n v="23"/>
    <n v="0"/>
    <n v="0"/>
    <n v="1"/>
    <n v="1"/>
    <s v="UNIV STUDI FIRENZE"/>
    <s v="FLORENCE"/>
    <s v="C/O PROF F DESSI-FULGHERI, VIA ROMANA 17, 50125 FLORENCE, ITALY"/>
    <s v="2239-1118"/>
    <s v=""/>
    <s v=""/>
    <s v="CAMBIO"/>
    <s v="Cambio"/>
    <s v=""/>
    <x v="1"/>
    <n v="12"/>
    <n v="24"/>
    <s v=""/>
    <s v=""/>
    <s v=""/>
    <s v=""/>
    <s v=""/>
    <s v=""/>
    <s v=""/>
    <s v="10.36253/cambio-11490"/>
    <s v="http://dx.doi.org/10.36253/cambio-11490"/>
    <s v=""/>
    <s v=""/>
    <n v="15"/>
    <x v="97"/>
    <x v="2"/>
    <s v="Sociology"/>
    <s v="C3YJ8"/>
    <s v=""/>
    <s v="gold"/>
    <s v=""/>
    <s v=""/>
    <s v="2023-11-15"/>
    <s v="WOS:000961307000005"/>
    <s v="View Full Record in Web of Science"/>
    <m/>
  </r>
  <r>
    <x v="257"/>
    <s v="J"/>
    <x v="255"/>
    <s v=""/>
    <s v=""/>
    <s v=""/>
    <s v="Voda, Ana Iolanda; Florea, Nelu; Ciulu, Ruxandra; Costuleanu, Carmen Luiza; Gradinaru, Camelia"/>
    <s v=""/>
    <s v=""/>
    <x v="255"/>
    <x v="187"/>
    <s v=""/>
    <s v=""/>
    <s v="English"/>
    <s v="Article"/>
    <s v=""/>
    <s v=""/>
    <s v=""/>
    <s v=""/>
    <s v=""/>
    <x v="242"/>
    <x v="1"/>
    <s v="Given the importance of the digitalization of education, especially in the context of the worldwide outbreak of Covid-19, this paper focuses on the main directions for action necessary in developing and implementing a digital strategy in education. To achieve this goal, we collected data from March to August 2021 and gathered a total of N=282 participants enrolled at four faculties from the Alexandru Ioan Cuza University, Romania, in the fields of social sciences and humanities. Our results support the importance of digital skills, digital training assessment, digital infrastructure, education institutions incentives, digital education instruments design, open access resources, public-private partnerships, best-practices exchanges, security and protection and strategic forecasting, in assessing a digital strategy in education from the perspective of both social sciences and humanities students."/>
    <s v="[Voda, Ana Iolanda; Florea, Nelu; Ciulu, Ruxandra; Gradinaru, Camelia] Alexandru Ioan Cuza Univ, Bd Carol I 11, Iasi 700506, Romania; [Costuleanu, Carmen Luiza] Ion Ionescu de la Brad Univ Agr Sci &amp; Vet Med Ias, Al Mihail Sadoveanu 3, Iasi 700490, Romania"/>
    <s v="Alexandru Ioan Cuza University; Iasi University of Life Sciences, Romania"/>
    <s v="Costuleanu, CL (corresponding author), Ion Ionescu de la Brad Univ Agr Sci &amp; Vet Med Ias, Al Mihail Sadoveanu 3, Iasi 700490, Romania."/>
    <s v="yolanda.voda@gmail.com; nflorea@uaic.ro; ruxandra.ciulu@uaic.ro; ccostuleanu@yahoo.com; camelia.gradinaru@uaic.ro"/>
    <s v="Gradinaru, Camelia/AAL-9226-2020; Voda, Ana Iolanda/AAB-9492-2020; Ciulu, Ruxandra/AAG-2871-2021; Costuleanu, Carmen Luiza/D-8165-2011"/>
    <s v="Gradinaru, Camelia/0000-0002-3019-3056; Voda, Ana Iolanda/0000-0003-2306-0172; Costuleanu, Carmen Luiza/0000-0003-0071-4241"/>
    <s v="Jean Monnet Module European Smart Cities for Sustainable Development-SmartEU; European Union [620415-EPP-1-2020-1-RO-EPPJMO-MODULE]"/>
    <s v="Jean Monnet Module European Smart Cities for Sustainable Development-SmartEU; European Union(European Union (EU))"/>
    <s v="This work was supported by Jean Monnet Module European Smart Cities for Sustainable Development-SmartEU, co-funded by the European Union (620415-EPP-1-2020-1-RO-EPPJMO-MODULE)."/>
    <s v=""/>
    <n v="34"/>
    <n v="0"/>
    <n v="0"/>
    <n v="5"/>
    <n v="8"/>
    <s v="VILNIUS UNIV"/>
    <s v="VILNIUS"/>
    <s v="UNIVERSITETO ST 3, VILNIUS, LT-01513, LITHUANIA"/>
    <s v="1648-4460"/>
    <s v=""/>
    <s v=""/>
    <s v="TRANSFORM BUS ECON"/>
    <s v="Transform. Bus. Econ."/>
    <s v=""/>
    <x v="1"/>
    <n v="21"/>
    <s v="2A"/>
    <s v=""/>
    <s v=""/>
    <s v=""/>
    <s v=""/>
    <n v="462"/>
    <n v="478"/>
    <s v=""/>
    <s v=""/>
    <s v=""/>
    <s v=""/>
    <s v=""/>
    <n v="17"/>
    <x v="98"/>
    <x v="1"/>
    <s v="Business &amp; Economics"/>
    <s v="8R0MG"/>
    <s v=""/>
    <s v=""/>
    <s v=""/>
    <s v=""/>
    <s v="2023-11-15"/>
    <s v="WOS:000927592100004"/>
    <s v="View Full Record in Web of Science"/>
    <m/>
  </r>
  <r>
    <x v="258"/>
    <s v="J"/>
    <x v="256"/>
    <s v=""/>
    <s v=""/>
    <s v=""/>
    <s v="Xu, Yanting; Li, Tinghui"/>
    <s v=""/>
    <s v=""/>
    <x v="256"/>
    <x v="188"/>
    <s v=""/>
    <s v=""/>
    <s v="English"/>
    <s v="Article"/>
    <s v=""/>
    <s v=""/>
    <s v=""/>
    <s v=""/>
    <s v=""/>
    <x v="243"/>
    <x v="206"/>
    <s v="The COVID-19 pandemic has highlighted the importance of the digital economy in restoring economic and social development, creating more jobs and improving people's well-being. To inform policy makers about changes to digital strategies, measuring the digital economy is a prerequisite. This study aimed to compile an index of digital economy at the provincial (municipalities, autonomous regions, collectively referred to as provinces) level to present an accurate and in-depth depiction of how it has developed in China. Our sample covers 31 provinces in China, over the period 2010-2020. This paper firstly constructs the digital economy index system from the four dimensions of digital users, digital platforms, digital industries and digital innovation, and then adopts a combination of entropy weighting method and grey target theory to measure the digital economy index. This paper study revealed that China's digital economy has been on an upward trend from 2010 to 2019 and has a decline in 2020, and the digital innovation is an important driving force for the growth of the digital economy index. The convergence of China's digital economy is decreasing, indicating that the gap in digital economy development between provinces is increasing. The proposed index in this study can be used as a screening tool, decision making tool, benchmarking tool and guidance of high-quality digital economy development."/>
    <s v="[Xu, Yanting; Li, Tinghui] Guangzhou Univ, Sch Econ &amp; Stat, Guangzhou 510006, Peoples R China"/>
    <s v="Guangzhou University"/>
    <s v="Li, TH (corresponding author), Guangzhou Univ, Sch Econ &amp; Stat, Guangzhou 510006, Peoples R China."/>
    <s v="lith@gzhu.edu.cn"/>
    <s v=""/>
    <s v=""/>
    <s v="Guangzhou University"/>
    <s v="Guangzhou University"/>
    <s v="The authors would like to thank Guangzhou University for sponsoring this research."/>
    <s v=""/>
    <n v="33"/>
    <n v="9"/>
    <n v="9"/>
    <n v="38"/>
    <n v="56"/>
    <s v="AMER INST MATHEMATICAL SCIENCES-AIMS"/>
    <s v="SPRINGFIELD"/>
    <s v="PO BOX 2604, SPRINGFIELD, MO 65801-2604, UNITED STATES"/>
    <s v=""/>
    <s v="2689-3010"/>
    <s v=""/>
    <s v="NATL ACCOUNT REV"/>
    <s v="Natl. Account. Rev."/>
    <s v=""/>
    <x v="1"/>
    <n v="4"/>
    <n v="3"/>
    <s v=""/>
    <s v=""/>
    <s v=""/>
    <s v=""/>
    <n v="251"/>
    <n v="272"/>
    <s v=""/>
    <s v="10.3934/NAR.2022015"/>
    <s v="http://dx.doi.org/10.3934/NAR.2022015"/>
    <s v=""/>
    <s v=""/>
    <n v="22"/>
    <x v="99"/>
    <x v="2"/>
    <s v="Business &amp; Economics"/>
    <s v="7M3CI"/>
    <s v=""/>
    <s v="gold"/>
    <s v=""/>
    <s v=""/>
    <s v="2023-11-15"/>
    <s v="WOS:000906531700003"/>
    <s v="View Full Record in Web of Science"/>
    <m/>
  </r>
  <r>
    <x v="259"/>
    <s v="J"/>
    <x v="257"/>
    <s v=""/>
    <s v=""/>
    <s v=""/>
    <s v="Garcia, Alvaro; Bregon, Anibal; Martinez-Prieto, Miguel A."/>
    <s v=""/>
    <s v=""/>
    <x v="257"/>
    <x v="0"/>
    <s v=""/>
    <s v=""/>
    <s v="English"/>
    <s v="Article"/>
    <s v=""/>
    <s v=""/>
    <s v=""/>
    <s v=""/>
    <s v=""/>
    <x v="244"/>
    <x v="207"/>
    <s v="The recent COVID-19 outbreak impact on the world economy has boosted the increasing business needs to force manufacturing plants adapting to unpredictable changes and ensuring the continuity of industrial production. The demand for asset monitoring solutions and specialised support at the shop floor has become an increasingly important digital priority in industry that pushes human-machine technological upgrades leading to digital workforce skills assessment. In the case of traditional manufacturing, Small and Medium-sized Enterprises (SMEs) face the challenge of managing digital technologies and Industry 4.0 (I4.0) maturity models with a low adoption rate. In this digital context very few SMEs with traditional means have anticipated the latest advances in maintenance strategies impeded by technical and economical barriers. This work presents a human-machine technological integration solution in traditional manufacturing based on a non-intrusive retrofitting development with interoperable I4.0 tools. The method provides a common and rapidly deployable hardware and software architecture supporting an HMI-based legacy maintenance approach and addresses its evaluation focused on the physical-digital convergence of older industrial systems. A case study applying a digital process approach integrated with condition-based maintenance (CBM) techniques, has been carried out on a CNC milling machine and reproduced in an injection moulding machine during COVID-19 alert state. These already existing scenarios served to deploy digital retrofitting and communication strategies without interfering in working conditions. Patterns extracted from the machines were monitored in real-time interacting with the operational knowledge of the experienced staff. In this way, we provided an original contribution to confront human-machine challenges with improvements applied in traditional manufacturing, where workers and industrial systems were collaboratively updated with augmented digital strategies and proactive CBM environments."/>
    <s v="[Garcia, Alvaro] Fdn Cidaut, ICT Ind 4 0 Area, Valladolid, Spain; [Garcia, Alvaro; Bregon, Anibal; Martinez-Prieto, Miguel A.] Univ Valladolid, Dept Informat, Valladolid, Spain"/>
    <s v="Universidad de Valladolid"/>
    <s v="García, A (corresponding author), Fdn Cidaut, ICT Ind 4 0 Area, Valladolid, Spain."/>
    <s v="alvgar@cidaut.es; anibal@infor.uva.es; migumar2@infor.uva.es"/>
    <s v="Martínez-Prieto, Miguel A./A-4891-2011; Bregon, Anibal/R-6700-2018"/>
    <s v="Martínez-Prieto, Miguel A./0000-0003-4418-561X; Bregon, Anibal/0000-0001-6752-1159; Garcia, Alvaro/0000-0002-8628-3405"/>
    <s v="Regional Funding Agency Institute for Business Competitiveness of Castile Leon (iDIGIT4L project) [CCTT1/17/VA/0007]; FEDER funds"/>
    <s v="Regional Funding Agency Institute for Business Competitiveness of Castile Leon (iDIGIT4L project); FEDER funds(European Union (EU))"/>
    <s v="This work was supported by Spanish funds through Regional Funding Agency Institute for Business Competitiveness of Castile Leon (iDIGIT4L project, exp. number: CCTT1/17/VA/0007), co-financed with FEDER funds, budget line Applied R&amp;D projects carried out by technology centers. Call 2017."/>
    <s v=""/>
    <n v="61"/>
    <n v="8"/>
    <n v="8"/>
    <n v="7"/>
    <n v="31"/>
    <s v="PERGAMON-ELSEVIER SCIENCE LTD"/>
    <s v="OXFORD"/>
    <s v="THE BOULEVARD, LANGFORD LANE, KIDLINGTON, OXFORD OX5 1GB, ENGLAND"/>
    <s v="0360-8352"/>
    <s v="1879-0550"/>
    <s v=""/>
    <s v="COMPUT IND ENG"/>
    <s v="Comput. Ind. Eng."/>
    <s v="FEB"/>
    <x v="1"/>
    <n v="164"/>
    <s v=""/>
    <s v=""/>
    <s v=""/>
    <s v=""/>
    <s v=""/>
    <s v=""/>
    <s v=""/>
    <n v="107896"/>
    <s v="10.1016/j.cie.2021.107896"/>
    <s v="http://dx.doi.org/10.1016/j.cie.2021.107896"/>
    <s v=""/>
    <s v="DEC 2021"/>
    <n v="16"/>
    <x v="0"/>
    <x v="0"/>
    <s v="Computer Science; Engineering"/>
    <s v="YD3PH"/>
    <n v="36569781"/>
    <s v="Green Published"/>
    <s v=""/>
    <s v=""/>
    <s v="2023-11-15"/>
    <s v="WOS:000740319900002"/>
    <s v="View Full Record in Web of Science"/>
    <m/>
  </r>
  <r>
    <x v="260"/>
    <s v="J"/>
    <x v="258"/>
    <s v=""/>
    <s v=""/>
    <s v=""/>
    <s v="Khalili-Mahani, Najmeh; Holowka, Eileen; Woods, Sandra; Khaled, Rilla; Roy, Mathieu; Lashley, Myrna; Glatard, Tristan; Timm-Bottos, Janis; Dahan, Albert; Niesters, Marieke; Hovey, Richard B.; Simon, Bart; Kirmayer, Laurence J."/>
    <s v=""/>
    <s v=""/>
    <x v="258"/>
    <x v="147"/>
    <s v=""/>
    <s v=""/>
    <s v="English"/>
    <s v="Article"/>
    <s v=""/>
    <s v=""/>
    <s v=""/>
    <s v=""/>
    <s v=""/>
    <x v="245"/>
    <x v="1"/>
    <s v="The value of understanding patients' illness experience and social contexts for advancing medicine and clinical care is widely acknowledged. However, methodologies for rigorous and inclusive data gathering and integrative analysis of biomedical, cultural, and social factors are limited. In this paper, we propose a digital strategy for large-scale qualitative health research, using play (as a state of being, a communication mode or context, and a set of imaginative, expressive, and game-like activities) as a research method for recursive learning and action planning. Our proposal builds on Gregory Bateson's cybernetic approach to knowledge production. Using chronic pain as an example, we show how pragmatic, structural and cultural constraints that define the relationship of patients to the healthcare system can give rise to conflicted messaging that impedes inclusive health research. We then review existing literature to illustrate how different types of play including games, chatbots, virtual worlds, and creative art making can contribute to research in chronic pain. Inspired by Frederick Steier's application of Bateson's theory to designing a science museum, we propose DiSPORA (Digital Strategy for Play-Oriented Research and Action), a virtual citizen science laboratory which provides a framework for delivering health information, tools for play-based experimentation, and data collection capacity, but is flexible in allowing participants to choose the mode and the extent of their interaction. Combined with other data management platforms used in epidemiological studies of neuropsychiatric illness, DiSPORA offers a tool for large-scale qualitative research, digital phenotyping, and advancing personalized medicine."/>
    <s v="[Khalili-Mahani, Najmeh] McGill Univ, Montreal Neurol Inst, McGill Ctr Integrat Neurosci, Montreal, PQ, Canada; [Khalili-Mahani, Najmeh; Lashley, Myrna; Kirmayer, Laurence J.] McGill Univ, Div Social Transcultural Psychiat, Montreal, PQ, Canada; [Khalili-Mahani, Najmeh; Lashley, Myrna; Kirmayer, Laurence J.] Jewish Gen Hosp, Lady Davis Inst, Culture &amp; Mental Hlth Res Unit, Montreal, PQ, Canada; [Khalili-Mahani, Najmeh; Holowka, Eileen; Khaled, Rilla; Simon, Bart] Concordia Univ, Milieux Inst Art Culture &amp; Technol, Technoculture Arts &amp; Game Ctr, Montreal, PQ, Canada; [Roy, Mathieu] McGill Univ, Dept Psychol, Montreal, PQ, Canada; [Glatard, Tristan] Concordia Univ, Dept Comp Sci, Montreal, PQ, Canada; [Glatard, Tristan] Concordia Univ, PERFORM Ctr, Montreal, PQ, Canada; [Timm-Bottos, Janis] Concordia Univ, Dept Creat Art Therapies, Montreal, PQ, Canada; [Dahan, Albert; Niesters, Marieke] Leiden Univ, Leiden Univ Med Ctr, Dept Anesthesiol, Leiden, Netherlands; [Hovey, Richard B.] McGill Univ, Fac Dent, Montreal, PQ, Canada; [Simon, Bart] Concordia Univ, Dept Sociol, Montreal, PQ, Canada"/>
    <s v="McGill University; McGill University; McGill University; Lady Davis Institute; Concordia University - Canada; McGill University; Concordia University - Canada; Concordia University - Canada; Concordia University - Canada; Leiden University; Leiden University Medical Center (LUMC); Leiden University - Excl LUMC; McGill University; Concordia University - Canada"/>
    <s v="Khalili-Mahani, N (corresponding author), McGill Univ, Montreal Neurol Inst, McGill Ctr Integrat Neurosci, Montreal, PQ, Canada.;Khalili-Mahani, N (corresponding author), McGill Univ, Div Social Transcultural Psychiat, Montreal, PQ, Canada.;Khalili-Mahani, N (corresponding author), Jewish Gen Hosp, Lady Davis Inst, Culture &amp; Mental Hlth Res Unit, Montreal, PQ, Canada.;Khalili-Mahani, N (corresponding author), Concordia Univ, Milieux Inst Art Culture &amp; Technol, Technoculture Arts &amp; Game Ctr, Montreal, PQ, Canada."/>
    <s v="najmeh.khalili-mahani@concordia.ca"/>
    <s v="Dahan, Albert/B-8845-2008"/>
    <s v="Dahan, Albert/0000-0003-3161-3945; Khalili-Mahani, Najmeh/0000-0002-5248-2609; Holowka, Eileen Mary/0000-0003-2419-4981"/>
    <s v="Quebec Research Funds; MCIN (McGill University); Milieux Institute for Art, Culture and Technology, PERFORM Center (Concordia University); Healthy Brains for Healthy Lives Program (CFREF, McGill University)"/>
    <s v="Quebec Research Funds; MCIN (McGill University); Milieux Institute for Art, Culture and Technology, PERFORM Center (Concordia University); Healthy Brains for Healthy Lives Program (CFREF, McGill University)"/>
    <s v="This research was funded by a grant from the Quebec Research Funds to NK-M (FRQSC-AUDACE), additionally supported by MCIN (McGill University), Milieux Institute for Art, Culture and Technology, PERFORM Center (Concordia University), and the Healthy Brains for Healthy Lives Program (CFREF, McGill University)."/>
    <s v=""/>
    <n v="254"/>
    <n v="4"/>
    <n v="4"/>
    <n v="0"/>
    <n v="0"/>
    <s v="FRONTIERS MEDIA SA"/>
    <s v="LAUSANNE"/>
    <s v="AVENUE DU TRIBUNAL FEDERAL 34, LAUSANNE, CH-1015, SWITZERLAND"/>
    <s v="1664-0640"/>
    <s v=""/>
    <s v=""/>
    <s v="FRONT PSYCHIATRY"/>
    <s v="Front. Psychiatry"/>
    <s v="DEC 15"/>
    <x v="2"/>
    <n v="12"/>
    <s v=""/>
    <s v=""/>
    <s v=""/>
    <s v=""/>
    <s v=""/>
    <s v=""/>
    <s v=""/>
    <n v="746477"/>
    <s v="10.3389/fpsyt.2021.746477"/>
    <s v="http://dx.doi.org/10.3389/fpsyt.2021.746477"/>
    <s v=""/>
    <s v=""/>
    <n v="23"/>
    <x v="82"/>
    <x v="3"/>
    <s v="Psychiatry"/>
    <s v="VM5RX"/>
    <n v="34975566"/>
    <s v="gold, Green Published"/>
    <s v=""/>
    <s v=""/>
    <s v="2023-11-15"/>
    <s v="WOS:001027264700001"/>
    <s v="View Full Record in Web of Science"/>
    <m/>
  </r>
  <r>
    <x v="261"/>
    <s v="J"/>
    <x v="259"/>
    <s v=""/>
    <s v=""/>
    <s v=""/>
    <s v="Boonstra, Marco D.; Reijneveld, Sijmen A.; Navis, Gerjan; Westerhuis, Ralf; de Winter, Andrea F."/>
    <s v=""/>
    <s v=""/>
    <x v="259"/>
    <x v="78"/>
    <s v=""/>
    <s v=""/>
    <s v="English"/>
    <s v="Article"/>
    <s v=""/>
    <s v=""/>
    <s v=""/>
    <s v=""/>
    <s v=""/>
    <x v="246"/>
    <x v="208"/>
    <s v="Limited health literacy (LHL) is common in chronic kidney disease (CKD) patients and frequently associated with worse self-management. Multi-component interventions targeted at patients and healthcare professionals (HCPs) are recommended, but evidence is limited. Therefore, this study aims to determine the objectives and strategies of such an intervention, and to develop, produce and evaluate it. For this purpose, we included CKD patients with LHL (n = 19), HCPs (n = 15), educators (n = 3) and students (n = 4) from general practices, nephrology clinics and universities in an Intervention Mapping (IM) process. The determined intervention objectives especially address the patients' competences in maintaining self-management in the long term, and communication competences of patients and HCPs. Patients preferred visual strategies and strategies supporting discussion of needs and barriers during consultations to written and digital strategies. Moreover, they preferred an individual approach to group meetings. We produced a four-component intervention, consisting of a visually attractive website and topic-based brochures, consultation cards for patients, and training on LHL for HCPs. Evaluation revealed that the intervention was useful, comprehensible and fitting for patients' needs. Healthcare organizations need to use visual strategies more in patient education, be careful with digitalization and group meetings, and train HCPs to improve care for patients with LHL. Large-scale research on the effectiveness of similar HL interventions is needed."/>
    <s v="[Boonstra, Marco D.; Reijneveld, Sijmen A.; de Winter, Andrea F.] Univ Med Ctr Groningen, Dept Hlth Sci, NL-9713 GZ Groningen, Netherlands; [Navis, Gerjan; Westerhuis, Ralf] Univ Med Ctr Groningen, Dept Nephrol, NL-9713 GZ Groningen, Netherlands"/>
    <s v="University of Groningen; University of Groningen"/>
    <s v="Boonstra, MD (corresponding author), Univ Med Ctr Groningen, Dept Hlth Sci, NL-9713 GZ Groningen, Netherlands."/>
    <s v="m.d.boonstra@umcg.nl; s.a.reijneveld@umcg.nl; g.j.navis@umcg.nl; r.westerhuis@dcg.nl; a.f.de.winter@umcg.nl"/>
    <s v=""/>
    <s v="Boonstra, Marco Douwe/0000-0001-8807-3068; Reijneveld, Sijmen/0000-0002-1206-7523"/>
    <s v=""/>
    <s v=""/>
    <s v=""/>
    <s v=""/>
    <n v="58"/>
    <n v="2"/>
    <n v="2"/>
    <n v="0"/>
    <n v="8"/>
    <s v="MDPI"/>
    <s v="BASEL"/>
    <s v="ST ALBAN-ANLAGE 66, CH-4052 BASEL, SWITZERLAND"/>
    <s v=""/>
    <s v="1660-4601"/>
    <s v=""/>
    <s v="INT J ENV RES PUB HE"/>
    <s v="Int. J. Environ. Res. Public Health"/>
    <s v="DEC"/>
    <x v="2"/>
    <n v="18"/>
    <n v="24"/>
    <s v=""/>
    <s v=""/>
    <s v=""/>
    <s v=""/>
    <s v=""/>
    <s v=""/>
    <n v="13354"/>
    <s v="10.3390/ijerph182413354"/>
    <s v="http://dx.doi.org/10.3390/ijerph182413354"/>
    <s v=""/>
    <s v=""/>
    <n v="19"/>
    <x v="52"/>
    <x v="3"/>
    <s v="Environmental Sciences &amp; Ecology; Public, Environmental &amp; Occupational Health"/>
    <s v="XZ4MQ"/>
    <n v="34948960"/>
    <s v="Green Published, gold"/>
    <s v=""/>
    <s v=""/>
    <s v="2023-11-15"/>
    <s v="WOS:000737627800001"/>
    <s v="View Full Record in Web of Science"/>
    <m/>
  </r>
  <r>
    <x v="262"/>
    <s v="J"/>
    <x v="260"/>
    <s v=""/>
    <s v=""/>
    <s v=""/>
    <s v="Cauffman, Caroline; Goanta, Catalina"/>
    <s v=""/>
    <s v=""/>
    <x v="260"/>
    <x v="189"/>
    <s v=""/>
    <s v=""/>
    <s v="English"/>
    <s v="Article"/>
    <s v=""/>
    <s v=""/>
    <s v=""/>
    <s v=""/>
    <s v=""/>
    <x v="8"/>
    <x v="1"/>
    <s v="On 16 December 2020, the European Commission delivered on the plans proposed in the European Digital Strategy by publishing two proposals related to the governance of digital services in the European Union: the Digital Services Act (DSA) and the Digital Markets Act (DMA). The much-awaited regulatory reform is often mentioned in the context of content moderation and freedom of expression, market power and competition. It is, however, important to bear in mind the contractual nature of the relationship between users and platforms and the additional contracts concluded on the platform between the users, in particular traders and consumers. Moreover, the monetisation offered by digital platforms has led to new dynamics and economic interests. This paper explores the reform proposed by the European Commission by means of the DSA by touching upon four main themes that will be addressed from the perspective of consumer protection: (1) the internal coherence of European Union law; (2) intermediary liability; (3) the outsourcing of solutions to private parties; and (4) digital enforcement."/>
    <s v="[Cauffman, Caroline; Goanta, Catalina] Maastricht Univ, Bouillonstr 1-3, NL-6211 LH Maastricht, Netherlands"/>
    <s v="Maastricht University"/>
    <s v="Cauffman, C (corresponding author), Maastricht Univ, Bouillonstr 1-3, NL-6211 LH Maastricht, Netherlands."/>
    <s v="caroline.cauffman@maastrichtuniversity.nl; catalina.goanta@maastrichtuniversity.nl"/>
    <s v="Cauffman, Caroline/K-7726-2019; Cauffman, Caroline/X-1949-2019"/>
    <s v="Cauffman, Caroline/0000-0002-0159-9823;"/>
    <s v=""/>
    <s v=""/>
    <s v=""/>
    <s v=""/>
    <n v="31"/>
    <n v="11"/>
    <n v="11"/>
    <n v="6"/>
    <n v="23"/>
    <s v="CAMBRIDGE UNIV PRESS"/>
    <s v="CAMBRIDGE"/>
    <s v="EDINBURGH BLDG, SHAFTESBURY RD, CB2 8RU CAMBRIDGE, ENGLAND"/>
    <s v="1867-299X"/>
    <s v="2190-8249"/>
    <s v=""/>
    <s v="EUR J RISK REGUL"/>
    <s v="Eur. J. Risk Regul."/>
    <s v="DEC"/>
    <x v="2"/>
    <n v="12"/>
    <n v="4"/>
    <s v=""/>
    <s v=""/>
    <s v=""/>
    <s v=""/>
    <n v="758"/>
    <n v="774"/>
    <s v=""/>
    <s v="10.1017/err.2021.8"/>
    <s v="http://dx.doi.org/10.1017/err.2021.8"/>
    <s v=""/>
    <s v=""/>
    <n v="17"/>
    <x v="10"/>
    <x v="2"/>
    <s v="Government &amp; Law"/>
    <s v="XD4UN"/>
    <s v=""/>
    <s v="Green Published, hybrid"/>
    <s v=""/>
    <s v=""/>
    <s v="2023-11-15"/>
    <s v="WOS:000722706200004"/>
    <s v="View Full Record in Web of Science"/>
    <m/>
  </r>
  <r>
    <x v="263"/>
    <s v="J"/>
    <x v="261"/>
    <s v=""/>
    <s v=""/>
    <s v=""/>
    <s v="Salvador, Elisa; Benghozi, Pierre-Jean"/>
    <s v=""/>
    <s v=""/>
    <x v="261"/>
    <x v="190"/>
    <s v=""/>
    <s v=""/>
    <s v="English"/>
    <s v="Article"/>
    <s v=""/>
    <s v=""/>
    <s v=""/>
    <s v=""/>
    <s v=""/>
    <x v="247"/>
    <x v="209"/>
    <s v="Traditional publishing houses are being confronted with the online diffusion of e-books. This phenomenon has forced publishers to offer digital versions of their printed books. However, it would be inaccurate to envision and report on the digital strategies of publishers in a global way, since the effect of digitization differs widely according to book type for example, dictionaries, illustrated books, novels. This study examines whether, how and to what extent the types and categories of books influence the behaviour of publishers in terms of their digitization strategies and the design of their e-books. The results reflect divergent approaches to proactive behaviour and the appropriation of e-book technologies. Not all publishers are on the path to publishing in digital formats. The authors provide a comparative analysis of print and e-book catalogues. They compare the strategies of 104 publishers in one specific country: France. The most widely diffused book categories with the total number of titles available in print and digital formats are identified for each publisher. The analysis uses Electre, the national databank of French publishers. The results shed light on the influence of the digital book on printed book categories and make it possible to characterize the strategies of publishing houses in the digital age."/>
    <s v="[Salvador, Elisa] Italian Natl Res Council, CNR, Innovat Policies, Rome, Italy; [Salvador, Elisa] Politecn Torino, Turin, Italy; [Salvador, Elisa] ESCP Europe Business Sch, Paris, France; [Salvador, Elisa] Ieseg Sch Management, Paris, France; [Salvador, Elisa; Benghozi, Pierre-Jean] Ecole Polytech, Paris, France; [Salvador, Elisa] ESSCA Sch Management, Angers, France; [Benghozi, Pierre-Jean] Natl Ctr Sci Res, CNRS, Paris, France; [Benghozi, Pierre-Jean] Univ Geneva, GSEM, Geneva, Switzerland; [Benghozi, Pierre-Jean] AIMAC, Doha, Qatar"/>
    <s v="Consiglio Nazionale delle Ricerche (CNR); Polytechnic University of Turin; heSam Universite; ESCP Business School; IESEG School of Management; ESSCA Ecole de Management; Centre National de la Recherche Scientifique (CNRS); University of Geneva"/>
    <s v="Salvador, E (corresponding author), Italian Natl Res Council, CNR, Innovat Policies, Rome, Italy.;Salvador, E (corresponding author), Politecn Torino, Turin, Italy.;Salvador, E (corresponding author), ESCP Europe Business Sch, Paris, France.;Salvador, E (corresponding author), Ieseg Sch Management, Paris, France.;Salvador, E (corresponding author), Ecole Polytech, Paris, France.;Salvador, E (corresponding author), ESSCA Sch Management, Angers, France."/>
    <s v=""/>
    <s v=""/>
    <s v=""/>
    <s v=""/>
    <s v=""/>
    <s v=""/>
    <s v=""/>
    <n v="44"/>
    <n v="4"/>
    <n v="4"/>
    <n v="6"/>
    <n v="41"/>
    <s v="ECOLE DES HAUTES ETUDES COMMERCIALES DE MONTREAL"/>
    <s v="MONTREAL"/>
    <s v="3000, CHEMIN DE LA COTE-SAINTE-CATHERINE, MONTREAL, H3T 2A7, CANADA"/>
    <s v="1480-8986"/>
    <s v=""/>
    <s v=""/>
    <s v="INT J ARTS MANAG"/>
    <s v="Int. J. Arts Manag."/>
    <s v="WIN"/>
    <x v="2"/>
    <n v="23"/>
    <n v="2"/>
    <s v=""/>
    <s v=""/>
    <s v=""/>
    <s v=""/>
    <n v="56"/>
    <n v="74"/>
    <s v=""/>
    <s v=""/>
    <s v=""/>
    <s v=""/>
    <s v=""/>
    <n v="19"/>
    <x v="100"/>
    <x v="6"/>
    <s v="Arts &amp; Humanities - Other Topics; Business &amp; Economics"/>
    <s v="SL5BC"/>
    <s v=""/>
    <s v=""/>
    <s v=""/>
    <s v=""/>
    <s v="2023-11-15"/>
    <s v="WOS:000656931900006"/>
    <s v="View Full Record in Web of Science"/>
    <m/>
  </r>
  <r>
    <x v="264"/>
    <s v="J"/>
    <x v="262"/>
    <s v=""/>
    <s v=""/>
    <s v=""/>
    <s v="Sandor, Agnes; Guban, Akos"/>
    <s v=""/>
    <s v=""/>
    <x v="262"/>
    <x v="191"/>
    <s v=""/>
    <s v=""/>
    <s v="English"/>
    <s v="Article"/>
    <s v=""/>
    <s v=""/>
    <s v=""/>
    <s v=""/>
    <s v=""/>
    <x v="248"/>
    <x v="210"/>
    <s v="In digital revolution, the appropriate IT infrastructure, technological knowledge are essential for the success of companies, where the success of the digital transformation depends on digital maturity. The aim of the study is to define the digital maturity, theoretical foundation of the digital maturity model and present a framework for small and medium-sized enterprises (SMEs) understanding where they are in digitalisation (how advanced their digital resource system and digital approach) to respond faster and efficiently to environmental changes. The model construction is based on theory of dynamic capabilities, graduation models, and SMEs management challenges. The model is a dynamic model to support management in strategic, digital and organizational developments, which is divided into IT and organizational dimensions, including 6 components and 28 subcomponents. The ultimate goal of the study is to determine the component weights to create a neurofuzzy model."/>
    <s v="[Sandor, Agnes; Guban, Akos] Budapest Business Sch, Fac Finance &amp; Accountancy, Dept Business Informat Technol, Buzogany St 10-12, H-1149 Budapest, Hungary"/>
    <s v="Budapest Business University"/>
    <s v="Sándor, A (corresponding author), Budapest Business Sch, Fac Finance &amp; Accountancy, Dept Business Informat Technol, Buzogany St 10-12, H-1149 Budapest, Hungary."/>
    <s v="sandor.agnes@uni-bge.hu"/>
    <s v=""/>
    <s v=""/>
    <s v="Future Value Chains Center of Excellence"/>
    <s v="Future Value Chains Center of Excellence"/>
    <s v="The research was supported by the Future Value Chains Center of Excellence."/>
    <s v=""/>
    <n v="43"/>
    <n v="4"/>
    <n v="4"/>
    <n v="9"/>
    <n v="67"/>
    <s v="POLSKA AKAD NAUK, POLISH ACAD SCIENCES"/>
    <s v="WARSZAWA"/>
    <s v="PL DEFILAD 1, WARSZAWA, 00-901, POLAND"/>
    <s v="2080-8208"/>
    <s v="2082-1344"/>
    <s v=""/>
    <s v="MANAG PROD ENG REV"/>
    <s v="Manag. Prod. Eng. Rev."/>
    <s v="DEC"/>
    <x v="2"/>
    <n v="12"/>
    <n v="4"/>
    <s v=""/>
    <s v=""/>
    <s v=""/>
    <s v=""/>
    <n v="133"/>
    <n v="143"/>
    <s v=""/>
    <s v="10.24425/mper.2021.140001"/>
    <s v="http://dx.doi.org/10.24425/mper.2021.140001"/>
    <s v=""/>
    <s v=""/>
    <n v="11"/>
    <x v="58"/>
    <x v="2"/>
    <s v="Engineering"/>
    <s v="YP1LH"/>
    <s v=""/>
    <s v="gold"/>
    <s v=""/>
    <s v=""/>
    <s v="2023-11-15"/>
    <s v="WOS:000748389200012"/>
    <s v="View Full Record in Web of Science"/>
    <m/>
  </r>
  <r>
    <x v="265"/>
    <s v="J"/>
    <x v="263"/>
    <s v=""/>
    <s v=""/>
    <s v=""/>
    <s v="Trzaska, Rafal; Sulich, Adam; Organa, Michal; Niemczyk, Jerzy; Jasinski, Bartosz"/>
    <s v=""/>
    <s v=""/>
    <x v="263"/>
    <x v="192"/>
    <s v=""/>
    <s v=""/>
    <s v="English"/>
    <s v="Article"/>
    <s v=""/>
    <s v=""/>
    <s v=""/>
    <s v=""/>
    <s v=""/>
    <x v="249"/>
    <x v="211"/>
    <s v="Digital transformation is a concept based on the use of digitalization and digitization. Digitalization leads to change of business models and provides a competitive advantage also in the energy sector. The process of change towards a digital business requires a specific strategy type, aimed to solve problems with uncertainty caused by Industry 4.0 implementation. This paper aims to propose a theoretical model combining different digitalization strategies and business models. Their theoretical foundations were discussed in the literature review part and related empirical research questions were attempted to be answered by the reference method analysis. The quantitative method of analysis was based on the secondary data from Eurostat for all EU member states and backed the theoretical part in terms of ICT variables. The novelty of this research is based on Hellwig's reference method used in management sciences and the presented managerial implications. The discussed challenges of the energy sector are related to the digital strategy implementation, relationships between digital transformation and business models, and solutions for such issues as strategy communication and new roles for managers, who should become digital leaders in the energy sector organizations. The main consequence of the proposed model in this study, for the energy sector companies' managers, is that uncertainty in modern energy sector organizations is more related to employees and their technical skills than implemented ICT itself."/>
    <s v="[Trzaska, Rafal; Organa, Michal; Niemczyk, Jerzy; Jasinski, Bartosz] Wroclaw Univ Econ &amp; Business, Dept Strategy &amp; Management Methods, Fac Management, Ul Komandorska 118-120, PL-53345 Wroclaw, Poland; [Sulich, Adam] Wroclaw Univ Econ &amp; Business, Dept Adv Res Management, Fac Management, Ul Komandorska 118-120, PL-53345 Wroclaw, Poland"/>
    <s v="Wroclaw University of Economics &amp; Business; Wroclaw University of Economics &amp; Business"/>
    <s v="Trzaska, R (corresponding author), Wroclaw Univ Econ &amp; Business, Dept Strategy &amp; Management Methods, Fac Management, Ul Komandorska 118-120, PL-53345 Wroclaw, Poland.;Sulich, A (corresponding author), Wroclaw Univ Econ &amp; Business, Dept Adv Res Management, Fac Management, Ul Komandorska 118-120, PL-53345 Wroclaw, Poland."/>
    <s v="adam.sulich@ue.wroc.pl; jerzy.niemczyk@ue.wroc.pl"/>
    <s v="Niemczyk, Jerzy/R-5727-2018; Sulich, Adam/M-7935-2019"/>
    <s v="Niemczyk, Jerzy/0000-0002-0766-3929; Sulich, Adam/0000-0001-8841-9102"/>
    <s v="National Science Centre in Poland [2019/33/N/HS4/02957]; Ministry of Science and Higher Education in Poland [015/RID/2018/19]"/>
    <s v="National Science Centre in Poland(National Science Centre, Poland); Ministry of Science and Higher Education in Poland(Ministry of Science and Higher Education, Poland)"/>
    <s v="(A.S.) The project is financed by the National Science Centre in Poland under the program Business Ecosystem of the Environmental Goods and Services Sector in Poland, implemented in 2020-2022; project number 2019/33/N/HS4/02957; total funding amount PLN 120,900.00. (A.S., R.T, M.O., B.J, and J.N.) The project is financed by the Ministry of Science and Higher Education in Poland under the program Regional Initiative of Excellence 2019-2022; project number 015/RID/2018/19; total funding amount PLN 10,721,040.00."/>
    <s v=""/>
    <n v="151"/>
    <n v="20"/>
    <n v="20"/>
    <n v="8"/>
    <n v="57"/>
    <s v="MDPI"/>
    <s v="BASEL"/>
    <s v="ST ALBAN-ANLAGE 66, CH-4052 BASEL, SWITZERLAND"/>
    <s v=""/>
    <s v="1996-1073"/>
    <s v=""/>
    <s v="ENERGIES"/>
    <s v="Energies"/>
    <s v="DEC"/>
    <x v="2"/>
    <n v="14"/>
    <n v="23"/>
    <s v=""/>
    <s v=""/>
    <s v=""/>
    <s v=""/>
    <s v=""/>
    <s v=""/>
    <n v="7997"/>
    <s v="10.3390/en14237997"/>
    <s v="http://dx.doi.org/10.3390/en14237997"/>
    <s v=""/>
    <s v=""/>
    <n v="21"/>
    <x v="101"/>
    <x v="3"/>
    <s v="Energy &amp; Fuels"/>
    <s v="XW2IJ"/>
    <s v=""/>
    <s v="gold"/>
    <s v=""/>
    <s v=""/>
    <s v="2023-11-15"/>
    <s v="WOS:000735449200001"/>
    <s v="View Full Record in Web of Science"/>
    <m/>
  </r>
  <r>
    <x v="266"/>
    <s v="J"/>
    <x v="264"/>
    <s v=""/>
    <s v=""/>
    <s v=""/>
    <s v="Marty, Paul F.; Buchanan, Vivian"/>
    <s v=""/>
    <s v=""/>
    <x v="264"/>
    <x v="193"/>
    <s v=""/>
    <s v=""/>
    <s v="English"/>
    <s v="Article"/>
    <s v=""/>
    <s v=""/>
    <s v=""/>
    <s v=""/>
    <s v=""/>
    <x v="8"/>
    <x v="1"/>
    <s v="This paper presents results from an online survey designed to explore the role of museum technology professionals during times of crisis such as the COVID-19 pandemic. The survey results offer an important first look at the contributions and challenges of museum technology professionals during a critical turning point in the history of museums. The analysis of these results provides insight into how museum technology professionals are affected during times of crisis, the contributions they can make to museums in crisis, and how they can better advocate their value to museum leadership in crisis situations. The research results demonstrate the need for museums to promote digital literacy skills, increase their investment in digital technologies, and develop the digital strategies they will need to respond to future crises head on."/>
    <s v="[Buchanan, Vivian] Florida State Univ, Sch Informat, Tallahassee, FL 32306 USA; [Marty, Paul F.] Florida State Univ, Sch Informat, Coll Commun &amp; Informat, Tallahassee, FL 32306 USA"/>
    <s v="State University System of Florida; Florida State University; State University System of Florida; Florida State University"/>
    <s v="Marty, PF (corresponding author), Florida State Univ, Sch Informat, Tallahassee, FL 32306 USA."/>
    <s v="marty@fsu.edu"/>
    <s v=""/>
    <s v="Marty, Paul/0000-0002-5948-5730"/>
    <s v=""/>
    <s v=""/>
    <s v=""/>
    <s v=""/>
    <n v="30"/>
    <n v="6"/>
    <n v="6"/>
    <n v="2"/>
    <n v="11"/>
    <s v="WILEY"/>
    <s v="HOBOKEN"/>
    <s v="111 RIVER ST, HOBOKEN 07030-5774, NJ USA"/>
    <s v="0011-3069"/>
    <s v="2151-6952"/>
    <s v=""/>
    <s v="CURATOR"/>
    <s v="Curator"/>
    <s v="JAN"/>
    <x v="1"/>
    <n v="65"/>
    <n v="1"/>
    <s v=""/>
    <s v=""/>
    <s v=""/>
    <s v=""/>
    <n v="117"/>
    <n v="133"/>
    <s v=""/>
    <s v="10.1111/cura.12455"/>
    <s v="http://dx.doi.org/10.1111/cura.12455"/>
    <s v=""/>
    <s v="NOV 2021"/>
    <n v="17"/>
    <x v="55"/>
    <x v="5"/>
    <s v="Arts &amp; Humanities - Other Topics"/>
    <s v="YF2LE"/>
    <n v="35440824"/>
    <s v="Bronze, Green Published"/>
    <s v=""/>
    <s v=""/>
    <s v="2023-11-15"/>
    <s v="WOS:000723010600001"/>
    <s v="View Full Record in Web of Science"/>
    <m/>
  </r>
  <r>
    <x v="267"/>
    <s v="J"/>
    <x v="265"/>
    <s v=""/>
    <s v=""/>
    <s v=""/>
    <s v="Tantscher, Dominik; Mayer, Barbara"/>
    <s v=""/>
    <s v=""/>
    <x v="265"/>
    <x v="194"/>
    <s v=""/>
    <s v=""/>
    <s v="English"/>
    <s v="Article"/>
    <s v=""/>
    <s v=""/>
    <s v=""/>
    <s v=""/>
    <s v=""/>
    <x v="250"/>
    <x v="212"/>
    <s v="Digital Transformation is a demanding evolutional process for industrial companies that touches all important business areas. A central role for the development towards a more flexible and efficient manufacture play production data. However, most machines in use lack a digital interface, such that they are not capable to connect in a network. Thus, data cannot be utilized. One solution from the technical perspective is Digital Retrofitting focusing on the implementation of additional sensors and edge devices to digitally connect the machine and transforming it into a cyber-physical system. This approach is also economically promising for companies since investing in new machines is far more expensive than the retrofitting of legacy systems. Nevertheless, industrial practice shows that Digital Retrofitting projects often do not lead to sustainable solutions because they lack integration into the digital transformation process. This paper thus introduces a holistic procedure model for Digital Retrofitting that is the result of an analysis and clustering of existing process models. The framework incorporates the perspectives on digital strategy, interdisciplinarity, change and lean management and, therefore, provides a guideline for companies leading to a more effective and efficient implementation process with sustainable impact. Furthermore, a description of a successful validation of the procedure model is given on the example of a condition monitoring use case in the Smart Production Lab of FH JOANNEUM. (C) 2021 CIRP."/>
    <s v="[Tantscher, Dominik; Mayer, Barbara] FH JOANNEUM, Inst Ind Management, A-8605 Kapfenberg, Austria"/>
    <s v=""/>
    <s v="Tantscher, D (corresponding author), FH JOANNEUM, Inst Ind Management, A-8605 Kapfenberg, Austria."/>
    <s v="dominik.tantscher@fh-joanneum.at; barbara.mayer@fh-joanneum.at"/>
    <s v=""/>
    <s v=""/>
    <s v=""/>
    <s v=""/>
    <s v=""/>
    <s v=""/>
    <n v="45"/>
    <n v="6"/>
    <n v="6"/>
    <n v="4"/>
    <n v="19"/>
    <s v="ELSEVIER"/>
    <s v="AMSTERDAM"/>
    <s v="RADARWEG 29, 1043 NX AMSTERDAM, NETHERLANDS"/>
    <s v="1755-5817"/>
    <s v="1878-0016"/>
    <s v=""/>
    <s v="CIRP J MANUF SCI TEC"/>
    <s v="CIRP J. Manuf. Sci. Technol."/>
    <s v="JAN"/>
    <x v="1"/>
    <n v="36"/>
    <s v=""/>
    <s v=""/>
    <s v=""/>
    <s v=""/>
    <s v=""/>
    <s v=""/>
    <s v=""/>
    <s v=""/>
    <s v="10.1016/j.cirpj.2021.10.011"/>
    <s v="http://dx.doi.org/10.1016/j.cirpj.2021.10.011"/>
    <s v=""/>
    <s v="NOV 2021"/>
    <n v="10"/>
    <x v="102"/>
    <x v="0"/>
    <s v="Engineering"/>
    <s v="XB1RY"/>
    <s v=""/>
    <s v=""/>
    <s v=""/>
    <s v=""/>
    <s v="2023-11-15"/>
    <s v="WOS:000721112900004"/>
    <s v="View Full Record in Web of Science"/>
    <m/>
  </r>
  <r>
    <x v="268"/>
    <s v="J"/>
    <x v="266"/>
    <s v=""/>
    <s v=""/>
    <s v=""/>
    <s v="Gonzalez-Neira, Ana; Vazquez-Herrero, Jorge; Quintas-Froufe, Natalia"/>
    <s v=""/>
    <s v=""/>
    <x v="266"/>
    <x v="195"/>
    <s v=""/>
    <s v=""/>
    <s v="English"/>
    <s v="Article"/>
    <s v=""/>
    <s v=""/>
    <s v=""/>
    <s v=""/>
    <s v=""/>
    <x v="251"/>
    <x v="213"/>
    <s v="This research studies the offer and consumption on YouTube in Spain of videos from the three main media groups on free-to-air TV. Firstly, a study of the offer of these channels' onset platforms was conducted. Later, the audience data gathered by YouTube Data API and Comscore between February and May 2020 was analyzed to ascertain the traditional broadcasters' strategy regarding new viewing windows. The results indicate that this window display is used mainly as a promotional strategy and the channels do not consider it to be a key element in their digital strategy, with practical nonexistence of crossmedia initiatives and exclusive content. The consumer analysis permits definition of the TV content, its success and user patterns."/>
    <s v="[Gonzalez-Neira, Ana; Quintas-Froufe, Natalia] Univ A Coruna, La Coruna, Spain; [Vazquez-Herrero, Jorge] Univ Santiago de Compostela, Santiago De Compostela, A Coruna, Spain"/>
    <s v="Universidade da Coruna; Universidade de Santiago de Compostela"/>
    <s v="Vázquez-Herrero, J (corresponding author), Univ Santiago de Compostela, Fac Commun Sci, Ave Castelao S-N, Santiago De Compostela 15782, A Coruna, Spain."/>
    <s v="jorge.vazquez@usc.es"/>
    <s v="Vázquez-Herrero, Jorge/J-8399-2017; Gonzalez-Neira, Ana/K-7155-2014"/>
    <s v="Vázquez-Herrero, Jorge/0000-0002-9081-3018; Gonzalez-Neira, Ana/0000-0002-6369-0323"/>
    <s v=""/>
    <s v=""/>
    <s v=""/>
    <s v=""/>
    <n v="53"/>
    <n v="2"/>
    <n v="2"/>
    <n v="3"/>
    <n v="15"/>
    <s v="SAGE PUBLICATIONS LTD"/>
    <s v="LONDON"/>
    <s v="1 OLIVERS YARD, 55 CITY ROAD, LONDON EC1Y 1SP, ENGLAND"/>
    <s v="0267-3231"/>
    <s v="1460-3705"/>
    <s v=""/>
    <s v="EUR J COMMUN"/>
    <s v="Eur. J. Commun."/>
    <s v="AUG"/>
    <x v="1"/>
    <n v="37"/>
    <n v="4"/>
    <s v=""/>
    <s v=""/>
    <s v=""/>
    <s v=""/>
    <n v="426"/>
    <n v="442"/>
    <n v="2673231211054720"/>
    <s v="10.1177/02673231211054720"/>
    <s v="http://dx.doi.org/10.1177/02673231211054720"/>
    <s v=""/>
    <s v="NOV 2021"/>
    <n v="17"/>
    <x v="56"/>
    <x v="1"/>
    <s v="Communication"/>
    <s v="3I9QB"/>
    <s v=""/>
    <s v=""/>
    <s v=""/>
    <s v=""/>
    <s v="2023-11-15"/>
    <s v="WOS:000716511200001"/>
    <s v="View Full Record in Web of Science"/>
    <m/>
  </r>
  <r>
    <x v="269"/>
    <s v="J"/>
    <x v="267"/>
    <s v=""/>
    <s v=""/>
    <s v=""/>
    <s v="He, Zhengxia; Lu, Wenqi; Hua, Guihong; Wang, Jianming"/>
    <s v=""/>
    <s v=""/>
    <x v="267"/>
    <x v="196"/>
    <s v=""/>
    <s v=""/>
    <s v="English"/>
    <s v="Article"/>
    <s v=""/>
    <s v=""/>
    <s v=""/>
    <s v=""/>
    <s v=""/>
    <x v="252"/>
    <x v="214"/>
    <s v="The Guidelines on Building a Market-Oriented Green Technology Innovation System, which was released by China in 2019, has become a powerful signal to guide the development of green technology innovation (GTI). In the current digital strategy of China, the public media has become a key factor for promoting the transparency of enterprise environmental information. This paper measures the GTI efficiency of the listed paper enterprises in China as well as incorporating media attention into the research framework to explore the influencing factors of GTI of the listed paper enterprises in China during the digital economy era. The results showed that a positive media report had a positive impact on GTI and has become a new driving factor in promoting sustainable production in the digital era. Government support and openness also have a positive impact on GTI. However, negative media reports, environmental regulations, and technological innovation abilities have an inhibitory effect on the GTI efficiency of paper making enterprises."/>
    <s v="[He, Zhengxia; Lu, Wenqi; Hua, Guihong; Wang, Jianming] Jiangsu Normal Univ, Xuzhou, Jiangsu, Peoples R China"/>
    <s v="Jiangsu Normal University"/>
    <s v="Hua, GH; Wang, JM (corresponding author), Jiangsu Normal Univ, Xuzhou, Jiangsu, Peoples R China."/>
    <s v="1035329325@qq.com; huaguihong@jsnu.edu.cn; sjwjm@zufe.edu.cn"/>
    <s v=""/>
    <s v=""/>
    <s v="National Social Science Fund of China [19BJL033]"/>
    <s v="National Social Science Fund of China"/>
    <s v="The authors gratefully acknowledge the financial support of The National Social Science Fund of China(19BJL033)."/>
    <s v=""/>
    <n v="72"/>
    <n v="6"/>
    <n v="6"/>
    <n v="14"/>
    <n v="150"/>
    <s v="NORTH CAROLINA STATE UNIV DEPT WOOD &amp; PAPER SCI"/>
    <s v="RALEIGH"/>
    <s v="CAMPUS BOX 8005, RALEIGH, NC 27695-8005 USA"/>
    <s v="1930-2126"/>
    <s v=""/>
    <s v=""/>
    <s v="BIORESOURCES"/>
    <s v="BioResources"/>
    <s v="NOV"/>
    <x v="2"/>
    <n v="16"/>
    <n v="4"/>
    <s v=""/>
    <s v=""/>
    <s v=""/>
    <s v=""/>
    <n v="7647"/>
    <n v="7669"/>
    <s v=""/>
    <s v="10.15376/biores.16.4.7648-7670"/>
    <s v="http://dx.doi.org/10.15376/biores.16.4.7648-7670"/>
    <s v=""/>
    <s v=""/>
    <n v="23"/>
    <x v="103"/>
    <x v="3"/>
    <s v="Materials Science"/>
    <s v="YS7KL"/>
    <s v=""/>
    <s v="gold"/>
    <s v=""/>
    <s v=""/>
    <s v="2023-11-15"/>
    <s v="WOS:000750851200076"/>
    <s v="View Full Record in Web of Science"/>
    <m/>
  </r>
  <r>
    <x v="270"/>
    <s v="J"/>
    <x v="268"/>
    <s v=""/>
    <s v=""/>
    <s v=""/>
    <s v="Kondratieva, N. B."/>
    <s v=""/>
    <s v=""/>
    <x v="268"/>
    <x v="197"/>
    <s v=""/>
    <s v=""/>
    <s v="English"/>
    <s v="Article"/>
    <s v=""/>
    <s v=""/>
    <s v=""/>
    <s v=""/>
    <s v=""/>
    <x v="253"/>
    <x v="1"/>
    <s v="The aim of the article is to summarize the ideological foundations and to characterize the current stage of agricultural digitalization in the EU. The author identifies the framework documents and areas of discussion on the development of the digital strategy of the European Union in the agricultural sector. Taking into account the successful practice and opinions of the competent centers, an idea was formed about the principles and ten areas that are covered by supranational assistance, which form a kind of Decalogue of agricultural digitalization. The author notes that the regulation of digital transformation in agriculture is due not so much to the need to increase the economic efficiency of business processes, but rather to the intention to facilitate the control of their compliance with the criteria of climate neutrality and inclusiveness. The digitalization strategy of the Common agricultural policy (CAP) brings its goals closer to those of sustainable development. The ongoing crisis in Europe and the world caused by the COVID-19 coronavirus pandemic gives the European Commission a formal reason to step up digital transformation in agriculture. Relying on legal and investment-based regulatory tools, it uses tactics to force progress in the name of improving the sustainability of agriculture in the face of probable shocks."/>
    <s v="[Kondratieva, N. B.] Russian Acad Sci, Inst Europe, Moscow 125009, Russia"/>
    <s v="Institute of Europe RAS; Russian Academy of Sciences"/>
    <s v="Kondratieva, NB (corresponding author), Russian Acad Sci, Inst Europe, Moscow 125009, Russia."/>
    <s v="nkondratieva@inbox.ru"/>
    <s v=""/>
    <s v=""/>
    <s v=""/>
    <s v=""/>
    <s v=""/>
    <s v=""/>
    <n v="27"/>
    <n v="6"/>
    <n v="6"/>
    <n v="2"/>
    <n v="8"/>
    <s v="MAIK NAUKA/INTERPERIODICA/SPRINGER"/>
    <s v="NEW YORK"/>
    <s v="233 SPRING ST, NEW YORK, NY 10013-1578 USA"/>
    <s v="1019-3316"/>
    <s v="1555-6492"/>
    <s v=""/>
    <s v="HER RUSS ACAD SCI+"/>
    <s v="Her. Russ. Acad. Sci."/>
    <s v="NOV"/>
    <x v="2"/>
    <n v="91"/>
    <n v="6"/>
    <s v=""/>
    <s v=""/>
    <s v=""/>
    <s v=""/>
    <n v="736"/>
    <n v="742"/>
    <s v=""/>
    <s v="10.1134/S1019331621060150"/>
    <s v="http://dx.doi.org/10.1134/S1019331621060150"/>
    <s v=""/>
    <s v=""/>
    <n v="7"/>
    <x v="104"/>
    <x v="0"/>
    <s v="History &amp; Philosophy of Science; Science &amp; Technology - Other Topics"/>
    <s v="YR9ZE"/>
    <n v="35125845"/>
    <s v="Green Published, Bronze"/>
    <s v=""/>
    <s v=""/>
    <s v="2023-11-15"/>
    <s v="WOS:000750345500017"/>
    <s v="View Full Record in Web of Science"/>
    <m/>
  </r>
  <r>
    <x v="271"/>
    <s v="J"/>
    <x v="269"/>
    <s v=""/>
    <s v=""/>
    <s v=""/>
    <s v="Guzek, Damian"/>
    <s v=""/>
    <s v=""/>
    <x v="269"/>
    <x v="19"/>
    <s v=""/>
    <s v=""/>
    <s v="English"/>
    <s v="Article"/>
    <s v=""/>
    <s v=""/>
    <s v=""/>
    <s v=""/>
    <s v=""/>
    <x v="254"/>
    <x v="215"/>
    <s v="In recent years, radical voices of all kinds have become increasingly visible due to digital platforms. Within this context, issues connected with religious diversity have received little attention. But valuable insights can be gained from examining how radical religious advocates embrace digital strategies, using their own marginality to ironically oppose religious diversity. This article discusses the discursive strategies of the Polish far-right, their approach to religious diversity, and their iteration practices. It focuses on the discursive strategies and practices of far-right leaders of opinion in Poland opposed to religious diversity that have worked to narrow Christian values to a reinvented idea of traditional Catholicism. In this, they use techniques of language and narrative control, with intentional repetition playing a key role. My research suggests the need for an intricate understanding of these processes, in which Poland's far-right movements shape identities through shifting religious norms in often hidden practices of religious exclusion."/>
    <s v="[Guzek, Damian] Univ Silesia Katowice, Inst Journalism &amp; Media Commun, Bakowa 11, PL-40007 Katowice, Poland"/>
    <s v="University of Silesia in Katowice"/>
    <s v="Guzek, D (corresponding author), Univ Silesia Katowice, Inst Journalism &amp; Media Commun, Bakowa 11, PL-40007 Katowice, Poland."/>
    <s v="damian.guzek@us.edu.pl"/>
    <s v=""/>
    <s v=""/>
    <s v=""/>
    <s v=""/>
    <s v=""/>
    <s v=""/>
    <n v="70"/>
    <n v="0"/>
    <n v="0"/>
    <n v="1"/>
    <n v="11"/>
    <s v="ROUTLEDGE JOURNALS, TAYLOR &amp; FRANCIS LTD"/>
    <s v="ABINGDON"/>
    <s v="2-4 PARK SQUARE, MILTON PARK, ABINGDON OX14 4RN, OXON, ENGLAND"/>
    <s v="1369-118X"/>
    <s v="1468-4462"/>
    <s v=""/>
    <s v="INFORM COMMUN SOC"/>
    <s v="Info. Commun. Soc."/>
    <s v="APR 26"/>
    <x v="0"/>
    <n v="26"/>
    <n v="6"/>
    <s v=""/>
    <s v=""/>
    <s v=""/>
    <s v=""/>
    <n v="1177"/>
    <n v="1192"/>
    <s v=""/>
    <s v="10.1080/1369118X.2021.1994628"/>
    <s v="http://dx.doi.org/10.1080/1369118X.2021.1994628"/>
    <s v=""/>
    <s v="OCT 2021"/>
    <n v="16"/>
    <x v="18"/>
    <x v="1"/>
    <s v="Communication; Sociology"/>
    <s v="F9IT0"/>
    <s v=""/>
    <s v=""/>
    <s v=""/>
    <s v=""/>
    <s v="2023-11-15"/>
    <s v="WOS:000712668000001"/>
    <s v="View Full Record in Web of Science"/>
    <m/>
  </r>
  <r>
    <x v="272"/>
    <s v="J"/>
    <x v="270"/>
    <s v=""/>
    <s v=""/>
    <s v=""/>
    <s v="Fernandez-Vidal, Jorge; Gonzalez, Reyes; Gasco, Jose; Llopis, Juan"/>
    <s v=""/>
    <s v=""/>
    <x v="270"/>
    <x v="9"/>
    <s v=""/>
    <s v=""/>
    <s v="English"/>
    <s v="Article"/>
    <s v=""/>
    <s v=""/>
    <s v=""/>
    <s v=""/>
    <s v=""/>
    <x v="255"/>
    <x v="216"/>
    <s v="Digital technologies have had a tremendous impact on the world and have forced companies to adapt their business models, strategies and management practices. There is a scarcity of research about digital transformation in the energy sector, so this paper aims to analyze this phenomenon in the Oil &amp; Gas sector through a comparative case analysis of eight market leading European Oil &amp; Gas companies. To ensure an adequate methodological approach, the authors have applied Eisenhardt's framework to build theories from case study research. This article relies on multiple data collection methods. 26 interviews with 18 senior executives from the sample energy firms and two global consulting firms were completed in two separate phases. To complement these interviews, information and data were collected from a range of public sources, such as newspapers, video interviews, business magazines and analyst reports, as well as public information from the eight companies under analysis, such as annual and financial reports, company presentations, regulatory filings and announcements and company news. Our research highlights several transformational moves in the firms under study that bring substantial new capabilities and allow them to achieve market-leading positions in new and digitally native business areas -although modest in size. The sample firms mainly opt for combinations of small transformational strategies to achieve their large transformation goals. However, in many organizations, digital and business transformation initiatives suffer from poor governance and are typically just a collection of unconnected activities, piecemeal strategies and pilot projects. Developing a coherent transformation strategy, with the right structure and governance, remains a challenge for most organizations. This paper, leveraging the collective learnings from the eight companies studied, aims to help decision-makers with a conceptual guideline to select the most appropriate strategic tools when undergoing a transformation, based on four dimensions that are of high relevance across multiple strategic environments."/>
    <s v="[Fernandez-Vidal, Jorge] Univ Alicante, Fac Econ, Alicante 03690, Spain; [Gonzalez, Reyes; Gasco, Jose; Llopis, Juan] Univ Alicante, Business Management, Alicante, Spain; [Gasco, Jose] Univ Alicante, Res Inst Tourism, Alicante, Spain"/>
    <s v="Universitat d'Alacant; Universitat d'Alacant; Universitat d'Alacant"/>
    <s v="Gonzalez, R (corresponding author), Univ Alicante, Fac Econ, Alicante 03690, Spain."/>
    <s v="mr.gonzalez@ua.es"/>
    <s v="Gascó, José L/L-1794-2014; Fernandez Vidal, Jorge/HIZ-5766-2022; Gonzalez-Ramirez, Reyes/L-1893-2014"/>
    <s v="Gascó, José L/0000-0003-2461-7702; Gonzalez-Ramirez, Reyes/0000-0002-9758-7957"/>
    <s v=""/>
    <s v=""/>
    <s v=""/>
    <s v=""/>
    <n v="127"/>
    <n v="12"/>
    <n v="12"/>
    <n v="20"/>
    <n v="127"/>
    <s v="ELSEVIER SCIENCE INC"/>
    <s v="NEW YORK"/>
    <s v="STE 800, 230 PARK AVE, NEW YORK, NY 10169 USA"/>
    <s v="0040-1625"/>
    <s v="1873-5509"/>
    <s v=""/>
    <s v="TECHNOL FORECAST SOC"/>
    <s v="Technol. Forecast. Soc. Chang."/>
    <s v="JAN"/>
    <x v="1"/>
    <n v="174"/>
    <s v=""/>
    <s v=""/>
    <s v=""/>
    <s v=""/>
    <s v=""/>
    <s v=""/>
    <s v=""/>
    <n v="121293"/>
    <s v="10.1016/j.techfore.2021.121293"/>
    <s v="http://dx.doi.org/10.1016/j.techfore.2021.121293"/>
    <s v=""/>
    <s v="OCT 2021"/>
    <n v="13"/>
    <x v="9"/>
    <x v="1"/>
    <s v="Business &amp; Economics; Public Administration"/>
    <s v="WY6EE"/>
    <s v=""/>
    <s v="Green Submitted"/>
    <s v=""/>
    <s v=""/>
    <s v="2023-11-15"/>
    <s v="WOS:000719370700002"/>
    <s v="View Full Record in Web of Science"/>
    <m/>
  </r>
  <r>
    <x v="273"/>
    <s v="J"/>
    <x v="271"/>
    <s v=""/>
    <s v=""/>
    <s v=""/>
    <s v="Noehrer, Lukas; Gilmore, Abigail; Jay, Caroline; Yehudi, Yo"/>
    <s v=""/>
    <s v=""/>
    <x v="271"/>
    <x v="158"/>
    <s v=""/>
    <s v=""/>
    <s v="English"/>
    <s v="Article"/>
    <s v=""/>
    <s v=""/>
    <s v=""/>
    <s v=""/>
    <s v=""/>
    <x v="8"/>
    <x v="1"/>
    <s v="The first quarter of 2020 heralded the beginning of an uncertain future for museums and galleries as the COVID-19 pandemic hit and the only means to stay 'open' was to turn towards the digital. In this paper, we investigate how the physical closure of museum buildings due to lockdown restrictions caused shockwaves within their digital strategies and changed their data practices potentially for good. We review the impact of COVID-19 on the museum sector, based on literature and desk research, with a focus on the implications for three museums and art galleries in the United Kingdom and the United States, and their mission, objectives, and digital data practices. We then present an analysis of ten qualitative interviews with expert witnesses working in the sector, representing different roles and types of institutions, undertaken between April and October 2020. Our research finds that digital engagement with museum content and practices around data in institutions have changed and that digital methods for organising and accessing collections for both staff and the general public have become more important. We present evidence that strategic preparedness influenced how well institutions were able to transition during closure and that metrics data became pivotal in understanding this novel situation. Increased engagement online changed traditional audience profiles, challenging museums to find ways of accommodating new forms of engagement in order to survive and thrive in the post-pandemic environment."/>
    <s v="[Noehrer, Lukas; Gilmore, Abigail; Jay, Caroline; Yehudi, Yo] Univ Manchester, Manchester, Lancs, England"/>
    <s v="University of Manchester"/>
    <s v="Noehrer, L (corresponding author), Univ Manchester, Manchester, Lancs, England."/>
    <s v="lukas.noehrer@manchester.ac.uk"/>
    <s v="Noehrer, Lukas/AHB-1229-2022; Gilmore, Abigail/JMB-2510-2023"/>
    <s v="Noehrer, Lukas/0000-0002-9167-0397; Gilmore, Abigail/0000-0003-0596-6667; Yehudi, Yo/0000-0003-2705-1724; Jay, Caroline/0000-0002-6080-1382"/>
    <s v="UK Engineering and Physical Sciences Research Council (EPSRC) [EP/R513131/1]; AHRC/UKRI COVID-19: Impacts on the Cultural Industries and Implications for Policy [AH/V00994X/1]; AHRC Centre of Excellence for Policy and Evidence in the Creative Industries [AH/S001298/1]; AHRC [AH/V00994X/1, AH/S012893/1] Funding Source: UKRI"/>
    <s v="UK Engineering and Physical Sciences Research Council (EPSRC)(UK Research &amp; Innovation (UKRI)Engineering &amp; Physical Sciences Research Council (EPSRC)); AHRC/UKRI COVID-19: Impacts on the Cultural Industries and Implications for Policy; AHRC Centre of Excellence for Policy and Evidence in the Creative Industries; AHRC(UK Research &amp; Innovation (UKRI)Arts &amp; Humanities Research Council (AHRC))"/>
    <s v="This work was supported by the UK Engineering and Physical Sciences Research Council (EPSRC) grant EP/R513131/1 for the University of Manchester and we further acknowledge funding for Gilmore from AHRC/UKRI COVID-19: Impacts on the Cultural Industries and Implications for Policy (AH/V00994X/1) and AHRC Centre of Excellence for Policy and Evidence in the Creative Industries (AH/S001298/1). We would also like to thank our participants for their time in participating in this study."/>
    <s v=""/>
    <n v="47"/>
    <n v="22"/>
    <n v="22"/>
    <n v="1"/>
    <n v="19"/>
    <s v="SPRINGERNATURE"/>
    <s v="LONDON"/>
    <s v="CAMPUS, 4 CRINAN ST, LONDON, N1 9XW, ENGLAND"/>
    <s v=""/>
    <s v="2662-9992"/>
    <s v=""/>
    <s v="HUM SOC SCI COMMUN"/>
    <s v="Hum. Soc. Sci. Commun."/>
    <s v="OCT 15"/>
    <x v="2"/>
    <n v="8"/>
    <n v="1"/>
    <s v=""/>
    <s v=""/>
    <s v=""/>
    <s v=""/>
    <s v=""/>
    <s v=""/>
    <n v="236"/>
    <s v="10.1057/s41599-021-00921-8"/>
    <s v="http://dx.doi.org/10.1057/s41599-021-00921-8"/>
    <s v=""/>
    <s v=""/>
    <n v="10"/>
    <x v="87"/>
    <x v="6"/>
    <s v="Arts &amp; Humanities - Other Topics; Social Sciences - Other Topics"/>
    <s v="WH3LU"/>
    <s v=""/>
    <s v="gold, Green Submitted"/>
    <s v=""/>
    <s v=""/>
    <s v="2023-11-15"/>
    <s v="WOS:000707584600002"/>
    <s v="View Full Record in Web of Science"/>
    <m/>
  </r>
  <r>
    <x v="274"/>
    <s v="J"/>
    <x v="272"/>
    <s v=""/>
    <s v=""/>
    <s v=""/>
    <s v="McIntyre, David P.; Srinivasan, Arati; Chintakananda, Asda"/>
    <s v=""/>
    <s v=""/>
    <x v="272"/>
    <x v="62"/>
    <s v=""/>
    <s v=""/>
    <s v="English"/>
    <s v="Article"/>
    <s v=""/>
    <s v=""/>
    <s v=""/>
    <s v=""/>
    <s v=""/>
    <x v="256"/>
    <x v="217"/>
    <s v="Existing research on digital platforms emphasizes the contexts that enable such platforms - and their sponsoring firms -to emerge and achieve market dominance. However, this body of research has not sufficiently addressed the ability of certain platform sponsors to persist over time, despite the existence of competing platforms or new entrants. Drawing upon research on network effects, competitive dynamics, and complementor interaction, we develop propositions highlighting the role of network, platform, and complementor attributes that facilitate or hinder the persistence of a technology-based platform in the market. In doing so, we conceptualize platform dominance as part of a dynamic process, rather than a static outcome as often characterized by previous literature. Our propositions advance research on digital platform strategy and user networks by examining the factors that enhance the continued viability of a platform, and generates a number of important directions for future research on technology management, innovation, and strategy, as well as for managerial practice in platform-mediated markets."/>
    <s v="[McIntyre, David P.; Srinivasan, Arati] Providence Coll, Dept Management, 1 Cunningham Sq, Providence, RI 02918 USA; [Chintakananda, Asda] Natl Inst Dev Adm, 118 Moo 3,Serithai Road, Bangkok 10240, Thailand"/>
    <s v="Providence College; National Institute of Development Administration - Thailand"/>
    <s v="McIntyre, DP (corresponding author), Providence Coll, Dept Management, 1 Cunningham Sq, Providence, RI 02918 USA."/>
    <s v="dmcinty2@providence.edu; asriniva@providence.edu; asda.chi@nida.ac.th"/>
    <s v=""/>
    <s v=""/>
    <s v=""/>
    <s v=""/>
    <s v=""/>
    <s v=""/>
    <n v="93"/>
    <n v="25"/>
    <n v="26"/>
    <n v="24"/>
    <n v="105"/>
    <s v="ELSEVIER SCI LTD"/>
    <s v="OXFORD"/>
    <s v="THE BOULEVARD, LANGFORD LANE, KIDLINGTON, OXFORD OX5 1GB, OXON, ENGLAND"/>
    <s v="0024-6301"/>
    <s v="1873-1872"/>
    <s v=""/>
    <s v="LONG RANGE PLANN"/>
    <s v="Long Range Plan."/>
    <s v="OCT"/>
    <x v="2"/>
    <n v="54"/>
    <n v="5"/>
    <s v=""/>
    <s v=""/>
    <s v="SI"/>
    <s v=""/>
    <s v=""/>
    <s v=""/>
    <n v="101987"/>
    <s v="10.1016/j.lrp.2020.101987"/>
    <s v="http://dx.doi.org/10.1016/j.lrp.2020.101987"/>
    <s v=""/>
    <s v="OCT 2021"/>
    <n v="12"/>
    <x v="46"/>
    <x v="1"/>
    <s v="Business &amp; Economics; Development Studies"/>
    <s v="WF7JD"/>
    <s v=""/>
    <s v=""/>
    <s v=""/>
    <s v=""/>
    <s v="2023-11-15"/>
    <s v="WOS:000706477200009"/>
    <s v="View Full Record in Web of Science"/>
    <m/>
  </r>
  <r>
    <x v="275"/>
    <s v="J"/>
    <x v="273"/>
    <s v=""/>
    <s v=""/>
    <s v=""/>
    <s v="Silva, Carolina"/>
    <s v=""/>
    <s v=""/>
    <x v="273"/>
    <x v="198"/>
    <s v=""/>
    <s v=""/>
    <s v="English"/>
    <s v="Article"/>
    <s v=""/>
    <s v=""/>
    <s v=""/>
    <s v=""/>
    <s v=""/>
    <x v="257"/>
    <x v="1"/>
    <s v="When museums across the world closed due to the COVID-19 pandemic and staff struggled to rethink their new roles in a challenging and unprecedented context, youth collectives - long-term programs for teens and young adults, aged 15-24 - reinvented themselves. The focus of my research is the digital projects developed during lockdown by youth collectives in three metropolitan contemporary art museums. These include MOCA Teens, the MCA Youth Committee and Duchamp &amp; Sons, based, respectively, at LA MOCA (U.S.A.), MCA Australia, and Whitechapel Gallery (U.K.). They adjusted quickly to the new digital pace and devised creative communication and mediation strategies that allowed their collaborative work to continue online. For this research, I combined the analysis of the digital content they produced - websites, social media and podcasts - with interviews I did with the museum educators leading each program. The success of these projects is grounded on a shared trust between museums, educators, and participants."/>
    <s v="[Silva, Carolina] Univ Lisbon, Inst Social Sci, Lisbon, Portugal"/>
    <s v="Institute of Social Sciences, University of Lisbon (ICS-UL); Universidade de Lisboa"/>
    <s v="Silva, C (corresponding author), Univ Lisbon, Inst Social Sci, Lisbon, Portugal."/>
    <s v=""/>
    <s v=""/>
    <s v=""/>
    <s v="European Union [892010]; Marie Curie Actions (MSCA) [892010] Funding Source: Marie Curie Actions (MSCA)"/>
    <s v="European Union(European Union (EU)); Marie Curie Actions (MSCA)(Marie Curie Actions)"/>
    <s v="This project has received funding from the European Union's Horizon 2020 research and innovation programme under the Marie Sklodowska-Curie [Grant agreement No 892010]."/>
    <s v=""/>
    <n v="20"/>
    <n v="4"/>
    <n v="4"/>
    <n v="1"/>
    <n v="12"/>
    <s v="ROUTLEDGE JOURNALS, TAYLOR &amp; FRANCIS LTD"/>
    <s v="ABINGDON"/>
    <s v="2-4 PARK SQUARE, MILTON PARK, ABINGDON OX14 4RN, OXON, ENGLAND"/>
    <s v="1059-8650"/>
    <s v="2051-6169"/>
    <s v=""/>
    <s v="J MUS EDUC"/>
    <s v="J. Museum Education"/>
    <s v="OCT 2"/>
    <x v="2"/>
    <n v="46"/>
    <n v="4"/>
    <s v=""/>
    <s v=""/>
    <s v="SI"/>
    <s v=""/>
    <n v="493"/>
    <n v="508"/>
    <s v=""/>
    <s v="10.1080/10598650.2021.1974235"/>
    <s v="http://dx.doi.org/10.1080/10598650.2021.1974235"/>
    <s v=""/>
    <s v=""/>
    <n v="16"/>
    <x v="39"/>
    <x v="2"/>
    <s v="Education &amp; Educational Research"/>
    <s v="XH2RG"/>
    <s v=""/>
    <s v="Green Published, hybrid"/>
    <s v=""/>
    <s v=""/>
    <s v="2023-11-15"/>
    <s v="WOS:000725287500010"/>
    <s v="View Full Record in Web of Science"/>
    <m/>
  </r>
  <r>
    <x v="276"/>
    <s v="J"/>
    <x v="274"/>
    <s v=""/>
    <s v=""/>
    <s v=""/>
    <s v="de Barros, Manoel Joaquim F.; Melo, Paulo; dos Santos, Ernani Marques; de Oliveira Bispo, Livia Veiga"/>
    <s v=""/>
    <s v=""/>
    <x v="274"/>
    <x v="199"/>
    <s v=""/>
    <s v=""/>
    <s v="English"/>
    <s v="Article"/>
    <s v=""/>
    <s v=""/>
    <s v=""/>
    <s v=""/>
    <s v=""/>
    <x v="258"/>
    <x v="1"/>
    <s v="The COVID-19 pandemic urged the implementation of new corporate digital strategies which are, in fact, no longer an option but compulsory. Given the context, this study aims to raise the following question: Are the micro and small companies matured enough to face the challenges of digital transformation due to the Covid-19 pandemic? This study has an exploratory approach in order to answer this intriguing question which seems to be a global concern. Data were collected by applying online questionnaires to 256 managers of micro and small enterprises in the state of Bahia, Brazil. The main findings showed that half (50,2%) of respondents considered their enterprises to be in a medium level of digital maturity and 39.13% considered themselves highly prepared to face the challenges of digital transformation due to the Covid-19 pandemic. Also, the study showed that it seems to be an inversely proportional relation between managers' age range and level of digital maturity of companies. Young managers are much more open for new technologies than old ones."/>
    <s v="[de Barros, Manoel Joaquim F.; Melo, Paulo; de Oliveira Bispo, Livia Veiga] Univ Salvador UNIFACS, Salvador, BA, Brazil; [dos Santos, Ernani Marques] Univ Fed Bahia, Escola Adm, Salvador, BA, Brazil"/>
    <s v="Universidade Salvador (UNIFACS); Universidade Federal da Bahia"/>
    <s v="de Barros, MJF (corresponding author), Univ Salvador UNIFACS, Salvador, BA, Brazil."/>
    <s v="manoeljfb@gmail.com; pmmelo@yahoo.com; ernanims@gmail.com; liviavobispo@gmail.com"/>
    <s v=""/>
    <s v=""/>
    <s v=""/>
    <s v=""/>
    <s v=""/>
    <s v=""/>
    <n v="22"/>
    <n v="0"/>
    <n v="0"/>
    <n v="4"/>
    <n v="21"/>
    <s v="PONTIFICIA UNIV CATOLICA SAO PAULO-PUC-SP"/>
    <s v="SAO PAULO"/>
    <s v="RUA LUIS FELIPE ATALHA 9, ALTO MOOCA, SAO PAULO, SP 03180-070, BRAZIL"/>
    <s v="2179-3565"/>
    <s v=""/>
    <s v=""/>
    <s v="RISUS"/>
    <s v="RISUS"/>
    <s v="OCT-NOV"/>
    <x v="2"/>
    <n v="12"/>
    <n v="4"/>
    <s v=""/>
    <s v=""/>
    <s v=""/>
    <s v=""/>
    <n v="29"/>
    <n v="35"/>
    <s v=""/>
    <s v="10.23925/2179-3565.2021v12i4p29-35"/>
    <s v="http://dx.doi.org/10.23925/2179-3565.2021v12i4p29-35"/>
    <s v=""/>
    <s v=""/>
    <n v="7"/>
    <x v="8"/>
    <x v="2"/>
    <s v="Business &amp; Economics"/>
    <s v="YI9TC"/>
    <s v=""/>
    <s v="gold"/>
    <s v=""/>
    <s v=""/>
    <s v="2023-11-15"/>
    <s v="WOS:000744182400004"/>
    <s v="View Full Record in Web of Science"/>
    <m/>
  </r>
  <r>
    <x v="277"/>
    <s v="J"/>
    <x v="275"/>
    <s v=""/>
    <s v=""/>
    <s v=""/>
    <s v="Maier, Carmen Daniela; Ravazzani, Silvia"/>
    <s v=""/>
    <s v=""/>
    <x v="275"/>
    <x v="200"/>
    <s v=""/>
    <s v=""/>
    <s v="English"/>
    <s v="Article"/>
    <s v=""/>
    <s v=""/>
    <s v=""/>
    <s v=""/>
    <s v=""/>
    <x v="259"/>
    <x v="218"/>
    <s v="Diversity has become a buzzword and a must-have corporate practice for contemporary organizations. This article aims to determine how discursive strategies employed by organizations to frame diversity are constructed in digital contexts. Drawing on the literature related to diversity in organizations and its framing in external digital contexts, this study adopts a critical perspective on the discourse analysis of corporate multimodal communication. This methodological approach allows us, first, to map the discursive strategies used to frame diversity in digital contexts through several semiotic modes; and second, to unravel in detail how this discursive construction is realized in terms of social actors, social actions, space, and time. This approach is empirically applied to the case of a leading global organization, Google. The study takes current research on diversity-related framing in corporate digital communication forward and shifts the focus to multimodal discursive strategies. Researchers can use this methodological approach to capture and analyze in detail the ongoing processes of discursive representations, and to produce longitudinal studies. Practitioners can become more aware of the multimodal character of contemporary communication and build on this study to ensure that their diversity-related framing is characterized by consistency across different digital platforms."/>
    <s v="[Maier, Carmen Daniela; Ravazzani, Silvia] Aarhus Univ, Corp Commun Sect, Dept Management, Aarhus, Denmark"/>
    <s v="Aarhus University"/>
    <s v="Maier, CD (corresponding author), Aarhus Univ, Dept Management, Fuglesangs 4, DK-8210 Aarhus V, Denmark."/>
    <s v="cdm@mgmt.au.dk"/>
    <s v="Maier, Carmen Daniela/AAA-4855-2020"/>
    <s v="Maier, Carmen Daniela/0000-0002-4082-1116"/>
    <s v=""/>
    <s v=""/>
    <s v=""/>
    <s v=""/>
    <n v="82"/>
    <n v="2"/>
    <n v="2"/>
    <n v="6"/>
    <n v="26"/>
    <s v="SAGE PUBLICATIONS INC"/>
    <s v="THOUSAND OAKS"/>
    <s v="2455 TELLER RD, THOUSAND OAKS, CA 91320 USA"/>
    <s v="2329-4884"/>
    <s v="2329-4892"/>
    <s v=""/>
    <s v="INT J BUS COMMUN"/>
    <s v="Int. J. Bus. Commun."/>
    <s v="OCT"/>
    <x v="2"/>
    <n v="58"/>
    <n v="4"/>
    <s v=""/>
    <s v=""/>
    <s v=""/>
    <s v=""/>
    <n v="463"/>
    <n v="489"/>
    <s v=""/>
    <s v="10.1177/2329488418768690"/>
    <s v="http://dx.doi.org/10.1177/2329488418768690"/>
    <s v=""/>
    <s v=""/>
    <n v="27"/>
    <x v="105"/>
    <x v="1"/>
    <s v="Business &amp; Economics; Communication"/>
    <s v="UB4SH"/>
    <s v=""/>
    <s v="Green Accepted"/>
    <s v=""/>
    <s v=""/>
    <s v="2023-11-15"/>
    <s v="WOS:000685837400001"/>
    <s v="View Full Record in Web of Science"/>
    <m/>
  </r>
  <r>
    <x v="278"/>
    <s v="J"/>
    <x v="276"/>
    <s v=""/>
    <s v=""/>
    <s v=""/>
    <s v="Palmer, Lindsay"/>
    <s v=""/>
    <s v=""/>
    <x v="276"/>
    <x v="201"/>
    <s v=""/>
    <s v=""/>
    <s v="English"/>
    <s v="Article"/>
    <s v=""/>
    <s v=""/>
    <s v=""/>
    <s v=""/>
    <s v=""/>
    <x v="260"/>
    <x v="219"/>
    <s v="This study explores the ways in which global press freedom watchdogs have discursively constructed the issue of press freedom during the Covid-19 pandemic. Drawing on a multimodal discourse analysis, the study examines web stories and Tweets posted by the International Press Institute (IPI), the Committee to Protect Journalists (CPJ), and Reporters sans Frontieres (RSF), with the purpose of answering three primary questions: (1) Who or what do the CPJ, the IPI, and RSF represent as the greatest threat to press freedom in relation to Covid-19? (2) What are the differences between these groups' representations of press freedom in their own regions of the world and their representations of press freedom in Other places? (3) What digital strategies do the IPI, CPJ, and RSF use in coverage of the Covid-19 pandemic? The article ultimately seeks to understand the ways in which each of these influential press freedom groups help to popularize particular understandings of press freedom in the 21st century."/>
    <s v="[Palmer, Lindsay] Univ Wisconsin, Sch Journalism &amp; Mass Commun, Madison, WI 53706 USA"/>
    <s v="University of Wisconsin System; University of Wisconsin Madison"/>
    <s v="Palmer, L (corresponding author), Univ Wisconsin, Sch Journalism &amp; Mass Commun, Madison, WI 53706 USA."/>
    <s v="lindsay.palmer@wisc.edu"/>
    <s v=""/>
    <s v=""/>
    <s v=""/>
    <s v=""/>
    <s v=""/>
    <s v=""/>
    <n v="62"/>
    <n v="5"/>
    <n v="5"/>
    <n v="2"/>
    <n v="22"/>
    <s v="ROUTLEDGE JOURNALS, TAYLOR &amp; FRANCIS LTD"/>
    <s v="ABINGDON"/>
    <s v="2-4 PARK SQUARE, MILTON PARK, ABINGDON OX14 4RN, OXON, ENGLAND"/>
    <s v="2167-0811"/>
    <s v="2167-082X"/>
    <s v=""/>
    <s v="DIGIT JOURNAL"/>
    <s v="Digit. Journal."/>
    <s v="JUL 3"/>
    <x v="1"/>
    <n v="10"/>
    <n v="6"/>
    <s v=""/>
    <s v=""/>
    <s v=""/>
    <s v=""/>
    <n v="1079"/>
    <n v="1097"/>
    <s v=""/>
    <s v="10.1080/21670811.2021.1943480"/>
    <s v="http://dx.doi.org/10.1080/21670811.2021.1943480"/>
    <s v=""/>
    <s v="SEP 2021"/>
    <n v="19"/>
    <x v="56"/>
    <x v="1"/>
    <s v="Communication"/>
    <s v="3Z1WL"/>
    <s v=""/>
    <s v=""/>
    <s v=""/>
    <s v=""/>
    <s v="2023-11-15"/>
    <s v="WOS:000710036400001"/>
    <s v="View Full Record in Web of Science"/>
    <m/>
  </r>
  <r>
    <x v="279"/>
    <s v="J"/>
    <x v="277"/>
    <s v=""/>
    <s v=""/>
    <s v=""/>
    <s v="Pereira, Andresa Costa; Dias da Silva, Marco Antonio; Patel, Upen S.; Tanday, Ajit; Hill, Kirsty B.; Walmsley, Anthony Damien"/>
    <s v=""/>
    <s v=""/>
    <x v="277"/>
    <x v="202"/>
    <s v=""/>
    <s v=""/>
    <s v="English"/>
    <s v="Article"/>
    <s v=""/>
    <s v=""/>
    <s v=""/>
    <s v=""/>
    <s v=""/>
    <x v="261"/>
    <x v="220"/>
    <s v="Introduction Increasingly, dental education is using digital strategies to deliver teaching; however, not all of these learning materials are engaging and effective. Aim To evaluate the perception and knowledge retention of undergraduate dental students after using two different digital learning tools: quizzes and PDF. Methods Thirty-three students from a Dental School in the United Kingdom took part in the research. They received learning material derived from the Prosthodontic (Kennedy classification) or Paediatric dentistry content (Tooth classification). The same content was delivered in two different formats: quiz game (n = 17) and PDF file (n = 16). The PDF file had ten images and their classifications, whilst the quiz had the same images with a question about the classification, along with alternatives (single best answer). Results All students gave similar performances on the knowledge assessment; however, their perception about the learning material differed. Students using quizzes (88%) agreed that they were fun and an interesting way of learning, while only 37.5% had this opinion about PDF material (p = .002). When using quizzes, learners were more motivated and confident. They would frequently recommend quizzes to other colleagues; however, the use of PDF was not suggested as frequently (p = .039). As a learning strategy, 100% of the students using quizzes wanted more of the same to study other dental subjects. This was not the case with the PDF format (p = .005). Conclusion Despite quizzes and PDF files resulting in a similar understanding of dental subjects, learners prefer quizzes to supplement their studies. Educators should consider using this interactive digital tool to engage students, instead of PDF files."/>
    <s v="[Pereira, Andresa Costa; Dias da Silva, Marco Antonio; Patel, Upen S.; Tanday, Ajit; Hill, Kirsty B.; Walmsley, Anthony Damien] Univ Birmingham, Birmingham, W Midlands, England; [Pereira, Andresa Costa; Dias da Silva, Marco Antonio] Univ Fed Campina Grande, Patos de Minas, Brazil"/>
    <s v="University of Birmingham; Universidade Federal de Campina Grande"/>
    <s v="Pereira, AC (corresponding author), Univ Birmingham, Birmingham, W Midlands, England."/>
    <s v="andresa@cstr.ufcg.edu.br"/>
    <s v="da Silva, Marco Antonio Dias/K-4730-2012"/>
    <s v="da Silva, Marco Antonio Dias/0000-0002-2774-4769; Pereira, Andresa Costa/0000-0002-3654-6123; Walmsley, Anthony Damien/0000-0003-4970-0764"/>
    <s v=""/>
    <s v=""/>
    <s v=""/>
    <s v=""/>
    <n v="18"/>
    <n v="1"/>
    <n v="1"/>
    <n v="2"/>
    <n v="15"/>
    <s v="WILEY"/>
    <s v="HOBOKEN"/>
    <s v="111 RIVER ST, HOBOKEN 07030-5774, NJ USA"/>
    <s v="1396-5883"/>
    <s v="1600-0579"/>
    <s v=""/>
    <s v="EUR J DENT EDUC"/>
    <s v="Eur. J. Dent. Educ."/>
    <s v="MAY"/>
    <x v="1"/>
    <n v="26"/>
    <n v="2"/>
    <s v=""/>
    <s v=""/>
    <s v=""/>
    <s v=""/>
    <n v="404"/>
    <n v="408"/>
    <s v=""/>
    <s v="10.1111/eje.12716"/>
    <s v="http://dx.doi.org/10.1111/eje.12716"/>
    <s v=""/>
    <s v="SEP 2021"/>
    <n v="5"/>
    <x v="106"/>
    <x v="0"/>
    <s v="Dentistry, Oral Surgery &amp; Medicine; Education &amp; Educational Research"/>
    <s v="0H4UO"/>
    <n v="34510674"/>
    <s v=""/>
    <s v=""/>
    <s v=""/>
    <s v="2023-11-15"/>
    <s v="WOS:000700037800001"/>
    <s v="View Full Record in Web of Science"/>
    <m/>
  </r>
  <r>
    <x v="280"/>
    <s v="J"/>
    <x v="278"/>
    <s v=""/>
    <s v=""/>
    <s v=""/>
    <s v="Buyukozkan, Gulcin; Havle, Celal Alpay; Feyzioglu, Orhan"/>
    <s v=""/>
    <s v=""/>
    <x v="278"/>
    <x v="203"/>
    <s v=""/>
    <s v=""/>
    <s v="English"/>
    <s v="Article"/>
    <s v=""/>
    <s v=""/>
    <s v=""/>
    <s v=""/>
    <s v=""/>
    <x v="262"/>
    <x v="221"/>
    <s v="Driven by business strategies, digital transformation (DT) facilitates dramatic change in air passenger behavior. This study aims to determine and analyze different DT strategies (DTSs) with the help of an integrated SWOTbased fuzzy AHP-MARCOS methodology that is proposed for the first time in the literature for this purpose. This methodology is validated with a case study concerning the airline industry in Turkey. The weights of the SWOT factors are determined with the fuzzy AHP method. The fuzzy MARCOS approach is used to select the most suitable DTS. The most appropriate strategy is obtained as focusing on differentiated digital customer experience and service quality by the adaptation of business models to DT to provide benefits."/>
    <s v="[Buyukozkan, Gulcin; Havle, Celal Alpay; Feyzioglu, Orhan] Galatasaray Univ, Dept Ind Engn, TR-34349 Istanbul, Turkey; [Havle, Celal Alpay] Ozyegin Univ, Dept Profess Flight, Fac Aviat &amp; Aeronaut Sci, Istanbul, Turkey"/>
    <s v="Galatasaray University; Ozyegin University"/>
    <s v="Büyüközkan, G (corresponding author), Galatasaray Univ, Dept Ind Engn, TR-34349 Istanbul, Turkey."/>
    <s v="gbuyukozkan@gsu.edu.tr; celal.alpay.havle@gmail.com; ofeyzioglu@gsu.edu.tr"/>
    <s v="Feyzioglu, Orhan/AAG-5351-2019"/>
    <s v="Feyzioglu, Orhan/0000-0002-8919-191X"/>
    <s v=""/>
    <s v=""/>
    <s v=""/>
    <s v=""/>
    <n v="81"/>
    <n v="26"/>
    <n v="26"/>
    <n v="6"/>
    <n v="49"/>
    <s v="ELSEVIER SCI LTD"/>
    <s v="OXFORD"/>
    <s v="THE BOULEVARD, LANGFORD LANE, KIDLINGTON, OXFORD OX5 1GB, OXON, ENGLAND"/>
    <s v="0969-6997"/>
    <s v="1873-2089"/>
    <s v=""/>
    <s v="J AIR TRANSP MANAG"/>
    <s v="J. Air Transp. Manag."/>
    <s v="OCT"/>
    <x v="2"/>
    <n v="97"/>
    <s v=""/>
    <s v=""/>
    <s v=""/>
    <s v=""/>
    <s v=""/>
    <s v=""/>
    <s v=""/>
    <n v="102142"/>
    <s v="10.1016/j.jairtraman.2021.102142"/>
    <s v="http://dx.doi.org/10.1016/j.jairtraman.2021.102142"/>
    <s v=""/>
    <s v="SEP 2021"/>
    <n v="17"/>
    <x v="107"/>
    <x v="1"/>
    <s v="Transportation"/>
    <s v="WN7LM"/>
    <s v=""/>
    <s v=""/>
    <s v=""/>
    <s v=""/>
    <s v="2023-11-15"/>
    <s v="WOS:000711948900002"/>
    <s v="View Full Record in Web of Science"/>
    <m/>
  </r>
  <r>
    <x v="281"/>
    <s v="J"/>
    <x v="279"/>
    <s v=""/>
    <s v=""/>
    <s v=""/>
    <s v="Masella, Michel; Crudu, Alina; Leonforte, Fabien"/>
    <s v=""/>
    <s v=""/>
    <x v="279"/>
    <x v="204"/>
    <s v=""/>
    <s v=""/>
    <s v="English"/>
    <s v="Article"/>
    <s v=""/>
    <s v=""/>
    <s v=""/>
    <s v=""/>
    <s v=""/>
    <x v="8"/>
    <x v="222"/>
    <s v="Hybrid modeling approaches based on all-atom force fields to handle a solute and coarse-grained models to account for the solvent are promising numerical tools that can be used to understand the properties of large and multi-components solutions and thus to speed up the development of new industrial products that obey the standard of green and sustainable chemistry. Here, we discuss the ability of a full polarizable hybrid approach coupled to a standard molecular dynamics scheme to model the behavior in the aqueous phase and at infinite dilution conditions of a standard hydrophobic polyelectrolyte polymer whose charge is neutralized by explicit counterions. Beyond the standard picture of a polyelectrolyte behavior governed by an interplay between opposite intra-polyelectrolyte and inter-polyelectrolyte/counterion Coulombic effects, our simulations show the key role played by both intra-solute polarization effects and long range solute/solvent electrostatics to stabilize compact globular conformations of that polyelectrolyte. Our full polarizable hybrid modeling approach is thus a new theoretical tool well suited to be used in digital strategies for accelerating innovation for green science, for instance."/>
    <s v="[Masella, Michel] Inst Joliot, Serv Bioenerget Biol Struct &amp; Mec, Lab Biol Struct &amp; Radiobiol, CEA Saclay, F-91191 Gif Sur Yvette, France; [Crudu, Alina; Leonforte, Fabien] LOreal Res &amp; Innovat, Aulnay Sous Bois, France"/>
    <s v="Universite Paris Saclay; CEA; L'Oreal Group"/>
    <s v="Masella, M (corresponding author), Inst Joliot, Serv Bioenerget Biol Struct &amp; Mec, Lab Biol Struct &amp; Radiobiol, CEA Saclay, F-91191 Gif Sur Yvette, France."/>
    <s v="michel.masella@cea.fr; fabien.leonforte@rd.loreal.com"/>
    <s v="Masella, Michel/I-8367-2019"/>
    <s v="Masella, Michel/0000-0003-1073-4457"/>
    <s v="GENCI [A0090312049]"/>
    <s v="GENCI"/>
    <s v="This work was granted access to the TGCC HPC resources under the allocation 2019-2 020 [Grant No. A0090312049] and the Grand Challenge allocation [GC0429] made by GENCI. We sincerely thanks the reviewers for their help in improving the manuscript."/>
    <s v=""/>
    <n v="81"/>
    <n v="2"/>
    <n v="2"/>
    <n v="1"/>
    <n v="4"/>
    <s v="AIP Publishing"/>
    <s v="MELVILLE"/>
    <s v="1305 WALT WHITMAN RD, STE 300, MELVILLE, NY 11747-4501 USA"/>
    <s v="0021-9606"/>
    <s v="1089-7690"/>
    <s v=""/>
    <s v="J CHEM PHYS"/>
    <s v="J. Chem. Phys."/>
    <s v="SEP 21"/>
    <x v="2"/>
    <n v="155"/>
    <n v="11"/>
    <s v=""/>
    <s v=""/>
    <s v=""/>
    <s v=""/>
    <s v=""/>
    <s v=""/>
    <n v="114903"/>
    <s v="10.1063/5.0056508"/>
    <s v="http://dx.doi.org/10.1063/5.0056508"/>
    <s v=""/>
    <s v=""/>
    <n v="20"/>
    <x v="108"/>
    <x v="0"/>
    <s v="Chemistry; Physics"/>
    <s v="YT4ZY"/>
    <n v="34551548"/>
    <s v="Green Submitted"/>
    <s v=""/>
    <s v=""/>
    <s v="2023-11-15"/>
    <s v="WOS:000751371200003"/>
    <s v="View Full Record in Web of Science"/>
    <m/>
  </r>
  <r>
    <x v="282"/>
    <s v="J"/>
    <x v="280"/>
    <s v=""/>
    <s v=""/>
    <s v=""/>
    <s v="Ellstrom, Daniel; Holtstrom, Johan; Berg, Emma; Johansson, Cecilia"/>
    <s v=""/>
    <s v=""/>
    <x v="280"/>
    <x v="61"/>
    <s v=""/>
    <s v=""/>
    <s v="English"/>
    <s v="Article"/>
    <s v=""/>
    <s v=""/>
    <s v=""/>
    <s v=""/>
    <s v=""/>
    <x v="263"/>
    <x v="223"/>
    <s v="Purpose The purpose of this paper is to identify sensing, seizing and reconfiguring routines of dynamic capabilities that enable digital transformation in firms. Design/methodology/approach A qualitative approach is used. Representatives from a firm going through digital transformations are interviewed, and focus groups have been carried out with a consultancy firm experienced in giving advice to firms going through digital transformation. Findings Six routines identified as relevant specifically for digital transformation are identified. These are cross-industrial digital sensing, inside-out digital infrastructure sensing, digital strategy development, determination of enterprise boundaries, decomposition of digital transformation into specified projects and creation of a unified digital infrastructure. Practical implications The authors provide direction for managers on how to approach digital transformation. In relation to previous research, the authors provide more specific guidance regarding how to reconfigure the organization in digital transformation. Originality/value The paper uses a novel context for digital transformation and complements the very few studies available using dynamic capabilities to understand digital transformation."/>
    <s v="[Ellstrom, Daniel; Holtstrom, Johan; Berg, Emma; Johansson, Cecilia] Linkoping Univ, Dept Management &amp; Engn, Linkoping, Sweden"/>
    <s v="Linkoping University"/>
    <s v="Ellström, D (corresponding author), Linkoping Univ, Dept Management &amp; Engn, Linkoping, Sweden."/>
    <s v="daniel.ellstrom@liu.se"/>
    <s v="Celestino, Leandro/HIR-4215-2022"/>
    <s v=""/>
    <s v=""/>
    <s v=""/>
    <s v=""/>
    <s v=""/>
    <n v="55"/>
    <n v="34"/>
    <n v="34"/>
    <n v="104"/>
    <n v="507"/>
    <s v="EMERALD GROUP PUBLISHING LTD"/>
    <s v="BINGLEY"/>
    <s v="HOWARD HOUSE, WAGON LANE, BINGLEY BD16 1WA, W YORKSHIRE, ENGLAND"/>
    <s v="1755-425X"/>
    <s v=""/>
    <s v=""/>
    <s v="J STRATEGY MANAG"/>
    <s v="J. Strategy Manag."/>
    <s v="APR 19"/>
    <x v="1"/>
    <n v="15"/>
    <n v="2"/>
    <s v=""/>
    <s v=""/>
    <s v=""/>
    <s v=""/>
    <n v="272"/>
    <n v="286"/>
    <s v=""/>
    <s v="10.1108/JSMA-04-2021-0089"/>
    <s v="http://dx.doi.org/10.1108/JSMA-04-2021-0089"/>
    <s v=""/>
    <s v="SEP 2021"/>
    <n v="15"/>
    <x v="8"/>
    <x v="2"/>
    <s v="Business &amp; Economics"/>
    <s v="0N8HA"/>
    <s v=""/>
    <s v="hybrid"/>
    <s v=""/>
    <s v=""/>
    <s v="2023-11-15"/>
    <s v="WOS:000697394700001"/>
    <s v="View Full Record in Web of Science"/>
    <m/>
  </r>
  <r>
    <x v="283"/>
    <s v="J"/>
    <x v="281"/>
    <s v=""/>
    <s v=""/>
    <s v=""/>
    <s v="Yan, Min-Ren; Hong, Lin-Ya; Warren, Kim"/>
    <s v=""/>
    <s v=""/>
    <x v="281"/>
    <x v="205"/>
    <s v=""/>
    <s v=""/>
    <s v="English"/>
    <s v="Article"/>
    <s v=""/>
    <s v=""/>
    <s v=""/>
    <s v=""/>
    <s v=""/>
    <x v="264"/>
    <x v="224"/>
    <s v="Purpose This paper proposes an integrated knowledge visualization and digital twin system for supporting strategic management decisions. The concepts and applications of strategic architecture have been illustrated with a concrete real-world case study and decision rules of using the strategic digital twin management decision system (SDMDS) as a more visualized, adaptive and effective model for decision-making. Design/methodology/approach This paper integrates the concepts of mental and computer models and examines a real case's business operations by applying system dynamics modelling and digital technologies. The enterprise digital twin system with displaying real-world data and simulations for future scenarios demonstrates an improved process of strategic decision-making in the digital age. Findings The findings reveal that data analytics and the visualized enterprise digital twin system offer better practices for strategic management decisions in the dynamic and constantly changing business world by providing a constant and frequent adjustment on every decision that affects how the business performs over both operational and strategic timescales. Originality/value In the digital age and dynamic business environment, the proposed strategic architecture and managerial digital twin system converts the existing conceptual models into an advanced operational model. It can facilitate the development of knowledge visualization and become a more adaptive and effective model for supporting real-time management decision-making by dealing with the complicated dependence of constant flow of data input, output and the feedback loop across business units and boundaries."/>
    <s v="[Yan, Min-Ren] Chinese Culture Univ, Coll Business, Taipei, Taiwan; [Hong, Lin-Ya] Georg August Univ Goettingen, Human Resources Management &amp; Asian Business, Gottingen, Germany; [Warren, Kim] Strategy Dynam Ltd, Bletchley, Bucks, England; [Warren, Kim] London Business Sch, Strategy Fac, London, England"/>
    <s v="Chinese Culture University; University of Gottingen; University of London; London Business School"/>
    <s v="Yan, MR (corresponding author), Chinese Culture Univ, Coll Business, Taipei, Taiwan."/>
    <s v="ymr3@faculty.pccu.edu.tw; linya.hong@stud.uni-goettingen.de; kim@strategydynamics.com"/>
    <s v=""/>
    <s v="Yan, Min-Ren/0000-0002-8270-9763; Hong, Lin-Ya/0000-0001-5032-3682"/>
    <s v=""/>
    <s v=""/>
    <s v=""/>
    <s v=""/>
    <n v="72"/>
    <n v="8"/>
    <n v="8"/>
    <n v="35"/>
    <n v="164"/>
    <s v="EMERALD GROUP PUBLISHING LTD"/>
    <s v="BINGLEY"/>
    <s v="HOWARD HOUSE, WAGON LANE, BINGLEY BD16 1WA, W YORKSHIRE, ENGLAND"/>
    <s v="0025-1747"/>
    <s v="1758-6070"/>
    <s v=""/>
    <s v="MANAGE DECIS"/>
    <s v="Manag. Decis."/>
    <s v="MAR 21"/>
    <x v="1"/>
    <n v="60"/>
    <n v="4"/>
    <s v=""/>
    <s v=""/>
    <s v="SI"/>
    <s v=""/>
    <n v="1095"/>
    <n v="1115"/>
    <s v=""/>
    <s v="10.1108/MD-02-2021-0182"/>
    <s v="http://dx.doi.org/10.1108/MD-02-2021-0182"/>
    <s v=""/>
    <s v="SEP 2021"/>
    <n v="21"/>
    <x v="6"/>
    <x v="1"/>
    <s v="Business &amp; Economics"/>
    <s v="ZY5YK"/>
    <s v=""/>
    <s v=""/>
    <s v=""/>
    <s v=""/>
    <s v="2023-11-15"/>
    <s v="WOS:000696595900001"/>
    <s v="View Full Record in Web of Science"/>
    <m/>
  </r>
  <r>
    <x v="284"/>
    <s v="J"/>
    <x v="282"/>
    <s v=""/>
    <s v=""/>
    <s v=""/>
    <s v="Antoniazzi, Luca; Popple, Simon; Lupu, Ruxandra"/>
    <s v=""/>
    <s v=""/>
    <x v="282"/>
    <x v="206"/>
    <s v=""/>
    <s v=""/>
    <s v="English"/>
    <s v="Article"/>
    <s v=""/>
    <s v=""/>
    <s v=""/>
    <s v=""/>
    <s v=""/>
    <x v="265"/>
    <x v="1"/>
    <s v="The digital optimism of the past decade has been reflected in many policy documents related to cultural heritage in which digital technology is portrayed as a great opportunity to bring cultural heritage to a much wider audience. This potential has been contested as widening access has proved much more complex than some at first thought. Despite that, in this paper we argue that curators of national silent film collections can realistically get inspired by grassroots participatory projects. We consider two digital projects: silent feature films in the British context; and silent home movies in Italy. The first study considers the BFI Player as part of the broader BFI digital strategy. We examine the development of institutional practices to digitally publish silent films, the role of the archive and curators, and the new public experiences of silent cinema. The second study is a grassroots project that looks at the role of digitisation in the re-use of digitised footage from Sicilian home movie collections. The study explores digital forms of organisation and access to this material and how they encourage creative reuse. We extrapolate some best practices that curators and policy makers might find useful and could follow nationally and locally."/>
    <s v="[Antoniazzi, Luca] Univ Bologna, Dept Arts, Bologna, Italy; [Popple, Simon; Lupu, Ruxandra] Univ Leeds, Sch Media &amp; Commun, Leeds, W Yorkshire, England"/>
    <s v="University of Bologna; University of Leeds"/>
    <s v="Antoniazzi, L (corresponding author), Univ Via Barberia 4, I-40123 Bologna, IT, Italy."/>
    <s v="luca.antoniazzi3@unibo.it"/>
    <s v=""/>
    <s v="Antoniazzi, Luca/0000-0003-0437-0511"/>
    <s v=""/>
    <s v=""/>
    <s v=""/>
    <s v=""/>
    <n v="61"/>
    <n v="0"/>
    <n v="0"/>
    <n v="0"/>
    <n v="3"/>
    <s v="ROUTLEDGE JOURNALS, TAYLOR &amp; FRANCIS LTD"/>
    <s v="ABINGDON"/>
    <s v="2-4 PARK SQUARE, MILTON PARK, ABINGDON OX14 4RN, OXON, ENGLAND"/>
    <s v="1741-1548"/>
    <s v="2040-0594"/>
    <s v=""/>
    <s v="STUD EUR CINE"/>
    <s v="Stud. Eur. Cine."/>
    <s v="SEP 2"/>
    <x v="2"/>
    <n v="18"/>
    <n v="3"/>
    <s v=""/>
    <s v=""/>
    <s v="SI"/>
    <s v=""/>
    <n v="195"/>
    <n v="211"/>
    <s v=""/>
    <s v="10.1080/17411548.2021.1921930"/>
    <s v="http://dx.doi.org/10.1080/17411548.2021.1921930"/>
    <s v=""/>
    <s v="SEP 2021"/>
    <n v="17"/>
    <x v="109"/>
    <x v="2"/>
    <s v="Film, Radio &amp; Television"/>
    <s v="WC3NS"/>
    <s v=""/>
    <s v=""/>
    <s v=""/>
    <s v=""/>
    <s v="2023-11-15"/>
    <s v="WOS:000695454600001"/>
    <s v="View Full Record in Web of Science"/>
    <m/>
  </r>
  <r>
    <x v="285"/>
    <s v="J"/>
    <x v="283"/>
    <s v=""/>
    <s v=""/>
    <s v=""/>
    <s v="Campos, Alyce Cardoso; de Rezende, Daniel Carvalho; Montagnana Vicente Leme, Paulo Henrique; de Brito, Mozar Jose; Antonialli, Luiz Marcelo"/>
    <s v=""/>
    <s v=""/>
    <x v="283"/>
    <x v="207"/>
    <s v=""/>
    <s v=""/>
    <s v="Portuguese"/>
    <s v="Article"/>
    <s v=""/>
    <s v=""/>
    <s v=""/>
    <s v=""/>
    <s v=""/>
    <x v="266"/>
    <x v="1"/>
    <s v="The crisis can affect an organization for many reasons, including changes that occur in the market, technology, competition or even a pandemic currently experienced. With this, it is necessary to find solutions so that it is possible to work around the situation and continue operating in the market. This article aims to analyze what are the digital marketing strategies adopted by organizations in different crisis situations, including the Covid-19 pandemic. For this purpose, an integrative review of articles published in the Web of Science, Scopus, SPELL and SciELO databases was carried out. The results show that several strategies in the digital environment are capable of collaborating with the challenges that organizations face with globalization, such as investing in their websites, acting on their social media with content and campaigns, applications, virtual assistants, advertising and others. A research framework was created with the aim of synthesizing the findings of this integrative review. Organizations from different sectors can mirror these strategies to deal with the crisis they face or even join them so that they are not hit by unexpected adversities, resulting in loss of space or even their withdrawal from the market."/>
    <s v="[Campos, Alyce Cardoso] Univ Fed Lavras, Adm, Lavras, Brazil; [de Rezende, Daniel Carvalho; Montagnana Vicente Leme, Paulo Henrique; de Brito, Mozar Jose; Antonialli, Luiz Marcelo] Univ Fed Lavras, Lavras, Brazil"/>
    <s v="Universidade Federal de Lavras; Universidade Federal de Lavras"/>
    <s v="Campos, AC (corresponding author), Univ Fed Lavras, Adm, Lavras, Brazil."/>
    <s v="alycecardosoc@yahoo.com.br; rezendedc@gmail.com; paulo.leme@ufla.br; mozarbrito@gmail.com; lmantonialli@gmail.com"/>
    <s v=""/>
    <s v=""/>
    <s v=""/>
    <s v=""/>
    <s v=""/>
    <s v=""/>
    <n v="34"/>
    <n v="1"/>
    <n v="1"/>
    <n v="5"/>
    <n v="35"/>
    <s v="UNIV FEEVALE, INST CIENCIAS SOCIAIS APLICADASICSA"/>
    <s v="NOVO HAMBURGO"/>
    <s v="ERS 239, 2755-B VILA NOVA, NOVO HAMBURGO, CEP93525-075, BRAZIL"/>
    <s v="1807-5436"/>
    <s v="2446-6875"/>
    <s v=""/>
    <s v="GEST DESENVOLV"/>
    <s v="GEST. Desenvolv."/>
    <s v="SEP-DEC"/>
    <x v="2"/>
    <n v="18"/>
    <n v="3"/>
    <s v=""/>
    <s v=""/>
    <s v=""/>
    <s v=""/>
    <n v="102"/>
    <n v="130"/>
    <s v=""/>
    <s v="10.25112/rgd.v18i3.2784"/>
    <s v="http://dx.doi.org/10.25112/rgd.v18i3.2784"/>
    <s v=""/>
    <s v=""/>
    <n v="29"/>
    <x v="33"/>
    <x v="2"/>
    <s v="Business &amp; Economics"/>
    <s v="XL4JV"/>
    <s v=""/>
    <s v="gold"/>
    <s v=""/>
    <s v=""/>
    <s v="2023-11-15"/>
    <s v="WOS:000728112300006"/>
    <s v="View Full Record in Web of Science"/>
    <m/>
  </r>
  <r>
    <x v="286"/>
    <s v="J"/>
    <x v="284"/>
    <s v=""/>
    <s v=""/>
    <s v=""/>
    <s v="Elangovan, Porkkovan; Seshadri, Sosmeta; Seetharaman, Priya"/>
    <s v=""/>
    <s v=""/>
    <x v="284"/>
    <x v="208"/>
    <s v=""/>
    <s v=""/>
    <s v="English"/>
    <s v="Article"/>
    <s v=""/>
    <s v=""/>
    <s v=""/>
    <s v=""/>
    <s v=""/>
    <x v="267"/>
    <x v="1"/>
    <s v="Digital transformation is a moving target for most organizations. Firms continue to be primarily focused on their business strategy or they are ahead of the curve on their technology strategy. Only those who find their sweet spot between these two are able to successfully traverse the transformation path. Prior research also indicates many enterprises fail to garner business value from their digital transformation efforts. This article is aimed at dovetailing the strategy and implementation steps through a 6B customer centric model. It provides a framework that can be leveraged by any organization that seeks to measure its business performance and strengthen its competitive business strategy supported by a well-defined digital strategy, executed through a concerted organizational change management exercise and continuously monitored using a business outcome analytics model. We present specific frameworks for each of these through an illustrative case from practice."/>
    <s v="[Elangovan, Porkkovan] Cognizant Technol Solut, Teaneck, NJ 07666 USA; [Seshadri, Sosmeta] Cognizant Technol Solut, Chennai 600119, Tamil Nadu, India; [Seetharaman, Priya] Indian Inst Management Calcutta, Kolkata 700104, India"/>
    <s v="Indian Institute of Management (IIM System); Indian Institute of Management Calcutta"/>
    <s v="Elangovan, P (corresponding author), Cognizant Technol Solut, Teaneck, NJ 07666 USA."/>
    <s v=""/>
    <s v=""/>
    <s v=""/>
    <s v=""/>
    <s v=""/>
    <s v=""/>
    <s v=""/>
    <n v="1"/>
    <n v="1"/>
    <n v="1"/>
    <n v="6"/>
    <n v="42"/>
    <s v="IEEE COMPUTER SOC"/>
    <s v="LOS ALAMITOS"/>
    <s v="10662 LOS VAQUEROS CIRCLE, PO BOX 3014, LOS ALAMITOS, CA 90720-1314 USA"/>
    <s v="1520-9202"/>
    <s v="1941-045X"/>
    <s v=""/>
    <s v="IT PROF"/>
    <s v="IT Prof."/>
    <s v="SEPT 1"/>
    <x v="2"/>
    <n v="23"/>
    <n v="5"/>
    <s v=""/>
    <s v=""/>
    <s v=""/>
    <s v=""/>
    <n v="17"/>
    <n v="22"/>
    <s v=""/>
    <s v="10.1109/MITP.2021.3069910"/>
    <s v="http://dx.doi.org/10.1109/MITP.2021.3069910"/>
    <s v=""/>
    <s v=""/>
    <n v="6"/>
    <x v="110"/>
    <x v="0"/>
    <s v="Computer Science; Telecommunications"/>
    <s v="WG2LT"/>
    <s v=""/>
    <s v=""/>
    <s v=""/>
    <s v=""/>
    <s v="2023-11-15"/>
    <s v="WOS:000706829300013"/>
    <s v="View Full Record in Web of Science"/>
    <m/>
  </r>
  <r>
    <x v="287"/>
    <s v="J"/>
    <x v="285"/>
    <s v=""/>
    <s v=""/>
    <s v=""/>
    <s v="Habelsberger, Beatrix E. M.; Bhansing, Pawan, V"/>
    <s v=""/>
    <s v=""/>
    <x v="285"/>
    <x v="209"/>
    <s v=""/>
    <s v=""/>
    <s v="English"/>
    <s v="Article"/>
    <s v=""/>
    <s v=""/>
    <s v=""/>
    <s v=""/>
    <s v=""/>
    <x v="268"/>
    <x v="225"/>
    <s v="Compared to other consumer goods markets, art galleries have long been reluctant to innovate through digitisation. However, the global outbreak of COVID-19 forces art galleries to reconsider the role of digital channels. This study aims to provide a better understanding of the art gallery business model and its related difficulties of integrating digital channels into marketing, communication, and sales. Twenty interviews with gallery owners and managers in Vienna and Salzburg were conducted. They were asked about their attitudes towards, opinions on, and experiences with digital channels, and how they reacted to the restrictions caused by COVID-19. The findings verify that COVID-19 has led galleries of any type to reconsider their digital strategy. We identified limitations with respect to digital channels: plain presentation of information online; lacking or distanced personal interaction; online anonymity that disconnects from the social art environment; increased information and price transparency; a more commercial appearance; limited resources for digital adaptations. Galleries striving to integrate digital channels into their business model should pay attention to ensuring that analogue, as well as digital, channels are integrated into a coherent system where personal contact and the physical location remain the core of the business."/>
    <s v="[Habelsberger, Beatrix E. M.; Bhansing, Pawan, V] Erasmus Univ, Erasmus Sch Hist Culture &amp; Commun, Dept Media &amp; Commun, NL-3000 DR Rotterdam, Netherlands"/>
    <s v="Erasmus University Rotterdam; Erasmus University Rotterdam - Excl Erasmus MC"/>
    <s v="Bhansing, PV (corresponding author), Erasmus Univ, Erasmus Sch Hist Culture &amp; Commun, Dept Media &amp; Commun, NL-3000 DR Rotterdam, Netherlands."/>
    <s v="habelsberger@outlook.com; bhansing@eshcc.eur.nl"/>
    <s v=""/>
    <s v=""/>
    <s v=""/>
    <s v=""/>
    <s v=""/>
    <s v=""/>
    <n v="58"/>
    <n v="6"/>
    <n v="6"/>
    <n v="3"/>
    <n v="31"/>
    <s v="MDPI"/>
    <s v="BASEL"/>
    <s v="ST ALBAN-ANLAGE 66, CH-4052 BASEL, SWITZERLAND"/>
    <s v=""/>
    <s v="2076-0752"/>
    <s v=""/>
    <s v="ARTS"/>
    <s v="Arts"/>
    <s v="SEP"/>
    <x v="2"/>
    <n v="10"/>
    <n v="3"/>
    <s v=""/>
    <s v=""/>
    <s v=""/>
    <s v=""/>
    <s v=""/>
    <s v=""/>
    <n v="48"/>
    <s v="10.3390/arts10030048"/>
    <s v="http://dx.doi.org/10.3390/arts10030048"/>
    <s v=""/>
    <s v=""/>
    <n v="23"/>
    <x v="55"/>
    <x v="2"/>
    <s v="Arts &amp; Humanities - Other Topics"/>
    <s v="UV0ZQ"/>
    <s v=""/>
    <s v="gold"/>
    <s v=""/>
    <s v=""/>
    <s v="2023-11-15"/>
    <s v="WOS:000699218500001"/>
    <s v="View Full Record in Web of Science"/>
    <m/>
  </r>
  <r>
    <x v="288"/>
    <s v="J"/>
    <x v="286"/>
    <s v=""/>
    <s v=""/>
    <s v=""/>
    <s v="Leao, Pedro; da Silva, Miguel Mira"/>
    <s v=""/>
    <s v=""/>
    <x v="286"/>
    <x v="106"/>
    <s v=""/>
    <s v=""/>
    <s v="English"/>
    <s v="Article"/>
    <s v=""/>
    <s v=""/>
    <s v=""/>
    <s v=""/>
    <s v=""/>
    <x v="269"/>
    <x v="226"/>
    <s v="Digital transformation impacts firms' competitiveness mainly on innovation, efficiency, cost reduction, and impacts global value chains on specialization, geographic scope, governance, and upgrading. According to literature, the impacts of digital transformation over firms' competitiveness, while presenting a more prominent role over more classical advantages, present a majority of positively signed impact directions, being, on average, beneficial to the firms that implement such transformations. Industrial processes' digitalization links global value chains' four main dimensions by increasing the firm's focus on more specific value chain activities (specialization) and international expansion opportunities (geographic scope) activity. In parallel, industrial digital transformation is also motivating firms to expand into upstream activities across the value chains (upgrading) and impacting significantly at GVCs' strategy (governance) due to the emergence of digital platforms, disrupting former competitive settings into new networked extended business ecosystems."/>
    <s v="[Leao, Pedro] Univ Lisbon, AESE Business Sch, Lisbon, Portugal; [da Silva, Miguel Mira] Univ Lisbon, INOV, Lisbon, Portugal"/>
    <s v="Universidade de Lisboa; Universidade de Lisboa; INOV INESC Inovacao"/>
    <s v="Leao, P (corresponding author), Av Rovisco Pais 1, P-1049001 Lisbon, Portugal."/>
    <s v="pedro.leao@tecnico.ulisboa.pt"/>
    <s v="Mira da Silva, Miguel/A-2892-2009; Mira da Silva, Miguel/ABA-4774-2021"/>
    <s v="Mira da Silva, Miguel/0000-0002-0489-4465; Mira da Silva, Miguel/0000-0002-0489-4465"/>
    <s v=""/>
    <s v=""/>
    <s v=""/>
    <s v=""/>
    <n v="71"/>
    <n v="14"/>
    <n v="14"/>
    <n v="32"/>
    <n v="164"/>
    <s v="JOHN WILEY &amp; SONS LTD"/>
    <s v="CHICHESTER"/>
    <s v="THE ATRIUM, SOUTHERN GATE, CHICHESTER PO19 8SQ, W SUSSEX, ENGLAND"/>
    <s v="1086-1718"/>
    <s v="1099-1697"/>
    <s v=""/>
    <s v="STRATEG CHANG"/>
    <s v="Strateg. Chang."/>
    <s v="SEP"/>
    <x v="2"/>
    <n v="30"/>
    <n v="5"/>
    <s v=""/>
    <s v=""/>
    <s v="SI"/>
    <s v=""/>
    <n v="421"/>
    <n v="441"/>
    <s v=""/>
    <s v="10.1002/jsc.2459"/>
    <s v="http://dx.doi.org/10.1002/jsc.2459"/>
    <s v=""/>
    <s v=""/>
    <n v="21"/>
    <x v="14"/>
    <x v="2"/>
    <s v="Business &amp; Economics"/>
    <s v="UL2RU"/>
    <s v=""/>
    <s v=""/>
    <s v=""/>
    <s v=""/>
    <s v="2023-11-15"/>
    <s v="WOS:000692505100003"/>
    <s v="View Full Record in Web of Science"/>
    <m/>
  </r>
  <r>
    <x v="289"/>
    <s v="J"/>
    <x v="287"/>
    <s v=""/>
    <s v=""/>
    <s v=""/>
    <s v="Navarro Martinez, Olga; Igual Garcia, Jorge; Traver Salcedo, Vicente"/>
    <s v=""/>
    <s v=""/>
    <x v="287"/>
    <x v="78"/>
    <s v=""/>
    <s v=""/>
    <s v="English"/>
    <s v="Article"/>
    <s v=""/>
    <s v=""/>
    <s v=""/>
    <s v=""/>
    <s v=""/>
    <x v="270"/>
    <x v="227"/>
    <s v="Patient empowerment is seen as the capability to understand health information and make decisions based on it. It is a competence that can improve self-care, adherence and overall health. The COVID-19 pandemic has increased the need for information and has also reduced the number of visits to health centers. Nurses have had to adapt in order to continue offering quality care in different environments such as the digital world, but this entails assessing the level of their patients' empowerment and adapting material and educational messages to new realities. The aim of this study is, on the one hand, to assess nurses' use of digital resources to provide reinforcing information to their patients and, on the other hand, to evaluate how they assess the level of empowerment of their patients. To perform the study, 850 nurses answered 21 questions related to their own digital literacy and patients' empowerment. The ability to make decisions is the characteristic most selected by nurses (70%) as useful in measuring patient empowerment, whereas 9.19% do not measure it in any way. Printed material is most often used by nurses to offer additional information to patients (71.93%), mobile applications are the least used option (21.58%), and elder nurses are those who most recommend digital resources. In this study, younger nurses make little or no use of technology as a resource for training and monitoring patients. In spite of some limitations concerning the study, digital health needs to be promoted as an indisputable tool in the nurse's briefcase in the future to ensure that older patients can manage electronic resources in different fields."/>
    <s v="[Navarro Martinez, Olga] Catholic Univ Valencia, Dept Nursing, Valencia 46007, Spain; [Navarro Martinez, Olga; Traver Salcedo, Vicente] Univ Politecn Valencia, Inst ITACA, Valencia 46022, Spain; [Igual Garcia, Jorge] Univ Politecn Valencia, Inst Telecomunicac &amp; Aplicac Multimedia ITEAM, Dept Comunicac, Valencia 46022, Spain"/>
    <s v="Universidad Catolica de Valencia San Vicente Martir; Universitat Politecnica de Valencia; Universitat Politecnica de Valencia"/>
    <s v="Martínez, ON (corresponding author), Catholic Univ Valencia, Dept Nursing, Valencia 46007, Spain.;Martínez, ON (corresponding author), Univ Politecn Valencia, Inst ITACA, Valencia 46022, Spain."/>
    <s v="olga.navarro@ucv.es; jigual@dcom.upv.es; vtraver@itaca.upv.es"/>
    <s v="Navarro Martínez, Olga/HDN-2718-2022; Traver, Vicente/B-8139-2015"/>
    <s v="Navarro Martínez, Olga/0000-0003-3563-4129; Igual, Jorge/0000-0003-3408-4014; Traver, Vicente/0000-0003-1806-8575"/>
    <s v=""/>
    <s v=""/>
    <s v=""/>
    <s v=""/>
    <n v="52"/>
    <n v="8"/>
    <n v="8"/>
    <n v="1"/>
    <n v="11"/>
    <s v="MDPI"/>
    <s v="BASEL"/>
    <s v="ST ALBAN-ANLAGE 66, CH-4052 BASEL, SWITZERLAND"/>
    <s v=""/>
    <s v="1660-4601"/>
    <s v=""/>
    <s v="INT J ENV RES PUB HE"/>
    <s v="Int. J. Environ. Res. Public Health"/>
    <s v="SEP"/>
    <x v="2"/>
    <n v="18"/>
    <n v="18"/>
    <s v=""/>
    <s v=""/>
    <s v=""/>
    <s v=""/>
    <s v=""/>
    <s v=""/>
    <n v="9844"/>
    <s v="10.3390/ijerph18189844"/>
    <s v="http://dx.doi.org/10.3390/ijerph18189844"/>
    <s v=""/>
    <s v=""/>
    <n v="16"/>
    <x v="52"/>
    <x v="3"/>
    <s v="Environmental Sciences &amp; Ecology; Public, Environmental &amp; Occupational Health"/>
    <s v="UV5PO"/>
    <n v="34574766"/>
    <s v="Green Published, gold"/>
    <s v=""/>
    <s v=""/>
    <s v="2023-11-15"/>
    <s v="WOS:000699530300001"/>
    <s v="View Full Record in Web of Science"/>
    <m/>
  </r>
  <r>
    <x v="290"/>
    <s v="J"/>
    <x v="288"/>
    <s v=""/>
    <s v=""/>
    <s v=""/>
    <s v="Yu, Jiatong; Moon, Taesoo"/>
    <s v=""/>
    <s v=""/>
    <x v="288"/>
    <x v="4"/>
    <s v=""/>
    <s v=""/>
    <s v="English"/>
    <s v="Article"/>
    <s v=""/>
    <s v=""/>
    <s v=""/>
    <s v=""/>
    <s v=""/>
    <x v="271"/>
    <x v="228"/>
    <s v="In the era of the digital economy, enterprises need a comprehensive digital transformation of strategy, business, organization, competence, and operation. However, being limited themselves to the development of digital technology, previous studies mainly focused on the development and application of digital technology, single case studies, and multi-case studies of digital transformation. Few researchers systematically studied the digital transformation mechanism at the organizational level. Therefore, this study explored the relationship between a strategic orientation and organizational performance though digital competence at the organizational level. To accomplish the task, this study basically constructed the dimensions of digital competence according to core competence theory. Digital competence contains three hub-factors: digital infrastructure, digital integration, and digital management. This study collected 160 questionnaires from Chinese enterprises and analyzed the data using SmartPLS 3. This study analyzed the positive relationship between digital strategic orientation, digital competence, and organization performance. This study identified the importance of digital competence through the empirical analysis of enterprises that are undergoing digital transformation or had completed a digital transformation. Therefore, enterprises need to pay attention to the impact of digital competence on organizational performance. Digital competence is a reshaping of corporate resources when facing a turbulent digital environment. Moreover, digital competence can ultimately achieve value delivery through the improvement of enterprise organizational performance."/>
    <s v="[Yu, Jiatong] China Jiliang Univ, Coll Econ &amp; Management, Hangzhou 310018, Peoples R China; [Moon, Taesoo] Dongguk Univ, Sch Management, Gyeongju 38066, South Korea"/>
    <s v="China Jiliang University; Dongguk University"/>
    <s v="Moon, T (corresponding author), Dongguk Univ, Sch Management, Gyeongju 38066, South Korea."/>
    <s v="yjt@cjlu.edu.cn; tsmoon@dongguk.ac.kr"/>
    <s v=""/>
    <s v=""/>
    <s v=""/>
    <s v=""/>
    <s v=""/>
    <s v=""/>
    <n v="43"/>
    <n v="12"/>
    <n v="12"/>
    <n v="50"/>
    <n v="320"/>
    <s v="MDPI"/>
    <s v="BASEL"/>
    <s v="ST ALBAN-ANLAGE 66, CH-4052 BASEL, SWITZERLAND"/>
    <s v=""/>
    <s v="2071-1050"/>
    <s v=""/>
    <s v="SUSTAINABILITY-BASEL"/>
    <s v="Sustainability"/>
    <s v="SEP"/>
    <x v="2"/>
    <n v="13"/>
    <n v="17"/>
    <s v=""/>
    <s v=""/>
    <s v=""/>
    <s v=""/>
    <s v=""/>
    <s v=""/>
    <n v="9766"/>
    <s v="10.3390/su13179766"/>
    <s v="http://dx.doi.org/10.3390/su13179766"/>
    <s v=""/>
    <s v=""/>
    <n v="15"/>
    <x v="4"/>
    <x v="3"/>
    <s v="Science &amp; Technology - Other Topics; Environmental Sciences &amp; Ecology"/>
    <s v="UO1OK"/>
    <s v=""/>
    <s v="gold"/>
    <s v=""/>
    <s v=""/>
    <s v="2023-11-15"/>
    <s v="WOS:000694471200001"/>
    <s v="View Full Record in Web of Science"/>
    <m/>
  </r>
  <r>
    <x v="291"/>
    <s v="J"/>
    <x v="289"/>
    <s v=""/>
    <s v=""/>
    <s v=""/>
    <s v="Saura, Jose Ramon; Palacios-Marques, Daniel; Ribeiro-Soriano, Domingo"/>
    <s v=""/>
    <s v=""/>
    <x v="289"/>
    <x v="146"/>
    <s v=""/>
    <s v=""/>
    <s v="English"/>
    <s v="Article"/>
    <s v=""/>
    <s v=""/>
    <s v=""/>
    <s v=""/>
    <s v=""/>
    <x v="272"/>
    <x v="229"/>
    <s v="The development of the Internet and the implementation of traditional marketing strategies have given rise to the emergence of digital marketing strategies exploited both by SMEs and large companies. These companies combine data sciences with digital marketing strategies to sell products, generate brand awareness, or access new markets. The present study aims to understand the role and use of data science by SMEs in their online marketing performance. The research method used in this study is a systematic literature review. The data were analyzed using multiple correspondence analysis (MCA) in the programming language R. Based on the results, we identify a total of seven state-of-the-art uses of data science in digital marketing used by SMEs in their online marketing strategies that are graphically represented and analyzed. In addition, four future lines of research are proposed and discussed to understand the direction of the next steps that SMEs should take to successfully develop their digital strategies. Finally, the review concludes with a discussion of the theoretical and practical implications of our findings for further research on the influence and use of data sciences in SMEs' online marketing performance."/>
    <s v="[Saura, Jose Ramon] Rey Juan Carlos Univ, Dept Business Econ, Paseo Artilleros S-N, Madrid 28032, Spain; [Palacios-Marques, Daniel] Univ Politecn Valencia, Dept Business Org, Valencia, Spain; [Ribeiro-Soriano, Domingo] Univ Alcala, Dept Econ &amp; Business, Alcala De Henares, Spain"/>
    <s v="Universidad Rey Juan Carlos; Universitat Politecnica de Valencia; Universidad de Alcala"/>
    <s v="Saura, JR (corresponding author), Rey Juan Carlos Univ, Dept Business Econ, Paseo Artilleros S-N, Madrid 28032, Spain."/>
    <s v="joseramon.saura@urjc.es"/>
    <s v="Ribeiro-Soriano, Domingo/G-5798-2015; Saura, José Ramón/L-2861-2018"/>
    <s v="Ribeiro-Soriano, Domingo/0000-0003-3222-9101; Saura, José Ramón/0000-0002-9457-7745"/>
    <s v="Ministry of Science, Innovation and Universities; European Regional Development Fund [RTI2018-096295-B-C22]"/>
    <s v="Ministry of Science, Innovation and Universities; European Regional Development Fund(European Union (EU))"/>
    <s v="In gratitude to the Ministry of Science, Innovation and Universities and the European Regional Development Fund: RTI2018-096295-B-C22."/>
    <s v=""/>
    <n v="146"/>
    <n v="15"/>
    <n v="15"/>
    <n v="21"/>
    <n v="120"/>
    <s v="TAYLOR &amp; FRANCIS INC"/>
    <s v="PHILADELPHIA"/>
    <s v="530 WALNUT STREET, STE 850, PHILADELPHIA, PA 19106 USA"/>
    <s v="0047-2778"/>
    <s v="1540-627X"/>
    <s v=""/>
    <s v="J SMALL BUS MANAGE"/>
    <s v="J. Small Bus. Manag."/>
    <s v="MAY 4"/>
    <x v="0"/>
    <n v="61"/>
    <n v="3"/>
    <s v=""/>
    <s v=""/>
    <s v="SI"/>
    <s v=""/>
    <n v="1278"/>
    <n v="1313"/>
    <s v=""/>
    <s v="10.1080/00472778.2021.1955127"/>
    <s v="http://dx.doi.org/10.1080/00472778.2021.1955127"/>
    <s v=""/>
    <s v="AUG 2021"/>
    <n v="36"/>
    <x v="8"/>
    <x v="1"/>
    <s v="Business &amp; Economics"/>
    <s v="F9DI3"/>
    <s v=""/>
    <s v=""/>
    <s v=""/>
    <s v=""/>
    <s v="2023-11-15"/>
    <s v="WOS:000686398500001"/>
    <s v="View Full Record in Web of Science"/>
    <m/>
  </r>
  <r>
    <x v="292"/>
    <s v="J"/>
    <x v="290"/>
    <s v=""/>
    <s v=""/>
    <s v=""/>
    <s v="Kim, Dam Hee; Desai, Meera"/>
    <s v=""/>
    <s v=""/>
    <x v="290"/>
    <x v="210"/>
    <s v=""/>
    <s v=""/>
    <s v="English"/>
    <s v="Article"/>
    <s v=""/>
    <s v=""/>
    <s v=""/>
    <s v=""/>
    <s v=""/>
    <x v="8"/>
    <x v="230"/>
    <s v="News organizations, faced with financial challenges in transitioning to a digital era, have embraced social media to attract an audience. Little, however, is empirically known regarding which factors generate engagement on social media to drive traffic to dedicated news websites. To answer this question, digital traffic of top 50 news organizations and 230,375 posts made by 41 accounts of these organizations on a social media platform, Tumblr, were analyzed. The results suggest that both still and animated images in news posts can be helpful for engagement not just linearly but in a non-linear, exponential fashion while hashtags in news posts may also positively predict digital traffic to news websites. Nonetheless, having a link to news websites in posts does not increase engagement or digital traffic to news websites. The implications of results are discussed for news organizations' digital strategies that not only engage but also inform audiences for better journalism."/>
    <s v="[Kim, Dam Hee; Desai, Meera] Univ Arizona, Dept Commun, 1103 E Univ Blvd, Tucson, AZ 85721 USA"/>
    <s v="University of Arizona"/>
    <s v="Kim, DH (corresponding author), Univ Arizona, Dept Commun, 1103 E Univ Blvd, Tucson, AZ 85721 USA."/>
    <s v="damheekim@email.arizona.edu"/>
    <s v=""/>
    <s v=""/>
    <s v=""/>
    <s v=""/>
    <s v=""/>
    <s v=""/>
    <n v="64"/>
    <n v="2"/>
    <n v="2"/>
    <n v="3"/>
    <n v="13"/>
    <s v="ROUTLEDGE JOURNALS, TAYLOR &amp; FRANCIS LTD"/>
    <s v="ABINGDON"/>
    <s v="2-4 PARK SQUARE, MILTON PARK, ABINGDON OX14 4RN, OXON, ENGLAND"/>
    <s v="1424-1277"/>
    <s v="1424-1250"/>
    <s v=""/>
    <s v="JMM-INT J MEDIA MANA"/>
    <s v="JMM-Int. J. Media Manag."/>
    <s v="APR 3"/>
    <x v="2"/>
    <n v="23"/>
    <s v="1-2"/>
    <s v=""/>
    <s v=""/>
    <s v=""/>
    <s v=""/>
    <n v="2"/>
    <n v="28"/>
    <s v=""/>
    <s v="10.1080/14241277.2021.1958820"/>
    <s v="http://dx.doi.org/10.1080/14241277.2021.1958820"/>
    <s v=""/>
    <s v="AUG 2021"/>
    <n v="27"/>
    <x v="56"/>
    <x v="2"/>
    <s v="Communication"/>
    <s v="XJ8PL"/>
    <s v=""/>
    <s v=""/>
    <s v=""/>
    <s v=""/>
    <s v="2023-11-15"/>
    <s v="WOS:000684090700001"/>
    <s v="View Full Record in Web of Science"/>
    <m/>
  </r>
  <r>
    <x v="293"/>
    <s v="J"/>
    <x v="291"/>
    <s v=""/>
    <s v=""/>
    <s v=""/>
    <s v="Javornik, Ana; Duffy, Katherine; Rokka, Joonas; Scholz, Joachim; Nobbs, Karinna; Motala, Anisa; Goldenberg, Adriana"/>
    <s v=""/>
    <s v=""/>
    <x v="291"/>
    <x v="138"/>
    <s v=""/>
    <s v=""/>
    <s v="English"/>
    <s v="Article"/>
    <s v=""/>
    <s v=""/>
    <s v=""/>
    <s v=""/>
    <s v=""/>
    <x v="273"/>
    <x v="231"/>
    <s v="Luxury brands' pioneering digital strategies now incorporate augmented reality (AR), which offers new opportunities thanks to AR unique characteristics. Luxury brands differ from other brands in their specific attributes, such as authenticity, exclusivity, hedonism, and aesthetic expression. This research investigates how AR characteristics can support luxury brands by drawing on illustrative cases of AR deployment by luxury brands and indepth interviews with executives and senior managers. Specifically, it identifies how luxury brands deploy AR through four distinct strategic approaches focused on: ephemeral elevation; auratic amplification; bespoke personalization; and effortless continuation. The study contributes to literature on digital technologies and luxury brands by offering, first, a focused analysis of how AR uniquely conveys luxury attributes, and second, by conceptualizing how AR enables brands to enhance customer journeys and brand experiences through four strategic approaches. Finally, it provides managerial guidance on how luxury brands can effectively deploy AR to build brand equity."/>
    <s v="[Javornik, Ana] Univ Bristol, Sch Management, Queens Ave, Bristol BS8 1TU, Avon, England; [Duffy, Katherine] Univ Glasgow, Adam Smith Business Sch, Gilbert Scott Bldg, Glasgow G12 8QQ, Lanark, Scotland; [Rokka, Joonas] EMLYON Business Sch, Lifestyle Res Ctr, 23 Ave Guy Collongue, F-69130 Ecully, France; [Scholz, Joachim] Brock Univ, Goodman Sch Business, St Catharines, ON L2S 3A1, Canada; [Nobbs, Karinna] ESCP Europe, 527 Finchley Rd, London NW3 7BG, England; [Motala, Anisa; Goldenberg, Adriana] Holition, Thavies Inn House,3-4 Holborn Circus, London EC1N 2PL, England"/>
    <s v="University of Bristol; University of Glasgow; EMLYON Business School; Brock University; heSam Universite; ESCP Business School"/>
    <s v="Javornik, A (corresponding author), Univ Bristol, Sch Management, Queens Ave, Bristol BS8 1TU, Avon, England."/>
    <s v="ana.javornik@bristol.ac.uk; katherine.duffy@glasgow.ac.uk; rokka@em-lyon.com; jscholz@brocku.ca; knobbs@escpeurope.eu; anisa.motala@holition.com; adriana.goldenberg@holition.com"/>
    <s v=""/>
    <s v="Javornik, Ana/0000-0002-3230-6405"/>
    <s v="Adam Smith Business School - University of Glasgow; Newcastle University Business School"/>
    <s v="Adam Smith Business School - University of Glasgow; Newcastle University Business School"/>
    <s v="The authors wish to thank the agency Holition, especially Dr Ana Maria Moutinho and Jonathan Chippindale, CEO, for their invaluable support of this study. They also gratefully acknowledge the support from Adam Smith Business School - University of Glasgow and Newcastle University Business School. The authors are very grateful to the managers and experts who took part in the interviews and shared their insights. The authors thank the participants of the 5th International AR&amp;VR 2019 conference for their feedback on the earlier version of this research. Finally, many thanks to the reviewers and the guest editors for their comments and guidance during the review process."/>
    <s v=""/>
    <n v="58"/>
    <n v="25"/>
    <n v="25"/>
    <n v="16"/>
    <n v="63"/>
    <s v="ELSEVIER SCIENCE INC"/>
    <s v="NEW YORK"/>
    <s v="STE 800, 230 PARK AVE, NEW YORK, NY 10169 USA"/>
    <s v="0148-2963"/>
    <s v="1873-7978"/>
    <s v=""/>
    <s v="J BUS RES"/>
    <s v="J. Bus. Res."/>
    <s v="NOV"/>
    <x v="2"/>
    <n v="136"/>
    <s v=""/>
    <s v=""/>
    <s v=""/>
    <s v=""/>
    <s v=""/>
    <n v="284"/>
    <n v="292"/>
    <s v=""/>
    <s v="10.1016/j.jbusres.2021.07.040"/>
    <s v="http://dx.doi.org/10.1016/j.jbusres.2021.07.040"/>
    <s v=""/>
    <s v="AUG 2021"/>
    <n v="9"/>
    <x v="33"/>
    <x v="1"/>
    <s v="Business &amp; Economics"/>
    <s v="WE2ZL"/>
    <s v=""/>
    <s v="Green Accepted"/>
    <s v=""/>
    <s v=""/>
    <s v="2023-11-15"/>
    <s v="WOS:000705493100004"/>
    <s v="View Full Record in Web of Science"/>
    <m/>
  </r>
  <r>
    <x v="294"/>
    <s v="J"/>
    <x v="292"/>
    <s v=""/>
    <s v=""/>
    <s v=""/>
    <s v="Benesova, Andrea; Basl, Josef; Tupa, Jiri; Steiner, Frantisek"/>
    <s v=""/>
    <s v=""/>
    <x v="292"/>
    <x v="211"/>
    <s v=""/>
    <s v=""/>
    <s v="English"/>
    <s v="Article"/>
    <s v=""/>
    <s v=""/>
    <s v=""/>
    <s v=""/>
    <s v=""/>
    <x v="274"/>
    <x v="232"/>
    <s v="The paper reports research on the implementation of green aspects into the latest industrial revolution called Industry 4.0 and proposes the design of a business readiness level model for Industry 4.0. The analysis is based on the available maturity models for Industry 4.0, which are investigated to determine whether and to what extent they fulfil the 'green' trends by their name, content or specialized dimensions. This analysis was initiated over recent years, by a strong interest in integrating the elements and principles of Industry 4.0 into enterprises, together with an increased interest in achieving carbon neutral production and society in the coming decades, including recent EU Green Deal documents. The first part of the paper describes the basic requirements of the Industry 4.0, new digital strategies and green agreements. The major parts of the paper provide an analysis of current maturity and readiness models for Industry 4.0 together with specification, design and development of a readiness model for companies to implement Industry 4.0 with respect to green aspects. The final part of the paper provides an evaluation based on questionnaire survey with discussion, conclusions and avenues for future research."/>
    <s v="[Benesova, Andrea; Tupa, Jiri; Steiner, Frantisek] Univ West Bohemia, Fac Elect Engn, Dept Mat &amp; Technol, Plzen, Czech Republic; [Basl, Josef] Univ West Bohemia, Fac Mech Engn, Dept Ind Engn &amp; Management, Plzen, Czech Republic"/>
    <s v="University of West Bohemia Pilsen; University of West Bohemia Pilsen"/>
    <s v="Benesová, A (corresponding author), Univ West Bohemia, Fac Elect Engn, Dept Mat &amp; Technol, Plzen, Czech Republic."/>
    <s v="benesov2@rek.zcu.cz"/>
    <s v="Tupa, Jiri/P-1692-2016; Steiner, Frantisek/M-8283-2014; Benešová, Andrea/JER-5311-2023"/>
    <s v="Tupa, Jiri/0000-0002-4329-5406; Steiner, Frantisek/0000-0002-5702-7015; Benesova, Andrea/0000-0003-0879-7846"/>
    <s v="Software platform for Implementation Accelerating of Process Control and Automation Systems [TH02010577]; Student Grant Agency of the University of West Bohemia in Pilsen [SGS-2021-003]"/>
    <s v="Software platform for Implementation Accelerating of Process Control and Automation Systems; Student Grant Agency of the University of West Bohemia in Pilsen"/>
    <s v="This work was supported by the Software platform for Implementation Accelerating of Process Control and Automation Systems [TH02010577] and funding of Student Grant Agency of the University of West Bohemia in Pilsen, No. SGS-2021-003 Materials, technologies and diagnostics in electrical engineering."/>
    <s v=""/>
    <n v="37"/>
    <n v="9"/>
    <n v="9"/>
    <n v="10"/>
    <n v="52"/>
    <s v="TAYLOR &amp; FRANCIS LTD"/>
    <s v="ABINGDON"/>
    <s v="2-4 PARK SQUARE, MILTON PARK, ABINGDON OR14 4RN, OXON, ENGLAND"/>
    <s v="0951-192X"/>
    <s v="1362-3052"/>
    <s v=""/>
    <s v="INT J COMPUT INTEG M"/>
    <s v="Int. J. Comput. Integr. Manuf."/>
    <s v="SEP 2"/>
    <x v="2"/>
    <n v="34"/>
    <n v="9"/>
    <s v=""/>
    <s v=""/>
    <s v=""/>
    <s v=""/>
    <n v="920"/>
    <n v="932"/>
    <s v=""/>
    <s v="10.1080/0951192X.2021.1946858"/>
    <s v="http://dx.doi.org/10.1080/0951192X.2021.1946858"/>
    <s v=""/>
    <s v="AUG 2021"/>
    <n v="13"/>
    <x v="111"/>
    <x v="0"/>
    <s v="Computer Science; Engineering; Operations Research &amp; Management Science"/>
    <s v="UR5UC"/>
    <s v=""/>
    <s v=""/>
    <s v=""/>
    <s v=""/>
    <s v="2023-11-15"/>
    <s v="WOS:000680740800001"/>
    <s v="View Full Record in Web of Science"/>
    <m/>
  </r>
  <r>
    <x v="295"/>
    <s v="J"/>
    <x v="293"/>
    <s v=""/>
    <s v=""/>
    <s v=""/>
    <s v="Canhoto, Ana Isabel; Quinton, Sarah; Pera, Rebecca; Molinillo, Sebastin; Simkin, Lyndon"/>
    <s v=""/>
    <s v=""/>
    <x v="293"/>
    <x v="212"/>
    <s v=""/>
    <s v=""/>
    <s v="English"/>
    <s v="Article"/>
    <s v=""/>
    <s v=""/>
    <s v=""/>
    <s v=""/>
    <s v=""/>
    <x v="275"/>
    <x v="233"/>
    <s v="Digital strategy alignment is a dominant concern for today's managers and information systems researchers. Yet research in this area remains fragmented, particularly on the digital strategy alignment of small and medium-sized enterprises (SMEs), which is concerning owing to their value to European economies. Employing dynamic capabilities as an analytical lens, we investigate how 43 British, Irish, Italian, and Spanish SMEs, across five industry sectors, enact digital aligning. We identify a model of digital alignment comprising five phases, which we term passive acceptance, connection, immersion, fusion, and transformation, as well as the specific combinations of sensing, seizing, and reorganizing capabilities associated with each phase. Our model provides a holistic, practice-based perspective and highlights the role of micro-behaviors and leadership in SMEs implementing digital strategy."/>
    <s v="[Canhoto, Ana Isabel] Brunel Univ London, Kingston Lane, Uxbridge UB8 3PH, Middx, England; [Quinton, Sarah] Oxford Brookes Univ, Oxford, England; [Pera, Rebecca] Univ Piemonte Orientale, Vercelli, Italy; [Molinillo, Sebastin] Univ Malaga, Malaga, Spain; [Simkin, Lyndon] Coventry Univ, Coventry, W Midlands, England"/>
    <s v="Brunel University; Oxford Brookes University; University of Eastern Piedmont Amedeo Avogadro; Universidad de Malaga; Coventry University"/>
    <s v="Canhoto, AI (corresponding author), Brunel Univ London, Kingston Lane, Uxbridge UB8 3PH, Middx, England."/>
    <s v="Ana.Canhoto@brunel.ac.uk"/>
    <s v="Molinillo, Sebastian/I-2420-2015; Canhoto, Ana Isabel/M-1980-2017"/>
    <s v="Molinillo, Sebastian/0000-0001-9132-5190; Canhoto, Ana Isabel/0000-0002-1623-611X"/>
    <s v="Oxford Brookes University, UK [0012-15/48]"/>
    <s v="Oxford Brookes University, UK"/>
    <s v="This research received funding from Oxford Brookes University, UK, internal small grants award number 0012-15/48."/>
    <s v=""/>
    <n v="101"/>
    <n v="15"/>
    <n v="15"/>
    <n v="52"/>
    <n v="262"/>
    <s v="ELSEVIER"/>
    <s v="AMSTERDAM"/>
    <s v="RADARWEG 29, 1043 NX AMSTERDAM, NETHERLANDS"/>
    <s v="0963-8687"/>
    <s v="1873-1198"/>
    <s v=""/>
    <s v="J STRATEGIC INF SYST"/>
    <s v="J. Strateg. Inf. Syst."/>
    <s v="SEP"/>
    <x v="2"/>
    <n v="30"/>
    <n v="3"/>
    <s v=""/>
    <s v=""/>
    <s v=""/>
    <s v=""/>
    <s v=""/>
    <s v=""/>
    <n v="101682"/>
    <s v="10.1016/j.jsis.2021.101682"/>
    <s v="http://dx.doi.org/10.1016/j.jsis.2021.101682"/>
    <s v=""/>
    <s v="JUL 2021"/>
    <n v="17"/>
    <x v="62"/>
    <x v="3"/>
    <s v="Computer Science; Information Science &amp; Library Science; Business &amp; Economics"/>
    <s v="UR5LG"/>
    <s v=""/>
    <s v="Green Submitted, Green Published, Green Accepted"/>
    <s v=""/>
    <s v=""/>
    <s v="2023-11-15"/>
    <s v="WOS:000696790200004"/>
    <s v="View Full Record in Web of Science"/>
    <m/>
  </r>
  <r>
    <x v="296"/>
    <s v="J"/>
    <x v="294"/>
    <s v=""/>
    <s v=""/>
    <s v=""/>
    <s v="Zaman, Mustafeed; Vo-Thanh, Tan; Hasan, Rajibul; Mohiuddin Babu, Mujahid"/>
    <s v=""/>
    <s v=""/>
    <x v="294"/>
    <x v="213"/>
    <s v=""/>
    <s v=""/>
    <s v="English"/>
    <s v="Article; Early Access"/>
    <s v=""/>
    <s v=""/>
    <s v=""/>
    <s v=""/>
    <s v=""/>
    <x v="276"/>
    <x v="234"/>
    <s v="The Covid-19 pandemic has profoundly disrupted the worldwide economy, particularly the restaurant sector. To face these challenges, the multi- and omni-channel approaches have been embraced by several firms, especially with the integration of mobile channels and social media. However, no research is conducted to investigate how this integration can be successful in times of crisis, such as pandemic. Therefore, drawing upon the self-determination theory, the present study aims at addressing this research gap by exploring, from both the restaurant owners' and customers' perspectives, how an anti-food waste mobile app called Too Good To Go (TGTG) - the largest social case in Europe, is perceived as a strategic distribution channel in the time of pandemic. Based on 18 in-depth interviews with restaurant owners and 22 with customers in Paris, findings highlight the success factors for restaurants to achieve their digital strategies. Theoretical and practical implications, and future research perspectives are presented."/>
    <s v="[Zaman, Mustafeed] Normandie Business Sch, Metis Lab, Dept Mkt, Le Havre, France; [Vo-Thanh, Tan] CERIIM, Excelia Grp, Dept Mkt, La Rochelle, France; [Vo-Thanh, Tan] CEREGE EA 1722, La Rochelle, France; [Hasan, Rajibul] Maynooth Univ, Dept Mkt, Maynooth, Kildare, Ireland; [Mohiuddin Babu, Mujahid] Coventry Univ, Dept Mkt, Coventry, W Midlands, England"/>
    <s v="Maynooth University; Coventry University"/>
    <s v="Zaman, M (corresponding author), Normandie Business Sch, Metis Lab, Dept Mkt, Le Havre, France."/>
    <s v="mzaman@em-normandie.fr"/>
    <s v="Zaman, Mustafeed/ABA-1317-2021; Vo-Thanh, Tan/O-5735-2019"/>
    <s v="Zaman, Mustafeed/0000-0002-8582-9445; Vo-Thanh, Tan/0000-0001-9964-3724; Mohiuddin Babu, Mujahid/0000-0001-6952-0723; Hasan, Rajibul/0000-0002-1290-4627"/>
    <s v=""/>
    <s v=""/>
    <s v=""/>
    <s v=""/>
    <n v="42"/>
    <n v="9"/>
    <n v="9"/>
    <n v="1"/>
    <n v="16"/>
    <s v="ROUTLEDGE JOURNALS, TAYLOR &amp; FRANCIS LTD"/>
    <s v="ABINGDON"/>
    <s v="2-4 PARK SQUARE, MILTON PARK, ABINGDON OX14 4RN, OXON, ENGLAND"/>
    <s v="0965-254X"/>
    <s v="1466-4488"/>
    <s v=""/>
    <s v="J STRATEG MARK"/>
    <s v="J. Strateg. Mark."/>
    <s v="2021 JUL 29"/>
    <x v="2"/>
    <s v=""/>
    <s v=""/>
    <s v=""/>
    <s v=""/>
    <s v=""/>
    <s v=""/>
    <s v=""/>
    <s v=""/>
    <s v=""/>
    <s v="10.1080/0965254X.2021.1959629"/>
    <s v="http://dx.doi.org/10.1080/0965254X.2021.1959629"/>
    <s v=""/>
    <s v="JUL 2021"/>
    <n v="16"/>
    <x v="33"/>
    <x v="2"/>
    <s v="Business &amp; Economics"/>
    <s v="UC4BX"/>
    <s v=""/>
    <s v="Green Submitted"/>
    <s v=""/>
    <s v=""/>
    <s v="2023-11-15"/>
    <s v="WOS:000686474100001"/>
    <s v="View Full Record in Web of Science"/>
    <m/>
  </r>
  <r>
    <x v="297"/>
    <s v="J"/>
    <x v="295"/>
    <s v=""/>
    <s v=""/>
    <s v=""/>
    <s v="Radanliev, Petar; De Roure, David; Burnap, Pete; Santos, Omar"/>
    <s v=""/>
    <s v=""/>
    <x v="295"/>
    <x v="214"/>
    <s v=""/>
    <s v=""/>
    <s v="English"/>
    <s v="Article"/>
    <s v=""/>
    <s v=""/>
    <s v=""/>
    <s v=""/>
    <s v=""/>
    <x v="277"/>
    <x v="1"/>
    <s v="The Internet-of-Things (IoT) triggers data protection questions and new types of cyber risks. Cyber risk regulations for the IoT, however, are still in their infancy. This is concerning, because companies integrating IoT devices and services need to perform a self-assessment of its IoT cyber security posture. At present, there are no self-assessment methods for quantifying IoT cyber risk posture. It is considered that IoT represent a complex system with too many uncontrollable risk states for quantitative risk assessment. To enable quantitative risk assessment of uncontrollable risk states in complex and coupled IoT systems, a new epistemological equation is designed and tested though comparative and empirical analysis. The comparative analysis is conducted on national digital strategies, followed by an empirical analysis of cyber risk assessment approaches. The results from the analysis present the current and a target state for IoT systems, followed by a transformation roadmap, describing how IoT systems can achieve the target state with a new epistemological analysis model. The new epistemological analysis approach enables the assessment of uncontrollable risk states in complex IoT systems-which begin to resemble artificial intelligence-and can be used for a quantitative self-assessment of IoT cyber risk posture."/>
    <s v="[Radanliev, Petar; De Roure, David] Univ Oxford, Dept Engn Sci, Oxford eRes Ctr, Oxford, England; [Burnap, Pete] Cardiff Univ, Sch Comp Sci &amp; Informat, Cardiff, Wales; [Santos, Omar] Cisco Res Ctr, Durham, NC USA"/>
    <s v="University of Oxford; Cardiff University; Cisco Systems Inc"/>
    <s v="Radanliev, P (corresponding author), Univ Oxford, Dept Engn Sci, Oxford eRes Ctr, Oxford, England."/>
    <s v="petar.radanliev@oerc.ox.ac.uk"/>
    <s v="Radanliev, Petar/L-7509-2015"/>
    <s v="Radanliev, Petar/0000-0001-5629-6857"/>
    <s v="EPSRC [EP/S035362/1]; Cisco Research Centre [CG1525381]; EPSRC [EP/S035362/1] Funding Source: UKRI"/>
    <s v="EPSRC(UK Research &amp; Innovation (UKRI)Engineering &amp; Physical Sciences Research Council (EPSRC)); Cisco Research Centre; EPSRC(UK Research &amp; Innovation (UKRI)Engineering &amp; Physical Sciences Research Council (EPSRC))"/>
    <s v="This work was funded by the EPSRC [Grant Number: EP/S035362/1] and by the Cisco Research Centre [Grant Number CG1525381]. Earlier versions of this work from the combined working papers and project reports prepared for the PETRAS National Centre of Excellence and the Cisco Research Centre can be found in a pre-print online."/>
    <s v=""/>
    <n v="58"/>
    <n v="26"/>
    <n v="26"/>
    <n v="2"/>
    <n v="6"/>
    <s v="SPRINGER JAPAN KK"/>
    <s v="TOKYO"/>
    <s v="SHIROYAMA TRUST TOWER 5F, 4-3-1 TORANOMON, MINATO-KU, TOKYO, 105-6005, JAPAN"/>
    <s v="2523-3173"/>
    <s v="1867-3236"/>
    <s v=""/>
    <s v="REV SOCIONETWORK STR"/>
    <s v="Rev. Socionetwork Strateg."/>
    <s v="DEC"/>
    <x v="2"/>
    <n v="15"/>
    <n v="2"/>
    <s v=""/>
    <s v=""/>
    <s v="SI"/>
    <s v=""/>
    <n v="381"/>
    <n v="411"/>
    <s v=""/>
    <s v="10.1007/s12626-021-00086-5"/>
    <s v="http://dx.doi.org/10.1007/s12626-021-00086-5"/>
    <s v=""/>
    <s v="JUL 2021"/>
    <n v="31"/>
    <x v="36"/>
    <x v="2"/>
    <s v="Computer Science"/>
    <s v="WX8WK"/>
    <n v="35506054"/>
    <s v="Green Published, Green Submitted, hybrid"/>
    <s v=""/>
    <s v=""/>
    <s v="2023-11-15"/>
    <s v="WOS:000675728900001"/>
    <s v="View Full Record in Web of Science"/>
    <m/>
  </r>
  <r>
    <x v="298"/>
    <s v="J"/>
    <x v="296"/>
    <s v=""/>
    <s v=""/>
    <s v=""/>
    <s v="Arayesh, Mohammad Bagher; Rezaeirad, Mostafa; Aidi, Mohammad; Lamuki, Tohfeh Ghobadi"/>
    <s v=""/>
    <s v=""/>
    <x v="296"/>
    <x v="215"/>
    <s v=""/>
    <s v=""/>
    <s v="English"/>
    <s v="Article"/>
    <s v=""/>
    <s v=""/>
    <s v=""/>
    <s v=""/>
    <s v=""/>
    <x v="278"/>
    <x v="1"/>
    <s v="Platform-based banking provides opportunities for financial systems to increasing competition, stimulating a FinTech economy, and improving the availability and quality of service to the customers. Platform-based banking is a system that provides a user with a network of financial institution's data through the use of application programming interfaces. With the help of platform banking, it is easy to show how data be created, accessed, and shared. The purpose of this paper is to provide a model of platform banking in commercial banks of Iran by benefiting banking experts. A mixed method was used in the present research including qualitative and quantitative analysis. The qualitative strategy of the present study is based on the grounded theory method, and the quantitative strategy is conducted using the structural equation model based on the Strauss and Corbin model. The main tool for collecting qualitative information was semi-structured interviews, in which the data were coded in three stages: open, axial, and selective coding. In the quantitative phase, the descriptive survey method was used to analyze and explain the proposed model through structural equations and using SmartPLS software. According to the codes which were obtained from the interviews, the 373 final codes were extracted in the form of 51 concepts, 25 sub-categories, and 6 main categories. In the quantitative part of the research, causal relationships between variables and testing the research hypotheses were performed. The findings show that the platform banking model has six components such as economic management and banking process reform, customers experience management, infrastructure engineering, and implementation mechanisms, digital strategic management of customer, and facilitate the achievement of structural productivity and digital governance in the shadow of knowledge partnerships with competing partners. Developing a model of platform banking model depends on the superior management of these components. Also, the research results indicate the confirmation of the conceptual model presented using the structural equation model. All structural model fit indices had acceptable values."/>
    <s v="[Arayesh, Mohammad Bagher] Islamic Azad Univ, Dept Management, Hamedan Branch, Hamadan, Hamadan, Iran; [Rezaeirad, Mostafa] Univ Boalisina, Dept Management &amp; Accounting, Hamadan, Hamadan, Iran; [Aidi, Mohammad] Univ Ilam, Dept Management, Ilam, Iran; [Lamuki, Tohfeh Ghobadi] Islamic Azad Univ, Dept Management, Gonbad Kavoos Branch, Gonbad Kavoos, Iran"/>
    <s v="Islamic Azad University; Islamic Azad University"/>
    <s v="Rezaeirad, M (corresponding author), Univ Boalisina, Dept Management &amp; Accounting, Hamadan, Hamadan, Iran."/>
    <s v="m.rezaeirad@basu.ac.ir"/>
    <s v=""/>
    <s v=""/>
    <s v=""/>
    <s v=""/>
    <s v=""/>
    <s v=""/>
    <n v="39"/>
    <n v="1"/>
    <n v="1"/>
    <n v="2"/>
    <n v="13"/>
    <s v="PALGRAVE MACMILLAN LTD"/>
    <s v="BASINGSTOKE"/>
    <s v="BRUNEL RD BLDG, HOUNDMILLS, BASINGSTOKE RG21 6XS, HANTS, ENGLAND"/>
    <s v="1745-6452"/>
    <s v="1750-2071"/>
    <s v=""/>
    <s v="J BANK REGUL"/>
    <s v="J. Bank Regul."/>
    <s v="DEC"/>
    <x v="1"/>
    <n v="23"/>
    <n v="4"/>
    <s v=""/>
    <s v=""/>
    <s v=""/>
    <s v=""/>
    <n v="351"/>
    <n v="367"/>
    <s v=""/>
    <s v="10.1057/s41261-021-00169-x"/>
    <s v="http://dx.doi.org/10.1057/s41261-021-00169-x"/>
    <s v=""/>
    <s v="JUL 2021"/>
    <n v="17"/>
    <x v="14"/>
    <x v="2"/>
    <s v="Business &amp; Economics"/>
    <s v="5V1DW"/>
    <s v=""/>
    <s v=""/>
    <s v=""/>
    <s v=""/>
    <s v="2023-11-15"/>
    <s v="WOS:000673014800001"/>
    <s v="View Full Record in Web of Science"/>
    <m/>
  </r>
  <r>
    <x v="299"/>
    <s v="J"/>
    <x v="297"/>
    <s v=""/>
    <s v=""/>
    <s v=""/>
    <s v="Matricano, Diego; Castaldi, Laura; Sorrentino, Mario; Candelo, Elena"/>
    <s v=""/>
    <s v=""/>
    <x v="297"/>
    <x v="137"/>
    <s v=""/>
    <s v=""/>
    <s v="English"/>
    <s v="Article"/>
    <s v=""/>
    <s v=""/>
    <s v=""/>
    <s v=""/>
    <s v=""/>
    <x v="279"/>
    <x v="235"/>
    <s v="Purpose Organizational culture plays a central role when dealing with the issue of digital business transformation (DBT). Managers handling a DBT and involved in digital strateging are expected to modify the organizational culture of firms to make it more fitting with the paradigm of digital economy and having more chance of success. Thus, it is noteworthy to inspect the role they can have over DBTs. Accordingly, the purpose of this paper is to investigate the behavior that managers assume when they approach DBTs by investigating whether they act as mentors/facilitators or entrepreneurs/innovators, as coordinators or decision makers. Design/methodology/approach To achieve the above purpose, ten case studies about manufacturing firms have been selected. Case studies, retrieved by the Digital Innovation Observatories of the School of Management of the Politecnico di Milano, are studied and analyzed by means of a qualitative content analysis on textual data. This allows getting specific insights into organizational culture before and after DBT and about the role played by managers. Findings Achieved results disclose that managers need to modify the organizational culture of their firms to handle a successful DBT. However, firms can assume different organizational culture and thus the role assumed by managers handling a DBT can change as well. Originality/value To the authors knowledge, this paper is among the first that aim to investigate the role that mangers assume when handling DBTs. In particular, originality lies in the fact that assumed roles are rebuilt in reference to their ability to modify organizational culture."/>
    <s v="[Matricano, Diego; Castaldi, Laura; Sorrentino, Mario] Univ Campania Luigi Vanvitelli, Dept Management, Caserta, Italy; [Candelo, Elena] Univ Torino, Dept Management, Turin, Italy"/>
    <s v="Universita della Campania Vanvitelli; University of Turin"/>
    <s v="Matricano, D (corresponding author), Univ Campania Luigi Vanvitelli, Dept Management, Caserta, Italy."/>
    <s v="diego.matricano@unicampania.it"/>
    <s v=""/>
    <s v=""/>
    <s v=""/>
    <s v=""/>
    <s v=""/>
    <s v=""/>
    <n v="97"/>
    <n v="6"/>
    <n v="6"/>
    <n v="4"/>
    <n v="65"/>
    <s v="EMERALD GROUP PUBLISHING LTD"/>
    <s v="BINGLEY"/>
    <s v="HOWARD HOUSE, WAGON LANE, BINGLEY BD16 1WA, W YORKSHIRE, ENGLAND"/>
    <s v="1355-2554"/>
    <s v="1758-6534"/>
    <s v=""/>
    <s v="INT J ENTREP BEHAV R"/>
    <s v="Int. J. Entrep. Behav. Res."/>
    <s v="JUL 8"/>
    <x v="1"/>
    <n v="28"/>
    <n v="5"/>
    <s v=""/>
    <s v=""/>
    <s v="SI"/>
    <s v=""/>
    <n v="1292"/>
    <n v="1309"/>
    <s v=""/>
    <s v="10.1108/IJEBR-01-2021-0077"/>
    <s v="http://dx.doi.org/10.1108/IJEBR-01-2021-0077"/>
    <s v=""/>
    <s v="JUL 2021"/>
    <n v="18"/>
    <x v="6"/>
    <x v="1"/>
    <s v="Business &amp; Economics"/>
    <s v="2U2PR"/>
    <s v=""/>
    <s v=""/>
    <s v=""/>
    <s v=""/>
    <s v="2023-11-15"/>
    <s v="WOS:000670396600001"/>
    <s v="View Full Record in Web of Science"/>
    <m/>
  </r>
  <r>
    <x v="300"/>
    <s v="J"/>
    <x v="298"/>
    <s v=""/>
    <s v=""/>
    <s v=""/>
    <s v="Khan, Intakhab Alam"/>
    <s v=""/>
    <s v=""/>
    <x v="298"/>
    <x v="216"/>
    <s v=""/>
    <s v=""/>
    <s v="English"/>
    <s v="Article"/>
    <s v=""/>
    <s v=""/>
    <s v=""/>
    <s v=""/>
    <s v=""/>
    <x v="280"/>
    <x v="236"/>
    <s v="Background: This study explored the prevalence of Attention Deficit Hyperactivity Disorder (ADHD) among the students of 'sterilization program' while learning English language amidst COVID-19 in Saudi Arabia. Aim: To diagnose ADHD among the learners, and later propose some digital strategies to motivate the learners for resilience. Methods: A qualitative exploratory study was undertaken in April, 2020. A diagnostic tool was administered to 41 students pursuing 'Sterilization program' at king Abdulaziz University in Kingdom of Saudi Arabia (KSA). Later, learners with ADHD (N=9) were selected for in-depth study. Data was collected using the ADHD self-report scale V1.1 screener. Results Five professors from the concerned department were purposively selected for the interviews for qualitative analysis using thematic analysis. Confidentiality and anonymity was ensured as per the ethical standard. Many students demonstrate signs of ADHD, therefore there is a need of assessment and intervention. Teachers, counselors and managers need to take care of such learners. Conclusions: Conclusions were drawn that students with ADHD need relevant interventions in general and specific pedagogy."/>
    <s v="[Khan, Intakhab Alam] King Abdulaziz Univ, Jeddah, Saudi Arabia"/>
    <s v="King Abdulaziz University"/>
    <s v="Khan, IA (corresponding author), King Abdulaziz Univ, Jeddah, Saudi Arabia."/>
    <s v="ikhan1@kau.edu.sa"/>
    <s v="Khan, Intakhab Alam/J-4924-2012"/>
    <s v="Khan, Intakhab Alam/0000-0001-7058-2200"/>
    <s v="Deanship of Scientific Research (DSR), King Abdul Aziz University, Jeddah [D: 155-156-1435]; DSR"/>
    <s v="Deanship of Scientific Research (DSR), King Abdul Aziz University, Jeddah; DSR"/>
    <s v="This project was funded by the Deanship of Scientific Research (DSR), King Abdul Aziz University, Jeddah, under grant no. D: 155-156-1435. The author, therefore, acknowledges with thanks DSR technical and financial support."/>
    <s v=""/>
    <n v="12"/>
    <n v="1"/>
    <n v="1"/>
    <n v="0"/>
    <n v="5"/>
    <s v="LAHORE MEDICAL &amp; DENTAL COLL"/>
    <s v="LAHORE"/>
    <s v="CANAL BANK N, TULSPURA, LAHORE, 00000, PAKISTAN"/>
    <s v="1996-7195"/>
    <s v=""/>
    <s v=""/>
    <s v="PAK J MED HEALTH SCI"/>
    <s v="Pak. J. Med. Health Sci."/>
    <s v="JUL"/>
    <x v="2"/>
    <n v="15"/>
    <n v="7"/>
    <s v=""/>
    <s v=""/>
    <s v=""/>
    <s v=""/>
    <n v="1668"/>
    <n v="1671"/>
    <s v=""/>
    <s v="10.53350/pjmhs211571668"/>
    <s v="http://dx.doi.org/10.53350/pjmhs211571668"/>
    <s v=""/>
    <s v=""/>
    <n v="4"/>
    <x v="28"/>
    <x v="2"/>
    <s v="General &amp; Internal Medicine"/>
    <s v="UI2PM"/>
    <s v=""/>
    <s v="Bronze"/>
    <s v=""/>
    <s v=""/>
    <s v="2023-11-15"/>
    <s v="WOS:000690456000038"/>
    <s v="View Full Record in Web of Science"/>
    <m/>
  </r>
  <r>
    <x v="301"/>
    <s v="J"/>
    <x v="299"/>
    <s v=""/>
    <s v=""/>
    <s v=""/>
    <s v="Kimura, Makoto"/>
    <s v=""/>
    <s v=""/>
    <x v="299"/>
    <x v="217"/>
    <s v=""/>
    <s v=""/>
    <s v="English"/>
    <s v="Article"/>
    <s v=""/>
    <s v=""/>
    <s v=""/>
    <s v=""/>
    <s v=""/>
    <x v="281"/>
    <x v="1"/>
    <s v="Purpose This study presents the applicability of a model-based approach for loyalty program forecasting using smartphone app in the digital strategy of the retail industry. Design/methodology/approach The authors develop a dynamic model with the cyclical structure of customer segments through customer experience. They use time-series data on the number of members of the loyalty program, Seven Mile Program and confirm the validity of the approximate calculation of customer segment share, customer segment sales share and aggregate sales performance. The authors present three medium-term forecast scenarios after the launch of a smartphone payment service linked with the loyalty program. Findings The sum of the two customer segment shares for forecasting (the sum of the quasi-excellent and excellent customer ratios) is about 30% in each scenario, consistent with an essential customer loyalty (true loyalty) share obtained in the existing empirical study. Research limitations/implications Digital strategy in the retail industry should focus more on estimating and forecasting average amounts of customer segments and the number of aggregated customers through the digitalization on the customer side than on individual customer journeys and responses. Practical implications Multi-scenario evaluation through simulation of dynamic models from a systemic view can be used for decision-making in retailing digital strategies. Originality/value This study builds a model that integrates the cyclicality of customer segment transition through customer experiences into a loyalty matrix framework, which is a method that has previously been used in the hospitality industry."/>
    <s v="[Kimura, Makoto] Niigata Univ Int &amp; Informat Studies, Dept Business Adm, Niigata, Japan"/>
    <s v="Niigata University"/>
    <s v="Kimura, M (corresponding author), Niigata Univ Int &amp; Informat Studies, Dept Business Adm, Niigata, Japan."/>
    <s v="mkimura@nuis.ac.jp"/>
    <s v="Kimura, Makoto/ABA-6662-2021; Kimura, Makoto/F-8018-2016"/>
    <s v="Kimura, Makoto/0000-0002-2733-628X; Kimura, Makoto/0000-0002-2733-628X"/>
    <s v="JSPS KAKENHI [JP17K04017, JP19H01534]"/>
    <s v="JSPS KAKENHI(Ministry of Education, Culture, Sports, Science and Technology, Japan (MEXT)Japan Society for the Promotion of ScienceGrants-in-Aid for Scientific Research (KAKENHI))"/>
    <s v="Funding: This work was supported by JSPS KAKENHI Grant Numbers JP17K04017, JP19H01534."/>
    <s v=""/>
    <n v="29"/>
    <n v="5"/>
    <n v="6"/>
    <n v="9"/>
    <n v="40"/>
    <s v="EMERALD GROUP PUBLISHING LTD"/>
    <s v="BINGLEY"/>
    <s v="HOWARD HOUSE, WAGON LANE, BINGLEY BD16 1WA, W YORKSHIRE, ENGLAND"/>
    <s v="1355-5855"/>
    <s v="1758-4248"/>
    <s v=""/>
    <s v="ASIA PAC J MARKET LO"/>
    <s v="Asia Pac. J. Market. Logist."/>
    <s v="FEB 14"/>
    <x v="1"/>
    <n v="34"/>
    <n v="3"/>
    <s v=""/>
    <s v=""/>
    <s v=""/>
    <s v=""/>
    <n v="611"/>
    <n v="626"/>
    <s v=""/>
    <s v="10.1108/APJML-09-2020-0630"/>
    <s v="http://dx.doi.org/10.1108/APJML-09-2020-0630"/>
    <s v=""/>
    <s v="JUL 2021"/>
    <n v="16"/>
    <x v="33"/>
    <x v="1"/>
    <s v="Business &amp; Economics"/>
    <s v="ZF4XY"/>
    <s v=""/>
    <s v="hybrid"/>
    <s v=""/>
    <s v=""/>
    <s v="2023-11-15"/>
    <s v="WOS:000669598200001"/>
    <s v="View Full Record in Web of Science"/>
    <m/>
  </r>
  <r>
    <x v="302"/>
    <s v="J"/>
    <x v="300"/>
    <s v=""/>
    <s v=""/>
    <s v=""/>
    <s v="Martincevic, Ivana; Kozina, Goran"/>
    <s v=""/>
    <s v=""/>
    <x v="300"/>
    <x v="218"/>
    <s v=""/>
    <s v=""/>
    <s v="English"/>
    <s v="Article"/>
    <s v=""/>
    <s v=""/>
    <s v=""/>
    <s v=""/>
    <s v=""/>
    <x v="282"/>
    <x v="1"/>
    <s v="Doing business in the market today is unthinkable without new and modern technology, which is one of the key resources by which companies achieve a sustainable competitive advantage. Digitalization and digital transformation of business includes a number of information and communication technologies (ICT) that are built into business processes and which make it easier for management to do business but also ensure market recognition. Globalization of business affects the expansion and easier access to markets, whereby the management of the company must find new ways and methods of doing business, where the digital transformation of business and new digital and information-communication technologies have an effect on growth and competitive advantage. The ability of an organization to transform its business towards digitalization and application of new digital technologies largely depends on the management of the company and a clear digital strategy as an integral part of the corporate business strategy. In order to investigate the impact of constant and rapid development of digital technologies on the management of the company from the aspect of its acceptance and integration within the company's strategy, a survey was conducted in the territory of the Republic of Croatia and Croatian export companies (micro, small, medium and large) were included in the survey."/>
    <s v="[Martincevic, Ivana; Kozina, Goran] Univ North, Trg Zarka Dolinara 1, Koprivnica 48000, Croatia"/>
    <s v="University North - Croatia"/>
    <s v="Martincevic, I (corresponding author), Univ North, Trg Zarka Dolinara 1, Koprivnica 48000, Croatia."/>
    <s v="ivana.martincevic@unin.hr; goran.kozina@unin.hr"/>
    <s v=""/>
    <s v="Martincevic, Ivana/0000-0002-9154-4331"/>
    <s v=""/>
    <s v=""/>
    <s v=""/>
    <s v=""/>
    <n v="13"/>
    <n v="3"/>
    <n v="3"/>
    <n v="14"/>
    <n v="60"/>
    <s v="UNIV OSIJEK, TECH FAC"/>
    <s v="SLAVONSKI BROD"/>
    <s v="TRG IVANE BRLIC-MAZURANIC 2, SLAVONSKI BROD, HR-35000, CROATIA"/>
    <s v="1330-3651"/>
    <s v="1848-6339"/>
    <s v=""/>
    <s v="TEH VJESN"/>
    <s v="Teh. Vjesn."/>
    <s v="JUL"/>
    <x v="2"/>
    <n v="28"/>
    <n v="4"/>
    <s v=""/>
    <s v=""/>
    <s v=""/>
    <s v=""/>
    <n v="1262"/>
    <n v="1267"/>
    <s v=""/>
    <s v="10.17559/TV-20200924091906"/>
    <s v="http://dx.doi.org/10.17559/TV-20200924091906"/>
    <s v=""/>
    <s v=""/>
    <n v="6"/>
    <x v="53"/>
    <x v="0"/>
    <s v="Engineering"/>
    <s v="TM9UE"/>
    <s v=""/>
    <s v="gold"/>
    <s v=""/>
    <s v=""/>
    <s v="2023-11-15"/>
    <s v="WOS:000675891000025"/>
    <s v="View Full Record in Web of Science"/>
    <m/>
  </r>
  <r>
    <x v="303"/>
    <s v="J"/>
    <x v="301"/>
    <s v=""/>
    <s v=""/>
    <s v=""/>
    <s v="Ritala, Paavo; Baiyere, Abayomi; Hughes, Mathew; Kraus, Sascha"/>
    <s v=""/>
    <s v=""/>
    <x v="301"/>
    <x v="9"/>
    <s v=""/>
    <s v=""/>
    <s v="English"/>
    <s v="Article"/>
    <s v=""/>
    <s v=""/>
    <s v=""/>
    <s v=""/>
    <s v=""/>
    <x v="283"/>
    <x v="237"/>
    <s v="In transformational strategy contexts such as digitalization, the entrepreneurial behavior of the firm's employees is crucial. This study examines the role of employees' individual-level entrepreneurial orientation (IEO) in terms of proactiveness, risk-taking, and innovativeness, and their relational capital within the organization, on their performance in achieving organizations' digital strategy goals. We hypothesize that all IEO dimensions are positively associated with employees' digital strategy performance and that relational capital positively moderates the effect of proactiveness and risk-taking but negatively moderates the effect of innovativeness. The results of an intra-organizational survey of 166 employees at a medium-sized Northern European manufacturing firm provide partial support for our hypotheses. As part of the empirical design, we introduce a four-dimensional scale for organizational and individual digital strategy performance (Digital - Management, Infrastructure, Networking, and development - MIND). With this scale, we contrast the informants' self-assessment of their individual performance against their assessment of the overall organizational performance. Our study is one of the first to investigate IEO in a digital strategy context and provides implications for harnessing employees' entrepreneurial and innovative potential in digital transformation."/>
    <s v="[Ritala, Paavo] LUT Univ, Sch Business &amp; Management, Lappeenranta, Finland; [Baiyere, Abayomi] Copenhagen Business Sch, Dept Digitalizat, Copenhagen, Denmark; [Baiyere, Abayomi] Univ Turku, Informat Syst Sci, Turku, Finland; [Hughes, Mathew] Loughborough Univ, Sch Business &amp; Econ, Loughborough LE11 3TU, Leics, England; [Kraus, Sascha] Free Univ Bozen Bolzano, Fac Econ &amp; Management, Piazza Univ 1, I-39100 Bolzano, Italy"/>
    <s v="Lappeenranta-Lahti University of Technology LUT; Copenhagen Business School; University of Turku; Loughborough University; Free University of Bozen-Bolzano"/>
    <s v="Ritala, P (corresponding author), LUT Univ, Sch Business &amp; Management, Lappeenranta, Finland."/>
    <s v="ritala@lut.fi; aba.digi@cbs.dk; m.hughes2@lboro.ac.uk; sascha.kraus@zfke.de"/>
    <s v=""/>
    <s v="Ritala, Paavo/0000-0002-8525-4610; Hughes, Mathew/0000-0001-6859-558X"/>
    <s v="PoDoCo - Post Docs in Companies"/>
    <s v="PoDoCo - Post Docs in Companies"/>
    <s v="We want to thank PoDoCo -Post Docs in Companies -for financial support regarding this research. We also want to thank Hannu Salmela, Matti Mantymaki, and Milla Wirren for their support."/>
    <s v=""/>
    <n v="146"/>
    <n v="49"/>
    <n v="49"/>
    <n v="41"/>
    <n v="254"/>
    <s v="ELSEVIER SCIENCE INC"/>
    <s v="NEW YORK"/>
    <s v="STE 800, 230 PARK AVE, NEW YORK, NY 10169 USA"/>
    <s v="0040-1625"/>
    <s v="1873-5509"/>
    <s v=""/>
    <s v="TECHNOL FORECAST SOC"/>
    <s v="Technol. Forecast. Soc. Chang."/>
    <s v="OCT"/>
    <x v="2"/>
    <n v="171"/>
    <s v=""/>
    <s v=""/>
    <s v=""/>
    <s v=""/>
    <s v=""/>
    <s v=""/>
    <s v=""/>
    <n v="120961"/>
    <s v="10.1016/j.techfore.2021.120961"/>
    <s v="http://dx.doi.org/10.1016/j.techfore.2021.120961"/>
    <s v=""/>
    <s v="JUN 2021"/>
    <n v="15"/>
    <x v="9"/>
    <x v="1"/>
    <s v="Business &amp; Economics; Public Administration"/>
    <s v="TU7XL"/>
    <s v=""/>
    <s v="Green Published, hybrid"/>
    <s v=""/>
    <s v=""/>
    <s v="2023-11-15"/>
    <s v="WOS:000681245200014"/>
    <s v="View Full Record in Web of Science"/>
    <m/>
  </r>
  <r>
    <x v="304"/>
    <s v="J"/>
    <x v="302"/>
    <s v=""/>
    <s v=""/>
    <s v=""/>
    <s v="Singh Balhara, Yatan Pal; Szerman, Nestor; Singh, Swarndeep; Martinez Raga, Jose; Salom, Caroline; Peris, Lola; Ganesh, Ragul"/>
    <s v=""/>
    <s v=""/>
    <x v="302"/>
    <x v="219"/>
    <s v=""/>
    <s v=""/>
    <s v="English"/>
    <s v="Article"/>
    <s v=""/>
    <s v=""/>
    <s v=""/>
    <s v=""/>
    <s v=""/>
    <x v="284"/>
    <x v="1"/>
    <s v="Objective The COVID-19 pandemic has posed a great challenge for the existing health systems. The restrictions imposed across countries on the movement of people and the realignment of health care services in response to the pandemic are likely to negatively affect the health status and delivery of mental health services to persons with dual disorders (PWDD). Methods: An online survey was conducted among mental health professionals involved in providing care to PWDD to better understand the problems encountered and identify potential solutions in providing continued treatment for PWDD during the COVID-19 pandemic. Results: The findings confirmed significant disruption in the delivery of treatment services for PWDD during the COVID-19 pandemic. Dissatisfaction with personal protective equipment, inadequate COVID-19 testing services at treatment facility, and lack of guidelines on providing continued treatment services to PWDD by national authorities or professional bodies were identified as the likely reasons for this disruption. Conclusions: These concerns in turn need to be addressed by the policy-makers, hospital management staff, and other stakeholders. Specifically, there should be a focus on developing and disseminating guidelines to assist mental health professionals in setting-up and providing continued treatment services to PWDD via tele-psychiatry and other novel digital strategies."/>
    <s v="[Singh Balhara, Yatan Pal] All India Inst Med Sci AIIMS, Natl Drug Dependence Treatment Ctr, Dept Psychiat, Room 4096,4th Floor,Acad Block, New Delhi, India; [Szerman, Nestor] Univ Hosp Gregorio Maranon, Mental Hlth Unit Retiro, Madrid, Spain; [Singh, Swarndeep; Ganesh, Ragul] All India Inst Med Sci AIIMS, Natl Drug Dependence Treatment Ctr, New Delhi, India; [Singh, Swarndeep; Ganesh, Ragul] All India Inst Med Sci AIIMS, Dept Psychiat, New Delhi, India; [Martinez Raga, Jose] Univ Valencia, Dept Psychiat, Valencia, Spain; [Salom, Caroline] Univ Queensland, Inst Social Sci Res, Brisbane, Qld, Australia; [Salom, Caroline; Peris, Lola] CNP Ctr Neuchatelois Psychiat, Neuchatel, Switzerland"/>
    <s v="All India Institute of Medical Sciences (AIIMS) New Delhi; National Drug Dependence Treatment Centre (NDDTC); General University Gregorio Maranon Hospital; All India Institute of Medical Sciences (AIIMS) New Delhi; National Drug Dependence Treatment Centre (NDDTC); All India Institute of Medical Sciences (AIIMS) New Delhi; University of Valencia; University of Queensland"/>
    <s v="Balhara, YPS (corresponding author), All India Inst Med Sci AIIMS, Natl Drug Dependence Treatment Ctr, Dept Psychiat, Room 4096,4th Floor,Acad Block, New Delhi, India."/>
    <s v="ypsbalhara@gmail.com"/>
    <s v="Salom, Caroline/C-1761-2014; Ganesh, Ragul/IVH-4408-2023; Martinez-Raga, Jose/B-6251-2017"/>
    <s v="Salom, Caroline/0000-0002-8986-9735; Martinez-Raga, Jose/0000-0002-2856-6562; BALHARA, YATAN PAL SINGH/0000-0003-1616-6403"/>
    <s v=""/>
    <s v=""/>
    <s v=""/>
    <s v=""/>
    <n v="16"/>
    <n v="3"/>
    <n v="3"/>
    <n v="0"/>
    <n v="2"/>
    <s v="ROUTLEDGE JOURNALS, TAYLOR &amp; FRANCIS LTD"/>
    <s v="ABINGDON"/>
    <s v="2-4 PARK SQUARE, MILTON PARK, ABINGDON OX14 4RN, OXON, ENGLAND"/>
    <s v="1550-4263"/>
    <s v="1550-4271"/>
    <s v=""/>
    <s v="J DUAL DIAGN"/>
    <s v="J. Dual Diagn."/>
    <s v="JUL 3"/>
    <x v="2"/>
    <n v="17"/>
    <n v="3"/>
    <s v=""/>
    <s v=""/>
    <s v=""/>
    <s v=""/>
    <n v="248"/>
    <n v="256"/>
    <s v=""/>
    <s v="10.1080/15504263.2021.1940413"/>
    <s v="http://dx.doi.org/10.1080/15504263.2021.1940413"/>
    <s v=""/>
    <s v="JUN 2021"/>
    <n v="9"/>
    <x v="112"/>
    <x v="1"/>
    <s v="Psychology; Substance Abuse; Psychiatry"/>
    <s v="UQ9MD"/>
    <n v="34165030"/>
    <s v=""/>
    <s v=""/>
    <s v=""/>
    <s v="2023-11-15"/>
    <s v="WOS:000665659700001"/>
    <s v="View Full Record in Web of Science"/>
    <m/>
  </r>
  <r>
    <x v="305"/>
    <s v="J"/>
    <x v="303"/>
    <s v=""/>
    <s v=""/>
    <s v=""/>
    <s v="Ko, Andrea; Feher, Peter; Kovacs, Tibor; Mitev, Ariel; Szabo, Zoltan"/>
    <s v=""/>
    <s v=""/>
    <x v="303"/>
    <x v="220"/>
    <s v=""/>
    <s v=""/>
    <s v="English"/>
    <s v="Article"/>
    <s v=""/>
    <s v=""/>
    <s v=""/>
    <s v=""/>
    <s v=""/>
    <x v="285"/>
    <x v="238"/>
    <s v="Purpose - This research aims to discuss the success of digital transformation focusing on the role of IT and management commitment in digitalization together with sectorial relevance as influencing factors. According to the literature, these dimensions are key elements of digitalization, and there is no consensus on their decisiveness. The authors measure the success of digital transformation with the digital innovation. The research is part of ongoing work, in which the IT-related practice of Hungarian organizations has been explored on an annual basis since 2009. Design/methodology/approach - The research methodology is a combined one; both qualitative and quantitative methods were applied including surveying digital transformation literature, interviews with key representatives of Hungarian organizations, developing a survey to collect quantitative data, data collection and processing with PLS-SEM. Findings - The results revealed that the digital innovations are strongly determined by business, management commitment and, to a far lesser extent, by strategy. In the case of digital transformation, the role of IT departments and the services they provide are less relevant. Research limitations/implications - The most important limitation of the research is the size and composition of the sample. Results do not present the situation of a specific industrial sector. Originality/value - Digital technologies influence and disrupt practically every industry; the development of information and communication technology has changed economies all over the world. Decisive factors of digital transformations are widely researched, but there is no consensus about them. This research contributes to understanding the role of IT department and their services in this process together with leadership, sectorial relevance as influencing factors."/>
    <s v="[Ko, Andrea; Feher, Peter; Kovacs, Tibor; Mitev, Ariel; Szabo, Zoltan] Corvinus Univ Budapest, Budapest, Hungary"/>
    <s v="Corvinus University Budapest"/>
    <s v="Ko, A (corresponding author), Corvinus Univ Budapest, Budapest, Hungary."/>
    <s v="andrea.ko@uni-corvinus.hu"/>
    <s v="Mitev, Ariel/ACP-3192-2022; Kovacs, Tibor/ABD-2662-2020"/>
    <s v="Mitev, Ariel/0000-0002-9986-3513; Kovacs, Tibor/0000-0002-7408-998X; Szabo, Zoltan/0000-0001-9466-1448; Ko, Andrea/0000-0003-0023-1143"/>
    <s v="European Union [EFOP-3.6.1-16-2016-00013]"/>
    <s v="European Union(European Union (EU))"/>
    <s v="This publication was written within the Szechenyi 2020 programme framework (EFOP-3.6.1-16-2016-00013) under the European Union project titled: Institutional developments for intelligent specialization at the Szekesfehervar Campus of Corvinus University of Budapest."/>
    <s v=""/>
    <n v="82"/>
    <n v="16"/>
    <n v="16"/>
    <n v="24"/>
    <n v="124"/>
    <s v="EMERALD GROUP PUBLISHING LTD"/>
    <s v="BINGLEY"/>
    <s v="HOWARD HOUSE, WAGON LANE, BINGLEY BD16 1WA, W YORKSHIRE, ENGLAND"/>
    <s v="1757-2223"/>
    <s v="1757-2231"/>
    <s v=""/>
    <s v="INT J INOV SCI"/>
    <s v="Int. J. Innov. Sci."/>
    <s v="JAN 7"/>
    <x v="1"/>
    <n v="14"/>
    <n v="1"/>
    <s v=""/>
    <s v=""/>
    <s v=""/>
    <s v=""/>
    <n v="1"/>
    <n v="20"/>
    <s v=""/>
    <s v="10.1108/IJIS-01-2021-0007"/>
    <s v="http://dx.doi.org/10.1108/IJIS-01-2021-0007"/>
    <s v=""/>
    <s v="JUN 2021"/>
    <n v="20"/>
    <x v="33"/>
    <x v="2"/>
    <s v="Business &amp; Economics"/>
    <s v="YC5MA"/>
    <s v=""/>
    <s v=""/>
    <s v=""/>
    <s v=""/>
    <s v="2023-11-15"/>
    <s v="WOS:000663140300001"/>
    <s v="View Full Record in Web of Science"/>
    <m/>
  </r>
  <r>
    <x v="306"/>
    <s v="J"/>
    <x v="304"/>
    <s v=""/>
    <s v=""/>
    <s v=""/>
    <s v="Mastromartino, Brandon; Naraine, Michael L."/>
    <s v=""/>
    <s v=""/>
    <x v="304"/>
    <x v="221"/>
    <s v=""/>
    <s v=""/>
    <s v="English"/>
    <s v="Article"/>
    <s v=""/>
    <s v=""/>
    <s v=""/>
    <s v=""/>
    <s v=""/>
    <x v="286"/>
    <x v="239"/>
    <s v="Purpose The purpose of this study was to examine the effectiveness of social media strategies of sport organizations when an unexpected absence of relevant content occurs. The study explored the typologies of Instagram posts of NHL teams and measured engagement of social media content that was not planned in advance. Design/methodology/approach A mixed methods approach was utilized through a content analysis of 12 NHL team social media feeds. 502 (n = 502) posts were examined from the period of March 12 - May 26 during which the NHL season was suddenly paused due to the COVID-19 pandemic. Typologies of posts were identified through a qualitative coding process and ANOVA tests were conducted to examine the effectiveness of each typology in engaging consumers. Findings This study found that social media strategies of the sampled NHL teams is evidence of disinnovation with digital, as opposed to the previously conceptualized innovative properties that these activities bear. Therefore, in order to achieve the consumer engagement outcomes sought to build stronger relationships with fans and deliver on the expected leveraging capabilities for sponsors, sport marketers must reconsider their current, imbalanced approach and whether the more inherently interactive content should be balanced with entertaining content that requires organic consumer engagement. Originality/value This study offers a unique application of UGT, highlighting that social media in a sport context is not just about gratifying consumers, but preventing diminishing engagement and exploitation of users through overuse of sponsorship-laced content."/>
    <s v="[Mastromartino, Brandon] Southern Methodist Univ, Dallas, TX 75205 USA; [Naraine, Michael L.] Brock Univ, St Catharines, ON, Canada"/>
    <s v="Southern Methodist University; Brock University"/>
    <s v="Mastromartino, B (corresponding author), Southern Methodist Univ, Dallas, TX 75205 USA."/>
    <s v="bmastromartino@smu.edu"/>
    <s v=""/>
    <s v=""/>
    <s v=""/>
    <s v=""/>
    <s v=""/>
    <s v=""/>
    <n v="67"/>
    <n v="7"/>
    <n v="7"/>
    <n v="1"/>
    <n v="18"/>
    <s v="EMERALD GROUP PUBLISHING LTD"/>
    <s v="BINGLEY"/>
    <s v="HOWARD HOUSE, WAGON LANE, BINGLEY BD16 1WA, W YORKSHIRE, ENGLAND"/>
    <s v="1464-6668"/>
    <s v="2515-7841"/>
    <s v=""/>
    <s v="INT J SPORT MARK SPO"/>
    <s v="Int. J. Sports Mark. Spons."/>
    <s v="SEP 21"/>
    <x v="1"/>
    <n v="23"/>
    <n v="5"/>
    <s v=""/>
    <s v=""/>
    <s v="SI"/>
    <s v=""/>
    <n v="934"/>
    <n v="949"/>
    <s v=""/>
    <s v="10.1108/IJSMS-02-2021-0032"/>
    <s v="http://dx.doi.org/10.1108/IJSMS-02-2021-0032"/>
    <s v=""/>
    <s v="JUN 2021"/>
    <n v="16"/>
    <x v="88"/>
    <x v="1"/>
    <s v="Social Sciences - Other Topics"/>
    <s v="4P3SD"/>
    <s v=""/>
    <s v=""/>
    <s v=""/>
    <s v=""/>
    <s v="2023-11-15"/>
    <s v="WOS:000663118500001"/>
    <s v="View Full Record in Web of Science"/>
    <m/>
  </r>
  <r>
    <x v="307"/>
    <s v="J"/>
    <x v="305"/>
    <s v=""/>
    <s v=""/>
    <s v=""/>
    <s v="Van Zeebroeck, Nicolas; Kretschmer, Tobias; Bughin, Jacques"/>
    <s v=""/>
    <s v=""/>
    <x v="305"/>
    <x v="172"/>
    <s v=""/>
    <s v=""/>
    <s v="English"/>
    <s v="Article"/>
    <s v=""/>
    <s v=""/>
    <s v=""/>
    <s v=""/>
    <s v=""/>
    <x v="287"/>
    <x v="240"/>
    <s v="As digital technologies emerge and improve rapidly, firms face changing tradeoffs in terms of their technology infrastructure and strategic direction. Hence, many of them adopt new digital technology and develop new business models and strategies. The literature on strategic alignment of IT suggests that firms need to synchronize these different domains of choice. We therefore, ask how far firms renew their strategy as they adopt new technologies. In this article, we study this question empirically by assessing if the adoption of new digital technologies is associated with, or even leads to, changes to firm strategy using a detailed survey-based dataset on firms' strategy renewal and their adoption of digital technologies. We observe a strong positive association between the extent of strategy change and the stage of adoption of advanced digital technologies overall, suggesting a tight coupling between (technological) structure and strategy. Further, using instrumental variable regressions to disentangle the two effects, we find that the adoption of new technologies may lead to a large and robust effect on strategy change: the more extensive the adoption, the larger the change in strategy. This result is robust to various specifications and across industries. However, we notice substantial differences across technologies, potentially pointing at heterogeneity in their strategic nature or maturity level."/>
    <s v="[Van Zeebroeck, Nicolas] Univ Libre Bruxelles, Solvay Brussels Sch Econ &amp; Management, iCITE, B-1050 Brussels, Belgium; [Kretschmer, Tobias] Ludwig Maximilians Univ Munchen, Inst Strategy Technol &amp; Org, D-80539 Munich, Germany; [Kretschmer, Tobias] Ctr Econ Policy Res, London, England; [Bughin, Jacques] Univ Libre Bruxelles, Solvay Brussels Sch Econ &amp; Management, B-1050 Brussels, Belgium; [Bughin, Jacques] Machaon Advisory, B-1050 Brussels, Belgium"/>
    <s v="Universite Libre de Bruxelles; Solvay SA; University of Munich; Centre for Economic Policy Research - UK; Universite Libre de Bruxelles; Solvay SA"/>
    <s v="Kretschmer, T (corresponding author), Ludwig Maximilians Univ Munchen, Inst Strategy Technol &amp; Org, D-80539 Munich, Germany."/>
    <s v="nicolas.van.zeebroeck@ulb.be; t.kretschmer@lmu.de; bughinjacquesrenejean@gmail.com"/>
    <s v=""/>
    <s v="Bughin, Jacques/0000-0002-1973-3656; van Zeebroeck, Nicolas/0000-0003-3079-7877"/>
    <s v="Advanced Studies at LMU"/>
    <s v="Advanced Studies at LMU"/>
    <s v="Y Manuscript received April 15, 2020; revised October 26, 2020 and April 6, 2021; accepted April 29, 2021. The work of Kretschmer was supported by the Advanced Studies at LMU. Review of this article was arranged by Department Editor T. Ravichandran. (Corresponding author: Tobias Kretschmer.)"/>
    <s v=""/>
    <n v="48"/>
    <n v="10"/>
    <n v="10"/>
    <n v="58"/>
    <n v="166"/>
    <s v="IEEE-INST ELECTRICAL ELECTRONICS ENGINEERS INC"/>
    <s v="PISCATAWAY"/>
    <s v="445 HOES LANE, PISCATAWAY, NJ 08855-4141 USA"/>
    <s v="0018-9391"/>
    <s v="1558-0040"/>
    <s v=""/>
    <s v="IEEE T ENG MANAGE"/>
    <s v="IEEE Trans. Eng. Manage."/>
    <s v="SEP"/>
    <x v="0"/>
    <n v="70"/>
    <n v="9"/>
    <s v=""/>
    <s v=""/>
    <s v=""/>
    <s v=""/>
    <n v="3183"/>
    <n v="3197"/>
    <s v=""/>
    <s v="10.1109/TEM.2021.3079347"/>
    <s v="http://dx.doi.org/10.1109/TEM.2021.3079347"/>
    <s v=""/>
    <s v="JUN 2021"/>
    <n v="15"/>
    <x v="92"/>
    <x v="3"/>
    <s v="Business &amp; Economics; Engineering"/>
    <s v="L8CF8"/>
    <s v=""/>
    <s v=""/>
    <s v=""/>
    <s v=""/>
    <s v="2023-11-15"/>
    <s v="WOS:000732678400001"/>
    <s v="View Full Record in Web of Science"/>
    <m/>
  </r>
  <r>
    <x v="308"/>
    <s v="J"/>
    <x v="216"/>
    <s v=""/>
    <s v=""/>
    <s v=""/>
    <s v="Fumagalli, Luis Andre Wernecke; Rezende, Denis Alcides; Guimaraes, Thiago Andre"/>
    <s v=""/>
    <s v=""/>
    <x v="306"/>
    <x v="100"/>
    <s v=""/>
    <s v=""/>
    <s v="English"/>
    <s v="Article"/>
    <s v=""/>
    <s v=""/>
    <s v=""/>
    <s v=""/>
    <s v=""/>
    <x v="288"/>
    <x v="241"/>
    <s v="Public transport was already one of the biggest issues for all municipalities where people are highly concentrated at the same space at the same time. With COVID-19 pandemic and social distancing consequences, mass transportation is actually the main barrier for students and workers dependents of transport to go back to their daily routines with comfort and safety. Thus, the objective is to determine a demand control able to equalize the number of passengers in each car, respecting the COVID-19 social distancing protocols. The number of passengers in each time-ofday range were combined in four different models that included independent variables related to passenger's behavior indicating that almost 90% of all passengers are following a very strict and straight daily routine that can be coordinated and scheduled creating enough time space one from the other to avoid undesirable concentrations inside buses and bus stops. In conclusion, a very accurate urban management tool can arise from the study and may be able to solve not only the pandemic issues but also to improve local public services efficiency, to attract private investments and to improve citizen's quality of life."/>
    <s v="[Fumagalli, Luis Andre Wernecke; Rezende, Denis Alcides] Pontificia Univ Catolica Parana PUCPR, R Imaculada Conceicao 1155, BR-80215901 Curitiba, PR, Brazil; [Fumagalli, Luis Andre Wernecke] FAE Business Sch FAE, Av Visconde Guarapuava 3263, BR-80010100 Curitiba, PR, Brazil; [Rezende, Denis Alcides] Depaul Univ, Sch Publ Serv, Chicago, IL 60604 USA; [Rezende, Denis Alcides] USP Univ, Sao Paulo, Brazil; [Rezende, Denis Alcides] UFSC Univ, Informat Technol &amp; Publ Private Strateg Planning, Florianopolis, SC, Brazil; [Rezende, Denis Alcides] UFPR Univ, Informat Technol, Curitiba, Parana, Brazil; [Guimaraes, Thiago Andre] Fed Univ Parana UFPR, Res Grp Technol Appl Optimizat GTAO, Av Prefeito Lothario Meissner 632, Curitiba, Parana, Brazil; [Guimaraes, Thiago Andre] UFPR Univ, Dept Gen &amp; Appl Adm DAGA, Curitiba, Parana, Brazil; [Guimaraes, Thiago Andre] Univ Laval, Ctr Interuniv Rech Reseaux Entreprise Logist &amp; Tr, Fed Inst Educ Sci &amp; Technol Parana IFPR, Quebec City, PQ, Canada; [Guimaraes, Thiago Andre] UFPR, Operat Res Grad Program Numer Methods Engn, Area Concentrat Math Programming, Curitiba, Parana, Brazil"/>
    <s v="DePaul University; Universidade Federal do Parana; Laval University; Universite de Montreal; Universidade Federal do Parana"/>
    <s v="Fumagalli, LAW (corresponding author), FAE Business Sch FAE, Av Visconde Guarapuava 3263, BR-80010 Curitiba, Parana, Brazil."/>
    <s v="luis.fumagalli@fae.edu; denis.rezende@pucpr.br; thiagoandre@ufpr.br"/>
    <s v="Rezende, Denis Alcides/AAR-2488-2021; Fumagalli, Luis André Wernecke/C-7061-2013; Guimaraes, Thiago Andre/JCN-8842-2023"/>
    <s v="Rezende, Denis Alcides/0000-0002-3327-0424; Fumagalli, Luis André Wernecke/0000-0002-1406-5230;"/>
    <s v=""/>
    <s v=""/>
    <s v=""/>
    <s v=""/>
    <n v="35"/>
    <n v="15"/>
    <n v="16"/>
    <n v="2"/>
    <n v="14"/>
    <s v="ELSEVIER"/>
    <s v="AMSTERDAM"/>
    <s v="RADARWEG 29, 1043 NX AMSTERDAM, NETHERLANDS"/>
    <s v="2226-5856"/>
    <s v="2589-0360"/>
    <s v=""/>
    <s v="J URBAN MANAG"/>
    <s v="J. Urban Manag."/>
    <s v="JUN"/>
    <x v="2"/>
    <n v="10"/>
    <n v="2"/>
    <s v=""/>
    <s v=""/>
    <s v="SI"/>
    <s v=""/>
    <n v="97"/>
    <n v="109"/>
    <s v=""/>
    <s v="10.1016/j.jum.2021.04.002"/>
    <s v="http://dx.doi.org/10.1016/j.jum.2021.04.002"/>
    <s v=""/>
    <s v="JUN 2021"/>
    <n v="13"/>
    <x v="63"/>
    <x v="2"/>
    <s v="Urban Studies"/>
    <s v="SP9UW"/>
    <s v=""/>
    <s v="gold, Green Published"/>
    <s v=""/>
    <s v=""/>
    <s v="2023-11-15"/>
    <s v="WOS:000660009100002"/>
    <s v="View Full Record in Web of Science"/>
    <m/>
  </r>
  <r>
    <x v="309"/>
    <s v="J"/>
    <x v="306"/>
    <s v=""/>
    <s v=""/>
    <s v=""/>
    <s v="Ramadan, Zahy; Nsouli, Nour Zakaria"/>
    <s v=""/>
    <s v=""/>
    <x v="307"/>
    <x v="157"/>
    <s v=""/>
    <s v=""/>
    <s v="English"/>
    <s v="Article"/>
    <s v=""/>
    <s v=""/>
    <s v=""/>
    <s v=""/>
    <s v=""/>
    <x v="289"/>
    <x v="242"/>
    <s v="Purpose With US$ 320 bn spent on luxury fashion in the Middle East and a growing digital consumer presence, local start-ups must form an integrated online relationship with millennials in order to recruit and retain a viable customer base. Nonetheless, these elements are yet to be extensively and properly researched as the literature is still scarce vis-a-vis this area. Design/methodology/approach A mixed qualitative approach was adopted using both in-depth interviews and focus groups. Two qualitative studies were conducted, with a total of 13 elite respondents and 28 consumer respondents from Saudi Arabia and the United Arab Emirates (UAE) using semi-structured interviews. Four focus groups were also conducted in both countries with six participants each group for triangulation of the findings. Findings The findings enhance current understanding pertaining to Gen Ys' motivations when selecting and engaging online with a luxury fashion start-up brand. The study suggests a detailed strategic framework that can be used in an integrated omni-channel approach. It also discusses the different touchpoints that play a role in influencing luxury consumption across different motivation stages. Originality/value The literature relating to digital strategies for luxury fashion start-up brands in the Middle East is still nascent. This study fills a considerable gap in the literature related to such brands that are aiming to stay relevant amidst the growing impact of the digital landscape on luxury fashion brand shoppers in the Middle East."/>
    <s v="[Ramadan, Zahy] Lebanese Amer Univ, Beirut, Lebanon; [Nsouli, Nour Zakaria] Inst Marangoni, Milan, Italy"/>
    <s v="Lebanese American University"/>
    <s v="Ramadan, Z (corresponding author), Lebanese Amer Univ, Beirut, Lebanon."/>
    <s v="zahy.ramadan@lau.edu.lb; nourzakariansouli@gmail.com"/>
    <s v="Stellaki, Kalliopi/GZN-0958-2022; Ramadan, Zahy/O-2521-2016"/>
    <s v="Ramadan, Zahy/0000-0001-8368-3617"/>
    <s v=""/>
    <s v=""/>
    <s v=""/>
    <s v=""/>
    <n v="71"/>
    <n v="3"/>
    <n v="3"/>
    <n v="2"/>
    <n v="29"/>
    <s v="EMERALD GROUP PUBLISHING LTD"/>
    <s v="BINGLEY"/>
    <s v="HOWARD HOUSE, WAGON LANE, BINGLEY BD16 1WA, W YORKSHIRE, ENGLAND"/>
    <s v="1361-2026"/>
    <s v="1758-7433"/>
    <s v=""/>
    <s v="J FASH MARK MANAG"/>
    <s v="J. Fash. Mark. Manag."/>
    <s v="FEB 18"/>
    <x v="1"/>
    <n v="26"/>
    <n v="2"/>
    <s v=""/>
    <s v=""/>
    <s v=""/>
    <s v=""/>
    <n v="247"/>
    <n v="265"/>
    <s v=""/>
    <s v="10.1108/JFMM-10-2020-0222"/>
    <s v="http://dx.doi.org/10.1108/JFMM-10-2020-0222"/>
    <s v=""/>
    <s v="JUN 2021"/>
    <n v="19"/>
    <x v="6"/>
    <x v="1"/>
    <s v="Business &amp; Economics"/>
    <s v="ZH2AT"/>
    <s v=""/>
    <s v=""/>
    <s v=""/>
    <s v=""/>
    <s v="2023-11-15"/>
    <s v="WOS:000658314900001"/>
    <s v="View Full Record in Web of Science"/>
    <m/>
  </r>
  <r>
    <x v="310"/>
    <s v="J"/>
    <x v="307"/>
    <s v=""/>
    <s v=""/>
    <s v=""/>
    <s v="Donida, Bruna; da Costa, Cristiano Andre; Scherer, Juliana Nichterwitz"/>
    <s v=""/>
    <s v=""/>
    <x v="308"/>
    <x v="222"/>
    <s v=""/>
    <s v=""/>
    <s v="English"/>
    <s v="Article"/>
    <s v=""/>
    <s v=""/>
    <s v=""/>
    <s v=""/>
    <s v=""/>
    <x v="290"/>
    <x v="1"/>
    <s v="The COVID-19 outbreak exposed several problems faced by health systems worldwide, especially concerning the safe and rapid generation and sharing of health data. However, this pandemic scenario has also facilitated the rapid implementation and monitoring of technologies in the health field. In view of the occurrence of the public emergency caused by SARS-CoV-2 in Brazil, the Department of Informatics of the Brazilian Unified Health System created a contingency plan. In this paper, we aim to report the digital health strategies applied in Brazil and the first results obtained during the fight against COVID-19. Conecte SUS, a platform created to store all the health data of an individual throughout their life, is the center point of the Brazilian digital strategy. Access to the platform can be obtained through an app by the patient and the health professionals involved in the case. Health data sharing became possible due to the creation of the National Health Data Network (Rede Nacional de Dados em Saude, RNDS). A mobile app was developed to guide citizens regarding the need to go to a health facility and to assist in disseminating official news about the virus. The mobile app can also alert the user if they have had contact with an infected person. The official numbers of cases and available hospital beds are updated and published daily on a website containing interactive graphs. These data are obtained due to creating a web-based notification system that uses the RNDS to share information about the cases. Preclinical care through telemedicine has become essential to prevent overload in health facilities. The exchange of experiences between medical teams from large centers and small hospitals was made possible using telehealth. Brazil took a giant step toward digital health adoption, creating and implementing important initiatives; however, these initiatives do not yet cover the entire health system. It is expected that the sharing of health data that are maintained and authorized by the patient will become a reality in the near future. The intention is to obtain better clinical outcomes, cost reduction, and faster and better services in the public health network."/>
    <s v="[Donida, Bruna; da Costa, Cristiano Andre; Scherer, Juliana Nichterwitz] Univ Vale do Rio dos Sinos, SOFTWARELAB Software Innovat Lab, Av Unisinos 950, BR-93022750 Sao Leopoldo, Brazil"/>
    <s v=""/>
    <s v="da Costa, CA (corresponding author), Univ Vale do Rio dos Sinos, SOFTWARELAB Software Innovat Lab, Av Unisinos 950, BR-93022750 Sao Leopoldo, Brazil."/>
    <s v="cac@unisinos.br"/>
    <s v="da Costa, Cristiano André/AAV-1894-2020; Scherer, Juliana/M-6344-2016"/>
    <s v="da Costa, Cristiano André/0000-0003-3859-6199; Donida, Bruna/0000-0001-6346-5153; Scherer, Juliana/0000-0002-9235-0416"/>
    <s v="Coordenacao de Aperfeicoamento de Pessoal de Nivel Superior (CAPES) -Brasil [001]"/>
    <s v="Coordenacao de Aperfeicoamento de Pessoal de Nivel Superior (CAPES) -Brasil(Coordenacao de Aperfeicoamento de Pessoal de Nivel Superior (CAPES))"/>
    <s v="The authors would like to acknowledge the efforts of all Brazilian public servants during this pandemic crisis. This study was financed in part by the Coordenacao de Aperfeicoamento de Pessoal de Nivel Superior (CAPES) -Brasil, Finance Code 001."/>
    <s v=""/>
    <n v="29"/>
    <n v="9"/>
    <n v="9"/>
    <n v="3"/>
    <n v="10"/>
    <s v="JMIR PUBLICATIONS, INC"/>
    <s v="TORONTO"/>
    <s v="130 QUEENS QUAY E, STE 1102, TORONTO, ON M5A 0P6, CANADA"/>
    <s v="2369-2960"/>
    <s v=""/>
    <s v=""/>
    <s v="JMIR PUBLIC HLTH SUR"/>
    <s v="JMIR Public Health Surveill."/>
    <s v="JUN"/>
    <x v="2"/>
    <n v="7"/>
    <n v="6"/>
    <s v=""/>
    <s v=""/>
    <s v=""/>
    <s v=""/>
    <s v=""/>
    <s v=""/>
    <s v="e28643"/>
    <s v="10.2196/28643"/>
    <s v="http://dx.doi.org/10.2196/28643"/>
    <s v=""/>
    <s v=""/>
    <n v="8"/>
    <x v="44"/>
    <x v="3"/>
    <s v="Public, Environmental &amp; Occupational Health"/>
    <s v="YA7LO"/>
    <n v="34101613"/>
    <s v="gold, Green Published"/>
    <s v=""/>
    <s v=""/>
    <s v="2023-11-15"/>
    <s v="WOS:000738510300001"/>
    <s v="View Full Record in Web of Science"/>
    <m/>
  </r>
  <r>
    <x v="311"/>
    <s v="J"/>
    <x v="308"/>
    <s v=""/>
    <s v=""/>
    <s v=""/>
    <s v="Gajdzik, Bozena; Wolniak, Radoslaw"/>
    <s v=""/>
    <s v=""/>
    <x v="309"/>
    <x v="192"/>
    <s v=""/>
    <s v=""/>
    <s v="English"/>
    <s v="Article"/>
    <s v=""/>
    <s v=""/>
    <s v=""/>
    <s v=""/>
    <s v=""/>
    <x v="291"/>
    <x v="243"/>
    <s v="Digital technologies enable companies to build cyber-physical systems (CPS) in Industry 4.0. In the increasingly popular concept of Industry 4.0, an important research topic is the application of digital technology in industry, and in particular in specific industry sectors. The aim of this paper is to present the tools used in the steel industry in Poland on its way to the full digitalisation that is needed for the development of Industry 4.0. The paper consists of two parts: a literature review and a practical analysis. The paper provides the background information about digitalisation using digital tools in the steel industry in Poland. The paper was prepared based on secondary information and statistical data. The object of the research is the Polish steel sector. This study assumes that digitalisation is the main area of innovation in the steel industry. The digitalisation determines the creation of new or modified products, processes, techniques and expansion of the company's infrastructure; therefore, the data on digital technology were supplemented with data on the innovativeness of the Polish steel sector. The results of this study provide managers with valuable information to understand the importance of full digitalisation and the need to focus on digital strategies. Such insights can be used to improve companies' processing capabilities and produce better products, which is key to innovation."/>
    <s v="[Gajdzik, Bozena] Silesian Tech Univ, Dept Ind Informat, PL-40019 Katowice, Poland; [Wolniak, Radoslaw] Silesian Tech Univ, Dept Management &amp; Org, PL-41800 Zabrze, Poland"/>
    <s v="Silesian University of Technology; Silesian University of Technology"/>
    <s v="Gajdzik, B (corresponding author), Silesian Tech Univ, Dept Ind Informat, PL-40019 Katowice, Poland."/>
    <s v="bozena.gajdzik@polsl.pl; radoslaw.wolniak@polsl.pl"/>
    <s v="Gajdzik, Bozena/S-8265-2018; Wolniak, Radoslaw/P-7146-2017"/>
    <s v="Gajdzik, Bozena/0000-0002-0408-1691; Wolniak, Radoslaw/0000-0003-0317-9811"/>
    <s v="Department of Industrial Informatics, Silesian University of Technology [11/990/BK_21/0080]"/>
    <s v="Department of Industrial Informatics, Silesian University of Technology"/>
    <s v="Department of Industrial Informatics, Silesian University of Technology supported this work as a part of Statutory Research 11/990/BK_21/0080."/>
    <s v=""/>
    <n v="133"/>
    <n v="19"/>
    <n v="19"/>
    <n v="5"/>
    <n v="21"/>
    <s v="MDPI"/>
    <s v="BASEL"/>
    <s v="ST ALBAN-ANLAGE 66, CH-4052 BASEL, SWITZERLAND"/>
    <s v=""/>
    <s v="1996-1073"/>
    <s v=""/>
    <s v="ENERGIES"/>
    <s v="Energies"/>
    <s v="JUN"/>
    <x v="2"/>
    <n v="14"/>
    <n v="11"/>
    <s v=""/>
    <s v=""/>
    <s v=""/>
    <s v=""/>
    <s v=""/>
    <s v=""/>
    <n v="3034"/>
    <s v="10.3390/en14113034"/>
    <s v="http://dx.doi.org/10.3390/en14113034"/>
    <s v=""/>
    <s v=""/>
    <n v="25"/>
    <x v="101"/>
    <x v="0"/>
    <s v="Energy &amp; Fuels"/>
    <s v="SP7LD"/>
    <s v=""/>
    <s v="gold"/>
    <s v=""/>
    <s v=""/>
    <s v="2023-11-15"/>
    <s v="WOS:000659845500001"/>
    <s v="View Full Record in Web of Science"/>
    <m/>
  </r>
  <r>
    <x v="312"/>
    <s v="J"/>
    <x v="309"/>
    <s v=""/>
    <s v=""/>
    <s v=""/>
    <s v="Karekla, Maria; Pollalis, Yannis; Angelopoulos, Michail"/>
    <s v=""/>
    <s v=""/>
    <x v="310"/>
    <x v="223"/>
    <s v=""/>
    <s v=""/>
    <s v="English"/>
    <s v="Article"/>
    <s v=""/>
    <s v=""/>
    <s v=""/>
    <s v=""/>
    <s v=""/>
    <x v="292"/>
    <x v="1"/>
    <s v="Purpose: This article aims to assess strategy and technology as key drivers of Greek businesses' digital transformation and compare the results to those of international studies and sources. Methodology: A research was conducted on 124 Greek businesses from different sectors and industries with the use of an anonymous questionnaire from December 2019 to January 2020. Greek businesses were categorized as early, developing, and maturing according to their perceptions about the level of their digital maturity, and differences were identified. The results were finally compared to an international relevant survey. Findings: Several differences were located among the Greek businesses of the three digital maturity categories as formulated after their self-evaluation, and evolution has been identified on their perceptions about their digital strategy, its existence, objectives, and structure, which can be seen developing and expanding from the lowest to the highest levels of digital maturity. Originality: The findings can be useful in creating an initial picture of the perceptions and practices applied by Greek businesses to their use of digital technologies. They can also become a measure of comparison for the self-evaluation of Greek businesses in their efforts to digitally transform."/>
    <s v="[Karekla, Maria] Hellen Open Univ, Patras, Greece; [Pollalis, Yannis] Univ Piraeus, Econ Pireas, Piraeus, Greece; [Angelopoulos, Michail] Univ Piraeus, Econ Karaoli &amp; Dimitriou, EL-18534 Piraeus, Greece"/>
    <s v="Hellenic Open University; University of Piraeus"/>
    <s v="Angelopoulos, M (corresponding author), Univ Piraeus, Econ Karaoli &amp; Dimitriou, EL-18534 Piraeus, Greece."/>
    <s v="yannis@unipi.gr; mangelopoulos66@gmail.com"/>
    <s v=""/>
    <s v="POLLALIS, YANNIS/0000-0003-4893-1624"/>
    <s v=""/>
    <s v=""/>
    <s v=""/>
    <s v=""/>
    <n v="35"/>
    <n v="3"/>
    <n v="3"/>
    <n v="3"/>
    <n v="42"/>
    <s v="SCIENDO"/>
    <s v="WARSAW"/>
    <s v="BOGUMILA ZUGA 32A, WARSAW, MAZOVIA, POLAND"/>
    <s v="2658-0845"/>
    <s v="2658-2430"/>
    <s v=""/>
    <s v="CENT EUR MANAG J"/>
    <s v="Cent. Eur. Manag. J."/>
    <s v="JUN"/>
    <x v="2"/>
    <n v="29"/>
    <n v="2"/>
    <s v=""/>
    <s v=""/>
    <s v=""/>
    <s v=""/>
    <n v="33"/>
    <n v="62"/>
    <s v=""/>
    <s v="10.7206/cemj.2658-0845.45"/>
    <s v="http://dx.doi.org/10.7206/cemj.2658-0845.45"/>
    <s v=""/>
    <s v=""/>
    <n v="30"/>
    <x v="8"/>
    <x v="2"/>
    <s v="Business &amp; Economics"/>
    <s v="TI3EO"/>
    <s v=""/>
    <s v="gold"/>
    <s v=""/>
    <s v=""/>
    <s v="2023-11-15"/>
    <s v="WOS:000672677100002"/>
    <s v="View Full Record in Web of Science"/>
    <m/>
  </r>
  <r>
    <x v="313"/>
    <s v="J"/>
    <x v="310"/>
    <s v=""/>
    <s v=""/>
    <s v=""/>
    <s v="Alejandra Jimenez-Consuegra, Mayra; Florez Maldonado, Emma; Domenech Pantoja, Geraldis; Berrio-Valbuena, Jesus; Andres Rodriguez-Nieto, Camilo; Alberto Cervantes-Barraza, Jonathan; Aroca Araujo, Armando"/>
    <s v=""/>
    <s v=""/>
    <x v="311"/>
    <x v="224"/>
    <s v=""/>
    <s v=""/>
    <s v="Spanish"/>
    <s v="Article"/>
    <s v=""/>
    <s v=""/>
    <s v=""/>
    <s v=""/>
    <s v=""/>
    <x v="293"/>
    <x v="1"/>
    <s v="the research problem consisted of the pedagogical, didactic, methodological and assessment implications emerging from the sudden shift from face-to-face education to virtual education in all undergraduate programs at Universidad del Atlantico, without lecturers having received prior training. Therefore, the objective of this research is to obtain elements of discussion on professors' teaching strategies, digital organization, methodological processes, and evaluation at Universidad del Atlantico in the context of the COVID-19 pandemic, during the beginning of the first virtual semester in each undergraduate program. This study is descriptive, exploratory and non-experimental, conducted by Grupo de Investigacion Horizontes en Educacion Matematica (gihem), where the information was collected through an online survey, designed in Google Forms and disseminated massively through emails from participating lecturers. Among the main results, strategies are classified into three categories: 1) aptitude for virtual classes, 2) classroom methodologies and 3) assessment strategies in the teaching and virtual learning process."/>
    <s v="[Alejandra Jimenez-Consuegra, Mayra] Secretaria Educ Dist Barranquilla, Barranquilla, Colombia; [Florez Maldonado, Emma; Domenech Pantoja, Geraldis; Berrio-Valbuena, Jesus; Andres Rodriguez-Nieto, Camilo; Alberto Cervantes-Barraza, Jonathan; Aroca Araujo, Armando] Univ Atlantico, Barranquilla, Colombia; [Florez Maldonado, Emma] IED Carlos Meisel, Barranquilla, Colombia; [Domenech Pantoja, Geraldis] IE Maria Auxiliadora, Galapa, Colombia"/>
    <s v=""/>
    <s v="Jiménez-Consuegra, MA (corresponding author), Secretaria Educ Dist Barranquilla, Barranquilla, Colombia."/>
    <s v="mayra.jimenez@sedbarranquilla.edu.co; emmaflorez@mail.uniatlantico.edu.co; geraldisdomenech@mail.uniatlantico.edu.co; jberriovalbuena@mail.uniatlantico.edu.co; crodriguez@uagro.mx; jacbmath@hotmail.com; doaroca@mail.uniatlantico.edu.co"/>
    <s v=""/>
    <s v=""/>
    <s v=""/>
    <s v=""/>
    <s v=""/>
    <s v=""/>
    <n v="30"/>
    <n v="0"/>
    <n v="0"/>
    <n v="2"/>
    <n v="25"/>
    <s v="UNIV MILITAR NUEVA GRANADA"/>
    <s v="BOGOTA"/>
    <s v="FAC DERECHO, SEDE BOGOTA CRA 11 N 101-80, BOGOTA, 00000, COLOMBIA"/>
    <s v="2011-0731"/>
    <s v=""/>
    <s v=""/>
    <s v="ACAD VIRTUALIDAD"/>
    <s v="Acad. Virtualidad"/>
    <s v="MAY 28"/>
    <x v="2"/>
    <n v="14"/>
    <n v="1"/>
    <s v=""/>
    <s v=""/>
    <s v=""/>
    <s v=""/>
    <n v="63"/>
    <n v="85"/>
    <s v=""/>
    <s v="10.18359/ravi.5027"/>
    <s v="http://dx.doi.org/10.18359/ravi.5027"/>
    <s v=""/>
    <s v=""/>
    <n v="23"/>
    <x v="39"/>
    <x v="2"/>
    <s v="Education &amp; Educational Research"/>
    <s v="SL9UJ"/>
    <s v=""/>
    <s v="gold, Green Submitted"/>
    <s v=""/>
    <s v=""/>
    <s v="2023-11-15"/>
    <s v="WOS:000657259400005"/>
    <s v="View Full Record in Web of Science"/>
    <m/>
  </r>
  <r>
    <x v="314"/>
    <s v="J"/>
    <x v="311"/>
    <s v=""/>
    <s v=""/>
    <s v=""/>
    <s v="Adam, Martin; Roethke, Konstantin; Benlian, Alexander"/>
    <s v=""/>
    <s v=""/>
    <x v="312"/>
    <x v="225"/>
    <s v=""/>
    <s v=""/>
    <s v="English"/>
    <s v="Article"/>
    <s v=""/>
    <s v=""/>
    <s v=""/>
    <s v=""/>
    <s v=""/>
    <x v="294"/>
    <x v="244"/>
    <s v="To augment traditional monetization strategies, digital platform providers increasingly draw on gamblification (i.e., the use of gambling design elements). By means of gambling design elements (e.g., lottery tickets, scratch cards, loot boxes), platform providers do not only entertain users but also incentivize them to purchase digital products. Yet, despite the increasing prevalence of gamblified digital platforms, little is known about how gamblification influences user purchase behaviors. Drawing on prospect theory, we investigate gamblification in the form of loot box menu designs and the associated effects of uncertainty, loss experience and behavioral control on user purchase behavior. Specifically, we conducted a contest-based online experiment with 159 participants, finding that platform providers can profit from offering loot boxes with certain (vs. uncertain) rewards in loot box menus. Furthermore, this effect intensifies when participants previously experienced a loss and decreases when they perceive to have more control over the result. Thus, our findings provide theoretical and practical insights for a better understanding of gamblification in general and of loot box menu designs for enhancing digital business models in particular."/>
    <s v="[Adam, Martin; Roethke, Konstantin; Benlian, Alexander] Tech Univ Darmstadt, Fachgebiet Wirtschaftsinformat Informat Syst &amp; El, Hsch Str 1, D-64289 Darmstadt, Germany"/>
    <s v="Technical University of Darmstadt"/>
    <s v="Adam, M (corresponding author), Tech Univ Darmstadt, Fachgebiet Wirtschaftsinformat Informat Syst &amp; El, Hsch Str 1, D-64289 Darmstadt, Germany."/>
    <s v="adam@ise.tu-darmstadt.de"/>
    <s v="Benlian, Alexander/E-1075-2014"/>
    <s v="Benlian, Alexander/0000-0002-7294-3097; Adam, Martin/0000-0001-9369-7203"/>
    <s v="Projekt DEAL"/>
    <s v="Projekt DEAL"/>
    <s v="Open Access funding enabled and organized by Projekt DEAL."/>
    <s v=""/>
    <n v="81"/>
    <n v="3"/>
    <n v="3"/>
    <n v="11"/>
    <n v="63"/>
    <s v="SPRINGER HEIDELBERG"/>
    <s v="HEIDELBERG"/>
    <s v="TIERGARTENSTRASSE 17, D-69121 HEIDELBERG, GERMANY"/>
    <s v="1019-6781"/>
    <s v="1422-8890"/>
    <s v=""/>
    <s v="ELECTRON MARK"/>
    <s v="Electron. Mark."/>
    <s v="JUN"/>
    <x v="1"/>
    <n v="32"/>
    <n v="2"/>
    <s v=""/>
    <s v=""/>
    <s v=""/>
    <s v=""/>
    <n v="971"/>
    <n v="986"/>
    <s v=""/>
    <s v="10.1007/s12525-021-00477-0"/>
    <s v="http://dx.doi.org/10.1007/s12525-021-00477-0"/>
    <s v=""/>
    <s v="MAY 2021"/>
    <n v="16"/>
    <x v="6"/>
    <x v="1"/>
    <s v="Business &amp; Economics"/>
    <s v="3U9EM"/>
    <s v=""/>
    <s v="hybrid"/>
    <s v=""/>
    <s v=""/>
    <s v="2023-11-15"/>
    <s v="WOS:000651362200001"/>
    <s v="View Full Record in Web of Science"/>
    <m/>
  </r>
  <r>
    <x v="315"/>
    <s v="J"/>
    <x v="312"/>
    <s v=""/>
    <s v=""/>
    <s v=""/>
    <s v="Ano, Blandine; Bent, Richard"/>
    <s v=""/>
    <s v=""/>
    <x v="313"/>
    <x v="226"/>
    <s v=""/>
    <s v=""/>
    <s v="English"/>
    <s v="Article"/>
    <s v=""/>
    <s v=""/>
    <s v=""/>
    <s v=""/>
    <s v=""/>
    <x v="295"/>
    <x v="245"/>
    <s v="Purpose In a context of technological disruption, companies face a digital imperative to adopt successfully emerging new technologies. While family firms have a huge potential for growth and innovation, they may - due to idiosyncratic but often limited resources, have to address the complex challenges induced by digital technologies introduction. The purpose of this paper is to explore how human and cultural resources influence the formulation and implementation of five French family firms' digital strategy. Design/methodology/approach Based on a phenomenological epistemology, semi-structured interviews among different generational cohorts of family business owners. Findings The thematic analysis highlights five main cultural and psychological determinants holding the potential for positive and synergetic outcomes while implementing a digital strategy: the change management nurtured by long-term sustainability, the emotional attachment to the firm, the entrepreneurial legacy influence, the personalised involvement of individual family members and the family owners' central focus on employees. Originality/value This paper is one of the first research projects exploring the digital transformation process of family businesses from the perspective of the firm's human capital. The participants of the study reveal idiosyncratic attitudes such as long-term orientation, entrepreneurial bridging and non-economic goals leading to competitive advantages and transgenerational wealth creation."/>
    <s v="[Ano, Blandine] Queen Margaret Univ, Edinburgh, Midlothian, Scotland; [Bent, Richard] Queen Margaret Univ, Queen Margaret Business Sch, Edinburgh, Midlothian, Scotland"/>
    <s v="Queen Margaret University; Queen Margaret University"/>
    <s v="Ano, B (corresponding author), Queen Margaret Univ, Edinburgh, Midlothian, Scotland."/>
    <s v="ano.blandine@gmail.com"/>
    <s v=""/>
    <s v=", Blandine/0000-0003-0826-0440; Bent, Richard/0000-0003-0709-0160"/>
    <s v=""/>
    <s v=""/>
    <s v=""/>
    <s v=""/>
    <n v="48"/>
    <n v="11"/>
    <n v="11"/>
    <n v="8"/>
    <n v="88"/>
    <s v="EMERALD GROUP PUBLISHING LTD"/>
    <s v="BINGLEY"/>
    <s v="HOWARD HOUSE, WAGON LANE, BINGLEY BD16 1WA, W YORKSHIRE, ENGLAND"/>
    <s v="2043-6238"/>
    <s v="2043-6246"/>
    <s v=""/>
    <s v="J FAM BUS MANAG"/>
    <s v="J. Fam. Bus. Manag."/>
    <s v="DEC 1"/>
    <x v="1"/>
    <n v="12"/>
    <n v="4"/>
    <s v=""/>
    <s v=""/>
    <s v=""/>
    <s v=""/>
    <n v="876"/>
    <n v="891"/>
    <s v=""/>
    <s v="10.1108/JFBM-12-2020-0117"/>
    <s v="http://dx.doi.org/10.1108/JFBM-12-2020-0117"/>
    <s v=""/>
    <s v="MAY 2021"/>
    <n v="16"/>
    <x v="8"/>
    <x v="2"/>
    <s v="Business &amp; Economics"/>
    <s v="6R8PN"/>
    <s v=""/>
    <s v=""/>
    <s v=""/>
    <s v=""/>
    <s v="2023-11-15"/>
    <s v="WOS:000651880300001"/>
    <s v="View Full Record in Web of Science"/>
    <m/>
  </r>
  <r>
    <x v="316"/>
    <s v="J"/>
    <x v="313"/>
    <s v=""/>
    <s v=""/>
    <s v=""/>
    <s v="Ponis, Stavros T.; Lada, Chrysanthi"/>
    <s v=""/>
    <s v=""/>
    <x v="314"/>
    <x v="227"/>
    <s v=""/>
    <s v=""/>
    <s v="English"/>
    <s v="Article"/>
    <s v=""/>
    <s v=""/>
    <s v=""/>
    <s v=""/>
    <s v=""/>
    <x v="296"/>
    <x v="1"/>
    <s v="The purpose of this study is to explore the emerging issue of Digital Transformation (DT) in the Greek fashion industry, which according to literature, is highly fragmented, populated by a large number of digitally immature SMEs and financially strained, even before the outburst of the COVID-19 crisis. This paper aims to explore the current level of knowledge, understanding and adoption of Digital Transformation from fashion companies in Greece, by evaluating the results of an online survey of sixty middle and top-level executives from the fashion industry. The descriptive analysis of the survey data reveals the aforementioned technology lag and -among other findings- showcases the need for a more comprehensive, efficient, structured, less fragmented and coordinated approach towards developing a digital strategy and implementation roadmap that will guide fashion companies through the harsh realities of the post-COVID19 era, as dictated and imposed by the 'next normal' for manufacturers and retailers all over the world."/>
    <s v="[Ponis, Stavros T.; Lada, Chrysanthi] Natl Tech Univ Athens, Sch Mech Engn, Athens, Greece"/>
    <s v="National Technical University of Athens"/>
    <s v="Ponis, ST (corresponding author), Sch Mech Engn, Heroon Polytech 9, Athens 15780, Greece."/>
    <s v="staponis@central.ntua.gr"/>
    <s v="PONIS, STAVROS T/AAC-9945-2019"/>
    <s v="PONIS, STAVROS T/0000-0002-9544-9219"/>
    <s v=""/>
    <s v=""/>
    <s v=""/>
    <s v=""/>
    <n v="25"/>
    <n v="1"/>
    <n v="1"/>
    <n v="0"/>
    <n v="1"/>
    <s v="TAYLOR &amp; FRANCIS LTD"/>
    <s v="ABINGDON"/>
    <s v="2-4 PARK SQUARE, MILTON PARK, ABINGDON OR14 4RN, OXON, ENGLAND"/>
    <s v="1754-3266"/>
    <s v="1754-3274"/>
    <s v=""/>
    <s v="INT J FASH DES TECHN"/>
    <s v="Int. J. Fash. Des. Technol. Educ."/>
    <s v="MAY 4"/>
    <x v="2"/>
    <n v="14"/>
    <n v="2"/>
    <s v=""/>
    <s v=""/>
    <s v=""/>
    <s v=""/>
    <n v="162"/>
    <n v="172"/>
    <s v=""/>
    <s v="10.1080/17543266.2021.1903085"/>
    <s v="http://dx.doi.org/10.1080/17543266.2021.1903085"/>
    <s v=""/>
    <s v=""/>
    <n v="11"/>
    <x v="113"/>
    <x v="2"/>
    <s v="Business &amp; Economics; Materials Science"/>
    <s v="7A2BX"/>
    <s v=""/>
    <s v=""/>
    <s v=""/>
    <s v=""/>
    <s v="2023-11-15"/>
    <s v="WOS:000898268600004"/>
    <s v="View Full Record in Web of Science"/>
    <m/>
  </r>
  <r>
    <x v="317"/>
    <s v="J"/>
    <x v="314"/>
    <s v=""/>
    <s v=""/>
    <s v=""/>
    <s v="Hanninen, Mikko; Smedlund, Anssi"/>
    <s v=""/>
    <s v=""/>
    <x v="315"/>
    <x v="228"/>
    <s v=""/>
    <s v=""/>
    <s v="English"/>
    <s v="Article"/>
    <s v=""/>
    <s v=""/>
    <s v=""/>
    <s v=""/>
    <s v=""/>
    <x v="297"/>
    <x v="1"/>
    <s v="In the service sector, digital platforms now enable service providers to reach customers through an online marketplace and use the value-adding complementary services offered. However, despite the widespread prevalence of digital platforms, there has been little research on the market reach and financial performance captured by service providers. We explored these service provider-specific outcomes of digital platforms by studying a digital platform in the beauty industry. Our results show that digital platforms present a troubling paradox for service providers participating in a platform-based online marketplace: despite increases in market reach, in terms of a higher rate of new customer acquisition, those service providers participating in the marketplace have lower sales than others. However, the 'dark side' of this paradox is compensated by higher sales for service providers using more of the complementary services offered by the platform. Hence, although digital platforms may open new markets and add value, service providers should be wary of their paradoxical consequences. With these findings, we contribute new theoretical and managerial insight about the service provider-specific outcomes of digital platforms and add to the ongoing debate about firm strategies in the digital age concerning the platform economy."/>
    <s v="[Hanninen, Mikko] Univ Nottingham, Business Sch, Nottingham, England; [Smedlund, Anssi] Aalto Univ, Sch Business, Espoo, Finland"/>
    <s v="University of Nottingham; Aalto University"/>
    <s v="Hänninen, M (corresponding author), Univ Nottingham, Business Sch, Operat Management &amp; Informat Syst Div, Nottingham NG8 1BB, England."/>
    <s v="mikko.hanninen@nottingham.ac.uk"/>
    <s v=""/>
    <s v=""/>
    <s v=""/>
    <s v=""/>
    <s v=""/>
    <s v=""/>
    <n v="105"/>
    <n v="11"/>
    <n v="11"/>
    <n v="32"/>
    <n v="154"/>
    <s v="WILEY"/>
    <s v="HOBOKEN"/>
    <s v="111 RIVER ST, HOBOKEN 07030-5774, NJ USA"/>
    <s v="0022-2380"/>
    <s v="1467-6486"/>
    <s v=""/>
    <s v="J MANAGE STUD"/>
    <s v="J. Manage. Stud."/>
    <s v="NOV"/>
    <x v="2"/>
    <n v="58"/>
    <n v="7"/>
    <s v=""/>
    <s v=""/>
    <s v="SI"/>
    <s v=""/>
    <n v="1832"/>
    <n v="1868"/>
    <s v=""/>
    <s v="10.1111/joms.12701"/>
    <s v="http://dx.doi.org/10.1111/joms.12701"/>
    <s v=""/>
    <s v="MAY 2021"/>
    <n v="37"/>
    <x v="6"/>
    <x v="1"/>
    <s v="Business &amp; Economics"/>
    <s v="WI2WK"/>
    <s v=""/>
    <s v="Green Published"/>
    <s v=""/>
    <s v=""/>
    <s v="2023-11-15"/>
    <s v="WOS:000646325900001"/>
    <s v="View Full Record in Web of Science"/>
    <m/>
  </r>
  <r>
    <x v="318"/>
    <s v="J"/>
    <x v="315"/>
    <s v=""/>
    <s v=""/>
    <s v=""/>
    <s v="Kilcoyne, Anthony"/>
    <s v=""/>
    <s v=""/>
    <x v="316"/>
    <x v="229"/>
    <s v=""/>
    <s v=""/>
    <s v="English"/>
    <s v="Article"/>
    <s v=""/>
    <s v=""/>
    <s v=""/>
    <s v=""/>
    <s v=""/>
    <x v="298"/>
    <x v="246"/>
    <s v="This article explores how the digital strategy for schools policy 2015-2020, Ireland's national digital technology in education policy and its enactment in schools prepared them for school closures as part of the Covid-19 response. The educational, economic and social context in which the digital strategy for schools was published in 2015 was vastly different from the current living with Covid-19 context. When schools eventually recalibrate, lockdown induced school closures will have provided a collective perspective and richer evidence base for the triumvirate of student, teacher and parent to contribute to the technology in the education debate. This paper utilises Ball, Maguire, and Braun's concept of context as a heuristic tool to illuminate the enactment of the Digital Strategy for Schools 2015-2020. The approach taken is discursive drawing on the digital strategy for schools policy document and the corpus of national and international reports and literature that have been published during Covid-19. Findings are fused with a detailed theoretical discussion about what we understand by digital learning for a post-pandemic society, how the current digital strategy speaks to this new reality and where attention should be directed in future reviews and strategy documents."/>
    <s v="[Kilcoyne, Anthony] Natl Univ Ireland Galway, Sch Educ, Galway, Ireland"/>
    <s v="Ollscoil na Gaillimhe-University of Galway"/>
    <s v="Kilcoyne, A (corresponding author), Natl Univ Ireland Galway, Sch Educ, Galway, Ireland."/>
    <s v="a.kilcoyne1@nuigalway.ie"/>
    <s v=""/>
    <s v=""/>
    <s v=""/>
    <s v=""/>
    <s v=""/>
    <s v=""/>
    <n v="17"/>
    <n v="5"/>
    <n v="5"/>
    <n v="0"/>
    <n v="12"/>
    <s v="ROUTLEDGE JOURNALS, TAYLOR &amp; FRANCIS LTD"/>
    <s v="ABINGDON"/>
    <s v="2-4 PARK SQUARE, MILTON PARK, ABINGDON OX14 4RN, OXON, ENGLAND"/>
    <s v="0332-3315"/>
    <s v="1747-4965"/>
    <s v=""/>
    <s v="IRISH EDUC STUD"/>
    <s v="Ir. Educ. Stud."/>
    <s v="APR 3"/>
    <x v="2"/>
    <n v="40"/>
    <n v="2"/>
    <s v=""/>
    <s v=""/>
    <s v="SI"/>
    <s v=""/>
    <n v="247"/>
    <n v="253"/>
    <s v=""/>
    <s v="10.1080/03323315.2021.1915839"/>
    <s v="http://dx.doi.org/10.1080/03323315.2021.1915839"/>
    <s v=""/>
    <s v="APR 2021"/>
    <n v="7"/>
    <x v="39"/>
    <x v="1"/>
    <s v="Education &amp; Educational Research"/>
    <s v="TK4QG"/>
    <s v=""/>
    <s v="hybrid"/>
    <s v=""/>
    <s v=""/>
    <s v="2023-11-15"/>
    <s v="WOS:000646830900001"/>
    <s v="View Full Record in Web of Science"/>
    <m/>
  </r>
  <r>
    <x v="319"/>
    <s v="J"/>
    <x v="316"/>
    <s v=""/>
    <s v=""/>
    <s v=""/>
    <s v="Soliman, Mohamed; Karia, Noorliza"/>
    <s v=""/>
    <s v=""/>
    <x v="317"/>
    <x v="230"/>
    <s v=""/>
    <s v=""/>
    <s v="English"/>
    <s v="Article; Early Access"/>
    <s v=""/>
    <s v=""/>
    <s v=""/>
    <s v=""/>
    <s v=""/>
    <x v="299"/>
    <x v="247"/>
    <s v="In light of higher education institutions (HEIs) need to implement intelligent, innovative systems for their digital strategic transformation to stay competitive, the enterprise resource planning (ERP) system can tailor solutions to such technological problems through its integration characteristic. The present study sheds light on the emergence of enablers and inhibitors, explaining technological readiness insight for ERP adoption. The study aims to understand better ERP readiness among HEIs to ease the substantial change required for the adoption process. The findings show a profound perception of ERP systems among 112 Egyptian HEIs, demonstrating that HEIs are technologically ready for adoption. Results reveal that HEIs have positive ERP readiness, although HEIs' managers are still uncertain and expect some ERP inhibitors. Therefore, ERP adoption is principally contingent on perceiving enablers and eliminating any inhibitors comprising ERP technological readiness. This study delivers practical verification to the higher education context by advancing ERP concepts and characteristics from the HEIs' perspective. This study, finally, suggests that ERP adoption is beneficial for HEIs"/>
    <s v="[Soliman, Mohamed; Karia, Noorliza] Univ Sains Malaysia, Sch Management, Gelugor 11800, Penang, Malaysia"/>
    <s v="Universiti Sains Malaysia"/>
    <s v="Karia, N (corresponding author), Univ Sains Malaysia, Sch Management, Gelugor 11800, Penang, Malaysia."/>
    <s v="noorliza@usm.my"/>
    <s v="Karia, Noorliza/E-3948-2012; Mohamed Soliman, Mohamed Soliman/I-1974-2018"/>
    <s v="Karia, Noorliza/0000-0002-1449-9979; Mohamed Soliman, Mohamed Soliman/0000-0003-2212-3813"/>
    <s v="USM fellowship from the Institute of Postgraduate Studies (IPS) in Universiti Sains Malaysia (USM)"/>
    <s v="USM fellowship from the Institute of Postgraduate Studies (IPS) in Universiti Sains Malaysia (USM)"/>
    <s v="This research is supported by the USM fellowship from the Institute of Postgraduate Studies (IPS) in Universiti Sains Malaysia (USM). The authors would like to thank the School of Management (SOM) for providing any facilities for this research. Also, the authors are grateful to the anonymous referees of the journal for their extremely useful suggestions to improve the quality of the article. Usual disclaimers apply."/>
    <s v=""/>
    <n v="80"/>
    <n v="1"/>
    <n v="1"/>
    <n v="2"/>
    <n v="15"/>
    <s v="SAGE PUBLICATIONS LTD"/>
    <s v="LONDON"/>
    <s v="1 OLIVERS YARD, 55 CITY ROAD, LONDON EC1Y 1SP, ENGLAND"/>
    <s v="0972-1509"/>
    <s v="0973-0664"/>
    <s v=""/>
    <s v="GLOB BUS REV"/>
    <s v="Glob. Bus. Rev."/>
    <s v="2021 APR 20"/>
    <x v="2"/>
    <s v=""/>
    <s v=""/>
    <s v=""/>
    <s v=""/>
    <s v=""/>
    <s v=""/>
    <s v=""/>
    <s v=""/>
    <n v="972150920988652"/>
    <s v="10.1177/0972150920988652"/>
    <s v="http://dx.doi.org/10.1177/0972150920988652"/>
    <s v=""/>
    <s v="APR 2021"/>
    <n v="19"/>
    <x v="33"/>
    <x v="2"/>
    <s v="Business &amp; Economics"/>
    <s v="RU5GQ"/>
    <s v=""/>
    <s v=""/>
    <s v=""/>
    <s v=""/>
    <s v="2023-11-15"/>
    <s v="WOS:000645176800001"/>
    <s v="View Full Record in Web of Science"/>
    <m/>
  </r>
  <r>
    <x v="320"/>
    <s v="J"/>
    <x v="317"/>
    <s v=""/>
    <s v=""/>
    <s v=""/>
    <s v="McCarthy, Patrick; Sammon, David; Alhassan, Ibrahim"/>
    <s v=""/>
    <s v=""/>
    <x v="318"/>
    <x v="231"/>
    <s v=""/>
    <s v=""/>
    <s v="English"/>
    <s v="Article"/>
    <s v=""/>
    <s v=""/>
    <s v=""/>
    <s v=""/>
    <s v=""/>
    <x v="300"/>
    <x v="1"/>
    <s v="Digital Transformation has generated much research and curiosity recently, with the COVID-19 global pandemic accelerating its pace across all industry sectors. Current literature has not adequately provided a comprehensive understanding of Digital Transformation Leadership (DTL). The objective of this research is to explore the characteristics of DTL by undertaking a comprehensive review of Information Systems literature using a systematic procedure of identifying and coding 87 research papers, resulting in 600 coded excerpts, capturing the 'who' and 'what' of DTL. Our analysis identifies eight DTL characteristics, namely: digital strategist, digital culturalist, digital architect, customer centrist, organisational agilist, data advocate, business process optimiser and digital workplace landscaper. We discuss mapping the DTL characteristics to c-suite roles, presenting a taxonomy from the literature, of interest to both academics and practitioners. This research raises the awareness of the concept of DTL characteristics, especially amongst those in positions of leadership and decision making authority."/>
    <s v="[McCarthy, Patrick] Munster Technol Univ Cork, Dept Comp Sci, Munster, Ireland; [Sammon, David] Cork Univ, Business Sch, Univ Coll Cork, Dept Business Informat Syst, Cork, Ireland; [Alhassan, Ibrahim] Saudi Elect Univ, E Commerce Dept, Riyadh, Saudi Arabia"/>
    <s v="University College Cork; Saudi Electronic University"/>
    <s v="McCarthy, P (corresponding author), Cork Univ, Business Sch, Univ Coll Cork, Cork, Ireland."/>
    <s v="pat.mccarthy@cit.ie"/>
    <s v=""/>
    <s v="Sammon, David/0000-0001-6138-0105; Alhassan, Ibrahim/0000-0002-3118-0855"/>
    <s v=""/>
    <s v=""/>
    <s v=""/>
    <s v=""/>
    <n v="89"/>
    <n v="17"/>
    <n v="17"/>
    <n v="14"/>
    <n v="97"/>
    <s v="TAYLOR &amp; FRANCIS LTD"/>
    <s v="ABINGDON"/>
    <s v="2-4 PARK SQUARE, MILTON PARK, ABINGDON OR14 4RN, OXON, ENGLAND"/>
    <s v="1246-0125"/>
    <s v="2116-7052"/>
    <s v=""/>
    <s v="J DECIS SYST"/>
    <s v="J. Decis. Syst."/>
    <s v="DEC 21"/>
    <x v="1"/>
    <n v="32"/>
    <n v="1"/>
    <s v=""/>
    <s v=""/>
    <s v=""/>
    <s v=""/>
    <n v="79"/>
    <n v="109"/>
    <s v=""/>
    <s v="10.1080/12460125.2021.1908934"/>
    <s v="http://dx.doi.org/10.1080/12460125.2021.1908934"/>
    <s v=""/>
    <s v="APR 2021"/>
    <n v="31"/>
    <x v="114"/>
    <x v="2"/>
    <s v="Operations Research &amp; Management Science"/>
    <s v="N7XG5"/>
    <s v=""/>
    <s v=""/>
    <s v=""/>
    <s v=""/>
    <s v="2023-11-15"/>
    <s v="WOS:000640580200001"/>
    <s v="View Full Record in Web of Science"/>
    <m/>
  </r>
  <r>
    <x v="321"/>
    <s v="J"/>
    <x v="318"/>
    <s v=""/>
    <s v=""/>
    <s v=""/>
    <s v="Bonacini, Elisa; Giaccone, Sonia Caterina"/>
    <s v=""/>
    <s v=""/>
    <x v="319"/>
    <x v="232"/>
    <s v=""/>
    <s v=""/>
    <s v="English"/>
    <s v="Article"/>
    <s v=""/>
    <s v=""/>
    <s v=""/>
    <s v=""/>
    <s v=""/>
    <x v="301"/>
    <x v="1"/>
    <s v="This article deals with the application of serious games to cultural heritage. Through an overview of the growing importance of gamification in promoting cultural sites and museum collections, the research highlights the changing practices of cultural institutions, which are increasingly involved in producing serious games, considering them as strategic digital marketing tools to promote cultural heritage and tourism in addition to their traditional learning by playing function. The article explores a case study, namely Mi Rasna, a game on the Etruscan society commissioned by several Italian cultural institutions."/>
    <s v="[Bonacini, Elisa] Univ S Florida, Dept Hist, Inst Digital Explorat IDEx, 4202 E Fowler Ave, Tampa, FL 33620 USA; [Bonacini, Elisa] Univ Cordoba, Escuelas Doctorado, Cordoba, Spain; [Giaccone, Sonia Caterina] Univ Catania, Dept Econ &amp; Business, Catania, Italy"/>
    <s v="State University System of Florida; University of South Florida; Universidad de Cordoba; University of Catania"/>
    <s v="Bonacini, E (corresponding author), Univ S Florida, Dept Hist, Inst Digital Explorat IDEx, 4202 E Fowler Ave, Tampa, FL 33620 USA.;Bonacini, E (corresponding author), Univ Cordoba, Escuelas Doctorado, Cordoba, Spain."/>
    <s v="e_bonacini@hotmail.com"/>
    <s v="Bonacini, Elisa/IRZ-6023-2023"/>
    <s v="BONACINI, Elisa/0000-0001-6987-6180; GIACCONE, Sonia Caterina/0000-0002-4422-9566"/>
    <s v=""/>
    <s v=""/>
    <s v=""/>
    <s v=""/>
    <n v="53"/>
    <n v="8"/>
    <n v="8"/>
    <n v="20"/>
    <n v="92"/>
    <s v="ROUTLEDGE JOURNALS, TAYLOR &amp; FRANCIS LTD"/>
    <s v="ABINGDON"/>
    <s v="2-4 PARK SQUARE, MILTON PARK, ABINGDON OX14 4RN, OXON, ENGLAND"/>
    <s v="0954-8963"/>
    <s v="1469-3690"/>
    <s v=""/>
    <s v="CULT TRENDS"/>
    <s v="Cult. Trends"/>
    <s v="JAN 1"/>
    <x v="1"/>
    <n v="31"/>
    <n v="1"/>
    <s v=""/>
    <s v=""/>
    <s v=""/>
    <s v=""/>
    <n v="3"/>
    <n v="22"/>
    <s v=""/>
    <s v="10.1080/09548963.2021.1910490"/>
    <s v="http://dx.doi.org/10.1080/09548963.2021.1910490"/>
    <s v=""/>
    <s v="APR 2021"/>
    <n v="20"/>
    <x v="115"/>
    <x v="6"/>
    <s v="Arts &amp; Humanities - Other Topics; Cultural Studies; Social Sciences - Other Topics"/>
    <s v="ZQ1XJ"/>
    <s v=""/>
    <s v=""/>
    <s v=""/>
    <s v=""/>
    <s v="2023-11-15"/>
    <s v="WOS:000639710300001"/>
    <s v="View Full Record in Web of Science"/>
    <m/>
  </r>
  <r>
    <x v="322"/>
    <s v="J"/>
    <x v="319"/>
    <s v=""/>
    <s v=""/>
    <s v=""/>
    <s v="Vane, Jan; Kalvas, Frantisek; Basl, Josef"/>
    <s v=""/>
    <s v=""/>
    <x v="320"/>
    <x v="233"/>
    <s v=""/>
    <s v=""/>
    <s v="English"/>
    <s v="Article"/>
    <s v=""/>
    <s v=""/>
    <s v=""/>
    <s v=""/>
    <s v=""/>
    <x v="302"/>
    <x v="1"/>
    <s v="Purpose This case study of the readiness of engineering companies for Industry 4.0 (I4.0) presents how surveyed key figures manage the implementation of I4.0. The research comprised a census of larger and medium-sized engineering companies in the Pilsen region of the Czech Republic. The selected region is characterised by a long industrial tradition and a high concentration of technical and technology-oriented companies. The survey questionnaire monitors a wide range of topics. In this text, the authors present the results only from selected areas. In particular, the authors examined: (1) the use of I4.0 technologies in individual areas, (2) the level of the digital strategy (DS), (3) factors influencing investments in I4.0 technologies, (4) the impact of I4.0 on the workforce and (5) existing threats to I4.0 implementation. The purpose of this paper is to show how key figures with a real impact on the implementation of I4.0 think and act in practice (as opposed to declarations). Design/methodology/approach In the presented article, thanks to the unique data obtained in the form of a census in the selected, traditionally engineering-oriented Pilsen region, and within the highly industrially oriented Czech Republic, the authors explored the state of readiness of companies for implementation of I4.0. The obtained data allowed the authors to present, in a suitably descriptive way, the current level, with respect to the future, of the planned use of I4.0 principles in the surveyed companies. They monitored not only the state of the adoption process (Industry of 4.0 technologies) compared to the declared proclamations but also which phenomena represent key obstacles. Findings First, medium-sized companies have barely implemented I4.0, whereas I4.0 is more often implemented in larger companies, especially the so-called DS aspect of I4.0. Furthermore, it appears that larger companies also clearly consider I4.0 more often and see it more significantly as a key success factor. Second, the survey highlighted the fact that customer satisfaction is the determining impetus for the introduction of I4.0. It can be assumed that with an increase in pressure from customers and a decrease in the price of technology, the introduction of I4.0 will increase. The third important finding is that the authors can observe a kind of two-stage flow of innovation in the results. The transformation towards I4.0 is approached by larger companies first, because they are more sensitive to customer satisfaction, are looking for new opportunities, and have greater resources to cover the costly implementation of innovations. Originality/value In the presented article, thanks to the unique data obtained in the form of a census in the selected, traditionally engineering-oriented Pilsen region, and within the highly industrially oriented Czech Republic, the authors explored the state of implementation of I4.0. The obtained data allowed the authors to present, in a suitably descriptive way, the current level, with respect to the future, of the planned use of I4.0 principles in the surveyed companies."/>
    <s v="[Vane, Jan; Kalvas, Frantisek] Univ West Bohemia Pilsen, Fac Arts, Sociol, Plzen, Czech Republic; [Basl, Josef] Univ West Bohemia Pilsen, Fac Mech Engn, Plzen, Czech Republic"/>
    <s v="University of West Bohemia Pilsen; University of West Bohemia Pilsen"/>
    <s v="Váne, J (corresponding author), Univ West Bohemia Pilsen, Fac Arts, Sociol, Plzen, Czech Republic."/>
    <s v="vanejan@kss.zcu.cz; kalvas@kss.zcu.cz; basljo@kpv.zcu.cz"/>
    <s v="Váně, Jan/W-2066-2019; Kalvas, Frantisek/C-7225-2016"/>
    <s v="Váně, Jan/0000-0002-5109-505X; Kalvas, Frantisek/0000-0002-9495-1602"/>
    <s v="project Innovation of study programmes of mechanical engineering, education and health care within the 4.0 Phenomenon - change of role of Higher Education Institution by the Technology Agency of the Czech Republic in ETA programme [TL01000081]"/>
    <s v="project Innovation of study programmes of mechanical engineering, education and health care within the 4.0 Phenomenon - change of role of Higher Education Institution by the Technology Agency of the Czech Republic in ETA programme"/>
    <s v="This study was supported by the project Innovation of study programmes of mechanical engineering, education and health care within the 4.0 Phenomenon - change of role of Higher Education Institution by the Technology Agency of the Czech Republic in ETA programme (no. TL01000081)."/>
    <s v=""/>
    <n v="55"/>
    <n v="2"/>
    <n v="2"/>
    <n v="2"/>
    <n v="27"/>
    <s v="EMERALD GROUP PUBLISHING LTD"/>
    <s v="BINGLEY"/>
    <s v="HOWARD HOUSE, WAGON LANE, BINGLEY BD16 1WA, W YORKSHIRE, ENGLAND"/>
    <s v="1741-0401"/>
    <s v="1758-6658"/>
    <s v=""/>
    <s v="INT J PRODUCT PERFOR"/>
    <s v="Int. J. Product Perform. Manag."/>
    <s v="JUN 2"/>
    <x v="2"/>
    <n v="70"/>
    <n v="5"/>
    <s v=""/>
    <s v=""/>
    <s v=""/>
    <s v=""/>
    <n v="1072"/>
    <n v="1091"/>
    <s v=""/>
    <s v="10.1108/IJPPM-06-2020-0318"/>
    <s v="http://dx.doi.org/10.1108/IJPPM-06-2020-0318"/>
    <s v=""/>
    <s v="APR 2021"/>
    <n v="20"/>
    <x v="8"/>
    <x v="2"/>
    <s v="Business &amp; Economics"/>
    <s v="SO1KJ"/>
    <s v=""/>
    <s v=""/>
    <s v=""/>
    <s v=""/>
    <s v="2023-11-15"/>
    <s v="WOS:000637705700001"/>
    <s v="View Full Record in Web of Science"/>
    <m/>
  </r>
  <r>
    <x v="323"/>
    <s v="J"/>
    <x v="44"/>
    <s v=""/>
    <s v=""/>
    <s v=""/>
    <s v="Gaynor, SoRelle Wyckoff; Gimpel, James G."/>
    <s v=""/>
    <s v=""/>
    <x v="321"/>
    <x v="234"/>
    <s v=""/>
    <s v=""/>
    <s v="English"/>
    <s v="Article; Early Access"/>
    <s v=""/>
    <s v=""/>
    <s v=""/>
    <s v=""/>
    <s v=""/>
    <x v="303"/>
    <x v="248"/>
    <s v="This research examines variation in response to mass email communications by a large and sophisticated political campaign over the course of the 2018 election cycle. Computational text analysis is utilized to generate and catalogue the most frequent themes across a body of 690 separate email messages. We find open rates vary somewhat by the subject key words of messages as well as when they were sent. In addition, small donations received through email are also responsive to the contents of messages, controlling for timing and other relevant factors. Given the very low cost associated with using email to communicate with supporters, it appears to be an effective means for harvesting small contributions and of providing opportunities for large numbers of voters to elevate their level of participation in the electoral process."/>
    <s v="[Gaynor, SoRelle Wyckoff; Gimpel, James G.] Univ Maryland, 3140 Tydings Hall, College Pk, MD 20742 USA"/>
    <s v="University System of Maryland; University of Maryland College Park"/>
    <s v="Gimpel, JG (corresponding author), Univ Maryland, 3140 Tydings Hall, College Pk, MD 20742 USA."/>
    <s v="jgimpel@umd.edu"/>
    <s v=""/>
    <s v="Gaynor, SoRelle/0000-0003-3545-6182"/>
    <s v=""/>
    <s v=""/>
    <s v=""/>
    <s v=""/>
    <n v="56"/>
    <n v="2"/>
    <n v="2"/>
    <n v="2"/>
    <n v="4"/>
    <s v="ROUTLEDGE JOURNALS, TAYLOR &amp; FRANCIS LTD"/>
    <s v="ABINGDON"/>
    <s v="2-4 PARK SQUARE, MILTON PARK, ABINGDON OX14 4RN, OXON, ENGLAND"/>
    <s v="1537-7857"/>
    <s v="1537-7865"/>
    <s v=""/>
    <s v="J POLITICAL MARKETIN"/>
    <s v="J. Political Marketing"/>
    <s v="2021 APR 1"/>
    <x v="2"/>
    <s v=""/>
    <s v=""/>
    <s v=""/>
    <s v=""/>
    <s v=""/>
    <s v=""/>
    <s v=""/>
    <s v=""/>
    <s v=""/>
    <s v="10.1080/15377857.2021.1910611"/>
    <s v="http://dx.doi.org/10.1080/15377857.2021.1910611"/>
    <s v=""/>
    <s v="APR 2021"/>
    <n v="23"/>
    <x v="35"/>
    <x v="2"/>
    <s v="Government &amp; Law"/>
    <s v="RX9CZ"/>
    <s v=""/>
    <s v=""/>
    <s v=""/>
    <s v=""/>
    <s v="2023-11-15"/>
    <s v="WOS:000647515900001"/>
    <s v="View Full Record in Web of Science"/>
    <m/>
  </r>
  <r>
    <x v="324"/>
    <s v="J"/>
    <x v="320"/>
    <s v=""/>
    <s v=""/>
    <s v=""/>
    <s v="Harvey, Savanna"/>
    <s v=""/>
    <s v=""/>
    <x v="322"/>
    <x v="235"/>
    <s v=""/>
    <s v=""/>
    <s v="English"/>
    <s v="Article"/>
    <s v=""/>
    <s v=""/>
    <s v=""/>
    <s v=""/>
    <s v=""/>
    <x v="304"/>
    <x v="1"/>
    <s v="When working on audience development for her ecotheatre show, Wastelands, Savanna Harvey was provided the opportunity to reflect on the limitations of the word 'theatre.' In an analysis founded in reader-response theory, social justice, semiotics, lived experience, and digital strategy, this article challenges the contemporary linguistic utility of the word 'theatre.' To bring her analysis outside of theory and into practice, Harvey demonstrates how this communications gap impacts audience development. She delineates how the linguistic limitations of the word 'theatre' could negatively impact face-to-face interactions, marketing materials and copywriting, and digital discoverability. When producing a piece of theatre for the environment or other justice-driven causes, the urgency of the call to action should take precedence over any nostalgia or sensibility attached to the word 'theatre.' To this end, Harvey suggests applying a more accessible and liminal terminology, one that carries less historical baggage, bypassing barriers to audience engagement for certain audience members."/>
    <s v=""/>
    <s v=""/>
    <s v=""/>
    <s v=""/>
    <s v=""/>
    <s v=""/>
    <s v=""/>
    <s v=""/>
    <s v=""/>
    <s v=""/>
    <n v="4"/>
    <n v="0"/>
    <n v="0"/>
    <n v="0"/>
    <n v="2"/>
    <s v="UNIV TORONTO PRESS INC"/>
    <s v="TORONTO"/>
    <s v="JOURNALS DIVISION, 5201 DUFFERIN ST, DOWNSVIEW, TORONTO, ON M3H 5T8, CANADA"/>
    <s v="0315-0836"/>
    <s v="1920-941X"/>
    <s v=""/>
    <s v="CAN THEATRE REV"/>
    <s v="Can. Theatre Rev."/>
    <s v="APR 1"/>
    <x v="2"/>
    <n v="186"/>
    <s v=""/>
    <s v=""/>
    <s v=""/>
    <s v="SI"/>
    <s v=""/>
    <n v="18"/>
    <n v="22"/>
    <s v=""/>
    <s v="10.3138/ctr.186.004"/>
    <s v="http://dx.doi.org/10.3138/ctr.186.004"/>
    <s v=""/>
    <s v=""/>
    <n v="5"/>
    <x v="116"/>
    <x v="5"/>
    <s v="Theater"/>
    <s v="RP8YK"/>
    <s v=""/>
    <s v=""/>
    <s v=""/>
    <s v=""/>
    <s v="2023-11-15"/>
    <s v="WOS:000642009300004"/>
    <s v="View Full Record in Web of Science"/>
    <m/>
  </r>
  <r>
    <x v="325"/>
    <s v="J"/>
    <x v="321"/>
    <s v=""/>
    <s v=""/>
    <s v=""/>
    <s v="McGee, Beth; Leonte, Marie; Wildenhaus, Kevin; Wilcox, Marsha; Reps, Jenna; LaCross, Lauren"/>
    <s v=""/>
    <s v=""/>
    <x v="323"/>
    <x v="236"/>
    <s v=""/>
    <s v=""/>
    <s v="English"/>
    <s v="Article"/>
    <s v=""/>
    <s v=""/>
    <s v=""/>
    <s v=""/>
    <s v=""/>
    <x v="305"/>
    <x v="249"/>
    <s v="Background: Collecting longitudinal data during and shortly after pregnancy is difficult, as pregnant women often avoid studies with repeated surveys. In contrast, pregnant women interact with certain websites at multiple stages throughout pregnancy and the postpartum period. This digital connection presents the opportunity to use a website as a way to recruit and enroll pregnant women into a panel study and collect valuable longitudinal data for research. These data can then be used to learn new scientific insights and improve health care. Objective: The objective of this paper is to describe the approaches applied and lessons learned from designing and conducting an online panel for health care research, specifically perinatal mood disorders. Our panel design and approach aimed to recruit a large sample (N=1200) of pregnant women representative of the US population and to minimize attrition over time. Methods: We designed an online panel to enroll participants from the pregnancy and parenting website BabyCenter. We enrolled women into the panel from weeks 4 to 10 of pregnancy (Panel 1) or from weeks 28 to 33 of pregnancy (Panel 2) and administered repeated psychometric assessments from enrollment through 3 months postpartum. We employed a combination of adaptive digital strategies to recruit, communicate with, and build trust with participants to minimize attrition over time. We were transparent at baseline about expectations, used monetary and information-based incentives, and sent personalized reminders to reduce attrition. The approach was participant-centric and leveraged many aspects of flexibility that digital methods afford. Results: We recruited 1179 pregnant women-our target was 1200-during a 26-day period between August 25 and September 19, 2016. Our strategy to recruit participants using adaptive sampling tactics resulted in a large panel that was similar to the US population of pregnant women. Attrition was on par with existing longitudinal observational studies in pregnant populations, and 79.2% (934/1179) of our panel completed another survey after enrollment. There were 736 out of 1179 (62.4%) women who completed at least one assessment in both the prenatal and postnatal periods, and 709 out of 1179 (60.1%) women who completed the final assessment. To validate the data, we compared participation rates and factors of perinatal mood disorders ascertained from this study with prior research, suggesting reliability of our approach. Conclusions: A suitably designed online panel created in partnership with a digital media source that reaches the target audience is a means to leverage a conveniently sized and viable sample for scientific research. Our key lessons learned are as follows: sampling tactics may need to be adjusted to enroll a representative sample, attrition can be reduced by adapting to participants' needs, and study engagement can be boosted by personalizing interactions with the flexibility afforded by digital technologies."/>
    <s v="[McGee, Beth; Leonte, Marie; LaCross, Lauren] BabyCenter LLC, 163 Freelon St, San Francisco, CA 94107 USA; [Wildenhaus, Kevin; Wilcox, Marsha; Reps, Jenna] Janssen Res &amp; Dev LLC, Titusville, NJ USA"/>
    <s v="Johnson &amp; Johnson; Johnson &amp; Johnson USA; Janssen Biotech Inc"/>
    <s v="McGee, B (corresponding author), BabyCenter LLC, 163 Freelon St, San Francisco, CA 94107 USA."/>
    <s v="bethannmcgee@gmail.com"/>
    <s v=""/>
    <s v="Wilcox, Marsha/0000-0001-8339-8621; Wildenhaus, Kevin/0000-0003-4634-1794; LaCross, Lauren/0000-0002-2017-8346; Leonte, Marie/0000-0002-2822-5899"/>
    <s v=""/>
    <s v=""/>
    <s v=""/>
    <s v=""/>
    <n v="22"/>
    <n v="3"/>
    <n v="3"/>
    <n v="0"/>
    <n v="1"/>
    <s v="JMIR PUBLICATIONS, INC"/>
    <s v="TORONTO"/>
    <s v="130 QUEENS QUAY E, STE 1102, TORONTO, ON M5A 0P6, CANADA"/>
    <s v="2561-6722"/>
    <s v=""/>
    <s v=""/>
    <s v="JMIR PEDIATR PARENT"/>
    <s v="JMIR Pediatr. Parent."/>
    <s v="APR-JUN"/>
    <x v="2"/>
    <n v="4"/>
    <n v="2"/>
    <s v=""/>
    <s v=""/>
    <s v=""/>
    <s v=""/>
    <s v=""/>
    <s v=""/>
    <s v="e16280"/>
    <s v="10.2196/16280"/>
    <s v="http://dx.doi.org/10.2196/16280"/>
    <s v=""/>
    <s v=""/>
    <n v="15"/>
    <x v="117"/>
    <x v="2"/>
    <s v="Pediatrics"/>
    <s v="0K0JK"/>
    <n v="33904826"/>
    <s v="Green Published, gold"/>
    <s v=""/>
    <s v=""/>
    <s v="2023-11-15"/>
    <s v="WOS:000780483300002"/>
    <s v="View Full Record in Web of Science"/>
    <m/>
  </r>
  <r>
    <x v="326"/>
    <s v="J"/>
    <x v="322"/>
    <s v=""/>
    <s v=""/>
    <s v=""/>
    <s v="Rendina, H. Jonathon; Talan, Ali J.; Tavella, Nicola F.; Matos, Jonathan Lopez; Jimenez, Ruben H.; Jones, S. Scott; Salfas, Brian; Westmoreland, Drew"/>
    <s v=""/>
    <s v=""/>
    <x v="324"/>
    <x v="237"/>
    <s v=""/>
    <s v=""/>
    <s v="English"/>
    <s v="Article"/>
    <s v=""/>
    <s v=""/>
    <s v=""/>
    <s v=""/>
    <s v=""/>
    <x v="306"/>
    <x v="250"/>
    <s v="The use of digital technologies to conduct large-scale research with limited interaction (i.e., no in-person contact) and objective endpoints (i.e., biological testing) has significant potential for the field of epidemiology, but limited research to date has been published on the successes and challenges of such approaches. We analyzed data from a cohort study of sexual minority men across the United States, collected using digital strategies during a 10-month period from 2017 to 2018. Overall, 113,874 individuals were screened, of whom 26,000 were invited to the study, 10,691 joined the study, and 7,957 completed all enrollment steps, including return of a human immunodeficiency virus-negative sample. We examined group differences in completion of the steps towards enrollment to inform future research and found significant differences according to several factors, including age and race. This study adds to prior work to provide further proof-of-concept for this limited-interaction, technology-mediated methodology, highlighting some of its strengths and challenges, including rapid access to more diverse populations but also potential for bias due to differential enrollment. This method has strong promise, and future implementation research is needed to better understand the roles of burden, privacy, access, and compensation, to enhance representativeness and generalizability of the data generated."/>
    <s v="[Rendina, H. Jonathon; Talan, Ali J.; Tavella, Nicola F.; Matos, Jonathan Lopez; Jimenez, Ruben H.; Jones, S. Scott; Salfas, Brian] CUNY Hunter Coll, Dept Psychol, 695 Pk Ave, New York, NY 10065 USA; [Rendina, H. Jonathon; Matos, Jonathan Lopez] CUNY, Grad Ctr, Hlth Psychol &amp; Clin Sci PhD Program, New York, NY USA; [Westmoreland, Drew] CUNY, Grad Sch Publ Hlth &amp; Hlth Policy, New York, NY 10021 USA"/>
    <s v="City University of New York (CUNY) System; Hunter College (CUNY); City University of New York (CUNY) System; City University of New York (CUNY) System"/>
    <s v="Rendina, HJ (corresponding author), CUNY Hunter Coll, Dept Psychol, 695 Pk Ave, New York, NY 10065 USA."/>
    <s v="hrendina@hunter.cuny.edu"/>
    <s v="Westmoreland, Drew A./GMX-2667-2022; Westmoreland, Drew A./GZG-4428-2022"/>
    <s v="Westmoreland, Drew A./0000-0003-4085-7941;"/>
    <s v="Eunice Kennedy Shriver National Institute of Child Health and Human Development [UG3-AI133674]; National Institute on Drug Abuse [UG3-AI133674]; National Institute of Allergy and Infectious Diseases [UG3-AI133674]; National Institute of Mental Health [UG3-AI133674]"/>
    <s v="Eunice Kennedy Shriver National Institute of Child Health and Human Development(United States Department of Health &amp; Human ServicesNational Institutes of Health (NIH) - USANIH Eunice Kennedy Shriver National Institute of Child Health &amp; Human Development (NICHD)); National Institute on Drug Abuse(United States Department of Health &amp; Human ServicesNational Institutes of Health (NIH) - USANIH National Institute on Drug Abuse (NIDA)); National Institute of Allergy and Infectious Diseases(United States Department of Health &amp; Human ServicesNational Institutes of Health (NIH) - USANIH National Institute of Allergy &amp; Infectious Diseases (NIAID)); National Institute of Mental Health(United States Department of Health &amp; Human ServicesNational Institutes of Health (NIH) - USANIH National Institute of Mental Health (NIMH))"/>
    <s v="This study was supported by a grant jointly awarded by the National Institute of Allergy and Infectious Diseases, National Institute of Mental Health, Eunice Kennedy Shriver National Institute of Child Health and Human Development, and National Institute on Drug Abuse (grant UG3-AI133674, PI: H.J.R.)."/>
    <s v=""/>
    <n v="36"/>
    <n v="13"/>
    <n v="13"/>
    <n v="0"/>
    <n v="2"/>
    <s v="OXFORD UNIV PRESS INC"/>
    <s v="CARY"/>
    <s v="JOURNALS DEPT, 2001 EVANS RD, CARY, NC 27513 USA"/>
    <s v="0002-9262"/>
    <s v="1476-6256"/>
    <s v=""/>
    <s v="AM J EPIDEMIOL"/>
    <s v="Am. J. Epidemiol."/>
    <s v="APR"/>
    <x v="2"/>
    <n v="190"/>
    <n v="4"/>
    <s v=""/>
    <s v=""/>
    <s v=""/>
    <s v=""/>
    <n v="681"/>
    <n v="695"/>
    <s v=""/>
    <s v="10.1093/aje/kwaa226"/>
    <s v="http://dx.doi.org/10.1093/aje/kwaa226"/>
    <s v=""/>
    <s v=""/>
    <n v="15"/>
    <x v="44"/>
    <x v="3"/>
    <s v="Public, Environmental &amp; Occupational Health"/>
    <s v="RT5KA"/>
    <n v="33057684"/>
    <s v="Green Published, hybrid"/>
    <s v=""/>
    <s v=""/>
    <s v="2023-11-15"/>
    <s v="WOS:000644497600020"/>
    <s v="View Full Record in Web of Science"/>
    <m/>
  </r>
  <r>
    <x v="327"/>
    <s v="J"/>
    <x v="323"/>
    <s v=""/>
    <s v=""/>
    <s v=""/>
    <s v="Proksch, Dorian; Rosin, Anna Frieda; Stubner, Stephan; Pinkwart, Andreas"/>
    <s v=""/>
    <s v=""/>
    <x v="325"/>
    <x v="146"/>
    <s v=""/>
    <s v=""/>
    <s v="English"/>
    <s v="Article; Early Access"/>
    <s v=""/>
    <s v=""/>
    <s v=""/>
    <s v=""/>
    <s v=""/>
    <x v="307"/>
    <x v="1"/>
    <s v="A higher degree of digitalization in new ventures' product/service offerings and their processes can lead to a faster time to market and the ability to rapidly scale. Hence, it has the possibility to significantly impact the performance. To increase the degree of digitalization in new ventures, they can implement a digital strategy. Currently there is no evidence if this measure has a strong impact on the degree of digitalization. We therefore empirically investigate the influence of a digital strategy on the degree of digitalization in new ventures' products/services and processes. We analyzed 102 new ventures using SEM. Building on the contingency theory, we show that only having a digital strategy is insufficient to achieve a high degree of digitalization. The digitalization of products/services is partially mediated by digital IT capabilities, and the effect of digital strategy on process digitalization is partially mediated by digital IT capabilities and a digital culture."/>
    <s v="[Proksch, Dorian; Pinkwart, Andreas] HHL Leipzig Grad Sch Management, Stiftungsfond Deutsch Bank Chair Innovat Manageme, Leipzig, Germany; [Proksch, Dorian] Univ Twente, Fac Behav Management &amp; Social Studies, Res Grp Entrepreneurship &amp; Technol Management ETM, Enschede, Netherlands; [Rosin, Anna Frieda; Stubner, Stephan] HHL Leipzig Grad Sch Management, Porsche Chair Strateg Management &amp; Digital Entrep, Leipzig, Germany"/>
    <s v="HHL Leipzig Graduate School of Management; University of Twente; HHL Leipzig Graduate School of Management"/>
    <s v="Proksch, D (corresponding author), Fac Behav Management &amp; Social Studies, RA2109,POB 217, NL-7500 AE Enschede, Netherlands."/>
    <s v="d.e.proksch@utwente.nl"/>
    <s v=""/>
    <s v="Proksch, Dorian/0000-0002-8252-3248"/>
    <s v=""/>
    <s v=""/>
    <s v=""/>
    <s v=""/>
    <n v="110"/>
    <n v="38"/>
    <n v="39"/>
    <n v="53"/>
    <n v="394"/>
    <s v="TAYLOR &amp; FRANCIS INC"/>
    <s v="PHILADELPHIA"/>
    <s v="530 WALNUT STREET, STE 850, PHILADELPHIA, PA 19106 USA"/>
    <s v="0047-2778"/>
    <s v="1540-627X"/>
    <s v=""/>
    <s v="J SMALL BUS MANAGE"/>
    <s v="J. Small Bus. Manag."/>
    <s v="2021 MAR 18"/>
    <x v="2"/>
    <s v=""/>
    <s v=""/>
    <s v=""/>
    <s v=""/>
    <s v=""/>
    <s v=""/>
    <s v=""/>
    <s v=""/>
    <s v=""/>
    <s v="10.1080/00472778.2021.1883036"/>
    <s v="http://dx.doi.org/10.1080/00472778.2021.1883036"/>
    <s v=""/>
    <s v="MAR 2021"/>
    <n v="29"/>
    <x v="8"/>
    <x v="1"/>
    <s v="Business &amp; Economics"/>
    <s v="QX5YO"/>
    <s v=""/>
    <s v="Green Published"/>
    <s v=""/>
    <s v=""/>
    <s v="2023-11-15"/>
    <s v="WOS:000629423000001"/>
    <s v="View Full Record in Web of Science"/>
    <m/>
  </r>
  <r>
    <x v="328"/>
    <s v="J"/>
    <x v="324"/>
    <s v=""/>
    <s v=""/>
    <s v=""/>
    <s v="Mikheev, Alexey; Serkina, Yana; Vasyaev, Alexander"/>
    <s v=""/>
    <s v=""/>
    <x v="326"/>
    <x v="238"/>
    <s v=""/>
    <s v=""/>
    <s v="English"/>
    <s v="Article; Retracted Publication"/>
    <s v=""/>
    <s v=""/>
    <s v=""/>
    <s v=""/>
    <s v=""/>
    <x v="308"/>
    <x v="1"/>
    <s v="This research aimed to analyze the current trends in the digital transformation of educational institutions. The investigation lasted from November 2019 to May 2020 and was based on three higher educational institutions (HEIs) in the Russian Federation: Belgorod State University, Moscow State Institute of International Relations, and Kutafin Moscow State Law University. The number of respondents enrolled was 420 people. In an attempt to bring together views and experiences of different actors of the educational sector, three individual online surveys were conducted among administrative staff, teachers, and students of mentioned educational institutions. All respondents were provided with questionnaires aimed at identifying current trends in educational paradigm transformation and studying the extent to which digital strategies are applied in the process of HEIs' development. The detailed analysis of survey outcomes allowed indicating positive and negative trends in digitalization of educational processes from the perspective of university administrative staff, teachers, and students. Positive trends were: ensuring the availability of higher education through the implementation of full-fledged distance learning courses; enhancing the students' experience through the introduction of innovative teaching methods; providing open access to educational resources and research results; opportunity to participate in global open science initiatives; and reduction of higher education cost to ensure its accessibility and mass scale. The barriers to the digital transformation of the educational sphere were: lack of funds for the implementation of a comprehensive digital transformation strategy; resistance to changes on the part of the staff; and a low level of confidence in technological solutions used in teaching practice. As a result, the conducted investigation uncovered the essence of digital transformation in the institutional structures of the higher education sector. However, given that digitalization is a complex process affecting most spheres of socio-economic interaction, consideration of only positive and negative digital transformation trends is insufficient to thoroughly analyze global digital shifts and the formation of national vectors for digital society development."/>
    <s v="[Mikheev, Alexey] MGIMO Univ, Dept Publ Adm, Moscow, Russia; [Serkina, Yana] Belgorod State Natl Res Univ, Dept Management &amp; Mkt, Belgorod, Russia; [Vasyaev, Alexander] Moscow State Law Univ, Dept Advocacy, Moscow, Russia"/>
    <s v="MGIMO University; Belgorod State University; Kutafin Moscow State Law University"/>
    <s v="Mikheev, A (corresponding author), MGIMO Univ, Dept Publ Adm, Moscow, Russia."/>
    <s v="mikheevalex87@rambler.ru"/>
    <s v="Serkina, Yana/O-4544-2017; Mikheev, Alexey/AAR-8829-2021"/>
    <s v="Serkina, Yana/0000-0002-5106-7104; Mikheev, Alexey/0000-0002-9875-8172"/>
    <s v=""/>
    <s v=""/>
    <s v=""/>
    <s v=""/>
    <n v="28"/>
    <n v="15"/>
    <n v="16"/>
    <n v="10"/>
    <n v="128"/>
    <s v="SPRINGER"/>
    <s v="NEW YORK"/>
    <s v="ONE NEW YORK PLAZA, SUITE 4600, NEW YORK, NY, UNITED STATES"/>
    <s v="1360-2357"/>
    <s v="1573-7608"/>
    <s v=""/>
    <s v="EDUC INF TECHNOL"/>
    <s v="Educ. Inf. Technol."/>
    <s v="JUL"/>
    <x v="2"/>
    <n v="26"/>
    <n v="4"/>
    <s v=""/>
    <s v=""/>
    <s v=""/>
    <s v=""/>
    <n v="4537"/>
    <n v="4551"/>
    <s v=""/>
    <s v="10.1007/s10639-021-10467-6"/>
    <s v="http://dx.doi.org/10.1007/s10639-021-10467-6"/>
    <s v=""/>
    <s v="MAR 2021"/>
    <n v="15"/>
    <x v="39"/>
    <x v="1"/>
    <s v="Education &amp; Educational Research"/>
    <s v="TL6AD"/>
    <s v=""/>
    <s v="Green Submitted"/>
    <s v=""/>
    <s v=""/>
    <s v="2023-11-15"/>
    <s v="WOS:000626820200001"/>
    <s v="View Full Record in Web of Science"/>
    <m/>
  </r>
  <r>
    <x v="329"/>
    <s v="J"/>
    <x v="325"/>
    <s v=""/>
    <s v=""/>
    <s v=""/>
    <s v="Marin Duenas, Pedro Pablo; Gomez Carmona, Diego"/>
    <s v=""/>
    <s v=""/>
    <x v="327"/>
    <x v="239"/>
    <s v=""/>
    <s v=""/>
    <s v="Spanish"/>
    <s v="Article"/>
    <s v=""/>
    <s v=""/>
    <s v=""/>
    <s v=""/>
    <s v=""/>
    <x v="309"/>
    <x v="1"/>
    <s v="Today, communication has become an indispensable condition for achieving a favourable position in society and business success. The Internet has marked a before and after in developing marketing and communication strategies that organisations implement to relate with the population. The increase in the use of New Technologies Information and Communication (NTIC) by the population contributes to increasing the effectiveness of companies' online communication tools, allowing a bidirectional relationship with consumers and enhancing a better relationship between the organisation and its target audience. Cooperatives, which, even though they are social economy organisations, are ultimately companies and as such depend on the sale of products and services for their development, cannot and should not ignore this new reality, which imposes new forms, different from those used until now and in which the role between sender and receiver is exchanged. Given the importance that Spanish cooperatives have for the development of local economies and their social relevance for the environment in which they are integrated (Monzon and Chaves, 2017; Chaves, Monzon and Zaragoza, 2013; Puentes and Velasco, 2009), this research on the management of digital communication by cooperatives is necessary. The purpose is to analyse the importance that cooperatives give to the development of online communication strategies. Specifically, the general objective of the study is to analyse how cooperatives manage their digital communication. It is articulated in a series of specific objectives that complement it and serve as a basis for the design of the research and the choice of methodological tools to be implemented during the development of the same. To measure the degree of importance that cooperatives attach to communication. To analyse whether cooperatives plan their digital communication. O.E.3. Find out who manages the digital communication of the cooperatives. O.E.4. Determine the level of investment in digital communication by the cooperatives. O.E.5. To analyse how cooperatives manage digital communication. The work used an online survey based on a structured questionnaire. This methodological instrument will allow the proposed objectives to be achieved. Self-reporting consists of obtaining observable data on variables of interest from the population under study in an orderly and systematic way. This quantitative tool is one of the best known and one of the most complete of those used by communication researchers. From a scientific perspective, it is undoubtedly a valuable instrument for understanding social and business reality. In this sense, it is widely used in social science research. The variables studied and measured were: Importance of communication Level of investment Communication planning Assumption of tasks Definition of objectives Strategies Presence in Social media Social media followers Implementation of actions. The final questionnaire was implemented through the Google Forms tool. The final sample, made up of 338 cooperatives from all over Spain, was selected through non-probabilistic convenience sampling. The results suggest that those cooperatives that implement adequate online communication management will have a particular advantage and will be better positioned to compete in the market. Although cooperatives allocate few economic resources to online communication, it is found that the higher the percentage of investment in communication, the more importance cooperatives attach to communication. Moreover, their management from a planned and strategic perspective is insufficient. In this sense, the cooperatives that consider this activity to be very relevant have more plans of this type. The findings show that it is not the cooperatives with the largest number of employees or those operating in the international market that attaches most importance to communication. Although cooperatives tend to increase the importance of communication as the number of employees grows, it seems that this pattern slows down in those with between 50 and 249 workers and more than 500 employees. From a positive point of view, it should be understood that the communication objectives are considered to incorporate rather than commercial terms, and improving the image, achieving notoriety and building customer loyalty stand out among the objectives of these companies, above other more market-oriented objectives such as promoting and selling products and services. In this sense, one shortcoming has to do with internal communication. Due to their eminently social and democratic nature, these organisations are a key element in which cooperative members do not set their communication objectives in terms of internal communication. The cooperatives choose to promote the web as an information portal ahead of more interactive strategies in line with web 2.0, especially social media, about the development of digital communication strategies. Finally, neither do the cooperatives studied develop critical actions in the management of digital communication, such as measuring the return on investment or studying non-economic KPIs, which are fundamental when analysing the strategies being developed. For all these reasons, it can be stated that the cooperatives analysed are at a medium-low level in terms of their digital communication management. Lack of investment and planning, preference for the web over social media or paid advertising and lack of measurement allow us to affirm that the cooperatives should boost their digital communication much more and promote it through investment and strategic plans. Given these results, things have not changed much and currently; cooperatives still do not have a strategic vision of their (digital) communication, being scarce the resources they devote to it both in terms of planning and investment, which results in low visibility of these organisations within society to help their development and growth. There is little research that has tried to analyse the digital strategies developed by cooperatives to our knowledge. This work provides information from a large part of the target population, so the findings are robust and generalisable. The study results highlight the reality of Spanish cooperatives concerning their communication strategies and their current short-comings."/>
    <s v="[Marin Duenas, Pedro Pablo; Gomez Carmona, Diego] Univ Cadiz, Cadiz, Spain"/>
    <s v="Universidad de Cadiz"/>
    <s v="Dueñas, PPM (corresponding author), Univ Cadiz, Cadiz, Spain."/>
    <s v="pablo.marin@uca.es; diego.gomez@uca.es"/>
    <s v="Gómez-Carmona, Diego/AAP-3488-2021"/>
    <s v=""/>
    <s v=""/>
    <s v=""/>
    <s v=""/>
    <s v=""/>
    <n v="59"/>
    <n v="2"/>
    <n v="2"/>
    <n v="6"/>
    <n v="32"/>
    <s v="CIRIEC-ESPANA"/>
    <s v="VALENCIA"/>
    <s v="AVE NARANJOS, S-N, EDIF DEP ORIENTAL 2P21, VALENCIA, 46022, SPAIN"/>
    <s v="0213-8093"/>
    <s v="1989-6816"/>
    <s v=""/>
    <s v="CIRIEC"/>
    <s v="CIRIEC"/>
    <s v="MAR"/>
    <x v="2"/>
    <n v="101"/>
    <s v=""/>
    <s v=""/>
    <s v=""/>
    <s v=""/>
    <s v=""/>
    <n v="193"/>
    <n v="225"/>
    <s v=""/>
    <s v="10.7203/CIRIEC-E.101.17638"/>
    <s v="http://dx.doi.org/10.7203/CIRIEC-E.101.17638"/>
    <s v=""/>
    <s v=""/>
    <n v="33"/>
    <x v="15"/>
    <x v="2"/>
    <s v="Business &amp; Economics"/>
    <s v="RH8OT"/>
    <s v=""/>
    <s v="gold, Green Submitted"/>
    <s v=""/>
    <s v=""/>
    <s v="2023-11-15"/>
    <s v="WOS:000636471400008"/>
    <s v="View Full Record in Web of Science"/>
    <m/>
  </r>
  <r>
    <x v="330"/>
    <s v="J"/>
    <x v="326"/>
    <s v=""/>
    <s v=""/>
    <s v=""/>
    <s v="Knudsen, Karen E.; Willman, Cheryl; Winn, Robert"/>
    <s v=""/>
    <s v=""/>
    <x v="328"/>
    <x v="240"/>
    <s v=""/>
    <s v=""/>
    <s v="English"/>
    <s v="Article"/>
    <s v=""/>
    <s v=""/>
    <s v=""/>
    <s v=""/>
    <s v=""/>
    <x v="8"/>
    <x v="251"/>
    <s v="Utilization of telehealth as part of the cancer care delivery continuum dramatically escalated in response to the COVID-19 pandemic at major cancer centers across the globe. The rapid shift toward telehealth visits for nontreatment cancer care provided immediate benefit through reducing unnecessary risk of exposure, overcoming transportation barriers faced by both patients and caregivers, and fast-tracking care transformation. As such, delineating the impact of telehealth on access, health equity, quality, and outcomes will be essential for refining the use of digital strategies and telehealth toward optimizing cancer care. Herein, experiences to date with telehealth usage for oncology care are reviewed, and priorities are outlined for postpandemic opportunities to improve the lives of patients with cancer through telemedicine."/>
    <s v="[Knudsen, Karen E.] Jefferson Hlth, Sidney Kimmel Canc Ctr, 233 S 10th St,Bluemle BLSB 1050, Philadelphia, PA 19107 USA; [Knudsen, Karen E.] Thomas Jefferson Univ, Philadelphia, PA 19107 USA; [Willman, Cheryl] Univ New Mexico, Comprehens Canc Ctr, Albuquerque, NM 87131 USA; [Winn, Robert] Virginia Commonwealth Univ, Massey Canc Ctr, Richmond, VA USA"/>
    <s v="Jefferson University; Jefferson University; University of New Mexico; Virginia Commonwealth University"/>
    <s v="Knudsen, KE (corresponding author), Jefferson Hlth, Sidney Kimmel Canc Ctr, 233 S 10th St,Bluemle BLSB 1050, Philadelphia, PA 19107 USA."/>
    <s v="karen.knudsen@jefferson.edu"/>
    <s v=""/>
    <s v="Winn, Robert A/0000-0001-5948-9291"/>
    <s v="NCI [P30 CA05560]"/>
    <s v="NCI(United States Department of Health &amp; Human ServicesNational Institutes of Health (NIH) - USANIH National Cancer Institute (NCI))"/>
    <s v="The authors would like to thank the oncology and telehealth teams at our respective institutions who have worked tirelessly to ensure rapid access to continued cancer care during the ongoing global pandemic. Particular appreciation is also extended to Drs. A.M. Lopez, A. Chapman, J. Hollander, and A. Leader in addition to V. Cisk, J. Palidora, and A. Khariton (Sidney Kimmel Cancer Center at Jefferson Health) for expert leadership and ongoing discussions regarding telehealth refinement. This work was funded, in part, by a supplement award to the Cancer Center Support grant P30 CA05560 (to principal investigator, K.E. Knudsen) provided by the NCI."/>
    <s v=""/>
    <n v="26"/>
    <n v="27"/>
    <n v="27"/>
    <n v="1"/>
    <n v="6"/>
    <s v="AMER ASSOC CANCER RESEARCH"/>
    <s v="PHILADELPHIA"/>
    <s v="615 CHESTNUT ST, 17TH FLOOR, PHILADELPHIA, PA 19106-4404 USA"/>
    <s v="1078-0432"/>
    <s v="1557-3265"/>
    <s v=""/>
    <s v="CLIN CANCER RES"/>
    <s v="Clin. Cancer Res."/>
    <s v="FEB 15"/>
    <x v="2"/>
    <n v="27"/>
    <n v="4"/>
    <s v=""/>
    <s v=""/>
    <s v=""/>
    <s v=""/>
    <n v="933"/>
    <n v="936"/>
    <s v=""/>
    <s v="10.1158/1078-0432.CCR-20-3758"/>
    <s v="http://dx.doi.org/10.1158/1078-0432.CCR-20-3758"/>
    <s v=""/>
    <s v=""/>
    <n v="4"/>
    <x v="118"/>
    <x v="0"/>
    <s v="Oncology"/>
    <s v="QK1VB"/>
    <n v="33229457"/>
    <s v="Green Accepted, Bronze"/>
    <s v=""/>
    <s v=""/>
    <s v="2023-11-15"/>
    <s v="WOS:000620168400008"/>
    <s v="View Full Record in Web of Science"/>
    <m/>
  </r>
  <r>
    <x v="331"/>
    <s v="J"/>
    <x v="327"/>
    <s v=""/>
    <s v=""/>
    <s v=""/>
    <s v="El Said, Ghada Refaat"/>
    <s v=""/>
    <s v=""/>
    <x v="329"/>
    <x v="241"/>
    <s v=""/>
    <s v=""/>
    <s v="English"/>
    <s v="Article"/>
    <s v=""/>
    <s v=""/>
    <s v=""/>
    <s v=""/>
    <s v=""/>
    <x v="8"/>
    <x v="1"/>
    <s v="COVID-19 has dramatically reshaped the way global education is delivered. Millions of learners were affected by educational institution closures due to the pandemic, which resulted in the largest online movement in the history of education. With this sudden shift away from classrooms in many parts of the globe, universities had to rapidly shift to virtual and digital strategies. Many believe that the adoption of online distance learning will persist after pandemic. A new hybrid model of education is expected to emerge, and, given the digital divide, new shifts in education approaches could widen equality gaps. This is one of the first empirical studies investigating the effect of the sudden shift from face-to-face to online distance learning due to COVID-19 lockdown at one of the universities in Egypt. Comparison of grades was made between 376 business students who completed a face-to-face course in spring 2019 and 372 students who completed the same course but fully online via distance learning mode in spring 2020 during the lockdown. T-test was conducted to compare grades of quizzes, course work, and final exam for the two groups. Chi-square test was used to compare grade distribution for both groups. The effect of gender, credit hours, age, and CGPA was assessed. The results suggested that there was no statistically significant difference in students' grades. In addition, the unplanned and rapid move to online distance learning at the time of pandemic did not result in a poor learning experience as was expected. The study also included a survey of 435 students and interviews with a sample of professors about their learning and teaching experience during the lockdown. The results of this study provide specific recommendations for universities, instructors, and higher education portal designers about future application of online distance learning. Since Egypt decided to make the shift to online distant learning in all future higher education plans, the results of this research would be especially vital for universities in Egypt and other developing countries. If administered correctly, this shift could lead to a larger learner population, more cost efficiencies, and more university revenue."/>
    <s v="[El Said, Ghada Refaat] Future Univ Egypt FUE, Dept Management Informat Syst, 90th St,Fifth Settlement, New Cairo, Egypt"/>
    <s v="Egyptian Knowledge Bank (EKB); Future University in Egypt"/>
    <s v="El Said, GR (corresponding author), Future Univ Egypt FUE, Dept Management Informat Syst, 90th St,Fifth Settlement, New Cairo, Egypt."/>
    <s v="ghada.refaat@fue.edu.eg"/>
    <s v=""/>
    <s v="El Said, Ghada Refaat/0000-0001-9624-5229"/>
    <s v=""/>
    <s v=""/>
    <s v=""/>
    <s v=""/>
    <n v="24"/>
    <n v="79"/>
    <n v="79"/>
    <n v="3"/>
    <n v="23"/>
    <s v="HINDAWI LTD"/>
    <s v="LONDON"/>
    <s v="ADAM HOUSE, 3RD FLR, 1 FITZROY SQ, LONDON, W1T 5HF, ENGLAND"/>
    <s v="1687-5893"/>
    <s v="1687-5907"/>
    <s v=""/>
    <s v="ADV HUM-COMPUT INTER"/>
    <s v="Adv. Hum-Comput. Interact."/>
    <s v="FEB 10"/>
    <x v="2"/>
    <n v="2021"/>
    <s v=""/>
    <s v=""/>
    <s v=""/>
    <s v=""/>
    <s v=""/>
    <s v=""/>
    <s v=""/>
    <n v="6649524"/>
    <s v="10.1155/2021/6649524"/>
    <s v="http://dx.doi.org/10.1155/2021/6649524"/>
    <s v=""/>
    <s v=""/>
    <n v="10"/>
    <x v="17"/>
    <x v="2"/>
    <s v="Computer Science"/>
    <s v="QM0EH"/>
    <s v=""/>
    <s v="gold"/>
    <s v=""/>
    <s v=""/>
    <s v="2023-11-15"/>
    <s v="WOS:000621451400001"/>
    <s v="View Full Record in Web of Science"/>
    <m/>
  </r>
  <r>
    <x v="332"/>
    <s v="J"/>
    <x v="328"/>
    <s v=""/>
    <s v=""/>
    <s v=""/>
    <s v="Appolloni, Andrea; Colasanti, Nathalie; Fantauzzi, Chiara; Fiorani, Gloria; Frondizi, Rocco"/>
    <s v=""/>
    <s v=""/>
    <x v="330"/>
    <x v="4"/>
    <s v=""/>
    <s v=""/>
    <s v="English"/>
    <s v="Article"/>
    <s v=""/>
    <s v=""/>
    <s v=""/>
    <s v=""/>
    <s v=""/>
    <x v="310"/>
    <x v="1"/>
    <s v="The purpose of this paper is to analyze the strategic model of distance learning adopted by Italian higher education, showing how the health emergency due to Covid-19 has transformed it from an optional for traditional universities to the only means to ensure public health protection and continuity in education programs. Comparing two situations (before and during the pandemic), the aim is to identify best practices that, even after the end of the emergency, can be adopted by Italian higher education institutions to boost their digital supply and compete in an international context. After a general context analysis, aimed to underline benefits and risks connected to the development of distance learning, the case of the Italian higher education system has been analyzed. Data were collected through a documentary analysis, looking at what Italian higher education institutions disclosed through their official websites and documents: every form of communication about digital strategy was taken into account. Then, they were analyzed qualitatively, in order to individuate which platforms have been combined to ensure quality in education provided. Research findings demonstrate the resilience of the Italian higher education, able to react and to re-organize itself in only one week: the results of the pandemic may be a stronger university, able to combine quality in education with the potential of technological devices and to compete at the international level. Distance learning represents a complex field, still characterized by separated understandings and in a context where limited attention has been dedicated to its development for what concerns the Italian context, the choice to examine it represents the originality of this paper."/>
    <s v="[Appolloni, Andrea; Colasanti, Nathalie; Fantauzzi, Chiara; Fiorani, Gloria; Frondizi, Rocco] Univ Roma Tor Vergata, Dept Management &amp; Law, I-00133 Rome, Italy; [Appolloni, Andrea] Natl Res Council CNR, Inst Res Innovat &amp; Serv Dev IRISS, I-80134 Naples, Italy"/>
    <s v="University of Rome Tor Vergata; Consiglio Nazionale delle Ricerche (CNR); Istituto di Ricerca su Innovazione e Servizi per lo Sviluppo (IRISS-CNR)"/>
    <s v="Appolloni, A (corresponding author), Univ Roma Tor Vergata, Dept Management &amp; Law, I-00133 Rome, Italy.;Appolloni, A (corresponding author), Natl Res Council CNR, Inst Res Innovat &amp; Serv Dev IRISS, I-80134 Naples, Italy."/>
    <s v="andrea.appolloni@uniroma2.it; nathalie.colasanti@uniroma2.it; chiara.fantauzzi@uniroma2.it; gloria.fiorani@uniroma2.it; rocco.frondizi@uniroma2.it"/>
    <s v="Appolloni, Andrea/L-3607-2014; Frondizi, Rocco/ABH-3850-2020; Fantauzzi, Chiara/HTR-6656-2023"/>
    <s v="Appolloni, Andrea/0000-0001-5741-398X; Frondizi, Rocco/0000-0002-9913-349X;"/>
    <s v="University of Rome Tor Vergata, Department of Management and Law; MARIS Master Program in Reporting Innovation Sustainability"/>
    <s v="University of Rome Tor Vergata, Department of Management and Law; MARIS Master Program in Reporting Innovation Sustainability"/>
    <s v="This research was supported and funded by the University of Rome Tor Vergata, Department of Management and Law by the research project named Sustainable Development and by the MARIS Master Program in Reporting Innovation Sustainability."/>
    <s v=""/>
    <n v="50"/>
    <n v="32"/>
    <n v="33"/>
    <n v="2"/>
    <n v="18"/>
    <s v="MDPI"/>
    <s v="BASEL"/>
    <s v="ST ALBAN-ANLAGE 66, CH-4052 BASEL, SWITZERLAND"/>
    <s v=""/>
    <s v="2071-1050"/>
    <s v=""/>
    <s v="SUSTAINABILITY-BASEL"/>
    <s v="Sustainability"/>
    <s v="FEB"/>
    <x v="2"/>
    <n v="13"/>
    <n v="3"/>
    <s v=""/>
    <s v=""/>
    <s v=""/>
    <s v=""/>
    <s v=""/>
    <s v=""/>
    <n v="1388"/>
    <s v="10.3390/su13031388"/>
    <s v="http://dx.doi.org/10.3390/su13031388"/>
    <s v=""/>
    <s v=""/>
    <n v="12"/>
    <x v="4"/>
    <x v="3"/>
    <s v="Science &amp; Technology - Other Topics; Environmental Sciences &amp; Ecology"/>
    <s v="QD6KT"/>
    <s v=""/>
    <s v="gold, Green Published"/>
    <s v=""/>
    <s v=""/>
    <s v="2023-11-15"/>
    <s v="WOS:000615625200001"/>
    <s v="View Full Record in Web of Science"/>
    <m/>
  </r>
  <r>
    <x v="333"/>
    <s v="J"/>
    <x v="329"/>
    <s v=""/>
    <s v=""/>
    <s v=""/>
    <s v="Bonfanti, Silvia; Guerra, Roberto; Zaiser, Michael; Zapperi, Stefano"/>
    <s v=""/>
    <s v=""/>
    <x v="331"/>
    <x v="242"/>
    <s v=""/>
    <s v=""/>
    <s v="English"/>
    <s v="Article"/>
    <s v=""/>
    <s v=""/>
    <s v=""/>
    <s v=""/>
    <s v=""/>
    <x v="8"/>
    <x v="252"/>
    <s v="Designing materials with tailored structural or functional properties is a fundamental goal of materials science and engineering. A vast research activity is currently devoted to achieving metamaterials with superior properties and optimized functionalities by carefully fine tuning both the microstructure and geometry of the material. Here, we discuss the impact of digital technologies in this research field by providing fast and cost effective tools to explore a large array of possibilities for materials and metamaterials. We report on recent progress obtained by combining numerical simulations, optimization techniques, artificial intelligence, and additive manufacturing methods and highlight promising research lines. The exploration of the space of possible material microstructures and geometries is reminiscent of the process of biological evolution in which traits are explored and selected according to their fitness. Biomimetic materials have long profited from adapting features of biological systems to the design of new materials and structures. Combining biomimetic approaches with digital simulation and optimization and with high throughput fabrication and characterization techniques may provide a step change in the evolutionary development of new materials. (c) 2021 Author(s). All article content, except where otherwise noted, is licensed under a Creative Commons Attribution (CC BY) license (http://creativecommons.org/licenses/by/4.0/)."/>
    <s v="[Bonfanti, Silvia; Guerra, Roberto; Zapperi, Stefano] Univ Milan, Dept Phys, Ctr Complex &amp; Biosyst, Via Celoria 16, I-20133 Milan, Italy; [Zaiser, Michael] Friedrich Alexander Univ Erlangen Nurnberg, Dept Mat Sci, Inst Mat Simulat, Dr Mack Str 77, D-90762 Furth, Germany; [Zapperi, Stefano] CNR, Ist Chim Mat Condensata &amp; Tecnol Energia, Via R Cozzi 53, I-20125 Milan, Italy"/>
    <s v="University of Milan; University of Erlangen Nuremberg; Consiglio Nazionale delle Ricerche (CNR); Istituto di Chimica della Materia Condensata e di Tecnologie per l Energia (ICMATE-CNR)"/>
    <s v="Zapperi, S (corresponding author), Univ Milan, Dept Phys, Ctr Complex &amp; Biosyst, Via Celoria 16, I-20133 Milan, Italy.;Zapperi, S (corresponding author), CNR, Ist Chim Mat Condensata &amp; Tecnol Energia, Via R Cozzi 53, I-20125 Milan, Italy."/>
    <s v="zaiser@fau.de; stefano.zapperi@unimi.it"/>
    <s v="Bonfanti, Silvia/ABF-7621-2021; Zapperi, Stefano/C-9473-2009"/>
    <s v="Bonfanti, Silvia/0000-0002-0323-8714; Zapperi, Stefano/0000-0001-5692-5465; Guerra, Roberto/0000-0002-1278-8021"/>
    <s v="European Research Council [841640 METADESIGN]; Alexander von Humboldt Foundation"/>
    <s v="European Research Council(European Research Council (ERC)); Alexander von Humboldt Foundation(Alexander von Humboldt Foundation)"/>
    <s v="S.B., R.G., and S.Z. were supported by the European Research Council through the Proof of Concept Grant 841640 METADESIGN. S.Z. also acknowledges support from the Alexander von Humboldt Foundation through the Humboldt Research Award and thanks Friedrich-Alexander-Universitat Erlangen-Nurnberg for hospitality."/>
    <s v=""/>
    <n v="160"/>
    <n v="8"/>
    <n v="8"/>
    <n v="2"/>
    <n v="39"/>
    <s v="AIP Publishing"/>
    <s v="MELVILLE"/>
    <s v="1305 WALT WHITMAN RD, STE 300, MELVILLE, NY 11747-4501 USA"/>
    <s v="2166-532X"/>
    <s v=""/>
    <s v=""/>
    <s v="APL MATER"/>
    <s v="APL Mater."/>
    <s v="FEB 1"/>
    <x v="2"/>
    <n v="9"/>
    <n v="2"/>
    <s v=""/>
    <s v=""/>
    <s v=""/>
    <s v=""/>
    <s v=""/>
    <s v=""/>
    <n v="20904"/>
    <s v="10.1063/5.0026817"/>
    <s v="http://dx.doi.org/10.1063/5.0026817"/>
    <s v=""/>
    <s v=""/>
    <n v="12"/>
    <x v="119"/>
    <x v="0"/>
    <s v="Science &amp; Technology - Other Topics; Materials Science; Physics"/>
    <s v="QZ7NV"/>
    <s v=""/>
    <s v="gold, Green Submitted"/>
    <s v=""/>
    <s v=""/>
    <s v="2023-11-15"/>
    <s v="WOS:000630910500004"/>
    <s v="View Full Record in Web of Science"/>
    <m/>
  </r>
  <r>
    <x v="334"/>
    <s v="J"/>
    <x v="330"/>
    <s v=""/>
    <s v=""/>
    <s v=""/>
    <s v="Delgado, Francisco"/>
    <s v=""/>
    <s v=""/>
    <x v="332"/>
    <x v="243"/>
    <s v=""/>
    <s v=""/>
    <s v="English"/>
    <s v="Article"/>
    <s v=""/>
    <s v=""/>
    <s v=""/>
    <s v=""/>
    <s v=""/>
    <x v="311"/>
    <x v="1"/>
    <s v="The COVID-19 pandemic has modified and diversified the ways that students receive education. During confinements, complex courses integrating previous knowledge must be carefully designed and implemented to effectively replace the elements present in face-to-face learning to improve the students' experience. This work assesses the implementation of a digital-learning physics course for computer science students in a skill-based education program in higher education. The assessment was useful for the institution to evaluate if the digital strategy implemented in the course fulfilled the original premises and objectives. The analyses performed provide useful knowledge of theoretical and operational actions applied in this methodology that could be adapted to similar courses for the younger generations in this university. COVID-19 confinement will continue in Mexico in 2021. This assessment resulted in a positive evaluation of the digital strategy being followed, which can be continued while the contingency lasts. Three teachers came together to design math, physics, and computational sciences content for various sections of a physics course. The analysis was developed and implemented according to an institutional digital delivery model for the COVID-19 pandemic. Elements related to attendance, digital access, performance distribution by gender, activity types, and the course learning sections were considered. The analysis was performed with some techniques found in the literature for small groups, complemented when necessary by standard statistical tests to discern meaningful trends. A primary goal was to assess skill-based learning in the course delivered digitally due to the COVID-19 confinement. Furthermore, additional issues concerning the learning dynamics were searched, reported, and analyzed. Finally, the outcomes of an institutional exit survey collecting students' opinions supported certain observed behaviors. The analysis produced meaningful evidence that the course's skill-based development was well supported by the digital delivery during the confinement. Furthermore, differences in the students' performances in the various course content sections proved statistically significant and are discussed in this work."/>
    <s v="[Delgado, Francisco] Tecnol Monterrey, Sch Engn &amp; Sci, Atizapan 52926, Mexico"/>
    <s v="Tecnologico de Monterrey"/>
    <s v="Delgado, F (corresponding author), Tecnol Monterrey, Sch Engn &amp; Sci, Atizapan 52926, Mexico."/>
    <s v="fdelgado@tec.mx"/>
    <s v="Delgado, Francisco/A-7728-2015"/>
    <s v="Delgado, Francisco/0000-0002-9809-6746"/>
    <s v="Writing Lab, Institute for the Future of Education, Tecnologico de Monterrey, Mexico"/>
    <s v="Writing Lab, Institute for the Future of Education, Tecnologico de Monterrey, Mexico"/>
    <s v="I am grateful to my students for their dedication during the COVID-19 crisis from October to November 2020. Thanks, particularly, because their participation contributed to in-depth knowledge about blended learning, which was proved successfully during a critical era for humankind. Special thanks to Lourdes Quezada and Mario Estrada for the exemplary collaboration as a team teaching for the block being referred in the current report. The author acknowledges the technical and economical support of Writing Lab, Institute for the Future of Education, Tecnologico de Monterrey, Mexico, in the production of this work."/>
    <s v=""/>
    <n v="51"/>
    <n v="14"/>
    <n v="14"/>
    <n v="0"/>
    <n v="15"/>
    <s v="MDPI"/>
    <s v="BASEL"/>
    <s v="ST ALBAN-ANLAGE 66, CH-4052 BASEL, SWITZERLAND"/>
    <s v=""/>
    <s v="1999-5903"/>
    <s v=""/>
    <s v="FUTURE INTERNET"/>
    <s v="Future Internet"/>
    <s v="FEB"/>
    <x v="2"/>
    <n v="13"/>
    <n v="2"/>
    <s v=""/>
    <s v=""/>
    <s v=""/>
    <s v=""/>
    <s v=""/>
    <s v=""/>
    <n v="35"/>
    <s v="10.3390/fi13020035"/>
    <s v="http://dx.doi.org/10.3390/fi13020035"/>
    <s v=""/>
    <s v=""/>
    <n v="24"/>
    <x v="36"/>
    <x v="2"/>
    <s v="Computer Science"/>
    <s v="QN6GV"/>
    <s v=""/>
    <s v="gold"/>
    <s v=""/>
    <s v=""/>
    <s v="2023-11-15"/>
    <s v="WOS:000622556300001"/>
    <s v="View Full Record in Web of Science"/>
    <m/>
  </r>
  <r>
    <x v="335"/>
    <s v="J"/>
    <x v="331"/>
    <s v=""/>
    <s v=""/>
    <s v=""/>
    <s v="Gain, Ulla"/>
    <s v=""/>
    <s v=""/>
    <x v="333"/>
    <x v="244"/>
    <s v=""/>
    <s v=""/>
    <s v="English"/>
    <s v="Article"/>
    <s v=""/>
    <s v=""/>
    <s v=""/>
    <s v=""/>
    <s v=""/>
    <x v="312"/>
    <x v="1"/>
    <s v="The technology, which enables creating new types of products, processes and services (i.e., things), which outcomes alter traditional competition and industry boundaries and create new lasting value. The digitalization process uses digital technologies to provide the possibilities of new revenue and value-producing, i.e., it changes business models and offers new value propositions. This change is ongoing. The most important ten strategic technology trends in 2019 include Edge computing, Blockchain, event and data-driven strategies, Digital Twins, and the maintenance of transparency (i.e., traceability), Intelligent Apps and Analytics (Gartner 2018). In this paper, we experiment with the capabilities of intelligent applications to match the industrial business needs. This paper aims to bring insights closer to business objectives. Digitalization's technological advantages can be achieved through data-driven strategies and wherein cognitive services are integrated into IoT (Internet of Things) and big data. We experiment with the Industrial IoT (IIoT) business models and value propositions to match the intelligent insights of cognitive solutions to business objectives. The IIoTs support and demand transparency and thus also data-driven objective insights, and because cognitive solutions can enhance insights on a product, a process or service and therefore provide measurable business objectives. Functional indicators enable interconnected smart things to collaborate."/>
    <s v="[Gain, Ulla] Univ Eastern Finland, Sch Comp, FI-70211 Kuopio, Finland"/>
    <s v=""/>
    <s v="Gain, U (corresponding author), Univ Eastern Finland, Sch Comp, FI-70211 Kuopio, Finland."/>
    <s v="gain@uef.fi"/>
    <s v=""/>
    <s v=""/>
    <s v=""/>
    <s v=""/>
    <s v=""/>
    <s v=""/>
    <n v="76"/>
    <n v="2"/>
    <n v="2"/>
    <n v="0"/>
    <n v="15"/>
    <s v="SPRINGER HEIDELBERG"/>
    <s v="HEIDELBERG"/>
    <s v="TIERGARTENSTRASSE 17, D-69121 HEIDELBERG, GERMANY"/>
    <s v="1004-3756"/>
    <s v="1861-9576"/>
    <s v=""/>
    <s v="J SYST SCI SYST ENG"/>
    <s v="J. Syst. Sci. Syst. Eng."/>
    <s v="FEB"/>
    <x v="2"/>
    <n v="30"/>
    <n v="1"/>
    <s v=""/>
    <s v=""/>
    <s v=""/>
    <s v=""/>
    <n v="59"/>
    <n v="84"/>
    <s v=""/>
    <s v="10.1007/s11518-021-5480-x"/>
    <s v="http://dx.doi.org/10.1007/s11518-021-5480-x"/>
    <s v=""/>
    <s v="FEB 2021"/>
    <n v="26"/>
    <x v="114"/>
    <x v="0"/>
    <s v="Operations Research &amp; Management Science"/>
    <s v="QT5YU"/>
    <s v=""/>
    <s v=""/>
    <s v=""/>
    <s v=""/>
    <s v="2023-11-15"/>
    <s v="WOS:000613165800001"/>
    <s v="View Full Record in Web of Science"/>
    <m/>
  </r>
  <r>
    <x v="336"/>
    <s v="J"/>
    <x v="332"/>
    <s v=""/>
    <s v=""/>
    <s v=""/>
    <s v="Nas, Alparslan"/>
    <s v=""/>
    <s v=""/>
    <x v="334"/>
    <x v="245"/>
    <s v=""/>
    <s v=""/>
    <s v="English"/>
    <s v="Article"/>
    <s v=""/>
    <s v=""/>
    <s v=""/>
    <s v=""/>
    <s v=""/>
    <x v="313"/>
    <x v="1"/>
    <s v="Initiated in October 2017 by a group of Muslim women in Turkey, the activism of Women in Mosques aims to increase public awareness regarding the gendered organization of the religious space. Turkey's patriarchal religious and cultural dynamics exhibit a gender-segregated organization of the mosque area, which treats men as the primary religious audience while isolating women in limited spaces. Using online tools such as their website and social media pages, Women in Mosques encourages women to participate in their digital campaign to reveal experiences of marginalization in mosques through testimonials. In addition to exposing the gendered and spatial ideology of the mosque that subordinates women, Women in Mosques also endeavors to employ potential means of resistance by fostering digital solidarity. This paper aims to analyze the bodily and digital strategies of women resisting the spatial organization of the religious space as a field of power. In this regard, the mapping of religious spaces through the representation of ideological spatiality and cartography constitutes the major strategies applied by activists to tackle the patriarchal making of the religious space."/>
    <s v="[Nas, Alparslan] Marmara Univ, Fac Commun, Goztepe Campus, TR-34722 Istanbul, Turkey"/>
    <s v="Marmara University"/>
    <s v="Nas, A (corresponding author), Marmara Univ, Fac Commun, Goztepe Campus, TR-34722 Istanbul, Turkey."/>
    <s v="alparslan.nas@marmara.edu.tr"/>
    <s v="Nas, Alparslan/H-1102-2018"/>
    <s v="Nas, Alparslan/0000-0002-1759-4357"/>
    <s v=""/>
    <s v=""/>
    <s v=""/>
    <s v=""/>
    <n v="29"/>
    <n v="6"/>
    <n v="6"/>
    <n v="0"/>
    <n v="13"/>
    <s v="ROUTLEDGE JOURNALS, TAYLOR &amp; FRANCIS LTD"/>
    <s v="ABINGDON"/>
    <s v="2-4 PARK SQUARE, MILTON PARK, ABINGDON OX14 4RN, OXON, ENGLAND"/>
    <s v="1468-0777"/>
    <s v="1471-5902"/>
    <s v=""/>
    <s v="FEM MEDIA STUD"/>
    <s v="Fem. Media Stud."/>
    <s v="JUL 4"/>
    <x v="1"/>
    <n v="22"/>
    <n v="5"/>
    <s v=""/>
    <s v=""/>
    <s v=""/>
    <s v=""/>
    <n v="1163"/>
    <n v="1178"/>
    <s v=""/>
    <s v="10.1080/14680777.2021.1878547"/>
    <s v="http://dx.doi.org/10.1080/14680777.2021.1878547"/>
    <s v=""/>
    <s v="JAN 2021"/>
    <n v="16"/>
    <x v="120"/>
    <x v="1"/>
    <s v="Communication; Women's Studies"/>
    <s v="4Y7TR"/>
    <s v=""/>
    <s v=""/>
    <s v=""/>
    <s v=""/>
    <s v="2023-11-15"/>
    <s v="WOS:000611636700001"/>
    <s v="View Full Record in Web of Science"/>
    <m/>
  </r>
  <r>
    <x v="337"/>
    <s v="J"/>
    <x v="333"/>
    <s v=""/>
    <s v=""/>
    <s v=""/>
    <s v="Marcelin, Jasmine R.; Cortes-Penfield, Nicolas; del Rio, Carlos; Desai, Angel; Echenique, Ignacio; Granwehr, Bruno; Lawal, Folake; Kuriakose, Kevin; Lee, Dong Heun; Malinis, Maricar; Ruidera, Diandra; Siddiqui, Javeed; Spec, Andrej; Swartz, Talia H."/>
    <s v=""/>
    <s v="Infect Dis Soc Amer IDSA Digital S"/>
    <x v="335"/>
    <x v="246"/>
    <s v=""/>
    <s v=""/>
    <s v="English"/>
    <s v="Article"/>
    <s v=""/>
    <s v=""/>
    <s v=""/>
    <s v=""/>
    <s v=""/>
    <x v="314"/>
    <x v="253"/>
    <s v="Rapid information dissemination is critical in a world changing rapidly due to global threats. Ubiquitous internet access has created new methods of information dissemination that are rapid, far-reaching, and universally accessible. However, inaccuracies may accompany rapid information dissemination, and rigorous evaluation of primary data through various forms of peer review is crucial. In an era in which high-quality information can save lives, it is critical that infectious diseases specialists are well versed in digital strategy to effectively disseminate information to colleagues and the community and diminish voices spreading misinformation. In this study, we review how social media can be used for rapid dissemination of quality information, benefits and pitfalls of social media use, and general recommendations for developing a digital strategy as an infectious diseases specialist. We will describe how the Infectious Diseases Society of America has leveraged digital strategy and social media and how individuals can amplify these resources to disseminate information, provide clinical knowledge, community guidance, and build their own person brand. We conclude in providing guidance to infectious diseases specialists in aiming to build and preserve public trust, consider their audience and specific goals, and use social media to highlight the value of the field of infectious diseases."/>
    <s v="[Marcelin, Jasmine R.; Cortes-Penfield, Nicolas] Univ Nebraska Med Ctr, Dept Med, Div Infect Dis, Omaha, NE USA; [del Rio, Carlos] Emory Univ, Dept Med, Div Infect Dis, Atlanta, GA 30322 USA; [Desai, Angel] Univ Calif Davis, Med Ctr, Dept Med, Div Infect Dis, Sacramento, CA 95817 USA; [Echenique, Ignacio] Teva Pharmaceut, Miramar, FL USA; [Granwehr, Bruno] Univ Texas MD Anderson Canc Ctr, Div Infect Dis, Dept Med, Houston, TX 77030 USA; [Lawal, Folake] Augusta Univ, Dept Med, Div Infect Dis, Med Coll Georgia, Augusta, GA USA; [Kuriakose, Kevin] Renown Hlth, Sect Infect Dis, Reno, NV USA; [Lee, Dong Heun] Univ Calif San Francisco, Dept Med, Div Infect Dis, San Francisco, CA 94143 USA; [Malinis, Maricar] Yale Univ, Sch Med, Dept Internal Med, Sect Infect Dis, New Haven, CT 06510 USA; [Ruidera, Diandra] Tric Med Ctr, Oceanside, CA USA; [Siddiqui, Javeed] TeleMed2U, Roseville, CA USA; [Spec, Andrej] Washington Univ, Sch Med, Dept Med, Div Infect Dis, St Louis, MO 63110 USA; [Swartz, Talia H.] Icahn Sch Med Mt Sinai, Immunol Inst, Dept Med, Div Infect Dis, New York, NY 10029 USA"/>
    <s v="University of Nebraska System; University of Nebraska Medical Center; Emory University; University of California System; University of California Davis; Teva Pharmaceutical Industries; Teva Pharmaceutical Industries USA; University of Texas System; UTMD Anderson Cancer Center; University System of Georgia; Augusta University; University of California System; University of California San Francisco; Yale University; Washington University (WUSTL); Icahn School of Medicine at Mount Sinai"/>
    <s v="Swartz, TH (corresponding author), Mt Sinai Sch Med, Div Infect Dis, Dept Med, One Gustave Levy Pl,Box 1090, New York, NY 10029 USA."/>
    <s v="talia.swartz@mssm.edu"/>
    <s v="del Rio, Carlos/B-3763-2012; Swartz, Talia H./AAN-8591-2020; Cortes-Penfield, Nicolas/ACS-1833-2022"/>
    <s v="del Rio, Carlos/0000-0002-0153-3517; Swartz, Talia H./0000-0003-1572-045X;"/>
    <s v=""/>
    <s v=""/>
    <s v=""/>
    <s v=""/>
    <n v="29"/>
    <n v="3"/>
    <n v="3"/>
    <n v="5"/>
    <n v="13"/>
    <s v="OXFORD UNIV PRESS INC"/>
    <s v="CARY"/>
    <s v="JOURNALS DEPT, 2001 EVANS RD, CARY, NC 27513 USA"/>
    <s v="2328-8957"/>
    <s v=""/>
    <s v=""/>
    <s v="OPEN FORUM INFECT DI"/>
    <s v="Open Forum Infect. Dis."/>
    <s v="FEB"/>
    <x v="2"/>
    <n v="8"/>
    <n v="2"/>
    <s v=""/>
    <s v=""/>
    <s v=""/>
    <s v=""/>
    <s v=""/>
    <s v=""/>
    <s v="ofab027"/>
    <s v="10.1093/ofid/ofab027"/>
    <s v="http://dx.doi.org/10.1093/ofid/ofab027"/>
    <s v=""/>
    <s v="JAN 2021"/>
    <n v="6"/>
    <x v="83"/>
    <x v="0"/>
    <s v="Immunology; Infectious Diseases; Microbiology"/>
    <s v="RJ0WD"/>
    <s v=""/>
    <s v="gold, Green Published"/>
    <s v=""/>
    <s v=""/>
    <s v="2023-11-15"/>
    <s v="WOS:000637323400065"/>
    <s v="View Full Record in Web of Science"/>
    <m/>
  </r>
  <r>
    <x v="338"/>
    <s v="J"/>
    <x v="334"/>
    <s v=""/>
    <s v=""/>
    <s v=""/>
    <s v="Sampugnaro, Rossana; Montemagno, Francesca"/>
    <s v=""/>
    <s v=""/>
    <x v="336"/>
    <x v="234"/>
    <s v=""/>
    <s v=""/>
    <s v="English"/>
    <s v="Article"/>
    <s v=""/>
    <s v=""/>
    <s v=""/>
    <s v=""/>
    <s v=""/>
    <x v="315"/>
    <x v="1"/>
    <s v="The digital platform has deeply changed the electoral campaigns, producing a consequent evolution of political consulting. Social networks have become the mainstream media so that the digital strategist and the big data analysts have achieved a special place in the war room, next to the campaign director and the pollster. In 2012, Obama's election has marked the entrance in the Fast Politics: resulting, on one hand, in 24 hours news, a large amount of auto-generated contents produced by the voters through digital media, fragmentation, instantaneous transmission of messages and, on the other hand, a reduction of the attention threshold. Once again, similarly to the past, the evolution of the media (2.0) ends up changing the nature of election campaigns and political consulting request. What happens in Europe? The objective is to carry out a comparative analysis on the professionalization of candidates' electoral staff. We wanted to verify if the American model has been imported in Europe with special focus on the techniques and the style of election campaigns management. In particular, within a comparative approach among the European states, the study analyzed the usage of political consulting and the degree of digitalization during last general elections: an ancillary practice or, on the contrary, a new tool for consensus? The comparative analysis among European states exploited the data provided by Comparative Candidates Survey (CCS 2013) and constructed synthetic indexes on the professionalization and digitization campaigns, conducting a quantitative and qualitative analysis."/>
    <s v="[Sampugnaro, Rossana; Montemagno, Francesca] Univ Catania, Dept Polit &amp; Social Sci, Via Vittorio Emanuele II,8, I-95131 Catania, Italy"/>
    <s v="University of Catania"/>
    <s v="Sampugnaro, R (corresponding author), Univ Catania, Dept Polit &amp; Social Sci, Via Vittorio Emanuele II,8, I-95131 Catania, Italy."/>
    <s v="rossana.sampugnaro@unict.it"/>
    <s v=""/>
    <s v="Sampugnaro, Rossana/0000-0002-7518-7776; Montemagno, Francesca/0000-0002-2721-3669"/>
    <s v=""/>
    <s v=""/>
    <s v=""/>
    <s v=""/>
    <n v="48"/>
    <n v="3"/>
    <n v="3"/>
    <n v="1"/>
    <n v="6"/>
    <s v="ROUTLEDGE JOURNALS, TAYLOR &amp; FRANCIS LTD"/>
    <s v="ABINGDON"/>
    <s v="2-4 PARK SQUARE, MILTON PARK, ABINGDON OX14 4RN, OXON, ENGLAND"/>
    <s v="1537-7857"/>
    <s v="1537-7865"/>
    <s v=""/>
    <s v="J POLITICAL MARKETIN"/>
    <s v="J. Political Marketing"/>
    <s v="MAR 29"/>
    <x v="2"/>
    <n v="20"/>
    <n v="1"/>
    <s v=""/>
    <s v=""/>
    <s v=""/>
    <s v=""/>
    <n v="34"/>
    <n v="49"/>
    <s v=""/>
    <s v="10.1080/15377857.2020.1869832"/>
    <s v="http://dx.doi.org/10.1080/15377857.2020.1869832"/>
    <s v=""/>
    <s v="JAN 2021"/>
    <n v="16"/>
    <x v="35"/>
    <x v="2"/>
    <s v="Government &amp; Law"/>
    <s v="RK6SO"/>
    <s v=""/>
    <s v="hybrid"/>
    <s v=""/>
    <s v=""/>
    <s v="2023-11-15"/>
    <s v="WOS:000628917400001"/>
    <s v="View Full Record in Web of Science"/>
    <m/>
  </r>
  <r>
    <x v="339"/>
    <s v="J"/>
    <x v="335"/>
    <s v=""/>
    <s v=""/>
    <s v=""/>
    <s v="Chib, Arul; Nguyen, Hoan; Lin, Daoyi"/>
    <s v=""/>
    <s v=""/>
    <x v="337"/>
    <x v="247"/>
    <s v=""/>
    <s v=""/>
    <s v="English"/>
    <s v="Article"/>
    <s v=""/>
    <s v=""/>
    <s v=""/>
    <s v=""/>
    <s v=""/>
    <x v="316"/>
    <x v="254"/>
    <s v="Fluid performances of gender online by gender-diverse individuals facing discrimination and fetishization raises questions about whether these acts are a source of empowerment or reinforce prevailing prejudice. We combine virtual ethnography and interviews with transwomen sex workers in Singapore (n=14) to explore the dynamic between sociostructural oppression and agentic resistance. First, heterosexual power relations manifest online via digital practices of access, surveillance, and intervention to discriminate against and objectify respondents' identities and bodies. Second, the online response can be categorized into specific digital practices of avoidance involving privacy and anonymity, accommodation via subtle practices of submission, and collaboration via community mobilization. Finally, gender performativity on sites for sex solicitation manifests in the presentation of both essentialist (submissive femininity) and provocative (hyper-sexual) embodiments, defying simplistic characterization into the structure-agency dynamic. We discuss the co-constructive nature of socially situated gender performances and the potential for challenging normative regimes of gender. Lay Summary Online spaces allow people to perform their gender more fluidly. We studied how gender-diverse people's online media use can lead to both personal empowerment and social oppression. Social forces oppress gender-diverse people through online harassment and abuse. We classify these progressively intrusive digital practices as access, surveillance, and intervention. However, gender-diverse people also respond to such oppression through digital strategies such as avoidance, accommodation, and collaboration. Transwomen sex workers in Singapore perform femininity online in submissive and hyper-sexual ways. Our material suggests that they do this to both affirm their transgender identities and also to attract customers. These nuances blur the line between individual choice and compliance with social demands. Indeed, the informants' quotes suggest that the digital strategies that seem to accommodate client desires may in fact empower these transwomen sex workers. Yet, it is uncertain if this individual empowerment leads to broader social change for gender-diverse communities."/>
    <s v="[Chib, Arul; Lin, Daoyi] Nanyang Technol Univ, Wee Kim Wee Sch Commun &amp; Informat, Singapore 637718, Singapore; [Nguyen, Hoan] Univ Southern Calif, Annenberg Sch Commun &amp; Journalism, Los Angeles, CA 90089 USA"/>
    <s v="Nanyang Technological University &amp; National Institute of Education (NIE) Singapore; Nanyang Technological University; University of Southern California"/>
    <s v="Chib, A (corresponding author), Nanyang Technol Univ, Wee Kim Wee Sch Commun &amp; Informat, Singapore 637718, Singapore."/>
    <s v="arulchib@ntu.edu.sg"/>
    <s v=""/>
    <s v="Chib, Arul/0000-0002-3833-8889"/>
    <s v="Wee Kim Wee School of Communication and Information, Nanyang Technological University"/>
    <s v="Wee Kim Wee School of Communication and Information, Nanyang Technological University(Nanyang Technological University)"/>
    <s v="The study was funded by a grant from Wee Kim Wee School of Communication and Information, Nanyang Technological University."/>
    <s v=""/>
    <n v="56"/>
    <n v="6"/>
    <n v="6"/>
    <n v="2"/>
    <n v="24"/>
    <s v="OXFORD UNIV PRESS INC"/>
    <s v="CARY"/>
    <s v="JOURNALS DEPT, 2001 EVANS RD, CARY, NC 27513 USA"/>
    <s v="1083-6101"/>
    <s v=""/>
    <s v=""/>
    <s v="J COMPUT-MEDIAT COMM"/>
    <s v="J. Comput.-Mediat. Commun."/>
    <s v="MAR"/>
    <x v="2"/>
    <n v="26"/>
    <n v="2"/>
    <s v=""/>
    <s v=""/>
    <s v=""/>
    <s v=""/>
    <n v="55"/>
    <n v="71"/>
    <s v=""/>
    <s v="10.1093/jcmc/zmaa017"/>
    <s v="http://dx.doi.org/10.1093/jcmc/zmaa017"/>
    <s v=""/>
    <s v="JAN 2021"/>
    <n v="17"/>
    <x v="121"/>
    <x v="1"/>
    <s v="Communication; Information Science &amp; Library Science"/>
    <s v="RQ3EV"/>
    <s v=""/>
    <s v=""/>
    <s v=""/>
    <s v=""/>
    <s v="2023-11-15"/>
    <s v="WOS:000642306200001"/>
    <s v="View Full Record in Web of Science"/>
    <m/>
  </r>
  <r>
    <x v="340"/>
    <s v="J"/>
    <x v="336"/>
    <s v=""/>
    <s v=""/>
    <s v=""/>
    <s v="Porfirio, Jose Antonio; Carrilho, Tiago; Felicio, Jose Augusto; Jardim, Jacinto"/>
    <s v=""/>
    <s v=""/>
    <x v="338"/>
    <x v="138"/>
    <s v=""/>
    <s v=""/>
    <s v="English"/>
    <s v="Article"/>
    <s v=""/>
    <s v=""/>
    <s v=""/>
    <s v=""/>
    <s v=""/>
    <x v="317"/>
    <x v="255"/>
    <s v="Digital transformation (DT) is essential for all companies and industries, depending crucially on systems, IT, strategy, and people. In this research, we analyse how firms' characteristics, associated with management characteristics, promote DT in Portuguese companies. The model considers the relationship between digital strategy and corporate and business strategy, according to firm and management characteristics. We use a multilevel analysis, applying fsQCA to data obtained from 47 Portuguese firms. The results represent an important step forward in the knowledge of the conditions to promote higher stages of DT, especially regarding leadership and management associated with certain firms' characteristics. The conclusions support the crucial role of leadership and especially the importance of managers' coherence towards companies' mission to promote more advanced stages of DT. At the same time, it contributes to develop knowledge about the best possible combination of firms' and management characteristics to promote DT."/>
    <s v="[Porfirio, Jose Antonio; Carrilho, Tiago] Univ Aberta, Social Sci &amp; Management Dept, Lisbon, Portugal; [Felicio, Jose Augusto] ISEG Lisbon Sch Econ &amp; Management, Lisbon, Portugal; [Jardim, Jacinto] Univ Aberta, Catedra Infante D Henrique Estudos Insulares, Lisbon, Portugal"/>
    <s v="Universidade Aberta; Universidade Aberta"/>
    <s v="Porfírio, JA (corresponding author), Univ Aberta, Social Sci &amp; Management Dept, Lisbon, Portugal."/>
    <s v="Jose.Porfirio@uab.pt; Tiago.Mendes@uab.pt; jaufeli@netcabo.pt; Jacinto.Jardiim@uab.pt"/>
    <s v="Jardim, Jacinto/AAH-9791-2020; Porfírio, José A/I-3940-2012"/>
    <s v="Jardim, Jacinto/0000-0002-0600-3128; Porfírio, José A/0000-0001-9551-9531; Carrilho, Tiago/0000-0001-8258-8546; FELICIO, J. AUGUSTO/0000-0001-5862-1094"/>
    <s v="FCT - Fundacao para a Ciencia e Tecnologia (Portugal) [UIDB/04521/2020]"/>
    <s v="FCT - Fundacao para a Ciencia e Tecnologia (Portugal)(Fundacao para a Ciencia e a Tecnologia (FCT))"/>
    <s v="We gratefully acknowledge: financial support from FCT - Fundacao para a Ciencia e Tecnologia (Portugal); national funding through research grant UIDB/04521/2020."/>
    <s v=""/>
    <n v="50"/>
    <n v="60"/>
    <n v="62"/>
    <n v="100"/>
    <n v="587"/>
    <s v="ELSEVIER SCIENCE INC"/>
    <s v="NEW YORK"/>
    <s v="STE 800, 230 PARK AVE, NEW YORK, NY 10169 USA"/>
    <s v="0148-2963"/>
    <s v="1873-7978"/>
    <s v=""/>
    <s v="J BUS RES"/>
    <s v="J. Bus. Res."/>
    <s v="JAN"/>
    <x v="2"/>
    <n v="124"/>
    <s v=""/>
    <s v=""/>
    <s v=""/>
    <s v=""/>
    <s v=""/>
    <n v="610"/>
    <n v="619"/>
    <s v=""/>
    <s v="10.1016/j.jbusres.2020.10.058"/>
    <s v="http://dx.doi.org/10.1016/j.jbusres.2020.10.058"/>
    <s v=""/>
    <s v="JAN 2021"/>
    <n v="10"/>
    <x v="33"/>
    <x v="1"/>
    <s v="Business &amp; Economics"/>
    <s v="PP1DI"/>
    <s v=""/>
    <s v="Green Published"/>
    <s v=""/>
    <s v=""/>
    <s v="2023-11-15"/>
    <s v="WOS:000605608800052"/>
    <s v="View Full Record in Web of Science"/>
    <m/>
  </r>
  <r>
    <x v="341"/>
    <s v="J"/>
    <x v="337"/>
    <s v=""/>
    <s v=""/>
    <s v=""/>
    <s v="Hobley, Janet"/>
    <s v=""/>
    <s v=""/>
    <x v="339"/>
    <x v="248"/>
    <s v=""/>
    <s v=""/>
    <s v="English"/>
    <s v="Article"/>
    <s v=""/>
    <s v=""/>
    <s v=""/>
    <s v=""/>
    <s v=""/>
    <x v="318"/>
    <x v="256"/>
    <s v="The author is Teaching and Learning Manager at the college with rsponsibility for observation of all teaching staff and their professional development. This research looks at differing concepts of pedagogy through an investigation of observation data and an analysis of 'blended learning sessions' at a college that is at the forefront of using technology as a tool for learning. Located in South Central England this is a relatively small vocational college with two sites in Hampshire. The observation data collected was analysed using the concepts of Pedagogical Content Knowledge (PCK), Technological Pedagogical Content Knowledge (TPCK), Signature Pedagogies and expansive vocational education to see how these concepts applied to practice. The conclusion shows that whilst there were differences in the pedagogical content approach, the concept of signature pedagogies was strong across all the curriculum areas looked at. It also highlights the possibility of further international research into post compulsory online learning using this college as an example of good practice. Finally, it observes that the college has the capacity in terms of a dedicated team of technologists to really improve the TPCK of the teachers further, together with a comprehensive digital strategy that encompasses a coherent and planned curriculum using 'joined up' schemes of work. In this way the PCK and the TPCK of teachers will be strengthened."/>
    <s v="[Hobley, Janet] Teaching &amp; Learning Manager Basingstoke Coll Tech, Basingstoke, Hants, England"/>
    <s v=""/>
    <s v="Hobley, J (corresponding author), Teaching &amp; Learning Manager Basingstoke Coll Tech, Basingstoke, Hants, England."/>
    <s v="janet.hobley@bcot.ac.uk"/>
    <s v=""/>
    <s v=""/>
    <s v=""/>
    <s v=""/>
    <s v=""/>
    <s v=""/>
    <n v="17"/>
    <n v="0"/>
    <n v="0"/>
    <n v="0"/>
    <n v="2"/>
    <s v="ROUTLEDGE JOURNALS, TAYLOR &amp; FRANCIS LTD"/>
    <s v="ABINGDON"/>
    <s v="2-4 PARK SQUARE, MILTON PARK, ABINGDON OX14 4RN, OXON, ENGLAND"/>
    <s v="1359-6748"/>
    <s v="1747-5112"/>
    <s v=""/>
    <s v="RES POST-COMPULS EDU"/>
    <s v="Res. Post-Compuls. Educ."/>
    <s v="JAN 2"/>
    <x v="2"/>
    <n v="26"/>
    <n v="1"/>
    <s v=""/>
    <s v=""/>
    <s v=""/>
    <s v=""/>
    <n v="38"/>
    <n v="58"/>
    <s v=""/>
    <s v="10.1080/13596748.2021.1873407"/>
    <s v="http://dx.doi.org/10.1080/13596748.2021.1873407"/>
    <s v=""/>
    <s v=""/>
    <n v="21"/>
    <x v="39"/>
    <x v="2"/>
    <s v="Education &amp; Educational Research"/>
    <s v="QT0OK"/>
    <s v=""/>
    <s v=""/>
    <s v=""/>
    <s v=""/>
    <s v="2023-11-15"/>
    <s v="WOS:000626291900003"/>
    <s v="View Full Record in Web of Science"/>
    <m/>
  </r>
  <r>
    <x v="342"/>
    <s v="J"/>
    <x v="338"/>
    <s v=""/>
    <s v=""/>
    <s v=""/>
    <s v="Hutchinson, Jonathon"/>
    <s v=""/>
    <s v=""/>
    <x v="340"/>
    <x v="19"/>
    <s v=""/>
    <s v=""/>
    <s v="English"/>
    <s v="Article"/>
    <s v=""/>
    <s v=""/>
    <s v=""/>
    <s v=""/>
    <s v=""/>
    <x v="319"/>
    <x v="1"/>
    <s v="Social media emerged with a broad understanding that egalitarian practices would become the standard approach to publishing and distributing content. In recent times we have seen this flat hierarchical approach fade as commercial stakeholders, platform providers and content publishers continue to design and practice exclusionary processes to ensure their work is visible. This current practice limits the capacity for all voices to be heard, prompting the question how can digital activism remain visible in a media-saturated social media environment? This paper draws on a content analysis of the most popular YouTube users in Australia to illustrate the absence of digital activism within its visual culture. It maps the process of fragmented platformization, called here micro-platformization, to highlight the content production and publishing strategies digital activists should adopt. While successful commercial YouTube practitioners adhere closely to the principles of social media logics (Van Dijck, J., &amp; Poell, T. (2014). Understanding Social Media Logic. Media and Communication, 1(1), 2-14), this paper argues that stakeholders engaging in the practice of digital activism need to adopt similar strategies to their commercial counterparts. By including strategies that reflect the successful practices of social media logics, digital activism can not only become visible across social media spaces, but also engage public discourse on civic matters and public affairs."/>
    <s v="[Hutchinson, Jonathon] Univ Sydney, Dept Media &amp; Commun, Room N233,John Woolley Bldg A20,Manning Rd, Sydney, NSW 2006, Australia"/>
    <s v="University of Sydney"/>
    <s v="Hutchinson, J (corresponding author), Univ Sydney, Dept Media &amp; Commun, Room N233,John Woolley Bldg A20,Manning Rd, Sydney, NSW 2006, Australia."/>
    <s v="jonathon.hutchinson@sydney.edu.au"/>
    <s v="Hutchinson, Jonathon/P-7182-2017"/>
    <s v="Hutchinson, Jonathon/0000-0001-7349-1662"/>
    <s v="Sydney Social Science and Humanities Advanced Research Centre (SSSHARC) under the Launch Fellowship Scheme"/>
    <s v="Sydney Social Science and Humanities Advanced Research Centre (SSSHARC) under the Launch Fellowship Scheme"/>
    <s v="This research was made possible by funding from the Sydney Social Science and Humanities Advanced Research Centre (SSSHARC) under the Launch Fellowship Scheme."/>
    <s v=""/>
    <n v="29"/>
    <n v="16"/>
    <n v="16"/>
    <n v="8"/>
    <n v="24"/>
    <s v="ROUTLEDGE JOURNALS, TAYLOR &amp; FRANCIS LTD"/>
    <s v="ABINGDON"/>
    <s v="2-4 PARK SQUARE, MILTON PARK, ABINGDON OX14 4RN, OXON, ENGLAND"/>
    <s v="1369-118X"/>
    <s v="1468-4462"/>
    <s v=""/>
    <s v="INFORM COMMUN SOC"/>
    <s v="Info. Commun. Soc."/>
    <s v="JAN 2"/>
    <x v="2"/>
    <n v="24"/>
    <n v="1"/>
    <s v=""/>
    <s v=""/>
    <s v=""/>
    <s v=""/>
    <n v="35"/>
    <n v="51"/>
    <s v=""/>
    <s v="10.1080/1369118X.2019.1629612"/>
    <s v="http://dx.doi.org/10.1080/1369118X.2019.1629612"/>
    <s v=""/>
    <s v=""/>
    <n v="17"/>
    <x v="18"/>
    <x v="1"/>
    <s v="Communication; Sociology"/>
    <s v="ZV7EK"/>
    <s v=""/>
    <s v=""/>
    <s v=""/>
    <s v=""/>
    <s v="2023-11-15"/>
    <s v="WOS:000770688600001"/>
    <s v="View Full Record in Web of Science"/>
    <m/>
  </r>
  <r>
    <x v="343"/>
    <s v="J"/>
    <x v="339"/>
    <s v=""/>
    <s v=""/>
    <s v=""/>
    <s v="Abou Haidar, Laura"/>
    <s v=""/>
    <s v=""/>
    <x v="341"/>
    <x v="249"/>
    <s v=""/>
    <s v=""/>
    <s v="French"/>
    <s v="Article"/>
    <s v=""/>
    <s v=""/>
    <s v=""/>
    <s v=""/>
    <s v=""/>
    <x v="320"/>
    <x v="1"/>
    <s v="This contribution focuses on the way in which digital technology induces transformations in the way speech is considered and (re)defined, as well as in the way it is taught and learned. We will recall the dimensions that are most impacted by digital technology, compared to a language teaching/learning device based on face-to-face teaching: temporality, modes of interaction and their rituals, the management of plurisensoriality and multimodality, which have to be adapted to the digital devices that are been used. Nevertheless, digital technology can be a real opportunity for speech. The multiplicity of digital resources can multiply the benefits of the language laboratory since the smartphone or the computer can potentially be transformed into an individual language booth; in particular, digital technology allows for particularly targeted, individualized and intensive work, on listening (identifying, discriminating, comparing, understanding, etc.) or on production (with increasingly widespread software such as Audacity), which makes it possible to increase the learners' perception and production abilities. This is also in line with the reinforcement of the learner's autonomy and the diversification of learning strategies. Digital technology makes it possible to integrate the gestural and kinetic dimension, and to see/hear a multiplicity of resources of great wealth. The rise of oral corpora for didactic purposes, and the creative dynamics observed on the web, show, should that be necessary, that the time when phonetics was called as the poor relation of didactics is well and truly over."/>
    <s v="[Abou Haidar, Laura] Univ Grenoble Alpes, Lab Linguist &amp; Didact Langues Etrangeres &amp; Matern, Batiment Stendhal,CS 40700, F-38058 Grenoble 9, France"/>
    <s v="Communaute Universite Grenoble Alpes; UDICE-French Research Universities; Universite Grenoble Alpes (UGA)"/>
    <s v="Abou Haidar, L (corresponding author), Univ Grenoble Alpes, Lab Linguist &amp; Didact Langues Etrangeres &amp; Matern, Batiment Stendhal,CS 40700, F-38058 Grenoble 9, France."/>
    <s v="Laura.Abou-Haidar@univ-grenoble-alpes.fr"/>
    <s v=""/>
    <s v=""/>
    <s v=""/>
    <s v=""/>
    <s v=""/>
    <s v=""/>
    <n v="30"/>
    <n v="0"/>
    <n v="0"/>
    <n v="0"/>
    <n v="5"/>
    <s v="ADALSIC"/>
    <s v="STRASBOURG"/>
    <s v="22 RUE DESCARTES, STRASBOURG, 67084, FRANCE"/>
    <s v="1286-4986"/>
    <s v=""/>
    <s v=""/>
    <s v="ALSIC-APPRENTISS LAN"/>
    <s v="ALSIC-Apprentiss. Langues Syst. Inf. Commun."/>
    <s v=""/>
    <x v="2"/>
    <n v="24"/>
    <n v="2"/>
    <s v=""/>
    <s v=""/>
    <s v=""/>
    <s v=""/>
    <s v=""/>
    <s v=""/>
    <n v="5739"/>
    <s v="10.4000/alsic.5739"/>
    <s v="http://dx.doi.org/10.4000/alsic.5739"/>
    <s v=""/>
    <s v=""/>
    <n v="20"/>
    <x v="39"/>
    <x v="2"/>
    <s v="Education &amp; Educational Research"/>
    <s v="YK0ZV"/>
    <s v=""/>
    <s v="Green Submitted, gold"/>
    <s v=""/>
    <s v=""/>
    <s v="2023-11-15"/>
    <s v="WOS:000744952700005"/>
    <s v="View Full Record in Web of Science"/>
    <m/>
  </r>
  <r>
    <x v="344"/>
    <s v="J"/>
    <x v="340"/>
    <s v=""/>
    <s v=""/>
    <s v=""/>
    <s v="Alberto Lopez, Carlos; Fernando Castillo, Luis; Corchado, Juan M."/>
    <s v=""/>
    <s v=""/>
    <x v="342"/>
    <x v="145"/>
    <s v=""/>
    <s v=""/>
    <s v="English"/>
    <s v="Article"/>
    <s v=""/>
    <s v=""/>
    <s v=""/>
    <s v=""/>
    <s v=""/>
    <x v="321"/>
    <x v="1"/>
    <s v="Internet of Things (IoT) should not be seen only as a cost reduction mechanism for manufacturing companies; instead, it should be seen as the basis for transition to a new business model that monetizes the data from an intelligent ecosystem. In this regard, deciphering the operation of the value creation system and finding the balance between the digital strategy and the deployment of technological platforms, are the main motivations behind this research. To achieve the proposed objectives, systems theory has been adopted in the conceptualization stage, later, fuzzy logic has been used to structure a subsystem for the evaluation of input parameters. Subsequently, system dynamics have been used to build a computational representation and later, through dynamic simulation, the model has been adjusted according to iterations and the identified limits of the system. Finally, with the obtained set of results, different value creation and capture behaviors have been identified. The simulation model, based on the conceptualization of the system and the mathematical representation of the value function, allows to establish a frame of reference for the evaluation of the behaviour of IoT ecosystems in the context of the connected home."/>
    <s v="[Alberto Lopez, Carlos; Fernando Castillo, Luis] Univ Nacl Colombia, Fac Ingn &amp; Arquitectura, Ind Engn Dept, Manizales 170003, Caldas, Colombia; [Fernando Castillo, Luis] Univ Caldas, Fac Ingn, Dept Sistemas &amp; Informat, Grp Invest Inteligencia Artificial, Manizales 170004, Caldas, Colombia; [Fernando Castillo, Luis] Univ Autonoma Manizales, Doctorado Ciencias Cognit, Dept Ciencias Computac, Manizales 170001, Caldas, Colombia; [Fernando Castillo, Luis; Corchado, Juan M.] Air Inst, IoT Digital Innovat Hub, Salamanca 37188, Spain; [Corchado, Juan M.] Univ Salamanca, Bisite Res Grp, Salamanca 37007, Spain; [Corchado, Juan M.] Osaka Inst Technol, Fac Engn, Dept Elect Informat &amp; Commun, Osaka 5358585, Japan; [Corchado, Juan M.] Univ Malaysia Kelantan, Pusat Komputeran Dan Informat, Kota Baharu 16100, Kelantan, Malaysia"/>
    <s v="Universidad Nacional de Colombia; Universidad de Caldas; Universidad Autonoma de Manizales; University of Salamanca; Osaka Institute of Technology; Universiti Malaysia Kelantan"/>
    <s v="Castillo, LF (corresponding author), Univ Nacl Colombia, Fac Ingn &amp; Arquitectura, Ind Engn Dept, Manizales 170003, Caldas, Colombia.;Castillo, LF (corresponding author), Univ Caldas, Fac Ingn, Dept Sistemas &amp; Informat, Grp Invest Inteligencia Artificial, Manizales 170004, Caldas, Colombia.;Castillo, LF (corresponding author), Univ Autonoma Manizales, Doctorado Ciencias Cognit, Dept Ciencias Computac, Manizales 170001, Caldas, Colombia.;Castillo, LF (corresponding author), Air Inst, IoT Digital Innovat Hub, Salamanca 37188, Spain."/>
    <s v="caralopezcas@unal.edu.co; lfcastilloos@unal.edu.co; corchado@usal.es"/>
    <s v="Corchado Rodríguez, Juan/D-3229-2013"/>
    <s v="Corchado Rodríguez, Juan/0000-0002-2829-1829; LOPEZ CASTANO, CARLOS ALBERTO/0000-0001-8764-7496; Castillo Ossa, Luis Fernando/0000-0002-2878-8229"/>
    <s v=""/>
    <s v=""/>
    <s v=""/>
    <s v=""/>
    <n v="70"/>
    <n v="3"/>
    <n v="3"/>
    <n v="3"/>
    <n v="19"/>
    <s v="MDPI"/>
    <s v="BASEL"/>
    <s v="ST ALBAN-ANLAGE 66, CH-4052 BASEL, SWITZERLAND"/>
    <s v=""/>
    <s v="1424-8220"/>
    <s v=""/>
    <s v="SENSORS-BASEL"/>
    <s v="Sensors"/>
    <s v="JAN"/>
    <x v="2"/>
    <n v="21"/>
    <n v="2"/>
    <s v=""/>
    <s v=""/>
    <s v=""/>
    <s v=""/>
    <s v=""/>
    <s v=""/>
    <n v="328"/>
    <s v="10.3390/s21020328"/>
    <s v="http://dx.doi.org/10.3390/s21020328"/>
    <s v=""/>
    <s v=""/>
    <n v="22"/>
    <x v="81"/>
    <x v="3"/>
    <s v="Chemistry; Engineering; Instruments &amp; Instrumentation"/>
    <s v="PX9ZV"/>
    <n v="33418918"/>
    <s v="Green Published, gold"/>
    <s v=""/>
    <s v=""/>
    <s v="2023-11-15"/>
    <s v="WOS:000611710900001"/>
    <s v="View Full Record in Web of Science"/>
    <m/>
  </r>
  <r>
    <x v="345"/>
    <s v="J"/>
    <x v="341"/>
    <s v=""/>
    <s v=""/>
    <s v=""/>
    <s v="Alterazi, Hassan A."/>
    <s v=""/>
    <s v=""/>
    <x v="343"/>
    <x v="250"/>
    <s v=""/>
    <s v=""/>
    <s v="English"/>
    <s v="Article"/>
    <s v=""/>
    <s v=""/>
    <s v=""/>
    <s v=""/>
    <s v=""/>
    <x v="322"/>
    <x v="1"/>
    <s v="Nowadays, the world's attention is turned into big data technology deployment in the healthcare industry to handle the enormous collections of heterogeneous health care datasets like sensor health data and electronics health records. The nature of medical data is increasing in verity and its volume due to the commoditization of digital strategies like wireless sensors and mobile phones. The current medical industry requires a renovation of traditional medical care hardware and software patterns, which are not equipped to deal with the diversity and volume of the modern clinical data must be augmented with innovative big data analysis and computing capabilities. For the research investigators, there is an opportunity in clinical data analytics to learn this gigantic amount of information. . Recently big data has become an inimitable and favorite research domain in the field of computer science. Numerous open research obstacles are available in healthcare big data analysis and optimal solutions have also been projected by the researchers for enhancement of many innovative approaches and techniques for dealing with medical care data to obtain better solutions. For research investigators, there is an occasion in medical care data and provide a better solution for enhancing healthcare, thereby minimizing costs, democratizing healthiness access, and preventing the life of the human being. In this study of the article, the comprehensive survey of various big data healthcare diagnostics is described with an assortment of big data techniques and tools that might be deployed through cloud, wireless, and Internet of Things settings. (C) 2021 INT TRANS J ENG MANAG SCI TECH."/>
    <s v="[Alterazi, Hassan A.] King Abdulaziz Univ, Fac Comp &amp; Informat Technol, Jeddah, Saudi Arabia"/>
    <s v="King Abdulaziz University"/>
    <s v="Alterazi, HA (corresponding author), King Abdulaziz Univ, Fac Comp &amp; Informat Technol, Jeddah, Saudi Arabia."/>
    <s v="haalterazi@kau.edu.sa"/>
    <s v="Alterazi, Hassan Abdullah/AAT-5978-2021"/>
    <s v="Alterazi, Hassan Abdullah/0000-0003-0137-9422"/>
    <s v=""/>
    <s v=""/>
    <s v=""/>
    <s v=""/>
    <n v="15"/>
    <n v="0"/>
    <n v="0"/>
    <n v="0"/>
    <n v="6"/>
    <s v="TUENGR GROUP"/>
    <s v="PATHUMTAN"/>
    <s v="88-244 MOO 3 KLONG NO 2 KLONG-LUANG, PATHUMTAN, 12120, THAILAND"/>
    <s v="2228-9860"/>
    <s v="1906-9642"/>
    <s v=""/>
    <s v="INT TRANS J ENG MANA"/>
    <s v="Int. Trans. J. Eng. Manag. Appl. Sci. Technol."/>
    <s v=""/>
    <x v="2"/>
    <n v="12"/>
    <n v="5"/>
    <s v=""/>
    <s v=""/>
    <s v=""/>
    <s v=""/>
    <s v=""/>
    <s v=""/>
    <s v="12A5G"/>
    <s v="10.14456/ITJEMAST.2021.91"/>
    <s v="http://dx.doi.org/10.14456/ITJEMAST.2021.91"/>
    <s v=""/>
    <s v=""/>
    <n v="10"/>
    <x v="22"/>
    <x v="2"/>
    <s v="Science &amp; Technology - Other Topics"/>
    <s v="SF0YL"/>
    <s v=""/>
    <s v=""/>
    <s v=""/>
    <s v=""/>
    <s v="2023-11-15"/>
    <s v="WOS:000652490100007"/>
    <s v="View Full Record in Web of Science"/>
    <m/>
  </r>
  <r>
    <x v="346"/>
    <s v="J"/>
    <x v="342"/>
    <s v=""/>
    <s v=""/>
    <s v=""/>
    <s v="Arayesh, Mohammad Bagher; Rezaeirad, Mostafa; Aidi, Mohammad; Lamoki, Tohfeh Ghobadi"/>
    <s v=""/>
    <s v=""/>
    <x v="344"/>
    <x v="50"/>
    <s v=""/>
    <s v=""/>
    <s v="English"/>
    <s v="Article"/>
    <s v=""/>
    <s v=""/>
    <s v=""/>
    <s v=""/>
    <s v=""/>
    <x v="323"/>
    <x v="1"/>
    <s v="The purpose of this study was the thematic analysis on a model of implementation of open and technological banking in commercial banks in Iran. It is an applied study; in terms of method, qualitative; And in terms of research philosophy, it is a kind of interpretive research. To analyze the data from the semi-structured interviews, a thematic analysis was used. The population of this study included 20 knowledgeable people (experts in banking and university professors in the field of open banking, as well as appropriate texts for the extraction of indicators). In this investigation a snowball approach was used to select samples. As a standard for the end of sampling, the thematic saturation method is used. The topics were obtained using the two sources of theoretical literature and semi-structured interviews. The result of the qualitative data analysis led to the identification of 25 basic issues, 6 organizational issues and finally 4 contextual issues including productivity and digital governance in the shadow of knowledge, alliances with competing partners, customer experience management, digital strategic management of economic and customer management, and reform of banking processes, all presented in the form of a model. Finally, suggestions were made in this area based on the results."/>
    <s v="[Arayesh, Mohammad Bagher] Islamic Azad Univ, Hamedan Branch, Business Management, Hamadan, Hamadan, Iran; [Rezaeirad, Mostafa] Univ Hamedan, Fac Humanities, Hamadan, Hamadan, Iran; [Aidi, Mohammad] Univ Ilam, Fac Humanities, Ilam, Iran; [Lamoki, Tohfeh Ghobadi] Islamic Azad Univ, Fac Humanities, Hamedan Branch, Hamadan, Hamadan, Iran"/>
    <s v="Islamic Azad University; Islamic Azad University"/>
    <s v="Arayesh, MB (corresponding author), Islamic Azad Univ, Hamedan Branch, Business Management, Hamadan, Hamadan, Iran."/>
    <s v="arayesh.b@gmail.com; m.rezaeirad@basu.ac.ir; M.aidi@ilam.ac.ir; t_ghobadi@yahoo.com"/>
    <s v=""/>
    <s v=""/>
    <s v=""/>
    <s v=""/>
    <s v=""/>
    <s v=""/>
    <n v="31"/>
    <n v="1"/>
    <n v="1"/>
    <n v="1"/>
    <n v="10"/>
    <s v="UNIV ZULIA, FAC HUMANIDADES EDUCACION, CENTRO INVE"/>
    <s v="MARACAIBO"/>
    <s v="APARTADO 526, MARACAIBO, ZULIA 00000, VENEZUELA"/>
    <s v="0041-8811"/>
    <s v=""/>
    <s v=""/>
    <s v="REV UNIV ZULIA"/>
    <s v="Rev. Univ. Zulia"/>
    <s v="JAN-APR"/>
    <x v="2"/>
    <n v="12"/>
    <n v="32"/>
    <s v=""/>
    <s v=""/>
    <s v=""/>
    <s v=""/>
    <n v="414"/>
    <n v="443"/>
    <s v=""/>
    <s v="10.46925//rdluz.32.25"/>
    <s v="http://dx.doi.org/10.46925//rdluz.32.25"/>
    <s v=""/>
    <s v=""/>
    <n v="30"/>
    <x v="31"/>
    <x v="2"/>
    <s v="Social Sciences - Other Topics"/>
    <s v="QR6YK"/>
    <s v=""/>
    <s v="hybrid"/>
    <s v=""/>
    <s v=""/>
    <s v="2023-11-15"/>
    <s v="WOS:000625361900025"/>
    <s v="View Full Record in Web of Science"/>
    <m/>
  </r>
  <r>
    <x v="347"/>
    <s v="J"/>
    <x v="343"/>
    <s v=""/>
    <s v=""/>
    <s v=""/>
    <s v="Atencio, Pedro; Sanchez-Torres, German; Palomino, Rene Iral; Bedoya, John W. Branch; Burgos, Daniel"/>
    <s v=""/>
    <s v=""/>
    <x v="345"/>
    <x v="251"/>
    <s v=""/>
    <s v=""/>
    <s v="Spanish"/>
    <s v="Article"/>
    <s v=""/>
    <s v=""/>
    <s v=""/>
    <s v=""/>
    <s v=""/>
    <x v="324"/>
    <x v="257"/>
    <s v="Since SARS-CoV-2 is likely to become endemic in many countries, it will require not only short-term support but also long-term support, as social distancing policies cannot be extended for long. Therefore, a technological platform for epidemiological surveillance can represent a fundamental tool. The impact of the project is essential for public health actors to design and evaluate policies aimed at the safe reactivation of social activities after social distancing policies are suspended. We also consider this software service as a basic piece in the Digital Transformation strategy, since it allows us to anticipate the behaviors and necessary resources that adapt the needs with the provision in a dynamic way, but adjusted to reality. This anticipation approach becomes a pillar in the digital strategy of any company, Administration and education center. The tool includes a mechanism based on Artificial Intelligence for data analysis in order to have a dynamic understanding of symptoms, evolution, social space-time data and the relationships between them, which will allow the relevant entities to optimize resources such as virus detection tests and positive test controls."/>
    <s v="[Atencio, Pedro] Inst Tecnol Metropolitano, Medellin, Colombia; [Sanchez-Torres, German] Univ Magdalena, Magdalena, Colombia; [Palomino, Rene Iral; Bedoya, John W. Branch] Univ Nacl Colombia, Sede Medellin, Medellin, Colombia; [Burgos, Daniel] Univ Int La Rioja UNIR, Logrono, Spain"/>
    <s v="Universidad del Magdalena; Universidad Nacional de Colombia; Universidad Internacional de La Rioja (UNIR)"/>
    <s v="Atencio, P (corresponding author), Inst Tecnol Metropolitano, Medellin, Colombia."/>
    <s v="pedroatencio@itm.edu.co; gsanchez@unimagdalena.edu.co; riral@unal.edu.co; jwbranch@unal.edu.co; daniel.burgos@unir.net"/>
    <s v=""/>
    <s v=""/>
    <s v=""/>
    <s v=""/>
    <s v=""/>
    <s v=""/>
    <n v="51"/>
    <n v="1"/>
    <n v="2"/>
    <n v="1"/>
    <n v="6"/>
    <s v="RED UNIV CAMPUS VIRTUALES"/>
    <s v="HUELVA"/>
    <s v="AVENIDA DE MARZO, HUELVA, 21071, SPAIN"/>
    <s v="2255-1514"/>
    <s v=""/>
    <s v=""/>
    <s v="CAMPUS VIRTUALES"/>
    <s v="Campus Virtuales"/>
    <s v="JAN"/>
    <x v="2"/>
    <n v="10"/>
    <n v="1"/>
    <s v=""/>
    <s v=""/>
    <s v=""/>
    <s v=""/>
    <n v="21"/>
    <n v="34"/>
    <s v=""/>
    <s v=""/>
    <s v=""/>
    <s v=""/>
    <s v=""/>
    <n v="14"/>
    <x v="39"/>
    <x v="2"/>
    <s v="Education &amp; Educational Research"/>
    <s v="QB8UZ"/>
    <s v=""/>
    <s v=""/>
    <s v=""/>
    <s v=""/>
    <s v="2023-11-15"/>
    <s v="WOS:000614413700002"/>
    <s v="View Full Record in Web of Science"/>
    <m/>
  </r>
  <r>
    <x v="348"/>
    <s v="J"/>
    <x v="344"/>
    <s v=""/>
    <s v=""/>
    <s v=""/>
    <s v="Camilo Lopera-Zuluaga, Edwar; Elena Marin-Ochoa, Beatriz; Luveny Garcia-Franco, Lady"/>
    <s v=""/>
    <s v=""/>
    <x v="346"/>
    <x v="252"/>
    <s v=""/>
    <s v=""/>
    <s v="Spanish"/>
    <s v="Article"/>
    <s v=""/>
    <s v=""/>
    <s v=""/>
    <s v=""/>
    <s v=""/>
    <x v="325"/>
    <x v="258"/>
    <s v="We, teachers in Latin America, live between the potential of digital school and, at the same time, the actual situation of school socioeconomic segregation of our students. Therefore, we ask: how to build digital learning despite the situation of socioeconomic school segregation? When defining itself, what learning can boys and girls build? Both, a teacher researcher and 71 girls and boys between 9-13 years old, built an action research that consisted of the use of a digital strategy in computational thinking, in addition, the execution of class workshops, focus groups and a family recovery of the lived experience to capitalize built learning. We used a qualitative analysis assisted by the Atlas ti software -version 8-. We grounded on data eight learnings built by girls and boys: spontaneous learning; to censor content; to teach the family; to identify their own learning; to belong to online communities; to know how to play; feelings about learning; and, school usefulness of technology. Finally, we discuss the findings within the research background, its methodological and practical implications."/>
    <s v="[Camilo Lopera-Zuluaga, Edwar; Elena Marin-Ochoa, Beatriz] Univ Pontificia Bolivariana UPB, Medellin, Colombia; [Luveny Garcia-Franco, Lady] Secretaria Educ Bello, Bello, Colombia"/>
    <s v=""/>
    <s v="Lopera-Zuluaga, EC (corresponding author), Univ Pontificia Bolivariana UPB, Medellin, Colombia."/>
    <s v=""/>
    <s v=""/>
    <s v=""/>
    <s v=""/>
    <s v=""/>
    <s v=""/>
    <s v=""/>
    <n v="64"/>
    <n v="1"/>
    <n v="1"/>
    <n v="0"/>
    <n v="6"/>
    <s v="ORGANIZACION ESTADOS IBEROAMERICANOS EDUCACION CIENCIA &amp; CULTURA-OEI"/>
    <s v="MADRID"/>
    <s v="BRAVO MURILLO 38, MADRID, 28015, SPAIN"/>
    <s v="1022-6508"/>
    <s v="1681-5653"/>
    <s v=""/>
    <s v="REV IBEROAM EDUC"/>
    <s v="Rev. Iberoam. Educ."/>
    <s v="JAN-APR"/>
    <x v="2"/>
    <n v="85"/>
    <n v="1"/>
    <s v=""/>
    <s v=""/>
    <s v=""/>
    <s v=""/>
    <n v="159"/>
    <n v="183"/>
    <s v=""/>
    <s v="10.35362/rie8514100"/>
    <s v="http://dx.doi.org/10.35362/rie8514100"/>
    <s v=""/>
    <s v=""/>
    <n v="25"/>
    <x v="39"/>
    <x v="2"/>
    <s v="Education &amp; Educational Research"/>
    <s v="PU9RS"/>
    <s v=""/>
    <s v="gold"/>
    <s v=""/>
    <s v=""/>
    <s v="2023-11-15"/>
    <s v="WOS:000609636000009"/>
    <s v="View Full Record in Web of Science"/>
    <m/>
  </r>
  <r>
    <x v="349"/>
    <s v="J"/>
    <x v="345"/>
    <s v=""/>
    <s v=""/>
    <s v=""/>
    <s v="Dold, L.; Speck, C."/>
    <s v=""/>
    <s v=""/>
    <x v="347"/>
    <x v="253"/>
    <s v=""/>
    <s v=""/>
    <s v="English"/>
    <s v="Article"/>
    <s v=""/>
    <s v=""/>
    <s v=""/>
    <s v=""/>
    <s v=""/>
    <x v="326"/>
    <x v="259"/>
    <s v="Although Industry 4.0 and other initiatives predict widespread adoption of digitalised technology on the factory floor, few companies use new digitalised production technology holistically in their ecosystems; in practical implementation, companies often decide against digitalisation for financial reasons. This is due to a paradox (akin to the so called productivity paradox) caused by the complexity of value creation and value delivery within digitalised production. This article analyses and synthesises cross-disciplinary research using a grounded theory model, thus offering valuable insights for businesses considering investing in digitalised production. A qualitative model and an associated toolbox (complete with tools for practical application by business leaders and decision-makers) are presented to address organisational uncertainty and leadership disconnect that often contribute to the paradoxical gap between digital strategy and operational implementation."/>
    <s v="[Dold, L.] Middlesex Univ, London NW4 4BT, England; [Speck, C.] Kalaidos Fachhsch, Dept Wirtschaft, Jungholzstr 43, CH-8050 Zurich, Switzerland"/>
    <s v="Middlesex University"/>
    <s v="Dold, L (corresponding author), Middlesex Univ, London NW4 4BT, England."/>
    <s v="Luciandokl@aol.com"/>
    <s v=""/>
    <s v="Dold, Lucian/0000-0002-6544-859X"/>
    <s v=""/>
    <s v=""/>
    <s v=""/>
    <s v=""/>
    <n v="67"/>
    <n v="2"/>
    <n v="2"/>
    <n v="2"/>
    <n v="16"/>
    <s v="UNIV POLITECNICA VALENCIA, EDITORIAL UPV"/>
    <s v="VALENCIA"/>
    <s v="CAMINO VERA S-N, VALENCIA, 46022, SPAIN"/>
    <s v="2340-5317"/>
    <s v="2340-4876"/>
    <s v=""/>
    <s v="INT J PROD MANAG ENG"/>
    <s v="Int. J. Prod. Manag. Engineering"/>
    <s v=""/>
    <x v="2"/>
    <n v="9"/>
    <n v="2"/>
    <s v=""/>
    <s v=""/>
    <s v=""/>
    <s v=""/>
    <n v="65"/>
    <n v="80"/>
    <s v=""/>
    <s v="10.4995/ijpme.2021.15058"/>
    <s v="http://dx.doi.org/10.4995/ijpme.2021.15058"/>
    <s v=""/>
    <s v=""/>
    <n v="16"/>
    <x v="53"/>
    <x v="2"/>
    <s v="Engineering"/>
    <s v="TR1EO"/>
    <s v=""/>
    <s v="Green Published, gold"/>
    <s v=""/>
    <s v=""/>
    <s v="2023-11-15"/>
    <s v="WOS:000678715200001"/>
    <s v="View Full Record in Web of Science"/>
    <m/>
  </r>
  <r>
    <x v="350"/>
    <s v="J"/>
    <x v="346"/>
    <s v=""/>
    <s v=""/>
    <s v=""/>
    <s v="Dominguez Vila, Trinidad; Alen Gonzalez, Elisa; Araujo Vila, Noelia; Fraiz Brea, Jose Antonio"/>
    <s v=""/>
    <s v=""/>
    <x v="348"/>
    <x v="254"/>
    <s v=""/>
    <s v=""/>
    <s v="English"/>
    <s v="Article"/>
    <s v=""/>
    <s v=""/>
    <s v=""/>
    <s v=""/>
    <s v=""/>
    <x v="327"/>
    <x v="260"/>
    <s v="The continuous growth of e-commerce, combined with new trends in the tourism sector, creates an imperative to conduct analyses and establish suitable models for improving the experience of users who seek tourism products online, using search and metasearch engines. However, few studies analyze web design variables and their impacts on the user experience. Therefore, the present study aims to investigate the influence of content, usability, functionality, and branding for determining user experiences with search engines and metasearch engines dedicated to tourism. The methodology used in this research followed a mixed approach to fulfill the proposed dual perspective, that is, to collect data from websites and evaluate the user experience. To determine the variables to be modeled, the authors use a General Additive Model. Main results reveal two determinant factors that enhance the user experience: usability and branding. With this foundation, this study proposes basic premises of the digital strategy that tourism platforms should follow. As implications for the tourism sector, suggest that e-commerce search and metasearch engines in the tourism industry should devote substantial efforts to implementing interactivity, memorability, personalization, privacy, and security."/>
    <s v="[Dominguez Vila, Trinidad; Alen Gonzalez, Elisa; Araujo Vila, Noelia; Fraiz Brea, Jose Antonio] Univ Vigo, Fac Business Sci &amp; Tourism, Orense, Spain"/>
    <s v="Universidade de Vigo"/>
    <s v="Vila, TD (corresponding author), Univ Vigo, Fac Business Sci &amp; Tourism, Orense, Spain."/>
    <s v="trinidad@uvigo.es; alen@uvigo.es; naraujo@uvigo.es; jafraiz@uvigo.es"/>
    <s v="FRAIZ BREA, JOSE ANTONIO/G-4431-2015; Alen, Elisa/K-6037-2014"/>
    <s v="FRAIZ BREA, JOSE ANTONIO/0000-0002-3190-6492; Alen, Elisa/0000-0002-6304-7805"/>
    <s v=""/>
    <s v=""/>
    <s v=""/>
    <s v=""/>
    <n v="145"/>
    <n v="16"/>
    <n v="16"/>
    <n v="6"/>
    <n v="200"/>
    <s v="MDPI"/>
    <s v="BASEL"/>
    <s v="ST ALBAN-ANLAGE 66, CH-4052 BASEL, SWITZERLAND"/>
    <s v="0718-1876"/>
    <s v=""/>
    <s v=""/>
    <s v="J THEOR APPL EL COMM"/>
    <s v="J. Theor. Appl. Electron. Commer. Res."/>
    <s v="JAN"/>
    <x v="2"/>
    <n v="16"/>
    <n v="1"/>
    <s v=""/>
    <s v=""/>
    <s v=""/>
    <s v=""/>
    <n v="18"/>
    <n v="36"/>
    <s v=""/>
    <s v="10.4067/S0718-18762021000100103"/>
    <s v="http://dx.doi.org/10.4067/S0718-18762021000100103"/>
    <s v=""/>
    <s v=""/>
    <n v="19"/>
    <x v="33"/>
    <x v="1"/>
    <s v="Business &amp; Economics"/>
    <s v="LS5VJ"/>
    <s v=""/>
    <s v="gold"/>
    <s v=""/>
    <s v=""/>
    <s v="2023-11-15"/>
    <s v="WOS:000536451200003"/>
    <s v="View Full Record in Web of Science"/>
    <m/>
  </r>
  <r>
    <x v="351"/>
    <s v="B"/>
    <x v="347"/>
    <s v=""/>
    <s v="McKelvey, B"/>
    <s v=""/>
    <s v="Escoffier, Nadine; McKelvey, Bill"/>
    <s v=""/>
    <s v=""/>
    <x v="349"/>
    <x v="255"/>
    <s v="Routledge Studies in Innovation Organization and Technology"/>
    <s v=""/>
    <s v="English"/>
    <s v="Article; Book Chapter"/>
    <s v=""/>
    <s v=""/>
    <s v=""/>
    <s v=""/>
    <s v=""/>
    <x v="8"/>
    <x v="261"/>
    <s v=""/>
    <s v="[McKelvey, Bill] Univ Calif Los Angeles UCLA, Anderson Sch Management, Strateg Organizing &amp; Complex Sci, Los Angeles, CA 90095 USA; [McKelvey, Bill] Ctr Rescuing Strategy &amp; Org Sci SOS, Los Angeles, CA 90095 USA"/>
    <s v="University of California System; University of California Los Angeles"/>
    <s v="McKelvey, B (corresponding author), Univ Calif Los Angeles UCLA, Anderson Sch Management, Strateg Organizing &amp; Complex Sci, Los Angeles, CA 90095 USA.;McKelvey, B (corresponding author), Ctr Rescuing Strategy &amp; Org Sci SOS, Los Angeles, CA 90095 USA."/>
    <s v=""/>
    <s v=""/>
    <s v=""/>
    <s v=""/>
    <s v=""/>
    <s v=""/>
    <s v=""/>
    <n v="89"/>
    <n v="0"/>
    <n v="0"/>
    <n v="0"/>
    <n v="0"/>
    <s v="ROUTLEDGE"/>
    <s v="ABINGDON"/>
    <s v="2 PARK SQ, MILTON PARK, ABINGDON OX14 4RN, OXFORD, ENGLAND"/>
    <s v=""/>
    <s v=""/>
    <s v="978-1-032-01172-1; 978-0-429-27821-1; 978-0-367-23074-6"/>
    <s v="ROUT STUD INNOV ORG"/>
    <s v=""/>
    <s v=""/>
    <x v="2"/>
    <s v=""/>
    <s v=""/>
    <s v=""/>
    <s v=""/>
    <s v=""/>
    <s v=""/>
    <n v="242"/>
    <n v="267"/>
    <s v=""/>
    <s v=""/>
    <s v=""/>
    <s v=""/>
    <s v=""/>
    <n v="26"/>
    <x v="6"/>
    <x v="7"/>
    <s v="Business &amp; Economics"/>
    <s v="BU1GB"/>
    <s v=""/>
    <s v=""/>
    <s v=""/>
    <s v=""/>
    <s v="2023-11-15"/>
    <s v="WOS:000877485500008"/>
    <s v="View Full Record in Web of Science"/>
    <m/>
  </r>
  <r>
    <x v="352"/>
    <s v="J"/>
    <x v="348"/>
    <s v=""/>
    <s v=""/>
    <s v=""/>
    <s v="Fernandez Miravete, Angel David; Prendes Espinosa, Maria Paz"/>
    <s v=""/>
    <s v=""/>
    <x v="350"/>
    <x v="256"/>
    <s v=""/>
    <s v=""/>
    <s v="Spanish"/>
    <s v="Article"/>
    <s v=""/>
    <s v=""/>
    <s v=""/>
    <s v=""/>
    <s v=""/>
    <x v="328"/>
    <x v="262"/>
    <s v="The achievement of digital competence among students has become a main objective within Spanish educational policies in recent decades. In this regard, the European Framework for Digitally Competent Educational Organizations (DigCompOrg) guides schools in their digitization process in a systematic way. This research evaluates the degree of development of the use of learning technologies in a secondary school in the Region of Murcia (case study) according to the dimensions contemplated in the European model. The research design is based on the ADDIE model and chooses a mixed methodology in which quantitative (SELFIE questionnaire) and qualitative (discussion group) techniques are applied. The results presented here collect the analysis of the qualitative information on secondary school students, teachers and school leaders. This first stage of detection of needs has allowed the center to establish a self-reflection and selfevaluation process on its digitization process, as well as the proposal of actions and improvement strategies that reinforce its commitment to digital pedagogies. Among them is the development of a digital strategy for the center, establishing progress evaluation mechanisms or working with digital learning technologies that promote self-evaluation and co-evaluation, all of which are related to the leadership dimensions and evaluative practices of the European model."/>
    <s v="[Fernandez Miravete, Angel David; Prendes Espinosa, Maria Paz] Dept Didact &amp; Org Escolar, Fac Educ, Campus Espinardo, Murcia 30100, Spain"/>
    <s v="University of Murcia"/>
    <s v="Miravete, ADF (corresponding author), Dept Didact &amp; Org Escolar, Fac Educ, Campus Espinardo, Murcia 30100, Spain."/>
    <s v="angeldavid.fernandez@um.es; pazprend@um.es"/>
    <s v="Prendes-Espinosa, Paz/B-3887-2014"/>
    <s v="Prendes-Espinosa, Paz/0000-0001-8375-5983"/>
    <s v=""/>
    <s v=""/>
    <s v=""/>
    <s v=""/>
    <n v="48"/>
    <n v="5"/>
    <n v="5"/>
    <n v="5"/>
    <n v="17"/>
    <s v="UNIV EXTREMADURA, FAC EDUCACION"/>
    <s v="BADAJOZ"/>
    <s v="AV ELVAS S-N, BADAJOZ, 06071, SPAIN"/>
    <s v="1695-288X"/>
    <s v=""/>
    <s v=""/>
    <s v="REV LATINOAM TECNOL"/>
    <s v="Rev. Latinoam. Tecnol. Educ.-RELATEC"/>
    <s v=""/>
    <x v="2"/>
    <n v="20"/>
    <n v="1"/>
    <s v=""/>
    <s v=""/>
    <s v=""/>
    <s v=""/>
    <n v="9"/>
    <n v="25"/>
    <s v=""/>
    <s v="10.17398/1695-288X.20.1.9"/>
    <s v="http://dx.doi.org/10.17398/1695-288X.20.1.9"/>
    <s v=""/>
    <s v=""/>
    <n v="17"/>
    <x v="39"/>
    <x v="2"/>
    <s v="Education &amp; Educational Research"/>
    <s v="TB1UK"/>
    <s v=""/>
    <s v="Green Published"/>
    <s v=""/>
    <s v=""/>
    <s v="2023-11-15"/>
    <s v="WOS:000667730000001"/>
    <s v="View Full Record in Web of Science"/>
    <m/>
  </r>
  <r>
    <x v="353"/>
    <s v="J"/>
    <x v="349"/>
    <s v=""/>
    <s v=""/>
    <s v=""/>
    <s v="Fernandez-Pena, Emilio; Ramajo-Hernandez, Natividad"/>
    <s v=""/>
    <s v=""/>
    <x v="351"/>
    <x v="257"/>
    <s v=""/>
    <s v=""/>
    <s v="English"/>
    <s v="Article"/>
    <s v=""/>
    <s v=""/>
    <s v=""/>
    <s v=""/>
    <s v=""/>
    <x v="329"/>
    <x v="1"/>
    <s v="This work deals with the Olympic Channel's digital strategy in the context of the historical relationship between the media and the Olympic Games. Olympic Channel is a channel with a holistic vision, from the point of view of its integral modalities of diffusion and dissemination and from the perspective of alliances for its launch at the global and local level. It constitutes the culmination of various attempts to create a channel with the same characteristics since the second half of the 90s. The current individualistic mass media reward communicative ubiquity, the constant presence in different media: linear television, television platforms of payment, YouTube or social networks. Repetition, insistence, constitute the basis for conditioning the agenda setting, proposing the issues that are on people's minds, or about which the public is talking, and dominating the economy of attention."/>
    <s v="[Fernandez-Pena, Emilio; Ramajo-Hernandez, Natividad] Autonomous Univ Barcelona, Sport Res Inst, Bellaterra, Spain"/>
    <s v="Autonomous University of Barcelona"/>
    <s v="Fernández-Peña, E (corresponding author), Autonomous Univ Barcelona, Sport Res Inst, Bellaterra, Spain."/>
    <s v="Emilio.fernandez@uab.cat"/>
    <s v=""/>
    <s v=""/>
    <s v=""/>
    <s v=""/>
    <s v=""/>
    <s v=""/>
    <n v="33"/>
    <n v="0"/>
    <n v="0"/>
    <n v="0"/>
    <n v="2"/>
    <s v="UNIV ALICANTE"/>
    <s v="ALICANTE"/>
    <s v="APARTADO DE CORREOS 99, ALICANTE, 3080, SPAIN"/>
    <s v="1988-5202"/>
    <s v=""/>
    <s v=""/>
    <s v="J HUM SPORT EXERC"/>
    <s v="J. Hum. Sport Exerc."/>
    <s v=""/>
    <x v="2"/>
    <n v="16"/>
    <s v=""/>
    <s v=""/>
    <s v="S"/>
    <s v=""/>
    <s v=""/>
    <s v="S1"/>
    <s v="S13"/>
    <s v=""/>
    <s v="10.14198/jhse.2021.16.Proc1.01"/>
    <s v="http://dx.doi.org/10.14198/jhse.2021.16.Proc1.01"/>
    <s v=""/>
    <s v=""/>
    <n v="13"/>
    <x v="122"/>
    <x v="2"/>
    <s v="Sport Sciences"/>
    <s v="TU8TF"/>
    <s v=""/>
    <s v="Green Published, hybrid"/>
    <s v=""/>
    <s v=""/>
    <s v="2023-11-15"/>
    <s v="WOS:000681302800001"/>
    <s v="View Full Record in Web of Science"/>
    <m/>
  </r>
  <r>
    <x v="354"/>
    <s v="J"/>
    <x v="350"/>
    <s v=""/>
    <s v=""/>
    <s v=""/>
    <s v="Gallardo-Rincon, Hector; Montoya, Alejandra; Saucedo-Martinez, Rodrigo; Mujica-Rosales, Ricardo; Suarez-Idueta, Lorena; Alberto Martinez-Juarez, Luis; Razo, Christian; Lozano, Rafael; Tapia-Conyer, Roberto"/>
    <s v=""/>
    <s v=""/>
    <x v="352"/>
    <x v="29"/>
    <s v=""/>
    <s v=""/>
    <s v="English"/>
    <s v="Article"/>
    <s v=""/>
    <s v=""/>
    <s v=""/>
    <s v=""/>
    <s v=""/>
    <x v="330"/>
    <x v="263"/>
    <s v="Objectives The Carlos Slim Foundation implemented the Integrated Measurement for Early Detection (MIDO), a screening strategy for non-communicable diseases (NCDs) in Mexico as part of CASALUD, a portfolio of digital health services focusing on healthcare delivery and prevention/management of NCDs. We investigated the disease profile of the screened population and evaluated MIDO's contribution to the continuum of care of the main NCDs. Design Using data from MIDO and the chronic diseases information system, we quantified the proportion of the population screened and diagnosed with NCDs, and measured care linkage/retention and level of control achieved. We analysed comorbidity patterns and estimated prevalence of predisease stages. Finally, we estimated characteristics associated with unawareness and control of NCDs, and examined efficacy of the CASALUD model in improving NCD control. Setting Public primary health centres in 27/32 Mexican states. Participants Individuals aged &gt;= 20 years lacking healthcare access. Results From 2014 to 2018, 743 000 individuals were screened using MIDO. A predisease or disease condition was detected in &gt;= 70% of the population who were unaware of their NCD status. The screening identified 38 417 new cases of type 2 diabetes, 53 133 new cases of hypertension and 208 627 individuals with obesity. Dyslipidaemia was found in 77.3% of individuals with available blood samples. Comorbidities were highly prevalent, especially in people with obesity. Only 5.47% (n=17 774) of individuals were linked with their corresponding primary health centre. Factors associated with unawareness of and uncontrolled NCDs were sex, age, and social determinants, for example, rural/urban environment, access to healthcare service, and education level. Patients with type 2 diabetes treated at clinics under the CASALUD model were more likely to achieve disease control (OR: 1.32, 95% CI: 1.09 to 1.61). Conclusion Patient-centred screening strategies such as MIDO are urgently needed to improve screening, access, retention and control for patients with NCDs."/>
    <s v="[Gallardo-Rincon, Hector] Univ Guadalajara, Hlth Sci Univ Ctr, CUCS UdeG, Guadalajara, Jalisco, Mexico; [Montoya, Alejandra; Saucedo-Martinez, Rodrigo; Mujica-Rosales, Ricardo; Suarez-Idueta, Lorena; Alberto Martinez-Juarez, Luis; Tapia-Conyer, Roberto] Carlos Slim Fdn, Mexico City, DF, Mexico; [Alberto Martinez-Juarez, Luis] London Sch Hyg &amp; Trop Med, London, England; [Razo, Christian; Lozano, Rafael] Univ Washington, Inst Hlth Metr &amp; Evaluat, Seattle, WA 98195 USA; [Tapia-Conyer, Roberto] Univ Nacl Autonoma Mexico, Sch Med, Mexico City, DF, Mexico"/>
    <s v="Universidad de Guadalajara; University of London; London School of Hygiene &amp; Tropical Medicine; Institute for Health Metrics &amp; Evaluation; University of Washington; University of Washington Seattle; Universidad Nacional Autonoma de Mexico"/>
    <s v="Montoya, A (corresponding author), Carlos Slim Fdn, Mexico City, DF, Mexico."/>
    <s v="airainmr@fundacioncarlosslim.org"/>
    <s v="Ahmed, Ayisha/HJY-9698-2023; Lozano, Rafael/T-5352-2018"/>
    <s v="Lozano, Rafael/0000-0002-7356-8823; Tapia-Conyer, Roberto/0000-0001-9425-7322; Suarez-Idueta, Lorena/0000-0003-0909-7737; Martinez-Juarez, Luis Alberto/0000-0001-7550-7867; Gallardo-Rincon, Hector Jose/0000-0002-0811-4606"/>
    <s v="Carlos Slim Foundation"/>
    <s v="Carlos Slim Foundation"/>
    <s v="The MIDO strategy was developed and funded by the Carlos Slim Foundation; however, the present study did not receive funding from any third party agency, and there is no award or grant number to report."/>
    <s v=""/>
    <n v="53"/>
    <n v="4"/>
    <n v="4"/>
    <n v="0"/>
    <n v="1"/>
    <s v="BMJ PUBLISHING GROUP"/>
    <s v="LONDON"/>
    <s v="BRITISH MED ASSOC HOUSE, TAVISTOCK SQUARE, LONDON WC1H 9JR, ENGLAND"/>
    <s v="2044-6055"/>
    <s v=""/>
    <s v=""/>
    <s v="BMJ OPEN"/>
    <s v="BMJ Open"/>
    <s v=""/>
    <x v="2"/>
    <n v="11"/>
    <n v="9"/>
    <s v=""/>
    <s v=""/>
    <s v=""/>
    <s v=""/>
    <s v=""/>
    <s v=""/>
    <s v="e049836"/>
    <s v="10.1136/bmjopen-2021-049836"/>
    <s v="http://dx.doi.org/10.1136/bmjopen-2021-049836"/>
    <s v=""/>
    <s v=""/>
    <n v="10"/>
    <x v="28"/>
    <x v="3"/>
    <s v="General &amp; Internal Medicine"/>
    <s v="ZZ9WZ"/>
    <n v="34475175"/>
    <s v="Green Published, gold, Green Accepted"/>
    <s v=""/>
    <s v=""/>
    <s v="2023-11-15"/>
    <s v="WOS:000773615100036"/>
    <s v="View Full Record in Web of Science"/>
    <m/>
  </r>
  <r>
    <x v="355"/>
    <s v="J"/>
    <x v="351"/>
    <s v=""/>
    <s v=""/>
    <s v=""/>
    <s v="Garcia-Martin, Inma; Ortega-Mohedano, Felix; Perez-Pelaez, Maria-Esther"/>
    <s v=""/>
    <s v=""/>
    <x v="353"/>
    <x v="258"/>
    <s v=""/>
    <s v=""/>
    <s v="Spanish"/>
    <s v="Article"/>
    <s v=""/>
    <s v=""/>
    <s v=""/>
    <s v=""/>
    <s v=""/>
    <x v="331"/>
    <x v="1"/>
    <s v="COVID-19 has caused the closure of large cultural entities that has impacted on the cultural habits of citizens. Since the start of this Global Pandemic, digital tools have become the great allies of museums to keep in touch with their visitors, strengthening their links and betting on the digitization of content both in direct and delayed format. Analyzing the effectiveness of this digital communication and the habits of use and consumption that characterize museum visitors to readjust and improve museum communication strategies in times of Coronavirus is essential. This is a statistical-descriptive study that presents the results of a questionnaire carried out on 619 visitors from two of the museums with the highest number of visits in Castille and Leon: The Museum of Human Evolution and The Art Nouveau and Art Deco Museum Casa Lis. Among the main results, the increase in the number of visitors who access information through social networks and mobile services stands out, which implies a change in the way they inform themselves, but the need to implement digital strategies to face a crisis like the COVID-19."/>
    <s v="[Garcia-Martin, Inma] Univ Salamanca, Programa Doctorado Formac Soc Conocimiento, Salamanca, Spain; [Ortega-Mohedano, Felix] Univ Salamanca, Master Comunicac Invest &amp; Innovac, Salamanca, Spain; [Perez-Pelaez, Maria-Esther] Univ Int Valencia, Valencia, Spain"/>
    <s v="University of Salamanca; University of Salamanca; Universidad Internacional de Valencia VIU"/>
    <s v="García-Martín, I (corresponding author), Univ Salamanca, Programa Doctorado Formac Soc Conocimiento, Salamanca, Spain."/>
    <s v="adagarcia@usal.es; fortega@usal.es; mariaesther.perez@campusviu.es"/>
    <s v="Peláez, María Esther Pérez/AAK-4119-2020; Ortega, Felix/I-6099-2015"/>
    <s v="Peláez, María Esther Pérez/0000-0001-5243-5733; Ortega, Felix/0000-0003-2735-4813"/>
    <s v=""/>
    <s v=""/>
    <s v=""/>
    <s v=""/>
    <n v="26"/>
    <n v="4"/>
    <n v="5"/>
    <n v="0"/>
    <n v="15"/>
    <s v="UNIV COMPLUTENSE MADRID, SERVICIO PUBLICACIONES"/>
    <s v="MADRID"/>
    <s v="CIUDAD UNIV, OBISPO TREJO 3, MADRID, 28040, SPAIN"/>
    <s v="1575-2844"/>
    <s v=""/>
    <s v=""/>
    <s v="VIVAT ACAD"/>
    <s v="Vivat Acad."/>
    <s v=""/>
    <x v="2"/>
    <s v=""/>
    <n v="154"/>
    <s v=""/>
    <s v=""/>
    <s v=""/>
    <s v=""/>
    <s v=""/>
    <s v=""/>
    <s v=""/>
    <s v="10.15178/va.2021.154.e1261"/>
    <s v="http://dx.doi.org/10.15178/va.2021.154.e1261"/>
    <s v=""/>
    <s v=""/>
    <n v="23"/>
    <x v="56"/>
    <x v="2"/>
    <s v="Communication"/>
    <s v="SK5AY"/>
    <s v=""/>
    <s v="gold, Green Submitted"/>
    <s v=""/>
    <s v=""/>
    <s v="2023-11-15"/>
    <s v="WOS:000656229300013"/>
    <s v="View Full Record in Web of Science"/>
    <m/>
  </r>
  <r>
    <x v="356"/>
    <s v="J"/>
    <x v="352"/>
    <s v=""/>
    <s v=""/>
    <s v=""/>
    <s v="Giulierini, Paolo"/>
    <s v=""/>
    <s v=""/>
    <x v="354"/>
    <x v="259"/>
    <s v=""/>
    <s v=""/>
    <s v="English"/>
    <s v="Article"/>
    <s v=""/>
    <s v=""/>
    <s v=""/>
    <s v=""/>
    <s v=""/>
    <x v="332"/>
    <x v="264"/>
    <s v="Focus of this paper are the digital strategies of National Archaeological Museum of Naples (MANN- Museo Archeologico Nazionale di Napoli). The contribution also testifies links and joint initiatives with other public institutions, such as schools and universities, but also with private companies in gaming and entertainment. In general it emerges a strategy that may result in a new cultural horizon of true autonomy, helping to regenerate the city from a cultural, economic and social point of view."/>
    <s v="[Giulierini, Paolo] Natl Archael Museum Naples, Naples, Italy"/>
    <s v=""/>
    <s v="Giulierini, P (corresponding author), Natl Archael Museum Naples, Naples, Italy."/>
    <s v=""/>
    <s v=""/>
    <s v=""/>
    <s v=""/>
    <s v=""/>
    <s v=""/>
    <s v=""/>
    <n v="7"/>
    <n v="0"/>
    <n v="0"/>
    <n v="2"/>
    <n v="4"/>
    <s v="CASPUR-CIBER PUBL"/>
    <s v="ROMA"/>
    <s v="CASPUR-CIBER PUBL, ROMA, 00000, ITALY"/>
    <s v="2239-4303"/>
    <s v=""/>
    <s v=""/>
    <s v="SCIRES-IT"/>
    <s v="SCIRES-IT"/>
    <s v=""/>
    <x v="2"/>
    <n v="11"/>
    <n v="1"/>
    <s v=""/>
    <s v=""/>
    <s v=""/>
    <s v=""/>
    <n v="19"/>
    <n v="22"/>
    <s v=""/>
    <s v="10.2423/i22394303v11n1p19"/>
    <s v="http://dx.doi.org/10.2423/i22394303v11n1p19"/>
    <s v=""/>
    <s v=""/>
    <n v="4"/>
    <x v="55"/>
    <x v="2"/>
    <s v="Arts &amp; Humanities - Other Topics"/>
    <s v="XT9JL"/>
    <s v=""/>
    <s v=""/>
    <s v=""/>
    <s v=""/>
    <s v="2023-11-15"/>
    <s v="WOS:000733894900003"/>
    <s v="View Full Record in Web of Science"/>
    <m/>
  </r>
  <r>
    <x v="357"/>
    <s v="J"/>
    <x v="353"/>
    <s v=""/>
    <s v=""/>
    <s v=""/>
    <s v="Jung, Chang Mo"/>
    <s v=""/>
    <s v=""/>
    <x v="355"/>
    <x v="260"/>
    <s v=""/>
    <s v=""/>
    <s v="English"/>
    <s v="Article"/>
    <s v=""/>
    <s v=""/>
    <s v=""/>
    <s v=""/>
    <s v=""/>
    <x v="333"/>
    <x v="265"/>
    <s v="COVID-19 is bringing changes in B2B sales and marketing strategies. Digital interaction with potential customers has become more critical. Business-reference content (BRC) is the most shared content, mainly using narrative format, available to potential customers through digital touchpoints. Reducing perceived purchasing risk has been recognized as the primary benefit of using BRC, but empirical research on this has been insufficient. Therefore, this research investigated the underlying mechanisms of BRC and related processes that lower risk perception based on narrative transportation theory. For empirical analysis, a serial-parallel mediating model was established in which BRC type (narrative versus non-narrative) influences purchase intention through the mediation of narrative transportation and perceived purchase risks - functional risk and financial risk. In this experimental study, an online survey was conducted in which 233 purchasing managers in Korean companies participated. The analysis confirmed that the BRC type had a significant effect on the level of receivers' narrative transportation. In addition, serial-parallel mediating effects through narrative transportation (primary mediator) and perceived functional risk and perceived financial risk (secondary mediators) were all significant. This research provides meaningful implications in that it broadens the theoretical understanding of BRC by presenting the integrated BRC effect model. Also, it clarifies the importance of narrative BRC in B2B marketing practices."/>
    <s v="[Jung, Chang Mo] Yonsei Univ, Sch Business Adm, Seoul, South Korea"/>
    <s v="Yonsei University"/>
    <s v="Jung, CM (corresponding author), Yonsei Univ, Sch Business Adm, Seoul, South Korea."/>
    <s v="2011313041@yonsei.ac.kr"/>
    <s v=""/>
    <s v="Jung, Chang Mo/0000-0003-4684-528X"/>
    <s v=""/>
    <s v=""/>
    <s v=""/>
    <s v=""/>
    <n v="65"/>
    <n v="1"/>
    <n v="1"/>
    <n v="8"/>
    <n v="67"/>
    <s v="VILNIUS GEDIMINAS TECH UNIV"/>
    <s v="VILNIUS"/>
    <s v="SAULETEKIO AL 11, VILNIUS, LT-10223, LITHUANIA"/>
    <s v="1611-1699"/>
    <s v="2029-4433"/>
    <s v=""/>
    <s v="J BUS ECON MANAG"/>
    <s v="J. Bus. Econ. Manag."/>
    <s v=""/>
    <x v="2"/>
    <n v="22"/>
    <n v="5"/>
    <s v=""/>
    <s v=""/>
    <s v=""/>
    <s v=""/>
    <n v="1323"/>
    <n v="1341"/>
    <s v=""/>
    <s v="10.3846/jbem.2021.15527"/>
    <s v="http://dx.doi.org/10.3846/jbem.2021.15527"/>
    <s v=""/>
    <s v=""/>
    <n v="19"/>
    <x v="98"/>
    <x v="1"/>
    <s v="Business &amp; Economics"/>
    <s v="WH2GJ"/>
    <s v=""/>
    <s v="gold"/>
    <s v=""/>
    <s v=""/>
    <s v="2023-11-15"/>
    <s v="WOS:000707502900005"/>
    <s v="View Full Record in Web of Science"/>
    <m/>
  </r>
  <r>
    <x v="358"/>
    <s v="J"/>
    <x v="354"/>
    <s v=""/>
    <s v=""/>
    <s v=""/>
    <s v="Krajnovic, Aleksandra; Raguz, Ivona Vrdoljak; Perkovic, Antonija"/>
    <s v=""/>
    <s v=""/>
    <x v="356"/>
    <x v="261"/>
    <s v=""/>
    <s v=""/>
    <s v="English"/>
    <s v="Article"/>
    <s v=""/>
    <s v=""/>
    <s v=""/>
    <s v=""/>
    <s v=""/>
    <x v="334"/>
    <x v="266"/>
    <s v="This article investigates the impact of the coronavirus pandemic COVID-19 on marketing within cultural institutions, specifically in the field of digital marketing. The aim is to examine how the pandemic has affected digital strategies, marketing communication, and the performance itself - the presentation of cultural programs. The primary research was conducted in Croatia, using the method of semi-structured in-depth interviews with managers in two cultural institutions in Zadar and Dubrovnik at the end of 2020. A qualitative descriptive analysis was performed to answer the question of how cultural institutions have adapted to the crisis, especially when it comes to the marketing and the performance of cultural programs. The results show a certain degree of flexibility in adapting to the new conditions, in a way that marketing communication after the crisis turned more strongly towards digital media and was followed by adjustments to the cultural programs and their performance, as well as the budget for cultural activities. The marketing digital communication played a key role in this, which proves that cultural management in the era of the pandemic adopted the so-called digital-first paradigm, modeled on the for-profit companies. The authors conclude that culture, as a social need and necessity, will continue its activity after the crisis caused by the COVID-19 pandemic, but that it will also function in new and creative ways."/>
    <s v="[Krajnovic, Aleksandra] Univ Zadar, Dept Econ, Zadar, Croatia; [Raguz, Ivona Vrdoljak] Univ Dubrovn, Dept Econ &amp; Business Econ, Dubrovnik, Croatia; [Perkovic, Antonija] Croatian Natl Theater Zadar, Zadar, Croatia"/>
    <s v="University of Zadar"/>
    <s v="Krajnovic, A (corresponding author), Sveuciliste Zadru, Odjel Ekon, Splitska 1, HR-23000 Zadar, Croatia."/>
    <s v="akrajnov@unizd.hr"/>
    <s v=""/>
    <s v=""/>
    <s v=""/>
    <s v=""/>
    <s v=""/>
    <s v=""/>
    <n v="60"/>
    <n v="2"/>
    <n v="2"/>
    <n v="3"/>
    <n v="40"/>
    <s v="CROATIAN INTERDISCIPLINARY SOC"/>
    <s v="SESVETE"/>
    <s v="SIMUNCEVECKA 38B, SESVETE, HR-10360, CROATIA"/>
    <s v="1334-4684"/>
    <s v="1334-4676"/>
    <s v=""/>
    <s v="INTERDISCIP DESCR CO"/>
    <s v="Interdiscip. Descr. Complex Syst."/>
    <s v=""/>
    <x v="2"/>
    <n v="19"/>
    <n v="2"/>
    <s v=""/>
    <s v=""/>
    <s v=""/>
    <s v=""/>
    <n v="257"/>
    <n v="280"/>
    <s v=""/>
    <s v="10.7906/indecs.19.2.6"/>
    <s v="http://dx.doi.org/10.7906/indecs.19.2.6"/>
    <s v=""/>
    <s v=""/>
    <n v="24"/>
    <x v="31"/>
    <x v="2"/>
    <s v="Social Sciences - Other Topics"/>
    <s v="TC5DK"/>
    <s v=""/>
    <s v="gold, Green Published"/>
    <s v=""/>
    <s v=""/>
    <s v="2023-11-15"/>
    <s v="WOS:000668658800006"/>
    <s v="View Full Record in Web of Science"/>
    <m/>
  </r>
  <r>
    <x v="359"/>
    <s v="J"/>
    <x v="355"/>
    <s v=""/>
    <s v=""/>
    <s v=""/>
    <s v="Limongi, Ricardo; Candida Dias, Ana Paula; Barbosa da Silva, Andre Luiz; de Oliveira, Denise Santos; de Lamonica Freire, Otavio Bandeira"/>
    <s v=""/>
    <s v=""/>
    <x v="357"/>
    <x v="262"/>
    <s v=""/>
    <s v=""/>
    <s v="English"/>
    <s v="Article"/>
    <s v=""/>
    <s v=""/>
    <s v=""/>
    <s v=""/>
    <s v=""/>
    <x v="335"/>
    <x v="267"/>
    <s v="This teaching case addresses implementing a wholesale fashion mall's online channel that previously had its non-offline marketing strategies. The mall managed the change due to the drop in the store occupancy rate between 2018 and 2019. The mall managers prioritized the marketing team that opted to evolve towards the digital environment, a newsletter for using the digital strategy with digital influencers. Thus, this case's objective is to promote the difficulties in choosing digital influencers and especially concerning the results selected in addition to digital media."/>
    <s v="[Limongi, Ricardo] Fundacao Getulio Vargas, Mkt, Goiania, Go, Brazil; [Candida Dias, Ana Paula] Pontificia Univ Catolica Goias, Adm, Goiania, Go, Brazil; [Barbosa da Silva, Andre Luiz] Fundacao Getulio Vargas, Adm, Goiania, Go, Brazil; [de Oliveira, Denise Santos] Univ Fed Goias, Adm, Brasilia, DF, Brazil; [de Lamonica Freire, Otavio Bandeira] Univ Sao Paulo, Comuncat, Sao Paulo, SP, Brazil"/>
    <s v="Escola de Pos-Graduacao em Economia (EPGE); Getulio Vargas Foundation; Pontificia Universidade Catolica de Goias; Escola de Pos-Graduacao em Economia (EPGE); Getulio Vargas Foundation; Universidade Federal de Goias; Universidade de Sao Paulo"/>
    <s v="Limongi, R (corresponding author), Fundacao Getulio Vargas, Mkt, Goiania, Go, Brazil."/>
    <s v="rocardolimongi@ufg.cr; apcdias@gmail.com; andre_luiz_b_silva@hotmail.com; deniseadm@hotmail.com; otfreire@usp.br"/>
    <s v="Freire, Otavio/AAC-6283-2020; Limongi, Ricardo/M-1250-2014"/>
    <s v="Freire, Otavio/0000-0002-9008-4273; Limongi, Ricardo/0000-0003-3231-7515"/>
    <s v=""/>
    <s v=""/>
    <s v=""/>
    <s v=""/>
    <n v="21"/>
    <n v="1"/>
    <n v="1"/>
    <n v="5"/>
    <n v="42"/>
    <s v="ASSOC NAC CURSOS GRADUACAO &amp; ADMINISTRACAO"/>
    <s v="RIO DE JANEIRO"/>
    <s v="AVE PRESIDENTE VARGAS, 590, GRUPO 1004 CENTRO, RIO DE JANEIRO, 20071-000, BRAZIL"/>
    <s v="2177-6083"/>
    <s v="2358-0917"/>
    <s v=""/>
    <s v="ADMINISTRACAO"/>
    <s v="Administracao"/>
    <s v="JAN-APR"/>
    <x v="2"/>
    <n v="22"/>
    <n v="1"/>
    <s v=""/>
    <s v=""/>
    <s v=""/>
    <s v=""/>
    <n v="125"/>
    <n v="150"/>
    <s v=""/>
    <s v="10.13058/raep.2021.v22n1.1888"/>
    <s v="http://dx.doi.org/10.13058/raep.2021.v22n1.1888"/>
    <s v=""/>
    <s v=""/>
    <n v="26"/>
    <x v="8"/>
    <x v="2"/>
    <s v="Business &amp; Economics"/>
    <s v="SE8YN"/>
    <s v=""/>
    <s v="gold"/>
    <s v=""/>
    <s v=""/>
    <s v="2023-11-15"/>
    <s v="WOS:000652354900005"/>
    <s v="View Full Record in Web of Science"/>
    <m/>
  </r>
  <r>
    <x v="360"/>
    <s v="J"/>
    <x v="356"/>
    <s v=""/>
    <s v=""/>
    <s v=""/>
    <s v="Macedo Barbalho, Sanderson Cesar; Dantas, Rafaela de Faria"/>
    <s v=""/>
    <s v=""/>
    <x v="358"/>
    <x v="263"/>
    <s v=""/>
    <s v=""/>
    <s v="English"/>
    <s v="Article; Proceedings Paper"/>
    <s v="26th International Joint Conference on Industrial Engineering and Operations Management (IJCIECOM)"/>
    <s v="FEB, 2021"/>
    <s v="Pontif Catholic Univ Rio de Janeiro, Rio de Janeiro, BRAZIL"/>
    <s v=""/>
    <s v="Pontif Catholic Univ Rio de Janeiro"/>
    <x v="336"/>
    <x v="268"/>
    <s v="Goal: Industry 4.0 has the main purpose of turning the company into an agile organization and adapting continuously to the market's dynamicity. Thus, to reach this target, the business should be aware of its current readiness level and establish digital strategies to reach higher levels. This research aims to explore how improvements in industry 4.0 can improve companies' business processes. Design / Methodology / Approach: The present study is action research that initially identified the most suitable maturity model in Industry 4.0 in the scientific and practitioner literature. Furthermore, the chosen model was applied to a beverage manufacturer to evaluate its current maturity level. Some Industry 4.0 improvements were implemented on the warehouse as part of the company's digital strategy into which it was integrated the inventory management system with new digital solutions. Finally, interviews were conducted, and data was gathered from company indicators. Results: The action research's conduct revealed its current status and how storage management contributed to its digital transformation process. A phenomenon of islands of improvement is discussed at the end. Limitations of the investigation: Our main limitation is our case study approach. Additionally, more interviews crossing functional areas could bring additional elements about the perception of improvements that each functional group had at the implementation process. Practical implications: The case study suggests that maturity models' applications can generate the phenomena of islands of improvements. Managers must take this situation into account to plan digital transformation in the whole company. Originality / Value: The phenomena of the island of improvement is suggested to be a side effect of implementing industry 4.0 based on maturity models."/>
    <s v="[Macedo Barbalho, Sanderson Cesar] Univ Brasilia, Technol Coll, Dept Ind Engn, Postgraduat Program Mech Syst, Campus Darcy Ribeiro, Brasilia, DF, Brazil; [Dantas, Rafaela de Faria] Polytechn Univ Milan, Dept Engn Management, Msc Program Ind Management, Campus Masa, Milan, Italy"/>
    <s v="Universidade de Brasilia; Polytechnic University of Milan"/>
    <s v="Barbalho, SCM (corresponding author), Univ Brasilia, Technol Coll, Dept Ind Engn, Postgraduat Program Mech Syst, Campus Darcy Ribeiro, Brasilia, DF, Brazil."/>
    <s v="sandersoncesar@unb.br"/>
    <s v="Barbalho, Sanderson C. M./H-4113-2015"/>
    <s v="Barbalho, Sanderson C. M./0000-0003-1664-4866"/>
    <s v=""/>
    <s v=""/>
    <s v=""/>
    <s v=""/>
    <n v="28"/>
    <n v="5"/>
    <n v="5"/>
    <n v="9"/>
    <n v="36"/>
    <s v="ASSOC BRASILEIRA ENGENHARIA PRODUCAO-ABEPRO"/>
    <s v="SAO PAULO"/>
    <s v="AV PROF ALMEIDA PRADO 531, 1O ANDAR, SALA 102, SAO PAULO, 05508-900, BRAZIL"/>
    <s v="2237-8960"/>
    <s v=""/>
    <s v=""/>
    <s v="BRAZ J OPER PROD MAN"/>
    <s v="Braz. J. Oper. Prod. Manag."/>
    <s v=""/>
    <x v="2"/>
    <n v="18"/>
    <n v="3"/>
    <s v=""/>
    <s v=""/>
    <s v=""/>
    <s v=""/>
    <s v=""/>
    <s v=""/>
    <s v="e20211119"/>
    <s v="10.14488/BJOPM.2021.011"/>
    <s v="http://dx.doi.org/10.14488/BJOPM.2021.011"/>
    <s v=""/>
    <s v=""/>
    <n v="17"/>
    <x v="114"/>
    <x v="2"/>
    <s v="Operations Research &amp; Management Science"/>
    <s v="TM1TF"/>
    <s v=""/>
    <s v="Green Published, gold"/>
    <s v=""/>
    <s v=""/>
    <s v="2023-11-15"/>
    <s v="WOS:000675335100005"/>
    <s v="View Full Record in Web of Science"/>
    <m/>
  </r>
  <r>
    <x v="361"/>
    <s v="J"/>
    <x v="357"/>
    <s v=""/>
    <s v=""/>
    <s v=""/>
    <s v="Markaryan, Maryna; Bilyi, Dmytro; Yuldashev, Serghii"/>
    <s v=""/>
    <s v=""/>
    <x v="359"/>
    <x v="264"/>
    <s v=""/>
    <s v=""/>
    <s v="English"/>
    <s v="Article"/>
    <s v=""/>
    <s v=""/>
    <s v=""/>
    <s v=""/>
    <s v=""/>
    <x v="337"/>
    <x v="1"/>
    <s v="Digitalization of the economy is a determining factor in the growth of the economy as a whole, including the digital industry itself, as a producer of technology. Digital technologies in many sectors are at the core of production strategies. Their transformative power is changing traditional business models, production chains and processes, and driving new products and services, platforms and innovations. Digital technologies in Ukraine should be available both in terms of organizational and technical access to the relevant digital infrastructures and from the financial and economic point of view, that is, by creating conditions and incentives that will encourage businesses to digitalize. The result of such activities will be the modernization of the economy, its recovery, and increased competitiveness. The digital economy involves the introduction of digital technology in all areas, namely: production, education, medicine, tourism, social sphere. Spheres of life that are modernized with the help of digital technologies become much more efficient and create new value and quality, which very often leads to a complete transformation of the old system (Zhukova). Analysis of recent studies and publications. The problems of develop-ment of the digital economy and the formation of the information society are actively discussed in the domestic scientific literature, in particular in the works of R. Avdeyev, F. Gurov, L. Kit, S. Kolyadenko, D. Makovskyi, I. Malik, N. Meshko, I. Melyukhin, V. Pylypchuk, A. Prokofyev, Ye. Putilova, O. Ryzhenko. The authors substantiate the main conceptual categories and methodological approaches to the definition of the basic components ofthe modern model of socio-economic development and ways of implementing digital economy tools in the economic environment. At the same time, the theoretical understanding and scientific justification of the issues of informatization of society is the subject of scientific discussion by foreign researchers. R. Inclar, R. Cleo, A. Krimes, T. Nibel, J. Wright have made significant contributions to the development and implementation of innovative digital strategies. S. Haller, M. Hague and other scientists. However, many aspects of the impact of the digital economy on the institutional status of the state remain unexplored. That is why it is extremely important for Ukraine in such a difficult period of its development to transform the traditional economy into a modern information and digital economy as soon as possible."/>
    <s v="[Markaryan, Maryna] State Higher Educ Inst Kyiv Natl Econ Univ, Kiev, Ukraine; [Bilyi, Dmytro] Kyiv Inst Natl Guard Ukraine, Kiev, Ukraine; [Yuldashev, Serghii] Natl Aviat Univ, Kiev, Ukraine"/>
    <s v="Kyiv Institute of the National Guard of Ukraine; Ministry of Education &amp; Science of Ukraine; National Aviation University"/>
    <s v="Markaryan, M (corresponding author), State Higher Educ Inst Kyiv Natl Econ Univ, Kiev, Ukraine."/>
    <s v="sauliak_marina@ukr.net; OSA71@gmail.com; sergey.yuldashev@gmail.com"/>
    <s v=""/>
    <s v=""/>
    <s v=""/>
    <s v=""/>
    <s v=""/>
    <s v=""/>
    <n v="4"/>
    <n v="0"/>
    <n v="0"/>
    <n v="1"/>
    <n v="7"/>
    <s v="BALTIC JOURNAL ECONOMIC STUDIES"/>
    <s v="RIGA"/>
    <s v="VALDEKU IELA 62-156, RIGA, LV-1058, LATVIA"/>
    <s v="2256-0742"/>
    <s v="2256-0963"/>
    <s v=""/>
    <s v="BALT J ECON STUD"/>
    <s v="Balt. J. Econ. Stud."/>
    <s v=""/>
    <x v="2"/>
    <n v="7"/>
    <n v="5"/>
    <s v=""/>
    <s v=""/>
    <s v=""/>
    <s v=""/>
    <n v="123"/>
    <n v="129"/>
    <s v=""/>
    <s v="10.30525/2256-0742/2021-7-5-123-129"/>
    <s v="http://dx.doi.org/10.30525/2256-0742/2021-7-5-123-129"/>
    <s v=""/>
    <s v=""/>
    <n v="7"/>
    <x v="15"/>
    <x v="2"/>
    <s v="Business &amp; Economics"/>
    <s v="ZD4CE"/>
    <s v=""/>
    <s v="gold"/>
    <s v=""/>
    <s v=""/>
    <s v="2023-11-15"/>
    <s v="WOS:000758146600013"/>
    <s v="View Full Record in Web of Science"/>
    <m/>
  </r>
  <r>
    <x v="362"/>
    <s v="J"/>
    <x v="358"/>
    <s v=""/>
    <s v=""/>
    <s v=""/>
    <s v="Popova, I"/>
    <s v=""/>
    <s v=""/>
    <x v="360"/>
    <x v="265"/>
    <s v=""/>
    <s v=""/>
    <s v="English"/>
    <s v="Article"/>
    <s v=""/>
    <s v=""/>
    <s v=""/>
    <s v=""/>
    <s v=""/>
    <x v="338"/>
    <x v="1"/>
    <s v="Digitalization is one of the dominant processes in contemporary economic development, both on the national level and globally. The process of articulating and implementing digital economy policies is underway in the member states of the Eurasian Economic Union (EAEU), and in 2017 the EAEU's Strategic Directions for the Development of the Digital Agenda Until 2025 was adopted. Identifying the specificities and challenges of the digital agenda's implementation in the context of integration processes in the region is the aim of this article. The study focuses on the interaction at the supranational level of decision-making within EAEU institutions, as well as the interaction of the national and supranational levels. The author concludes that the projects and initiatives are being implemented as a part of the agenda, albeit slowly. The other envisaged mechanisms require a much higher level of harmonization, for which EAEU leaders are not yet ready. The main features of the digital agenda's implementation in the EAEU are the primacy of sovereignty, diverging levels of digitalization of members in both access to infrastructure and regulatory frameworks, project-based approaches to implementation, absence of a digital agenda in the Treaty on the EAEU and involvement of expert communities. Based on analysis of the legal and regulatory framework, the following recommendations can be made: an institutional and legal framework for the digital agenda should be established, coordination between the national and supranational levels should be improved, digital strategies should be adopted and synchronized in all member states, the selection and implementation of initiatives should be improved, best practices should be adopted, and cooperation with international organizations and the European Union (EU) should be developed. For Russia, the development of a digital agenda within the EAEU and deepened integration (or development of cooperation) are necessary to ensure the realization of national interests in a priority region - the post-Soviet space especially given the increasingly active developing regulatory influence of other actors, primarily the EU. Given the growing importance of digitalization as a driver of economic growth and the increasing competition for influence on the regulation of the digital economy, a priority for the Russian Federation should be to resolve the contradiction between the principle of primacy of sovereignty and the development of integration. A possible way out could be an approach based on multi-speed integration, as tested in the EU. Another option could be a complete revision of the model of interaction with neighbours in the region."/>
    <s v="[Popova, I] Russian Presidential Acad Natl Econ &amp; Publ Adm, Ctr Int Inst Res, 11 Prechistenskaya Naberezhnaya, Moscow 119034, Russia"/>
    <s v="Russian Presidential Academy of National Economy &amp; Public Administration"/>
    <s v="Popova, I (corresponding author), Russian Presidential Acad Natl Econ &amp; Publ Adm, Ctr Int Inst Res, 11 Prechistenskaya Naberezhnaya, Moscow 119034, Russia."/>
    <s v="im-popova@ranepa.ru"/>
    <s v="Popova, Irina/Q-9590-2016"/>
    <s v="Popova, Irina/0000-0002-0849-7168"/>
    <s v=""/>
    <s v=""/>
    <s v=""/>
    <s v=""/>
    <n v="25"/>
    <n v="1"/>
    <n v="1"/>
    <n v="1"/>
    <n v="4"/>
    <s v="NATL RESEARCH UNIV HIGHER SCH ECONOMICS"/>
    <s v="MOSCOW"/>
    <s v="SHABOLOVKA, 26, MOSCOW, 119049, RUSSIA"/>
    <s v="1996-7845"/>
    <s v=""/>
    <s v=""/>
    <s v="VESTN MEZHDUNARODNYK"/>
    <s v="Vestn. Mezhdunarodnykh Organ."/>
    <s v=""/>
    <x v="2"/>
    <n v="16"/>
    <n v="1"/>
    <s v=""/>
    <s v=""/>
    <s v=""/>
    <s v=""/>
    <n v="96"/>
    <n v="109"/>
    <s v=""/>
    <s v="10.17323/1996-7845-2021-01-06"/>
    <s v="http://dx.doi.org/10.17323/1996-7845-2021-01-06"/>
    <s v=""/>
    <s v=""/>
    <n v="14"/>
    <x v="32"/>
    <x v="2"/>
    <s v="International Relations"/>
    <s v="TF0VP"/>
    <s v=""/>
    <s v="Bronze"/>
    <s v=""/>
    <s v=""/>
    <s v="2023-11-15"/>
    <s v="WOS:000670430900006"/>
    <s v="View Full Record in Web of Science"/>
    <m/>
  </r>
  <r>
    <x v="363"/>
    <s v="J"/>
    <x v="359"/>
    <s v=""/>
    <s v=""/>
    <s v=""/>
    <s v="Rengifo Matias, Karla Martina; Caiche Rosales, William Alberto; Gonzalez Rodriguez, Livingston Gilberto"/>
    <s v=""/>
    <s v=""/>
    <x v="361"/>
    <x v="266"/>
    <s v=""/>
    <s v=""/>
    <s v="Spanish"/>
    <s v="Article"/>
    <s v=""/>
    <s v=""/>
    <s v=""/>
    <s v=""/>
    <s v=""/>
    <x v="339"/>
    <x v="1"/>
    <s v="Commercial activity was aggravated by the appearance of Covid-19, declared a pandemic by the WHO in March 2020. The purpose of this research is to identify the most appropriate digital strategies to boost commercial relations between artisans in the northern part of Santa Elena canton and customers. The craft activities of these producers are made from raw materials from agriculture, forestry and fishing, the goods obtained are marketed through the direct channel; communication has an incipient use of digital strategies, including: Facebook; WhatsApp, informative web pages and email. The approach to this problem was carried out with a correlational methodological design, with a mixed approach research, the first part with the application of participant observation and in-depth interviews with a panel of experts, which allowed to identify dimensions of the variables and raise the hypothesis; the results presented correspond to this first stage, which allowed from the scientific discussion, to propose for the beneficiaries, a set of digital strategies such as: Machine Learning, Deep Learning, Business to Consumer and Business to Business accompanied by an application model adjusted to the new reality."/>
    <s v="[Rengifo Matias, Karla Martina; Caiche Rosales, William Alberto; Gonzalez Rodriguez, Livingston Gilberto] Univ Estatal Peninsula Santa Elena, La Libertad, Ecuador"/>
    <s v=""/>
    <s v="Matías, KMR (corresponding author), Univ Estatal Peninsula Santa Elena, La Libertad, Ecuador."/>
    <s v="karla.rengifomatias@upse.edu.ec"/>
    <s v=""/>
    <s v=""/>
    <s v=""/>
    <s v=""/>
    <s v=""/>
    <s v=""/>
    <n v="11"/>
    <n v="0"/>
    <n v="0"/>
    <n v="0"/>
    <n v="3"/>
    <s v="UNIV ESTATAL PENINSULA SANTA ELENA"/>
    <s v="LA LIBERTAD"/>
    <s v="UNIV ESTATAL PENINSULA SANTA ELENA, LA LIBERTAD, 00000, ECUADOR"/>
    <s v="1390-7603"/>
    <s v=""/>
    <s v=""/>
    <s v="REV CIENC PEDAGOC IN"/>
    <s v="Rev. Cienc. Pedagoc. Innov."/>
    <s v="JAN-MAY"/>
    <x v="2"/>
    <n v="9"/>
    <n v="2"/>
    <s v=""/>
    <s v=""/>
    <s v=""/>
    <s v=""/>
    <n v="99"/>
    <n v="104"/>
    <s v=""/>
    <s v="10.26423/rcpi.v9i2.451"/>
    <s v="http://dx.doi.org/10.26423/rcpi.v9i2.451"/>
    <s v=""/>
    <s v=""/>
    <n v="6"/>
    <x v="39"/>
    <x v="2"/>
    <s v="Education &amp; Educational Research"/>
    <s v="XV9IY"/>
    <s v=""/>
    <s v="gold"/>
    <s v=""/>
    <s v=""/>
    <s v="2023-11-15"/>
    <s v="WOS:000735247500012"/>
    <s v="View Full Record in Web of Science"/>
    <m/>
  </r>
  <r>
    <x v="364"/>
    <s v="J"/>
    <x v="360"/>
    <s v=""/>
    <s v=""/>
    <s v=""/>
    <s v="Rusly, F. H.; Talib, Y. Y. A.; Hussin, M. R. A.; Mutalib, H. A."/>
    <s v=""/>
    <s v=""/>
    <x v="362"/>
    <x v="267"/>
    <s v=""/>
    <s v=""/>
    <s v="English"/>
    <s v="Article"/>
    <s v=""/>
    <s v=""/>
    <s v=""/>
    <s v=""/>
    <s v=""/>
    <x v="340"/>
    <x v="269"/>
    <s v="This paper explores internal forces that formed the digital adaptation strategy for SMEs embarking on the digital transformation of Industrial Revolution 4.0 (IR4.0). A qualitative case study design was adopted involving Small and Medium-sized Enterprises (SMEs) from the manufacturing and service sectors in Malaysia. Data was gathered through semi-structured interviews and supported by the resources from the firms' website. Adopting the Planned Process Change Model and Technology Adaptation Process Model as new theoretical lenses in the digital adaptation study, findings from the multiple case studies using thematic analysis revealed four dimensions of internal forces driving SMEs' digital adaptation: business strategy, value creation, digital leadership and digital talent. Findings contribute to the theoretical development of the digital adaptation strategy from a change management perspective."/>
    <s v="[Rusly, F. H.; Talib, Y. Y. A.; Hussin, M. R. A.; Mutalib, H. A.] Univ Utara Malaysia, Tunku Puteri Intan Safinaz Sch Accountancy, Kedah, Malaysia"/>
    <s v="Universiti Utara Malaysia"/>
    <s v="Mutalib, HA (corresponding author), Univ Utara Malaysia, Tunku Puteri Intan Safinaz Sch Accountancy, Kedah, Malaysia."/>
    <s v="hanim@uum.edu.my; yurita@uum.edu.my; mohdrosni@uum.edu.my; amhafizah@uum.edu.my"/>
    <s v="Talib, Yurita Yakimin Abdul/U-5564-2018"/>
    <s v="Talib, Yurita Yakimin Abdul/0000-0002-0141-0250; Abd Mutalib, Hafizah/0000-0002-5077-5117"/>
    <s v="Ministry of Higher Education (MoHE) of Malaysia through Fundamental Research Grant Scheme [FRGS/1/2019/SS01/UUM/02/9]"/>
    <s v="Ministry of Higher Education (MoHE) of Malaysia through Fundamental Research Grant Scheme"/>
    <s v="This research was supported by Ministry of Higher Education (MoHE) of Malaysia through Fundamental Research Grant Scheme (FRGS/1/2019/SS01/UUM/02/9)."/>
    <s v=""/>
    <n v="57"/>
    <n v="4"/>
    <n v="4"/>
    <n v="6"/>
    <n v="55"/>
    <s v="CZESTOCHOWA UNIV TECHNOLOGY"/>
    <s v="CZESTOCHOWA"/>
    <s v="FAC MANAGEMENT, UL ARMII KRAJOWEJ 19B, CZESTOCHOWA, 42-201, POLAND"/>
    <s v="2081-7452"/>
    <s v=""/>
    <s v=""/>
    <s v="POL J MANAG STUD"/>
    <s v="Pol. J. Manag. Stud."/>
    <s v=""/>
    <x v="2"/>
    <n v="24"/>
    <n v="1"/>
    <s v=""/>
    <s v=""/>
    <s v=""/>
    <s v=""/>
    <n v="306"/>
    <n v="321"/>
    <s v=""/>
    <s v="10.17512/pjms.2021.24.1.18"/>
    <s v="http://dx.doi.org/10.17512/pjms.2021.24.1.18"/>
    <s v=""/>
    <s v=""/>
    <n v="16"/>
    <x v="8"/>
    <x v="2"/>
    <s v="Business &amp; Economics"/>
    <s v="YX1DF"/>
    <s v=""/>
    <s v="gold"/>
    <s v=""/>
    <s v=""/>
    <s v="2023-11-15"/>
    <s v="WOS:000753848000018"/>
    <s v="View Full Record in Web of Science"/>
    <m/>
  </r>
  <r>
    <x v="365"/>
    <s v="B"/>
    <x v="361"/>
    <s v=""/>
    <s v="Hargittai, E"/>
    <s v=""/>
    <s v="Seo, Hyunjin"/>
    <s v=""/>
    <s v=""/>
    <x v="363"/>
    <x v="268"/>
    <s v=""/>
    <s v=""/>
    <s v="English"/>
    <s v="Article; Book Chapter"/>
    <s v=""/>
    <s v=""/>
    <s v=""/>
    <s v=""/>
    <s v=""/>
    <x v="8"/>
    <x v="270"/>
    <s v=""/>
    <s v="[Seo, Hyunjin] Univ Kansas, Digital Emerging Media, Lawrence, KS 66045 USA; [Seo, Hyunjin] Univ Kansas, Lawrence, KS 66045 USA; [Seo, Hyunjin] Harvard Univ, Berkman Klein Ctr Internet &amp; Soc, Cambridge, MA 02138 USA; [Seo, Hyunjin] KU Ctr Digital Inclus, Lawrence, KS 66045 USA"/>
    <s v="University of Kansas; University of Kansas; Harvard University"/>
    <s v="Seo, H (corresponding author), Univ Kansas, Digital Emerging Media, Lawrence, KS 66045 USA.;Seo, H (corresponding author), Univ Kansas, Lawrence, KS 66045 USA.;Seo, H (corresponding author), Harvard Univ, Berkman Klein Ctr Internet &amp; Soc, Cambridge, MA 02138 USA.;Seo, H (corresponding author), KU Ctr Digital Inclus, Lawrence, KS 66045 USA."/>
    <s v=""/>
    <s v=""/>
    <s v=""/>
    <s v=""/>
    <s v=""/>
    <s v=""/>
    <s v=""/>
    <n v="15"/>
    <n v="0"/>
    <n v="0"/>
    <n v="0"/>
    <n v="0"/>
    <s v="COLUMBIA UNIV PRESS"/>
    <s v="NEW YORK"/>
    <s v="61 WEST 62 ST, NEW YORK, NY 10023 USA"/>
    <s v=""/>
    <s v=""/>
    <s v="978-0-231-18877-7; 978-0-231-54800-7; 978-0-231-18876-0"/>
    <s v=""/>
    <s v=""/>
    <s v=""/>
    <x v="2"/>
    <s v=""/>
    <s v=""/>
    <s v=""/>
    <s v=""/>
    <s v=""/>
    <s v=""/>
    <n v="245"/>
    <n v="264"/>
    <s v=""/>
    <s v=""/>
    <s v=""/>
    <s v=""/>
    <s v=""/>
    <n v="20"/>
    <x v="123"/>
    <x v="7"/>
    <s v="Communication; Information Science &amp; Library Science; Social Sciences - Other Topics"/>
    <s v="BU8RS"/>
    <s v=""/>
    <s v=""/>
    <s v=""/>
    <s v=""/>
    <s v="2023-11-15"/>
    <s v="WOS:000950030900013"/>
    <s v="View Full Record in Web of Science"/>
    <m/>
  </r>
  <r>
    <x v="366"/>
    <s v="J"/>
    <x v="362"/>
    <s v=""/>
    <s v=""/>
    <s v=""/>
    <s v="Siokas, Georgios; Tsakanikas, Aggelos; Siokas, Evangelos"/>
    <s v=""/>
    <s v=""/>
    <x v="364"/>
    <x v="269"/>
    <s v=""/>
    <s v=""/>
    <s v="English"/>
    <s v="Article"/>
    <s v=""/>
    <s v=""/>
    <s v=""/>
    <s v=""/>
    <s v=""/>
    <x v="341"/>
    <x v="271"/>
    <s v="This research paper aims at reviewing the effect of specific internal procedures undertaken in the boundaries of a municipality during the adaptation process of a Smart City strategy. By using a unique, tailor-made questionnaire and advance statistical techniques, we try to identify which factors turn to be crucial in implementing successful smart strategies. The paper maps, evaluates and analyses the strategic actions of the Greek Municipalities from an internal and external perspective of a public authority. Results show most local authorities try to formulate a coherent framework to efficiently utilize available resources and enhance productivity and quality of the services provided. Even though the majority of cities have embedded in their digital strategies various forms of smart projects, a rather partial implementation of relevant initiatives in their day-to-day operations is noticed. The challenges and prerequisites for an effective implementation of smart strategies have been explored. Furthermore, we assess their design, which may mitigate risks and lead to higher returns, at the earliest possible stage. This allows us to map the crucial factors that may open their appetite for a successful strategy towards a smarter future."/>
    <s v="[Siokas, Georgios; Tsakanikas, Aggelos; Siokas, Evangelos] Natl Tech Univ Athens, Sch Chem Engn, Lab Ind &amp; Energy Econ, Zografou Campus,9 Iroon Polytech Str, Zografos 15780, Greece"/>
    <s v="National Technical University of Athens"/>
    <s v="Siokas, G (corresponding author), Natl Tech Univ Athens, Sch Chem Engn, Lab Ind &amp; Energy Econ, Zografou Campus,9 Iroon Polytech Str, Zografos 15780, Greece."/>
    <s v="geosiok@mail.ntua.gr"/>
    <s v="Siokas, Georgios/HHN-5102-2022"/>
    <s v="Siokas, Georgios/0000-0002-7017-874X"/>
    <s v=""/>
    <s v=""/>
    <s v=""/>
    <s v=""/>
    <n v="81"/>
    <n v="18"/>
    <n v="18"/>
    <n v="1"/>
    <n v="13"/>
    <s v="ELSEVIER SCI LTD"/>
    <s v="OXFORD"/>
    <s v="THE BOULEVARD, LANGFORD LANE, KIDLINGTON, OXFORD OX5 1GB, OXON, ENGLAND"/>
    <s v="0264-2751"/>
    <s v="1873-6084"/>
    <s v=""/>
    <s v="CITIES"/>
    <s v="Cities"/>
    <s v="JAN"/>
    <x v="2"/>
    <n v="108"/>
    <s v=""/>
    <s v=""/>
    <s v=""/>
    <s v=""/>
    <s v=""/>
    <s v=""/>
    <s v=""/>
    <n v="102938"/>
    <s v="10.1016/j.cities.2020.102938"/>
    <s v="http://dx.doi.org/10.1016/j.cities.2020.102938"/>
    <s v=""/>
    <s v=""/>
    <n v="13"/>
    <x v="63"/>
    <x v="1"/>
    <s v="Urban Studies"/>
    <s v="PD0TE"/>
    <s v=""/>
    <s v=""/>
    <s v=""/>
    <s v=""/>
    <s v="2023-11-15"/>
    <s v="WOS:000597406700008"/>
    <s v="View Full Record in Web of Science"/>
    <m/>
  </r>
  <r>
    <x v="367"/>
    <s v="J"/>
    <x v="363"/>
    <s v=""/>
    <s v=""/>
    <s v=""/>
    <s v="Tan, Yee Heng; Reddy, Srinivas K."/>
    <s v=""/>
    <s v=""/>
    <x v="365"/>
    <x v="270"/>
    <s v=""/>
    <s v=""/>
    <s v="English"/>
    <s v="Article"/>
    <s v=""/>
    <s v=""/>
    <s v=""/>
    <s v=""/>
    <s v=""/>
    <x v="342"/>
    <x v="272"/>
    <s v="Crowdfunding platforms serve to connect project creators and backers. Previous research has explored several project and platform determinants that impact crowdfunding outcomes. However, there has been limited research on these determinants at an individual level. Our paper addresses how backers may influence the outcomes of projects in crowdfunding platforms. We explore several methods commonly used in the industry to identify influence and show that centrality measures through a backer affiliation network best exemplifies in-fluence. Using data from Kickstarter, we construct a weighted backer network based on 52,678 common projects backed by 11,134 backers. Controlling for digital media mentions and project quality, we find evidence that backers in central positions within the network have a positive impact on multiple project outcomes such as the project success rates, amount of funds raised, speed of reaching the crowdfunding goal as well as the number of backers contributing to the project. These findings are replicated and reinforced by using data from a different crowdfunding platform using the entire backer network based on 1095 projects backed by 87,896 backers. Several robustness tests are used to validate these results."/>
    <s v="[Tan, Yee Heng] Tokyo Int Univ, Inst Int Strategy, 1-13-1 Matoba Kita, Kawagoe, Saitama 3501197, Japan; [Reddy, Srinivas K.] Singapore Management Univ, Lee Kong Chian Sch Business, 50 Stamford Rd, Singapore 178899, Singapore"/>
    <s v="Singapore Management University"/>
    <s v="Tan, YH (corresponding author), Tokyo Int Univ, Inst Int Strategy, 1-13-1 Matoba Kita, Kawagoe, Saitama 3501197, Japan."/>
    <s v="yhtan@tiu.ac.jp; sreddy@smu.edu.sg"/>
    <s v=""/>
    <s v=""/>
    <s v="SMU's Centre for Marketing Excellence"/>
    <s v="SMU's Centre for Marketing Excellence"/>
    <s v="The authors are grateful to the editor and two anonymous reviewers for their helpful comments on previous versions of this article. The authors also acknowledge support provided by SMU's Centre for Marketing Excellence for this research."/>
    <s v=""/>
    <n v="41"/>
    <n v="12"/>
    <n v="12"/>
    <n v="1"/>
    <n v="29"/>
    <s v="ELSEVIER"/>
    <s v="AMSTERDAM"/>
    <s v="RADARWEG 29, 1043 NX AMSTERDAM, NETHERLANDS"/>
    <s v="0378-8733"/>
    <s v="1879-2111"/>
    <s v=""/>
    <s v="SOC NETWORKS"/>
    <s v="Soc. Networks"/>
    <s v="JAN"/>
    <x v="2"/>
    <n v="64"/>
    <s v=""/>
    <s v=""/>
    <s v=""/>
    <s v=""/>
    <s v=""/>
    <n v="158"/>
    <n v="172"/>
    <s v=""/>
    <s v="10.1016/j.socnet.2020.09.005"/>
    <s v="http://dx.doi.org/10.1016/j.socnet.2020.09.005"/>
    <s v=""/>
    <s v=""/>
    <n v="15"/>
    <x v="124"/>
    <x v="1"/>
    <s v="Anthropology; Sociology"/>
    <s v="OU4MZ"/>
    <s v=""/>
    <s v="Green Published"/>
    <s v=""/>
    <s v=""/>
    <s v="2023-11-15"/>
    <s v="WOS:000591504700004"/>
    <s v="View Full Record in Web of Science"/>
    <m/>
  </r>
  <r>
    <x v="368"/>
    <s v="J"/>
    <x v="364"/>
    <s v=""/>
    <s v=""/>
    <s v=""/>
    <s v="Tomasi, Serena"/>
    <s v=""/>
    <s v=""/>
    <x v="366"/>
    <x v="271"/>
    <s v=""/>
    <s v=""/>
    <s v="Italian"/>
    <s v="Article"/>
    <s v=""/>
    <s v=""/>
    <s v=""/>
    <s v=""/>
    <s v=""/>
    <x v="343"/>
    <x v="1"/>
    <s v="In this essay, we propose to deepen the arguments used in public communication to induce citizens to continue to cooperate and use digital tools as effective solutions during the pandemic. We will take as a case study the use of the contact-tracing app and we will analyse, through the scheme offered by the AMT - Argumentum Model of Topics, the communication strategies and the argumentative topics involved. The argumentative study will show the spread of a concept of law in which citizen tend to put aside their trust in others and seek an imperative legal solution."/>
    <s v="[Tomasi, Serena] Univ Trento, Philosophy Law, Comparat European &amp; Int Legal Studies, Fac Giurisprudenza, Trento, Italy"/>
    <s v="University of Trento"/>
    <s v="Tomasi, S (corresponding author), Univ Trento, Philosophy Law, Comparat European &amp; Int Legal Studies, Fac Giurisprudenza, Trento, Italy."/>
    <s v="serena.tomasi_1@unitn.it"/>
    <s v=""/>
    <s v=""/>
    <s v=""/>
    <s v=""/>
    <s v=""/>
    <s v=""/>
    <n v="58"/>
    <n v="0"/>
    <n v="0"/>
    <n v="0"/>
    <n v="0"/>
    <s v="UNIV TRENTO, FAC LAW"/>
    <s v="TRENTO"/>
    <s v="VIA VERDI 53, TRENTO, 38122, ITALY"/>
    <s v="2284-4503"/>
    <s v=""/>
    <s v=""/>
    <s v="BIOLAW J"/>
    <s v="BioLaw J."/>
    <s v=""/>
    <x v="2"/>
    <s v=""/>
    <n v="3"/>
    <s v=""/>
    <s v=""/>
    <s v=""/>
    <s v=""/>
    <n v="457"/>
    <n v="471"/>
    <s v=""/>
    <s v=""/>
    <s v=""/>
    <s v=""/>
    <s v=""/>
    <n v="15"/>
    <x v="10"/>
    <x v="2"/>
    <s v="Government &amp; Law"/>
    <s v="VM2KK"/>
    <s v=""/>
    <s v=""/>
    <s v=""/>
    <s v=""/>
    <s v="2023-11-15"/>
    <s v="WOS:000983107100026"/>
    <s v="View Full Record in Web of Science"/>
    <m/>
  </r>
  <r>
    <x v="369"/>
    <s v="J"/>
    <x v="365"/>
    <s v=""/>
    <s v=""/>
    <s v=""/>
    <s v="Tremblay-Wragg, Emilie; Deri, Catherine E.; Vincent, Cynthia; Labonte, Elise; Mathieu-Chartier, Sara; Cote-Parent, Raphaelle; Villeneuve, Stephane"/>
    <s v=""/>
    <s v=""/>
    <x v="367"/>
    <x v="272"/>
    <s v=""/>
    <s v=""/>
    <s v="French"/>
    <s v="Article"/>
    <s v=""/>
    <s v=""/>
    <s v=""/>
    <s v=""/>
    <s v=""/>
    <x v="344"/>
    <x v="1"/>
    <s v="Around the world, confinement measures imposed during the COVID-19 pandemic have forced universities to shut down their campuses. Graduate students opted for online modalities to progress their academic writing projects, including theses and dissertations. In Canada, a non-profit organization named Thesez-vous implemented innovative digital strategies to support students in times of crisis. This article presents qualitative results obtained from 33 PhD students who have used said tools to continue their studies. A follow-on discussion focuses on existing digital learning environments and considerations for subsequent research."/>
    <s v="[Tremblay-Wragg, Emilie; Vincent, Cynthia; Villeneuve, Stephane] Univ Quebec Montreal, Montreal, PQ, Canada; [Deri, Catherine E.] Univ Ottawa, Ottawa, ON, Canada; [Labonte, Elise] HEC Montreal, Montreal, PQ, Canada; [Mathieu-Chartier, Sara; Cote-Parent, Raphaelle] Thesez Vous, Montreal, PQ, Canada"/>
    <s v="University of Quebec; University of Quebec Montreal; University of Ottawa; Universite de Montreal; HEC Montreal"/>
    <s v="Tremblay-Wragg, É (corresponding author), Univ Quebec Montreal, Montreal, PQ, Canada."/>
    <s v="tremblay-wragg.emilie@uqam.ca; cderi055@uottawa.ca; Vincent.cynthia.2@courrier.uqam.ca; elise.labonte-lemoyne@hec.ca; sara.mathieu@thesez-vous.com; raphaelle.cote.parent@thesez-vous.com; villeneuve.stephane.2@uqam.ca"/>
    <s v="Deri, Catherine E./IRZ-3395-2023"/>
    <s v="Deri, Catherine E./0000-0001-9689-3517"/>
    <s v=""/>
    <s v=""/>
    <s v=""/>
    <s v=""/>
    <n v="24"/>
    <n v="0"/>
    <n v="0"/>
    <n v="2"/>
    <n v="4"/>
    <s v="INT JOURNAL TECHNOLOGIES HIGHER EDUCATION"/>
    <s v="MONTREAL"/>
    <s v="UNIV MONTREAL, FAC SCI &amp; EDUC, CP 6128, SUCCURSALE CENTRE-VILLE, MONTREAL, H3C 3J7, CANADA"/>
    <s v="1708-7570"/>
    <s v=""/>
    <s v=""/>
    <s v="INT J TECHNOL HIGH E"/>
    <s v="Int. J. Technol. High. Educ."/>
    <s v=""/>
    <x v="2"/>
    <n v="18"/>
    <n v="1"/>
    <s v=""/>
    <s v=""/>
    <s v=""/>
    <s v=""/>
    <n v="291"/>
    <n v="304"/>
    <s v=""/>
    <s v="10.18162/ritpu-2021-v18n1-25"/>
    <s v="http://dx.doi.org/10.18162/ritpu-2021-v18n1-25"/>
    <s v=""/>
    <s v=""/>
    <n v="14"/>
    <x v="39"/>
    <x v="2"/>
    <s v="Education &amp; Educational Research"/>
    <s v="TX6EQ"/>
    <s v=""/>
    <s v="gold"/>
    <s v=""/>
    <s v=""/>
    <s v="2023-11-15"/>
    <s v="WOS:000683183100024"/>
    <s v="View Full Record in Web of Science"/>
    <m/>
  </r>
  <r>
    <x v="370"/>
    <s v="J"/>
    <x v="366"/>
    <s v=""/>
    <s v=""/>
    <s v=""/>
    <s v="Trusova, Natalia, V; Yeremenko, Denys, V; Karman, Serhii, V; Kolokolchykova, Iryna, V; Skrypnyk, Svitlana, V"/>
    <s v=""/>
    <s v=""/>
    <x v="368"/>
    <x v="273"/>
    <s v=""/>
    <s v=""/>
    <s v="English"/>
    <s v="Article"/>
    <s v=""/>
    <s v=""/>
    <s v=""/>
    <s v=""/>
    <s v=""/>
    <x v="345"/>
    <x v="273"/>
    <s v="The problem of digital business transformation through innovative development in the country, which affects the transformation of business structures, including trade, remains underdeveloped, which requires further scientific, methodological, practical research and justification. The priority of this study is to develop a system-integrated methodology and practical recommendations for building a model of digitization of investment-innovative activities of the trade entities by transforming the architecture of the business system into an IT-system, which demonstrates improving network interaction in a competitive environment. The article considers the digitalization of investment-innovative activities of the trade entities in the network IT system. The system-integrated methodology is implemented and practical recommendations are offered to build a model of digitalization of investment-innovative activities of the trade entities by transforming the architecture of the business system into an IT system, which demonstrates the efficiency of network interaction in a competitive environment. The block diagram of the activation of Digital-strategy of digitalization of investment-innovative development of business in economy is presented. A block system for evaluating the digitalization of investment-innovative activities of the trade entities in the network IT system is proposed. Indicators of digitalization of investment-innovative activities of the trade entities in the network IT system are grouped according to the components of the balanced scorecard (CFS). The architectural structure of the integrated indicator of the zonal level of digitalization of investment-innovative activities of the trade entities in the network IT system is substantiated. The coordinates of the vector-standard of zonal digitization of investment-innovative activities of the trade entities in the network IT system of Ukraine are determined."/>
    <s v="[Trusova, Natalia, V] Dmytro Motornyi Tavria State Agrotechnol Univ, Dept Finance Banking &amp; Insurance, Melitopol, Ukraine; [Yeremenko, Denys, V; Karman, Serhii, V; Kolokolchykova, Iryna, V] Dmytro Motornyi Tavria State Agrotechnol Univ, Dept Business Consulting &amp; Int Tourism, Melitopol, Ukraine; [Skrypnyk, Svitlana, V] Kherson State Agr &amp; Econ Univ, Dept Accounting &amp; Taxat, Kherson, Ukraine"/>
    <s v="Ministry of Education &amp; Science of Ukraine; Dmytro Motornyi Tavria State Agrotechnological University; Ministry of Education &amp; Science of Ukraine; Dmytro Motornyi Tavria State Agrotechnological University; Ministry of Education &amp; Science of Ukraine; Kherson State Agrarian &amp; Economic University"/>
    <s v="Trusova, NV (corresponding author), Dmytro Motornyi Tavria State Agrotechnol Univ, Dept Finance Banking &amp; Insurance, Melitopol, Ukraine."/>
    <s v="n.trusova@tanu.pro; d.yeremenko@uohk.com.cn; skarman@uohk.com.cn; kolokolchykova7214@tanu.pro; sskrypnyk@tanu.pro"/>
    <s v="Karman, Serhii/HOH-8840-2023; Skrypnyk, Svitlana/AAX-3620-2021"/>
    <s v="Karman, Serhii/0000-0002-4919-7794"/>
    <s v=""/>
    <s v=""/>
    <s v=""/>
    <s v=""/>
    <n v="30"/>
    <n v="0"/>
    <n v="0"/>
    <n v="0"/>
    <n v="11"/>
    <s v="ASOC ECONOMIA APLICADAD"/>
    <s v="MADRID"/>
    <s v="C JUAN RAMON JIMENEZ, 43, MADRID, 28036, SPAIN"/>
    <s v="1133-3197"/>
    <s v="1697-5731"/>
    <s v=""/>
    <s v="ESTUD ECON APL"/>
    <s v="Estud. Econ. Apl."/>
    <s v=""/>
    <x v="2"/>
    <n v="39"/>
    <n v="5"/>
    <s v=""/>
    <s v=""/>
    <s v="SI"/>
    <s v=""/>
    <s v=""/>
    <s v=""/>
    <s v=""/>
    <s v="10.25115/eea.v39i5.4912"/>
    <s v="http://dx.doi.org/10.25115/eea.v39i5.4912"/>
    <s v=""/>
    <s v=""/>
    <n v="19"/>
    <x v="15"/>
    <x v="2"/>
    <s v="Business &amp; Economics"/>
    <s v="SL9FQ"/>
    <s v=""/>
    <s v="Bronze"/>
    <s v=""/>
    <s v=""/>
    <s v="2023-11-15"/>
    <s v="WOS:000657220600024"/>
    <s v="View Full Record in Web of Science"/>
    <m/>
  </r>
  <r>
    <x v="371"/>
    <s v="J"/>
    <x v="367"/>
    <s v=""/>
    <s v=""/>
    <s v=""/>
    <s v="Verhovnik, Jure; Duh, Emilija Stojmenova"/>
    <s v=""/>
    <s v=""/>
    <x v="369"/>
    <x v="274"/>
    <s v=""/>
    <s v=""/>
    <s v="English"/>
    <s v="Article"/>
    <s v=""/>
    <s v=""/>
    <s v=""/>
    <s v=""/>
    <s v=""/>
    <x v="346"/>
    <x v="1"/>
    <s v="The paper provides insight in the state of digital transformation (DT) and Industry 4.0 (I4.0), as well as in the current levels of digital maturity of the Slovenian small and medium enterprises (SMEs). An overview is given of existing digital tools and approaches available for SMEs globally. A special attention is paid to challenges that companies are coping with in DT planning and implementation stage. For this paper, 15 international peer-reviewed papers were analyzed describing studies of DT and Industry 4.0. An online survey was conducted comprising 19 questions about DT and Industry 4.0. To gain a more extensive understanding about the state of the DT an interview was performed with four companies, making an analysis of the current DT situation and expectations of the Slovenian SMEs. The results show a considerable lack of DT knowledge, skills and competences. Based on the analysis of the literature and results of the research, approaches are presented towards effective DT in the implementation in the Slovenian SMEs by using adequate digital tools/technologies."/>
    <s v="[Verhovnik, Jure; Duh, Emilija Stojmenova] Univ Ljubljana, Fac Elect Engn, Trzaska 25, Ljubljana 1000, Slovenia"/>
    <s v="University of Ljubljana"/>
    <s v="Verhovnik, J (corresponding author), Univ Ljubljana, Fac Elect Engn, Trzaska 25, Ljubljana 1000, Slovenia."/>
    <s v="jure.verhovnik@fe.uni-lj.si; Emilija.Stojmenova@fe.uni-lj.si"/>
    <s v=""/>
    <s v=""/>
    <s v=""/>
    <s v=""/>
    <s v=""/>
    <s v=""/>
    <n v="15"/>
    <n v="2"/>
    <n v="2"/>
    <n v="7"/>
    <n v="43"/>
    <s v="ELECTROMAGNETICS ACAD"/>
    <s v="CAMBRIDGE"/>
    <s v="77 MASSACHUSETTS AVE, RM 26-319, CAMBRIDGE, MA 02139 USA"/>
    <s v="0013-5852"/>
    <s v="2232-3236"/>
    <s v=""/>
    <s v="ELEKTROTEH VESTN"/>
    <s v="Elektroteh. Vestn."/>
    <s v=""/>
    <x v="2"/>
    <n v="88"/>
    <n v="3"/>
    <s v=""/>
    <s v=""/>
    <s v=""/>
    <s v=""/>
    <n v="147"/>
    <n v="149"/>
    <s v=""/>
    <s v=""/>
    <s v=""/>
    <s v=""/>
    <s v=""/>
    <n v="3"/>
    <x v="125"/>
    <x v="2"/>
    <s v="Engineering"/>
    <s v="TE2SW"/>
    <s v=""/>
    <s v=""/>
    <s v=""/>
    <s v=""/>
    <s v="2023-11-15"/>
    <s v="WOS:000669866800010"/>
    <s v="View Full Record in Web of Science"/>
    <m/>
  </r>
  <r>
    <x v="372"/>
    <s v="J"/>
    <x v="368"/>
    <s v=""/>
    <s v=""/>
    <s v=""/>
    <s v="Zhou, Xue; Milecka-Forrest, Melania"/>
    <s v=""/>
    <s v=""/>
    <x v="370"/>
    <x v="275"/>
    <s v=""/>
    <s v=""/>
    <s v="English"/>
    <s v="Article"/>
    <s v=""/>
    <s v=""/>
    <s v=""/>
    <s v=""/>
    <s v=""/>
    <x v="347"/>
    <x v="274"/>
    <s v="Digital technologies have been widely used in higher education (HE) for years, and the benefits have been recognised by both students and academics. Although many universities have developed their own digital technology strategies, many do not share either their vision or implementation strategies with staff. This research explores differences and similarities in the perception of digital technology by lecturers and academic managers. The purpose of this paper is to compare and contrast motivations, barriers and support systems required for the use and adoption of digital strategies. Interviews were conducted with a group of 20 lecturers and academic managers in the HE sector. The results reveal that both groups shared a common view that the introduction of digital technology can have a clear set of benefits to students; however, their motivations for introducing new approaches differed significantly. Whilst it is important not to generalise too much given the lack of homogeneity in the two groups and also the crossover between managers and lecturers, managers tended to take a performance -goal-based approach to its introduction whilst lecturers were more learning goal orientated. This difference can cause significant difficulties in the implementation of new approaches to learning."/>
    <s v="[Zhou, Xue] Coventry Univ, Sch Strategy &amp; Leadership, Coventry, W Midlands, England; [Milecka-Forrest, Melania] Aston Univ, Aston Business Sch, Birmingham, W Midlands, England"/>
    <s v="Coventry University; Aston University"/>
    <s v="Zhou, X (corresponding author), Coventry Univ, Sch Strategy &amp; Leadership, Coventry, W Midlands, England."/>
    <s v="aa8959@coventry.ac.uk"/>
    <s v=""/>
    <s v="Zhou, Xue/0000-0002-7242-0958"/>
    <s v=""/>
    <s v=""/>
    <s v=""/>
    <s v=""/>
    <n v="40"/>
    <n v="3"/>
    <n v="4"/>
    <n v="0"/>
    <n v="2"/>
    <s v="ASSOC LEARNING TECHNOLOGY-ALT"/>
    <s v="BICESTER"/>
    <s v="PO BOX 460, BICESTER, OX26 9LW, ENGLAND"/>
    <s v="2156-7069"/>
    <s v="2156-7077"/>
    <s v=""/>
    <s v="RES LEARN TECHNOL"/>
    <s v="Res. Learn. Technol."/>
    <s v=""/>
    <x v="2"/>
    <n v="29"/>
    <s v=""/>
    <s v=""/>
    <s v=""/>
    <s v=""/>
    <s v=""/>
    <s v=""/>
    <s v=""/>
    <n v="2446"/>
    <s v="10.25304/rlt.v29.2446"/>
    <s v="http://dx.doi.org/10.25304/rlt.v29.2446"/>
    <s v=""/>
    <s v=""/>
    <n v="18"/>
    <x v="39"/>
    <x v="2"/>
    <s v="Education &amp; Educational Research"/>
    <s v="PU6VI"/>
    <s v=""/>
    <s v="Green Published, gold"/>
    <s v=""/>
    <s v=""/>
    <s v="2023-11-15"/>
    <s v="WOS:000609438900001"/>
    <s v="View Full Record in Web of Science"/>
    <m/>
  </r>
  <r>
    <x v="373"/>
    <s v="J"/>
    <x v="369"/>
    <s v=""/>
    <s v=""/>
    <s v=""/>
    <s v="Shahi, Chinmay; Sinha, Manish"/>
    <s v=""/>
    <s v=""/>
    <x v="371"/>
    <x v="220"/>
    <s v=""/>
    <s v=""/>
    <s v="English"/>
    <s v="Article"/>
    <s v=""/>
    <s v=""/>
    <s v=""/>
    <s v=""/>
    <s v=""/>
    <x v="348"/>
    <x v="1"/>
    <s v="Purpose Digital transformation is the way forward for all businesses. The technology is advancing at a rapid pace and the companies need to adapt to the change, not just to take advantage of the enormous opportunities it provides but even to stay relevant in this volatility, uncertainty, complexity, and ambiguity world. This study aims to define the concept of digital transformation and what it means in today's business scenario. It helps to understand the different stages of digital maturity, identify the barriers in adopting different technologies and provide solutions to overcome those challenges. Design/methodology/approach This is a qualitative study in which opinions of the digital transformation experts were collected using a qualitative questionnaire. Natural language processing (NLP) and text mining techniques were applied along with a thorough analysis of the text to generate the results. Findings The study was able to uncover - what it means to be digitally transformed, different challenges an organization faces during the digital transformation journey and their potential solutions. Originality/value The existing literature on the topic is scattered and does not provide a roadmap for a company to adopt digital transformation. This study aims to fill up the gap and cover various aspects of the whole transformation process. The uniqueness of the study lies in the use of NLP techniques to perform text analytics on the data."/>
    <s v="[Shahi, Chinmay; Sinha, Manish] SIU SCMHRD, Pune, Maharashtra, India"/>
    <s v="Symbiosis International University; Symbiosis Centre for Management &amp; Human Resource Development (SCMHRD)"/>
    <s v="Shahi, C (corresponding author), SIU SCMHRD, Pune, Maharashtra, India."/>
    <s v="chinmay_shahi@scmhrd.edu"/>
    <s v=""/>
    <s v="SINHA, MANISH/0000-0002-2116-0877"/>
    <s v=""/>
    <s v=""/>
    <s v=""/>
    <s v=""/>
    <n v="44"/>
    <n v="20"/>
    <n v="20"/>
    <n v="9"/>
    <n v="140"/>
    <s v="EMERALD GROUP PUBLISHING LTD"/>
    <s v="BINGLEY"/>
    <s v="HOWARD HOUSE, WAGON LANE, BINGLEY BD16 1WA, W YORKSHIRE, ENGLAND"/>
    <s v="1757-2223"/>
    <s v="1757-2231"/>
    <s v=""/>
    <s v="INT J INOV SCI"/>
    <s v="Int. J. Innov. Sci."/>
    <s v="JAN 21"/>
    <x v="2"/>
    <n v="13"/>
    <n v="1"/>
    <s v=""/>
    <s v=""/>
    <s v=""/>
    <s v=""/>
    <n v="17"/>
    <n v="33"/>
    <s v=""/>
    <s v="10.1108/IJIS-09-2020-0157"/>
    <s v="http://dx.doi.org/10.1108/IJIS-09-2020-0157"/>
    <s v=""/>
    <s v="DEC 2020"/>
    <n v="17"/>
    <x v="33"/>
    <x v="2"/>
    <s v="Business &amp; Economics"/>
    <s v="PZ7RI"/>
    <s v=""/>
    <s v=""/>
    <s v=""/>
    <s v=""/>
    <s v="2023-11-15"/>
    <s v="WOS:000603421000001"/>
    <s v="View Full Record in Web of Science"/>
    <m/>
  </r>
  <r>
    <x v="374"/>
    <s v="J"/>
    <x v="370"/>
    <s v=""/>
    <s v=""/>
    <s v=""/>
    <s v="Bonnevie, Erika; Lloyd, Tiffany D.; Rosenberg, Sarah D.; Williams, Kara; Goldbarg, Jaclyn; Smyser, Joe"/>
    <s v=""/>
    <s v=""/>
    <x v="372"/>
    <x v="276"/>
    <s v=""/>
    <s v=""/>
    <s v="English"/>
    <s v="Article"/>
    <s v=""/>
    <s v=""/>
    <s v=""/>
    <s v=""/>
    <s v=""/>
    <x v="349"/>
    <x v="1"/>
    <s v="Introduction: In Onondaga County, New York, around half of all births to Black and Hispanic teenage girls are unintended. The Layla's Got You campaign consists of a chatbot and social media campaign designed to increase contraception knowledge among 16- to 25-year-old Black and Hispanic women in Onondaga County. Methods: The campaign was co-created with local women in the target audience and employed digital and grassroots community building strategies. Focus groups were conducted among 31 women, during which participants selected the campaign's logo and chatbot name and created the tagline. Participants reviewed chatbot responses and designed Layla's appearance and features, and Black/Hispanic women are featured in website and promotional photos. A community campaign manager pairs digital strategies with grassroots partnerships among a diverse group of stakeholders, including social media influencers, hair salons and health clinics. Results: Since implementation, the chatbot has received 4,390 messages related to contraception or sexual health. Across social media accounts, the campaign has showed 2,483,683 impressions, average daily reach of 1,710 for Facebook and 943 for Instagram, and 32,816 total engagements across all platforms. Conclusion: Layla's Got You provides young women with a confidential place in which to find locally tailored and trustworthy information about contraception. By merging innovative technology-driven strategies, participatory creation techniques and grassroots community building, the initiative delivers impactful, easily updated health information on a large scale. This strategy has promising implications for increasing knowledge and positive attitudes towards contraception among specific at-risk audiences."/>
    <s v="[Bonnevie, Erika; Rosenberg, Sarah D.; Goldbarg, Jaclyn; Smyser, Joe] Publ Good Projects, 2308 Mt Vernon Ave,Suite 758, Alexandria, VA 22301 USA; [Lloyd, Tiffany D.; Williams, Kara] Allyn Family Fdn, Syracuse, NY USA"/>
    <s v=""/>
    <s v="Bonnevie, E (corresponding author), Publ Good Projects, 2308 Mt Vernon Ave,Suite 758, Alexandria, VA 22301 USA."/>
    <s v="erika.bonnevie@publicgoodprojects.org"/>
    <s v=""/>
    <s v=""/>
    <s v="Allyn Family Foundation"/>
    <s v="Allyn Family Foundation"/>
    <s v="The author(s) disclosed receipt of the following financial support for the research, authorship, and/or publication of this article. This work was supported by the Allyn Family Foundation, Skaneateles, New York."/>
    <s v=""/>
    <n v="38"/>
    <n v="8"/>
    <n v="8"/>
    <n v="2"/>
    <n v="14"/>
    <s v="SAGE PUBLICATIONS LTD"/>
    <s v="LONDON"/>
    <s v="1 OLIVERS YARD, 55 CITY ROAD, LONDON EC1Y 1SP, ENGLAND"/>
    <s v="0017-8969"/>
    <s v="1748-8176"/>
    <s v=""/>
    <s v="HEALTH EDUC J"/>
    <s v="Health Educ. J."/>
    <s v="JUN"/>
    <x v="2"/>
    <n v="80"/>
    <n v="4"/>
    <s v=""/>
    <s v=""/>
    <s v=""/>
    <s v=""/>
    <n v="413"/>
    <n v="424"/>
    <n v="17896920981122"/>
    <s v="10.1177/0017896920981122"/>
    <s v="http://dx.doi.org/10.1177/0017896920981122"/>
    <s v=""/>
    <s v="DEC 2020"/>
    <n v="12"/>
    <x v="126"/>
    <x v="1"/>
    <s v="Education &amp; Educational Research; Public, Environmental &amp; Occupational Health"/>
    <s v="SF5YZ"/>
    <s v=""/>
    <s v=""/>
    <s v=""/>
    <s v=""/>
    <s v="2023-11-15"/>
    <s v="WOS:000627100200001"/>
    <s v="View Full Record in Web of Science"/>
    <m/>
  </r>
  <r>
    <x v="375"/>
    <s v="J"/>
    <x v="371"/>
    <s v=""/>
    <s v=""/>
    <s v=""/>
    <s v="Aldoy, Noor; Evans, Mark Andrew"/>
    <s v=""/>
    <s v=""/>
    <x v="373"/>
    <x v="277"/>
    <s v=""/>
    <s v=""/>
    <s v="English"/>
    <s v="Article"/>
    <s v=""/>
    <s v=""/>
    <s v=""/>
    <s v=""/>
    <s v=""/>
    <x v="350"/>
    <x v="275"/>
    <s v="As the number of digital natives increases and the range of digital design tools / media continues to expand, it is timely to examine the potential for an entirely digital industrial design process that can be employed in practice and education. Following a literature review, a draft Digital Industrial Design (DID) strategy that focuses on the core design activities of sketching, drawing, model making, and prototyping was generated. A paper-based, theoretical model was established and presented to graduating students, academics and practitioners. The results indicated that, while graduating students were interested in employing an approach based entirely on digital methods, the majority had doubts about its capacity to replace conventional and hybrid methods. The removal of paper-based sketching, the conventional hands-on experience when model making, and the cost of digital tools were identified as primary concerns. Although academics believed that the future of industrial design programmes would become increasingly digital, it was identified that current programmes were failing to exploit the opportunities afforded by these technologies fully."/>
    <s v="[Aldoy, Noor] Univ Bahrain, Coll Engn, Dept Architecture &amp; Interior Design, Isa Town Campus, Isa Town, Bahrain; [Evans, Mark Andrew] Loughborough Univ, Sch Design &amp; Creat Arts, Loughborough LE11 3TU, Leics, England"/>
    <s v="University of Bahrain; Loughborough University"/>
    <s v="Aldoy, N (corresponding author), Univ Bahrain, Coll Engn, Dept Architecture &amp; Interior Design, Isa Town Campus, Isa Town, Bahrain."/>
    <s v="naldoy@uob.edu.bh; m.a.evans@lboro.ac.uk"/>
    <s v=""/>
    <s v="Evans, Mark/0000-0002-1378-8998"/>
    <s v=""/>
    <s v=""/>
    <s v=""/>
    <s v=""/>
    <n v="25"/>
    <n v="3"/>
    <n v="3"/>
    <n v="2"/>
    <n v="44"/>
    <s v="WILEY"/>
    <s v="HOBOKEN"/>
    <s v="111 RIVER ST, HOBOKEN 07030-5774, NJ USA"/>
    <s v="1476-8062"/>
    <s v="1476-8070"/>
    <s v=""/>
    <s v="INT J ART DES EDUC"/>
    <s v="Int. J. Art Des. Educ."/>
    <s v="FEB"/>
    <x v="2"/>
    <n v="40"/>
    <n v="1"/>
    <s v=""/>
    <s v=""/>
    <s v=""/>
    <s v=""/>
    <n v="283"/>
    <n v="302"/>
    <s v=""/>
    <s v="10.1111/jade.12334"/>
    <s v="http://dx.doi.org/10.1111/jade.12334"/>
    <s v=""/>
    <s v="DEC 2020"/>
    <n v="20"/>
    <x v="127"/>
    <x v="6"/>
    <s v="Art; Education &amp; Educational Research"/>
    <s v="QY6MT"/>
    <s v=""/>
    <s v="Green Accepted, Green Submitted"/>
    <s v=""/>
    <s v=""/>
    <s v="2023-11-15"/>
    <s v="WOS:000596816000001"/>
    <s v="View Full Record in Web of Science"/>
    <m/>
  </r>
  <r>
    <x v="376"/>
    <s v="J"/>
    <x v="372"/>
    <s v=""/>
    <s v=""/>
    <s v=""/>
    <s v="Lin, Annie Wen; Baik, Sharon H.; Aaby, David; Tello, Leslie; Linville, Twila; Alshurafa, Nabil; Spring, Bonnie"/>
    <s v=""/>
    <s v=""/>
    <x v="374"/>
    <x v="278"/>
    <s v=""/>
    <s v=""/>
    <s v="English"/>
    <s v="Article"/>
    <s v=""/>
    <s v=""/>
    <s v=""/>
    <s v=""/>
    <s v=""/>
    <x v="351"/>
    <x v="276"/>
    <s v="Background: eHealth technologies have been found to facilitate health-promoting practices among cancer survivors with BMI in overweight or obese categories; however, little is known about their engagement with eHealth to promote weight management and facilitate patient-clinician communication. Objective: The objective of this study was to determine whether eHealth use was associated with sociodemographic characteristics, as well as medical history and experiences (ie, patient-related factors) among cancer survivors with BMI in overweight or obese categories. Methods: Data were analyzed from a nationally representative cross-sectional survey (National Cancer Institute's Health Information National Trends Survey). Latent class analysis was used to derive distinct classes among cancer survivors based on sociodemographic characteristics, medical attributes, and medical experiences. Logistic regression was used to examine whether class membership was associated with different eHealth practices. Results: Three distinct classes of cancer survivors with BMI in overweight or obese categories emerged: younger with no comorbidities, younger with comorbidities, and older with comorbidities. Compared to the other classes, the younger with comorbidities class had the highest probability of identifying as female (73%) and Hispanic (46%) and feeling that clinicians did not address their concerns (75%). The older with comothidities class was 6.5 times more likely than the younger with comothidities class to share eHealth data with a clinician (odds ratio [OR] 6.53, 95% CI 1.08-39.43). In contrast, the younger with no comorbidities class had a higher likelihood of using a computer to look for health information (OR 1.93, 95% CI 1.10-3.38), using an electronic device to track progress toward a health-related goal (OR 2.02, 95% CI 1.08-3.79), and using the internet to watch health-related YouTube videos (OR 2.70, 95% CI 1.52-4.81) than the older with comothidities class. Conclusions: Class membership was associated with different patterns of eHealth engagement, indicating the importance of tailored digital strategies for delivering effective care. Future eHealth weight loss interventions should investigate strategies to engage younger cancer survivors with comorbidities and address racial and ethnic disparities in eHealth use."/>
    <s v="[Lin, Annie Wen; Tello, Leslie] Benedictine Univ, Dept Nutr, 5700 Coll Rd Kindlon Hall,Room 224, Lisle, IL 60532 USA; [Lin, Annie Wen; Aaby, David; Linville, Twila; Alshurafa, Nabil; Spring, Bonnie] Northwestern Univ, Dept Prevent Med, Chicago, IL USA; [Baik, Sharon H.] City Hope Med Canc Ctr, Dept Support Care Med, Duarte, CA USA; [Baik, Sharon H.] Northwestern Univ, Dept Med Social Sci, Chicago, IL USA"/>
    <s v="Northwestern University; Northwestern University"/>
    <s v="Lin, AW (corresponding author), Benedictine Univ, Dept Nutr, 5700 Coll Rd Kindlon Hall,Room 224, Lisle, IL 60532 USA."/>
    <s v="alin@ben.edu"/>
    <s v=""/>
    <s v="Aaby, David/0000-0002-2395-3563; Spring, Bonnie/0000-0003-0692-9868; Linville, Twila/0000-0002-8315-5731; Lin, Annie/0000-0002-0045-8826"/>
    <s v="National Institutes of Health/National Cancer Institute [T32 CA193193]; National Institute of Diabetes and Digestive and Kidney Diseases [K25DK113242, R01 DK108678, R01 DK125414]; National Science Foundation [CNS1915847]; National Cancer Institute [P30CA060553]; National Institutes of Health's National Center for Advancing Translational Sciences [UL1TR001422]"/>
    <s v="National Institutes of Health/National Cancer Institute(United States Department of Health &amp; Human ServicesNational Institutes of Health (NIH) - USANIH National Cancer Institute (NCI)); National Institute of Diabetes and Digestive and Kidney Diseases(United States Department of Health &amp; Human ServicesNational Institutes of Health (NIH) - USANIH National Institute of Diabetes &amp; Digestive &amp; Kidney Diseases (NIDDK)); National Science Foundation(National Science Foundation (NSF)); National Cancer Institute(United States Department of Health &amp; Human ServicesNational Institutes of Health (NIH) - USANIH National Cancer Institute (NCI)); National Institutes of Health's National Center for Advancing Translational Sciences"/>
    <s v="AWL and SHB acknowledge salary support from National Institutes of Health/National Cancer Institute training grant T32 CA193193 (principal investigator: BS). NA is supported in part by National Institute of Diabetes and Digestive and Kidney Diseases K25DK113242 and National Science Foundation CNS1915847. BS is supported in part by National Institute of Diabetes and Digestive and Kidney Diseases R01s DK108678 and DK125414 and National Cancer Institute P30CA060553. Research reported in this publication was supported, in part, by the National Institutes of Health's National Center for Advancing Translational Sciences (grant number UL1TR001422). The content is solely the responsibility of the authors and does not necessarily represent the official views of the National Institutes of Health. The authors are grateful for the NCI HINTS investigators for their dedication in data collection and support. The authors would also like to thank the NCI HINTS participants for their contribution to research, as well as the reviewers and copyeditor (Coren Walters-Stewart) for their comments that have improved this manuscript."/>
    <s v=""/>
    <n v="54"/>
    <n v="0"/>
    <n v="1"/>
    <n v="0"/>
    <n v="8"/>
    <s v="JMIR PUBLICATIONS, INC"/>
    <s v="TORONTO"/>
    <s v="130 QUEENS QUAY E, STE 1102, TORONTO, ON M5A 0P6, CANADA"/>
    <s v="2369-1999"/>
    <s v=""/>
    <s v=""/>
    <s v="JMIR CANCER"/>
    <s v="JMIR Cancer"/>
    <s v="DEC 3"/>
    <x v="3"/>
    <n v="6"/>
    <n v="2"/>
    <s v=""/>
    <s v=""/>
    <s v=""/>
    <s v=""/>
    <s v=""/>
    <s v=""/>
    <s v="e24137"/>
    <s v="10.2196/24137"/>
    <s v="http://dx.doi.org/10.2196/24137"/>
    <s v=""/>
    <s v=""/>
    <n v="11"/>
    <x v="118"/>
    <x v="2"/>
    <s v="Oncology"/>
    <s v="PE7YC"/>
    <n v="33156810"/>
    <s v="Green Published, gold"/>
    <s v=""/>
    <s v=""/>
    <s v="2023-11-15"/>
    <s v="WOS:000598578000001"/>
    <s v="View Full Record in Web of Science"/>
    <m/>
  </r>
  <r>
    <x v="377"/>
    <s v="J"/>
    <x v="373"/>
    <s v=""/>
    <s v=""/>
    <s v=""/>
    <s v="Aravena, Margarita; Natalia Campos-Soto, Maria; Rodriguez-Jimenez, Carmen"/>
    <s v=""/>
    <s v=""/>
    <x v="375"/>
    <x v="4"/>
    <s v=""/>
    <s v=""/>
    <s v="English"/>
    <s v="Article"/>
    <s v=""/>
    <s v=""/>
    <s v=""/>
    <s v=""/>
    <s v=""/>
    <x v="352"/>
    <x v="1"/>
    <s v="The education system must respond to the demands and needs of today's society. To meet this demand, teachers must identify the degree of cognitive skills that our students possess through digital learning strategies that encourage the development of these superior skills because of the impact of technological resources on student motivation. To carry out this assessment, two types of strategy tests were applied to evaluate cognitive skills, one determining the student's ability to create an opinion of their own based on ideas and visions of other authors (perspective analysis) and the other strategy test to distinguish the main elements of an information, identifying a general pattern (abstraction), which were reviewed with a task performance instrument (rubrics). A mixed methodology was used through a case study, with a selected and intentional sample of 34 students of the Primary Education Grade. The results show that elaborating questions that go deeper into a topic and labelling contents is not an easy task and that abstraction is one of the most complex skills to develop in students. It should be noted that, in practically all areas, men's averages exceed those of women. Finally, the use of digital strategies must be incorporated as permanent routines and the relationship between technology and pedagogy allows for the management of learning and therefore increases higher level cognitive abilities."/>
    <s v="[Aravena, Margarita] Univ Andres Bello, Fac Educ &amp; Social Sci, Postgrad Acad, Republ 470 Piso 1, Santiago 8370227, Chile; [Natalia Campos-Soto, Maria; Rodriguez-Jimenez, Carmen] Univ Granada, Dept Didact &amp; Sch Org, Granada 18010, Spain"/>
    <s v="Universidad Andres Bello; University of Granada"/>
    <s v="Campos-Soto, MN (corresponding author), Univ Granada, Dept Didact &amp; Sch Org, Granada 18010, Spain."/>
    <s v="marg.aravena@uandresbello.edu; ncampos@ugr.es; carmenrj@ugr.es"/>
    <s v="Jiménez, Carmen Rodríguez/AAS-5135-2021; Aravena, Margarita/AAD-8079-2021"/>
    <s v="Rodriguez Jimenez, Carmen/0000-0001-8623-8316; Aravena Gaete, Margarita Ercilia/0000-0003-3198-8384; Campos Soto, Maria Natalia/0000-0002-3361-2930"/>
    <s v=""/>
    <s v=""/>
    <s v=""/>
    <s v=""/>
    <n v="41"/>
    <n v="6"/>
    <n v="6"/>
    <n v="0"/>
    <n v="6"/>
    <s v="MDPI"/>
    <s v="BASEL"/>
    <s v="ST ALBAN-ANLAGE 66, CH-4052 BASEL, SWITZERLAND"/>
    <s v=""/>
    <s v="2071-1050"/>
    <s v=""/>
    <s v="SUSTAINABILITY-BASEL"/>
    <s v="Sustainability"/>
    <s v="DEC"/>
    <x v="3"/>
    <n v="12"/>
    <n v="23"/>
    <s v=""/>
    <s v=""/>
    <s v=""/>
    <s v=""/>
    <s v=""/>
    <s v=""/>
    <n v="9877"/>
    <s v="10.3390/su12239877"/>
    <s v="http://dx.doi.org/10.3390/su12239877"/>
    <s v=""/>
    <s v=""/>
    <n v="11"/>
    <x v="4"/>
    <x v="3"/>
    <s v="Science &amp; Technology - Other Topics; Environmental Sciences &amp; Ecology"/>
    <s v="PE2YH"/>
    <s v=""/>
    <s v="Green Published, gold"/>
    <s v=""/>
    <s v=""/>
    <s v="2023-11-15"/>
    <s v="WOS:000598233900001"/>
    <s v="View Full Record in Web of Science"/>
    <m/>
  </r>
  <r>
    <x v="378"/>
    <s v="J"/>
    <x v="374"/>
    <s v=""/>
    <s v=""/>
    <s v=""/>
    <s v="Camilo Lopera-Zuluaga, Edwar"/>
    <s v=""/>
    <s v=""/>
    <x v="376"/>
    <x v="279"/>
    <s v=""/>
    <s v=""/>
    <s v="Spanish"/>
    <s v="Article"/>
    <s v=""/>
    <s v=""/>
    <s v=""/>
    <s v=""/>
    <s v=""/>
    <x v="353"/>
    <x v="1"/>
    <s v="The Colombian Ministry of Education publishes the #AprenderDigital strategy on social networks to counteract the massive closure of schools due to covid-19. However, the public makes a dissatisfied reply to this homogeneous initiative. This research with a qualitative approach aims, first, to classify in categories of analysis the citizen replies made to the publications of the National Ministry of Colombia on Twitter and Facebook under the hashtag #AprenderDigital. Second, to discuss, within the framework of citizen replies, the expressions of educational inequality exacerbated by the digital strategy, in addition to offering some lessons learned for post-pandemic digital educational policy in Colombia. The method involved retrieving the citizen replicas and the data with the support of the qualitative analysis software Atlas ti. The replicas were classified into three categories: 1. Access replicas. 2. Curricular replicas. 3. Exhortations. To the end, we discuss the strength of the study to ratify educational inequality in times of covid-19, the homogeneity of emergency educational policies that deny differences, we reflect on the necessary subjectivity policies and we provide some reflections on the direction of post pandemic digital policies. Finally, we value the fertility that means recovering replicas in social networks for research in social sciences."/>
    <s v="[Camilo Lopera-Zuluaga, Edwar] Univ Pontificia Bolivariana, Ciencias Sociales, Medellin, Colombia"/>
    <s v="Universidad Pontificia Bolivariana"/>
    <s v="Lopera-Zuluaga, EC (corresponding author), Univ Pontificia Bolivariana, Ciencias Sociales, Medellin, Colombia."/>
    <s v="edwar.lopera@upb.edu.co"/>
    <s v=""/>
    <s v=""/>
    <s v=""/>
    <s v=""/>
    <s v=""/>
    <s v=""/>
    <n v="41"/>
    <n v="0"/>
    <n v="1"/>
    <n v="0"/>
    <n v="4"/>
    <s v="UNIV AUTONOMA MADRID, FAC FORMACION PROFESORADO &amp; EDUCACION"/>
    <s v="MADRID"/>
    <s v="MODULO III, DESPACHO 302, CAMPUS CANTOBLANCO, MADRID, 28049, SPAIN"/>
    <s v="2254-3139"/>
    <s v=""/>
    <s v=""/>
    <s v="REV INT EDUC JUSTICI"/>
    <s v="Rev. Int. Educ. Justicia Soc."/>
    <s v="DEC"/>
    <x v="3"/>
    <n v="9"/>
    <n v="3"/>
    <s v=""/>
    <s v=""/>
    <s v=""/>
    <s v=""/>
    <n v="335"/>
    <n v="352"/>
    <s v=""/>
    <s v="10.15366/riejs2020.9.3.018"/>
    <s v="http://dx.doi.org/10.15366/riejs2020.9.3.018"/>
    <s v=""/>
    <s v=""/>
    <n v="18"/>
    <x v="39"/>
    <x v="2"/>
    <s v="Education &amp; Educational Research"/>
    <s v="PT4QU"/>
    <s v=""/>
    <s v="gold"/>
    <s v=""/>
    <s v=""/>
    <s v="2023-11-15"/>
    <s v="WOS:000608600400018"/>
    <s v="View Full Record in Web of Science"/>
    <m/>
  </r>
  <r>
    <x v="379"/>
    <s v="J"/>
    <x v="375"/>
    <s v=""/>
    <s v=""/>
    <s v=""/>
    <s v="Dwivedi, Yogesh K.; Hughes, D. Laurie; Coombs, Crispin; Constantiou, Ioanna; Duan, Yanqing; Edwards, John S.; Gupta, Babita; Lal, Banita; Misra, Santosh; Prashant, Prakhar; Raman, Ramakrishnan; Rana, Nripendra P.; Sharma, Sujeet K.; Upadhyay, Nitin"/>
    <s v=""/>
    <s v=""/>
    <x v="377"/>
    <x v="162"/>
    <s v=""/>
    <s v=""/>
    <s v="English"/>
    <s v="Article"/>
    <s v=""/>
    <s v=""/>
    <s v=""/>
    <s v=""/>
    <s v=""/>
    <x v="354"/>
    <x v="277"/>
    <s v="The COVID-19 pandemic has forced many organisations to undergo significant transformation, rethinking key elements of their business processes and use of technology to maintain operations whilst adhering to a changing landscape of guidelines and new procedures. This study offers a collective insight to many of the key issues and underlying complexities affecting organisations and society from COVID-19, through an information systems and technological perspective. The views of 12 invited subject experts are collated and analysed where each articulate their individual perspectives relating to: online learning, digital strategy, artificial intelligence, information management, social interaction, cyber security, big data, blockchain, privacy, mobile technology and strategy through the lens of the current crisis and impact on these specific areas. The expert perspectives offer timely insight to the range of topics, identifying key issues and recommendations for theory and practice."/>
    <s v="[Dwivedi, Yogesh K.; Hughes, D. Laurie] Swansea Univ, Sch Management, Emerging Markets Res Ctr EMaRC, Bay Campus, Swansea, W Glam, Wales; [Coombs, Crispin] Loughborough Univ, Sch Business &amp; Econ, Loughborough, Leics, England; [Constantiou, Ioanna] Copenhagen Business Sch, Dept Digitalisat, Copenhagen, Denmark; [Duan, Yanqing] Univ Bedfordshire, Business &amp; Management Res Inst, Luton, Beds, England; [Edwards, John S.] Aston Business Sch, Operat &amp; Informat Management Dept, Birmingham, W Midlands, England; [Gupta, Babita] Calif State Univ, Monterey, CA USA; [Lal, Banita; Rana, Nripendra P.] Univ Bradford, Sch Management, Bradford, W Yorkshire, England; [Misra, Santosh] Govt Tamil Nadu, Tamil Nadu E Governance Agcy, Chennai, Tamil Nadu, India; [Prashant, Prakhar] Sabaps Corp, Woodland Hills, CA USA; [Raman, Ramakrishnan] Symbiosis Int Deemed Univ, Symbiosis Inst Business Management, Pune, Maharashtra, India; [Sharma, Sujeet K.] Indian Inst Management Tiruchirappalli, Informat Syst &amp; Analyt Area, Sooriyur, Tamil Nadu, India; [Upadhyay, Nitin] Goa Inst Management, Ctr Innovat Informat Technol &amp; Operat Management, Poriem, Goa, India"/>
    <s v="Swansea University; Loughborough University; Copenhagen Business School; University of Bedfordshire; Aston University; University of Bradford; Symbiosis International University; Symbiosis Institute of Business Management (SIBM) Pune; Indian Institute of Management (IIM System); Indian Institute of Management Tiruchirappalli; Goa Institute of Management"/>
    <s v="Rana, NP (corresponding author), Univ Bradford, Sch Management, Bradford, W Yorkshire, England."/>
    <s v="y.k.dwivedi@swansea.ac.uk; d.l.hughes@swansea.ac.uk; c.r.coombs@lboro.ac.uk; ic.digi@cbs.dk; yanqing.duan@beds.ac.uk; j.s.edwards@aston.ac.uk; bgupta@csumb.edu; B.lall@bradford.ac.uk; santoshmisra@gmail.com; sabapscorp@gmail.com; director@sibmpune.edu.in; n.p.rana@bradford.ac.uk; sujeet@iimtrichy.ac.in; nitin@gim.ac.in"/>
    <s v="Rana, Nripendra P./AAY-1576-2021; Rana, Nripendra P./ABA-4719-2020; Raman, Ramakrishnan/U-2170-2017; Dwivedi, Yogesh Kumar/A-5362-2008; Pune, SIBM/Z-5178-2019; Edwards, John Steven/AAC-9878-2020"/>
    <s v="Rana, Nripendra P./0000-0003-1105-8729; Raman, Ramakrishnan/0000-0003-3642-6989; Dwivedi, Yogesh Kumar/0000-0002-5547-9990; Edwards, John Steven/0000-0003-3979-017X; Upadhyay, Nitin/0000-0001-8301-8924; Constantiou, Ioanna/0000-0002-9761-1208"/>
    <s v=""/>
    <s v=""/>
    <s v=""/>
    <s v=""/>
    <n v="92"/>
    <n v="372"/>
    <n v="376"/>
    <n v="30"/>
    <n v="542"/>
    <s v="ELSEVIER SCI LTD"/>
    <s v="OXFORD"/>
    <s v="THE BOULEVARD, LANGFORD LANE, KIDLINGTON, OXFORD OX5 1GB, OXON, ENGLAND"/>
    <s v="0268-4012"/>
    <s v="1873-4707"/>
    <s v=""/>
    <s v="INT J INFORM MANAGE"/>
    <s v="Int. J. Inf. Manage."/>
    <s v="DEC"/>
    <x v="3"/>
    <n v="55"/>
    <s v=""/>
    <s v=""/>
    <s v=""/>
    <s v=""/>
    <s v=""/>
    <s v=""/>
    <s v=""/>
    <n v="102211"/>
    <s v="10.1016/j.ijinfomgt.2020.102211"/>
    <s v="http://dx.doi.org/10.1016/j.ijinfomgt.2020.102211"/>
    <s v=""/>
    <s v=""/>
    <n v="20"/>
    <x v="66"/>
    <x v="1"/>
    <s v="Information Science &amp; Library Science"/>
    <s v="OD0FF"/>
    <s v=""/>
    <s v="Green Submitted, Green Accepted, Green Published"/>
    <s v=""/>
    <s v=""/>
    <s v="2023-11-15"/>
    <s v="WOS:000579529600028"/>
    <s v="View Full Record in Web of Science"/>
    <m/>
  </r>
  <r>
    <x v="380"/>
    <s v="J"/>
    <x v="376"/>
    <s v=""/>
    <s v=""/>
    <s v=""/>
    <s v="Marcut, Mirela"/>
    <s v=""/>
    <s v=""/>
    <x v="378"/>
    <x v="280"/>
    <s v=""/>
    <s v=""/>
    <s v="English"/>
    <s v="Article"/>
    <s v=""/>
    <s v=""/>
    <s v=""/>
    <s v=""/>
    <s v=""/>
    <x v="355"/>
    <x v="1"/>
    <s v="The new Digital Strategy of the European Union (EU) emphasizes the need for a more assertive Union as regards digital leadership, claiming a role of a global actor in terms of digital policies. Moreover, the new policy documents on digital transformation promote the idea European technological sovereignty, thus pointing to a crystallization of a European approach towards digital policies that would be projected on the international stage. The purpose of this article is to investigate the sources of the proclaimed assertiveness of Digital Europe in international affairs. The hypothesis is that it stems from harmonization of legislation claimed by the Digital Single Market. However, the article aims to identify and assess the EU's recognition, authority, autonomy, markers proposed by Jupille and Caporaso (1998), in an approach meant to provide an overview of the EU's actorness in the digital space."/>
    <s v="[Marcut, Mirela] Univ Oradea, Fac Hist Int Relat Polit Sci &amp; Commun Sci, Oradea, Romania"/>
    <s v="University of Oradea"/>
    <s v="Marcut, M (corresponding author), Univ Oradea, Fac Hist Int Relat Polit Sci &amp; Commun Sci, Oradea, Romania."/>
    <s v="mirelamarcut@uoradea.ro"/>
    <s v="Marcut, Mirela/AAK-7015-2021"/>
    <s v="Marcut, Mirela/0000-0003-2832-9249"/>
    <s v=""/>
    <s v=""/>
    <s v=""/>
    <s v=""/>
    <n v="19"/>
    <n v="0"/>
    <n v="0"/>
    <n v="5"/>
    <n v="18"/>
    <s v="EUROPEAN INST ROMANIA"/>
    <s v="BUCHAREST"/>
    <s v="7-9 BD REGINA ELISABETA, SECTOR 3, BUCHAREST, 030016, ROMANIA"/>
    <s v="1582-8271"/>
    <s v="1841-4273"/>
    <s v=""/>
    <s v="ROM J EUR AFF"/>
    <s v="Rom. J. Eur. Aff."/>
    <s v="DEC"/>
    <x v="3"/>
    <n v="20"/>
    <n v="2"/>
    <s v=""/>
    <s v=""/>
    <s v=""/>
    <s v=""/>
    <n v="79"/>
    <n v="85"/>
    <s v=""/>
    <s v=""/>
    <s v=""/>
    <s v=""/>
    <s v=""/>
    <n v="7"/>
    <x v="32"/>
    <x v="2"/>
    <s v="International Relations"/>
    <s v="PV3YY"/>
    <s v=""/>
    <s v=""/>
    <s v=""/>
    <s v=""/>
    <s v="2023-11-15"/>
    <s v="WOS:000609928200006"/>
    <s v="View Full Record in Web of Science"/>
    <m/>
  </r>
  <r>
    <x v="381"/>
    <s v="J"/>
    <x v="377"/>
    <s v=""/>
    <s v=""/>
    <s v=""/>
    <s v="van Tonder, Chante; Schachtebeck, Chris; Nieuwenhuizen, Cecile; Bossink, Bart"/>
    <s v=""/>
    <s v=""/>
    <x v="379"/>
    <x v="43"/>
    <s v=""/>
    <s v=""/>
    <s v="English"/>
    <s v="Article"/>
    <s v=""/>
    <s v=""/>
    <s v=""/>
    <s v=""/>
    <s v=""/>
    <x v="356"/>
    <x v="278"/>
    <s v="With the advent of the Fourth Industrial Revolution, businesses are adapting to the use of digitalisation which requires the digital transformation of their existing business models. However, there is limited empirical research on this phenomenon. The purpose of this study is twofold: (i) to develop a framework for businesses to digitally transform their business models and (ii) to examine literature in order to identify and analyse the constructs underlying the three concepts of Digitalisation, Digital Transformation and Business Model Innovation. The study is qualitative in nature and is based on a narrative review. Relevant articles were identified by using international bibliographic databases and scrutinised using thematic analysis. The findings reveal that the first two constructs require digital capabilities and a digital strategy. The third construct requires digital transformation in the realm of customercentricity, resources, processes and profit. A set of propositions was formulated and the commonalities were mapped. Based upon this map, a conceptual framework was developed. The findings will assist in the development of future instruments that can guide businesses to digitally transform existing business model elements. This study aims to fill the gap on how business model innovation should be pursued through digital transformation by developing a conceptual framework."/>
    <s v="[van Tonder, Chante; Schachtebeck, Chris; Nieuwenhuizen, Cecile] Univ Johannesburg, Dept Business Management, Johannesburg, South Africa; [Bossink, Bart] Vrije Univ, Dept Sci Business &amp; Innovat, Amsterdam, Netherlands"/>
    <s v="University of Johannesburg; Vrije Universiteit Amsterdam"/>
    <s v="van Tonder, C (corresponding author), Univ Johannesburg, Dept Business Management, Johannesburg, South Africa."/>
    <s v="chantevt@uj.ac.za; cschachtebeck@uj.ac.za; cecilen@uj.ac.za; b.a.g.bossink@vu.nl"/>
    <s v="Schachtebeck, Chris/AAE-5048-2021"/>
    <s v="Botha, Chante/0000-0002-1155-416X; Bossink, Bart/0000-0001-9809-5121; Schachtebeck, Chris/0000-0002-9133-2590"/>
    <s v=""/>
    <s v=""/>
    <s v=""/>
    <s v=""/>
    <n v="68"/>
    <n v="12"/>
    <n v="13"/>
    <n v="24"/>
    <n v="192"/>
    <s v="UNIV SPLIT, FAC ECONOMICS"/>
    <s v="SPLIT"/>
    <s v="MATICE HRVATSKE 31, SPLIT, 21000, CROATIA"/>
    <s v="1331-0194"/>
    <s v="1846-3363"/>
    <s v=""/>
    <s v="MANAG-J CONTEMP MANA"/>
    <s v="Manag.-J. Contemp. Manag. Issues"/>
    <s v="DEC"/>
    <x v="3"/>
    <n v="25"/>
    <n v="2"/>
    <s v=""/>
    <s v=""/>
    <s v=""/>
    <s v=""/>
    <n v="111"/>
    <n v="132"/>
    <s v=""/>
    <s v="10.30924/mjcmi.25.2.6"/>
    <s v="http://dx.doi.org/10.30924/mjcmi.25.2.6"/>
    <s v=""/>
    <s v=""/>
    <n v="22"/>
    <x v="8"/>
    <x v="2"/>
    <s v="Business &amp; Economics"/>
    <s v="PK8JS"/>
    <s v=""/>
    <s v="gold"/>
    <s v=""/>
    <s v=""/>
    <s v="2023-11-15"/>
    <s v="WOS:000602684700006"/>
    <s v="View Full Record in Web of Science"/>
    <m/>
  </r>
  <r>
    <x v="382"/>
    <s v="J"/>
    <x v="378"/>
    <s v=""/>
    <s v=""/>
    <s v=""/>
    <s v="Zheng, Weimin; Liao, Zhixue; Lin, Zhibin"/>
    <s v=""/>
    <s v=""/>
    <x v="380"/>
    <x v="281"/>
    <s v=""/>
    <s v=""/>
    <s v="English"/>
    <s v="Article"/>
    <s v=""/>
    <s v=""/>
    <s v=""/>
    <s v=""/>
    <s v=""/>
    <x v="357"/>
    <x v="279"/>
    <s v="The fast development of machine learning and artificial intelligence has led to a great improvement of the smart tourism recommendation system, however many problems associated with the choice of transport modes in city tourism have yet to be solved. This research attempts to address this issue by proposing a model of customized day itineraries with consideration of transport mode choice. With improved particle swarm optimization and differential evolution algorithm, a nondominated sorting heuristic approach was devised. A case study was carried out in Chengdu, China to examine the performance of our approach. The results show that compared with extant methods, our approach achieves better performance. In addition, our approach can create more sensible, multifarious, and customized itineraries than previous methods. Tourism organizations and mobile map app providers could integrate our proposed model into their existing smart service systems, as part of their e-business or digital strategy for enhancing tourist experience."/>
    <s v="[Zheng, Weimin] Xiamen Univ, Sch Management, 422 South Siming Rd, Xiamen 361005, Peoples R China; [Liao, Zhixue] Southwestern Univ Finance &amp; Econ, Sch Business Adm, 555 Liutai Ave, Chengdu 611130, Peoples R China; [Lin, Zhibin] Univ Durham, Business Sch, Mill Hill Lane, Durham DH1 3LB, England"/>
    <s v="Xiamen University; Southwestern University of Finance &amp; Economics - China; Durham University"/>
    <s v="Liao, ZX (corresponding author), Southwestern Univ Finance &amp; Econ, Sch Business Adm, 555 Liutai Ave, Chengdu 611130, Peoples R China."/>
    <s v="liaozhixue@swufe.edu.cn"/>
    <s v="WU, ZHEN/GRN-7688-2022; zheng, wei/IQT-9639-2023; Lin, Zhibin/ACD-8628-2022; Lin, Zhibin/R-7541-2018"/>
    <s v="WU, ZHEN/0000-0001-8719-057X; Lin, Zhibin/0000-0001-5575-2216; Lin, Zhibin/0000-0001-5575-2216"/>
    <s v="National Natural Science Foundation of China [71971179, 71701167, 71601164, 71671152]; Humanities and Social Science Projects of the Ministry of Education of China [17YJC630078]"/>
    <s v="National Natural Science Foundation of China(National Natural Science Foundation of China (NSFC)); Humanities and Social Science Projects of the Ministry of Education of China(Ministry of Education, China)"/>
    <s v="This research received grants from the National Natural Science Foundation of China (No.71971179, No.71701167, No.71601164, No.71671152) and Humanities and Social Science Projects of the Ministry of Education of China (No.17YJC630078)."/>
    <s v=""/>
    <n v="60"/>
    <n v="29"/>
    <n v="29"/>
    <n v="23"/>
    <n v="210"/>
    <s v="ELSEVIER SCI LTD"/>
    <s v="OXFORD"/>
    <s v="THE BOULEVARD, LANGFORD LANE, KIDLINGTON, OXFORD OX5 1GB, OXON, ENGLAND"/>
    <s v="0261-5177"/>
    <s v="1879-3193"/>
    <s v=""/>
    <s v="TOURISM MANAGE"/>
    <s v="Tourism Manage."/>
    <s v="DEC"/>
    <x v="3"/>
    <n v="81"/>
    <s v=""/>
    <s v=""/>
    <s v=""/>
    <s v=""/>
    <s v=""/>
    <s v=""/>
    <s v=""/>
    <n v="104162"/>
    <s v="10.1016/j.tourman.2020.104162"/>
    <s v="http://dx.doi.org/10.1016/j.tourman.2020.104162"/>
    <s v=""/>
    <s v=""/>
    <n v="14"/>
    <x v="128"/>
    <x v="1"/>
    <s v="Environmental Sciences &amp; Ecology; Social Sciences - Other Topics; Business &amp; Economics"/>
    <s v="MM4UO"/>
    <s v=""/>
    <s v="Green Accepted"/>
    <s v=""/>
    <s v=""/>
    <s v="2023-11-15"/>
    <s v="WOS:000550153800021"/>
    <s v="View Full Record in Web of Science"/>
    <m/>
  </r>
  <r>
    <x v="383"/>
    <s v="J"/>
    <x v="379"/>
    <s v=""/>
    <s v=""/>
    <s v=""/>
    <s v="Markarian, Jennifer"/>
    <s v=""/>
    <s v=""/>
    <x v="381"/>
    <x v="282"/>
    <s v=""/>
    <s v=""/>
    <s v="English"/>
    <s v="Article"/>
    <s v=""/>
    <s v=""/>
    <s v=""/>
    <s v=""/>
    <s v=""/>
    <x v="8"/>
    <x v="1"/>
    <s v=""/>
    <s v=""/>
    <s v=""/>
    <s v=""/>
    <s v=""/>
    <s v=""/>
    <s v=""/>
    <s v=""/>
    <s v=""/>
    <s v=""/>
    <s v=""/>
    <n v="4"/>
    <n v="0"/>
    <n v="0"/>
    <n v="1"/>
    <n v="1"/>
    <s v="ADVANSTAR COMMUNICATIONS INC"/>
    <s v="DULUTH"/>
    <s v="131 W 1ST STREET, DULUTH, MN 55802 USA"/>
    <s v="1542-166X"/>
    <s v="1939-1862"/>
    <s v=""/>
    <s v="BIOPHARM INT"/>
    <s v="Biopharm. Int."/>
    <s v="NOV"/>
    <x v="3"/>
    <n v="33"/>
    <n v="11"/>
    <s v=""/>
    <s v=""/>
    <s v=""/>
    <s v=""/>
    <n v="48"/>
    <n v="51"/>
    <s v=""/>
    <s v=""/>
    <s v=""/>
    <s v=""/>
    <s v=""/>
    <n v="4"/>
    <x v="129"/>
    <x v="0"/>
    <s v="Biotechnology &amp; Applied Microbiology; Pharmacology &amp; Pharmacy"/>
    <s v="VM2IP"/>
    <s v=""/>
    <s v=""/>
    <s v=""/>
    <s v=""/>
    <s v="2023-11-15"/>
    <s v="WOS:000981661400013"/>
    <s v="View Full Record in Web of Science"/>
    <m/>
  </r>
  <r>
    <x v="384"/>
    <s v="J"/>
    <x v="380"/>
    <s v=""/>
    <s v=""/>
    <s v=""/>
    <s v="Ayres Pinto, Danielle Jacon; Moraes, Isabela"/>
    <s v=""/>
    <s v=""/>
    <x v="382"/>
    <x v="283"/>
    <s v=""/>
    <s v=""/>
    <s v="Portuguese"/>
    <s v="Article"/>
    <s v=""/>
    <s v=""/>
    <s v=""/>
    <s v=""/>
    <s v=""/>
    <x v="358"/>
    <x v="280"/>
    <s v="The year 2016 is considered a milestone in international politics. The victories by Brexit and Donald Trump marked the rise of the extreme right in the West and the institutionalization of what became known as the post-truth era. In both instances, there was a disregard for democratic values and the adoption of an exclusionary discourse to pursue the objectives of a specific political group. It is against this background that a vast body of literature is beginning to emerge on how we came to mistrust institutions and the veracity of facts. This article is intended to be part of these contributions, as it provides an interpretation of the current context of the weakening of democratic values and processes through a digital strategy of societal manipulation."/>
    <s v="[Ayres Pinto, Danielle Jacon] Univ Fed Santa Catarina UFSC, Grad &amp; Posgrad Relacoes Int, Florianopolis, SC, Brazil; [Ayres Pinto, Danielle Jacon; Moraes, Isabela] Grp Pesquisa Estudos Estrateg &amp; Polit Int Contemp, Florianopolis, SC, Brazil"/>
    <s v="Universidade Federal de Santa Catarina (UFSC)"/>
    <s v="Pinto, DJA (corresponding author), Univ Fed Santa Catarina UFSC, Grad &amp; Posgrad Relacoes Int, Florianopolis, SC, Brazil.;Pinto, DJA (corresponding author), Grp Pesquisa Estudos Estrateg &amp; Polit Int Contemp, Florianopolis, SC, Brazil."/>
    <s v="djap2222@yahoo.com; isabermoraes@gmail.com"/>
    <s v="Pinto, Danielle Jacon Ayres/AAW-1650-2020"/>
    <s v="Pinto, Danielle Jacon Ayres/0000-0002-1105-1626"/>
    <s v=""/>
    <s v=""/>
    <s v=""/>
    <s v=""/>
    <n v="44"/>
    <n v="2"/>
    <n v="2"/>
    <n v="0"/>
    <n v="8"/>
    <s v="UNIV ANDES"/>
    <s v="Bogota"/>
    <s v="Cra. 1 #18a-12, Bogota, COLOMBIA"/>
    <s v="0123-885X"/>
    <s v="1900-5180"/>
    <s v=""/>
    <s v="REV ESTUD SOC"/>
    <s v="Rev. Estud. Soc."/>
    <s v="OCT"/>
    <x v="3"/>
    <s v=""/>
    <n v="74"/>
    <s v=""/>
    <s v=""/>
    <s v=""/>
    <s v=""/>
    <n v="71"/>
    <n v="82"/>
    <s v=""/>
    <s v="10.7440/res74.2020.06"/>
    <s v="http://dx.doi.org/10.7440/res74.2020.06"/>
    <s v=""/>
    <s v=""/>
    <n v="12"/>
    <x v="130"/>
    <x v="1"/>
    <s v="Social Issues; Social Sciences - Other Topics"/>
    <s v="NV4FF"/>
    <s v=""/>
    <s v="gold, Green Submitted"/>
    <s v=""/>
    <s v=""/>
    <s v="2023-11-15"/>
    <s v="WOS:000574279000006"/>
    <s v="View Full Record in Web of Science"/>
    <m/>
  </r>
  <r>
    <x v="385"/>
    <s v="J"/>
    <x v="381"/>
    <s v=""/>
    <s v=""/>
    <s v=""/>
    <s v="Suing, Abel; Ordonez, Kruzkaya; Herrero-Gutierrez, Francisco-Javier"/>
    <s v=""/>
    <s v=""/>
    <x v="383"/>
    <x v="104"/>
    <s v=""/>
    <s v=""/>
    <s v="Spanish"/>
    <s v="Article"/>
    <s v=""/>
    <s v=""/>
    <s v=""/>
    <s v=""/>
    <s v=""/>
    <x v="359"/>
    <x v="281"/>
    <s v="Media convergence is part of a process of cultural transformation that involves various forms of information consumption; a scenario in which the media, including radio, submerges to capture and interact with the audience, and there is a phenomenon of repositioning of proximity that provides new impetus to the radio in both its traditional and online broadcasts. This research aims to determine the scope of national radio (thematic and general) of Spain on the basis of the report that summarizes the last three waves of the General Media Study (2018) through a quantitative analysis that consists of comparing the number of listeners (open signal), the number of followers, interactions, commitment and comments on Facebook and Twitter, indicators used to measure the rate of interaction or engagement and the CTR (clicks by tweet I like and the number of followers). The results allow obtaining data on the impact and reach of Spanish radios and serve as a guide for the adoption of digital strategies. The interaction of the generalist radios is greater than the thematic ones, and in the selected sample they are all musical. The main difference should be in qualitative aspects, since the quantitative evidence shows no correlation. Finally, depending on the social network in question, a different behavior is observed among stations."/>
    <s v="[Suing, Abel; Ordonez, Kruzkaya] Univ Tecn Particular Loja, Loja, Ecuador; [Herrero-Gutierrez, Francisco-Javier] Univ Salamanca, Salamanca, Spain"/>
    <s v="Universidad Tecnica Particular de Loja; University of Salamanca"/>
    <s v="Suing, A (corresponding author), Univ Tecn Particular Loja, Loja, Ecuador."/>
    <s v="arsuing@utpl.edu.ec; kordonez@utpl.edu.ec; javiherrero82@usal.es"/>
    <s v="Herrero-Gutiérrez, Francisco-Javier/C-2624-2013; Suing, Abel/AAJ-8854-2020"/>
    <s v="Herrero-Gutiérrez, Francisco-Javier/0000-0002-1362-7406; Suing, Abel/0000-0002-4234-5926"/>
    <s v=""/>
    <s v=""/>
    <s v=""/>
    <s v=""/>
    <n v="33"/>
    <n v="2"/>
    <n v="2"/>
    <n v="2"/>
    <n v="10"/>
    <s v="UNIV AUTONOMA BARCELONA"/>
    <s v="CERDANYOLA DEL VALLES, BARCELONA"/>
    <s v="VICERECTORAT RELACIONS INSTITUCIONALS &amp; CULTURA, UNIV VALENCIA, VICERECTORAT INVESTIGACIO, CERDANYOLA DEL VALLES, BARCELONA, 08193, SPAIN"/>
    <s v="0211-2175"/>
    <s v="2340-5236"/>
    <s v=""/>
    <s v="ANALISI"/>
    <s v="Analisi"/>
    <s v="OCT"/>
    <x v="3"/>
    <s v=""/>
    <s v=""/>
    <s v=""/>
    <s v=""/>
    <s v="SI"/>
    <s v=""/>
    <n v="1"/>
    <n v="16"/>
    <s v=""/>
    <s v="10.5565/rev/analisi.3206"/>
    <s v="http://dx.doi.org/10.5565/rev/analisi.3206"/>
    <s v=""/>
    <s v=""/>
    <n v="16"/>
    <x v="56"/>
    <x v="2"/>
    <s v="Communication"/>
    <s v="PM1SV"/>
    <s v=""/>
    <s v="Green Submitted"/>
    <s v=""/>
    <s v=""/>
    <s v="2023-11-15"/>
    <s v="WOS:000603589000001"/>
    <s v="View Full Record in Web of Science"/>
    <m/>
  </r>
  <r>
    <x v="386"/>
    <s v="J"/>
    <x v="382"/>
    <s v=""/>
    <s v=""/>
    <s v=""/>
    <s v="Lotriet, R. A.; Ditshego, K. Kokotwane"/>
    <s v=""/>
    <s v=""/>
    <x v="384"/>
    <x v="284"/>
    <s v=""/>
    <s v=""/>
    <s v="Afrikaans"/>
    <s v="Article"/>
    <s v=""/>
    <s v=""/>
    <s v=""/>
    <s v=""/>
    <s v=""/>
    <x v="360"/>
    <x v="1"/>
    <s v="Compared to other industrialised countries the South African banking industry is at present well developed and controlled. However, the industry is under stress due to a number of reasons including customer demands for more seamless banking experience. The Fintechs and other digital disruptors such as Blockchain are also causing turmoil in the industry. The banks are under massive pressure to transform their business models to a more customer-centric approach in order to stay relevant. Digital transformation is seen as the solution to the challenges faced by banks. The core digital transformation practices such as leadership, digital trends, digital transformation skills, digital strategies, implementation of digital technologies, and customer centric approach are seen as influences brought to bear on digital maturity levels. The Bank has felt the disruption and is working towards changing its business model from product-centric to customer-centric. This research was undertaken to assess how the core practices influence digital maturity in the Bank. The participants were asked to rate the Bank's maturity level among the options given; early, developing, and maturing. The majority of the respondents view the Bank as developing in terms of maturity. The statistical techniques were employed to assess the relationship between digital maturity and digital transformation core practices. Furthermore, an ordinal logistic regression analysis was employed to establish what relationship exists between digital maturity level and the combined core factors, i.e. a prediction was made about an ordinal response variable given a set of independent variables. The results revealed that a relationship exists between digital maturity and core practices. In particular, the research has shown that an interconnected set of digital transformation core practices work together to influence digital maturity."/>
    <s v="[Lotriet, R. A.; Ditshego, K. Kokotwane] Noordwes Univ, Besigheidskool, Fak Ekon Wetenskappe, Potchefstroom, South Africa"/>
    <s v="North West University - South Africa"/>
    <s v="Lotriet, RA (corresponding author), Noordwes Univ, Besigheidskool, Fak Ekon Wetenskappe, Potchefstroom, South Africa."/>
    <s v="Ronnie.Lotriet@nwu.ac.za"/>
    <s v=""/>
    <s v=""/>
    <s v=""/>
    <s v=""/>
    <s v=""/>
    <s v=""/>
    <n v="32"/>
    <n v="4"/>
    <n v="4"/>
    <n v="6"/>
    <n v="66"/>
    <s v="SUID-AFRIKAANSE AKAD VIR WETENSKAP EN KUNS, SEKRETARIS"/>
    <s v="PRETORIA"/>
    <s v="P. O. BOX 538, PRETORIA, 00000, SOUTH AFRICA"/>
    <s v="0041-4751"/>
    <s v=""/>
    <s v=""/>
    <s v="TYDSKR GEESTESWET"/>
    <s v="Tydskr. Geesteswet."/>
    <s v="SEP"/>
    <x v="3"/>
    <n v="60"/>
    <n v="3"/>
    <s v=""/>
    <s v=""/>
    <s v=""/>
    <s v=""/>
    <n v="687"/>
    <n v="707"/>
    <s v=""/>
    <s v="10.17159/2224-7912/2020/v60n3a8"/>
    <s v="http://dx.doi.org/10.17159/2224-7912/2020/v60n3a8"/>
    <s v=""/>
    <s v=""/>
    <n v="21"/>
    <x v="131"/>
    <x v="1"/>
    <s v="Social Issues"/>
    <s v="PE6WC"/>
    <s v=""/>
    <s v="gold"/>
    <s v=""/>
    <s v=""/>
    <s v="2023-11-15"/>
    <s v="WOS:000598503500008"/>
    <s v="View Full Record in Web of Science"/>
    <m/>
  </r>
  <r>
    <x v="387"/>
    <s v="J"/>
    <x v="383"/>
    <s v=""/>
    <s v=""/>
    <s v=""/>
    <s v="Pateli, Adamantia; Mylonas, Naoum; Spyrou, Aggeliki"/>
    <s v=""/>
    <s v=""/>
    <x v="385"/>
    <x v="4"/>
    <s v=""/>
    <s v=""/>
    <s v="English"/>
    <s v="Article"/>
    <s v=""/>
    <s v=""/>
    <s v=""/>
    <s v=""/>
    <s v=""/>
    <x v="361"/>
    <x v="282"/>
    <s v="The importance of the organizational adoption of social media is increasingly raised in hospitality literature because of the recognition of Web 2.0 technologies as a significant tool for improving customer information searching and experience, as well as for enriching firm digital strategy. The present study seeks to empirically explore the determinant factors that affect a hospitality firm's decision to adopt social media by following a theoretical approach that integrates the Diffusion of Innovation Theory (DIT) with the Technology-Organization-Environment (TOE) framework. Using survey data from 106 hospitality firms operating in Greece, and by applying structural equation modelling (SEM), we identify seven factors that influence the adoption of organizational social media adoption. These factors are grouped into three categories: Technological, organizational, and environmental. Out of the three groups of factors, technological features are considered as the most important ones in terms of their predicting power. Theoretical and practical implications of our findings are discussed."/>
    <s v="[Pateli, Adamantia; Spyrou, Aggeliki] Ionian Univ, Dept Informat, Tsirigoti Sq 7, Corfu 49100, Greece; [Mylonas, Naoum] Ionian Univ, Dept Tourism, P Vraila Armeni 4, Corfu 49132, Greece"/>
    <s v="Ionian University; Ionian University"/>
    <s v="Mylonas, N (corresponding author), Ionian Univ, Dept Tourism, P Vraila Armeni 4, Corfu 49132, Greece."/>
    <s v="pateli@ionio.gr; nmylonas@ionio.gr; c15spyr@ionio.gr"/>
    <s v="Pateli, Adamantia/AAM-3196-2021; Mylonas, Naoum/AAD-8214-2019"/>
    <s v="Pateli, Adamantia/0000-0001-8649-1303; Mylonas, Naoum/0000-0002-4286-8022"/>
    <s v=""/>
    <s v=""/>
    <s v=""/>
    <s v=""/>
    <n v="110"/>
    <n v="26"/>
    <n v="26"/>
    <n v="8"/>
    <n v="49"/>
    <s v="MDPI"/>
    <s v="BASEL"/>
    <s v="ST ALBAN-ANLAGE 66, CH-4052 BASEL, SWITZERLAND"/>
    <s v=""/>
    <s v="2071-1050"/>
    <s v=""/>
    <s v="SUSTAINABILITY-BASEL"/>
    <s v="Sustainability"/>
    <s v="SEP"/>
    <x v="3"/>
    <n v="12"/>
    <n v="17"/>
    <s v=""/>
    <s v=""/>
    <s v=""/>
    <s v=""/>
    <s v=""/>
    <s v=""/>
    <n v="7132"/>
    <s v="10.3390/su12177132"/>
    <s v="http://dx.doi.org/10.3390/su12177132"/>
    <s v=""/>
    <s v=""/>
    <n v="20"/>
    <x v="4"/>
    <x v="3"/>
    <s v="Science &amp; Technology - Other Topics; Environmental Sciences &amp; Ecology"/>
    <s v="NP7XZ"/>
    <s v=""/>
    <s v="gold, Green Published"/>
    <s v=""/>
    <s v=""/>
    <s v="2023-11-15"/>
    <s v="WOS:000570387200001"/>
    <s v="View Full Record in Web of Science"/>
    <m/>
  </r>
  <r>
    <x v="388"/>
    <s v="J"/>
    <x v="384"/>
    <s v=""/>
    <s v=""/>
    <s v=""/>
    <s v="Zhao, Xin"/>
    <s v=""/>
    <s v=""/>
    <x v="386"/>
    <x v="285"/>
    <s v=""/>
    <s v=""/>
    <s v="English"/>
    <s v="Article"/>
    <s v=""/>
    <s v=""/>
    <s v=""/>
    <s v=""/>
    <s v=""/>
    <x v="8"/>
    <x v="283"/>
    <s v="Courses:Public Relations, Business and Professional Communication, Training and Development, Digital Media Strategies, Digital Communications. Objectives:By the end of the activity, students will be able to synthesize the key attributes of the notion of personal branding and to apply them in their future professional communications on social media."/>
    <s v="[Zhao, Xin] Bournemouth Univ, Fac Media &amp; Commun, Dept Commun &amp; Journalism, Poole, Dorset, England"/>
    <s v="Bournemouth University"/>
    <s v="Zhao, X (corresponding author), Bournemouth Univ, Fac Media &amp; Commun, Dept Commun &amp; Journalism, Poole, Dorset, England."/>
    <s v="xzhao@bournemouth.ac.uk"/>
    <s v="Zhao, Xin/AAT-5158-2020"/>
    <s v="Zhao, Xin/0000-0001-6853-7224"/>
    <s v=""/>
    <s v=""/>
    <s v=""/>
    <s v=""/>
    <n v="16"/>
    <n v="5"/>
    <n v="5"/>
    <n v="1"/>
    <n v="10"/>
    <s v="TAYLOR &amp; FRANCIS LTD"/>
    <s v="ABINGDON"/>
    <s v="2-4 PARK SQUARE, MILTON PARK, ABINGDON OR14 4RN, OXON, ENGLAND"/>
    <s v="1740-4622"/>
    <s v="1740-4630"/>
    <s v=""/>
    <s v="COMMUN TEACH"/>
    <s v="Commun. Teach."/>
    <s v="JAN 2"/>
    <x v="2"/>
    <n v="35"/>
    <n v="1"/>
    <s v=""/>
    <s v=""/>
    <s v=""/>
    <s v=""/>
    <n v="37"/>
    <n v="42"/>
    <s v=""/>
    <s v="10.1080/17404622.2020.1807579"/>
    <s v="http://dx.doi.org/10.1080/17404622.2020.1807579"/>
    <s v=""/>
    <s v="AUG 2020"/>
    <n v="6"/>
    <x v="56"/>
    <x v="2"/>
    <s v="Communication"/>
    <s v="PG6JU"/>
    <s v=""/>
    <s v="Green Accepted"/>
    <s v=""/>
    <s v=""/>
    <s v="2023-11-15"/>
    <s v="WOS:000565999400001"/>
    <s v="View Full Record in Web of Science"/>
    <m/>
  </r>
  <r>
    <x v="389"/>
    <s v="J"/>
    <x v="385"/>
    <s v=""/>
    <s v=""/>
    <s v=""/>
    <s v="Ogrean, Claudia; Herciu, Mihaela"/>
    <s v=""/>
    <s v=""/>
    <x v="387"/>
    <x v="52"/>
    <s v=""/>
    <s v=""/>
    <s v="English"/>
    <s v="Article"/>
    <s v=""/>
    <s v=""/>
    <s v=""/>
    <s v=""/>
    <s v=""/>
    <x v="362"/>
    <x v="1"/>
    <s v="Competitiveness represents a never-ending moving target for any institution/entity, no matter the level of analysis (micro companies /public administrations, mezzo industries /national regions, or macro countries / world regions); but its determinants (or key success factors) are changing, as ages go by, asking for continuous watch and strategic flexibility. With digital technology nowadays disrupting (almost) every aspect of human life, while framing a new age of digitalization being both a source of competitiveness (for the industry leaders whatever the 'industry might be), and (just) a prerequisite for survival (or doing business) for almost everyone else, the European Commission's political priority for 2019-2024 A Europe fit for the digital age and the EU's digital strategy aiming for a digital transformation that will benefit everyone are of great interest (accentuated by the new pandemic context) for all the EU regions and their institutions/entities. Within this framework the paper (which is part of a bigger research) aims to perform an overview scan of Centro Region-Romania (mainly by comparison with Romania's other Development Regions and with EU benchmarks) in order to broadly identify its needs for digital transformation, while setting the backgrounds for a more systematic, focused and applied analysis to follow."/>
    <s v="[Ogrean, Claudia; Herciu, Mihaela] Lucian Blaga Univ Sibiu, Sibiu, Romania"/>
    <s v="Lucian Blaga University of Sibiu"/>
    <s v="Ogrean, C (corresponding author), Lucian Blaga Univ Sibiu, Sibiu, Romania."/>
    <s v=""/>
    <s v="OGREAN, CLAUDIA A/C-6678-2008; Herciu, Mihaela/C-5875-2008"/>
    <s v="OGREAN, CLAUDIA A/0000-0001-8986-4507; Herciu, Mihaela/0000-0001-9649-2043"/>
    <s v=""/>
    <s v=""/>
    <s v=""/>
    <s v=""/>
    <n v="11"/>
    <n v="3"/>
    <n v="3"/>
    <n v="3"/>
    <n v="12"/>
    <s v="SCIENDO"/>
    <s v="WARSAW"/>
    <s v="BOGUMILA ZUGA 32A, WARSAW, MAZOVIA, POLAND"/>
    <s v="1842-4120"/>
    <s v="2344-5416"/>
    <s v=""/>
    <s v="STUD BUS ECON-ROM"/>
    <s v="Stud. Bus. Econ."/>
    <s v="AUG"/>
    <x v="3"/>
    <n v="15"/>
    <n v="2"/>
    <s v=""/>
    <s v=""/>
    <s v=""/>
    <s v=""/>
    <n v="270"/>
    <n v="281"/>
    <s v=""/>
    <s v="10.2478/sbe-2020-0040"/>
    <s v="http://dx.doi.org/10.2478/sbe-2020-0040"/>
    <s v=""/>
    <s v=""/>
    <n v="12"/>
    <x v="15"/>
    <x v="2"/>
    <s v="Business &amp; Economics"/>
    <s v="OG5PF"/>
    <s v=""/>
    <s v="gold"/>
    <s v=""/>
    <s v=""/>
    <s v="2023-11-15"/>
    <s v="WOS:000581935000020"/>
    <s v="View Full Record in Web of Science"/>
    <m/>
  </r>
  <r>
    <x v="390"/>
    <s v="J"/>
    <x v="386"/>
    <s v=""/>
    <s v=""/>
    <s v=""/>
    <s v="Correani, Alessia; De Massis, Alfredo; Frattini, Federico; Petruzzelli, Antonio Messeni; Natalicchio, Angelo"/>
    <s v=""/>
    <s v=""/>
    <x v="388"/>
    <x v="286"/>
    <s v=""/>
    <s v=""/>
    <s v="English"/>
    <s v="Article"/>
    <s v=""/>
    <s v=""/>
    <s v=""/>
    <s v=""/>
    <s v=""/>
    <x v="363"/>
    <x v="284"/>
    <s v="The rapid growth of digital technologies and the extraordinary amount of data that devices and applications collect each day are increasingly driving companies to radically transform the business architecture through which they create and appropriate value. However, companies may fail to extract value from digital transformation due to the disconnection between strategy formulation and strategy implementation. Through the analysis of three case studies of firms that digitally transformed their business - namely ABB, CNH Industrial, and Vodafone -, this article presents a framework than can help companies implement their digital transformation strategy and thereby renovate their business model."/>
    <s v="[Correani, Alessia] Microsoft Italy, Milan, Italy; [De Massis, Alfredo] Free Univ Bozen Bolzano, Bolzano, Italy; [De Massis, Alfredo] Univ Lancaster, Lancaster, England; [De Massis, Alfredo] Zhejiang Univ, Hangzhou, Peoples R China; [Frattini, Federico] Politecn Milan, Milan, Italy; [Petruzzelli, Antonio Messeni; Natalicchio, Angelo] Politecn Bari, Bari, Italy"/>
    <s v="Free University of Bozen-Bolzano; Lancaster University; Zhejiang University; Polytechnic University of Milan; Politecnico di Bari"/>
    <s v="Correani, A (corresponding author), Microsoft Italy, Milan, Italy."/>
    <s v=""/>
    <s v=""/>
    <s v="FRATTINI, FEDERICO/0000-0001-5100-3605"/>
    <s v=""/>
    <s v=""/>
    <s v=""/>
    <s v=""/>
    <n v="60"/>
    <n v="171"/>
    <n v="172"/>
    <n v="143"/>
    <n v="737"/>
    <s v="SAGE PUBLICATIONS INC"/>
    <s v="THOUSAND OAKS"/>
    <s v="2455 TELLER RD, THOUSAND OAKS, CA 91320 USA"/>
    <s v="0008-1256"/>
    <s v="2162-8564"/>
    <s v=""/>
    <s v="CALIF MANAGE REV"/>
    <s v="Calif. Manage. Rev."/>
    <s v="AUG"/>
    <x v="3"/>
    <n v="62"/>
    <n v="4"/>
    <s v=""/>
    <s v=""/>
    <s v="SI"/>
    <s v=""/>
    <n v="37"/>
    <n v="56"/>
    <n v="8125620934864"/>
    <s v="10.1177/0008125620934864"/>
    <s v="http://dx.doi.org/10.1177/0008125620934864"/>
    <s v=""/>
    <s v="JUL 2020"/>
    <n v="20"/>
    <x v="6"/>
    <x v="1"/>
    <s v="Business &amp; Economics"/>
    <s v="NC6IO"/>
    <s v=""/>
    <s v="Green Accepted"/>
    <s v=""/>
    <s v=""/>
    <s v="2023-11-15"/>
    <s v="WOS:000547612800001"/>
    <s v="View Full Record in Web of Science"/>
    <m/>
  </r>
  <r>
    <x v="391"/>
    <s v="J"/>
    <x v="387"/>
    <s v=""/>
    <s v=""/>
    <s v=""/>
    <s v="Demeter, Krisztina; Losonci, David; Nagy, Judit"/>
    <s v=""/>
    <s v=""/>
    <x v="389"/>
    <x v="287"/>
    <s v=""/>
    <s v=""/>
    <s v="English"/>
    <s v="Article"/>
    <s v=""/>
    <s v=""/>
    <s v=""/>
    <s v=""/>
    <s v=""/>
    <x v="364"/>
    <x v="285"/>
    <s v="Purpose The authors' main objective is to examine the resource alteration underlying the digital manufacturing transformation. The authors rely on the adaptation aspect of dynamic capabilities (DC) theory and their analysis shows how and why a factory adapts its resources and capabilities during digital transformation. Design/methodology/approach To grasp the change, the authors apply the longitudinal case study method within a revelatory case setting. The digital transformation is detailed from the perspective of a subsidiary that has played a key role in the division's digital transformation. Findings Analysing the revealed four stages of the transformation through the lenses of the DC components of adaptation (sensing capability, absorptive capacity, integrative capability, relational capability), this study suggests a sequence with unbalanced characteristics. Each stage starts with sensing capability, each component appears during each stage and each stage is dominated by a different component. Relying on the path dependency concept, the authors also present that the interplay between lean as an old resource stock and digital manufacturing as a new resource stock is rather a necessity, especially at the beginning of the transformation (at a corporation that pursues lean for years). Practical implications Digital strategy development is rather an intermediate element of the transformation, since committed personnel (or maybe their network) start bottom-up and coordinate initiatives as they sense the opportunities in the environment. Top managers should rely on their accumulated knowledge and involve them into the transfer coalition in the top-down phase of digitalization. The authors' case also underlines that starting to experiment with novel technologies requires a solid (and usually expensive) technological and human basis. Finally, process improvement focussed developments at a high-performing factory might be just enough to deal with ever-demanding customer expectations. Originality/value This study is among the firsts in operations management that relies on the DC theory to follow up the digital transformation of a factory. A further valuable contribution is that the adaptation process is examined in a longitudinal case study."/>
    <s v="[Demeter, Krisztina; Losonci, David; Nagy, Judit] Corvinus Univ Budapest, Dept Logist &amp; Supply Chain Management, Budapest, Hungary"/>
    <s v="Corvinus University Budapest"/>
    <s v="Demeter, K (corresponding author), Corvinus Univ Budapest, Dept Logist &amp; Supply Chain Management, Budapest, Hungary."/>
    <s v="krisztina.demeter@uni-corvinus.hu; david.losonci@uni-corvinus.hu; judit.nagy@uni-corvinus.hu"/>
    <s v="Nagy, Judit/AAE-3341-2022; Nagy, Judit/HZL-6228-2023; Losonci, Dávid/A-7808-2013; Demeter, Krisztina/B-1310-2013"/>
    <s v="Nagy, Judit/0000-0001-8275-1550; Nagy, Judit/0000-0001-8275-1550; Losonci, Dávid/0000-0003-0073-7849; Demeter, Krisztina/0000-0002-5967-8540"/>
    <s v="project Aspects on the development of intelligent, sustainable and inclusive society: social, technological, innovation networks in employment and digital economy [EFOP-3.6.2-16-2017-00007]; EU; European Social Fund"/>
    <s v="project Aspects on the development of intelligent, sustainable and inclusive society: social, technological, innovation networks in employment and digital economy; EU(European Union (EU)); European Social Fund(European Social Fund (ESF))"/>
    <s v="This research was supported by the project Aspects on the development of intelligent, sustainable and inclusive society: social, technological, innovation networks in employment and digital economy (EFOP-3.6.2-16-2017-00007). The project has been supported by the EU, co-financed by the European Social Fund and the budget of Hungary."/>
    <s v=""/>
    <n v="58"/>
    <n v="26"/>
    <n v="26"/>
    <n v="23"/>
    <n v="172"/>
    <s v="EMERALD GROUP PUBLISHING LTD"/>
    <s v="BINGLEY"/>
    <s v="HOWARD HOUSE, WAGON LANE, BINGLEY BD16 1WA, W YORKSHIRE, ENGLAND"/>
    <s v="1741-038X"/>
    <s v="1758-7786"/>
    <s v=""/>
    <s v="J MANUF TECHNOL MANA"/>
    <s v="J. Manuf. Technol. Manag."/>
    <s v="MAR 25"/>
    <x v="2"/>
    <n v="32"/>
    <n v="3"/>
    <s v=""/>
    <s v=""/>
    <s v="SI"/>
    <s v=""/>
    <n v="820"/>
    <n v="839"/>
    <s v=""/>
    <s v="10.1108/JMTM-06-2019-0226"/>
    <s v="http://dx.doi.org/10.1108/JMTM-06-2019-0226"/>
    <s v=""/>
    <s v="JUN 2020"/>
    <n v="20"/>
    <x v="132"/>
    <x v="3"/>
    <s v="Engineering; Business &amp; Economics"/>
    <s v="RC5QC"/>
    <s v=""/>
    <s v=""/>
    <s v=""/>
    <s v=""/>
    <s v="2023-11-15"/>
    <s v="WOS:000546076100001"/>
    <s v="View Full Record in Web of Science"/>
    <m/>
  </r>
  <r>
    <x v="392"/>
    <s v="J"/>
    <x v="388"/>
    <s v=""/>
    <s v=""/>
    <s v=""/>
    <s v="Ziemssen, Tjalf; Kern, Raimar; Voigt, Isabel; Haase, Rocco"/>
    <s v=""/>
    <s v=""/>
    <x v="390"/>
    <x v="288"/>
    <s v=""/>
    <s v=""/>
    <s v="English"/>
    <s v="Article"/>
    <s v=""/>
    <s v=""/>
    <s v=""/>
    <s v=""/>
    <s v=""/>
    <x v="365"/>
    <x v="286"/>
    <s v="Multiple sclerosis (MS) is a frequent chronic inflammatory disease of the central nervous system that affects patients over decades. As the monitoring and treatment of MS become more personalized and complex, the individual assessment and collection of different parameters ranging from clinical assessments via laboratory and imaging data to patient-reported data become increasingly important for innovative patient management in MS. These aspects predestine electronic data processing for use in MS documentation. Such technologies enable the rapid exchange of health information between patients, practitioners, and caregivers, regardless of time and location. In this perspective paper, we present our digital strategy from Dresden, where we are developing the Multiple Sclerosis Documentation System (MSDS) into an eHealth platform that can be used for multiple purposes. Various use cases are presented that implement this software platform and offer an important perspective for the innovative digital patient management in the future. A holistic patient management of the MS, electronically supported by clinical pathways, will have an important impact on other areas of patient care, such as neurorehabilitation."/>
    <s v="[Ziemssen, Tjalf; Voigt, Isabel; Haase, Rocco] Univ Hosp Carl Gustav Carus, Ctr Clin Neurosci, Dresden, Germany; [Kern, Raimar] MedicalSyn GmbH, Stuttgart, Germany"/>
    <s v="Technische Universitat Dresden; Carl Gustav Carus University Hospital"/>
    <s v="Ziemssen, T (corresponding author), Univ Hosp Carl Gustav Carus, Ctr Clin Neurosci, Dresden, Germany."/>
    <s v="tjalf.ziemssen@uniklinikum-dresden.de"/>
    <s v="Ziemssen, Focke/B-9564-2009"/>
    <s v="Ziemssen, Focke/0000-0002-3873-0581; Voigt, Isabel/0000-0003-0097-8589; Haase, Rocco/0000-0003-2465-4909"/>
    <s v="Hertie Foundation; Novartis; Teva; Merck; Roche; Sanofi; Biogen"/>
    <s v="Hertie Foundation; Novartis(Novartis); Teva(Teva Pharmaceutical Industries); Merck(Merck &amp; Company); Roche(Roche Holding); Sanofi; Biogen(Biogen)"/>
    <s v="The MSDS3D module development was supported by the Hertie Foundation, Novartis, Teva, Roche, Sanofi, Biogen, and Merck."/>
    <s v=""/>
    <n v="88"/>
    <n v="16"/>
    <n v="16"/>
    <n v="0"/>
    <n v="4"/>
    <s v="FRONTIERS MEDIA SA"/>
    <s v="LAUSANNE"/>
    <s v="AVENUE DU TRIBUNAL FEDERAL 34, LAUSANNE, CH-1015, SWITZERLAND"/>
    <s v="1664-2295"/>
    <s v=""/>
    <s v=""/>
    <s v="FRONT NEUROL"/>
    <s v="Front. Neurol."/>
    <s v="JUN 16"/>
    <x v="3"/>
    <n v="11"/>
    <s v=""/>
    <s v=""/>
    <s v=""/>
    <s v=""/>
    <s v=""/>
    <s v=""/>
    <s v=""/>
    <n v="445"/>
    <s v="10.3389/fneur.2020.00445"/>
    <s v="http://dx.doi.org/10.3389/fneur.2020.00445"/>
    <s v=""/>
    <s v=""/>
    <n v="7"/>
    <x v="133"/>
    <x v="0"/>
    <s v="Neurosciences &amp; Neurology"/>
    <s v="MG5QU"/>
    <n v="32612566"/>
    <s v="Green Published, gold"/>
    <s v=""/>
    <s v=""/>
    <s v="2023-11-15"/>
    <s v="WOS:000546087300001"/>
    <s v="View Full Record in Web of Science"/>
    <m/>
  </r>
  <r>
    <x v="393"/>
    <s v="J"/>
    <x v="389"/>
    <s v=""/>
    <s v=""/>
    <s v=""/>
    <s v="Thomas, Ashish"/>
    <s v=""/>
    <s v=""/>
    <x v="391"/>
    <x v="289"/>
    <s v=""/>
    <s v=""/>
    <s v="English"/>
    <s v="Article; Proceedings Paper"/>
    <s v="10th Canadian Quality Congress"/>
    <s v="SEP 24-25, 2018"/>
    <s v="Simon Fraser Univ, Vancouver, CANADA"/>
    <s v=""/>
    <s v="Simon Fraser Univ"/>
    <x v="366"/>
    <x v="287"/>
    <s v="Purpose Organizations are consistently seeking innovative strategies and novel pathways to enhance business processes and create differentiation. The global business ecosystem is changing and there is growing demand for multi-modal digital technologies, big data consolidation and data analytics to harness a cost-competitive agile system. Technological convergence and integration of digital systems is one of the preferred methodologies that facilitates new and effective workflows and revives business processes. The progressive interlinking of digital technologies with business operations leads to the convergence and blending of management disciplines, devices and applications. The growing inconsistencies in managerial understanding regarding the benefits of convergence prompts a comprehensive examination of digital convergence pathways, identifying the impacts on converging entities and business objectives. The State bank of India (SBI) mega-merger case study was selected to investigate the pragmatic framework of digital convergence and to understand the impacts on interlinked entities such as: business operations, strategic management, project team that support value creation and competitive differentiation. The purpose of this paper is to focus on the phenomena of techno-fusion of emerging technologies creating new opportunities, business models and unique strategies for global banking and financial service organizations. Design/methodology/approach This study applies the qualitative, inductive research method using critical reflection of before and after the implementation of convergence and digital integration strategies. The SBI case study employs this research strategy based on the premise that banks must stay agile and highly responsive to the changing environment to enhance its value proposition and competitive differentiation objectives. The study methodology incorporates cooperative inquiry and multiple levels of analysis using data collection techniques of exhaustive review of archives, informal interviews, questionnaires and observations to identify the synergistic process improvement pathway. The study is grounded on the concept that the convergence of diverse business pathways involves innovative and interlinked project, strategic and information technology (IT) workflows that results in open innovative systems. Findings The studies identify that organizational innovation and creative solutions are a result of ecosystem turbulence, environmental force diversity, competitive pressure and the need for differentiation. Organizations that harness the power of digital fusion and convergence of management, systems and data generate a competitive advantage. The technological convergence strategy pulls multiple business and technology processes (project, strategic, IT, Cloud, AI and business process management) at the organizational, divisional or functional level generating new opportunities and threats, new business models and unique growth strategies for global banking and financial services organizations. Organizations that fully integrate techno-fusion of business and digital strategies produce synergistic effects and enhance adaptability, innovation and resiliency in the face of competitive challenges. Research limitations/implications Additional areas that can be explored further as an extension of this study are listed below: identifying factors to improve the speed of convergence; the current results are limited to large size organizations where formal management and technology functions are distinctive. Similar studies on smaller organizations are warranted. Originality/value This study focuses on the evolving field of technology innovation, which is increasingly being intertwined with business operations. Innovative digital technology is enabling the convergence of the disciplines of management, digital devices and applications. This facilitates the creation of a pragmatic framework that supports convergence of business operations, strategic management and digital fusion which leads to value creation and competitive differentiation. The techno-fusion of emerging technologies and digital strategies generates new opportunities and threats, new business models and unique growth strategies for organizations."/>
    <s v="[Thomas, Ashish] Concordia Univ Edmonton, Dept Management, Edmonton, AB, Canada"/>
    <s v=""/>
    <s v="Thomas, A (corresponding author), Concordia Univ Edmonton, Dept Management, Edmonton, AB, Canada."/>
    <s v="ashish.thomas@concordia.ab.ca"/>
    <s v="N'Dri, Amoin Bernadine/IWD-7811-2023"/>
    <s v=""/>
    <s v=""/>
    <s v=""/>
    <s v=""/>
    <s v=""/>
    <n v="40"/>
    <n v="8"/>
    <n v="9"/>
    <n v="6"/>
    <n v="69"/>
    <s v="EMERALD GROUP PUBLISHING LTD"/>
    <s v="BINGLEY"/>
    <s v="HOWARD HOUSE, WAGON LANE, BINGLEY BD16 1WA, W YORKSHIRE, ENGLAND"/>
    <s v="1463-7154"/>
    <s v="1758-4116"/>
    <s v=""/>
    <s v="BUS PROCESS MANAG J"/>
    <s v="Bus. Process. Manag. J."/>
    <s v="JUN 15"/>
    <x v="3"/>
    <n v="26"/>
    <n v="3"/>
    <s v=""/>
    <s v=""/>
    <s v="SI"/>
    <s v=""/>
    <n v="707"/>
    <n v="720"/>
    <s v=""/>
    <s v="10.1108/BPMJ-01-2019-0001"/>
    <s v="http://dx.doi.org/10.1108/BPMJ-01-2019-0001"/>
    <s v=""/>
    <s v=""/>
    <n v="14"/>
    <x v="6"/>
    <x v="8"/>
    <s v="Business &amp; Economics"/>
    <s v="MC0CP"/>
    <s v=""/>
    <s v=""/>
    <s v=""/>
    <s v=""/>
    <s v="2023-11-15"/>
    <s v="WOS:000542965300004"/>
    <s v="View Full Record in Web of Science"/>
    <m/>
  </r>
  <r>
    <x v="394"/>
    <s v="J"/>
    <x v="390"/>
    <s v=""/>
    <s v=""/>
    <s v=""/>
    <s v="Rahrovani, Yasser"/>
    <s v=""/>
    <s v=""/>
    <x v="392"/>
    <x v="212"/>
    <s v=""/>
    <s v=""/>
    <s v="English"/>
    <s v="Article"/>
    <s v=""/>
    <s v=""/>
    <s v=""/>
    <s v=""/>
    <s v=""/>
    <x v="367"/>
    <x v="288"/>
    <s v="Organizations are increasingly digitalizing the work associated with information exchange by using enterprise social media. However, social media's openness to outsider users poses significant challenges to maintaining alignment between social media logic (or platform logic that guides decisions and actions on the platform) and the dominant organizational logic. Through an in-depth, longitudinal, abductive study of three successive social media implementations in a single organization, I explore the process of maintaining (or losing) social media alignment and its long-term consequences on the nature of the work. The paper shows that digitalization exposes the work to continuous adjustment within and across three elements of digital work: digital infrastructure work (embracing new uses of the platform at the user level), digital strategy work (redesigning governance policies), and aligning work (fitting uses with the platform logic underlying digital work). The findings show that despite initial social media alignment, through continuous coevolution of these three elements, the platform logic underlying digital community work eventually drifted away from supporting the organization's original logic of cohesion to supporting an alternative logic of inclusivity. Accordingly, a process model of platform drifting has been developed. By taking a closer look at actual practices, the paper contributes to digital work research by identifying distinct elements of digital work involved in social media (mis) alignment and illustrates the profound, long-term consequences of social media on the nature of the work."/>
    <s v="[Rahrovani, Yasser] Western Univ, Ivey Business Sch, London, ON N6G 0N1, Canada"/>
    <s v="Western University (University of Western Ontario)"/>
    <s v="Rahrovani, Y (corresponding author), Western Univ, Ivey Business Sch, London, ON N6G 0N1, Canada."/>
    <s v="yrahrovani@ivey.ca"/>
    <s v=""/>
    <s v="Rahrovani, Yasser/0000-0002-9196-3835"/>
    <s v="Montreal Toheed Society"/>
    <s v="Montreal Toheed Society"/>
    <s v="I am indebted to the participants of this study and to Montreal Toheed Society for supporting this research project. I am grateful for the insightful comments and encouragement received from Editor-in-Chief, Guy Gable, the special issue guest editors, particularly Stefan Klein, and the four anonymous reviewers. I sincerely thank Robert D. Austin, Tima Bansal, Patricia Thornton, Ali Aslan Gumusay, Alain Pinsonneault, Yolande Chan, Isam Faik, Mohammad Hossein Jarrahi, Shamel Addas, Mohammad Rezazade Mehrizi, James Denford, Nicole Haggerty, Saeed Akhlaghpour, and Bogdan Negoita for their constructive comments on various versions of this paper."/>
    <s v=""/>
    <n v="95"/>
    <n v="11"/>
    <n v="11"/>
    <n v="14"/>
    <n v="99"/>
    <s v="ELSEVIER"/>
    <s v="AMSTERDAM"/>
    <s v="RADARWEG 29, 1043 NX AMSTERDAM, NETHERLANDS"/>
    <s v="0963-8687"/>
    <s v="1873-1198"/>
    <s v=""/>
    <s v="J STRATEGIC INF SYST"/>
    <s v="J. Strateg. Inf. Syst."/>
    <s v="JUN"/>
    <x v="3"/>
    <n v="29"/>
    <n v="2"/>
    <s v=""/>
    <s v=""/>
    <s v="SI"/>
    <s v=""/>
    <s v=""/>
    <s v=""/>
    <n v="101615"/>
    <s v="10.1016/j.jsis.2020.101615"/>
    <s v="http://dx.doi.org/10.1016/j.jsis.2020.101615"/>
    <s v=""/>
    <s v=""/>
    <n v="26"/>
    <x v="62"/>
    <x v="3"/>
    <s v="Computer Science; Information Science &amp; Library Science; Business &amp; Economics"/>
    <s v="NH3AY"/>
    <s v=""/>
    <s v="hybrid"/>
    <s v=""/>
    <s v=""/>
    <s v="2023-11-15"/>
    <s v="WOS:000564547600007"/>
    <s v="View Full Record in Web of Science"/>
    <m/>
  </r>
  <r>
    <x v="395"/>
    <s v="J"/>
    <x v="391"/>
    <s v=""/>
    <s v=""/>
    <s v=""/>
    <s v="Raj, Alok; Dwivedi, Gourav; Sharma, Ankit; Lopes de Sousa Jabbour, Ana Beatriz; Rajak, Sonu"/>
    <s v=""/>
    <s v=""/>
    <x v="393"/>
    <x v="5"/>
    <s v=""/>
    <s v=""/>
    <s v="English"/>
    <s v="Article"/>
    <s v=""/>
    <s v=""/>
    <s v=""/>
    <s v=""/>
    <s v=""/>
    <x v="368"/>
    <x v="289"/>
    <s v="This paper examines barriers to the implementation of Industry 4.0 technologies in the manufacturing sector in the context of both developed and developing economies. A comprehensive literature review, followed by discussions with industry experts, identifies 15 barriers, which are analyzed by means of a Grey Decision-Making Trial and Evaluation Laboratory (DEMATEL) approach. The 'lack of a digital strategy alongside resource scarcity' emerges as the most prominent barrier in both developed and developing economies. The influencing barriers identified suggest that improvements in standards and government regulation could facilitate the adoption of Industry 4.0 technologies in developing country case, whereas technological infrastructure is needed to promote the adoption of these technologies in developed country case. This study is one of the first to examine the implementation of Industry 4.0 in both developing and developed economies. This article highlights the difficulties in the diffusion of technological innovation resulting from a lack of coordinated national policies on Industry 4.0 in developing countries, which may prevent firms from fully experiencing the Industry 4.0 revolution. The results of this study may help decision makers and practitioners to address the barriers highlighted, paving the way for successful implementation of Industry 4.0 across the manufacturing sector."/>
    <s v="[Raj, Alok] Xavier Sch Management CH Area East, XLRI, Prod Operat &amp; Decis Sci, Jamshedpur 831001, Bihar, India; [Dwivedi, Gourav] Indian Inst Technol Delhi, Dept Management Studies, New Delhi 110016, India; [Sharma, Ankit] Indian Inst Management Lucknow, Operat Management Area, Off Sitapur Rd, Lucknow 226013, Uttar Pradesh, India; [Lopes de Sousa Jabbour, Ana Beatriz] Montpellier Business Sch Montpellier Res Manageme, 2300 Ave Moulins, F-34000 Montpellier, France; [Rajak, Sonu] Birla Inst Technol, Dept Prod Engn, Ranchi 835215, Bihar, India"/>
    <s v="XLRI -Xavier School of Management; Indian Institute of Technology System (IIT System); Indian Institute of Technology (IIT) - Delhi; Indian Institute of Management (IIM System); Indian Institute of Management Lucknow; Universite de Montpellier; Birla Institute of Technology Mesra"/>
    <s v="Raj, A (corresponding author), Xavier Sch Management CH Area East, XLRI, Prod Operat &amp; Decis Sci, Jamshedpur 831001, Bihar, India."/>
    <s v="alokraj@xlri.ac.in; gourav@dms.iitd.ac.in; fpm17014@iiml.ac.in; a.sousa-jabbour@montpellier-bs.com; sonu.production@gmail.com"/>
    <s v="Rajak, Sonu/AAE-8690-2021; Lopes de Sousa Jabbour, Ana Beatriz/B-8966-2012; Sharma, Ankit/W-2230-2018; Rajak, Sonu/AAC-8544-2022"/>
    <s v="Rajak, Sonu/0000-0002-4334-8010; Lopes de Sousa Jabbour, Ana Beatriz/0000-0001-6423-8868; Sharma, Ankit/0000-0003-1418-8991; Rajak, Sonu/0000-0002-4334-8010"/>
    <s v=""/>
    <s v=""/>
    <s v=""/>
    <s v=""/>
    <n v="66"/>
    <n v="349"/>
    <n v="352"/>
    <n v="46"/>
    <n v="295"/>
    <s v="ELSEVIER"/>
    <s v="AMSTERDAM"/>
    <s v="RADARWEG 29, 1043 NX AMSTERDAM, NETHERLANDS"/>
    <s v="0925-5273"/>
    <s v="1873-7579"/>
    <s v=""/>
    <s v="INT J PROD ECON"/>
    <s v="Int. J. Prod. Econ."/>
    <s v="JUN"/>
    <x v="3"/>
    <n v="224"/>
    <s v=""/>
    <s v=""/>
    <s v=""/>
    <s v=""/>
    <s v=""/>
    <s v=""/>
    <s v=""/>
    <n v="107546"/>
    <s v="10.1016/j.ijpe.2019.107546"/>
    <s v="http://dx.doi.org/10.1016/j.ijpe.2019.107546"/>
    <s v=""/>
    <s v=""/>
    <n v="17"/>
    <x v="5"/>
    <x v="3"/>
    <s v="Engineering; Operations Research &amp; Management Science"/>
    <s v="LC4US"/>
    <s v=""/>
    <s v="Green Accepted"/>
    <s v=""/>
    <s v=""/>
    <s v="2023-11-15"/>
    <s v="WOS:000525321800016"/>
    <s v="View Full Record in Web of Science"/>
    <m/>
  </r>
  <r>
    <x v="396"/>
    <s v="J"/>
    <x v="392"/>
    <s v=""/>
    <s v=""/>
    <s v=""/>
    <s v="Keskin, Basak; Salman, Baris"/>
    <s v=""/>
    <s v=""/>
    <x v="394"/>
    <x v="290"/>
    <s v=""/>
    <s v=""/>
    <s v="English"/>
    <s v="Article"/>
    <s v=""/>
    <s v=""/>
    <s v=""/>
    <s v=""/>
    <s v=""/>
    <x v="8"/>
    <x v="1"/>
    <s v="Connectivity is key in this new era of smart infrastructure. Smart airports utilize new connected technologies to improve end-user experience while ensuring operational feasibility in aeronautical and non-aeronautical segments. The increasing need for digitizing the design-build-operate life cycles of airports can be met by implementing building information modeling (BIM) that enables accessing, managing, utilizing, and connecting physical and operational data in a digital collaborative environment. This study investigates the current state of practice in airport BIM (ABIM) and the use of ABIM processes in digital airport operations and maintenance by connecting existing data sources and integrating smart airport systems. The study proposes a comprehensive and adaptive ABIM management framework that depicts the alignment and connectivity of ABIM processes, resources and stakeholders with airport operational requirements by identifying gaps in the industry and literature, and developing a global understanding in ABIM visions. Research data are collected through literature and industry review, online surveys, and semi-structured interviews with aviation professionals. Mixed methods including non-parametric statistical analysis and qualitative analysis are used to determine the elements of the framework. Model-based systems engineering (MBSE) principles and language are used to generate the framework. For framework validation, a proof of concept (POC) is conducted by development and deployment of a web-based application. The developed ABIM framework is expected to guide major airport stakeholders in their BIM implementation processes to enhance airport operational efficiencies and in strategizing digital initiatives on a connected-BIM platform."/>
    <s v="[Keskin, Basak; Salman, Baris] Syracuse Univ, Dept Civil &amp; Environm Engn, Syracuse, NY 13244 USA"/>
    <s v="Syracuse University"/>
    <s v="Keskin, B (corresponding author), Syracuse Univ, Dept Civil &amp; Environm Engn, Syracuse, NY 13244 USA."/>
    <s v="bkeskin@syr.edu"/>
    <s v="Keskin, Basak/ABG-9093-2020"/>
    <s v=""/>
    <s v="Airport Cooperative Research Program (ACRP) [11-04]"/>
    <s v="Airport Cooperative Research Program (ACRP)"/>
    <s v="The author(s) disclosed receipt of the following financial support for the research, authorship, and/or publication of this article: This project was supported by the Airport Cooperative Research Program (ACRP) (ACRP [Graduate Research Award] 11-04)."/>
    <s v=""/>
    <n v="28"/>
    <n v="4"/>
    <n v="4"/>
    <n v="4"/>
    <n v="64"/>
    <s v="SAGE PUBLICATIONS INC"/>
    <s v="THOUSAND OAKS"/>
    <s v="2455 TELLER RD, THOUSAND OAKS, CA 91320 USA"/>
    <s v="0361-1981"/>
    <s v="2169-4052"/>
    <s v=""/>
    <s v="TRANSPORT RES REC"/>
    <s v="Transp. Res. Record"/>
    <s v="JUN"/>
    <x v="3"/>
    <n v="2674"/>
    <n v="6"/>
    <s v=""/>
    <s v=""/>
    <s v=""/>
    <s v=""/>
    <n v="98"/>
    <n v="112"/>
    <n v="361198120917971"/>
    <s v="10.1177/0361198120917971"/>
    <s v="http://dx.doi.org/10.1177/0361198120917971"/>
    <s v=""/>
    <s v="MAY 2020"/>
    <n v="15"/>
    <x v="134"/>
    <x v="0"/>
    <s v="Engineering; Transportation"/>
    <s v="MF9XB"/>
    <s v=""/>
    <s v=""/>
    <s v=""/>
    <s v=""/>
    <s v="2023-11-15"/>
    <s v="WOS:000535448500001"/>
    <s v="View Full Record in Web of Science"/>
    <m/>
  </r>
  <r>
    <x v="397"/>
    <s v="J"/>
    <x v="393"/>
    <s v=""/>
    <s v=""/>
    <s v=""/>
    <s v="Hornuf, Lars; Klus, Milan F.; Lohwasser, Todor S.; Schwienbacher, Armin"/>
    <s v=""/>
    <s v=""/>
    <x v="395"/>
    <x v="291"/>
    <s v=""/>
    <s v=""/>
    <s v="English"/>
    <s v="Article"/>
    <s v=""/>
    <s v=""/>
    <s v=""/>
    <s v=""/>
    <s v=""/>
    <x v="369"/>
    <x v="290"/>
    <s v="The increasing pervasiveness of technology-driven firms that offer financial services has led to growing pressure on traditional banks to modernize their core business activities and services. Many banks tackle the challenges of digitalization by cooperating with startup firms that offer technology-driven financial services and novel service packages (fintechs). In this article, we examine which banks typically collaborate with fintechs, how intensely they do so, and which form of alliance they prefer. Using hand-collected data covering the largest banks from Canada, France, Germany, and the United Kingdom, we provide detailed evidence on the different forms of alliances occurring in practice. We show that banks are significantly more likely to form alliances with fintechs when they pursue a well-defined digital strategy and/or employ a chief digital officer. Moreover, in line with incomplete contract theory, we find that banks more frequently invest in small fintechs but often build product-related collaborations with larger fintechs."/>
    <s v="[Hornuf, Lars] Univ Bremen, Bremen, Germany; [Hornuf, Lars] Max Planck Inst Innovat &amp; Competit, Munich, Germany; [Hornuf, Lars] CESifo, Munich, Germany; [Klus, Milan F.; Lohwasser, Todor S.] Univ Munster, Munster, Germany; [Schwienbacher, Armin] Univ Cote dAzur, SKEMA Business Sch, Euralille, France"/>
    <s v="University of Bremen; Ifo Institut; University of Munster; SKEMA Business School; Universite Cote d'Azur"/>
    <s v="Hornuf, L (corresponding author), Univ Bremen, Bremen, Germany."/>
    <s v="hornuf@uni-bremen.de"/>
    <s v="Hornuf, Lars/AAF-7986-2020"/>
    <s v="Hornuf, Lars/0000-0002-0576-7759"/>
    <s v="Projekt DEAL"/>
    <s v="Projekt DEAL"/>
    <s v="Open Access funding provided by Projekt DEAL."/>
    <s v=""/>
    <n v="52"/>
    <n v="63"/>
    <n v="64"/>
    <n v="24"/>
    <n v="165"/>
    <s v="SPRINGER"/>
    <s v="DORDRECHT"/>
    <s v="VAN GODEWIJCKSTRAAT 30, 3311 GZ DORDRECHT, NETHERLANDS"/>
    <s v="0921-898X"/>
    <s v="1573-0913"/>
    <s v=""/>
    <s v="SMALL BUS ECON"/>
    <s v="Small Bus. Econ. Group"/>
    <s v="OCT"/>
    <x v="2"/>
    <n v="57"/>
    <n v="3"/>
    <s v=""/>
    <s v=""/>
    <s v=""/>
    <s v=""/>
    <n v="1505"/>
    <n v="1526"/>
    <s v=""/>
    <s v="10.1007/s11187-020-00359-3"/>
    <s v="http://dx.doi.org/10.1007/s11187-020-00359-3"/>
    <s v=""/>
    <s v="MAY 2020"/>
    <n v="22"/>
    <x v="59"/>
    <x v="1"/>
    <s v="Business &amp; Economics"/>
    <s v="WB9MM"/>
    <s v=""/>
    <s v="hybrid, Green Submitted"/>
    <s v=""/>
    <s v=""/>
    <s v="2023-11-15"/>
    <s v="WOS:000532604200001"/>
    <s v="View Full Record in Web of Science"/>
    <m/>
  </r>
  <r>
    <x v="398"/>
    <s v="J"/>
    <x v="394"/>
    <s v=""/>
    <s v=""/>
    <s v=""/>
    <s v="Eller, Robert; Alford, Philip; Kallmunzer, Andreas; Peters, Mike"/>
    <s v=""/>
    <s v=""/>
    <x v="396"/>
    <x v="138"/>
    <s v=""/>
    <s v=""/>
    <s v="English"/>
    <s v="Article"/>
    <s v=""/>
    <s v=""/>
    <s v=""/>
    <s v=""/>
    <s v=""/>
    <x v="370"/>
    <x v="291"/>
    <s v="Small and medium-sized enterprises (SMEs) lag behind larger firms when it comes to digitalization. This has negative impacts on firm performance. Despite the economic importance of SMEs, little is known about the antecedents, consequences, and challenges of SME digitalization. We have set three objectives to address this knowledge gap. Drawing on the resource-based view, we first investigate the impact of three main SME resources on digitalization: information technology, employee skills, and digital strategy. Second, we assess the impact digitalization has on financial performance. We then investigate whether digitalization mediates the effect of resources on performance. The results of a survey of 193 SMEs demonstrate how digitalization can impact SME performance, with the three resources positively relating to digitalization. And in turn, digitalization significantly relates to performance, mediating the effect of information technology on performance. It however does not mediate the effect of digital strategy or employee skills on performance."/>
    <s v="[Eller, Robert; Peters, Mike] Univ Innsbruck, Karl Rahner Pl 3, A-6020 Innsbruck, Austria; [Alford, Philip] Univ Southampton, Southampton Business Sch, Univ Rd, Southampton SO17 1BJ, Hants, England; [Kallmunzer, Andreas] La Rochelle Business Sch CERIIM, 102 Rue Coureilles, F-17000 La Rochelle, France"/>
    <s v="University of Innsbruck; University of Southampton; Solent University"/>
    <s v="Eller, R (corresponding author), Univ Innsbruck, Dept Strateg Management Mkt &amp; Tourism, Karl Rahner Pl 3, A-6020 Innsbruck, Austria."/>
    <s v="robert.eller@uibk.ac.at; p.r.alford@soton.ac.uk; kallmuenzera@excelia-group.com; mike.peters@uibk.ac.at"/>
    <s v="Eller, Robert/ABB-2966-2021; Kallmuenzer, Andreas/J-2880-2019; Peters, Mike/K-3253-2019"/>
    <s v="Eller, Robert/0000-0003-2601-5182; Kallmuenzer, Andreas/0000-0002-8808-1743; Alford, Philip/0000-0003-1415-3748"/>
    <s v=""/>
    <s v=""/>
    <s v=""/>
    <s v=""/>
    <n v="87"/>
    <n v="166"/>
    <n v="171"/>
    <n v="166"/>
    <n v="718"/>
    <s v="ELSEVIER SCIENCE INC"/>
    <s v="NEW YORK"/>
    <s v="STE 800, 230 PARK AVE, NEW YORK, NY 10169 USA"/>
    <s v="0148-2963"/>
    <s v="1873-7978"/>
    <s v=""/>
    <s v="J BUS RES"/>
    <s v="J. Bus. Res."/>
    <s v="MAY"/>
    <x v="3"/>
    <n v="112"/>
    <s v=""/>
    <s v=""/>
    <s v=""/>
    <s v=""/>
    <s v=""/>
    <n v="119"/>
    <n v="127"/>
    <s v=""/>
    <s v="10.1016/j.jbusres.2020.03.004"/>
    <s v="http://dx.doi.org/10.1016/j.jbusres.2020.03.004"/>
    <s v=""/>
    <s v=""/>
    <n v="9"/>
    <x v="33"/>
    <x v="1"/>
    <s v="Business &amp; Economics"/>
    <s v="LF4MG"/>
    <s v=""/>
    <s v="Green Accepted"/>
    <s v=""/>
    <s v=""/>
    <s v="2023-11-15"/>
    <s v="WOS:000527393100011"/>
    <s v="View Full Record in Web of Science"/>
    <m/>
  </r>
  <r>
    <x v="399"/>
    <s v="J"/>
    <x v="395"/>
    <s v=""/>
    <s v=""/>
    <s v=""/>
    <s v="McGrath, Rita; McManus, Ryan"/>
    <s v=""/>
    <s v=""/>
    <x v="397"/>
    <x v="292"/>
    <s v=""/>
    <s v=""/>
    <s v="English"/>
    <s v="Article"/>
    <s v=""/>
    <s v=""/>
    <s v=""/>
    <s v=""/>
    <s v=""/>
    <x v="8"/>
    <x v="1"/>
    <s v=""/>
    <s v="[McGrath, Rita; McManus, Ryan] Columbia Business Sch, New York, NY 10027 USA"/>
    <s v="Columbia University"/>
    <s v="McGrath, R (corresponding author), Columbia Business Sch, New York, NY 10027 USA."/>
    <s v=""/>
    <s v=""/>
    <s v=""/>
    <s v=""/>
    <s v=""/>
    <s v=""/>
    <s v=""/>
    <n v="0"/>
    <n v="8"/>
    <n v="8"/>
    <n v="13"/>
    <n v="157"/>
    <s v="HARVARD BUSINESS SCHOOL PUBLISHING CORPORATION"/>
    <s v="WATERTOWN"/>
    <s v="300 NORTH BEACON STREET, WATERTOWN, MA 02472 USA"/>
    <s v="0017-8012"/>
    <s v=""/>
    <s v=""/>
    <s v="HARVARD BUS REV"/>
    <s v="Harv. Bus. Rev."/>
    <s v="MAY-JUN"/>
    <x v="3"/>
    <n v="98"/>
    <n v="3"/>
    <s v=""/>
    <s v=""/>
    <s v=""/>
    <s v=""/>
    <n v="125"/>
    <n v="133"/>
    <s v=""/>
    <s v=""/>
    <s v=""/>
    <s v=""/>
    <s v=""/>
    <n v="9"/>
    <x v="6"/>
    <x v="1"/>
    <s v="Business &amp; Economics"/>
    <s v="LQ9KX"/>
    <s v=""/>
    <s v=""/>
    <s v=""/>
    <s v=""/>
    <s v="2023-11-15"/>
    <s v="WOS:000535316400025"/>
    <s v="View Full Record in Web of Science"/>
    <m/>
  </r>
  <r>
    <x v="400"/>
    <s v="J"/>
    <x v="396"/>
    <s v=""/>
    <s v=""/>
    <s v=""/>
    <s v="Kudyba, Stephan; Fjermestad, Jerry; Davenport, Thomas"/>
    <s v=""/>
    <s v=""/>
    <x v="398"/>
    <x v="293"/>
    <s v=""/>
    <s v=""/>
    <s v="English"/>
    <s v="Article"/>
    <s v=""/>
    <s v=""/>
    <s v=""/>
    <s v=""/>
    <s v=""/>
    <x v="371"/>
    <x v="292"/>
    <s v="Purpose The evolving digital transformations of organizational processes involve vast complexities. Factors such as labor resources at the individual and team levels that integrate and utilize information resources and evolving technologies to achieve collective intelligence are essential to this process. In order to better understand evolving demands of labor resources, existing research regarding worker/technology interactions for firm performance must be implemented and adapted to the changing market. This paper provides a conceptual research model enabling organizations to better understand the integration of worker/team attributes with collaboration modes, information resources and augmented technologies that yield effective collective intelligence for decision-making. Design/methodology/approach This manuscript includes a literature review on worker/team attributes interfacing with various technology platforms and the creation of collective intelligence. It then reviews complementary research including leadership elements for organizational outcomes and introduces more current work involving a digital transformation. The literature review provides the underpinnings for a conceptual model that incorporates essential elements for the creation of collective intelligence for decision-making and adds factors that are relevant for digital transformations. These elements include augmented technologies including cognitive technologies, collaborative platforms and worker attributes (skills, social sensitivity, leadership) all of which illustrate components of intellectual capital. Findings The paper summarizes key findings of existing research in worker/team interactions with technology platforms on organizational performance and provides an applied, conceptual research model incorporating these findings, along with new elements in the digital era for better identifying new worker requirements. Originality/value The value of this work is the introduction of an applied conceptual model based on established literature findings that includes new technologies (e.g. cognitive technologies), collaboration modes and worker/team attributes to address the requirements of the evolving knowledge worker in the digital era. It provides a framework to better understand more optimal resource allocations for the creation of collective intelligence and integrates the model components within an intellectual capital framework."/>
    <s v="[Kudyba, Stephan; Fjermestad, Jerry] NJIT, Newark, NJ 07102 USA; [Davenport, Thomas] Babson Coll, Wellesley, MA USA"/>
    <s v="New Jersey Institute of Technology; Babson College"/>
    <s v="Kudyba, S (corresponding author), NJIT, Newark, NJ 07102 USA."/>
    <s v="Stephan.P.Kudyba@njit.edu; fjermestad@yahoo.com; TDavenport@babson.edu"/>
    <s v=""/>
    <s v=""/>
    <s v=""/>
    <s v=""/>
    <s v=""/>
    <s v=""/>
    <n v="57"/>
    <n v="18"/>
    <n v="18"/>
    <n v="1"/>
    <n v="56"/>
    <s v="EMERALD GROUP PUBLISHING LTD"/>
    <s v="BINGLEY"/>
    <s v="HOWARD HOUSE, WAGON LANE, BINGLEY BD16 1WA, W YORKSHIRE, ENGLAND"/>
    <s v="1469-1930"/>
    <s v="1758-7468"/>
    <s v=""/>
    <s v="J INTELLECT CAP"/>
    <s v="J. Intellect. Cap."/>
    <s v="NOV 9"/>
    <x v="3"/>
    <n v="21"/>
    <n v="6"/>
    <s v=""/>
    <s v=""/>
    <s v=""/>
    <s v=""/>
    <n v="835"/>
    <n v="851"/>
    <s v=""/>
    <s v="10.1108/JIC-05-2019-0130"/>
    <s v="http://dx.doi.org/10.1108/JIC-05-2019-0130"/>
    <s v=""/>
    <s v="APR 2020"/>
    <n v="17"/>
    <x v="6"/>
    <x v="1"/>
    <s v="Business &amp; Economics"/>
    <s v="NW7SA"/>
    <s v=""/>
    <s v=""/>
    <s v=""/>
    <s v=""/>
    <s v="2023-11-15"/>
    <s v="WOS:000526902200001"/>
    <s v="View Full Record in Web of Science"/>
    <m/>
  </r>
  <r>
    <x v="401"/>
    <s v="J"/>
    <x v="397"/>
    <s v=""/>
    <s v=""/>
    <s v=""/>
    <s v="Lopez-Lopez, David; Giusti, Giovanni"/>
    <s v=""/>
    <s v=""/>
    <x v="399"/>
    <x v="294"/>
    <s v=""/>
    <s v=""/>
    <s v="English"/>
    <s v="Article"/>
    <s v=""/>
    <s v=""/>
    <s v=""/>
    <s v=""/>
    <s v=""/>
    <x v="372"/>
    <x v="1"/>
    <s v="Using 285 responses obtained in a survey of high- and middle-level managers of firms located in Spain and by implementing clustering techniques, we identify differences in the conception and adoption of a digital strategy and the use of social media. A driver for these differences is represented by whether companies are adopting a B2C or a B2B business model. Specifically, B2B companies are slower to generate an overall digital strategy compared to B2C firms. Moreover, B2B firms adopting a digital strategy are prioritizing the use of more professionally oriented platforms (e.g., LinkedIn), while B2C firms are favoring the use of more socially oriented services (e.g., Facebook). Additionally, we find that those B2C companies without a clear digital strategy are nonetheless significantly using social media, particularly social networks, while B2B companies are delaying the use of social media until conceiving a clear digital strategy."/>
    <s v="[Lopez-Lopez, David] ESADE Business Sch, Mkt Dept, Barcelona, Spain; [Giusti, Giovanni] Univ Pompeu Fabra, Tecnocampus Mataro, Barcelona, Spain"/>
    <s v="Universitat Ramon Llull; Escuela Superior de Administracion y Direccion de Empresas (ESADE); Pompeu Fabra University"/>
    <s v="López-López, D (corresponding author), ESADE Business Sch, Barcelona, Spain."/>
    <s v="david.lopez1@esade.edu"/>
    <s v="Lopez-Lopez, David/GXW-1814-2022; Lopez-Lopez, David/AAE-7283-2021; López-López, David/AAC-4086-2022"/>
    <s v="Lopez-Lopez, David/0000-0003-4459-275X; Giusti, Giovanni/0000-0001-8983-7525"/>
    <s v=""/>
    <s v=""/>
    <s v=""/>
    <s v=""/>
    <n v="33"/>
    <n v="7"/>
    <n v="7"/>
    <n v="6"/>
    <n v="33"/>
    <s v="ROUTLEDGE JOURNALS, TAYLOR &amp; FRANCIS LTD"/>
    <s v="ABINGDON"/>
    <s v="2-4 PARK SQUARE, MILTON PARK, ABINGDON OX14 4RN, OXON, ENGLAND"/>
    <s v="1051-712X"/>
    <s v="1547-0628"/>
    <s v=""/>
    <s v="J BUS-BUS MARK"/>
    <s v="J. Bus.-Bus. Mark."/>
    <s v="APR 2"/>
    <x v="3"/>
    <n v="27"/>
    <n v="2"/>
    <s v=""/>
    <s v=""/>
    <s v=""/>
    <s v=""/>
    <n v="175"/>
    <n v="186"/>
    <s v=""/>
    <s v="10.1080/1051712X.2020.1748377"/>
    <s v="http://dx.doi.org/10.1080/1051712X.2020.1748377"/>
    <s v=""/>
    <s v=""/>
    <n v="12"/>
    <x v="33"/>
    <x v="1"/>
    <s v="Business &amp; Economics"/>
    <s v="LM9SH"/>
    <s v=""/>
    <s v=""/>
    <s v=""/>
    <s v=""/>
    <s v="2023-11-15"/>
    <s v="WOS:000532587300005"/>
    <s v="View Full Record in Web of Science"/>
    <m/>
  </r>
  <r>
    <x v="402"/>
    <s v="J"/>
    <x v="398"/>
    <s v=""/>
    <s v=""/>
    <s v=""/>
    <s v="Arellano Morales, Mario Alejandro"/>
    <s v=""/>
    <s v=""/>
    <x v="400"/>
    <x v="295"/>
    <s v=""/>
    <s v=""/>
    <s v="Spanish"/>
    <s v="Article"/>
    <s v=""/>
    <s v=""/>
    <s v=""/>
    <s v=""/>
    <s v=""/>
    <x v="373"/>
    <x v="1"/>
    <s v="Digital technologies are changing the patterns of production, consumption, communication, and interaction in modern societies. This is because of their transversal nature, which makes them present in almost all areas of economic activity. Its potential for positive impact on the economy, government management, and society is not linear, nor automatic, the determining factors of this are a source of discussion in the literature on the subject. However, based on the study of the evolution and trends of the digital paradigm, we can assume that the lag of developing countries in the use and deployment of such technologies for the advancement of productive and technological capacities could prolong their underdevelopment condition. This article analyzes the current state of the digital gaps in Mexico, in regard to the most advanced countries, and a balance is made in relation to the two main goals of the National Digital Strategy of the past government administration. The results of the research make it possible to measure the magnitude of the challenges and opportunities of the future digital agenda that the country requires in order to become an important promoter of the development and well-being of the population within the framework of the strategic objectives proposed in the Plan Nacional de Desarrollo 2019-2024."/>
    <s v="[Arellano Morales, Mario Alejandro] Inst Politecn Nacl, Escuela Super Econ, Secc Estudios Posgrad &amp; Invest, Mexico City, DF, Mexico; [Arellano Morales, Mario Alejandro] Ctr Invest &amp; Innovac Tecnol Informat &amp; Comunicac, Ciudad De Mexico, Mexico"/>
    <s v="Instituto Politecnico Nacional - Mexico"/>
    <s v="Morales, MAA (corresponding author), Inst Politecn Nacl, Escuela Super Econ, Secc Estudios Posgrad &amp; Invest, Mexico City, DF, Mexico.;Morales, MAA (corresponding author), Ctr Invest &amp; Innovac Tecnol Informat &amp; Comunicac, Ciudad De Mexico, Mexico."/>
    <s v="arellanomma@gmail.com"/>
    <s v=""/>
    <s v=""/>
    <s v=""/>
    <s v=""/>
    <s v=""/>
    <s v=""/>
    <n v="35"/>
    <n v="0"/>
    <n v="1"/>
    <n v="6"/>
    <n v="21"/>
    <s v="FONDO CULTURA ECONOMICA"/>
    <s v="TLALPAN"/>
    <s v="AVE PICACHO AJUSCO, NO 227, TLALPAN CP 14200, MEXICO"/>
    <s v="0041-3011"/>
    <s v=""/>
    <s v=""/>
    <s v="TRIMEST ECON"/>
    <s v="Trimest. Econ."/>
    <s v="APR-JUN"/>
    <x v="3"/>
    <n v="87"/>
    <n v="346"/>
    <s v=""/>
    <s v=""/>
    <s v=""/>
    <s v=""/>
    <n v="367"/>
    <n v="402"/>
    <s v=""/>
    <s v="10.20430/ete.v87i346.974"/>
    <s v="http://dx.doi.org/10.20430/ete.v87i346.974"/>
    <s v=""/>
    <s v=""/>
    <n v="36"/>
    <x v="15"/>
    <x v="1"/>
    <s v="Business &amp; Economics"/>
    <s v="KZ9FV"/>
    <s v=""/>
    <s v="gold, Green Published"/>
    <s v=""/>
    <s v=""/>
    <s v="2023-11-15"/>
    <s v="WOS:000523565400002"/>
    <s v="View Full Record in Web of Science"/>
    <m/>
  </r>
  <r>
    <x v="403"/>
    <s v="J"/>
    <x v="399"/>
    <s v=""/>
    <s v=""/>
    <s v=""/>
    <s v="Czauderna, Andre; Budke, Alexandra"/>
    <s v=""/>
    <s v=""/>
    <x v="401"/>
    <x v="110"/>
    <s v=""/>
    <s v=""/>
    <s v="English"/>
    <s v="Article"/>
    <s v=""/>
    <s v=""/>
    <s v=""/>
    <s v=""/>
    <s v=""/>
    <x v="374"/>
    <x v="293"/>
    <s v="This paper examines how digital strategy and management games that have been initially designed for entertainment can facilitate the practice of dynamic decision-making. Based on a comparative qualitative analysis of 17 games-organized into categories derived from a conceptual model of decision-making design-this article illustrates two ways in which these games may be useful in supporting the learning of dynamic decision-making in educational practice: (1) Players must take over the role of a decider and solve situations in which players must pursue different conflicting goals by making a continuous series of decisions on a variety of actions and measures; (2) three of the features of the games are considered to structure players' practice of decision-making and foster processes of learning through the curation of possible decisions, the offering of lucid feedback and the modification of time. This article also highlights the games' shortcomings, from an educational perspective, as players' decisions are restricted by the numbers of choices they can make within the game, and certain choices are rewarded more than others. An educational application of the games must, therefore, entail a critical reflection of players' limited choices inside a necessarily biased system."/>
    <s v="[Czauderna, Andre] TH Koln, Cologne Game Lab, Schanzenstr 28, D-51063 Cologne, Germany; [Budke, Alexandra] Univ Cologne, Inst Geog Educ, Gronewaldstr 2, D-50931 Cologne, Germany"/>
    <s v="University of Cologne"/>
    <s v="Czauderna, A (corresponding author), TH Koln, Cologne Game Lab, Schanzenstr 28, D-51063 Cologne, Germany."/>
    <s v="andre.czauderna@th-koeln.de; alexandra.budke@uni-koeln.de"/>
    <s v=""/>
    <s v="Budke, Alexandra/0000-0003-1063-8991; Czauderna, Andre/0000-0002-1091-5656"/>
    <s v="German Federal Ministry of Education and Research (BMBF) [01JD1810A]"/>
    <s v="German Federal Ministry of Education and Research (BMBF)(Federal Ministry of Education &amp; Research (BMBF))"/>
    <s v="This research was funded by the German Federal Ministry of Education and Research (BMBF), grant number 01JD1810A."/>
    <s v=""/>
    <n v="37"/>
    <n v="7"/>
    <n v="7"/>
    <n v="1"/>
    <n v="7"/>
    <s v="MDPI"/>
    <s v="BASEL"/>
    <s v="ST ALBAN-ANLAGE 66, CH-4052 BASEL, SWITZERLAND"/>
    <s v=""/>
    <s v="2227-7102"/>
    <s v=""/>
    <s v="EDUC SCI"/>
    <s v="Educ. Sci."/>
    <s v="APR"/>
    <x v="3"/>
    <n v="10"/>
    <n v="4"/>
    <s v=""/>
    <s v=""/>
    <s v=""/>
    <s v=""/>
    <s v=""/>
    <s v=""/>
    <n v="99"/>
    <s v="10.3390/educsci10040099"/>
    <s v="http://dx.doi.org/10.3390/educsci10040099"/>
    <s v=""/>
    <s v=""/>
    <n v="24"/>
    <x v="39"/>
    <x v="2"/>
    <s v="Education &amp; Educational Research"/>
    <s v="LO8QD"/>
    <s v=""/>
    <s v="Green Published, gold"/>
    <s v=""/>
    <s v=""/>
    <s v="2023-11-15"/>
    <s v="WOS:000533889600029"/>
    <s v="View Full Record in Web of Science"/>
    <m/>
  </r>
  <r>
    <x v="404"/>
    <s v="J"/>
    <x v="400"/>
    <s v=""/>
    <s v=""/>
    <s v=""/>
    <s v="de Vasconcellos Motta, Fernanda Miranda; Rodrigues da Silva, Ronaldo Andre"/>
    <s v=""/>
    <s v=""/>
    <x v="402"/>
    <x v="296"/>
    <s v=""/>
    <s v=""/>
    <s v="Portuguese"/>
    <s v="Article"/>
    <s v=""/>
    <s v=""/>
    <s v=""/>
    <s v=""/>
    <s v=""/>
    <x v="375"/>
    <x v="1"/>
    <s v="In situations in which historic buildings and collections are damaged, digital technologies can be useful in the process of reconstructing this heritage. Is possible stimulate the engagement of audiences on collaborative platforms, conduct digital restoration processes of heritage, as well as to create dynamic experiences of museum. From this perspective, this article represents the continuity of a study presented at the IV ISKO Portugal-Spain, in 2019, advancing in the analysis of digital strategies applied to the National Museum's heritage, post-disaster. It takes into account the significant part of the museum's collection, with around 20 million items, was affected by a fire, which occurred in September 2018. The qualitative approach and the case study method are adopted, involving non-participant observation techniques, bibliographic and documentary research. Digital strategies that mobilize the public in activities of reconstruction of heritage are discussed, with emerging issues related to authority and informational curation. Regarding the reconstitution and restoration strategies of the collection, it's considered an innovative process of creating digital replicas, which incorporates materials from rescued artifacts. Also, are studied virtual visitation strategies as possibilities for develop unique museum experiences. It is inferred, therefore, that the National Museum's reconstruction process involves exchanges with agents and resources from its macroenvironment. It is also considered a temporal dimension of change and variability of heritage that is related to discursive and contextual practices, with the support of digital technologies."/>
    <s v="[de Vasconcellos Motta, Fernanda Miranda] Univ Fed Minas Gerais, Programa Posgrad Gestao &amp; Org Conhecimento, Belo Horizonte, MG, Brazil; [Rodrigues da Silva, Ronaldo Andre] Pontificia Univ Catolica Minas Gerais, Belo Horizonte, MG, Brazil"/>
    <s v="Universidade Federal de Minas Gerais; Pontificia Universidade Catolica de Minas Gerais"/>
    <s v="Motta, FMD (corresponding author), Univ Fed Minas Gerais, Programa Posgrad Gestao &amp; Org Conhecimento, Belo Horizonte, MG, Brazil."/>
    <s v="fernandavasc@gmail.com; ronaldoandre@gmail.com"/>
    <s v="Rodrigues da Silva, Ronaldo André/S-6349-2017"/>
    <s v="Rodrigues da Silva, Ronaldo André/0000-0002-0656-8671"/>
    <s v=""/>
    <s v=""/>
    <s v=""/>
    <s v=""/>
    <n v="27"/>
    <n v="1"/>
    <n v="1"/>
    <n v="1"/>
    <n v="11"/>
    <s v="UNIV FEDERAL CAMPINA GRANDE"/>
    <s v="CAMPINA GRANDE PB"/>
    <s v="RUA APRIGIO VELOSO 882, BODO CONGO, CAMPINA GRANDE PB, 58109 090, BRAZIL"/>
    <s v="0104-0146"/>
    <s v="1809-4783"/>
    <s v=""/>
    <s v="INFORM SOC-ESTUD"/>
    <s v="Inf. Soc.-Estud."/>
    <s v="APR-JUN"/>
    <x v="3"/>
    <n v="30"/>
    <n v="2"/>
    <s v=""/>
    <s v=""/>
    <s v=""/>
    <s v=""/>
    <s v=""/>
    <s v=""/>
    <s v=""/>
    <s v=""/>
    <s v=""/>
    <s v=""/>
    <s v=""/>
    <n v="16"/>
    <x v="66"/>
    <x v="1"/>
    <s v="Information Science &amp; Library Science"/>
    <s v="MD9ZS"/>
    <s v=""/>
    <s v=""/>
    <s v=""/>
    <s v=""/>
    <s v="2023-11-15"/>
    <s v="WOS:000544324900015"/>
    <s v="View Full Record in Web of Science"/>
    <m/>
  </r>
  <r>
    <x v="405"/>
    <s v="J"/>
    <x v="401"/>
    <s v=""/>
    <s v=""/>
    <s v=""/>
    <s v="Sanchez, Marisa A."/>
    <s v=""/>
    <s v=""/>
    <x v="403"/>
    <x v="297"/>
    <s v=""/>
    <s v=""/>
    <s v="English"/>
    <s v="Article"/>
    <s v=""/>
    <s v=""/>
    <s v=""/>
    <s v=""/>
    <s v=""/>
    <x v="376"/>
    <x v="294"/>
    <s v="This study aims to explain the resources, capabilities and management choices necessary to respond to the new environment for the case of public university institutions. There is little research about responsiveness to the digital transformation in public universities. The methodology is based on literature review and a case study. A Public Agency Strategic Analysis is used to identify relevant issues to conduct the case study. Results show that the organizational processes, talent management and education service models have not been transformed as a result of emergent technologies. The work provides a comprehensive analysis of the capabilities, barriers and the role of the bargaining power of multiple forces affecting the digital transformation of a public sector organization. The article provides specific and actionable recommendations on relevant challenges when public university institutions conduct a digital transformation process."/>
    <s v="[Sanchez, Marisa A.] Univ Nacl Sur, Grad &amp; Postgrad Courses, Dept Management Sci, Bahia Blanca, Buenos Aires, Argentina"/>
    <s v="National University of the South"/>
    <s v="Sanchez, MA (corresponding author), Univ Nacl Sur, Grad &amp; Postgrad Courses, Dept Management Sci, Bahia Blanca, Buenos Aires, Argentina."/>
    <s v="mas@uns.edu.ar"/>
    <s v="Sanchez, Marisa A/M-6135-2014"/>
    <s v="Sanchez, Marisa A/0000-0002-8291-0491"/>
    <s v=""/>
    <s v=""/>
    <s v=""/>
    <s v=""/>
    <n v="43"/>
    <n v="2"/>
    <n v="2"/>
    <n v="2"/>
    <n v="40"/>
    <s v="FUNDACAO PEDRO LEOPOLDO"/>
    <s v="PEDRO LEOPOLDO"/>
    <s v="AV LINCOLN DIOGO VIANA 830, PEDRO LEOPOLDO, MG 33600-000, BRAZIL"/>
    <s v="1677-9479"/>
    <s v="2177-6652"/>
    <s v=""/>
    <s v="REV GEST TECNOL"/>
    <s v="Rev. Gest. Tecnol."/>
    <s v="APR-JUN"/>
    <x v="3"/>
    <n v="20"/>
    <n v="2"/>
    <s v=""/>
    <s v=""/>
    <s v=""/>
    <s v=""/>
    <n v="75"/>
    <n v="97"/>
    <s v=""/>
    <s v="10.20397/2177-6652/2020.v20i2.1848"/>
    <s v="http://dx.doi.org/10.20397/2177-6652/2020.v20i2.1848"/>
    <s v=""/>
    <s v=""/>
    <n v="23"/>
    <x v="8"/>
    <x v="2"/>
    <s v="Business &amp; Economics"/>
    <s v="LP7PY"/>
    <s v=""/>
    <s v="gold"/>
    <s v=""/>
    <s v=""/>
    <s v="2023-11-15"/>
    <s v="WOS:000534511100005"/>
    <s v="View Full Record in Web of Science"/>
    <m/>
  </r>
  <r>
    <x v="406"/>
    <s v="J"/>
    <x v="402"/>
    <s v=""/>
    <s v=""/>
    <s v=""/>
    <s v="Wang, Hecheng; Feng, Junzheng; Zhang, Hui; Li, Xin"/>
    <s v=""/>
    <s v=""/>
    <x v="404"/>
    <x v="298"/>
    <s v=""/>
    <s v=""/>
    <s v="English"/>
    <s v="Article"/>
    <s v=""/>
    <s v=""/>
    <s v=""/>
    <s v=""/>
    <s v=""/>
    <x v="377"/>
    <x v="295"/>
    <s v="Purpose The purpose of this study is to verify whether digital transformation strategy (DTS) could improve the organizational performance and provide a comprehensive analysis for enterprises on the necessity of implementing digital transformation in the context of China and draw on the perspectives of Skewed conflict, minority dissent theory and too-much-of-a-good-thing. This study investigates the curvilinear moderating role of cognitive conflict between DTS and performance. Design/methodology/approach An empirical investigation was used to collect a large sample data of Chinese enterprises' digital transformation. A multiple linear regression analysis with SPSS was used to test the proposed hypotheses such as the inverted U-shaped moderating effect of the cognitive conflict. Findings In the Chinese context, DTS has a positive relationship on the short- and long-term financial performance. Moreover, this relationship was moderated by cognitive conflict such that the relationship between DTS and short-term financial performance could be further enhanced under the moderate cognitive conflict; however, the relationship between DTS and long-term financial performance was considerably influenced for higher cognitive conflict. Originality/value Based on the co-evolution of the information technology/information system (IT/IS) and business strategy, this study clarified the relationships among DTS, digital strategy and business and information technology strategies. By focusing on corporate strategy, this study further examined the effect of digital transformation on both short- and long-term financial performance. To further reveal the micro-psychological mechanisms underlying the effect of DTS on organizational performance, this study confirmed the inverted U-shaped moderating effect of the top management team's cognitive conflict. Therefore, this research provides a new theoretical perspective for future research in the field of IT/IS, DTS and digital strategy."/>
    <s v="[Wang, Hecheng; Feng, Junzheng; Zhang, Hui; Li, Xin] Hangzhou Dianzi Univ, Sch Management, Hangzhou, Peoples R China"/>
    <s v="Hangzhou Dianzi University"/>
    <s v="Feng, JZ (corresponding author), Hangzhou Dianzi Univ, Sch Management, Hangzhou, Peoples R China."/>
    <s v="wanghecheng@hdu.edu.cn; firefly0810@hdu.edu.cn; zhanghui816@126.com; firefly0810@126.com"/>
    <s v=""/>
    <s v=""/>
    <s v="Humanity and Social Science Youth foundation of Ministry of Education of China [18YJC790028]; Chinese National Funding of Social Sciences [19BGJ014, 17BJY072]; National Natural Science Foundation of China [71372170]; Youth key Project of the Major Humanities and Social Sciences Program in Zhejiang Colleges and Universities [2018QN017]"/>
    <s v="Humanity and Social Science Youth foundation of Ministry of Education of China; Chinese National Funding of Social Sciences; National Natural Science Foundation of China(National Natural Science Foundation of China (NSFC)); Youth key Project of the Major Humanities and Social Sciences Program in Zhejiang Colleges and Universities"/>
    <s v="The authors appreciate the anonymous reviewers' constructive comments and suggestions and would like to thank Prof. Steven Si for his deep insights and kind support. This research is supported by Humanity and Social Science Youth foundation of Ministry of Education of China (Project Number: 18YJC790028), Chinese National Funding of Social Sciences (Project Number: 19BGJ014, 17BJY072), National Natural Science Foundation of China (Project Number: 71372170), The Youth key Project of the Major Humanities and Social Sciences Program in Zhejiang Colleges and Universities (Project Number: 2018QN017)."/>
    <s v=""/>
    <n v="96"/>
    <n v="31"/>
    <n v="32"/>
    <n v="40"/>
    <n v="362"/>
    <s v="EMERALD GROUP PUBLISHING LTD"/>
    <s v="BINGLEY"/>
    <s v="HOWARD HOUSE, WAGON LANE, BINGLEY BD16 1WA, W YORKSHIRE, ENGLAND"/>
    <s v="1044-4068"/>
    <s v="1758-8545"/>
    <s v=""/>
    <s v="INT J CONFL MANAGE"/>
    <s v="Int. J. Confl. Manage."/>
    <s v="APR 1"/>
    <x v="3"/>
    <n v="31"/>
    <n v="3"/>
    <s v=""/>
    <s v=""/>
    <s v="SI"/>
    <s v=""/>
    <n v="441"/>
    <n v="462"/>
    <s v=""/>
    <s v="10.1108/IJCMA-09-2019-0166"/>
    <s v="http://dx.doi.org/10.1108/IJCMA-09-2019-0166"/>
    <s v=""/>
    <s v="APR 2020"/>
    <n v="22"/>
    <x v="135"/>
    <x v="1"/>
    <s v="Communication; Business &amp; Economics; Government &amp; Law"/>
    <s v="LU5ED"/>
    <s v=""/>
    <s v=""/>
    <s v=""/>
    <s v=""/>
    <s v="2023-11-15"/>
    <s v="WOS:000522233700001"/>
    <s v="View Full Record in Web of Science"/>
    <m/>
  </r>
  <r>
    <x v="407"/>
    <s v="J"/>
    <x v="403"/>
    <s v=""/>
    <s v=""/>
    <s v=""/>
    <s v="Almeida, Andrei O.; Tomim, Marcelo A.; Almeida, Pedro M.; Barbosa, Pedro G."/>
    <s v=""/>
    <s v=""/>
    <x v="405"/>
    <x v="299"/>
    <s v=""/>
    <s v=""/>
    <s v="English"/>
    <s v="Article"/>
    <s v=""/>
    <s v=""/>
    <s v=""/>
    <s v=""/>
    <s v=""/>
    <x v="378"/>
    <x v="296"/>
    <s v="This paper proposes a control strategy for an offshore wind farm with the generating units connected in series with a DC transmission link. This configuration presents the advantage of not requiring an offshore substation with a power transformer to increase the power plant terminal voltage since the generators are connected in series through the DC terminals of the interface rectifiers. On the other side, the energy transferred by the subsea DC cable is processed by a modular multilevel inverter before it is injected into the mains. The modular multilevel inverter regulates the current through the DC link cable instead of the voltage of the DC system. This choice allows all the generating units to transfer maximum power through the DC link cable without the need of any communication channel to exchange information between the offshore units and the onshore substation. The system controllers are designed to assure the stable operation of the proposed strategy. Digital simulations results, obtained with PSCAD/EMTDC, are used to validate the effectiveness of the designed controllers and to demonstrate the performance of the system for different operational conditions."/>
    <s v="[Almeida, Andrei O.; Tomim, Marcelo A.; Almeida, Pedro M.; Barbosa, Pedro G.] Univ Fed Juiz de Fora, BR-36036900 Juiz De Fora, MG, Brazil; [Almeida, Andrei O.] Fed Ctr Technol Educ Minas Gerais, BR-37250000 Nepomuceno, MG, Brazil"/>
    <s v="Universidade Federal de Juiz de Fora"/>
    <s v="Almeida, AO (corresponding author), Univ Fed Juiz de Fora, BR-36036900 Juiz De Fora, MG, Brazil.;Almeida, AO (corresponding author), Fed Ctr Technol Educ Minas Gerais, BR-37250000 Nepomuceno, MG, Brazil."/>
    <s v="andrei.almeida@engenharia.ufjf.br"/>
    <s v="Tomim, Marcelo/AAH-8466-2020; Tomim, Marcelo Aroca/IQV-1706-2023; Almeida, Andrei Oliveira/GLU-7810-2022; de Almeida, Pedro Machado/Q-5244-2019; Gomes Barbosa, Pedro/E-8472-2014"/>
    <s v="Tomim, Marcelo/0000-0003-1854-0198; Almeida, Andrei Oliveira/0000-0003-2072-8683; de Almeida, Pedro Machado/0000-0003-0979-0865; Gomes Barbosa, Pedro/0000-0003-3838-2668"/>
    <s v="National Council for Scientific and Technological Development(CNPq); Foundation for Research of the State of Minas Gerais (FAPEMIG); National Institute for Electric Energy (INERGE); Petrobras [5850.0103831.17.9]; Coordenacao de Aperfeicoamento de Pessoal de Nivel Superior - Brasil (CAPES) [001]"/>
    <s v="National Council for Scientific and Technological Development(CNPq)(Conselho Nacional de Desenvolvimento Cientifico e Tecnologico (CNPQ)); Foundation for Research of the State of Minas Gerais (FAPEMIG)(Fundacao de Amparo a Pesquisa do Estado de Minas Gerais (FAPEMIG)); National Institute for Electric Energy (INERGE); Petrobras(Fundacao de Amparo a Pesquisa do Amapa (FAPEAP)Petrobras); Coordenacao de Aperfeicoamento de Pessoal de Nivel Superior - Brasil (CAPES)(Coordenacao de Aperfeicoamento de Pessoal de Nivel Superior (CAPES))"/>
    <s v="This study was financed in part by the National Council for Scientific and Technological Development(CNPq), the Foundation for Research of the State of Minas Gerais (FAPEMIG), the National Institute for Electric Energy (INERGE), the Petrobras (Cooperation Contract: 5850.0103831.17.9) and the Coordenacao de Aperfeicoamento de Pessoal de Nivel Superior - Brasil (CAPES) Finance Code 001."/>
    <s v=""/>
    <n v="36"/>
    <n v="4"/>
    <n v="4"/>
    <n v="1"/>
    <n v="10"/>
    <s v="ELSEVIER SCIENCE SA"/>
    <s v="LAUSANNE"/>
    <s v="PO BOX 564, 1001 LAUSANNE, SWITZERLAND"/>
    <s v="0378-7796"/>
    <s v="1873-2046"/>
    <s v=""/>
    <s v="ELECTR POW SYST RES"/>
    <s v="Electr. Power Syst. Res."/>
    <s v="MAR"/>
    <x v="3"/>
    <n v="180"/>
    <s v=""/>
    <s v=""/>
    <s v=""/>
    <s v=""/>
    <s v=""/>
    <s v=""/>
    <s v=""/>
    <n v="106121"/>
    <s v="10.1016/j.epsr.2019.106121"/>
    <s v="http://dx.doi.org/10.1016/j.epsr.2019.106121"/>
    <s v=""/>
    <s v=""/>
    <n v="13"/>
    <x v="125"/>
    <x v="0"/>
    <s v="Engineering"/>
    <s v="KM3IR"/>
    <s v=""/>
    <s v=""/>
    <s v=""/>
    <s v=""/>
    <s v="2023-11-15"/>
    <s v="WOS:000514015200023"/>
    <s v="View Full Record in Web of Science"/>
    <m/>
  </r>
  <r>
    <x v="408"/>
    <s v="J"/>
    <x v="404"/>
    <s v=""/>
    <s v=""/>
    <s v=""/>
    <s v="Hall, Nina; Schmitz, Hans Peter; Dedmon, J. Michael"/>
    <s v=""/>
    <s v=""/>
    <x v="406"/>
    <x v="300"/>
    <s v=""/>
    <s v=""/>
    <s v="English"/>
    <s v="Article"/>
    <s v=""/>
    <s v=""/>
    <s v=""/>
    <s v=""/>
    <s v=""/>
    <x v="8"/>
    <x v="297"/>
    <s v="International relations (IR) scholars have recognized the importance of technology in enabling nongovernmental organizations (NGOs) to build transnational networks and enhance their influence. However, IR scholars have typically focused on elite networks across NGOs, states, and international organizations. This article considers how digital technologies generate new types of networked power between NGOs and their members. Digital tools allow for fast feedback from supporters, rapid surges in mobilization, and more decentralized campaigns. Importantly, in the digital era, NGOs must decide not only which digital platforms to use, but also whether to devolve decision-making to their supporters. Two questions arise: First, do NGO staff or supporters primarily define and produce advocacy content? Second, is the goal of digital activism to broaden or intensify participation? Answers to these questions generate four digital strategies: proselytizing, testing, conversing, and facilitating. These strategies change advocacy practices, but only facilitating strategies open up new forms of networked power based on supporter-to-supporter connections. Digital strategies have profound ramifications for individual organizations, the nature of the advocacy sector, and its power in relation to states, corporations, and other nonstate actors. Digital adoption patterns shape how NGOs choose campaigns, how they legitimate their claims, and what strategies they rely on."/>
    <s v="[Hall, Nina] Johns Hopkins Univ, Baltimore, MD 21218 USA; [Schmitz, Hans Peter] Univ San Diego, San Diego, CA 92110 USA; [Dedmon, J. Michael] Syracuse Univ, Polit Sci, Syracuse, NY 13244 USA"/>
    <s v="Johns Hopkins University; University of San Diego; Syracuse University"/>
    <s v="Hall, N (corresponding author), Johns Hopkins Univ, Baltimore, MD 21218 USA."/>
    <s v=""/>
    <s v="Hall, Nina/AAQ-2987-2020; Schmitz, Hans Peter/AAL-6100-2020; Schmitz, Hans Peter/AEF-9711-2022"/>
    <s v="Hall, Nina/0000-0002-6318-9029; Schmitz, Hans Peter/0000-0002-8343-7755; Schmitz, Hans Peter/0000-0002-8343-7755; Dedmon, J. Michael/0000-0002-8467-2765"/>
    <s v=""/>
    <s v=""/>
    <s v=""/>
    <s v=""/>
    <n v="67"/>
    <n v="14"/>
    <n v="14"/>
    <n v="3"/>
    <n v="15"/>
    <s v="OXFORD UNIV PRESS"/>
    <s v="OXFORD"/>
    <s v="GREAT CLARENDON ST, OXFORD OX2 6DP, ENGLAND"/>
    <s v="0020-8833"/>
    <s v="1468-2478"/>
    <s v=""/>
    <s v="INT STUD QUART"/>
    <s v="Int. Stud. Q."/>
    <s v="MAR"/>
    <x v="3"/>
    <n v="64"/>
    <n v="1"/>
    <s v=""/>
    <s v=""/>
    <s v=""/>
    <s v=""/>
    <n v="159"/>
    <n v="167"/>
    <s v=""/>
    <s v="10.1093/isq/sqz052"/>
    <s v="http://dx.doi.org/10.1093/isq/sqz052"/>
    <s v=""/>
    <s v=""/>
    <n v="9"/>
    <x v="136"/>
    <x v="1"/>
    <s v="International Relations; Government &amp; Law"/>
    <s v="LS5PT"/>
    <s v=""/>
    <s v="Bronze"/>
    <s v=""/>
    <s v=""/>
    <s v="2023-11-15"/>
    <s v="WOS:000536436600014"/>
    <s v="View Full Record in Web of Science"/>
    <m/>
  </r>
  <r>
    <x v="409"/>
    <s v="J"/>
    <x v="405"/>
    <s v=""/>
    <s v=""/>
    <s v=""/>
    <s v="Mulari, Heta"/>
    <s v=""/>
    <s v=""/>
    <x v="407"/>
    <x v="301"/>
    <s v=""/>
    <s v=""/>
    <s v="English"/>
    <s v="Article"/>
    <s v=""/>
    <s v=""/>
    <s v=""/>
    <s v=""/>
    <s v=""/>
    <x v="379"/>
    <x v="298"/>
    <s v="In this article I discuss girls' and non-binary young people's experiences of unwelcome intergenerational encounters in the Helsinki metro underground transport network. I foreground a theoretical conception of the metro as an urban space in which the material is deeply intertwined with the political and as a space with its own racialized, gendered, and age-based hierarchies. Calling on the work of Sara Ahmed, I investigate how girls and non-binary young people make meaning of unwanted emotional encounters in the metro space and how they use and adopt certain material and digital strategies that Helena Saarikoski calls young feminine choreographies, to cope in these situations. This article is based on interviews with girls and non-binary young people who were then between 16 and 17 years of age."/>
    <s v="[Mulari, Heta] Finnish Youth Res Soc Helsinki, Helsinki, Finland; [Mulari, Heta] Univ Helsinki, Helsinki, Finland; [Mulari, Heta] FlickForsk, Helsinki, Finland"/>
    <s v="University of Helsinki"/>
    <s v="Mulari, H (corresponding author), Finnish Youth Res Soc Helsinki, Helsinki, Finland."/>
    <s v=""/>
    <s v=""/>
    <s v="Mulari, Heta/0000-0001-7861-5038"/>
    <s v="Kone Foundation, Finland"/>
    <s v="Kone Foundation, Finland"/>
    <s v="The article is based on ethnographic research conducted in the research project Digital Youth in the Media City (2016-2019), funded by the Kone Foundation, Finland. The data was collected by Heta Mulari, Arseniy Svynarenko, Paivi Honkatukia, and Olli Haanpaa."/>
    <s v=""/>
    <n v="31"/>
    <n v="0"/>
    <n v="0"/>
    <n v="1"/>
    <n v="1"/>
    <s v="BERGHAHN JOURNALS"/>
    <s v="BROOKLYN"/>
    <s v="20 JAY ST, SUITE 512, BROOKLYN, NY 11201 USA"/>
    <s v="1938-8209"/>
    <s v="1938-8322"/>
    <s v=""/>
    <s v="GIRLHOOD STUD"/>
    <s v="Girlhood Stud."/>
    <s v="MAR"/>
    <x v="3"/>
    <n v="13"/>
    <n v="1"/>
    <s v=""/>
    <s v=""/>
    <s v=""/>
    <s v=""/>
    <n v="50"/>
    <n v="66"/>
    <s v=""/>
    <s v="10.3167/ghs.2020.130105"/>
    <s v="http://dx.doi.org/10.3167/ghs.2020.130105"/>
    <s v=""/>
    <s v=""/>
    <n v="17"/>
    <x v="31"/>
    <x v="2"/>
    <s v="Social Sciences - Other Topics"/>
    <s v="KU2UC"/>
    <s v=""/>
    <s v=""/>
    <s v=""/>
    <s v=""/>
    <s v="2023-11-15"/>
    <s v="WOS:000519562400005"/>
    <s v="View Full Record in Web of Science"/>
    <m/>
  </r>
  <r>
    <x v="410"/>
    <s v="J"/>
    <x v="406"/>
    <s v=""/>
    <s v=""/>
    <s v=""/>
    <s v="Busca, Laurent; Bertrandias, Laurent"/>
    <s v=""/>
    <s v=""/>
    <x v="408"/>
    <x v="302"/>
    <s v=""/>
    <s v=""/>
    <s v="English"/>
    <s v="Article"/>
    <s v=""/>
    <s v=""/>
    <s v=""/>
    <s v=""/>
    <s v=""/>
    <x v="380"/>
    <x v="299"/>
    <s v="The digital marketing discipline is facing growing fragmentation; the proliferation of different subareas of research impedes the accumulation of knowledge. This fragmentation seems logically tied to the inherent complexity of the Internet, itself resulting from 50 years of evolution. Thus, our aim is to provide an integrative framework for research in digital marketing derived from the historical analysis of the Internet. Using practice theory and institutional theory, we outline a new type of institutional work: imprinting work. We apply this framework to the analysis of historical secondary sources. We find four cultural repertoires on the Internet (collaborative systems, traditional market systems, co-creation systems, and prosumption market systems) and describe the dynamics of imprinting work leading to their creation, showing how new systems are created by appropriating and assimilating existing cultural repertoires. We contribute to the digital marketing literature by providing a cultural framework and a theory explaining the dynamics of the creation of four cultural repertoires. Moreover, we outline three paths of potential evolution of the digital landscape. Our framework may help managers make sense of their digital strategy and navigate the various Internet systems. (C) 2019"/>
    <s v="[Busca, Laurent] Univ Montpellier, MRM, Montpellier, France; [Bertrandias, Laurent] TBS Business Sch, Toulouse, France"/>
    <s v="Universite de Montpellier"/>
    <s v="Busca, L (corresponding author), Univ Montpellier, MRM, Montpellier, France."/>
    <s v="laurent.busca@umontpellier.fr; l.bertrandias@tbs-education.fr"/>
    <s v=""/>
    <s v="Busca, Laurent/0000-0003-4436-4933"/>
    <s v=""/>
    <s v=""/>
    <s v=""/>
    <s v=""/>
    <n v="183"/>
    <n v="33"/>
    <n v="34"/>
    <n v="38"/>
    <n v="217"/>
    <s v="SAGE PUBLICATIONS INC"/>
    <s v="THOUSAND OAKS"/>
    <s v="2455 TELLER RD, THOUSAND OAKS, CA 91320 USA"/>
    <s v="1094-9968"/>
    <s v="1520-6653"/>
    <s v=""/>
    <s v="J INTERACT MARK"/>
    <s v="J. Interact. Mark."/>
    <s v="FEB"/>
    <x v="3"/>
    <n v="49"/>
    <s v=""/>
    <s v=""/>
    <s v=""/>
    <s v=""/>
    <s v=""/>
    <n v="1"/>
    <n v="19"/>
    <s v=""/>
    <s v="10.1016/j.intmar.2019.08.002"/>
    <s v="http://dx.doi.org/10.1016/j.intmar.2019.08.002"/>
    <s v=""/>
    <s v=""/>
    <n v="19"/>
    <x v="33"/>
    <x v="1"/>
    <s v="Business &amp; Economics"/>
    <s v="KM6AS"/>
    <s v=""/>
    <s v="Green Submitted"/>
    <s v=""/>
    <s v=""/>
    <s v="2023-11-15"/>
    <s v="WOS:000514221500001"/>
    <s v="View Full Record in Web of Science"/>
    <m/>
  </r>
  <r>
    <x v="411"/>
    <s v="J"/>
    <x v="407"/>
    <s v=""/>
    <s v=""/>
    <s v=""/>
    <s v="Ramon Saura, Jose; Palos-Sanchez, Pedro; Rodriguez Herraez, Beatriz"/>
    <s v=""/>
    <s v=""/>
    <x v="409"/>
    <x v="4"/>
    <s v=""/>
    <s v=""/>
    <s v="English"/>
    <s v="Article"/>
    <s v=""/>
    <s v=""/>
    <s v=""/>
    <s v=""/>
    <s v=""/>
    <x v="381"/>
    <x v="300"/>
    <s v="In recent years, digital marketing has transformed the way in which companies communicate with their customers around the world. The increase in the use of social networks and how users communicate with companies on the Internet has given rise to new business models based on the bidirectionality of communication between companies and Internet users. Digital marketing, new business models, online advertising campaigns, and other digital strategies have gathered user opinions and comments through this new online channel. In this way, companies have started to see the digital ecosystem as not only their present, but also as their future. From this long-term perspective, companies are concerned about sustainability and the growth of their business models. There are new business models on the Internet that support social causes, new platforms aimed at supporting social and sustainable projects, and digital advertising campaigns promoting sustainability. The overarching aim of this Special Issue was to analyze the development of these new strategies as well as their influence on the sustainability of digital marketing strategies. Therefore, we aimed to analyze how companies adopt these new technologies in a digital environment that is increasingly concerned with the sustainability of business models and actions on the Internet."/>
    <s v="[Ramon Saura, Jose; Rodriguez Herraez, Beatriz] Rey Juan Carlos Univ, Dept Business Econ, Fac Social Sci &amp; Law, Paseo Artilleros S-N, Madrid 28032, Spain; [Palos-Sanchez, Pedro] Univ Seville, Dept Financial Econ &amp; Operat Management, Seville 41018, Spain"/>
    <s v="Universidad Rey Juan Carlos; University of Sevilla"/>
    <s v="Saura, JR (corresponding author), Rey Juan Carlos Univ, Dept Business Econ, Fac Social Sci &amp; Law, Paseo Artilleros S-N, Madrid 28032, Spain."/>
    <s v="joseramon.saura@urjc.es; ppalos@us.es; beatriz.rodriguez@urjc.es"/>
    <s v="Palos-Sanchez, Pedro R./A-8952-2017; Saura, José Ramón/L-2861-2018; Rodriguez, Beatriz/CAG-0904-2022"/>
    <s v="Palos-Sanchez, Pedro R./0000-0001-9966-0698; Saura, José Ramón/0000-0002-9457-7745; Rodriguez, Beatriz/0000-0003-4880-4596"/>
    <s v=""/>
    <s v=""/>
    <s v=""/>
    <s v=""/>
    <n v="22"/>
    <n v="13"/>
    <n v="13"/>
    <n v="24"/>
    <n v="104"/>
    <s v="MDPI"/>
    <s v="BASEL"/>
    <s v="ST ALBAN-ANLAGE 66, CH-4052 BASEL, SWITZERLAND"/>
    <s v=""/>
    <s v="2071-1050"/>
    <s v=""/>
    <s v="SUSTAINABILITY-BASEL"/>
    <s v="Sustainability"/>
    <s v="FEB"/>
    <x v="3"/>
    <n v="12"/>
    <n v="3"/>
    <s v=""/>
    <s v=""/>
    <s v=""/>
    <s v=""/>
    <s v=""/>
    <s v=""/>
    <n v="1003"/>
    <s v="10.3390/su12031003"/>
    <s v="http://dx.doi.org/10.3390/su12031003"/>
    <s v=""/>
    <s v=""/>
    <n v="5"/>
    <x v="4"/>
    <x v="3"/>
    <s v="Science &amp; Technology - Other Topics; Environmental Sciences &amp; Ecology"/>
    <s v="KT6PA"/>
    <s v=""/>
    <s v="gold, Green Published"/>
    <s v=""/>
    <s v=""/>
    <s v="2023-11-15"/>
    <s v="WOS:000519135105002"/>
    <s v="View Full Record in Web of Science"/>
    <m/>
  </r>
  <r>
    <x v="412"/>
    <s v="J"/>
    <x v="408"/>
    <s v=""/>
    <s v=""/>
    <s v=""/>
    <s v="Dutta, Gautam; Kumar, Ravinder; Sindhwani, Rahul; Singh, Rajesh Kumar"/>
    <s v=""/>
    <s v=""/>
    <x v="410"/>
    <x v="303"/>
    <s v=""/>
    <s v=""/>
    <s v="English"/>
    <s v="Article"/>
    <s v=""/>
    <s v=""/>
    <s v=""/>
    <s v=""/>
    <s v=""/>
    <x v="382"/>
    <x v="301"/>
    <s v="Purpose Manufacturing excellence is critical to our nation's economy. Indian Government's National Manufacturing Policy, drafted in 2011, is being revamped to include the aspects of Industry 4.0. Initiatives, both led and assisted by government and industries, are being launched to catalyze and transform India's manufacturing competencies. This paper aims to study the functional areas which can potentially leverage Industry 4.0 technologies and help India's manufacturing establishments to transform. It does so in context of the aspirations of India's small and medium discrete manufacturing establishments (SMME) towards adopting digital technologies for the identified functional areas. The study draws its context from the relevant literature review intended to examine the academic articles published until the end of September 2018, followed by a maturity assessment survey of Indian SMMEs to establish priority areas Design/methodology/approach The literature survey has been complemented with a maturity survey of more than 250 of Indian SMMEs to establish adoption gaps by comparing proficiency and sophistication of their present status and proposed adoption aspirations by 2020. The assessment of the organizational aspirations and gap areas identified is expected to indicate which of the Industry 4.0 elements can be adopted by them. Findings The maturity survey undertaken throws up several insights - Indian SMME community's self-assessment indicates operational measurements followed by manufacturing and design interventions as the aspired transformation cycle. The survey indicates that manufacturers would like to make changes to their design and manufacturing strategies based on performance metrics; therefore, they need to first capture real-time machine data, analyze and then incorporate the resulting improvements in manufacturing and design decisions in that order. Social implications Digitalization is expected to foster lean and therefore support sustainability initiatives. Digitalization is expected to help create new, alternative sources of employment which are more relevant to emerging times and foster unlearning the past and relearning of new skills. This emerging diversity of engineering applications resulting from digitalization is expected to also support the larger and poorer agricultural community of India and help the sector to become more efficient and productive, which in turn will reduce economic alienation of a large section of Indian society. Originality/value Industry 4.0 has been identified as the transformational initiative for India's manufacturing competitiveness. Indian manufacturing sector needs to urgently implement the digital technologies and improve their performance and remain relevant in this dynamic market. This research will help guide them to frame their respective digital strategies and be successful. This research will help government and industry influencers to plan and execute their interventions."/>
    <s v="[Dutta, Gautam; Kumar, Ravinder; Sindhwani, Rahul] Amity Univ, Dept Mech Engn, Noida, India; [Singh, Rajesh Kumar] Management Dev Inst, Dept Operat Res, Gurgaon, India"/>
    <s v="Amity University Noida; Management Development Institute (MDI)"/>
    <s v="Dutta, G (corresponding author), Amity Univ, Dept Mech Engn, Noida, India."/>
    <s v="dutta.gautam4@gmail.com; rkumar19@amity.edu; rsindhwani@amity.edu; rajesh.singh@mdi.ac.in"/>
    <s v="Sindhwani, Dr. Rahul/AAO-8022-2020"/>
    <s v="Sindhwani, Dr. Rahul/0000-0001-9361-309X; Dutta, Gautam/0000-0003-2981-6073; Kumar, Prof. (Dr.) Ravinder/0000-0003-4255-4303"/>
    <s v=""/>
    <s v=""/>
    <s v=""/>
    <s v=""/>
    <n v="47"/>
    <n v="59"/>
    <n v="60"/>
    <n v="6"/>
    <n v="142"/>
    <s v="EMERALD GROUP PUBLISHING LTD"/>
    <s v="BINGLEY"/>
    <s v="HOWARD HOUSE, WAGON LANE, BINGLEY BD16 1WA, W YORKSHIRE, ENGLAND"/>
    <s v="1059-5422"/>
    <s v="2051-3143"/>
    <s v=""/>
    <s v="COMPET REV"/>
    <s v="Compet. Rev."/>
    <s v="JAN 13"/>
    <x v="3"/>
    <n v="30"/>
    <n v="3"/>
    <s v=""/>
    <s v=""/>
    <s v=""/>
    <s v=""/>
    <n v="289"/>
    <n v="314"/>
    <s v=""/>
    <s v="10.1108/CR-03-2019-0031"/>
    <s v="http://dx.doi.org/10.1108/CR-03-2019-0031"/>
    <s v=""/>
    <s v="JAN 2020"/>
    <n v="26"/>
    <x v="33"/>
    <x v="2"/>
    <s v="Business &amp; Economics"/>
    <s v="LN1PM"/>
    <s v=""/>
    <s v=""/>
    <s v=""/>
    <s v=""/>
    <s v="2023-11-15"/>
    <s v="WOS:000511429500001"/>
    <s v="View Full Record in Web of Science"/>
    <m/>
  </r>
  <r>
    <x v="413"/>
    <s v="J"/>
    <x v="409"/>
    <s v=""/>
    <s v=""/>
    <s v=""/>
    <s v="Peter, Marc K.; Kraft, Corin; Lindeque, Johan"/>
    <s v=""/>
    <s v=""/>
    <x v="411"/>
    <x v="61"/>
    <s v=""/>
    <s v=""/>
    <s v="English"/>
    <s v="Article"/>
    <s v=""/>
    <s v=""/>
    <s v=""/>
    <s v=""/>
    <s v=""/>
    <x v="383"/>
    <x v="302"/>
    <s v="Purpose The purpose of this paper is to capture the collective understanding of digital transformation (DT) across Swiss businesses and establish a reference framework based on the strategic action field (SAF) theory. Design/methodology/approach A number of Swiss associations provided their databases for an online survey. The large sample includes 2,590 participants from 1,854 organisations and delivered over 4,200 descriptions of DT, categorised into seven SAFs. A cross tabulation of SAF combinations by firm size identified 127 possible SAF combinations which constitute the common understanding of DT. Findings The data set allowed the identification of SAFs and the conceptualisation of DT based on a shared understanding. Drivers of digital transformation are: process engineering, new technologies and digital business development, supported by digital leadership and culture, the cloud and data, customer centricity and digital marketing. Originality/value For the first time, the shared understanding of DT in Swiss businesses - based on SAFs - has allowed a conceptualisation of DT in order to provide guidance to businesses managers and employees."/>
    <s v="[Peter, Marc K.; Kraft, Corin; Lindeque, Johan] Univ Appl Sci &amp; Arts Northwestern Switzerland FHN, Sch Business, Olten, Switzerland"/>
    <s v="FHNW University of Applied Sciences &amp; Arts Northwestern Switzerland"/>
    <s v="Peter, MK (corresponding author), Univ Appl Sci &amp; Arts Northwestern Switzerland FHN, Sch Business, Olten, Switzerland."/>
    <s v="marc.peter@fhnw.ch; corin.kraft@fhnw.ch; Johan.Lindeque@fhnw.ch"/>
    <s v="Lindeque, Johan P/G-5211-2013"/>
    <s v="Lindeque, Johan P/0000-0002-8303-2715; Peter, Marc/0000-0002-2897-0389"/>
    <s v=""/>
    <s v=""/>
    <s v=""/>
    <s v=""/>
    <n v="84"/>
    <n v="55"/>
    <n v="56"/>
    <n v="7"/>
    <n v="102"/>
    <s v="EMERALD GROUP PUBLISHING LTD"/>
    <s v="BINGLEY"/>
    <s v="HOWARD HOUSE, WAGON LANE, BINGLEY BD16 1WA, W YORKSHIRE, ENGLAND"/>
    <s v="1755-425X"/>
    <s v=""/>
    <s v=""/>
    <s v="J STRATEGY MANAG"/>
    <s v="J. Strategy Manag."/>
    <s v="FEB 17"/>
    <x v="3"/>
    <n v="13"/>
    <n v="1"/>
    <s v=""/>
    <s v=""/>
    <s v=""/>
    <s v=""/>
    <n v="160"/>
    <n v="180"/>
    <s v=""/>
    <s v="10.1108/JSMA-05-2019-0070"/>
    <s v="http://dx.doi.org/10.1108/JSMA-05-2019-0070"/>
    <s v=""/>
    <s v="JAN 2020"/>
    <n v="21"/>
    <x v="8"/>
    <x v="2"/>
    <s v="Business &amp; Economics"/>
    <s v="KO3KM"/>
    <s v=""/>
    <s v="hybrid"/>
    <s v=""/>
    <s v=""/>
    <s v="2023-11-15"/>
    <s v="WOS:000511392100001"/>
    <s v="View Full Record in Web of Science"/>
    <m/>
  </r>
  <r>
    <x v="414"/>
    <s v="J"/>
    <x v="410"/>
    <s v=""/>
    <s v=""/>
    <s v=""/>
    <s v="Amaral de Mattos Blaszkowski, Daiane Adriana; Wunsch, Luana Priscila; Fofonca, Eduardo"/>
    <s v=""/>
    <s v=""/>
    <x v="412"/>
    <x v="304"/>
    <s v=""/>
    <s v=""/>
    <s v="Portuguese"/>
    <s v="Article"/>
    <s v=""/>
    <s v=""/>
    <s v=""/>
    <s v=""/>
    <s v=""/>
    <x v="384"/>
    <x v="1"/>
    <s v="This article develops an analysis of reading and writing learning through digital textual genres and working in the language area, specifically with the 4th and 5th years of elementary school. Thus, we analyzed and sought to elucidate the key elements of reflection on teacher practice with the Portuguese Language curriculum component. With the deepening of the legal indicators, such as the current discussions about the BNCC (2017), it became evident that it is still necessary to advance in relation to the new digital strategies for teaching to develop their practices with new pedagogical trends with contents and scenarios that express the needs and specificities of the teacher and his students today, such as digital textual genres, which provide new strategies for pedagogical practice."/>
    <s v="[Amaral de Mattos Blaszkowski, Daiane Adriana] Rede Municipal Ensino Curitiba, Curitiba, Parana, Brazil; [Wunsch, Luana Priscila] UNINTER, Programa Posgrad, Sao Jose Do Rio Preto, Brazil; [Fofonca, Eduardo] Univ Fed Parana, Programa Mestrado Educ Teoria &amp; Prat Ensino, Curitiba, Parana, Brazil"/>
    <s v="Universidade Federal do Parana"/>
    <s v="Blaszkowski, DAAD (corresponding author), Rede Municipal Ensino Curitiba, Curitiba, Parana, Brazil."/>
    <s v="picuche@yahoo.com; Ipriscila@gmail.com; eduardofofonca@gmail.com"/>
    <s v=""/>
    <s v=""/>
    <s v=""/>
    <s v=""/>
    <s v=""/>
    <s v=""/>
    <n v="34"/>
    <n v="0"/>
    <n v="0"/>
    <n v="0"/>
    <n v="1"/>
    <s v="FUNDACAO UNIV TOCANTINS"/>
    <s v="PALMAS-TOCANTINS"/>
    <s v="PRO-REITORIA PESQUISA &amp; POS-GRADUACAO 108 SUL ALAMEDA 11 LOTE 03 CX POSTAL 173, PALMAS-TOCANTINS, CEP77020-122, BRAZIL"/>
    <s v="2358-8322"/>
    <s v=""/>
    <s v=""/>
    <s v="HUMANID INOV"/>
    <s v="Humanid. Inov."/>
    <s v="JAN"/>
    <x v="3"/>
    <n v="7"/>
    <n v="1"/>
    <s v=""/>
    <s v=""/>
    <s v=""/>
    <s v=""/>
    <n v="251"/>
    <n v="266"/>
    <s v=""/>
    <s v=""/>
    <s v=""/>
    <s v=""/>
    <s v=""/>
    <n v="16"/>
    <x v="55"/>
    <x v="2"/>
    <s v="Arts &amp; Humanities - Other Topics"/>
    <s v="KK4TT"/>
    <s v=""/>
    <s v=""/>
    <s v=""/>
    <s v=""/>
    <s v="2023-11-15"/>
    <s v="WOS:000512737100024"/>
    <s v="View Full Record in Web of Science"/>
    <m/>
  </r>
  <r>
    <x v="415"/>
    <s v="J"/>
    <x v="411"/>
    <s v=""/>
    <s v=""/>
    <s v=""/>
    <s v="Baraitser, Paula; McCulloch, Hannah; Morelli, Alessandra; Free, Caroline"/>
    <s v=""/>
    <s v=""/>
    <x v="413"/>
    <x v="29"/>
    <s v=""/>
    <s v=""/>
    <s v="English"/>
    <s v="Article"/>
    <s v=""/>
    <s v=""/>
    <s v=""/>
    <s v=""/>
    <s v=""/>
    <x v="385"/>
    <x v="303"/>
    <s v="Objectives To describe user experience of obtaining and uploading biometric measurements to a 'digital-only' contraceptive service prior to a prescription for the combined oral contraceptive (COC). To analyse this experience to inform the design of safe and acceptable 'digital-only' online contraceptive services. Setting An online contraceptive service available free of charge to women in South East London, UK. Participants Twenty participants who had ordered the combined oral contraceptive (COC) online. Our purposive sampling strategy ensured that we included participants from a wide range of ages and those who were and were not prescribed the COC. Intervention A 'digital-only' contraceptive service that prescribes the COCafter an online medical history and self-reported height, weight and blood pressure (BP) with pills prescribed by a GMC registered doctor, dispensed by an online pharmacy and posted to the user. Design Semistructured interviews with a purposive sample of 20 participants who were already enrolled in a larger study of this service. Analysis Inductive, thematic analysis of the interviews assisted by NVivo qualitative analysis software. Results Users valued the convenience of 'digital-only care' but experienced measuring BP but not height or weight as a significant barrier to service use. They actively engaged in work to understand and measure BP through a combination of recent/past measurements, borrowed machines, health service visits and online research. They negotiated tensions around maintaining a trusting relationship with the service, meeting its demands for accurate information while also obtaining the contraception that they needed. Conclusion Digital strategies to build trusting clinical relationships despite a lack of face-to-face contact are needed in 'digital-only' health services. This includes acknowledgement of work required, evidence of credible human support and a digital interface that communicates the health benefits of collaborating with an engaged clinical team."/>
    <s v="[Baraitser, Paula] SH 24, London, England; [Baraitser, Paula; McCulloch, Hannah; Morelli, Alessandra] Kings Coll London, Kings Ctr Global Hlth &amp; Hlth Partnerships, London, England; [Free, Caroline] London Sch Hyg &amp; Trop Med, Publ Hlth Intervent Unit, London, England"/>
    <s v="University of London; King's College London; University of London; London School of Hygiene &amp; Tropical Medicine"/>
    <s v="Baraitser, P (corresponding author), SH 24, London, England.;Baraitser, P (corresponding author), Kings Coll London, Kings Ctr Global Hlth &amp; Hlth Partnerships, London, England."/>
    <s v="paula_baraitser@mac.com"/>
    <s v="Morelli, Alessandra/AAM-2614-2021"/>
    <s v="Morelli, Alessandra/0000-0002-9803-2136; McCulloch, Hannah/0000-0001-5006-967X; Baraitser, Paula/0000-0002-3354-6494"/>
    <s v="National Institute for Health Research (NIHR) [PB-PG-081520009]"/>
    <s v="National Institute for Health Research (NIHR)(National Institutes of Health Research (NIHR))"/>
    <s v="This report is independent research funded by the National Institute for Health Research (NIHR) (Research for Patient Benefit Programme, PB-PG-081520009). The views expressed in this publication are those of the author(s) and not necessarily those of the NIHR or the Department for Health and Social Care."/>
    <s v=""/>
    <n v="35"/>
    <n v="3"/>
    <n v="3"/>
    <n v="0"/>
    <n v="3"/>
    <s v="BMJ PUBLISHING GROUP"/>
    <s v="LONDON"/>
    <s v="BRITISH MED ASSOC HOUSE, TAVISTOCK SQUARE, LONDON WC1H 9JR, ENGLAND"/>
    <s v="2044-6055"/>
    <s v=""/>
    <s v=""/>
    <s v="BMJ OPEN"/>
    <s v="BMJ Open"/>
    <s v=""/>
    <x v="3"/>
    <n v="10"/>
    <n v="9"/>
    <s v=""/>
    <s v=""/>
    <s v=""/>
    <s v=""/>
    <s v=""/>
    <s v=""/>
    <s v="e037851"/>
    <s v="10.1136/bmjopen-2020-037851"/>
    <s v="http://dx.doi.org/10.1136/bmjopen-2020-037851"/>
    <s v=""/>
    <s v=""/>
    <n v="8"/>
    <x v="28"/>
    <x v="3"/>
    <s v="General &amp; Internal Medicine"/>
    <s v="OB4JT"/>
    <n v="32994244"/>
    <s v="Green Published, gold"/>
    <s v=""/>
    <s v=""/>
    <s v="2023-11-15"/>
    <s v="WOS:000578438100031"/>
    <s v="View Full Record in Web of Science"/>
    <m/>
  </r>
  <r>
    <x v="416"/>
    <s v="J"/>
    <x v="412"/>
    <s v=""/>
    <s v=""/>
    <s v=""/>
    <s v="Brianso, Isabelle"/>
    <s v=""/>
    <s v=""/>
    <x v="414"/>
    <x v="305"/>
    <s v=""/>
    <s v=""/>
    <s v="French"/>
    <s v="Article"/>
    <s v=""/>
    <s v=""/>
    <s v=""/>
    <s v=""/>
    <s v=""/>
    <x v="386"/>
    <x v="1"/>
    <s v="When a monument is assaulted by armed forces or local militia within the context of an armed conflict, it immediately changes status. becoming a traumatic ruin (Leblanc. 2010). This execution produces a negative heritage sentiment (indignation, disbelief or shock) which circulates in the social arena thanks to a number of different sources (inhabitants, experts, etc). The damage inflicted upon ancient Middle Eastern heritage sites was the basis for the immersive exhibition Cites Millenaires. Voyage virtue! de Palmyre a Mossoul (Age Old Cities. A Virtual Journey from Palmyra to Mosul) at the Institut du monde arabe in 2018-2019. This article proposes a study of the emotional charge of the assaulted monument as well as of the expographic strategies employed in order to create an emotional reaction on the part of the visitor during their visit. Our methodological approach consists of both a semiotic analysis of the staging effects of the mined monuments in the rooms of the exhibition (through images and films) as an empathic experience for visitors. and a study of the digital strategies deployed (3D reconstitutions) and of the personal stories of those committed to the assaulted monuments."/>
    <s v="[Brianso, Isabelle] Avignon Univ, Ctr Norbert Elias, Avignon, France"/>
    <s v="Avignon Universite"/>
    <s v="Brianso, I (corresponding author), Avignon Univ, Ctr Norbert Elias, Avignon, France."/>
    <s v=""/>
    <s v=""/>
    <s v=""/>
    <s v=""/>
    <s v=""/>
    <s v=""/>
    <s v=""/>
    <n v="26"/>
    <n v="0"/>
    <n v="0"/>
    <n v="2"/>
    <n v="3"/>
    <s v="ACTES SUD"/>
    <s v="ARLES CEDEX"/>
    <s v="BP 38, ARLES CEDEX, 13633, FRANCE"/>
    <s v="1766-2923"/>
    <s v="2111-4528"/>
    <s v=""/>
    <s v="CULT MUS"/>
    <s v="Cult. Mus."/>
    <s v=""/>
    <x v="3"/>
    <s v=""/>
    <n v="36"/>
    <s v=""/>
    <s v=""/>
    <s v=""/>
    <s v=""/>
    <n v="35"/>
    <n v="56"/>
    <s v=""/>
    <s v="10.4000/culturemusees.5391"/>
    <s v="http://dx.doi.org/10.4000/culturemusees.5391"/>
    <s v=""/>
    <s v=""/>
    <n v="22"/>
    <x v="55"/>
    <x v="5"/>
    <s v="Arts &amp; Humanities - Other Topics"/>
    <s v="PB1MD"/>
    <s v=""/>
    <s v="Green Submitted"/>
    <s v=""/>
    <s v=""/>
    <s v="2023-11-15"/>
    <s v="WOS:000596092700004"/>
    <s v="View Full Record in Web of Science"/>
    <m/>
  </r>
  <r>
    <x v="417"/>
    <s v="J"/>
    <x v="413"/>
    <s v=""/>
    <s v=""/>
    <s v=""/>
    <s v="Garcia Rodriguez, Yolanda; Morales Calvo, Sonia; Rodriguez Martin, Vicenta"/>
    <s v=""/>
    <s v=""/>
    <x v="415"/>
    <x v="306"/>
    <s v=""/>
    <s v=""/>
    <s v="Spanish"/>
    <s v="Article"/>
    <s v=""/>
    <s v=""/>
    <s v=""/>
    <s v=""/>
    <s v=""/>
    <x v="387"/>
    <x v="304"/>
    <s v="This work aims at displaying the importance of digital skills in the teaching and learning process that emerged in the light of new virtual spaces. Such new spaces, which have taken place at a different time and forced education systems to change, are those produced by the global health crisis of COVID-19. The experience was led by a group of students with intellectual disabilities in the university context, within the program Incluye Inserta para la Insercion Socio-Laboral taking place at the University of Castilla-La Mancha. The topic of the text orbits around the analysis of three fundamental axes, which in turn consolidate the right of accessibility in conditions of equality in virtual environments: active policies in defence of the right to inclusive education; digital competence; approach to experiences rendered. Thus, from a qualitative methodology perspective, a documentary review and a case study are presented to address the use of active methodologies and digital strategies in the educational process. Also, some positive and relevant results for the educational community are shown. Finally, study results are collected so that they might serve as new proposals for the improvement in the field of higher education to promote inclusion and attention to the functional diversity of students."/>
    <s v="[Garcia Rodriguez, Yolanda] Consejeria Educ Cultura &amp; Deporte, JCCM, Toledo, Spain; [Morales Calvo, Sonia; Rodriguez Martin, Vicenta] UCLM, Ciudad Real, Spain"/>
    <s v="Universidad de Castilla-La Mancha"/>
    <s v="Rodríguez, YG (corresponding author), Consejeria Educ Cultura &amp; Deporte, JCCM, Toledo, Spain."/>
    <s v="ygarciar@edu.jccm.es; sonia.morales@uclm.es; vicente.rodriguez@uclm.es"/>
    <s v=""/>
    <s v=""/>
    <s v=""/>
    <s v=""/>
    <s v=""/>
    <s v=""/>
    <n v="42"/>
    <n v="0"/>
    <n v="0"/>
    <n v="0"/>
    <n v="8"/>
    <s v="UTAH VALLEY UNIV"/>
    <s v="OREM"/>
    <s v="800 W UNIVERSITY PKWY, OREM, UT 84058 USA"/>
    <s v="2332-8533"/>
    <s v=""/>
    <s v=""/>
    <s v="J LEARN STYLES"/>
    <s v="J. Learn. Styles"/>
    <s v=""/>
    <x v="3"/>
    <n v="13"/>
    <s v=""/>
    <s v=""/>
    <s v=""/>
    <s v="SI"/>
    <s v=""/>
    <n v="32"/>
    <n v="42"/>
    <s v=""/>
    <s v=""/>
    <s v=""/>
    <s v=""/>
    <s v=""/>
    <n v="11"/>
    <x v="39"/>
    <x v="2"/>
    <s v="Education &amp; Educational Research"/>
    <s v="VK7PT"/>
    <s v=""/>
    <s v=""/>
    <s v=""/>
    <s v=""/>
    <s v="2023-11-15"/>
    <s v="WOS:000752492600003"/>
    <s v="View Full Record in Web of Science"/>
    <m/>
  </r>
  <r>
    <x v="418"/>
    <s v="J"/>
    <x v="414"/>
    <s v=""/>
    <s v=""/>
    <s v=""/>
    <s v="Gordon-Isasi, Janire; Narvaiza Cantin, Lorea; Gibaja Martins, Juan Jose"/>
    <s v=""/>
    <s v=""/>
    <x v="416"/>
    <x v="307"/>
    <s v=""/>
    <s v=""/>
    <s v="Spanish"/>
    <s v="Article"/>
    <s v=""/>
    <s v=""/>
    <s v=""/>
    <s v=""/>
    <s v=""/>
    <x v="388"/>
    <x v="305"/>
    <s v="The article presents the evolution of integrated marketing communication (IMC) from its beginnings towards a concept that, after adapting to the current marketing and communication ecosystem, includes digital strategies. It is intended to apply and adapt the IMC to the service sector and more specifically, to the higher education (HE) sector that has been scarcely studied to date. The current context also suggests taking into account the pandemic due to COVID-19 and the possible implications it has generated in the higher education marketing (HEM). The methodology followed has been a systematic literature review on IMC in HE. The conclusions of this research indicate that further research on IMC applied to the HE sector is required, since the benefits generated can be very interesting for the strategies carried out in the HEM. In turn, the originality of this manuscript resides in the fact that it is intended to show the current HEM scenario in the HE, in times of pandemic and under the umbrella of the IMC approach. It focuses on interactivity as a key dimension in IMC strategies and in the HE sector. Likewise, the relevance of interaction is emphasized in order to foster durable relationships with the audience under the impact of global issues such as COVID-19."/>
    <s v="[Gordon-Isasi, Janire; Narvaiza Cantin, Lorea; Gibaja Martins, Juan Jose] Univ Deusto, Bilbao, Spain"/>
    <s v="University of Deusto"/>
    <s v="Gordon-Isasi, J (corresponding author), Univ Deusto, Bilbao, Spain."/>
    <s v="janiregordon@deusto.es; lorea.narvaiza@deusto.es; jjgibaja@deusto.es"/>
    <s v="Narvaiza, Lorea/AAF-2102-2020"/>
    <s v="Narvaiza, Lorea/0000-0002-0805-4201"/>
    <s v=""/>
    <s v=""/>
    <s v=""/>
    <s v=""/>
    <n v="76"/>
    <n v="0"/>
    <n v="0"/>
    <n v="0"/>
    <n v="0"/>
    <s v="UNIV JAEN, SERV PUBLICACIONES"/>
    <s v="JAEN"/>
    <s v="CAMPUS LAGUNILLAS S-N, EDIFICIO BIBLIOTECA, 2A PLANTA, JAEN, 23071, SPAIN"/>
    <s v="0213-8964"/>
    <s v="1988-9046"/>
    <s v=""/>
    <s v="REV ESTUD EMPRESARIA"/>
    <s v="Rev. Estud. Empresariales-Segunda Epoca"/>
    <s v=""/>
    <x v="3"/>
    <s v=""/>
    <n v="2"/>
    <s v=""/>
    <s v=""/>
    <s v=""/>
    <s v=""/>
    <n v="53"/>
    <n v="69"/>
    <s v=""/>
    <s v="10.17561/ree.v2020n2.4"/>
    <s v="http://dx.doi.org/10.17561/ree.v2020n2.4"/>
    <s v=""/>
    <s v=""/>
    <n v="17"/>
    <x v="33"/>
    <x v="2"/>
    <s v="Business &amp; Economics"/>
    <s v="PJ5EA"/>
    <s v=""/>
    <s v="gold, Green Submitted"/>
    <s v=""/>
    <s v=""/>
    <s v="2023-11-15"/>
    <s v="WOS:000601789600005"/>
    <s v="View Full Record in Web of Science"/>
    <m/>
  </r>
  <r>
    <x v="419"/>
    <s v="J"/>
    <x v="415"/>
    <s v=""/>
    <s v=""/>
    <s v=""/>
    <s v="Krona, Michael"/>
    <s v=""/>
    <s v=""/>
    <x v="417"/>
    <x v="177"/>
    <s v=""/>
    <s v=""/>
    <s v="English"/>
    <s v="Article"/>
    <s v=""/>
    <s v=""/>
    <s v=""/>
    <s v=""/>
    <s v=""/>
    <x v="389"/>
    <x v="1"/>
    <s v="No previous organization has managed to execute such a widespread and sophisticated model for producing and distributing propaganda as the Islamic State (IS), relying on digital participation from supporters on a global scale. In 2015, IS and its supporters started using the encrypted application Telegram. On pro-IS channels, supporters are currently managing virtual communities in which an ideological bolstering and recontextualization of official propaganda are apparent on a daily basis. Through a digital ethnographic approach and covert observation of IS's official and supporter channels on Telegram for six months in 2017, this article aims to present findings on what characterizes the symbiotic relationship between official IS channels and supporter (pro-IS) channels and content. The conjunctures and collaborative media practices and affordances surrounding official and supporter channels on Telegram are discussed as manifestations of contemporary digital warfare. In addition, this article provides a wider theoretical understanding of IS's use of Telegram as an expression of a participatory media culture in which the contemporary relationship between the IS's central organization and its supporters constitutes a significant shift in modern online terrorism."/>
    <s v="[Krona, Michael] Malmo Univ, Malmo, Sweden"/>
    <s v="Malmo University"/>
    <s v="Krona, M (corresponding author), Malmo Univ, Malmo, Sweden."/>
    <s v="michael.krona@mau.se"/>
    <s v=""/>
    <s v=""/>
    <s v=""/>
    <s v=""/>
    <s v=""/>
    <s v=""/>
    <n v="39"/>
    <n v="7"/>
    <n v="7"/>
    <n v="0"/>
    <n v="9"/>
    <s v="USC ANNENBERG PRESS"/>
    <s v="LOS ANGELES"/>
    <s v="UNIV SOUTHERN CALIFORNIA, KERCKHOFF HALL, 734 W ADAMS BLVD, MC7725, LOS ANGELES, CA 90089 USA"/>
    <s v="1932-8036"/>
    <s v=""/>
    <s v=""/>
    <s v="INT J COMMUN-US"/>
    <s v="Int. J. Commun."/>
    <s v=""/>
    <x v="3"/>
    <n v="14"/>
    <s v=""/>
    <s v=""/>
    <s v=""/>
    <s v=""/>
    <s v=""/>
    <n v="1888"/>
    <n v="1910"/>
    <s v=""/>
    <s v=""/>
    <s v=""/>
    <s v=""/>
    <s v=""/>
    <n v="23"/>
    <x v="56"/>
    <x v="1"/>
    <s v="Communication"/>
    <s v="LD1CX"/>
    <s v=""/>
    <s v=""/>
    <s v=""/>
    <s v=""/>
    <s v="2023-11-15"/>
    <s v="WOS:000525770900008"/>
    <s v="View Full Record in Web of Science"/>
    <m/>
  </r>
  <r>
    <x v="420"/>
    <s v="J"/>
    <x v="416"/>
    <s v=""/>
    <s v=""/>
    <s v=""/>
    <s v="Mahrenbach, Laura C.; Mayer, Katja"/>
    <s v=""/>
    <s v=""/>
    <x v="418"/>
    <x v="308"/>
    <s v=""/>
    <s v=""/>
    <s v="English"/>
    <s v="Article"/>
    <s v=""/>
    <s v=""/>
    <s v=""/>
    <s v=""/>
    <s v=""/>
    <x v="390"/>
    <x v="306"/>
    <s v="Background Emerging states, such as Brazil, India, and China (the BICs), have big plans for big data and digitalization. Research has identified distinct policy visions regarding how technological advances can facilitate economic development and improve governance. Analysis This article examines how BIC governments frame data-driven ambitions across the diverse issue areas in which governments plan to use big data, as well as how they frame the role(s) of the government and citizens in the era of big data. Conclusion and implications We find clear differences in discussions of big data across the BICs and across issue areas. Moreover, we show the societal changes that governments seek to effect using big data vary greatly in scope, with Brazil and India seeking more fundamental changes than China."/>
    <s v="[Mahrenbach, Laura C.] Tech Univ Munich, Chair Computat Social Sci &amp; Big Data, Hsch Polit Munchen, Munich, Germany; [Mayer, Katja] Univ Vienna, Dept Sci &amp; Technol Studies, Interfaces Sci Technol &amp; Soc, Vienna, Austria"/>
    <s v="Technical University of Munich; University of Vienna"/>
    <s v="Mahrenbach, LC (corresponding author), Tech Univ Munich, Chair Computat Social Sci &amp; Big Data, Hsch Polit Munchen, Munich, Germany."/>
    <s v="laura.mahrenbach@hfp.tum.de; katja.mayer@univie.ac.at"/>
    <s v="Mayer, Katja/IYS-2014-2023"/>
    <s v="Mayer, Katja/0000-0003-1184-595X; Mahrenbach, Laura/0000-0002-8622-3242"/>
    <s v=""/>
    <s v=""/>
    <s v=""/>
    <s v=""/>
    <n v="51"/>
    <n v="1"/>
    <n v="1"/>
    <n v="1"/>
    <n v="17"/>
    <s v="CANADIAN JOURNAL COMMUNICATION"/>
    <s v="VANCOUVER"/>
    <s v="C/O SIMON FRASER UNIV, 515 WEST HASTINGS ST, VANCOUVER, BC V6B 5K3, CANADA"/>
    <s v="0705-3657"/>
    <s v="1499-6642"/>
    <s v=""/>
    <s v="CAN J COMMUN"/>
    <s v="Can. J. Commun."/>
    <s v=""/>
    <x v="3"/>
    <n v="45"/>
    <n v="1"/>
    <s v=""/>
    <s v=""/>
    <s v=""/>
    <s v=""/>
    <n v="129"/>
    <n v="141"/>
    <s v=""/>
    <s v="10.22230/cjc.2020v45n1a3471"/>
    <s v="http://dx.doi.org/10.22230/cjc.2020v45n1a3471"/>
    <s v=""/>
    <s v=""/>
    <n v="13"/>
    <x v="56"/>
    <x v="2"/>
    <s v="Communication"/>
    <s v="ME8TZ"/>
    <s v=""/>
    <s v="hybrid, Green Submitted"/>
    <s v=""/>
    <s v=""/>
    <s v="2023-11-15"/>
    <s v="WOS:000544927600014"/>
    <s v="View Full Record in Web of Science"/>
    <m/>
  </r>
  <r>
    <x v="421"/>
    <s v="J"/>
    <x v="417"/>
    <s v=""/>
    <s v=""/>
    <s v=""/>
    <s v="Manita, Riadh; Elommal, Najoua; Baudier, Patricia; Hikkerova, Lubica"/>
    <s v=""/>
    <s v=""/>
    <x v="419"/>
    <x v="9"/>
    <s v=""/>
    <s v=""/>
    <s v="English"/>
    <s v="Article"/>
    <s v=""/>
    <s v=""/>
    <s v=""/>
    <s v=""/>
    <s v=""/>
    <x v="391"/>
    <x v="307"/>
    <s v="The literature demonstrates the growing interest of digitalization in organizations. The purpose of this paper is to study the influence of digitalization on audit's business and to understand how it can improve the role of audit as a governance mechanism. A qualitative approach was conducted by interviewing auditors from the five largest auditing firms in France. This paper demonstrates that digital technology is impacting at five key levels audit firms especially the audit role as a governance mechanism. Digitalization will improve the audit relevance (1) allowing audit firms to extend their offers by proposing new services (2). It will also improve the audit quality mainly by analysing all data's customer (3). Finally, with the digitalization a new auditor profile emerges (4), enabling the culture of innovation within audit firms (5). Thus, the firm governance will be improved but the managers 'discretionary power will be limited. This research highlights the importance of implementing digital strategies to provide regulators with the necessary modifications that need to occur for audit standards, It should enable Business School and universities to adapt their training programs according to the audit firms' expectations."/>
    <s v="[Manita, Riadh] NEOMA Business Sch, 1 Rue Marechal Juin, F-76130 Mont St Aignan, France; [Elommal, Najoua] Ecole Management Leonard de Vinci, 12 Ave Leonard de Vinci, F-92916 Paris, France; [Baudier, Patricia] EM Normandie, 64 Rue Ranelagh, F-75016 Paris, France; [Hikkerova, Lubica] IPAG Business Sch, 184 Blvd St Germain, F-75006 Paris, France"/>
    <s v="NEOMA Business School; IPAG Business School"/>
    <s v="Hikkerova, L (corresponding author), IPAG Business Sch, 184 Blvd St Germain, F-75006 Paris, France."/>
    <s v="Riadh.manita@neoma-bs.fr; najoua.elommal_manita@devinci.fr; pbaudier@em-normandie.fr; lubicahikkerova@gmail.com"/>
    <s v=""/>
    <s v="BAUDIER, PATRICIA/0000-0001-9881-4560"/>
    <s v=""/>
    <s v=""/>
    <s v=""/>
    <s v=""/>
    <n v="64"/>
    <n v="68"/>
    <n v="71"/>
    <n v="37"/>
    <n v="121"/>
    <s v="ELSEVIER SCIENCE INC"/>
    <s v="NEW YORK"/>
    <s v="STE 800, 230 PARK AVE, NEW YORK, NY 10169 USA"/>
    <s v="0040-1625"/>
    <s v="1873-5509"/>
    <s v=""/>
    <s v="TECHNOL FORECAST SOC"/>
    <s v="Technol. Forecast. Soc. Chang."/>
    <s v="JAN"/>
    <x v="3"/>
    <n v="150"/>
    <s v=""/>
    <s v=""/>
    <s v=""/>
    <s v=""/>
    <s v=""/>
    <s v=""/>
    <s v=""/>
    <n v="119751"/>
    <s v="10.1016/j.techfore.2019.119751"/>
    <s v="http://dx.doi.org/10.1016/j.techfore.2019.119751"/>
    <s v=""/>
    <s v=""/>
    <n v="10"/>
    <x v="9"/>
    <x v="1"/>
    <s v="Business &amp; Economics; Public Administration"/>
    <s v="JW8VM"/>
    <s v=""/>
    <s v=""/>
    <s v=""/>
    <s v=""/>
    <s v="2023-11-15"/>
    <s v="WOS:000503324600011"/>
    <s v="View Full Record in Web of Science"/>
    <m/>
  </r>
  <r>
    <x v="422"/>
    <s v="J"/>
    <x v="418"/>
    <s v=""/>
    <s v=""/>
    <s v=""/>
    <s v="Montereale, Lia; Ventura, Leandro"/>
    <s v=""/>
    <s v=""/>
    <x v="420"/>
    <x v="309"/>
    <s v=""/>
    <s v=""/>
    <s v="Italian"/>
    <s v="Article"/>
    <s v=""/>
    <s v=""/>
    <s v=""/>
    <s v=""/>
    <s v=""/>
    <x v="8"/>
    <x v="1"/>
    <s v="This document is divided into four sections. The first section, the introduction, analyses the transformations that the cultural sector has been undergoing in recent years driven by the development of digital tools and accelerated by Covid-19. The second section describes the cultural heritage of Molise in terms of both its tangible and intangible components. The third section shows the digital strategy developed by the Regional Secretariat for Molise in order to spread the knowledge of the cultural heritage of Molise. Included is the description of the new website www.molise.beniculturali.it, of the nine interactive maps, of the digital comic book Once upon a time in Molise, of the video Molise Land of Wonders, and of a series of online books. The fourth section is dedicated to the conclusions which stress the way in which the projects discussed have contributed to the spread of Molise's cultural heritage and opened the way to further future transformations)."/>
    <s v="[Montereale, Lia] Segretariato Reg Mibact Molise, Promoz &amp; Comunicaz, Rome, Italy; [Ventura, Leandro] Reg Musei Molise, Campobasso, Italy"/>
    <s v=""/>
    <s v="Montereale, L (corresponding author), Segretariato Reg Mibact Molise, Promoz &amp; Comunicaz, Rome, Italy."/>
    <s v="lia.montereale@beniculturali.it; leandro.ventura@beniculturali.it"/>
    <s v=""/>
    <s v=""/>
    <s v=""/>
    <s v=""/>
    <s v=""/>
    <s v=""/>
    <n v="0"/>
    <n v="0"/>
    <n v="0"/>
    <n v="0"/>
    <n v="2"/>
    <s v="ARCHEOMATICA"/>
    <s v="ROME"/>
    <s v="VIA NOMENTANA 525, ROME, 00141, ITALY"/>
    <s v="2037-2485"/>
    <s v=""/>
    <s v=""/>
    <s v="ARCHEOMATICA"/>
    <s v="Archeomatica"/>
    <s v=""/>
    <x v="3"/>
    <n v="11"/>
    <n v="2"/>
    <s v=""/>
    <s v=""/>
    <s v=""/>
    <s v=""/>
    <n v="14"/>
    <n v="17"/>
    <s v=""/>
    <s v=""/>
    <s v=""/>
    <s v=""/>
    <s v=""/>
    <n v="4"/>
    <x v="55"/>
    <x v="2"/>
    <s v="Arts &amp; Humanities - Other Topics"/>
    <s v="PG8PF"/>
    <s v=""/>
    <s v=""/>
    <s v=""/>
    <s v=""/>
    <s v="2023-11-15"/>
    <s v="WOS:000599990000003"/>
    <s v="View Full Record in Web of Science"/>
    <m/>
  </r>
  <r>
    <x v="423"/>
    <s v="J"/>
    <x v="419"/>
    <s v=""/>
    <s v=""/>
    <s v=""/>
    <s v="Nixon, Brice"/>
    <s v=""/>
    <s v=""/>
    <x v="421"/>
    <x v="310"/>
    <s v=""/>
    <s v=""/>
    <s v="English"/>
    <s v="Article"/>
    <s v=""/>
    <s v=""/>
    <s v=""/>
    <s v=""/>
    <s v=""/>
    <x v="392"/>
    <x v="1"/>
    <s v="This article analyzes the business of news in the early 21st century through a case study of the US newspaper company MediaNews Group. It examines the company's efforts over the past decade to create sources of revenue while the US newspaper industry faced a growing financial crisis. This article argues it is necessary to rethink the political economy of news to see that power over news consumption is the foundation of the business of news. The concepts of an attention economy and audience labor are used to reframe the process of capitalizing on news as, fundamentally, a process of gaining power over attention in order to treat it as an exploitable form of audience labor and thereby generate revenue from news consumers or advertisers. This article then presents a study of the strategies for generating revenue used by MediaNews Group from 2006 to 2016, focusing on its clusters of newspapers in California. Ownership consolidation was the company's key strategy until its debt and the industry's crisis forced it into bankruptcy. The company then pursued a series of digital strategies: digital advertising, paywalls, mobile distribution, citizen journalism, copyright infringement lawsuits, and Google Consumer Surveys. None proved profitable enough, and in 2016, the company returned to ownership consolidation. MediaNews Group's efforts over the past decade demonstrate the inescapable truth that power over attention is the key to the business of news: Capitalizing on news requires power over news consumption as a form of attention that can be exploited as news audience labor."/>
    <s v="[Nixon, Brice] Univ Penn, Annenberg Sch Commun, 3620 Walnut St, Philadelphia, PA 19104 USA"/>
    <s v="University of Pennsylvania"/>
    <s v="Nixon, B (corresponding author), Univ Penn, Annenberg Sch Commun, 3620 Walnut St, Philadelphia, PA 19104 USA."/>
    <s v="bln222@nyu.edu"/>
    <s v=""/>
    <s v=""/>
    <s v=""/>
    <s v=""/>
    <s v=""/>
    <s v=""/>
    <n v="65"/>
    <n v="13"/>
    <n v="14"/>
    <n v="5"/>
    <n v="31"/>
    <s v="SAGE PUBLICATIONS INC"/>
    <s v="THOUSAND OAKS"/>
    <s v="2455 TELLER RD, THOUSAND OAKS, CA 91320 USA"/>
    <s v="1464-8849"/>
    <s v="1741-3001"/>
    <s v=""/>
    <s v="JOURNALISM"/>
    <s v="Journalism"/>
    <s v="JAN"/>
    <x v="3"/>
    <n v="21"/>
    <n v="1"/>
    <s v=""/>
    <s v=""/>
    <s v=""/>
    <s v=""/>
    <n v="73"/>
    <n v="94"/>
    <s v=""/>
    <s v="10.1177/1464884917719145"/>
    <s v="http://dx.doi.org/10.1177/1464884917719145"/>
    <s v=""/>
    <s v=""/>
    <n v="22"/>
    <x v="56"/>
    <x v="1"/>
    <s v="Communication"/>
    <s v="KB1BI"/>
    <s v=""/>
    <s v=""/>
    <s v=""/>
    <s v=""/>
    <s v="2023-11-15"/>
    <s v="WOS:000506236000005"/>
    <s v="View Full Record in Web of Science"/>
    <m/>
  </r>
  <r>
    <x v="424"/>
    <s v="J"/>
    <x v="420"/>
    <s v=""/>
    <s v=""/>
    <s v=""/>
    <s v="O'Neill, Nathan; Albiston, Mairi; Ferguson, Sandra; Nicklas, Leeanne"/>
    <s v=""/>
    <s v=""/>
    <x v="422"/>
    <x v="311"/>
    <s v=""/>
    <s v=""/>
    <s v="English"/>
    <s v="Article"/>
    <s v=""/>
    <s v=""/>
    <s v=""/>
    <s v=""/>
    <s v=""/>
    <x v="393"/>
    <x v="308"/>
    <s v="NHS Education for Scotland (NES) plays a lead role in training the NHS Psychological Therapies workforce across Scotland. Fergusonet al. (2016) outlined the challenges, opportunities and proposed evaluation of the NES Specialist Supervision Training in Cognitive Behavioural Therapy (NESSST-CBT). The aims of the training were to provide an evidence-based, flexible and learner-focused training in CBT specific supervision competencies. This paper will provide an update on the evaluation of the training using Kirkpatrick's Impact Evaluation Model (1967,1987). Results indicate that: (1) delegates rated the training experience positively in various ways; (2) delegates described increases in their confidence and competence in using structured measures of CBT and supervision; (3) a majority of delegates completing a 3-month follow-up questionnaire described continued use of a structured CBT measure in supervision and for self-reflection; and (4) 392 psychological therapists in Scotland have now been formally trained in CBT specific supervision skills. NESSST-CBT continues to adapt and improve as a resource for staff as NES moves forward in its Digital Strategy for Scotland's NHS and partnership staff. Further implications of this are discussed, as well as limitations of the study."/>
    <s v="[O'Neill, Nathan] Leverndale Hosp, Esteem Off, Glasgow G53 7TU, Lanark, Scotland; [Albiston, Mairi; Ferguson, Sandra; Nicklas, Leeanne] NHS Educ Scotland, Psychol Directorate, Glasgow G3 8BW, Lanark, Scotland"/>
    <s v="NHS Education for Scotland"/>
    <s v="Nicklas, L (corresponding author), NHS Educ Scotland, Psychol Directorate, Glasgow G3 8BW, Lanark, Scotland."/>
    <s v="leeanne.nicklas@nes.scot.nhs.uk"/>
    <s v=""/>
    <s v="albiston, mairi/0000-0002-5221-3767"/>
    <s v=""/>
    <s v=""/>
    <s v=""/>
    <s v=""/>
    <n v="29"/>
    <n v="2"/>
    <n v="2"/>
    <n v="0"/>
    <n v="5"/>
    <s v="CAMBRIDGE UNIV PRESS"/>
    <s v="CAMBRIDGE"/>
    <s v="EDINBURGH BLDG, SHAFTESBURY RD, CB2 8RU CAMBRIDGE, ENGLAND"/>
    <s v="1754-470X"/>
    <s v=""/>
    <s v=""/>
    <s v="COGN BEH THER"/>
    <s v="Cogn. Beh. Therap."/>
    <s v=""/>
    <x v="3"/>
    <n v="13"/>
    <s v=""/>
    <s v=""/>
    <s v=""/>
    <s v=""/>
    <s v=""/>
    <s v=""/>
    <s v=""/>
    <s v="e18"/>
    <s v="10.1017/S1754470X20000136"/>
    <s v="http://dx.doi.org/10.1017/S1754470X20000136"/>
    <s v=""/>
    <s v=""/>
    <n v="11"/>
    <x v="137"/>
    <x v="2"/>
    <s v="Psychology"/>
    <s v="LW3JL"/>
    <s v=""/>
    <s v=""/>
    <s v=""/>
    <s v=""/>
    <s v="2023-11-15"/>
    <s v="WOS:000539041000001"/>
    <s v="View Full Record in Web of Science"/>
    <m/>
  </r>
  <r>
    <x v="425"/>
    <s v="J"/>
    <x v="421"/>
    <s v=""/>
    <s v=""/>
    <s v=""/>
    <s v="Penalba, Ericson H.; Samaniego, Chaddlyn Rose C.; Romero, Shiella Mae A."/>
    <s v=""/>
    <s v=""/>
    <x v="423"/>
    <x v="275"/>
    <s v=""/>
    <s v=""/>
    <s v="English"/>
    <s v="Article"/>
    <s v=""/>
    <s v=""/>
    <s v=""/>
    <s v=""/>
    <s v=""/>
    <x v="394"/>
    <x v="309"/>
    <s v="As an engaging learning strategy, digital storytelling provides students opportunities for developing competencies as they immerse themselves in a meaningful learning experience. The study presented in this article explored the potential of digital storytelling as an instrument for the promotion of historical-understanding. Thirty first-year teacher education students, who were divided into eight groups, participated in a digital storytelling project that required them to produce their own digital stories. The project was designed as an 8-week activity, which consisted of activities that guided them throughout the pre-production, production, and post-production phases. After the final week of the project, the students participated in focus group discussions. Aside from the focus group responses, data were also obtained from their reflection journal entries and digital stories. The qualitative data were subjected to thematic network analysis, surfacing six organising themes, namely historical significance, historical imagination, perspective taking, continuity, historical emphasis, and values and traits identification. These findings suggest specific courses of action for integrating technology in a history classroom."/>
    <s v="[Penalba, Ericson H.; Samaniego, Chaddlyn Rose C.; Romero, Shiella Mae A.] Bulacan State Univ, Teacher Educ Dept, Meneses Campus, Bulacan, Philippines"/>
    <s v="Bulacan State University"/>
    <s v="Peñalba, EH (corresponding author), Bulacan State Univ, Teacher Educ Dept, Meneses Campus, Bulacan, Philippines."/>
    <s v="ericson.penalba@bulsu.edu.ph"/>
    <s v="Peñalba, Ericson/AAL-6731-2020"/>
    <s v="Peñalba, Ericson/0000-0001-5834-4859"/>
    <s v=""/>
    <s v=""/>
    <s v=""/>
    <s v=""/>
    <n v="46"/>
    <n v="2"/>
    <n v="2"/>
    <n v="3"/>
    <n v="16"/>
    <s v="ASSOC LEARNING TECHNOLOGY-ALT"/>
    <s v="BICESTER"/>
    <s v="PO BOX 460, BICESTER, OX26 9LW, ENGLAND"/>
    <s v="2156-7069"/>
    <s v="2156-7077"/>
    <s v=""/>
    <s v="RES LEARN TECHNOL"/>
    <s v="Res. Learn. Technol."/>
    <s v=""/>
    <x v="3"/>
    <n v="28"/>
    <s v=""/>
    <s v=""/>
    <s v=""/>
    <s v=""/>
    <s v=""/>
    <s v=""/>
    <s v=""/>
    <n v="2348"/>
    <s v="10.25304/rlt.v28.2348"/>
    <s v="http://dx.doi.org/10.25304/rlt.v28.2348"/>
    <s v=""/>
    <s v=""/>
    <n v="20"/>
    <x v="39"/>
    <x v="2"/>
    <s v="Education &amp; Educational Research"/>
    <s v="NQ8WK"/>
    <s v=""/>
    <s v="gold, Green Published"/>
    <s v=""/>
    <s v=""/>
    <s v="2023-11-15"/>
    <s v="WOS:000571148100001"/>
    <s v="View Full Record in Web of Science"/>
    <m/>
  </r>
  <r>
    <x v="426"/>
    <s v="J"/>
    <x v="422"/>
    <s v=""/>
    <s v=""/>
    <s v=""/>
    <s v="Perdigon Llanes, Rudibel"/>
    <s v=""/>
    <s v=""/>
    <x v="424"/>
    <x v="154"/>
    <s v=""/>
    <s v=""/>
    <s v="English"/>
    <s v="Article"/>
    <s v=""/>
    <s v=""/>
    <s v=""/>
    <s v=""/>
    <s v=""/>
    <x v="395"/>
    <x v="1"/>
    <s v="Agro livestock cooperatives play a significant role in food production and distribution in Cuba. This study identified deficiencies related to the business management processes of these organizations that affect their economic performance. Although there are several studies aimed to improve the efficiency of the marketing and commercialization systems in Cuban cooperatives, there is a lack of studies related to the application of digital technologies in the commercial relations of these organizations. This research aims to strengthen the commercial management of Cuban agro livestock cooperatives by applying a digital strategy. Analytical-synthetic, historical-logical and modeling methods were used as scientific methods. The proposed strategy is based on the use of social trade through the social network Facebook. The implementation of this strategy will make it possible to expand marketing, market relations, technological innovation and competitiveness of Cuban agro livestock cooperatives."/>
    <s v="[Perdigon Llanes, Rudibel] Minist Agr, Empresa Comercializadora Frutas Selectas, Havana, Cuba"/>
    <s v=""/>
    <s v="Llanes, RP (corresponding author), Minist Agr, Empresa Comercializadora Frutas Selectas, Havana, Cuba."/>
    <s v="rperdigon90@gmail.com"/>
    <s v=""/>
    <s v=""/>
    <s v=""/>
    <s v=""/>
    <s v=""/>
    <s v=""/>
    <n v="20"/>
    <n v="0"/>
    <n v="0"/>
    <n v="1"/>
    <n v="8"/>
    <s v="UNIV PINAR RIO HERMANOS SAIZ MONTES OCA"/>
    <s v="PINA DEL RIO"/>
    <s v="CALLE MARTI NO 300 27 NOVIEMBRE &amp; GONZALEZ ALCORTA, PINA DEL RIO, CP 20100, CUBA"/>
    <s v="2310-340X"/>
    <s v=""/>
    <s v=""/>
    <s v="REV COOP DESARRO-COO"/>
    <s v="Rev. Coop. Desarro.-COODES"/>
    <s v="JAN-APR"/>
    <x v="3"/>
    <n v="8"/>
    <n v="1"/>
    <s v=""/>
    <s v=""/>
    <s v=""/>
    <s v=""/>
    <n v="33"/>
    <n v="44"/>
    <s v=""/>
    <s v=""/>
    <s v=""/>
    <s v=""/>
    <s v=""/>
    <n v="12"/>
    <x v="86"/>
    <x v="2"/>
    <s v="Development Studies"/>
    <s v="LG6UJ"/>
    <s v=""/>
    <s v=""/>
    <s v=""/>
    <s v=""/>
    <s v="2023-11-15"/>
    <s v="WOS:000528233200004"/>
    <s v="View Full Record in Web of Science"/>
    <m/>
  </r>
  <r>
    <x v="427"/>
    <s v="J"/>
    <x v="423"/>
    <s v=""/>
    <s v=""/>
    <s v=""/>
    <s v="Saura, Jose Ramon; Reyes-Menendez, Ana; de Matos, Nelson; Correia, Marisol B.; Palos-Sanchez, Pedro"/>
    <s v=""/>
    <s v=""/>
    <x v="425"/>
    <x v="312"/>
    <s v=""/>
    <s v=""/>
    <s v="English"/>
    <s v="Article"/>
    <s v=""/>
    <s v=""/>
    <s v=""/>
    <s v=""/>
    <s v=""/>
    <x v="396"/>
    <x v="1"/>
    <s v="In recent decades, the Internet, evolving technologies, and social media have led to the evolution of consumer behavior. The changes in customer behavior driven by digital developments provide many opportunities and challenges that businesses also need to deal with online. The better companies know about the behavior of their customers, the easier they can engage with them using strategies such as content marketing, User Experience (UX), influencers marketing, User-Generated Content (UGC), or Electronic Word of Mouth (eWOM). These strategies are essential to get more sales and to develop businesses online, as such strategies increase the engagement with users and influence their behavior. This Special Edition of JOSD focuses on the analysis of consumer behavior in the digital age and, by doing so, contributes to extant knowledge about digital marketing strategies, online consumer behavior, and new digital business models such as mobile applications or shared economy."/>
    <s v="[Saura, Jose Ramon; Reyes-Menendez, Ana] Rey Juan Carlos Univ, Madrid, Spain; [de Matos, Nelson] Univ Algarve, Sch Management Hospitality &amp; Tourism ESGHT, Res Ctr Tourism Sustainabil &amp; Well Being CinTurs, Faro, Portugal; [Correia, Marisol B.] Univ Algarve, Sch Management Hospitality &amp; Tourism ESGHT, Faro, Portugal; [Correia, Marisol B.] Univ Lisbon, Ctr Tourism Res Dev &amp; Innovat CiTUR, Lisbon, Portugal; [Correia, Marisol B.] Univ Lisbon, Res Ctr Tourism Sustainabil &amp; Well Being CinTurs, Lisbon, Portugal; [Correia, Marisol B.] Univ Lisbon, CEG IST, Inst Super Tecn, Lisbon, Portugal; [Palos-Sanchez, Pedro] Univ Seville, Seville, Spain"/>
    <s v="Universidad Rey Juan Carlos; Universidade do Algarve; Universidade do Algarve; Universidade de Lisboa; Universidade de Lisboa; Universidade de Lisboa; Instituto Superior Tecnico; University of Sevilla"/>
    <s v="Saura, JR (corresponding author), Rey Juan Carlos Univ, Madrid, Spain."/>
    <s v="joseramon.saura@urjc.es; ana.reyes@urjc.es; nmmatos@ualg.pt; mcorreia@ualg.pt; ppalos@us.es"/>
    <s v="Palos-Sanchez, Pedro R./A-8952-2017; Saura, José Ramón/L-2861-2018; deMatos, Nelson/HNJ-6572-2023; Reyes-Menendez, Ana/X-5393-2018; deMatos, Nelson Manuel da Silva/AAP-1198-2020"/>
    <s v="Palos-Sanchez, Pedro R./0000-0001-9966-0698; Saura, José Ramón/0000-0002-9457-7745; Reyes-Menendez, Ana/0000-0003-0636-9573; deMatos, Nelson Manuel da Silva/0000-0002-6263-5007"/>
    <s v="FCT- Foundation for Science and Technology [UIDB/04020/2020]"/>
    <s v="FCT- Foundation for Science and Technology(Fundacao para a Ciencia e a Tecnologia (FCT))"/>
    <s v="This paper is financed by National Funds provided by FCT- Foundation for Science and Technology through project UIDB/04020/2020."/>
    <s v=""/>
    <n v="19"/>
    <n v="1"/>
    <n v="2"/>
    <n v="8"/>
    <n v="54"/>
    <s v="CIEO, RESEARCH CENTER SPATIAL &amp; ORGANIZATIONAL DYNAMICS"/>
    <s v="FARO"/>
    <s v="UNIV ALGARVE CAMPUS GAMBELAS, BUILDING 9, FARO, 8005-139, PORTUGAL"/>
    <s v="1647-3183"/>
    <s v=""/>
    <s v=""/>
    <s v="J SPAT ORGAN DYN"/>
    <s v="J. Spat. Organ. Dyn."/>
    <s v=""/>
    <x v="3"/>
    <n v="8"/>
    <n v="3"/>
    <s v=""/>
    <s v=""/>
    <s v=""/>
    <s v=""/>
    <n v="190"/>
    <n v="196"/>
    <s v=""/>
    <s v=""/>
    <s v=""/>
    <s v=""/>
    <s v=""/>
    <n v="7"/>
    <x v="31"/>
    <x v="2"/>
    <s v="Social Sciences - Other Topics"/>
    <s v="NZ5JD"/>
    <s v=""/>
    <s v=""/>
    <s v=""/>
    <s v=""/>
    <s v="2023-11-15"/>
    <s v="WOS:000577136000001"/>
    <s v="View Full Record in Web of Science"/>
    <m/>
  </r>
  <r>
    <x v="428"/>
    <s v="J"/>
    <x v="424"/>
    <s v=""/>
    <s v=""/>
    <s v=""/>
    <s v="Seidel, Sebastian; Bettinger, Patrick; Budke, Alexandra"/>
    <s v=""/>
    <s v=""/>
    <x v="426"/>
    <x v="110"/>
    <s v=""/>
    <s v=""/>
    <s v="English"/>
    <s v="Article"/>
    <s v=""/>
    <s v=""/>
    <s v=""/>
    <s v=""/>
    <s v=""/>
    <x v="397"/>
    <x v="310"/>
    <s v="In Germany, 93% of young people between the ages of 10 and 18 play video games daily. Political geography, in particular popular geopolitics, have found that video games can help to establish and develop people's understanding of geopolitics. Consequently, this affects geography education, providing both challenges and opportunities for teaching. Geography teaching is an integral part of political education as students need to understand how boundaries and territories create spaces with regards to social power and become the object of political conflict. Reflection plays a central role in understanding and deconstructing such spatial constructions. In this article, we examine representations and concepts of borders in digital strategy games and the perception and reflection of these by the players. The results provide an outlook on the potential and the challenges of digital strategy games for political education in geography lessons in secondary schools as well as for teacher training at universities. For this reason, possible approaches for education and training will be outlined on the basis of the results."/>
    <s v="[Seidel, Sebastian; Budke, Alexandra] Univ Cologne, Inst Geog Educ, Gronewaldstr 2, D-50931 Cologne, Germany; [Bettinger, Patrick] Univ Cologne, Dept Educ &amp; Social Sci, Herbert Lewin Str 10, D-50931 Cologne, Germany"/>
    <s v="University of Cologne; University of Cologne"/>
    <s v="Seidel, S (corresponding author), Univ Cologne, Inst Geog Educ, Gronewaldstr 2, D-50931 Cologne, Germany."/>
    <s v="sebastian.seidel@uni-koeln.de; patrick.bettinger@uni-koeln.de; alexandra.budke@uni-koeln.de"/>
    <s v=""/>
    <s v="Budke, Alexandra/0000-0003-1063-8991; Wolff-Seidel, Sebastian/0000-0003-3508-2854"/>
    <s v=""/>
    <s v=""/>
    <s v=""/>
    <s v=""/>
    <n v="46"/>
    <n v="3"/>
    <n v="3"/>
    <n v="2"/>
    <n v="11"/>
    <s v="MDPI"/>
    <s v="BASEL"/>
    <s v="ST ALBAN-ANLAGE 66, CH-4052 BASEL, SWITZERLAND"/>
    <s v=""/>
    <s v="2227-7102"/>
    <s v=""/>
    <s v="EDUC SCI"/>
    <s v="Educ. Sci."/>
    <s v="JAN"/>
    <x v="3"/>
    <n v="10"/>
    <n v="1"/>
    <s v=""/>
    <s v=""/>
    <s v=""/>
    <s v=""/>
    <s v=""/>
    <s v=""/>
    <n v="10"/>
    <s v="10.3390/educsci10010010"/>
    <s v="http://dx.doi.org/10.3390/educsci10010010"/>
    <s v=""/>
    <s v=""/>
    <n v="19"/>
    <x v="39"/>
    <x v="2"/>
    <s v="Education &amp; Educational Research"/>
    <s v="KL6IE"/>
    <s v=""/>
    <s v="gold"/>
    <s v=""/>
    <s v=""/>
    <s v="2023-11-15"/>
    <s v="WOS:000513524100001"/>
    <s v="View Full Record in Web of Science"/>
    <m/>
  </r>
  <r>
    <x v="429"/>
    <s v="J"/>
    <x v="425"/>
    <s v=""/>
    <s v=""/>
    <s v=""/>
    <s v="Suarez-Carballo, Fernando; Martin-Sanroman, Juan-Ramon; Galindo-Rubio, Fernando"/>
    <s v=""/>
    <s v=""/>
    <x v="427"/>
    <x v="313"/>
    <s v=""/>
    <s v=""/>
    <s v="Spanish"/>
    <s v="Article"/>
    <s v=""/>
    <s v=""/>
    <s v=""/>
    <s v=""/>
    <s v=""/>
    <x v="398"/>
    <x v="1"/>
    <s v="Many publications refer to the responsive design of logos as one of the most important trends in the digital strategy of the current corporate visual identity. According to this paradigm, the identifiers modify their graphic characteristics to adapt to the peculiar resolutions and sizes of the different screens and devices, in order to optimize the legibility and reception of the sign. However, the question is whether this phenomenon is truly relevant: to decipher it, using content analysis as the methodological technique, this research reviews the graphic marks of the 100 brands selected in the last published report by Interbrand (2019) through four variables: the possible changes in the type of logo and their visual attributes on the desktop and smartphone screens of their webpages, the level of simplicity or complexity of these signs and the graphic strategy of the favicon. The study concludes that, in web interfaces, brands prefer a single logo with high simplicity instead of these responsive tools which, however, far from the original meaning (directly linked to the equivalent webdesign trend), are used in the configuration of other elements (such as the favicon itself)."/>
    <s v="[Suarez-Carballo, Fernando; Martin-Sanroman, Juan-Ramon; Galindo-Rubio, Fernando] Univ Pontificia Salamanca, Salamanca, Spain"/>
    <s v="Pontifical University of Salamanca"/>
    <s v="Suárez-Carballo, F (corresponding author), Univ Pontificia Salamanca, Salamanca, Spain."/>
    <s v="fsuarezca@upsa.es; jrmartinsa@upsa.es; fgalindoru@upsa.es"/>
    <s v="Martin-Sanroman, Juan-Ramon/L-2842-2014; Carballo, Fernando Suárez/AAP-4670-2020"/>
    <s v="Martin-Sanroman, Juan-Ramon/0000-0003-1998-4591;"/>
    <s v=""/>
    <s v=""/>
    <s v=""/>
    <s v=""/>
    <n v="57"/>
    <n v="2"/>
    <n v="2"/>
    <n v="1"/>
    <n v="14"/>
    <s v="EDICIONES UNIV SALAMANCA"/>
    <s v="SALAMANCA"/>
    <s v="APARTADO DE CORREOS 325, SALAMANCA, 00000, SPAIN"/>
    <s v="2172-9077"/>
    <s v=""/>
    <s v=""/>
    <s v="FONSECA"/>
    <s v="Fonseca"/>
    <s v=""/>
    <x v="3"/>
    <s v=""/>
    <n v="20"/>
    <s v=""/>
    <s v=""/>
    <s v=""/>
    <s v=""/>
    <n v="71"/>
    <n v="90"/>
    <s v=""/>
    <s v="10.14201/fjc2020207190"/>
    <s v="http://dx.doi.org/10.14201/fjc2020207190"/>
    <s v=""/>
    <s v=""/>
    <n v="20"/>
    <x v="56"/>
    <x v="2"/>
    <s v="Communication"/>
    <s v="LU8AO"/>
    <s v=""/>
    <s v=""/>
    <s v=""/>
    <s v=""/>
    <s v="2023-11-15"/>
    <s v="WOS:000537971600005"/>
    <s v="View Full Record in Web of Science"/>
    <m/>
  </r>
  <r>
    <x v="430"/>
    <s v="J"/>
    <x v="426"/>
    <s v=""/>
    <s v=""/>
    <s v=""/>
    <s v="Jin, Jun; Ma, Lei; Ye, Xinwei"/>
    <s v=""/>
    <s v=""/>
    <x v="428"/>
    <x v="314"/>
    <s v=""/>
    <s v=""/>
    <s v="English"/>
    <s v="Article"/>
    <s v=""/>
    <s v=""/>
    <s v=""/>
    <s v=""/>
    <s v=""/>
    <x v="399"/>
    <x v="311"/>
    <s v="The diffusion and embeddedness of cyber technology and big data technology is recognized as an opportunity and infrastructure for firms to innovate and transform. But which digital strategies existed firms in manufacturing and other traditional industries can make is still a question under research. The paper pursues to answer this question from the perspectives of data ownership and key value propositions. From the dimension of data ownership and key value propositions, this research proposes a research framework to guide the analyses of digital transformation strategy. The four firms are used to identify five types of digital strategies, namely new product strategy, new value-added service strategy, customized strategy, product embedded in the platform, and platform service / product strategy based on the framework of digital transformation strategy decision. This research suggests that a firm can select the suitable strategy considering his key value proposition and ownership of data which the firm could use. The research contributes to the research and practices on the digitalization strategy and the digital transformation of firms, especially those in emerging economies."/>
    <s v="[Jin, Jun] Zhejiang Univ, Sch Management, Hangzhou, Zhejiang, Peoples R China; [Ma, Lei] Nanjing Univ Sci &amp; Technol, Sch Publ Affairs, Xiaolingwei St 200, Nanjing 210094, Jiangsu, Peoples R China; [Ye, Xinwei] Nanjing Univ Sci &amp; Technol, Sch Econ &amp; Management, Nanjing, Jiangsu, Peoples R China"/>
    <s v="Zhejiang University; Nanjing University of Science &amp; Technology; Nanjing University of Science &amp; Technology"/>
    <s v="Ma, L (corresponding author), Nanjing Univ Sci &amp; Technol, Sch Publ Affairs, Xiaolingwei St 200, Nanjing 210094, Jiangsu, Peoples R China."/>
    <s v="maryma208@sina.com"/>
    <s v="Jin, Jun/AAQ-3236-2021"/>
    <s v="Jin, Jun/0000-0003-2350-7069"/>
    <s v="National Natural Science Foundation of China [71672172, U1509221]"/>
    <s v="National Natural Science Foundation of China(National Natural Science Foundation of China (NSFC))"/>
    <s v="This work was supported by National Natural Science Foundation of China [grant number 71672172, U1509221]."/>
    <s v=""/>
    <n v="46"/>
    <n v="16"/>
    <n v="17"/>
    <n v="17"/>
    <n v="214"/>
    <s v="ROUTLEDGE JOURNALS, TAYLOR &amp; FRANCIS LTD"/>
    <s v="ABINGDON"/>
    <s v="2-4 PARK SQUARE, MILTON PARK, ABINGDON OX14 4RN, OXON, ENGLAND"/>
    <s v="1976-1597"/>
    <s v="2158-6721"/>
    <s v=""/>
    <s v="ASIAN J TECHNOL INNO"/>
    <s v="Asian J. Technol. Innov."/>
    <s v="JAN 2"/>
    <x v="3"/>
    <n v="28"/>
    <n v="1"/>
    <s v=""/>
    <s v=""/>
    <s v=""/>
    <s v=""/>
    <n v="77"/>
    <n v="93"/>
    <s v=""/>
    <s v="10.1080/19761597.2019.1700384"/>
    <s v="http://dx.doi.org/10.1080/19761597.2019.1700384"/>
    <s v=""/>
    <s v="DEC 2019"/>
    <n v="17"/>
    <x v="98"/>
    <x v="1"/>
    <s v="Business &amp; Economics"/>
    <s v="KW3HT"/>
    <s v=""/>
    <s v="Bronze"/>
    <s v=""/>
    <s v=""/>
    <s v="2023-11-15"/>
    <s v="WOS:000501095100001"/>
    <s v="View Full Record in Web of Science"/>
    <m/>
  </r>
  <r>
    <x v="431"/>
    <s v="J"/>
    <x v="427"/>
    <s v=""/>
    <s v=""/>
    <s v=""/>
    <s v="Adner, Ron; Puranam, Phanish; Zhu, Feng"/>
    <s v=""/>
    <s v=""/>
    <x v="429"/>
    <x v="315"/>
    <s v=""/>
    <s v=""/>
    <s v="English"/>
    <s v="Article"/>
    <s v=""/>
    <s v=""/>
    <s v=""/>
    <s v=""/>
    <s v=""/>
    <x v="400"/>
    <x v="312"/>
    <s v="The recent attention paid to the challenge of digital transformation signals an inflection point in the impact of digital technology on the competitive landscape. We suggest that this transition can be understood as a shift from the quantitative advances that have historically characterized digital progress (e.g., Moore's law, Metcalf's law) to qualitative changes embodied in three core processes underlying modem digital transformation: representation, connectivity, and aggregation. We consider the implications for firm strategy and raise questions for future strategy research."/>
    <s v="[Adner, Ron] Dartmouth Coll, Tuck Sch Business, Hanover, NH 03755 USA; [Puranam, Phanish] INSEAD, Strategy &amp; Org Design, Singapore 138676, Singapore; [Zhu, Feng] Harvard Sch Business, Business Adm, Boston, MA 02163 USA"/>
    <s v="Dartmouth College; INSEAD Business School; Harvard University"/>
    <s v="Adner, R (corresponding author), Dartmouth Coll, Tuck Sch Business, Hanover, NH 03755 USA."/>
    <s v="ron.adner@dartmouth.edu; phanish.puranam@insead.edu; fzhu@hbs.edu"/>
    <s v=""/>
    <s v="Puranam, Phanish/0000-0002-0032-8538; Adner, Ron/0000-0003-1238-2248; Zhu, Feng/0000-0002-3034-6876"/>
    <s v=""/>
    <s v=""/>
    <s v=""/>
    <s v=""/>
    <n v="63"/>
    <n v="90"/>
    <n v="93"/>
    <n v="27"/>
    <n v="138"/>
    <s v="INFORMS"/>
    <s v="CATONSVILLE"/>
    <s v="5521 RESEARCH PARK DR, SUITE 200, CATONSVILLE, MD 21228 USA"/>
    <s v="2333-2050"/>
    <s v="2333-2077"/>
    <s v=""/>
    <s v="STRATEG SCI"/>
    <s v="Strateg. Sci."/>
    <s v="DEC"/>
    <x v="4"/>
    <n v="4"/>
    <n v="4"/>
    <s v=""/>
    <s v=""/>
    <s v="SI"/>
    <s v=""/>
    <n v="253"/>
    <n v="261"/>
    <s v=""/>
    <s v="10.1287/stsc.2019.0099"/>
    <s v="http://dx.doi.org/10.1287/stsc.2019.0099"/>
    <s v=""/>
    <s v=""/>
    <n v="9"/>
    <x v="8"/>
    <x v="2"/>
    <s v="Business &amp; Economics"/>
    <s v="JX0IB"/>
    <s v=""/>
    <s v="Bronze"/>
    <s v=""/>
    <s v=""/>
    <s v="2023-11-15"/>
    <s v="WOS:000503426500002"/>
    <s v="View Full Record in Web of Science"/>
    <m/>
  </r>
  <r>
    <x v="432"/>
    <s v="J"/>
    <x v="428"/>
    <s v=""/>
    <s v=""/>
    <s v=""/>
    <s v="Jenkins, Kathleen; Sun, Ken Chih-Yan"/>
    <s v=""/>
    <s v=""/>
    <x v="430"/>
    <x v="316"/>
    <s v=""/>
    <s v=""/>
    <s v="English"/>
    <s v="Article"/>
    <s v=""/>
    <s v=""/>
    <s v=""/>
    <s v=""/>
    <s v=""/>
    <x v="401"/>
    <x v="313"/>
    <s v="Researchers have explored the role that information and communication technologies (ICTs) play in mediating both religious practice and intergenerational family relationships. Few, however, have paid close attention to the interplay between ICTs and spiritual dimensions of intimacies. Drawing from an ethnographic case of parents and their young adult children from various countries who walk the Camino de Santiago together in northwest Spain, we examine family members' reflexive use of ICTs in ways that enhance intimacy. Our analysis of in-depth interviews, field observations, and online travel journals illustrates how digital technologies can be disciplined and activated to reinforce intimacy constructed through the sharing of spiritual practice. In particular, we highlight family strategies to limit ICT use on pilgrimage to mark tech-free sacred time, as well as their embracing of digital technologies as ritual tools in the construction of visual narratives of shared spiritual practice. Our analysis adds a micro relational case to the larger literature on intimacies and contemporary media forces, furthering the conceptualization of media and digital technologies as an integral force in the pursuit of transcendent interpersonal experiences."/>
    <s v="[Jenkins, Kathleen] William &amp; Mary, Dept Sociol, Morton Hall,Room 230, Williamsburg, VA 23185 USA; [Sun, Ken Chih-Yan] Villanova Univ, St Augustine Ctr, Dept Sociol &amp; Criminol, Room 204,800 Lancaster Ave, Villanova, PA 19085 USA"/>
    <s v="Villanova University"/>
    <s v="Jenkins, K (corresponding author), William &amp; Mary, Dept Sociol, Morton Hall,Room 230, Williamsburg, VA 23185 USA."/>
    <s v="kejenk@wm.edu; kcsun1015@gmail.com"/>
    <s v=""/>
    <s v=""/>
    <s v="Plumeri Award from the College of William and Mary"/>
    <s v="Plumeri Award from the College of William and Mary"/>
    <s v="We presented this paper in the 2017 annual meeting of American Sociological Association, and appreciate the helpful feedback of Dr. Erin A. Cech and other participants. This research is generously funded by a Plumeri Award from the College of William and Mary. We gratefully acknowledge the insightful comments of Wendy Cadge, Thomas J. Linneman, Yu-Hao Lee, David Smilde, and three anonymous reviewers at Qualitative Sociology."/>
    <s v=""/>
    <n v="58"/>
    <n v="1"/>
    <n v="1"/>
    <n v="0"/>
    <n v="17"/>
    <s v="SPRINGER"/>
    <s v="NEW YORK"/>
    <s v="ONE NEW YORK PLAZA, SUITE 4600, NEW YORK, NY, UNITED STATES"/>
    <s v="0162-0436"/>
    <s v="1573-7837"/>
    <s v=""/>
    <s v="QUAL SOCIOL"/>
    <s v="Qual. Sociol."/>
    <s v="DEC"/>
    <x v="4"/>
    <n v="42"/>
    <n v="4"/>
    <s v=""/>
    <s v=""/>
    <s v=""/>
    <s v=""/>
    <n v="567"/>
    <n v="585"/>
    <s v=""/>
    <s v="10.1007/s11133-019-09432-0"/>
    <s v="http://dx.doi.org/10.1007/s11133-019-09432-0"/>
    <s v=""/>
    <s v=""/>
    <n v="19"/>
    <x v="97"/>
    <x v="1"/>
    <s v="Sociology"/>
    <s v="JN0GK"/>
    <s v=""/>
    <s v=""/>
    <s v=""/>
    <s v=""/>
    <s v="2023-11-15"/>
    <s v="WOS:000496582700003"/>
    <s v="View Full Record in Web of Science"/>
    <m/>
  </r>
  <r>
    <x v="433"/>
    <s v="J"/>
    <x v="429"/>
    <s v=""/>
    <s v=""/>
    <s v=""/>
    <s v="Ribeiro, Sergio Silva"/>
    <s v=""/>
    <s v=""/>
    <x v="431"/>
    <x v="317"/>
    <s v=""/>
    <s v=""/>
    <s v="English"/>
    <s v="Article"/>
    <s v=""/>
    <s v=""/>
    <s v=""/>
    <s v=""/>
    <s v=""/>
    <x v="402"/>
    <x v="1"/>
    <s v="In the contemporary era of information, it is a critical challenge for city managers to meet the demands of their citizens at the same pace as the development of its information technology resources. Guarapuava is an example of a centennial town that has been predominantly agricultural and now seeks to adjust to the population density and the new information age. Much like Guarapuava, many cities in Brazil and around the world are in a similar condition. The new reality of many towns is challenging for municipal managers. Strategic digital city is the application of information technology resources in the management of the city. The objective of this paper is to analyse the decision-making processes, strategies, public services, information technologies, and relationships with strategic digital city issues in the city of Guarapuava, Parana, Brazil. Using a survey methodology based on the research variables, we showed that the municipality has informal characteristics of the concept of a strategic digital city. Based on the results, the evidence domain types in the city are predominant for internet and colleagues inside the organization on a daily base. Google scholar is the most consulted research source of evidence. Respondents well know the term methodology. Their attitudes towards scientific research show that it is essential for managers and that managers are aware of how to use that technology. Related to evidence-based management the respondents, in general, agreed that using by evidence-based practices, managers can improve the quality of their work, and that this should be part of their formal education. Citizens should be utilised more as a source of evidence as well, as they are the users of the institutions. The strategies are more focused on the government and its administration, however, these strategies could include areas like science and technology. The city offers electronic public services to improve citizens lives, and to be more transparent in sharing information through these alternative channels. The analysis revealed the effort of the town to include citizens in the digital era, and its attempt to connect with them. The research serves as a reference for other municipalities with an interest in analysing projects related to the decision-making process, strategies, information, public services, and use of its IT resources. The study is also a contribution to academic knowledge in relation to the study of public policies related to urban management. Finally, the study contributes to the field of research related to the study of strategic digital city, serving as a basis for future studies in this discipline."/>
    <s v="[Ribeiro, Sergio Silva] Briercrest Coll &amp; Seminary, Dept Business Adminsitrat, Caronport, SK S0H 0S0, Canada"/>
    <s v=""/>
    <s v="Ribeiro, SS (corresponding author), Briercrest Coll &amp; Seminary, Dept Business Adminsitrat, Caronport, SK S0H 0S0, Canada."/>
    <s v="sribeiro@briercrest.ca"/>
    <s v=""/>
    <s v=""/>
    <s v=""/>
    <s v=""/>
    <s v=""/>
    <s v=""/>
    <n v="75"/>
    <n v="2"/>
    <n v="2"/>
    <n v="0"/>
    <n v="7"/>
    <s v="MDPI"/>
    <s v="BASEL"/>
    <s v="ST ALBAN-ANLAGE 66, CH-4052 BASEL, SWITZERLAND"/>
    <s v=""/>
    <s v="2413-8851"/>
    <s v=""/>
    <s v="URBAN SCI"/>
    <s v="Urban Sci."/>
    <s v="DEC"/>
    <x v="4"/>
    <n v="3"/>
    <n v="4"/>
    <s v=""/>
    <s v=""/>
    <s v=""/>
    <s v=""/>
    <s v=""/>
    <s v=""/>
    <n v="102"/>
    <s v="10.3390/urbansci3040102"/>
    <s v="http://dx.doi.org/10.3390/urbansci3040102"/>
    <s v=""/>
    <s v=""/>
    <n v="16"/>
    <x v="138"/>
    <x v="2"/>
    <s v="Environmental Sciences &amp; Ecology; Geography; Public Administration; Urban Studies"/>
    <s v="VJ7PK"/>
    <s v=""/>
    <s v="gold"/>
    <s v=""/>
    <s v=""/>
    <s v="2023-11-15"/>
    <s v="WOS:000621639500002"/>
    <s v="View Full Record in Web of Science"/>
    <m/>
  </r>
  <r>
    <x v="434"/>
    <s v="J"/>
    <x v="430"/>
    <s v=""/>
    <s v=""/>
    <s v=""/>
    <s v="Schallmo, Daniel; Williams, Christopher A.; Lohse, Jochen"/>
    <s v=""/>
    <s v=""/>
    <x v="432"/>
    <x v="75"/>
    <s v=""/>
    <s v=""/>
    <s v="English"/>
    <s v="Article"/>
    <s v=""/>
    <s v=""/>
    <s v=""/>
    <s v=""/>
    <s v=""/>
    <x v="403"/>
    <x v="314"/>
    <s v="The purpose of this paper is to develop an integrated approach for a digital strategy including generic options. Our research is based on our previous contribution in which we have analysed and compared existing approaches on digital strategy. We expanded this research by conducting 13 semi-structured interviews to gain insights from experts on digital strategy (researchers and consultants). We also analysed 10 case studies collected using semi-structured interviews with company representatives. Our findings show that digital strategy, although still in its infancy, is currently a significant topic across several industries. The paper offers an integrated approach for the development of a digital strategy which consists of six phases: external strategic analysis, strategic forecasting, internal strategic analysis, strategic principle, strategic options and strategy formulation. Within the integrated approach we also deliver four generic digital strategies: product provider, service provider, product platform operator and service platform operator."/>
    <s v="[Schallmo, Daniel] Neu Ulm Univ Appl Sci, Wileystr 1, D-89231 Neu Ulm, Germany; [Williams, Christopher A.] Johannes Kepler Univ Linz, Altenbergerstr 69, A-4040 Linz, Austria; [Lohse, Jochen] Hoppe Marine GmbH, Kieler Str 318, D-22525 Hamburg, Germany"/>
    <s v="Johannes Kepler University Linz"/>
    <s v="Schallmo, D (corresponding author), Neu Ulm Univ Appl Sci, Wileystr 1, D-89231 Neu Ulm, Germany."/>
    <s v="daniel.schallmo@hs-neu-ulm.de; chrs.a.williams@gmail.com; jochen.lohse.mba16a@nordakademie.org"/>
    <s v="Williams, Christopher/GQQ-9115-2022"/>
    <s v="Schallmo, Daniel/0000-0002-4221-001X"/>
    <s v=""/>
    <s v=""/>
    <s v=""/>
    <s v=""/>
    <n v="71"/>
    <n v="21"/>
    <n v="21"/>
    <n v="10"/>
    <n v="100"/>
    <s v="WORLD SCIENTIFIC PUBL CO PTE LTD"/>
    <s v="SINGAPORE"/>
    <s v="5 TOH TUCK LINK, SINGAPORE 596224, SINGAPORE"/>
    <s v="1363-9196"/>
    <s v="1757-5877"/>
    <s v=""/>
    <s v="INT J INNOV MANAG"/>
    <s v="Int. J. Innov. Manag."/>
    <s v="DEC"/>
    <x v="4"/>
    <n v="23"/>
    <n v="8"/>
    <s v=""/>
    <s v=""/>
    <s v="SI"/>
    <s v=""/>
    <s v=""/>
    <s v=""/>
    <n v="1940005"/>
    <s v="10.1142/S136391961940005X"/>
    <s v="http://dx.doi.org/10.1142/S136391961940005X"/>
    <s v=""/>
    <s v=""/>
    <n v="24"/>
    <x v="8"/>
    <x v="2"/>
    <s v="Business &amp; Economics"/>
    <s v="KB2KV"/>
    <s v=""/>
    <s v=""/>
    <s v=""/>
    <s v=""/>
    <s v="2023-11-15"/>
    <s v="WOS:000506329200006"/>
    <s v="View Full Record in Web of Science"/>
    <m/>
  </r>
  <r>
    <x v="435"/>
    <s v="J"/>
    <x v="431"/>
    <s v=""/>
    <s v=""/>
    <s v=""/>
    <s v="Von Bulow, Marisa; Dias, Tayrine"/>
    <s v=""/>
    <s v=""/>
    <x v="433"/>
    <x v="318"/>
    <s v=""/>
    <s v=""/>
    <s v="Portuguese"/>
    <s v="Article"/>
    <s v=""/>
    <s v=""/>
    <s v=""/>
    <s v=""/>
    <s v=""/>
    <x v="404"/>
    <x v="1"/>
    <s v="The impeachment of Brazilian President Dilma Rousseff was the result of a long and contentious process. Over the course of almost two years, Rousseff's allies and opposition took to the streets and to social media to try to influence the process. Actors' digital activism generated political networks based on hashtags in favor and against the President. This article analyses these networks, based on data from retweets that mentioned hashtags in favor and against the impeachment, on two days: March 13 and 18, 2016. The results show the hierarchical character of this process of message diffusion, which is concentrated in a small number of accounts. These networks, however, are part of a much more complex web of online and offline ties, which connect individuals as well as transnational groups, and which sought to influence the meanings of Rousseff's impeachment through different digital strategies."/>
    <s v="[Von Bulow, Marisa] Univ Brasilia, Inst Ciencia Polit, Predio IPOL IREL, Campus Darcy Ribeiro, BR-70904970 Brasilia, DF, Brazil; [Dias, Tayrine] Univ Oberta Catalunya, Internet Interdisciplinary Inst IN3, Av Carl Friedrich Gauss 5, Barcelona 08860, Spain"/>
    <s v="Universidade de Brasilia; UOC Universitat Oberta de Catalunya"/>
    <s v="Von Bülow, M (corresponding author), Univ Brasilia, Inst Ciencia Polit, Predio IPOL IREL, Campus Darcy Ribeiro, BR-70904970 Brasilia, DF, Brazil."/>
    <s v="marisavonbulow@gmail.com; tdias@uoc.edu"/>
    <s v=""/>
    <s v=""/>
    <s v=""/>
    <s v=""/>
    <s v=""/>
    <s v=""/>
    <n v="35"/>
    <n v="0"/>
    <n v="0"/>
    <n v="0"/>
    <n v="3"/>
    <s v="CENTRO ESTUDOS SOCIAIS, FAC ECONOMIA"/>
    <s v="COIMBRA"/>
    <s v="APTDO 3087, COIMBRA, 3001-401, PORTUGAL"/>
    <s v="0254-1106"/>
    <s v="2182-7435"/>
    <s v=""/>
    <s v="REV CRIT CIENC SOC"/>
    <s v="Rev. Crit. Cienc. Soc."/>
    <s v="DEC"/>
    <x v="4"/>
    <s v=""/>
    <n v="120"/>
    <s v=""/>
    <s v=""/>
    <s v=""/>
    <s v=""/>
    <n v="5"/>
    <n v="31"/>
    <s v=""/>
    <s v="10.4000/rccs.9438"/>
    <s v="http://dx.doi.org/10.4000/rccs.9438"/>
    <s v=""/>
    <s v=""/>
    <n v="27"/>
    <x v="31"/>
    <x v="2"/>
    <s v="Social Sciences - Other Topics"/>
    <s v="KI5GE"/>
    <s v=""/>
    <s v="Green Published, gold"/>
    <s v=""/>
    <s v=""/>
    <s v="2023-11-15"/>
    <s v="WOS:000511377300001"/>
    <s v="View Full Record in Web of Science"/>
    <m/>
  </r>
  <r>
    <x v="436"/>
    <s v="J"/>
    <x v="432"/>
    <s v=""/>
    <s v=""/>
    <s v=""/>
    <s v="Xiao, Junhong"/>
    <s v=""/>
    <s v=""/>
    <x v="434"/>
    <x v="319"/>
    <s v=""/>
    <s v=""/>
    <s v="English"/>
    <s v="Article"/>
    <s v=""/>
    <s v=""/>
    <s v=""/>
    <s v=""/>
    <s v=""/>
    <x v="405"/>
    <x v="315"/>
    <s v="This study examined how the role of digitalization is framed in the strategic development plans of 75 top universities in China. Findings show that digitalization as perceived by these universities features instrumentality (e-campus construction and application) and modernization (sustaining and efficiency innovations in teaching and learning), a situation also seen in other countries. On the other hand, there seems to be not enough incentive for them to use digital technologies to serve a wider community and to build technology-enhanced research capacity. There is also scanty evidence of open, flexible, distributed, and disaggregated learning encouraged in these plans. Finally, unique to Chinese higher education institutions are the goals of building a positive online ethos and developing political and ideological education via digital means. Influence of national policies and strategies on institutional digital strategies is also discussed."/>
    <s v="[Xiao, Junhong] Shantou Radio &amp; Televis Univ, Dept Foreign Languages, 8 Leshan Rd, Shantou 515041, Guangdong, Peoples R China"/>
    <s v=""/>
    <s v="Xiao, JH (corresponding author), Shantou Radio &amp; Televis Univ, Dept Foreign Languages, 8 Leshan Rd, Shantou 515041, Guangdong, Peoples R China."/>
    <s v="frankxjh@gmail.com"/>
    <s v="Xiao, Junhong/AAF-5715-2020"/>
    <s v="Xiao, Junhong/0000-0002-5316-2957"/>
    <s v=""/>
    <s v=""/>
    <s v=""/>
    <s v=""/>
    <n v="77"/>
    <n v="26"/>
    <n v="27"/>
    <n v="5"/>
    <n v="95"/>
    <s v="ROUTLEDGE JOURNALS, TAYLOR &amp; FRANCIS LTD"/>
    <s v="ABINGDON"/>
    <s v="2-4 PARK SQUARE, MILTON PARK, ABINGDON OX14 4RN, OXON, ENGLAND"/>
    <s v="0158-7919"/>
    <s v="1475-0198"/>
    <s v=""/>
    <s v="DISTANCE EDUC"/>
    <s v="Distance Educ."/>
    <s v=""/>
    <x v="4"/>
    <n v="40"/>
    <n v="4"/>
    <s v=""/>
    <s v=""/>
    <s v=""/>
    <s v=""/>
    <n v="515"/>
    <n v="533"/>
    <s v=""/>
    <s v="10.1080/01587919.2019.1680272"/>
    <s v="http://dx.doi.org/10.1080/01587919.2019.1680272"/>
    <s v=""/>
    <s v="NOV 2019"/>
    <n v="19"/>
    <x v="39"/>
    <x v="1"/>
    <s v="Education &amp; Educational Research"/>
    <s v="MA9OZ"/>
    <s v=""/>
    <s v=""/>
    <s v=""/>
    <s v=""/>
    <s v="2023-11-15"/>
    <s v="WOS:000496860100001"/>
    <s v="View Full Record in Web of Science"/>
    <m/>
  </r>
  <r>
    <x v="437"/>
    <s v="J"/>
    <x v="433"/>
    <s v=""/>
    <s v=""/>
    <s v=""/>
    <s v="Stewart, Kristin; Kammer-Kerwick, Matt; Auchter, Allison; Koh, Hyeseung Elizabeth; Dunn, Mary Elizabeth; Cunningham, Isabella"/>
    <s v=""/>
    <s v=""/>
    <x v="435"/>
    <x v="320"/>
    <s v=""/>
    <s v=""/>
    <s v="English"/>
    <s v="Article"/>
    <s v=""/>
    <s v=""/>
    <s v=""/>
    <s v=""/>
    <s v=""/>
    <x v="406"/>
    <x v="316"/>
    <s v="Purpose Marketers are increasing their use of digital strategies and prioritizing digital tactics, although the effectiveness digital video advertising (DVA) has not been examined empirically. The purpose of this research is to suggest that it is useful for advertisers to consider theories of the past to understand the link between product, advertising format and message processing. Design/methodology/approach To examine DVA effectiveness, this study utilized a 2-product type (utilitarian vs hedonic) x 2-product involvement (low vs high) x 2-platform (laptop vs mobile) mixed-design. Participants were recruited from a research company, who invited members of their panel to participate in an online experiment. Findings DVA for hedonic products resulted in stronger attitudes toward the ad and brand, and intentions to purchase. DVA for low involvement products resulted in stronger purchase intentions and likelihood to opt-in for more information. Moreover, there was an interaction between product category and involvement across all five measures of DVA effectiveness. Originality/value As technology continues to develop and marketers continue to pursue growing numbers of consumers through digital means and on mobile devices, understanding how device type influences advertising effectiveness is important for media strategy, message placement and marketing metrics. This research takes one step in that direction."/>
    <s v="[Stewart, Kristin] Calif State Univ, Dept Mkt, San Marcos, CA 92096 USA; [Kammer-Kerwick, Matt] Univ Texas Austin, IC2 Inst, Bur Business Res, Austin, TX 78712 USA; [Auchter, Allison] Univ Calif San Diego, Sch Med, La Jolla, CA 92093 USA; [Koh, Hyeseung Elizabeth; Dunn, Mary Elizabeth; Cunningham, Isabella] Univ Texas Austin, Stan Richards Sch Advertising &amp; PR, Austin, TX 78712 USA"/>
    <s v="California State University System; California State University San Marcos; University of Texas System; University of Texas Austin; University of California System; University of California San Diego; University of Texas System; University of Texas Austin"/>
    <s v="Stewart, K (corresponding author), Calif State Univ, Dept Mkt, San Marcos, CA 92096 USA."/>
    <s v="kstewart@csusm.edu; mattkk@ic2.utexas.edu; auchter@utexas.edu; kohhye@utexas.edu; marydunn.utexas@gmail.com; isabella.cunningham@austin.utexas.edu"/>
    <s v="Koh, Hye Seung/IUN-3409-2023; Stewart, Kristin/IQW-2548-2023"/>
    <s v="Koh, Hye Seung/0000-0003-4160-6984; Kammer-Kerwick, Matt/0000-0001-8848-3438"/>
    <s v="IC2 Institute at The University of Texas at Austin"/>
    <s v="IC2 Institute at The University of Texas at Austin"/>
    <s v="The authors wish to acknowledge the IC2 Institute at The University of Texas at Austin for providing the funding for this research. The authors would also like to thank the anonymous reviewers of this manuscript. Their feedback has greatly improved the organization and readability of this paper."/>
    <s v=""/>
    <n v="83"/>
    <n v="19"/>
    <n v="19"/>
    <n v="11"/>
    <n v="125"/>
    <s v="EMERALD GROUP PUBLISHING LTD"/>
    <s v="BINGLEY"/>
    <s v="HOWARD HOUSE, WAGON LANE, BINGLEY BD16 1WA, W YORKSHIRE, ENGLAND"/>
    <s v="0309-0566"/>
    <s v="1758-7123"/>
    <s v=""/>
    <s v="EUR J MARKETING"/>
    <s v="Eur. J. Market."/>
    <s v="NOV 11"/>
    <x v="4"/>
    <n v="53"/>
    <n v="11"/>
    <s v=""/>
    <s v=""/>
    <s v=""/>
    <s v=""/>
    <n v="2451"/>
    <n v="2479"/>
    <s v=""/>
    <s v="10.1108/EJM-11-2016-0619"/>
    <s v="http://dx.doi.org/10.1108/EJM-11-2016-0619"/>
    <s v=""/>
    <s v=""/>
    <n v="29"/>
    <x v="33"/>
    <x v="1"/>
    <s v="Business &amp; Economics"/>
    <s v="IZ4ED"/>
    <s v=""/>
    <s v=""/>
    <s v=""/>
    <s v=""/>
    <s v="2023-11-15"/>
    <s v="WOS:000487036200009"/>
    <s v="View Full Record in Web of Science"/>
    <m/>
  </r>
  <r>
    <x v="438"/>
    <s v="J"/>
    <x v="434"/>
    <s v=""/>
    <s v=""/>
    <s v=""/>
    <s v="Foster, Christopher; Azmeh, Shamel"/>
    <s v=""/>
    <s v=""/>
    <x v="436"/>
    <x v="321"/>
    <s v=""/>
    <s v=""/>
    <s v="English"/>
    <s v="Article; Early Access"/>
    <s v=""/>
    <s v=""/>
    <s v=""/>
    <s v=""/>
    <s v=""/>
    <x v="8"/>
    <x v="317"/>
    <s v="The global economy is experiencing digital transformation with impacts felt in developing countries. Digital firms and capabilities, however, remain concentrated in advanced economies. These processes indicate an emerging source of global economic inequality and a widening of the technological gap. Recently, there has been a growth in interventionist digital policy in developing and emerging economies but research has so far made a limited analysis of how this might fulfil economic objectives and support technological catch-up. In this paper, we examine this growth of national digital policies and highlight how industrial policy objectives are important drivers of digital strategies. Examining a number of cases based on an extensive analysis of national digital policies, with a focus on China, we illustrate that these policies often aim at facilitating global integration and linkages. However, our analysis shows that, under certain conditions, more interventionist approaches can be vital in countering structural challenges. Challenges include the power of digital platforms, limitations of domestic digital firms, and limited ability to leverage digitalisation for broad-based national development."/>
    <s v="[Foster, Christopher; Azmeh, Shamel] Univ Manchester, Global Dev Inst, Manchester, Lancs, England"/>
    <s v="University of Manchester"/>
    <s v="Foster, C (corresponding author), Univ Manchester, Arthur Lewis Bldg,Oxford Rd, Manchester M13 9PL, Lancs, England."/>
    <s v="christopher.foster-2@manchester.ac.uk"/>
    <s v=""/>
    <s v="Foster, Christopher/0000-0001-7827-2485"/>
    <s v="Sheffield Institute of International Development (SIID); Information School, University of Sheffield"/>
    <s v="Sheffield Institute of International Development (SIID); Information School, University of Sheffield"/>
    <s v="The paper was supported by small grants from The Sheffield Institute of International Development (SIID) and the Information School, University of Sheffield. The authors would like to thank research assistant Yaming Fu for her work on compiling, collating and translating Chinese digital policy material used in this paper. Additional thanks to Jaime Echavarri-Valdez for insightful comments and inputs on early drafts of this paper."/>
    <s v=""/>
    <n v="90"/>
    <n v="20"/>
    <n v="21"/>
    <n v="14"/>
    <n v="129"/>
    <s v="ROUTLEDGE JOURNALS, TAYLOR &amp; FRANCIS LTD"/>
    <s v="ABINGDON"/>
    <s v="2-4 PARK SQUARE, MILTON PARK, ABINGDON OX14 4RN, OXON, ENGLAND"/>
    <s v="0022-0388"/>
    <s v="1743-9140"/>
    <s v=""/>
    <s v="J DEV STUD"/>
    <s v="J. Dev. Stud."/>
    <s v="2019 NOV 2"/>
    <x v="4"/>
    <s v=""/>
    <s v=""/>
    <s v=""/>
    <s v=""/>
    <s v=""/>
    <s v=""/>
    <s v=""/>
    <s v=""/>
    <s v=""/>
    <s v="10.1080/00220388.2019.1677886"/>
    <s v="http://dx.doi.org/10.1080/00220388.2019.1677886"/>
    <s v=""/>
    <s v="NOV 2019"/>
    <n v="16"/>
    <x v="139"/>
    <x v="1"/>
    <s v="Development Studies; Business &amp; Economics"/>
    <s v="JK5SL"/>
    <s v=""/>
    <s v="hybrid"/>
    <s v=""/>
    <s v=""/>
    <s v="2023-11-15"/>
    <s v="WOS:000494903000001"/>
    <s v="View Full Record in Web of Science"/>
    <m/>
  </r>
  <r>
    <x v="439"/>
    <s v="J"/>
    <x v="435"/>
    <s v=""/>
    <s v=""/>
    <s v=""/>
    <s v="Pakkanen, Jari; Lentini, Maria Costanza; Sarris, Apostolos; Tikkala, Esko; Manataki, Meropi"/>
    <s v=""/>
    <s v=""/>
    <x v="437"/>
    <x v="322"/>
    <s v=""/>
    <s v=""/>
    <s v="English"/>
    <s v="Article"/>
    <s v=""/>
    <s v=""/>
    <s v=""/>
    <s v=""/>
    <s v=""/>
    <x v="407"/>
    <x v="1"/>
    <s v="In recent years, an on-going project investigating the urban landscape of Naxos has surveyed and produced several new digital reconstructions of the settlement's simple non-peripteral temples, most with highly decorative roofs. Three Archaic sacred buildings of Sicilian Naxos are used to demonstrate different approaches to recording the remains and reconstructing their architectural features. This work reflects changes in digital strategies over the past ten years. Tempietto H is a small shrine located outside the city's boundaries and the site is currently inaccessible, so its reconstruction is based on excavation documentation and roof terracottas. The visible half of Tempietto C was documented using three-dimensional line-drawing with total stations and photogrammetry; the back-filled south-western part was surveyed with ground penetrating radar. Temple B is the largest sacred structure in Naxos. A geophysical survey gives new data on the eastern extent of the sanctuary. The area has been recorded with handheld and aerial photography to create a three-dimensional model of the sanctuary. A new orthogonal grid of the city was established circa 470 BCE and a rectangular base was placed in the south-east corner of every crossroad. These bases were the starting point for the plan, and their interpretation as altars converts the entire urban plan into a sacred landscape."/>
    <s v="[Pakkanen, Jari] Royal Holloway Univ London, Sch Humanities, Dept Class, Egham TW20 0EX, Surrey, England; [Lentini, Maria Costanza] Archaeol Pk Naxos, Naxos, Sicily, Italy; [Sarris, Apostolos; Manataki, Meropi] Hellas FORTH, Fdn Res &amp; Technol, GeoSat Res Lab, Rethimnon, Greece; [Tikkala, Esko] Univ Helsinki, Helsinki, Finland"/>
    <s v="University of London; Royal Holloway University London; University of Helsinki"/>
    <s v="Pakkanen, J (corresponding author), Royal Holloway Univ London, Sch Humanities, Dept Class, Egham TW20 0EX, Surrey, England."/>
    <s v="j.pakkanen@rhul.ac.uk"/>
    <s v=""/>
    <s v=""/>
    <s v="Archaeological Park of Naxos; Jenny and Antti Wihuri Foundation; Foundation of the Finnish Institute at Athens; Finnish Institute in Rome"/>
    <s v="Archaeological Park of Naxos; Jenny and Antti Wihuri Foundation; Foundation of the Finnish Institute at Athens; Finnish Institute in Rome"/>
    <s v="For this paper, Pakkanen has been the lead author, specifically responsible for the sections on the new topographical work, architectural interpretations and reconstructions. Lentini provided data on excavation history and architectural terracottas and Sarris led the geophysical investigation of the discussed areas. Tikkala assisted with the topographical research and Manataki with the geophysics. Many thanks are due to Gabriella Tigano and Vera Greco, current and previous directors of the Archaeological Park of Naxos, for supporting the continuation of our project. Funding for Urban Landscape of Naxos in Sicily and its fieldwork in 2012-17 has been from the Jenny and Antti Wihuri Foundation, the Foundation of the Finnish Institute at Athens, the Archaeological Park of Naxos and the Finnish Institute in Rome. For the project, the support of Caterina Valentino and her staff at Hotel Palladio have been an inspiration all through the years. We also wish to thank Alexander Herda for pointing out the early use horizontal lead channels in the Greek East and providing the manuscript of his text. The anonymous referees and the editors Giorgos Papantoniou and Katarzyna Michalak have given a range of very valuable comments on the manuscript."/>
    <s v=""/>
    <n v="39"/>
    <n v="2"/>
    <n v="2"/>
    <n v="1"/>
    <n v="3"/>
    <s v="DE GRUYTER POLAND SP Z O O"/>
    <s v="WARSAW"/>
    <s v="BOGUMILA ZUGA 32A STR, 01-811 WARSAW, MAZOVIA, POLAND"/>
    <s v="2300-6560"/>
    <s v=""/>
    <s v=""/>
    <s v="OPEN ARCHAEOL"/>
    <s v="Open Archaeol."/>
    <s v="NOV 1"/>
    <x v="4"/>
    <n v="5"/>
    <n v="1"/>
    <s v=""/>
    <s v=""/>
    <s v=""/>
    <s v=""/>
    <n v="416"/>
    <n v="433"/>
    <s v=""/>
    <s v="10.1515/opar-2019-0026"/>
    <s v="http://dx.doi.org/10.1515/opar-2019-0026"/>
    <s v=""/>
    <s v=""/>
    <n v="18"/>
    <x v="140"/>
    <x v="5"/>
    <s v="Archaeology"/>
    <s v="JZ6SZ"/>
    <s v=""/>
    <s v="gold"/>
    <s v=""/>
    <s v=""/>
    <s v="2023-11-15"/>
    <s v="WOS:000505237400001"/>
    <s v="View Full Record in Web of Science"/>
    <m/>
  </r>
  <r>
    <x v="440"/>
    <s v="J"/>
    <x v="436"/>
    <s v=""/>
    <s v=""/>
    <s v=""/>
    <s v="Ukko, Juhani; Nasiri, Mina; Saunila, Minna; Rantala, Tero"/>
    <s v=""/>
    <s v=""/>
    <x v="438"/>
    <x v="71"/>
    <s v=""/>
    <s v=""/>
    <s v="English"/>
    <s v="Article"/>
    <s v=""/>
    <s v=""/>
    <s v=""/>
    <s v=""/>
    <s v=""/>
    <x v="408"/>
    <x v="318"/>
    <s v="This paper empirically examines the role of a sustainability strategy in the relation between a digital business strategy and financial performance. By classifying two capabilities (managerial capability and operational capability) that are needed to realize a digital business strategy, this study suggests that a sustainability strategy serves as a promoter in the relation between managerial capability and financial performance but inhibits the relation between operational capability and financial performance. Using a structured survey questionnaire, the data was collected from 280 small and medium-sized enterprises (SMEs), which operate in both the service and manufacturing industries in Finland. Four developed hypotheses were tested using the regression analysis to find the relationship between digital business strategy, sustainability strategy and financial performance. The findings suggest that a sustainability strategy serves as a promoter in the relation between managerial capability and financial performance but inhibits the relation between operational capability and financial performance. (C) 2019 The Authors. Published by Elsevier Ltd."/>
    <s v="[Ukko, Juhani; Nasiri, Mina; Saunila, Minna; Rantala, Tero] LUT Univ, Sch Engn Sci, Dept Ind Engn &amp; Management, Saimaankatu 11, FI-15140 Lahti, Finland"/>
    <s v=""/>
    <s v="Ukko, J (corresponding author), LUT Univ, Sch Engn Sci, Dept Ind Engn &amp; Management, Saimaankatu 11, FI-15140 Lahti, Finland."/>
    <s v="juhani.ukko@lut.fi; mina.nasiri@lut.fi; minna.saunila@lut.fi; tero.rantala@lut.fi"/>
    <s v="Rantala, Tero/T-4440-2019"/>
    <s v="Rantala, Tero/0000-0001-6451-5546; Nasiri, Mina/0000-0003-2353-7487"/>
    <s v=""/>
    <s v=""/>
    <s v=""/>
    <s v=""/>
    <n v="73"/>
    <n v="68"/>
    <n v="69"/>
    <n v="28"/>
    <n v="195"/>
    <s v="ELSEVIER SCI LTD"/>
    <s v="OXFORD"/>
    <s v="THE BOULEVARD, LANGFORD LANE, KIDLINGTON, OXFORD OX5 1GB, OXON, ENGLAND"/>
    <s v="0959-6526"/>
    <s v="1879-1786"/>
    <s v=""/>
    <s v="J CLEAN PROD"/>
    <s v="J. Clean Prod."/>
    <s v="NOV 1"/>
    <x v="4"/>
    <n v="236"/>
    <s v=""/>
    <s v=""/>
    <s v=""/>
    <s v=""/>
    <s v=""/>
    <s v=""/>
    <s v=""/>
    <n v="117626"/>
    <s v="10.1016/j.jclepro.2019.117626"/>
    <s v="http://dx.doi.org/10.1016/j.jclepro.2019.117626"/>
    <s v=""/>
    <s v=""/>
    <n v="9"/>
    <x v="50"/>
    <x v="3"/>
    <s v="Science &amp; Technology - Other Topics; Engineering; Environmental Sciences &amp; Ecology"/>
    <s v="IU2MH"/>
    <s v=""/>
    <s v="hybrid"/>
    <s v=""/>
    <s v=""/>
    <s v="2023-11-15"/>
    <s v="WOS:000483414000084"/>
    <s v="View Full Record in Web of Science"/>
    <m/>
  </r>
  <r>
    <x v="441"/>
    <s v="J"/>
    <x v="437"/>
    <s v=""/>
    <s v=""/>
    <s v=""/>
    <s v="Vieira, Valter Afonso; Severo de Almeida, Marcos Inacio; Agnihotri, Raj; De Arruda Correa da Silva, Noga Simoes; Arunachalam, S."/>
    <s v=""/>
    <s v=""/>
    <x v="439"/>
    <x v="323"/>
    <s v=""/>
    <s v=""/>
    <s v="English"/>
    <s v="Article"/>
    <s v=""/>
    <s v=""/>
    <s v=""/>
    <s v=""/>
    <s v=""/>
    <x v="409"/>
    <x v="319"/>
    <s v="In business markets, firms operating in developing economies deal with burgeoning use of the internet, new electronic purchase methods, and a wide range of social media and online sales platforms. However, marketers are unclear about the pattern of influence of firm-initiated (i.e., paid media, owned media, and digital inbound marketing) and market-initiated (i.e., earned social media and organic search) digital communications on B2B sales and customer acquisition. We develop and test a model of digital echoverse in an emerging market B2B context, using vector autoregressive modeling to analyze a unique 132-week dataset from a Brazilian hub firm operating in the marketplace. We find empirical evidence supporting our conceptual framework in emerging markets. Underscoring the importance of a market development approach for emerging markets, the findings show that owned media and digital inbound marketing play a bigger role in influencing customer acquisition. Impressions generated through earned social media complement owned media, but not paid media. These insights highlight the notion that while sources of digital echoverse may remain the same across countries, its components exert a particular pattern of influence in an emerging market context. This is expected to encourage managers to rethink their digital strategies for B2B customer acquisition and sales enhancement while operating in emerging markets."/>
    <s v="[Vieira, Valter Afonso; De Arruda Correa da Silva, Noga Simoes] Maringa State Univ PPA UEM, Coll Business Adm, Av Colombo 5-790, BR-87053070 Maringa, Parana, Brazil; [Severo de Almeida, Marcos Inacio] Univ Fed Goias, Fac Business Adm Accounting Sci &amp; Econ Sci FACE, R Samambaia S-N,Campus Samambaia, BR-74001970 Goiania, Go, Brazil; [Agnihotri, Raj] Iowa State Univ, Ivy Coll Business, Ames, IA USA; [Arunachalam, S.] Indian Sch Business, Hyderabad 500111, Telangana, India"/>
    <s v="Universidade Federal de Goias; Iowa State University; Indian School of Business (ISB)"/>
    <s v="Vieira, VA (corresponding author), Maringa State Univ PPA UEM, Coll Business Adm, Av Colombo 5-790, BR-87053070 Maringa, Parana, Brazil."/>
    <s v="valterafonsovieira@gmail.com; misevero@yahoo.com.br; raj2@iastate.edu; noga.simoes@gmail.com; S_Arunachalam@isb.edu"/>
    <s v="Vieira, Valter/AAN-1888-2020; de Almeida, Marcos I.S./D-9239-2018; Agnihotri, Raj/AAN-9991-2021; S, Arunachalam/F-9249-2015"/>
    <s v="de Almeida, Marcos I.S./0000-0001-9493-0644; S, Arunachalam/0000-0003-4110-9531; Agnihotri, Raj/0000-0002-2008-5908"/>
    <s v=""/>
    <s v=""/>
    <s v=""/>
    <s v=""/>
    <n v="89"/>
    <n v="57"/>
    <n v="58"/>
    <n v="20"/>
    <n v="193"/>
    <s v="SPRINGER"/>
    <s v="NEW YORK"/>
    <s v="ONE NEW YORK PLAZA, SUITE 4600, NEW YORK, NY, UNITED STATES"/>
    <s v="0092-0703"/>
    <s v="1552-7824"/>
    <s v=""/>
    <s v="J ACAD MARKET SCI"/>
    <s v="J. Acad. Mark. Sci."/>
    <s v="NOV"/>
    <x v="4"/>
    <n v="47"/>
    <n v="6"/>
    <s v=""/>
    <s v=""/>
    <s v="SI"/>
    <s v=""/>
    <n v="1085"/>
    <n v="1108"/>
    <s v=""/>
    <s v="10.1007/s11747-019-00687-1"/>
    <s v="http://dx.doi.org/10.1007/s11747-019-00687-1"/>
    <s v=""/>
    <s v=""/>
    <n v="24"/>
    <x v="33"/>
    <x v="1"/>
    <s v="Business &amp; Economics"/>
    <s v="JL2FB"/>
    <s v=""/>
    <s v=""/>
    <s v=""/>
    <s v=""/>
    <s v="2023-11-15"/>
    <s v="WOS:000495345700007"/>
    <s v="View Full Record in Web of Science"/>
    <m/>
  </r>
  <r>
    <x v="442"/>
    <s v="J"/>
    <x v="438"/>
    <s v=""/>
    <s v=""/>
    <s v=""/>
    <s v="Zhang, Ying; Luo, Jun; Xiong, Zheng; Liu, Hua; Wang, Li; Gu, Yingying; Lu, Zifeng; Li, Jinhuan; Huang, Jipeng"/>
    <s v=""/>
    <s v=""/>
    <x v="440"/>
    <x v="324"/>
    <s v=""/>
    <s v=""/>
    <s v="English"/>
    <s v="Article"/>
    <s v=""/>
    <s v=""/>
    <s v=""/>
    <s v=""/>
    <s v=""/>
    <x v="8"/>
    <x v="320"/>
    <s v="A flexible and efficient strategy, digital micromirror devices (DMD) based multistep lithography (DMSL), is proposed to fabricate arrays of user-defined microstructures. Through the combination of dose modulation, flexible pattern generation of DMD, and high-resolution step movement of piezoelectrical stage (PZS), this method enables prototyping a board range of 2D lattices with periodic/nonperiodic spatial distribution and arbitrary shapes and the critical feature size is down to 600 nm. We further explore the use of DMSL to fabricate microlens array by combining with the thermal reflowing process. The square shape and hexagonal shape microlens with customized distribution are realized and characterized. The results indicate that the proposed DMSL can be a significant role in the microfabrication techniques for manufacturing functional microstructures array. (C) 2019 Optical Society of America under the terms of the OSA Open Access Publishing Agreement"/>
    <s v="[Zhang, Ying; Luo, Jun; Liu, Hua; Lu, Zifeng; Li, Jinhuan; Huang, Jipeng] Northeast Normal Univ, Coll Phys, Demonstrat Ctr Expt Phys Educ, Changchun 130024, Jilin, Peoples R China; [Xiong, Zheng] Syracuse Univ, Dept Biomed Engn &amp; Chem Engn, Syracuse, NY 13244 USA; [Wang, Li; Gu, Yingying] Beijing Inst Control Engn, Lab Space Optoelect Measurement &amp; Percept, Beijing, Peoples R China; [Liu, Hua] Chinese Acad Sci, Changchun Inst Opt Fine Mech &amp; Phys, State Key Lab Appl Opt, Changchun 130033, Jilin, Peoples R China"/>
    <s v="Northeast Normal University - China; Syracuse University; Chinese Academy of Sciences; Changchun Institute of Optics, Fine Mechanics &amp; Physics, CAS"/>
    <s v="Liu, H (corresponding author), Northeast Normal Univ, Coll Phys, Demonstrat Ctr Expt Phys Educ, Changchun 130024, Jilin, Peoples R China.;Liu, H (corresponding author), Chinese Acad Sci, Changchun Inst Opt Fine Mech &amp; Phys, State Key Lab Appl Opt, Changchun 130033, Jilin, Peoples R China."/>
    <s v="liuhua_rain@aliyun.com"/>
    <s v="hua, liu/GXV-5211-2022"/>
    <s v=""/>
    <s v="National Natural Science Foundation of China [61875036]; Jilin Scientific and Technological Development Program [20190302049GX]"/>
    <s v="National Natural Science Foundation of China(National Natural Science Foundation of China (NSFC)); Jilin Scientific and Technological Development Program"/>
    <s v="National Natural Science Foundation of China (No. 61875036); Jilin Scientific and Technological Development Program (20190302049GX)."/>
    <s v=""/>
    <n v="24"/>
    <n v="33"/>
    <n v="34"/>
    <n v="2"/>
    <n v="15"/>
    <s v="OPTICAL SOC AMER"/>
    <s v="WASHINGTON"/>
    <s v="2010 MASSACHUSETTS AVE NW, WASHINGTON, DC 20036 USA"/>
    <s v="1094-4087"/>
    <s v=""/>
    <s v=""/>
    <s v="OPT EXPRESS"/>
    <s v="Opt. Express"/>
    <s v="OCT 28"/>
    <x v="4"/>
    <n v="27"/>
    <n v="22"/>
    <s v=""/>
    <s v=""/>
    <s v=""/>
    <s v=""/>
    <n v="31956"/>
    <n v="31966"/>
    <s v=""/>
    <s v="10.1364/OE.27.031956"/>
    <s v="http://dx.doi.org/10.1364/OE.27.031956"/>
    <s v=""/>
    <s v=""/>
    <n v="11"/>
    <x v="141"/>
    <x v="0"/>
    <s v="Optics"/>
    <s v="JH8CL"/>
    <n v="31684417"/>
    <s v="gold"/>
    <s v=""/>
    <s v=""/>
    <s v="2023-11-15"/>
    <s v="WOS:000492996000068"/>
    <s v="View Full Record in Web of Science"/>
    <m/>
  </r>
  <r>
    <x v="443"/>
    <s v="J"/>
    <x v="439"/>
    <s v=""/>
    <s v=""/>
    <s v=""/>
    <s v="Rich, Emma; Miah, Andy; Lewis, Sarah"/>
    <s v=""/>
    <s v=""/>
    <x v="441"/>
    <x v="325"/>
    <s v=""/>
    <s v=""/>
    <s v="English"/>
    <s v="Article"/>
    <s v=""/>
    <s v=""/>
    <s v=""/>
    <s v=""/>
    <s v=""/>
    <x v="410"/>
    <x v="321"/>
    <s v="Informed by a discourse analysis, this article examines the framing of equity within the UK's digital health policies between 2010 and 2017, focusing on England's development of NHS Digital and its situation within the UK Government's wider digital strategy. Analysis of significant policy documents reveals three interrelated discourses that are engaged within England's digital health policies: equity as a neoliberal imaginary of digital efficiency and empowerment; digital health as a pathway towards democratising health care through data-sharing, co-creation and collaboration; and finally, digital health as a route towards extending citizen autonomy through their access to data systems. It advances knowledge of the relationship between digital health policy and health inequalities. Revealing that while inclusion remains a priority area for policymakers, equity is being constituted in ways that reflect broader discourses of neoliberalism, empowerment and the turn to the market for technological solutionism, which may potentially exacerbate health inequalities."/>
    <s v="[Rich, Emma; Lewis, Sarah] Univ Bath, Dept Hlth, Bath, Avon, England; [Miah, Andy] Univ Salford, Sch Environm &amp; Life Sci, Salford, Lancs, England"/>
    <s v="University of Bath; University of Salford"/>
    <s v="Rich, E (corresponding author), Univ Bath, Dept Educ, Bath, Avon, England."/>
    <s v="E.Rich@bath.ac.uk"/>
    <s v="Miah, Andy/C-1467-2015"/>
    <s v="Miah, Andy/0000-0003-0137-674X"/>
    <s v="Wellcome Trust: 'The digital health generation: The impact of 'healthy lifestyle' technologies on young people's learning, identities and health practices' [203254/Z/16/Z]; Wellcome Trust [203254/Z/16/Z] Funding Source: Wellcome Trust"/>
    <s v="Wellcome Trust: 'The digital health generation: The impact of 'healthy lifestyle' technologies on young people's learning, identities and health practices'(Wellcome Trust); Wellcome Trust(Wellcome Trust)"/>
    <s v="This work was supported by a grant from the Wellcome Trust: 'The digital health generation: The impact of 'healthy lifestyle' technologies on young people's learning, identities and health practices' reference number: 203254/Z/16/Z."/>
    <s v=""/>
    <n v="66"/>
    <n v="23"/>
    <n v="23"/>
    <n v="6"/>
    <n v="45"/>
    <s v="WILEY"/>
    <s v="HOBOKEN"/>
    <s v="111 RIVER ST, HOBOKEN 07030-5774, NJ USA"/>
    <s v="0141-9889"/>
    <s v="1467-9566"/>
    <s v=""/>
    <s v="SOCIOL HEALTH ILL"/>
    <s v="Sociol. Health Ill."/>
    <s v="OCT"/>
    <x v="4"/>
    <n v="41"/>
    <s v=""/>
    <s v=""/>
    <n v="1"/>
    <s v="SI"/>
    <s v=""/>
    <n v="31"/>
    <n v="49"/>
    <s v=""/>
    <s v="10.1111/1467-9566.12980"/>
    <s v="http://dx.doi.org/10.1111/1467-9566.12980"/>
    <s v=""/>
    <s v=""/>
    <n v="19"/>
    <x v="142"/>
    <x v="1"/>
    <s v="Public, Environmental &amp; Occupational Health; Biomedical Social Sciences; Sociology"/>
    <s v="JD2GJ"/>
    <n v="31599987"/>
    <s v="hybrid, Green Published"/>
    <s v=""/>
    <s v=""/>
    <s v="2023-11-15"/>
    <s v="WOS:000489792800003"/>
    <s v="View Full Record in Web of Science"/>
    <m/>
  </r>
  <r>
    <x v="444"/>
    <s v="J"/>
    <x v="440"/>
    <s v=""/>
    <s v=""/>
    <s v=""/>
    <s v="Nayak, Bishwajit; Bhattacharyya, Som Sekhar; Krishnamoorthy, Bala"/>
    <s v=""/>
    <s v=""/>
    <x v="442"/>
    <x v="326"/>
    <s v=""/>
    <s v=""/>
    <s v="English"/>
    <s v="Article"/>
    <s v=""/>
    <s v=""/>
    <s v=""/>
    <s v=""/>
    <s v=""/>
    <x v="411"/>
    <x v="322"/>
    <s v="Purpose Social health insurance framework of any country is the national identifier of the country's policy for taking care of its population which cannot access or afford quality healthcare. The purpose of this paper is to highlight the strategic imperatives of digital technology for the inclusive social health models for the BoP customers. Design/methodology/approach A qualitative exploratory study using in-depth personal interviews with 53 Indian health insurance CXOs was conducted with a semi-structured questionnaire. Using MaxQDA software, the interview transcripts were analyzed by means of thematic content analysis technique and patterns identified based on the expert opinions. Findings A framework for the strategic imperatives of digital technology in social health insurance emerged from the study highlighting three key themes for technology implementation in the social health insurance sector - analytics for risk management, cost optimization for operations and enhancement of customer experience. The study results provide key insights about how insurers can enhance the coverage of BoP population by leveraging technology. Social implications - The framework would help health insurers and policymakers to select strategic choices related to technology that would enable creation of inclusive health insurance models for BoP customers. Originality/value The absence of specific studies highlighting the strategic digital imperatives in social health insurance creates a unique value proposition for this framework which can help health insurers in developing a convergence in their risk management and customer delight objectives and assist the government in the formulation of a sustainable social health insurance framework."/>
    <s v="[Nayak, Bishwajit; Krishnamoorthy, Bala] Narsee Monjee Inst Management Studies Univ, Sch Business Management, Mumbai, Maharashtra, India; [Bhattacharyya, Som Sekhar] Natl Inst Ind Engn, Dept Strateg Management, Mumbai, Maharashtra, India"/>
    <s v="SVKM's NMIMS (Deemed to be University); National Institute of Industrial Engineering (NITIE)"/>
    <s v="Nayak, B (corresponding author), Narsee Monjee Inst Management Studies Univ, Sch Business Management, Mumbai, Maharashtra, India."/>
    <s v="bnayak0107@gmail.com"/>
    <s v="Nayak, Bishwajit/G-5193-2018; Bhattacharyya, Som Sekhar/AAJ-5749-2020"/>
    <s v="Bhattacharyya, Som Sekhar/0000-0003-3259-0319"/>
    <s v=""/>
    <s v=""/>
    <s v=""/>
    <s v=""/>
    <n v="110"/>
    <n v="21"/>
    <n v="22"/>
    <n v="1"/>
    <n v="18"/>
    <s v="EMERALD GROUP PUBLISHING LTD"/>
    <s v="BINGLEY"/>
    <s v="HOWARD HOUSE, WAGON LANE, BINGLEY BD16 1WA, W YORKSHIRE, ENGLAND"/>
    <s v="0144-333X"/>
    <s v="1758-6720"/>
    <s v=""/>
    <s v="INT J SOCIOL SOC POL"/>
    <s v="Int. J. Sociol. Soc. Policy"/>
    <s v="SEP 9"/>
    <x v="4"/>
    <n v="39"/>
    <s v="9-10"/>
    <s v=""/>
    <s v=""/>
    <s v=""/>
    <s v=""/>
    <n v="752"/>
    <n v="772"/>
    <s v=""/>
    <s v="10.1108/IJSSP-05-2019-0095"/>
    <s v="http://dx.doi.org/10.1108/IJSSP-05-2019-0095"/>
    <s v=""/>
    <s v=""/>
    <n v="21"/>
    <x v="97"/>
    <x v="2"/>
    <s v="Sociology"/>
    <s v="JO2XV"/>
    <s v=""/>
    <s v=""/>
    <s v=""/>
    <s v=""/>
    <s v="2023-11-15"/>
    <s v="WOS:000497446800006"/>
    <s v="View Full Record in Web of Science"/>
    <m/>
  </r>
  <r>
    <x v="445"/>
    <s v="J"/>
    <x v="441"/>
    <s v=""/>
    <s v=""/>
    <s v=""/>
    <s v="Guttieres, Donovan; Stewart, Shannon; Wolfrum, Jacqueline; Springs, Stacy L."/>
    <s v=""/>
    <s v=""/>
    <x v="443"/>
    <x v="327"/>
    <s v=""/>
    <s v=""/>
    <s v="English"/>
    <s v="Article"/>
    <s v=""/>
    <s v=""/>
    <s v=""/>
    <s v=""/>
    <s v=""/>
    <x v="412"/>
    <x v="323"/>
    <s v="Cybersecurity for the production of safe and effective biopharmaceuticals requires the attention of multiple stakeholders, including industry, governments, and healthcare providers. Cyberbiosecurity breaches could directly impact patients, from compromised data privacy to disruptions in production that jeopardize global pandemic response. Maintaining cybersecurity in the modern economy, where advanced manufacturing technologies and digital strategies are becoming the norm, is a significant challenge. Here, we highlight vulnerabilities in present and future biomanufacturing paradigms given the dependence of this industry sector on proprietary intellectual property, cyber-physical systems, and government-regulated production environments, as well as movement toward advanced manufacturing models. Specifically, we (1) present an analysis of digital information flow in a typical biopharmaceutical manufacturing value chain; (2) consider the potential cyberbiosecurity risks that might emerge from advanced manufacturing models such as continuous and distributed systems; and (3) provide recommendations for risk mitigation. While advanced manufacturing models hold the potential for reducing costs and increasing access to more personalized therapies, the evolving landscape of the biopharmaceutical enterprise has led to growing concerns over potential cyber attacks. Gaining better foresight on potential risks is key for implementing proactive defensive principles, framing new developments, and establishing a permanent security culture that adapts to new challenges while maintaining the transparency required for regulated production of safe and effective medicines."/>
    <s v="[Guttieres, Donovan; Stewart, Shannon; Wolfrum, Jacqueline; Springs, Stacy L.] MIT, Ctr Biomed Innovat, 77 Massachusetts Ave, Cambridge, MA 02139 USA"/>
    <s v="Massachusetts Institute of Technology (MIT)"/>
    <s v="Springs, SL (corresponding author), MIT, Ctr Biomed Innovat, 77 Massachusetts Ave, Cambridge, MA 02139 USA."/>
    <s v="ssprings@mit.edu"/>
    <s v=""/>
    <s v="Guttieres, Donovan/0000-0003-1174-5238"/>
    <s v=""/>
    <s v=""/>
    <s v=""/>
    <s v=""/>
    <n v="31"/>
    <n v="4"/>
    <n v="5"/>
    <n v="2"/>
    <n v="18"/>
    <s v="FRONTIERS MEDIA SA"/>
    <s v="LAUSANNE"/>
    <s v="AVENUE DU TRIBUNAL FEDERAL 34, LAUSANNE, CH-1015, SWITZERLAND"/>
    <s v="2296-4185"/>
    <s v=""/>
    <s v=""/>
    <s v="FRONT BIOENG BIOTECH"/>
    <s v="Front. Bioeng. Biotechnol."/>
    <s v="SEP 4"/>
    <x v="4"/>
    <n v="7"/>
    <s v=""/>
    <s v=""/>
    <s v=""/>
    <s v=""/>
    <s v=""/>
    <s v=""/>
    <s v=""/>
    <n v="210"/>
    <s v="10.3389/fbioe.2019.00210"/>
    <s v="http://dx.doi.org/10.3389/fbioe.2019.00210"/>
    <s v=""/>
    <s v=""/>
    <n v="8"/>
    <x v="143"/>
    <x v="0"/>
    <s v="Biotechnology &amp; Applied Microbiology; Science &amp; Technology - Other Topics"/>
    <s v="IU8DT"/>
    <n v="31552236"/>
    <s v="Green Published, gold"/>
    <s v=""/>
    <s v=""/>
    <s v="2023-11-15"/>
    <s v="WOS:000483812900001"/>
    <s v="View Full Record in Web of Science"/>
    <m/>
  </r>
  <r>
    <x v="446"/>
    <s v="J"/>
    <x v="442"/>
    <s v=""/>
    <s v=""/>
    <s v=""/>
    <s v="Rane, Santosh B.; Narvel, Yahya Abdul Majid; Bhandarkar, Bhaskar M."/>
    <s v=""/>
    <s v=""/>
    <x v="444"/>
    <x v="289"/>
    <s v=""/>
    <s v=""/>
    <s v="English"/>
    <s v="Article"/>
    <s v=""/>
    <s v=""/>
    <s v=""/>
    <s v=""/>
    <s v=""/>
    <x v="413"/>
    <x v="324"/>
    <s v="Purpose The ability of an organization to observe varying demands and efficiently meet them can be described as agility. Project procurement management (PPM) in the past was stable as things did not change very often and were very predictable. Due to hyper-competition, less predictable market and exponential innovation, the existing PPM becomes very unstable which marks the requirement of an agile model to manage procurement projects effectively. The paper aims to discuss this issue. Design/methodology/approach For achieving the improvements, various barriers to improving agility in PPM were identified from the literature and experts' review, followed by obtaining quantified impacts of identified barriers from the experts using the Delphi technique. Finally, interpretive structural modeling along with Matrice d' Impacts Croises Multiplication Applique an Classement analysis was used to analyze the interactions among barriers to prioritize and strategize their mitigation. Findings As per the analysis, the lack of top management alignment and commitment, lack of digital strategy, lack of new technology competencies and inefficiencies of financial factors were the most critical barriers that would come across while improving agility in PPM for any organization. Industries should have a stable, well-established and supportive top management that has a vision for digital transformation along with upgrading the companies' technology layer for automating most of the manual processes to have intelligent decision-making capability. Originality/value Industries need to be agile in their operations for being more competitive and responsive to the market. PPM being the most critical part of the entire value chain needs to be agile in the first place. The strategies developed as an output of this research can be utilized by industries for improving agility in their business processes."/>
    <s v="[Rane, Santosh B.; Narvel, Yahya Abdul Majid] Sardar Patel Coll Engn, Dept Mech Engn, Mumbai, Maharashtra, India; [Narvel, Yahya Abdul Majid] Larsen &amp; Toubro Infotech Ltd, Digital Solut, Oracle Practice, Mumbai, Maharashtra, India; [Bhandarkar, Bhaskar M.] Indian Inst Ind Engn, Mumbai, Maharashtra, India"/>
    <s v=""/>
    <s v="Narvel, YAM (corresponding author), Sardar Patel Coll Engn, Dept Mech Engn, Mumbai, Maharashtra, India.;Narvel, YAM (corresponding author), Larsen &amp; Toubro Infotech Ltd, Digital Solut, Oracle Practice, Mumbai, Maharashtra, India."/>
    <s v="yahyanarvel@gmail.com"/>
    <s v="Rane, Santosh Bhagawat/AAQ-5960-2021"/>
    <s v="Rane, Santosh Bhagawat/0000-0003-0636-2048"/>
    <s v=""/>
    <s v=""/>
    <s v=""/>
    <s v=""/>
    <n v="116"/>
    <n v="22"/>
    <n v="22"/>
    <n v="7"/>
    <n v="88"/>
    <s v="EMERALD GROUP PUBLISHING LTD"/>
    <s v="BINGLEY"/>
    <s v="HOWARD HOUSE, WAGON LANE, BINGLEY BD16 1WA, W YORKSHIRE, ENGLAND"/>
    <s v="1463-7154"/>
    <s v="1758-4116"/>
    <s v=""/>
    <s v="BUS PROCESS MANAG J"/>
    <s v="Bus. Process. Manag. J."/>
    <s v="SEP 2"/>
    <x v="4"/>
    <n v="26"/>
    <n v="1"/>
    <s v=""/>
    <s v=""/>
    <s v=""/>
    <s v=""/>
    <n v="257"/>
    <n v="286"/>
    <s v=""/>
    <s v="10.1108/BPMJ-07-2017-0196"/>
    <s v="http://dx.doi.org/10.1108/BPMJ-07-2017-0196"/>
    <s v=""/>
    <s v=""/>
    <n v="30"/>
    <x v="6"/>
    <x v="1"/>
    <s v="Business &amp; Economics"/>
    <s v="KC8BT"/>
    <s v=""/>
    <s v=""/>
    <s v=""/>
    <s v=""/>
    <s v="2023-11-15"/>
    <s v="WOS:000507397300001"/>
    <s v="View Full Record in Web of Science"/>
    <m/>
  </r>
  <r>
    <x v="447"/>
    <s v="J"/>
    <x v="443"/>
    <s v=""/>
    <s v=""/>
    <s v=""/>
    <s v="Campoamor, Leigh M."/>
    <s v=""/>
    <s v=""/>
    <x v="445"/>
    <x v="328"/>
    <s v=""/>
    <s v=""/>
    <s v="English"/>
    <s v="Article"/>
    <s v=""/>
    <s v=""/>
    <s v=""/>
    <s v=""/>
    <s v=""/>
    <x v="8"/>
    <x v="325"/>
    <s v="This article examines how a Spanish telecom giant legitimizes its market expansion through a corporate social responsibility (CSR) narrative that links generic notions of technological innovation and children's rights to projects of development and democracy. At a broad level, I explore how the neoliberal privatization of the telecommunications industry has involved a reconfiguration of corporate-state relations rather than an erasure of the state in corporate discourse. I trace how Telefonica accrues currency as a digital pioneer and provider of a social good by incorporating consumers, state actors, and other corporations into its moral apparatus. My point of entry is a smartphone application that the company's Colombian subsidiary developed and subsequently gamified to empower consumer-citizens to end street-based child labor. Within a digital economy of instant gratification and national context of securitization, the process whereby consumers are interpellated as citizen-activists highlights the thin line between profiling techniques and humanitarian action, and between surveillance and activism, while disguising the limits of the state bureaucracy and the company's own distance from its purported beneficiaries. Ultimately, I show how the company maintained its narrative about its innovative and sustainable commitment to children even when explaining the failures of its CSR strategy. [digital activism, corporate social responsibility, children's rights, corporate-state relations, urban Latin America]"/>
    <s v=""/>
    <s v=""/>
    <s v=""/>
    <s v="leigh.campoarnor@gmail.com"/>
    <s v=""/>
    <s v=""/>
    <s v=""/>
    <s v=""/>
    <s v=""/>
    <s v=""/>
    <n v="47"/>
    <n v="1"/>
    <n v="1"/>
    <n v="0"/>
    <n v="14"/>
    <s v="WILEY"/>
    <s v="HOBOKEN"/>
    <s v="111 RIVER ST, HOBOKEN 07030-5774, NJ USA"/>
    <s v="0002-7294"/>
    <s v="1548-1433"/>
    <s v=""/>
    <s v="AM ANTHROPOL"/>
    <s v="Am. Anthropol."/>
    <s v="SEP"/>
    <x v="4"/>
    <n v="121"/>
    <n v="3"/>
    <s v=""/>
    <s v=""/>
    <s v=""/>
    <s v=""/>
    <n v="667"/>
    <n v="679"/>
    <s v=""/>
    <s v="10.1111/aman.13273"/>
    <s v="http://dx.doi.org/10.1111/aman.13273"/>
    <s v=""/>
    <s v=""/>
    <n v="13"/>
    <x v="144"/>
    <x v="1"/>
    <s v="Anthropology"/>
    <s v="IR9CH"/>
    <s v=""/>
    <s v=""/>
    <s v=""/>
    <s v=""/>
    <s v="2023-11-15"/>
    <s v="WOS:000481740200010"/>
    <s v="View Full Record in Web of Science"/>
    <m/>
  </r>
  <r>
    <x v="448"/>
    <s v="J"/>
    <x v="444"/>
    <s v=""/>
    <s v=""/>
    <s v=""/>
    <s v="Horvath, Dora; Szabo, Roland Zs."/>
    <s v=""/>
    <s v=""/>
    <x v="446"/>
    <x v="9"/>
    <s v=""/>
    <s v=""/>
    <s v="English"/>
    <s v="Article"/>
    <s v=""/>
    <s v=""/>
    <s v=""/>
    <s v=""/>
    <s v=""/>
    <x v="414"/>
    <x v="326"/>
    <s v="The Fourth Industrial Revolution poses significant challenges to manufacturing companies from the technological, organizational and management points of view. This paper aims to explore how top executives interpret the concept of Industry 4.0, the driving forces for introducing new technologies and the main barriers to Industry 4.0. The authors applied a qualitative case study design involving 26 semi-structured interviews with leading members of firms, including chief digital officers and chief executive officers. Company websites and annual reports were also examined to increase the reliability and validity of the results. The authors found that management desire to increase control and enable real-time performance measurement is a significant driving force behind Industry 4.0, alongside production factors. Organizational resistance at both employee and middle management levels can significantly hinder the introduction of Industry 4.0 technologies, though these technologies can also transform management functions. Multinational enterprises have higher driving forces and lower barriers to industry 4.0 than small and medium-sized companies, but these smaller companies have good opportunities, too."/>
    <s v="[Horvath, Dora; Szabo, Roland Zs.] Corvinus Univ Budapest, Res Ctr Strateg &amp; Int Management, Fovam Sq 8, H-1093Y Budapest, Hungary"/>
    <s v=""/>
    <s v="Horváth, D (corresponding author), Corvinus Univ Budapest, Res Ctr Strateg &amp; Int Management, Fovam Sq 8, H-1093Y Budapest, Hungary."/>
    <s v="horvath.dora@uni-corvinus.hu; zsoltroland.szabo@uni-corvinus.hu"/>
    <s v="N'Dri, Amoin Bernadine/IWD-7811-2023; Roland, Szabó/AEP-0961-2022; Szabó, Roland Zs./AAZ-4482-2020"/>
    <s v="Roland, Szabó/0000-0002-7961-1298; Szabó, Roland Zs./0000-0002-7961-1298"/>
    <s v="European Union [EFOP-3.6.2.-16-2017-00007]"/>
    <s v="European Union(European Union (EU))"/>
    <s v="The publication was prepared within the Szechenyi 2020 program framework (EFOP-3.6.2.-16-2017-00007) under the European Union project titled: Aspects of developing an intelligent, sustainable and inclusive society: social, technological, innovation networks in employment and digital economy. We are grateful to Melissa Leffler, freelance language editor, for proofreading a draft of this paper."/>
    <s v=""/>
    <n v="119"/>
    <n v="435"/>
    <n v="444"/>
    <n v="64"/>
    <n v="472"/>
    <s v="ELSEVIER SCIENCE INC"/>
    <s v="NEW YORK"/>
    <s v="STE 800, 230 PARK AVE, NEW YORK, NY 10169 USA"/>
    <s v="0040-1625"/>
    <s v="1873-5509"/>
    <s v=""/>
    <s v="TECHNOL FORECAST SOC"/>
    <s v="Technol. Forecast. Soc. Chang."/>
    <s v="SEP"/>
    <x v="4"/>
    <n v="146"/>
    <s v=""/>
    <s v=""/>
    <s v=""/>
    <s v=""/>
    <s v=""/>
    <n v="119"/>
    <n v="132"/>
    <s v=""/>
    <s v="10.1016/j.techfore.2019.05.021"/>
    <s v="http://dx.doi.org/10.1016/j.techfore.2019.05.021"/>
    <s v=""/>
    <s v=""/>
    <n v="14"/>
    <x v="9"/>
    <x v="1"/>
    <s v="Business &amp; Economics; Public Administration"/>
    <s v="JR9FS"/>
    <s v=""/>
    <s v="Green Accepted, hybrid"/>
    <s v=""/>
    <s v=""/>
    <s v="2023-11-15"/>
    <s v="WOS:000499922800012"/>
    <s v="View Full Record in Web of Science"/>
    <m/>
  </r>
  <r>
    <x v="449"/>
    <s v="J"/>
    <x v="445"/>
    <s v=""/>
    <s v=""/>
    <s v=""/>
    <s v="Grimaldi, Didier; Diaz, Javier; Arboleda, Hugo; Fernandez, Vicenc"/>
    <s v=""/>
    <s v=""/>
    <x v="447"/>
    <x v="31"/>
    <s v=""/>
    <s v=""/>
    <s v="English"/>
    <s v="Article"/>
    <s v=""/>
    <s v=""/>
    <s v=""/>
    <s v=""/>
    <s v=""/>
    <x v="415"/>
    <x v="327"/>
    <s v="Context: Colombia over the last decade has experienced a historic economic boom and Information Technology (IT) has been emerging as a tool to enable the competitiveness of companies. The last government (2014-2018) took different actions to explain how the use of data science and open data improve the business activity. The question to identify if there is a relationship between IT capacities, the organizational structure and the performance of the companies remains unresolved and is certainly an urgent issue for new government of Ivan Duque. Purpose: Our study analyses the relationship between data structure and business performance measured through the efficiency of customer experience and provider operations processes. Methodology: our methodology is novel compared to previous researches which develop linear regression. It is based on the use of a fuzzy-set qualitative comparative analysis (fsQCA). Originality/value: our method allows to reveal multiple and complementary paths to achieve possible correlations between data and business performance. Findings: Our results show that data consistency, data usage and data protection are the three more frequent conditions to a better customer experience and provider operations efficiency. Surprisingly, data-driven profile is a necessary but not sufficient condition. Practical implications: our conclusions allow practitioners to uncover the strength of the data to orientate their digital strategy. Our recommendations could be used for the new governmental program of digital revival for Small and Medium Enterprises."/>
    <s v="[Grimaldi, Didier] Ramon Llull Univ, Dept Strategy Entrepreneurship &amp; Innovat, La Salle Campus,St Joan La Salle 42, Barcelona 08022, Spain; [Diaz, Javier; Arboleda, Hugo] Univ Icesi, Calle 18 122-135, Cali, Colombia; [Fernandez, Vicenc] Univ Politecn Catalunya BarcelonaTech, Dept Management, ETSEIAT, Colom 11,TR6,3-17, Terrassa 08222, Spain"/>
    <s v="Universitat Ramon Llull; Universidad ICESI; Universitat Politecnica de Catalunya"/>
    <s v="Grimaldi, D (corresponding author), Ramon Llull Univ, Dept Strategy Entrepreneurship &amp; Innovat, La Salle Campus,St Joan La Salle 42, Barcelona 08022, Spain."/>
    <s v="didierg@salleurl.edu"/>
    <s v="Grimaldi, Didier/JFK-4629-2023; Grimaldi, Didier/G-3882-2016"/>
    <s v="Grimaldi, Didier/0000-0002-1027-1176; Arboleda, Hugo/0000-0001-8806-2393"/>
    <s v=""/>
    <s v=""/>
    <s v=""/>
    <s v=""/>
    <n v="38"/>
    <n v="6"/>
    <n v="7"/>
    <n v="0"/>
    <n v="17"/>
    <s v="ELSEVIER SCI LTD"/>
    <s v="OXFORD"/>
    <s v="THE BOULEVARD, LANGFORD LANE, KIDLINGTON, OXFORD OX5 1GB, OXON, ENGLAND"/>
    <s v=""/>
    <s v="2405-8440"/>
    <s v=""/>
    <s v="HELIYON"/>
    <s v="Heliyon"/>
    <s v="AUG"/>
    <x v="4"/>
    <n v="5"/>
    <n v="8"/>
    <s v=""/>
    <s v=""/>
    <s v=""/>
    <s v=""/>
    <s v=""/>
    <s v=""/>
    <s v="e02195"/>
    <s v="10.1016/j.heliyon.2019.e02195"/>
    <s v="http://dx.doi.org/10.1016/j.heliyon.2019.e02195"/>
    <s v=""/>
    <s v=""/>
    <n v="9"/>
    <x v="22"/>
    <x v="0"/>
    <s v="Science &amp; Technology - Other Topics"/>
    <s v="IV6PV"/>
    <n v="32368633"/>
    <s v="Green Published, gold"/>
    <s v=""/>
    <s v=""/>
    <s v="2023-11-15"/>
    <s v="WOS:000484391200044"/>
    <s v="View Full Record in Web of Science"/>
    <m/>
  </r>
  <r>
    <x v="450"/>
    <s v="J"/>
    <x v="446"/>
    <s v=""/>
    <s v=""/>
    <s v=""/>
    <s v="Jerome, Rebecca N.; Dunkel, Leah; Kennedy, Nan; Olson, Erik J.; Pulley, Jill M.; Bernard, Gordon; Wilkins, Consuelo H.; Harris, Paul A."/>
    <s v=""/>
    <s v=""/>
    <x v="448"/>
    <x v="126"/>
    <s v=""/>
    <s v=""/>
    <s v="English"/>
    <s v="Article"/>
    <s v=""/>
    <s v=""/>
    <s v=""/>
    <s v=""/>
    <s v=""/>
    <x v="416"/>
    <x v="1"/>
    <s v="Introduction: Individuals experiencing different medical conditions, as well as healthy volunteers, may often be interested in trial participation, and researchers similarly need to find participants to advance medical knowledge. The ResearchMatch (RM) Trials Today clinical trial searching tool leverages clinicaltrials.gov data to enable potential participants to look for trial opportunities relevant to their situation. To facilitate expanded use of this tool, we undertook a national digital public awareness campaign to increase awareness of Trials Today among members of the general public. Methods: The awareness campaign promoted Trials Today using Facebook and digital banner messages in 2017, encompassing nine cities across the USA. The digital strategy was complemented by print media in several outlets. We employed descriptive statistics to summarize campaign metrics and site usage data during the campaign. Results: The campaign was successful in increasing visits to Trials Today, with 142,303 sessions logged during its run, as compared to pre-campaign data indicating 104,688 total sessions during the entire 2-year period since the site's inception. The city-specific click-through rate for all digital impressions, combining Facebook and banner messaging, ranged from 0.50% to 1.09%, resulting in a cost-per-click range of $0.69-$1.15. In addition, visitors conducted 29,697 searches and viewed individual trial records 173,512 times. Conclusion: The public awareness campaign was successful in increasing use of the RM Trials Today clinical trial searching tool. Our findings support the value of digital media messaging as a cost-effective vehicle for promoting clinical trial awareness, especially for chronic ailments."/>
    <s v="[Jerome, Rebecca N.; Dunkel, Leah; Kennedy, Nan; Olson, Erik J.; Pulley, Jill M.; Bernard, Gordon; Harris, Paul A.] Vanderbilt Univ, Vanderbilt Inst Clin &amp; Translat Res, Med Ctr, 2525 West End Ave,Suite 600, Nashville, TN 37203 USA; [Wilkins, Consuelo H.] Vanderbilt Univ, Dept Med, Med Ctr, Nashville, TN 37203 USA; [Wilkins, Consuelo H.] Meharry Med Coll, Dept Internal Med, Nashville, TN 37208 USA"/>
    <s v="Vanderbilt University; Vanderbilt University; Meharry Medical College"/>
    <s v="Jerome, RN (corresponding author), Vanderbilt Univ, Vanderbilt Inst Clin &amp; Translat Res, Med Ctr, 2525 West End Ave,Suite 600, Nashville, TN 37203 USA."/>
    <s v="rebecca.jerome@vumc.org"/>
    <s v=""/>
    <s v="Olson, Erik/0000-0002-6459-7454; Jerome, Rebecca/0000-0002-6023-4269"/>
    <s v="National Center for Advancing Translational Sciences (NCATS) [UL1 TR002243, U24TR001579]; National Library of Medicine; Vanderbilt Institute for Clinical and Translational Research grant from NCATS/NIH [UL1 TR000445]"/>
    <s v="National Center for Advancing Translational Sciences (NCATS)(United States Department of Health &amp; Human ServicesNational Institutes of Health (NIH) - USANIH National Center for Advancing Translational Sciences (NCATS)); National Library of Medicine(United States Department of Health &amp; Human ServicesNational Institutes of Health (NIH) - USANIH National Library of Medicine (NLM)); Vanderbilt Institute for Clinical and Translational Research grant from NCATS/NIH(United States Department of Health &amp; Human ServicesNational Institutes of Health (NIH) - USANIH National Center for Advancing Translational Sciences (NCATS))"/>
    <s v="This project was supported by awards no. UL1 TR002243 from the National Center for Advancing Translational Sciences (NCATS), no. U24TR001579 from the NCATS and the National Library of Medicine, and Vanderbilt Institute for Clinical and Translational Research grant no. UL1 TR000445 from NCATS/NIH."/>
    <s v=""/>
    <n v="53"/>
    <n v="2"/>
    <n v="2"/>
    <n v="0"/>
    <n v="0"/>
    <s v="CAMBRIDGE UNIV PRESS"/>
    <s v="CAMBRIDGE"/>
    <s v="EDINBURGH BLDG, SHAFTESBURY RD, CB2 8RU CAMBRIDGE, ENGLAND"/>
    <s v=""/>
    <s v="2059-8661"/>
    <s v=""/>
    <s v="J CLIN TRANSL SCI"/>
    <s v="J. Clin. Transl. Sci."/>
    <s v="AUG"/>
    <x v="4"/>
    <n v="3"/>
    <n v="4"/>
    <s v=""/>
    <s v=""/>
    <s v=""/>
    <s v=""/>
    <n v="190"/>
    <n v="198"/>
    <s v="PII S2059866119004047"/>
    <s v="10.1017/cts.2019.404"/>
    <s v="http://dx.doi.org/10.1017/cts.2019.404"/>
    <s v=""/>
    <s v=""/>
    <n v="9"/>
    <x v="3"/>
    <x v="2"/>
    <s v="Research &amp; Experimental Medicine"/>
    <s v="VK3ZQ"/>
    <n v="31660243"/>
    <s v="Green Published, gold"/>
    <s v=""/>
    <s v=""/>
    <s v="2023-11-15"/>
    <s v="WOS:000688300900007"/>
    <s v="View Full Record in Web of Science"/>
    <m/>
  </r>
  <r>
    <x v="451"/>
    <s v="J"/>
    <x v="447"/>
    <s v=""/>
    <s v=""/>
    <s v=""/>
    <s v="Cruz Estrada, Isaac; Miranda Zavala, Ana Maria"/>
    <s v=""/>
    <s v=""/>
    <x v="449"/>
    <x v="329"/>
    <s v=""/>
    <s v=""/>
    <s v="Spanish"/>
    <s v="Article"/>
    <s v=""/>
    <s v=""/>
    <s v=""/>
    <s v=""/>
    <s v=""/>
    <x v="417"/>
    <x v="40"/>
    <s v="The objective of the research is to analyze the importance of strategies with social networks, in the purchase decision of customers of restaurants in the gastronomic zone of Tijuana. The work begins with a literature review related to the use of social networks in organizations and their importance in Tourism. Three in-depth interviews were conducted with social network administrators, to learn about their experience in providing their services. Likewise, based on 95% confidence and 5% of admitted error, a sample of 378 surveys was obtained, which were applied to consumers of five restaurants in the gastronomic zone of Tijuana. The results indicate that Internet, is the main means of consultation to search for restaurant information, Facebook is the social network that stands out for this activity. A positive mean correlation was obtained among the dependent variables, which refer to the factors that increase the confidence and security for the use of social networks with the decision to purchase from consumers. In addition, the components that favor the use of social networks of organizations are the design of content and efficient interaction with users. It is important to implement the digital strategy in tourist organizations in this area, which allows consumers to know what stands out from the service, in order to become an element that contributes to the decision to purchase of people. In addition, it is necessary that the process has clear objectives and goals that correspond to the needs and resources of the business, which allows the loyalty of consumers and improve the management of customer relationships."/>
    <s v="[Cruz Estrada, Isaac] Univ Autonoma Baja California, FTM, CONACYT, Mexicali, Baja California, Mexico; [Miranda Zavala, Ana Maria] Univ Autonoma Baja California, FTM, Mexicali, Baja California, Mexico"/>
    <s v="Universidad Autonoma de Baja California; Universidad Autonoma de Baja California"/>
    <s v="Estrada, IC (corresponding author), Univ Autonoma Baja California, FTM, CONACYT, Mexicali, Baja California, Mexico."/>
    <s v="icruz@uabc.edu.mx"/>
    <s v=""/>
    <s v=""/>
    <s v=""/>
    <s v=""/>
    <s v=""/>
    <s v=""/>
    <n v="65"/>
    <n v="0"/>
    <n v="0"/>
    <n v="3"/>
    <n v="7"/>
    <s v="UNIV AUTONOMA ESTADO MEXICO, FAC TURISMO GASTRONOMIA"/>
    <s v="TOLUCA"/>
    <s v="INSTITUTO LITERARIO NO 100, TOLUCA, 50000, MEXICO"/>
    <s v="1870-9036"/>
    <s v=""/>
    <s v=""/>
    <s v="PERIPLO SUSTENTABLE"/>
    <s v="Periplo Sustentable"/>
    <s v="JUL-DEC"/>
    <x v="4"/>
    <s v=""/>
    <n v="37"/>
    <s v=""/>
    <s v=""/>
    <s v=""/>
    <s v=""/>
    <n v="356"/>
    <n v="394"/>
    <s v=""/>
    <s v=""/>
    <s v=""/>
    <s v=""/>
    <s v=""/>
    <n v="39"/>
    <x v="88"/>
    <x v="2"/>
    <s v="Social Sciences - Other Topics"/>
    <s v="KA6VE"/>
    <s v=""/>
    <s v=""/>
    <s v=""/>
    <s v=""/>
    <s v="2023-11-15"/>
    <s v="WOS:000505934500014"/>
    <s v="View Full Record in Web of Science"/>
    <m/>
  </r>
  <r>
    <x v="452"/>
    <s v="J"/>
    <x v="448"/>
    <s v=""/>
    <s v=""/>
    <s v=""/>
    <s v="Feijo de Almeida, Giovana Goretti; Rezende, Denis Alcides"/>
    <s v=""/>
    <s v=""/>
    <x v="450"/>
    <x v="330"/>
    <s v=""/>
    <s v=""/>
    <s v="Portuguese"/>
    <s v="Article"/>
    <s v=""/>
    <s v=""/>
    <s v=""/>
    <s v=""/>
    <s v=""/>
    <x v="418"/>
    <x v="1"/>
    <s v="The territorial brands have a strategic framework that enables world visions of social actors, generating links between people and the territory. The objective is to analyze the territorial brand presence as a strategic resource in strategic digital city subprojects. The research methodology emphasizes a case study in Porto Alegre-RS, through a research protocol with 15 variables. The results obtained highlight the strategic presence variable research in the territorial brand and in strategic digital city subprojects. The conclusion reiterates that the territorial brand and the strategic digital city are contemporary urban instruments that can be taken as territorial assets that draw on interaction and communication arguments."/>
    <s v="[Feijo de Almeida, Giovana Goretti] PUCPR, Programa Posgrad Gestao Urbana, Curitiba, Parana, Brazil; [Feijo de Almeida, Giovana Goretti] Grp Pesquisa Cidade Digital Estrateg PPGTU PUCPR, Curitiba, Parana, Brazil; [Rezende, Denis Alcides] CNPq, Pesquisa, Brasilia, DF, Brazil"/>
    <s v="Pontificia Universidade Catolica do Parana"/>
    <s v="de Almeida, GGF (corresponding author), PUCPR, Programa Posgrad Gestao Urbana, Curitiba, Parana, Brazil.;de Almeida, GGF (corresponding author), Grp Pesquisa Cidade Digital Estrateg PPGTU PUCPR, Curitiba, Parana, Brazil."/>
    <s v="goretti.giovana@gmail.com; denis.rezende@pucpr.br"/>
    <s v="Almeida, Giovana Goretti Feijó de/I-2491-2016"/>
    <s v="Almeida, Giovana Goretti Feijó de/0000-0003-0956-1341"/>
    <s v=""/>
    <s v=""/>
    <s v=""/>
    <s v=""/>
    <n v="46"/>
    <n v="0"/>
    <n v="0"/>
    <n v="0"/>
    <n v="5"/>
    <s v="UNIV CAXIAS SUL, CENTRO CIENCIAS COMUNICACAO"/>
    <s v="CAXIAS DO SUL"/>
    <s v="RUA FRANCISCO GETULIO VARGAS, 1130, CAXIAS DO SUL, 95070-560, BRAZIL"/>
    <s v="1677-0943"/>
    <s v="2178-2687"/>
    <s v=""/>
    <s v="CONEXAO"/>
    <s v="Conexao"/>
    <s v="JUL-DEC"/>
    <x v="4"/>
    <n v="18"/>
    <n v="36"/>
    <s v=""/>
    <s v=""/>
    <s v=""/>
    <s v=""/>
    <n v="15"/>
    <n v="35"/>
    <s v=""/>
    <s v="10.18226/21782687.v19.n36.01"/>
    <s v="http://dx.doi.org/10.18226/21782687.v19.n36.01"/>
    <s v=""/>
    <s v=""/>
    <n v="21"/>
    <x v="56"/>
    <x v="2"/>
    <s v="Communication"/>
    <s v="PH0LE"/>
    <s v=""/>
    <s v="gold"/>
    <s v=""/>
    <s v=""/>
    <s v="2023-11-15"/>
    <s v="WOS:000600114800002"/>
    <s v="View Full Record in Web of Science"/>
    <m/>
  </r>
  <r>
    <x v="453"/>
    <s v="J"/>
    <x v="449"/>
    <s v=""/>
    <s v=""/>
    <s v=""/>
    <s v="Pirni, Andrea; Giampellegrini, Pietro Paolo; Raffini, Luca"/>
    <s v=""/>
    <s v=""/>
    <x v="451"/>
    <x v="331"/>
    <s v=""/>
    <s v=""/>
    <s v="English"/>
    <s v="Article"/>
    <s v=""/>
    <s v=""/>
    <s v=""/>
    <s v=""/>
    <s v=""/>
    <x v="419"/>
    <x v="328"/>
    <s v="The contribution analysis the effects of digital transformation, provides a critical assessment of the policies on e-government in Europe and in Italy, and draft a research agenda focused on Liguria Region. The article moves from the need to conduct research aimed at analyzing the change in the relations between subject and institution in contemporary western societies. The article, focusing on official documents, explores the strategies of digital transformation adopted by the EU. Liguria is a case study of interest because, starting from the 2016-2018 Digital Strategic Program, has adopted a strong focus on the principles of Open Government and an explicit decision to invest in specific digital services for citizens and businesses."/>
    <s v="[Pirni, Andrea] Univ Genoa, Polit Sociol, Dept Polit Sci, Genoa, Italy; [Giampellegrini, Pietro Paolo] Univ Genoa, Field ICT Publ Adm, Genoa, Italy; [Giampellegrini, Pietro Paolo; Raffini, Luca] Univ Genoa, Dept Polit Sci, Genoa, Italy"/>
    <s v="University of Genoa; University of Genoa; University of Genoa"/>
    <s v="Pirni, A (corresponding author), Univ Genoa, Polit Sociol, Dept Polit Sci, Genoa, Italy."/>
    <s v="andrea.Pirni@unige.it; pietropaolo.giampellegrini@regione.liguria.it; luca.raffini@unige.it"/>
    <s v="Raffini, Luca/ABH-3178-2020"/>
    <s v="PIRNI, ANDREA FABRIZIO/0000-0001-7397-1885"/>
    <s v=""/>
    <s v=""/>
    <s v=""/>
    <s v=""/>
    <n v="52"/>
    <n v="3"/>
    <n v="3"/>
    <n v="0"/>
    <n v="12"/>
    <s v="UNIV ALICANTE, INST UNIV DESARROLLO SOCIAL &amp; PAZ-IUDESP"/>
    <s v="ALICANTE"/>
    <s v="AULARI I, 3A PLANTA, ALICANTE, 03080, SPAIN"/>
    <s v="1989-1385"/>
    <s v=""/>
    <s v=""/>
    <s v="OBETS-REV CIENC SOC"/>
    <s v="OBETS-Rev. Cienc. Soc."/>
    <s v="JUL-DEC"/>
    <x v="4"/>
    <n v="14"/>
    <n v="2"/>
    <s v=""/>
    <s v=""/>
    <s v=""/>
    <s v=""/>
    <n v="471"/>
    <n v="490"/>
    <s v=""/>
    <s v="10.14198/OBETS2019.14.2.07"/>
    <s v="http://dx.doi.org/10.14198/OBETS2019.14.2.07"/>
    <s v=""/>
    <s v=""/>
    <n v="20"/>
    <x v="31"/>
    <x v="2"/>
    <s v="Social Sciences - Other Topics"/>
    <s v="JZ2KF"/>
    <s v=""/>
    <s v="gold, Green Submitted"/>
    <s v=""/>
    <s v=""/>
    <s v="2023-11-15"/>
    <s v="WOS:000504932100007"/>
    <s v="View Full Record in Web of Science"/>
    <m/>
  </r>
  <r>
    <x v="454"/>
    <s v="J"/>
    <x v="450"/>
    <s v=""/>
    <s v=""/>
    <s v=""/>
    <s v="Llopis Verdu, Jorge; Serra Lluch, Juan; Torres Barchino, Ana"/>
    <s v=""/>
    <s v=""/>
    <x v="452"/>
    <x v="332"/>
    <s v=""/>
    <s v=""/>
    <s v="English"/>
    <s v="Article"/>
    <s v=""/>
    <s v=""/>
    <s v=""/>
    <s v=""/>
    <s v=""/>
    <x v="420"/>
    <x v="1"/>
    <s v="The use of diagrams is a graphic strategy, which, given the need to establish interpretative mechanisms that help us appreciate how a structure of such great formal complexity operates, has been used for some time to depict cities and whole territories. The advent of the digital graphic universe has led to an increase in the use of diagrams applied to their design and analysis. The new digital tools applied to cartography facilitate the graphical interpretation of activities carried out in the city or territory, to define representations of the uses and functions that occur there, transcending the formal representation to generate visual images that produce fresh, new insights into human activity. Said representations are obtained by managing massive quantities of data about human activity through techniques that have become known as Big Data, generating visual interpretations where the urban and territorial composition stops taking on an exclusively architectural form, but becomes instead a dynamic representation. It is a strategy that transcends the representation of architecture and space that used to constitute the basis of traditional cartography, and represents the uses that residents make of them, and can be applied at some very diverse scales, ranging from urban to territorial. There are a number of cartographic representation projects stemming from this type of digital strategy, and the Senseable City Lab project by MIT was chosen to examine both the potential and limitations of these types of strategies."/>
    <s v="[Llopis Verdu, Jorge; Serra Lluch, Juan; Torres Barchino, Ana] Univ Politecn Valencia, Architectural Graph Express Dept, Valencia, Spain"/>
    <s v="Universitat Politecnica de Valencia"/>
    <s v="Verdú, JL (corresponding author), Univ Politecn Valencia, Architectural Graph Express Dept, Valencia, Spain."/>
    <s v=""/>
    <s v="Serra, Juan/I-8761-2012"/>
    <s v="Serra, Juan/0000-0001-6171-1285"/>
    <s v=""/>
    <s v=""/>
    <s v=""/>
    <s v=""/>
    <n v="16"/>
    <n v="0"/>
    <n v="0"/>
    <n v="0"/>
    <n v="1"/>
    <s v="UNIV L AQUILA"/>
    <s v="L AQUILA"/>
    <s v="PALAZZO CAMPONESCHI, PIAZZA SANTA MARGHERITA 2, L AQUILA, ITALY"/>
    <s v="1828-5961"/>
    <s v=""/>
    <s v=""/>
    <s v="DISEGNARECON"/>
    <s v="Disegnarecon"/>
    <s v="JUN"/>
    <x v="4"/>
    <n v="12"/>
    <n v="22"/>
    <s v=""/>
    <s v=""/>
    <s v=""/>
    <s v=""/>
    <s v=""/>
    <s v=""/>
    <s v=""/>
    <s v=""/>
    <s v=""/>
    <s v=""/>
    <s v=""/>
    <n v="18"/>
    <x v="145"/>
    <x v="2"/>
    <s v="Architecture"/>
    <s v="VK7OV"/>
    <s v=""/>
    <s v=""/>
    <s v=""/>
    <s v=""/>
    <s v="2023-11-15"/>
    <s v="WOS:000751943600021"/>
    <s v="View Full Record in Web of Science"/>
    <m/>
  </r>
  <r>
    <x v="455"/>
    <s v="J"/>
    <x v="451"/>
    <s v=""/>
    <s v=""/>
    <s v=""/>
    <s v="Mhlungu, Ntandoyethu S. M.; Chen, Jeff Y. J.; Alkema, Peter"/>
    <s v=""/>
    <s v=""/>
    <x v="453"/>
    <x v="333"/>
    <s v=""/>
    <s v=""/>
    <s v="English"/>
    <s v="Article"/>
    <s v=""/>
    <s v=""/>
    <s v=""/>
    <s v=""/>
    <s v=""/>
    <x v="421"/>
    <x v="329"/>
    <s v="Background: Organisational digital transformation (ODT) is a field of growing interest in practice and academia. Further, a disparity between how information technology (IT) leaders and non-IT leaders perceive the factors leading to successful ODT initiatives has been cited. A set of empirically tested ODT assessment instruments will enhance leaders' decision-making when implementing ODT initiatives. Objectives: This research attempts to: (1) identify the key internal factors of successful ODT initiatives; and (2) confirm whether there is, as has been suggested, a difference between the way IT managers and non-IT managers perceive these factors. Method: A questionnaire consisting of 36 potential underlying factors was formulated, based on the existing literature and additional insights. A prescreening process ensured each survey participant met the selection criteria. From a total of 95 participants who completed the survey, 45 were IT executives and 50 were non-IT executives. Quantitative analyses were conducted to identify the key underlying factors and ascertain whether IT and non-IT leaders hold differing perceptions of these factors. Results: Factor analysis identified four categories of factors of a successful ODT initiative: (1) customer centricity, (2) governance, (3) innovation and (4) resource attainment. Further, the analysis revealed that IT and non-IT managers hold similar perceptions on the key factors affecting the overall ODT success. Conclusion: This research provides empirical evidence that paves the way towards a reliable ODT assessment instrument and refutes claims that IT and non-IT leaders hold contrasting views on these factors."/>
    <s v="[Mhlungu, Ntandoyethu S. M.; Chen, Jeff Y. J.] Univ Pretoria, Gordon Inst Business Sci, Johannesburg, South Africa; [Alkema, Peter] First Natl Bank, Business Banking Div, Johannesburg, South Africa"/>
    <s v="University of Pretoria"/>
    <s v="Chen, JYJ (corresponding author), Univ Pretoria, Gordon Inst Business Sci, Johannesburg, South Africa."/>
    <s v="chenj@gibs.co.za"/>
    <s v=""/>
    <s v="Mhlungu, Ntandoyethu/0000-0002-1491-049X"/>
    <s v=""/>
    <s v=""/>
    <s v=""/>
    <s v=""/>
    <n v="44"/>
    <n v="18"/>
    <n v="18"/>
    <n v="12"/>
    <n v="72"/>
    <s v="AOSIS"/>
    <s v="Durbanville"/>
    <s v="Postnet Suite 110, Private Bag x 19, Durbanville, SOUTH AFRICA"/>
    <s v="2078-1865"/>
    <s v="1560-683X"/>
    <s v=""/>
    <s v="S AFR J INFORM MANAG"/>
    <s v="S. Afr. J. Inform. Manag."/>
    <s v="APR 30"/>
    <x v="4"/>
    <n v="21"/>
    <n v="1"/>
    <s v=""/>
    <s v=""/>
    <s v=""/>
    <s v=""/>
    <s v=""/>
    <s v=""/>
    <s v="a995"/>
    <s v="10.4102/sajim.v21i1.995"/>
    <s v="http://dx.doi.org/10.4102/sajim.v21i1.995"/>
    <s v=""/>
    <s v=""/>
    <n v="10"/>
    <x v="66"/>
    <x v="2"/>
    <s v="Information Science &amp; Library Science"/>
    <s v="HX6XO"/>
    <s v=""/>
    <s v="gold, Green Submitted"/>
    <s v=""/>
    <s v=""/>
    <s v="2023-11-15"/>
    <s v="WOS:000467547400001"/>
    <s v="View Full Record in Web of Science"/>
    <m/>
  </r>
  <r>
    <x v="456"/>
    <s v="J"/>
    <x v="452"/>
    <s v=""/>
    <s v=""/>
    <s v=""/>
    <s v="Ferlin, Edson Pedro; Rezende, Denis Alcides"/>
    <s v=""/>
    <s v=""/>
    <x v="454"/>
    <x v="297"/>
    <s v=""/>
    <s v=""/>
    <s v="Portuguese"/>
    <s v="Article"/>
    <s v=""/>
    <s v=""/>
    <s v=""/>
    <s v=""/>
    <s v=""/>
    <x v="422"/>
    <x v="1"/>
    <s v="In the context of Strategic Digital City, the Smart Cities are cities that use information technologies to facilitate the performance of public services, reduce costs and enhance contact between citizens and Government. The Big Data can be the answer to which Governments can manipulate large sets of information generated from the digitalization of social life. The goal is to evaluate applications of Smart Cities from the perspective of the Big Data on service management and decision-making. The research methodology used is the study of Smart City applications and quantitative approach was used, involving the analysis of the data of applications. The results earned the importance of Big Data systems for Smart Cities. The conclusion reiterates that cases of Smart Cities are punctual and Big Data analysis is still not part of the design of policies of cities appearing as well as how to improve plans already established in cities."/>
    <s v="[Ferlin, Edson Pedro] Fac Integradas Camoes Parana, Curitiba, Parana, Brazil; [Rezende, Denis Alcides] Pontificia Univ Catolica Parana, CNPq Brasil, Curitiba, Parana, Brazil"/>
    <s v="Pontificia Universidade Catolica do Parana"/>
    <s v="Ferlin, EP (corresponding author), Fac Integradas Camoes Parana, Curitiba, Parana, Brazil."/>
    <s v="eferlin@live.com; dar@denisalcidesrezende.com.br"/>
    <s v="Ferlin, Edson Pedro/AAM-4371-2021"/>
    <s v="Ferlin, Edson Pedro/0000-0001-6626-1797"/>
    <s v=""/>
    <s v=""/>
    <s v=""/>
    <s v=""/>
    <n v="43"/>
    <n v="1"/>
    <n v="1"/>
    <n v="2"/>
    <n v="20"/>
    <s v="FUNDACAO PEDRO LEOPOLDO"/>
    <s v="PEDRO LEOPOLDO"/>
    <s v="AV LINCOLN DIOGO VIANA 830, PEDRO LEOPOLDO, MG 33600-000, BRAZIL"/>
    <s v="1677-9479"/>
    <s v="2177-6652"/>
    <s v=""/>
    <s v="REV GEST TECNOL"/>
    <s v="Rev. Gest. Tecnol."/>
    <s v="APR-JUN"/>
    <x v="4"/>
    <n v="19"/>
    <n v="2"/>
    <s v=""/>
    <s v=""/>
    <s v=""/>
    <s v=""/>
    <n v="175"/>
    <n v="194"/>
    <s v=""/>
    <s v="10.20397/2177-6652/2019.v19i2.1533"/>
    <s v="http://dx.doi.org/10.20397/2177-6652/2019.v19i2.1533"/>
    <s v=""/>
    <s v=""/>
    <n v="20"/>
    <x v="8"/>
    <x v="2"/>
    <s v="Business &amp; Economics"/>
    <s v="HR1RN"/>
    <s v=""/>
    <s v="gold"/>
    <s v=""/>
    <s v=""/>
    <s v="2023-11-15"/>
    <s v="WOS:000462912100009"/>
    <s v="View Full Record in Web of Science"/>
    <m/>
  </r>
  <r>
    <x v="457"/>
    <s v="J"/>
    <x v="453"/>
    <s v=""/>
    <s v=""/>
    <s v=""/>
    <s v="Richter, Jutta G.; Chehab, Gamal; Kiltz, Uta; Callhoff, Johanna; Voormann, Anna; Lorenz, Hanns-Martin; Schneider, Matthias; Specker, Christof"/>
    <s v=""/>
    <s v=""/>
    <x v="455"/>
    <x v="334"/>
    <s v=""/>
    <s v=""/>
    <s v="German"/>
    <s v="Article"/>
    <s v=""/>
    <s v=""/>
    <s v=""/>
    <s v=""/>
    <s v=""/>
    <x v="423"/>
    <x v="330"/>
    <s v="Was ist neu? Stand der Dinge Innovationen in der Informations- und Kommunikationstechnologie haben in der Rheumatologie eine jahrzehntelange Tradition, die Deutsche Gesellschaft fur Rheumatologie hat im Jahr 2018 die Kommission Digitale Rheumatologie gegrundet. Digitale Anwendungen in der deutschen Rheumatologie Mobile Datenerfassung rheumatologischer Patienten ist valide moglich. Sie eroffnet damit neuartige Moglichkeiten bei der Umsetzung moderner Behandlungsstrategien. Zum Screening auf entzundlich-rheumatische Systemerkrankungen stehen Interessierten z.B. mit dem Rheuma-Check und dem Bechterew-Check jederzeit digitale Anwendungen zur Verfugung. Die digitalen Angebote sowie moderne Netzwerkstrukturen erlauben eine Triage der Patienten. Mit dem Rhekiss- und dem RABBIT-SpA-Register stehen erstmals vollstandig digitalisierte Register zur Verfugung, die kurzfristig Daten zu Fragestellungen liefern, die in klinischen Studien der pharmazeutischen Industrie nicht abgebildet werden. Ausblick Durch die Digitalisierung in der Rheumatologie konnen wichtige Fragen der Versorgungsforschung zukunftig deutlich schneller beantwortet werden. Abstract State of the art Innovations in information and communication technology have been used in rheumatology for many years. In 2018 the German Society for Rheumatology established the Commission Digital Rheumatology. Digital applications in German Rheumatology Mobile data acquisition in rheumatological patients is feasible. It offers innovative possibilities in the implementation of modern treatment strategies. Digital applications such as the Rheuma Check and the Bechterew Check are available to the public at any time to screen for inflammatory rheumatic diseases. Other digital services and modern networks allow a triage of patients. Rhekiss and RABBIT SpA are the first fully digitalised registries to provide short-term data on issues that are not covered by clinical trials of pharmaceutical companies. Outlook Digitalization in Rheumatology will provide much faster answers to important questions in healthcare research in the future."/>
    <s v="[Richter, Jutta G.; Chehab, Gamal; Schneider, Matthias] Heinrich Heine Univ Dusseldorf, Univ Klinikum Dusseldorf, Med Fak, Poliklin,Funkt Bereich, Moorenstr 5, D-40225 Dusseldorf, Germany; [Richter, Jutta G.; Chehab, Gamal; Schneider, Matthias] Heinrich Heine Univ Dusseldorf, Univ Klinikum Dusseldorf, Med Fak, Hiller Forschungszentrum Rheumatol, Moorenstr 5, D-40225 Dusseldorf, Germany; [Kiltz, Uta] Rheumazentrum Ruhrgebiet, Herne, Germany; [Kiltz, Uta] Ruhr Univ Bochum, Bochum, Germany; [Callhoff, Johanna] Deutsch Rheuma Forschungszentrum, Berlin, Germany; [Voormann, Anna] Deutsch Gesell Rheumatol, Berlin, Germany; [Lorenz, Hanns-Martin] Univ Klinikum Heidelberg, Med Klin 5, Sekt Rheumatol, Heidelberg, Germany; [Specker, Christof] Klin Essen Mitte, Klin Rheumatol &amp; Klin Immunol, Evangel Krankenhaus, Essen, Germany"/>
    <s v="Heinrich Heine University Dusseldorf; Heinrich Heine University Dusseldorf Hospital; Heinrich Heine University Dusseldorf; Heinrich Heine University Dusseldorf Hospital; Rheumazentrum Ruhrgebiet; Ruhr University Bochum; Ruhr University Bochum; Deutsches Rheuma-Forschungszentrum (DRFZ); Ruprecht Karls University Heidelberg; Kliniken Essen-Mitte"/>
    <s v="Richter, JG (corresponding author), Heinrich Heine Univ Dusseldorf, Univ Klinikum Dusseldorf, Med Fak, Poliklin,Funkt Bereich, Moorenstr 5, D-40225 Dusseldorf, Germany.;Richter, JG (corresponding author), Heinrich Heine Univ Dusseldorf, Univ Klinikum Dusseldorf, Med Fak, Hiller Forschungszentrum Rheumatol, Moorenstr 5, D-40225 Dusseldorf, Germany."/>
    <s v="richter@rheumanet.org"/>
    <s v="Chehab, Gamal/AAP-5698-2021; Specker, Christof/GNP-2957-2022; owoyele, babajide/AAD-7054-2020; Specker, Christof/ABE-6317-2021; Richter, Jutta G/AAA-5054-2021; Richter, Jutta G./AHA-3103-2022"/>
    <s v="Chehab, Gamal/0000-0001-7309-2370; owoyele, babajide/0000-0002-3688-5248; Richter, Jutta G./0000-0001-8194-3243; Callhoff, Johanna/0000-0002-3923-2728; Specker, Christof/0000-0003-2504-3229"/>
    <s v=""/>
    <s v=""/>
    <s v=""/>
    <s v=""/>
    <n v="25"/>
    <n v="7"/>
    <n v="7"/>
    <n v="0"/>
    <n v="6"/>
    <s v="GEORG THIEME VERLAG KG"/>
    <s v="STUTTGART"/>
    <s v="RUDIGERSTR 14, D-70469 STUTTGART, GERMANY"/>
    <s v="0012-0472"/>
    <s v="1439-4413"/>
    <s v=""/>
    <s v="DEUT MED WOCHENSCHR"/>
    <s v="Dtsch. Med. Wochenschr."/>
    <s v="APR"/>
    <x v="4"/>
    <n v="144"/>
    <n v="7"/>
    <s v=""/>
    <s v=""/>
    <s v=""/>
    <s v=""/>
    <n v="464"/>
    <n v="469"/>
    <s v=""/>
    <s v="10.1055/a-0740-8773"/>
    <s v="http://dx.doi.org/10.1055/a-0740-8773"/>
    <s v=""/>
    <s v=""/>
    <n v="6"/>
    <x v="28"/>
    <x v="0"/>
    <s v="General &amp; Internal Medicine"/>
    <s v="HS1FS"/>
    <n v="30925601"/>
    <s v=""/>
    <s v=""/>
    <s v=""/>
    <s v="2023-11-15"/>
    <s v="WOS:000463608100008"/>
    <s v="View Full Record in Web of Science"/>
    <m/>
  </r>
  <r>
    <x v="458"/>
    <s v="J"/>
    <x v="454"/>
    <s v=""/>
    <s v=""/>
    <s v=""/>
    <s v="Zimand Sheiner, Dorit; Earon, Amir"/>
    <s v=""/>
    <s v=""/>
    <x v="456"/>
    <x v="335"/>
    <s v=""/>
    <s v=""/>
    <s v="English"/>
    <s v="Article"/>
    <s v=""/>
    <s v=""/>
    <s v=""/>
    <s v=""/>
    <s v=""/>
    <x v="424"/>
    <x v="331"/>
    <s v="Purpose The purpose of this paper is to focus on transformations in the advertising industry from the point of view of the role and position of account planners. It questions the current viability of account planning (AP) as a result of digital disruptions. Design/methodology/approach In total, 18 face-to-face responsive interviews were conducted among professionals who hold planning responsibilities at advertising agencies. A theoretical thematic analysis revealed five main themes which are associated with the disruption of AP roles. Findings The research points out that AP is a profession in transition as part of the advertising industry that is undergoing a major shift. Digital transformations have not yet crystallized in the business domain, and so this period is one of learning and adjustment. Originality/value The current research has several significant implications for theory and practice: confronting the role of the strategist in advertising agencies vs digital strategy and Big Data; contributing to the understanding of the dynamics of AP transitional roles as a starting point for re-examination of the advertising creative process; and calling for more research exploring the relationship between agency adoption of digital tools and its approach to AP."/>
    <s v="[Zimand Sheiner, Dorit] Ariel Univ, Sch Commun, Strateg Commun Track, Ariel, Israel; [Earon, Amir] Sapir Coll, Dept Commun, Ashqelon, Israel"/>
    <s v="Ariel University"/>
    <s v="Zimand Sheiner, D (corresponding author), Ariel Univ, Sch Commun, Strateg Commun Track, Ariel, Israel."/>
    <s v="doritzs@ariel.ac.il; amir.earon@gmail.com"/>
    <s v="Sheiner, Dorit Zimand/L-1946-2019"/>
    <s v="Sheiner, Dorit Zimand/0000-0003-3543-2260"/>
    <s v=""/>
    <s v=""/>
    <s v=""/>
    <s v=""/>
    <n v="38"/>
    <n v="5"/>
    <n v="5"/>
    <n v="4"/>
    <n v="49"/>
    <s v="EMERALD GROUP PUBLISHING LTD"/>
    <s v="BINGLEY"/>
    <s v="HOWARD HOUSE, WAGON LANE, BINGLEY BD16 1WA, W YORKSHIRE, ENGLAND"/>
    <s v="0263-4503"/>
    <s v="1758-8049"/>
    <s v=""/>
    <s v="MARK INTELL PLAN"/>
    <s v="Mark. Intell. Plan."/>
    <s v="APR 1"/>
    <x v="4"/>
    <n v="37"/>
    <n v="2"/>
    <s v=""/>
    <s v=""/>
    <s v=""/>
    <s v=""/>
    <n v="126"/>
    <n v="139"/>
    <s v=""/>
    <s v="10.1108/MIP-04-2018-0115"/>
    <s v="http://dx.doi.org/10.1108/MIP-04-2018-0115"/>
    <s v=""/>
    <s v=""/>
    <n v="14"/>
    <x v="33"/>
    <x v="1"/>
    <s v="Business &amp; Economics"/>
    <s v="HP4KR"/>
    <s v=""/>
    <s v=""/>
    <s v=""/>
    <s v=""/>
    <s v="2023-11-15"/>
    <s v="WOS:000461645400001"/>
    <s v="View Full Record in Web of Science"/>
    <m/>
  </r>
  <r>
    <x v="459"/>
    <s v="J"/>
    <x v="455"/>
    <s v=""/>
    <s v=""/>
    <s v=""/>
    <s v="Pesce, Danilo; Neirotti, Paolo; Paolucci, Emilio"/>
    <s v=""/>
    <s v=""/>
    <x v="457"/>
    <x v="336"/>
    <s v=""/>
    <s v=""/>
    <s v="English"/>
    <s v="Article"/>
    <s v=""/>
    <s v=""/>
    <s v=""/>
    <s v=""/>
    <s v=""/>
    <x v="425"/>
    <x v="332"/>
    <s v="Research on big data has highlighted that a crucial element to create value from data is the capability of aligning different stakeholders' interests. However, it has not yet been investigated empirically how this process of alignment can be realized. We conduct a multiple case study on the two leading platforms involved in the online dissemination of cultural heritage - Europeana and Google Arts &amp; Culture. Our findings reveal that a platform overtakes a rival one when it turns on multiple drivers of value creation in such a way that the drivers contribute to realigning the interests expressed by the stakeholders whose strategic objectives and beliefs were formerly divergent - or simply unrelated - to each other. This capability of realigning different stakeholders' interests is independent of the level of industry-specific knowledge that the platform orchestrator has. The dynamics we document imply that Google has assumed a system integration role in the cultural ecosystem. This generates new trade-offs for museums in the way they generate value for the tourism industry. The paper enriches our understanding of what strategies digital platforms adopt to create value in big data contexts and provides a base to continue the investigation on other ecosystems driven by big data."/>
    <s v="[Pesce, Danilo; Neirotti, Paolo; Paolucci, Emilio] Politecn Torino, Dept Management &amp; Prod Engn, Turin, Italy"/>
    <s v="Polytechnic University of Turin"/>
    <s v="Pesce, D (corresponding author), Politecn Torino, Dept Management &amp; Prod Engn, Turin, Italy."/>
    <s v="danilo.pesce@polito.it"/>
    <s v="Paolucci, Emilio/AFD-5843-2022; Pesce, Danilo/B-6390-2018"/>
    <s v="Paolucci, Emilio/0000-0003-1249-8179; Pesce, Danilo/0000-0002-3405-8396"/>
    <s v="'Ministero dell'Istruzione, dell'Universita e della Ricerca' Award [TESUN-83486178370409, CAP.1694TIT.232ART.6]"/>
    <s v="'Ministero dell'Istruzione, dell'Universita e della Ricerca' Award"/>
    <s v="This work has been partially supported by 'Ministero dell'Istruzione, dell'Universita e della Ricerca' Award 'TESUN-83486178370409 finanziamento dipartimenti di eccellenza CAP.1694TIT.232ART.6'."/>
    <s v=""/>
    <n v="32"/>
    <n v="33"/>
    <n v="33"/>
    <n v="21"/>
    <n v="126"/>
    <s v="ROUTLEDGE JOURNALS, TAYLOR &amp; FRANCIS LTD"/>
    <s v="ABINGDON"/>
    <s v="2-4 PARK SQUARE, MILTON PARK, ABINGDON OX14 4RN, OXON, ENGLAND"/>
    <s v="1368-3500"/>
    <s v="1747-7603"/>
    <s v=""/>
    <s v="CURR ISSUES TOUR"/>
    <s v="Curr. Issues Tour."/>
    <s v="SEP 14"/>
    <x v="4"/>
    <n v="22"/>
    <n v="15"/>
    <s v=""/>
    <s v=""/>
    <s v=""/>
    <s v=""/>
    <n v="1883"/>
    <n v="1903"/>
    <s v=""/>
    <s v="10.1080/13683500.2019.1591354"/>
    <s v="http://dx.doi.org/10.1080/13683500.2019.1591354"/>
    <s v=""/>
    <s v="MAR 2019"/>
    <n v="21"/>
    <x v="88"/>
    <x v="1"/>
    <s v="Social Sciences - Other Topics"/>
    <s v="IM6KX"/>
    <s v=""/>
    <s v="Green Accepted"/>
    <s v=""/>
    <s v=""/>
    <s v="2023-11-15"/>
    <s v="WOS:000461926700001"/>
    <s v="View Full Record in Web of Science"/>
    <m/>
  </r>
  <r>
    <x v="460"/>
    <s v="J"/>
    <x v="456"/>
    <s v=""/>
    <s v=""/>
    <s v=""/>
    <s v="Thurman, Neil; Fletcher, Richard"/>
    <s v=""/>
    <s v=""/>
    <x v="458"/>
    <x v="337"/>
    <s v=""/>
    <s v=""/>
    <s v="English"/>
    <s v="Article"/>
    <s v=""/>
    <s v=""/>
    <s v=""/>
    <s v=""/>
    <s v=""/>
    <x v="426"/>
    <x v="333"/>
    <s v="Newspapers' democratic functions have not been fully assumed by the media capturing the revenues newspapers used to enjoy. It is, therefore, important to understand the determinants of newspaper use. Earlier studies found age to be the principal determinant, but did not account for newspapers' online editions. This article investigates to what extent digital distribution has disrupted previously observed cohort effects, bringing younger audiences back to newspaper content. The annual time spent with UK newspapers by their younger, middle-aged, and older British audiences was calculated for 1999/2000-before, or just after, newspapers started to go online-and for 2016, when digital distribution had come of age. The results show (1) the time spent with newspaper brands fell by 40 per cent, even as online platforms made access easier and cheaper; (2) the proportional decrease in time spent was greatest for the youngest age group and smallest for the oldest; and (3) there are important variations between individual newspaper brands, a result, we propose, of differences in their multiplatform strategies. Digital distribution has, therefore, had little impact on previously observed cohort effects but has enabled changes in media use that have shaped the attention given to newspapers and will continue to do so."/>
    <s v="[Thurman, Neil] Ludwig Maximilians Univ Munchen, Dept Commun Studies &amp; Media Res, Munich, Germany; [Thurman, Neil] City Univ London, London, England; [Fletcher, Richard] Univ Oxford, Reuters Inst Study Journalism, Oxford, England"/>
    <s v="University of Munich; City University London; University of Oxford"/>
    <s v="Thurman, N (corresponding author), Ludwig Maximilians Univ Munchen, Dept Commun Studies &amp; Media Res, Munich, Germany.;Thurman, N (corresponding author), City Univ London, London, England."/>
    <s v="neil.thurman@ifkw.lmu.de; richard.fletcher@politics.ox.ac.uk"/>
    <s v="Fletcher, Richard/V-4402-2019"/>
    <s v="Fletcher, Richard/0000-0002-5496-2112; Thurman, Neil/0000-0003-3909-9565"/>
    <s v="Volkswagen Foundation [A110823/88171]; Google UK as part of the Digital News Initiative [CTR00220]; Digital News Report [CTR00150]"/>
    <s v="Volkswagen Foundation(Volkswagen); Google UK as part of the Digital News Initiative(Google Incorporated); Digital News Report"/>
    <s v="The research was supported by a research grant from the Volkswagen Foundation (A110823/88171), with additional support from Google UK as part of the Digital News Initiative (CTR00220), and the Digital News Report (CTR00150)."/>
    <s v=""/>
    <n v="45"/>
    <n v="28"/>
    <n v="29"/>
    <n v="1"/>
    <n v="9"/>
    <s v="ROUTLEDGE JOURNALS, TAYLOR &amp; FRANCIS LTD"/>
    <s v="ABINGDON"/>
    <s v="2-4 PARK SQUARE, MILTON PARK, ABINGDON OX14 4RN, OXON, ENGLAND"/>
    <s v="1461-670X"/>
    <s v="1469-9699"/>
    <s v=""/>
    <s v="JOURNALISM STUD"/>
    <s v="Journal. Stud."/>
    <s v="MAR 12"/>
    <x v="4"/>
    <n v="20"/>
    <n v="4"/>
    <s v=""/>
    <s v=""/>
    <s v=""/>
    <s v=""/>
    <n v="542"/>
    <n v="562"/>
    <s v=""/>
    <s v="10.1080/1461670X.2017.1397532"/>
    <s v="http://dx.doi.org/10.1080/1461670X.2017.1397532"/>
    <s v=""/>
    <s v=""/>
    <n v="21"/>
    <x v="56"/>
    <x v="1"/>
    <s v="Communication"/>
    <s v="HN8PQ"/>
    <s v=""/>
    <s v="hybrid, Green Accepted"/>
    <s v=""/>
    <s v=""/>
    <s v="2023-11-15"/>
    <s v="WOS:000460458100005"/>
    <s v="View Full Record in Web of Science"/>
    <m/>
  </r>
  <r>
    <x v="461"/>
    <s v="J"/>
    <x v="457"/>
    <s v=""/>
    <s v=""/>
    <s v=""/>
    <s v="Chanias, Simon; Myers, Michael D.; Hess, Thomas"/>
    <s v=""/>
    <s v=""/>
    <x v="459"/>
    <x v="212"/>
    <s v=""/>
    <s v=""/>
    <s v="English"/>
    <s v="Article"/>
    <s v=""/>
    <s v=""/>
    <s v=""/>
    <s v=""/>
    <s v=""/>
    <x v="427"/>
    <x v="334"/>
    <s v="The formulation and implementation of a digital transformation strategy (DTS) has become a key concern for many pre-digital organizations across traditional industries, but how such a strategy can be developed remains an open question. We used interpretive in-depth case study research to study how a European financial services provider has formulated and implemented a DTS. By focusing on the underlying processes and strategizing activities, we show that digital strategy making not only represents a break with the conventions of upfront strategic information systems (IS) planning, but reveals a new extreme of emergent strategy making. Specifically, we conclude that a DTS is continuously in the making, with no foreseeable end. By building on theory from IS strategizing and strategy-as-practice literature, we theorize an integrated process/activity model that characterizes DTS formulation and implementation in pre-digital organizations. Our model shows that the crafting of a DTS is a highly dynamic process involving iterating between learning and doing."/>
    <s v="[Chanias, Simon; Hess, Thomas] Ludwig Maximilians Univ Munchen, Inst Informat Syst &amp; New Media, Ludwigstr 28, D-80539 Munich, Germany; [Myers, Michael D.] Univ Auckland, Business Sch, Dept Informat Syst &amp; Operat Management, Auckland 1010, New Zealand"/>
    <s v="University of Munich; University of Auckland"/>
    <s v="Myers, MD (corresponding author), Univ Auckland, Business Sch, Dept Informat Syst &amp; Operat Management, Auckland 1010, New Zealand."/>
    <s v="chanias@bwl.lmu.de; m.myers@auckland.ac.nz; thess@bwl.lmu.de"/>
    <s v="Hess, Thomas K/A-1774-2016; Myers, Michael David/F-9405-2010"/>
    <s v="Myers, Michael David/0000-0001-8525-6395; Hess, Thomas/0000-0003-3969-7477"/>
    <s v=""/>
    <s v=""/>
    <s v=""/>
    <s v=""/>
    <n v="73"/>
    <n v="209"/>
    <n v="220"/>
    <n v="64"/>
    <n v="501"/>
    <s v="ELSEVIER"/>
    <s v="AMSTERDAM"/>
    <s v="RADARWEG 29, 1043 NX AMSTERDAM, NETHERLANDS"/>
    <s v="0963-8687"/>
    <s v="1873-1198"/>
    <s v=""/>
    <s v="J STRATEGIC INF SYST"/>
    <s v="J. Strateg. Inf. Syst."/>
    <s v="MAR"/>
    <x v="4"/>
    <n v="28"/>
    <n v="1"/>
    <s v=""/>
    <s v=""/>
    <s v=""/>
    <s v=""/>
    <n v="17"/>
    <n v="33"/>
    <s v=""/>
    <s v="10.1016/j.jsis.2018.11.003"/>
    <s v="http://dx.doi.org/10.1016/j.jsis.2018.11.003"/>
    <s v=""/>
    <s v=""/>
    <n v="17"/>
    <x v="62"/>
    <x v="3"/>
    <s v="Computer Science; Information Science &amp; Library Science; Business &amp; Economics"/>
    <s v="HR6ZV"/>
    <s v=""/>
    <s v=""/>
    <s v=""/>
    <s v=""/>
    <s v="2023-11-15"/>
    <s v="WOS:000463302600003"/>
    <s v="View Full Record in Web of Science"/>
    <m/>
  </r>
  <r>
    <x v="462"/>
    <s v="J"/>
    <x v="458"/>
    <s v=""/>
    <s v=""/>
    <s v=""/>
    <s v="Dombrowski, Tobias; Dazert, Stefan; Volkenstein, Stefan"/>
    <s v=""/>
    <s v=""/>
    <x v="460"/>
    <x v="338"/>
    <s v=""/>
    <s v=""/>
    <s v="German"/>
    <s v="Article"/>
    <s v=""/>
    <s v=""/>
    <s v=""/>
    <s v=""/>
    <s v=""/>
    <x v="428"/>
    <x v="335"/>
    <s v="The development of digital strategies in teaching is based on the technological progress of the last decades, but also on the strong motivation to focus a didactic concept on the learning individuals. The available data of German medical faculties indicate that digital teaching concepts currently play a subordinate role in medicine in general and specifically in otorhinolaryngology. By assessing data of our own institution, we could demonstrate that the majority of medical students refer mainly to material handed out by the lecturers as single source of information for learning Otorhinolaryngology. Therefore, the application of sound digital teaching strategies provides special chances, in particular in otorhinolaryngology to cope with the excessive amount of online information from partly unclear sources. Currently, the possible degree of digital teaching reaches from digital service supply via punctual provision of classic teaching concepts and blended learning up to completely digital curricula. The attractiveness of curricular integration of digital teaching strategies is less based on the utilization of merely technological progress, but rather on the variety of applying innovative curricula and new didactic concepts. Depending on the intended teaching purpose, the flipped classroom and the virtual reality seem to have a particularly high potential, while mobile learning is already established in individual practice. Testing and evaluating digital teaching innovations for concrete scenarios currently belongs to the most important scientific challenges of digital teaching concepts. Today, the nationwide implementation of digital teaching in Germany is less impeded by technical conditions, but by missing financing because sponsoring is currently mainly performed with reference to concrete projects; in the context of permanent implementation, however, regular costs arise. To support these promising teaching concepts, the sponsoring of institutions for digital teaching with provision of hard-and software solutions at universities could contribute significantly. Establishing cooperation to use such digital platforms might lead to a high efficiency regarding the distribution with simultaneously profiting of savings potential."/>
    <s v="[Dombrowski, Tobias; Dazert, Stefan; Volkenstein, Stefan] Ruhr Univ Bochum, St Elisabeth Hosp, Klin Hals Nasen Ohrenheilkunde Kopf &amp; Halschirurg, Bochum, Germany"/>
    <s v="Ruhr University Bochum"/>
    <s v="Dombrowski, T (corresponding author), St Elizabeth Hosp, Univ HNO Klin, Bleichstr 15, D-44787 Bochum, Germany."/>
    <s v="tobias.dombrowski@rub.de"/>
    <s v="Volkenstein, Stefan/AAW-3829-2021; Volkenstein, Stefan/AAD-2719-2019"/>
    <s v=""/>
    <s v=""/>
    <s v=""/>
    <s v=""/>
    <s v=""/>
    <n v="81"/>
    <n v="6"/>
    <n v="6"/>
    <n v="1"/>
    <n v="24"/>
    <s v="GEORG THIEME VERLAG KG"/>
    <s v="STUTTGART"/>
    <s v="RUDIGERSTR 14, D-70469 STUTTGART, GERMANY"/>
    <s v="0935-8943"/>
    <s v="1438-8685"/>
    <s v=""/>
    <s v="LARYNGO RHINO OTOL"/>
    <s v="Laryngo-Rhino-Otol."/>
    <s v="MAR"/>
    <x v="4"/>
    <n v="98"/>
    <s v=""/>
    <s v=""/>
    <n v="1"/>
    <s v=""/>
    <s v=""/>
    <s v="S197"/>
    <s v="S208"/>
    <s v=""/>
    <s v="10.1055/a-0803-0218"/>
    <s v="http://dx.doi.org/10.1055/a-0803-0218"/>
    <s v=""/>
    <s v=""/>
    <n v="12"/>
    <x v="146"/>
    <x v="0"/>
    <s v="Otorhinolaryngology"/>
    <s v="IA3YE"/>
    <n v="31096299"/>
    <s v="hybrid"/>
    <s v=""/>
    <s v=""/>
    <s v="2023-11-15"/>
    <s v="WOS:000469498300008"/>
    <s v="View Full Record in Web of Science"/>
    <m/>
  </r>
  <r>
    <x v="463"/>
    <s v="J"/>
    <x v="459"/>
    <s v=""/>
    <s v=""/>
    <s v=""/>
    <s v="Herrero de la Fuente, Mercedes; Garcia Dominguez, Antonio"/>
    <s v=""/>
    <s v=""/>
    <x v="461"/>
    <x v="258"/>
    <s v=""/>
    <s v=""/>
    <s v="English"/>
    <s v="Article"/>
    <s v=""/>
    <s v=""/>
    <s v=""/>
    <s v=""/>
    <s v=""/>
    <x v="429"/>
    <x v="1"/>
    <s v="Digital technology provides narrative and interaction possibilities with the audience that have already begun to be exploited by televisions. One of the most recent is Facebook Live, which allows us, through Facebook, to broadcast live or streaming from a mobile device. The Atresmedia group adopted this tool in late 2016, both in Antena 3 and laSexta, incorporating it to certain profiles of these TV channels in the referred social network. These live broadcasts seek direct contact with the followers of the different television spaces and are part of a broader digital strategy, in which the social and the traditional audiences appear related. This piece of research focuses on analyzing how Atresmedia uses these live connections and if there is a strategy with some defined guidelines and objectives in the analyzed Facebook accounts, both in Antena 3 and laSexta."/>
    <s v="[Herrero de la Fuente, Mercedes] Nebrija Univ, Madrid, Spain; [Garcia Dominguez, Antonio] Social Media Atresmedia, San Sebastian, Spain"/>
    <s v="Universidad Antonio de Nebrija"/>
    <s v="de la Fuente, MH (corresponding author), Nebrija Univ, Madrid, Spain."/>
    <s v="mherrero@nebrija.es; antonio.garciad@atresmedia.com"/>
    <s v="Herrero de la Fuente, Mercedes/V-6141-2018"/>
    <s v="Herrero de la Fuente, Mercedes/0000-0002-5361-9056"/>
    <s v=""/>
    <s v=""/>
    <s v=""/>
    <s v=""/>
    <n v="6"/>
    <n v="3"/>
    <n v="3"/>
    <n v="2"/>
    <n v="18"/>
    <s v="UNIV COMPLUTENSE MADRID, SERVICIO PUBLICACIONES"/>
    <s v="MADRID"/>
    <s v="CIUDAD UNIV, OBISPO TREJO 3, MADRID, 28040, SPAIN"/>
    <s v="1575-2844"/>
    <s v=""/>
    <s v=""/>
    <s v="VIVAT ACAD"/>
    <s v="Vivat Acad."/>
    <s v="MAR-JUN"/>
    <x v="4"/>
    <s v=""/>
    <n v="146"/>
    <s v=""/>
    <s v=""/>
    <s v=""/>
    <s v=""/>
    <n v="43"/>
    <n v="70"/>
    <s v=""/>
    <s v="10.15178/va.2019.146.43-70"/>
    <s v="http://dx.doi.org/10.15178/va.2019.146.43-70"/>
    <s v=""/>
    <s v=""/>
    <n v="28"/>
    <x v="56"/>
    <x v="2"/>
    <s v="Communication"/>
    <s v="HO8HV"/>
    <s v=""/>
    <s v="Green Submitted, gold"/>
    <s v=""/>
    <s v=""/>
    <s v="2023-11-15"/>
    <s v="WOS:000461191900003"/>
    <s v="View Full Record in Web of Science"/>
    <m/>
  </r>
  <r>
    <x v="464"/>
    <s v="J"/>
    <x v="460"/>
    <s v=""/>
    <s v=""/>
    <s v=""/>
    <s v="Schoenermark, Matthias P."/>
    <s v=""/>
    <s v=""/>
    <x v="462"/>
    <x v="338"/>
    <s v=""/>
    <s v=""/>
    <s v="German"/>
    <s v="Article"/>
    <s v=""/>
    <s v=""/>
    <s v=""/>
    <s v=""/>
    <s v=""/>
    <x v="430"/>
    <x v="336"/>
    <s v="The collection, analysis and management of clinical data with electronic applications has already widely been used. The digitalization of medical records is expected to bear significant potentials for the increase of clinical efficiency and effectiveness. This has led to numerous legal initiatives by policymakers and healthcare systems in many countries to secure the spatially inclusive and comprehensive establishment of electronic health records in preferably all medical entities. The following article describes the principles of electronic medical data management and exemplifies the different approaches which are followed internationally. Further-more, it discusses how medical data management systems create value in terms of higher clinical quality or lower treatment and administrative costs. And finally, the strategic and operative implications are deducted and concrete opportunities for action are described how the introduction of electronic health records may be optimally structured."/>
    <s v="[Schoenermark, Matthias P.] SKC Beratungsgesell mbH, Pelikanplatz 21, D-30177 Hannover, Germany"/>
    <s v=""/>
    <s v="Schönermark, MP (corresponding author), SKC Beratungsgesell mbH, Pelikanplatz 21, D-30177 Hannover, Germany."/>
    <s v=""/>
    <s v=""/>
    <s v=""/>
    <s v=""/>
    <s v=""/>
    <s v=""/>
    <s v=""/>
    <n v="151"/>
    <n v="0"/>
    <n v="0"/>
    <n v="1"/>
    <n v="15"/>
    <s v="GEORG THIEME VERLAG KG"/>
    <s v="STUTTGART"/>
    <s v="RUDIGERSTR 14, D-70469 STUTTGART, GERMANY"/>
    <s v="0935-8943"/>
    <s v="1438-8685"/>
    <s v=""/>
    <s v="LARYNGO RHINO OTOL"/>
    <s v="Laryngo-Rhino-Otol."/>
    <s v="MAR"/>
    <x v="4"/>
    <n v="98"/>
    <s v=""/>
    <s v=""/>
    <n v="1"/>
    <s v=""/>
    <s v=""/>
    <s v="S220"/>
    <s v="S236"/>
    <s v=""/>
    <s v="10.1055/a-0755-2688"/>
    <s v="http://dx.doi.org/10.1055/a-0755-2688"/>
    <s v=""/>
    <s v=""/>
    <n v="17"/>
    <x v="146"/>
    <x v="3"/>
    <s v="Otorhinolaryngology"/>
    <s v="IA3YE"/>
    <n v="31096300"/>
    <s v="hybrid"/>
    <s v=""/>
    <s v=""/>
    <s v="2023-11-15"/>
    <s v="WOS:000469498300010"/>
    <s v="View Full Record in Web of Science"/>
    <m/>
  </r>
  <r>
    <x v="465"/>
    <s v="J"/>
    <x v="461"/>
    <s v=""/>
    <s v=""/>
    <s v=""/>
    <s v="Tiernan, Peter; O'Kelly, Jane"/>
    <s v=""/>
    <s v=""/>
    <x v="463"/>
    <x v="238"/>
    <s v=""/>
    <s v=""/>
    <s v="English"/>
    <s v="Article"/>
    <s v=""/>
    <s v=""/>
    <s v=""/>
    <s v=""/>
    <s v=""/>
    <x v="431"/>
    <x v="1"/>
    <s v="Research indicates that teenagers and young adults of second level school age in Ireland are increasingly immersed in world of technology. Online video accounts for much of their time spent online, and is often used for education purposes. While Irish government initiatives such as the Digital Strategy for Schools (2015-2020) aim to encourage integration of technology in the school system, exposure to technology continues to occur predominately outside the school setting. This study begins by examining this context, paying particular attention to the growth of online video. Following this the educational value of video is discussed, along with strategies and tools for its integration in the classroom. In the methodology section, the process of integrating digital video into eight second level classes is explained, including trainee teachers involvement. Findings presented indicate that second level students predominantly value the use of digital video as a learning tool due to its motivational value, ability to explain concepts and provision of examples and real world scenarios."/>
    <s v="[Tiernan, Peter] Dublin City Univ, Inst Educ, C320,St Patricks Campus, Dublin 9, Ireland; [O'Kelly, Jane] Dublin City Univ, Inst Educ, Mov26,St Patricks Campus, Dublin 9, Ireland"/>
    <s v="Dublin City University; Dublin City University"/>
    <s v="Tiernan, P (corresponding author), Dublin City Univ, Inst Educ, C320,St Patricks Campus, Dublin 9, Ireland."/>
    <s v="Peter.d.tiernan@dcu.ie; jane.okelly@dcu.ie"/>
    <s v="Tiernan, Peter/AAN-8917-2021; O'Kelly, Jane/ABD-5001-2020"/>
    <s v=""/>
    <s v=""/>
    <s v=""/>
    <s v=""/>
    <s v=""/>
    <n v="46"/>
    <n v="6"/>
    <n v="6"/>
    <n v="0"/>
    <n v="19"/>
    <s v="SPRINGER"/>
    <s v="NEW YORK"/>
    <s v="ONE NEW YORK PLAZA, SUITE 4600, NEW YORK, NY, UNITED STATES"/>
    <s v="1360-2357"/>
    <s v="1573-7608"/>
    <s v=""/>
    <s v="EDUC INF TECHNOL"/>
    <s v="Educ. Inf. Technol."/>
    <s v="MAR"/>
    <x v="4"/>
    <n v="24"/>
    <n v="2"/>
    <s v=""/>
    <s v=""/>
    <s v=""/>
    <s v=""/>
    <n v="1073"/>
    <n v="1088"/>
    <s v=""/>
    <s v="10.1007/s10639-018-9811-6"/>
    <s v="http://dx.doi.org/10.1007/s10639-018-9811-6"/>
    <s v=""/>
    <s v=""/>
    <n v="16"/>
    <x v="39"/>
    <x v="1"/>
    <s v="Education &amp; Educational Research"/>
    <s v="HP3DU"/>
    <s v=""/>
    <s v="Green Accepted"/>
    <s v=""/>
    <s v=""/>
    <s v="2023-11-15"/>
    <s v="WOS:000461557100008"/>
    <s v="View Full Record in Web of Science"/>
    <m/>
  </r>
  <r>
    <x v="466"/>
    <s v="J"/>
    <x v="462"/>
    <s v=""/>
    <s v=""/>
    <s v=""/>
    <s v="Kay, James"/>
    <s v=""/>
    <s v=""/>
    <x v="464"/>
    <x v="339"/>
    <s v=""/>
    <s v=""/>
    <s v="English"/>
    <s v="Article"/>
    <s v=""/>
    <s v=""/>
    <s v=""/>
    <s v=""/>
    <s v=""/>
    <x v="432"/>
    <x v="1"/>
    <s v="The Library at the University of Derby recently collaborated with EBSCO Information Services to co-create unique search interfaces and introduce a series of innovations aimed at improving the user experience. These innovations included a range of clearer icons linking through to full-text journal articles and abstract-only resources subscribed to by the Library, apps linking to additional online resource content and a fresh interface design and style. Billed as Library Plus 2.0, the project aimed to significantly improve the accessibility and visibility of the Library's online resources, while providing an enhanced user experience shaped through consultation and engagement. This article looks at the impact of the Library Plus 2.0 changes and identifies improvements for future implementation. The work contributes towards the Library's digital strategies and the continual enhancement of our core systems. The author presented this work at the University of Derby's 13th Annual Learning &amp; Teaching Conference in July 2018."/>
    <s v="[Kay, James] Univ Derby, Ctr Student Life, Lib, Kedleston Rd, Derby DE22 1GB, England"/>
    <s v="University of Derby"/>
    <s v="Kay, J (corresponding author), Univ Derby, Ctr Student Life, Lib, Kedleston Rd, Derby DE22 1GB, England."/>
    <s v="J.Kay2@derby.ac.uk"/>
    <s v=""/>
    <s v=""/>
    <s v=""/>
    <s v=""/>
    <s v=""/>
    <s v=""/>
    <n v="5"/>
    <n v="2"/>
    <n v="2"/>
    <n v="0"/>
    <n v="1"/>
    <s v="UBIQUITY PRESS LTD"/>
    <s v="LONDON"/>
    <s v="2N, 6 OSBORNE ST, LONDON, E1 6TD, ENGLAND"/>
    <s v="2048-7754"/>
    <s v=""/>
    <s v=""/>
    <s v="INSIGHTS"/>
    <s v="Insights"/>
    <s v="JAN 23"/>
    <x v="4"/>
    <n v="32"/>
    <s v=""/>
    <s v=""/>
    <s v=""/>
    <s v=""/>
    <s v=""/>
    <s v=""/>
    <s v=""/>
    <s v=""/>
    <s v=""/>
    <s v=""/>
    <s v=""/>
    <s v=""/>
    <n v="12"/>
    <x v="66"/>
    <x v="2"/>
    <s v="Information Science &amp; Library Science"/>
    <s v="HY4FZ"/>
    <s v=""/>
    <s v=""/>
    <s v=""/>
    <s v=""/>
    <s v="2023-11-15"/>
    <s v="WOS:000468084700001"/>
    <s v="View Full Record in Web of Science"/>
    <m/>
  </r>
  <r>
    <x v="467"/>
    <s v="J"/>
    <x v="463"/>
    <s v=""/>
    <s v=""/>
    <s v=""/>
    <s v="Azarova, Angelika A.; Tkachuk, Lyudmila N.; Kaplun, Irina S."/>
    <s v=""/>
    <s v=""/>
    <x v="465"/>
    <x v="340"/>
    <s v=""/>
    <s v=""/>
    <s v="Russian"/>
    <s v="Article"/>
    <s v=""/>
    <s v=""/>
    <s v=""/>
    <s v=""/>
    <s v=""/>
    <x v="433"/>
    <x v="1"/>
    <s v="The article focuses on the development of a new conceptual approach to public management of regional development through constructing and implementing an appropriate automated complex goal program (CGP). The purpose of the article is to justify a new approach to public management of regional development in the context of deepening European integration processes. The current study exploits the method of goal assessment of alternatives for building a hierarchy of goals for the complex goal program of regional development public management. The investigation is based on the analysis of legislative acts of Ukraine, European strategies Digital Agenda of Europe, Europe 2020: a strategy of reasonable, sustainable and comprehensive growth, development strategies of various regions of Ukraine, presented on their websites; expert data processed in the CGP; socio-statistical base of economic advantages development of various regions of Ukraine. Having carried out the analysis, the authors identified the advantages and disadvantages of various theories of regional development management; justified the concept of regional development by designing an automated complex goal program; defined the set of optimal projects that contribute to the improvement of regional development with the help of proposed CGP. Developed CGP allows allocating limited financial resources rationally to optimum projects. Automation of the CGP was done with modern IT technologies such as the decision support system Solon-2. The research results can be applied in the regions that need to optimize the system of public management of regional development. The results of the study might enhance the distribution of limited financial resources between identified priority projects and their sub-goals which can significantly improve the process of public administration of the region."/>
    <s v="[Azarova, Angelika A.] Vinnitsa Natl Tech Univ, Dept Management &amp; Informat Secur, Res &amp; Int Cooperat, 95 St Khmelnitskoe Shosse, UA-21021 Vinnitsa, Ukraine; [Tkachuk, Lyudmila N.] Vinnitsa Natl Tech Univ, Acad &amp; Methodol Work, Dept Management &amp; Informat Secur, Vinnitsa, Ukraine; [Kaplun, Irina S.] Vinnitsa Natl Tech Univ, Fac Management &amp; Informat Secur, Vinnitsa, Ukraine"/>
    <s v="Ministry of Education &amp; Science of Ukraine; Vinnytsia National Technical University; Ministry of Education &amp; Science of Ukraine; Vinnytsia National Technical University; Ministry of Education &amp; Science of Ukraine; Vinnytsia National Technical University"/>
    <s v="Azarova, AA (corresponding author), Vinnitsa Natl Tech Univ, Dept Management &amp; Informat Secur, Res &amp; Int Cooperat, 95 St Khmelnitskoe Shosse, UA-21021 Vinnitsa, Ukraine."/>
    <s v="azarova.angelika@gmail.com; ludatkachuk2017@gmail.com; kaplun.irka@gmail.com"/>
    <s v=""/>
    <s v=""/>
    <s v=""/>
    <s v=""/>
    <s v=""/>
    <s v=""/>
    <n v="14"/>
    <n v="0"/>
    <n v="0"/>
    <n v="1"/>
    <n v="2"/>
    <s v="NATL RES UNIV HIGHER SCH ECONOMICS"/>
    <s v="MOSCOW"/>
    <s v="MYASNITSKAYA 20, MOSCOW, 101000, RUSSIA"/>
    <s v="1999-5431"/>
    <s v=""/>
    <s v=""/>
    <s v="VOPR GOS MUNITSIPALN"/>
    <s v="Vopr. Gos. Munitsipalnogo Upravl."/>
    <s v=""/>
    <x v="4"/>
    <s v=""/>
    <n v="4"/>
    <s v=""/>
    <s v=""/>
    <s v=""/>
    <s v=""/>
    <n v="87"/>
    <n v="112"/>
    <s v=""/>
    <s v=""/>
    <s v=""/>
    <s v=""/>
    <s v=""/>
    <n v="26"/>
    <x v="42"/>
    <x v="2"/>
    <s v="Public Administration"/>
    <s v="NE9OR"/>
    <s v=""/>
    <s v=""/>
    <s v=""/>
    <s v=""/>
    <s v="2023-11-15"/>
    <s v="WOS:000562934000004"/>
    <s v="View Full Record in Web of Science"/>
    <m/>
  </r>
  <r>
    <x v="468"/>
    <s v="S"/>
    <x v="71"/>
    <s v=""/>
    <s v="Sydow, J; Berends, H"/>
    <s v=""/>
    <s v="Cepa, Katharina; Schildt, Henri"/>
    <s v=""/>
    <s v=""/>
    <x v="466"/>
    <x v="341"/>
    <s v="Research in the Sociology of Organizations"/>
    <s v=""/>
    <s v="English"/>
    <s v="Article; Book Chapter"/>
    <s v=""/>
    <s v=""/>
    <s v=""/>
    <s v=""/>
    <s v=""/>
    <x v="434"/>
    <x v="337"/>
    <s v="Advanced information technologies, and particularly big data, provide new affordances to facilitate inter-organizational collaboration. Rich flows of real-time data provide transparency across organizational boundaries and enable greater automation of inter-organizational routines. Taking stock of the literature and building on observations from the research in an industrial setting, the authors introduce the concept of technological embeddedness as an important characteristic of inter-organizational relationships, denoting the degree of monitoring, control, and optimization of intra- and inter-organizational tasks accomplished through technology at the interface of the inter-organizational relationship. The authors theorize how increasing technological embeddedness created by big data technologies affects the development of inter-organizational trust, mutual adaptation, and temporal structuring of collaboration. The propositions elaborate how greater technological embeddedness enables collaboration, and warn about the potential limiting effects of technological embeddedness on the development of interpersonal trust, strategic learning, and long-term orientation."/>
    <s v="[Cepa, Katharina] Univ Lancaster, Management Sch, Digital Strategy, Lancaster, England; [Schildt, Henri] Aalto Univ, Sch Business, Strategy, Dept Management Studies, Helsinki, Finland"/>
    <s v="Lancaster University; Aalto University"/>
    <s v="Cepa, K (corresponding author), Univ Lancaster, Management Sch, Digital Strategy, Lancaster, England."/>
    <s v=""/>
    <s v=""/>
    <s v="Cepa, Katharina/0000-0001-6934-8177"/>
    <s v=""/>
    <s v=""/>
    <s v=""/>
    <s v=""/>
    <n v="100"/>
    <n v="1"/>
    <n v="1"/>
    <n v="0"/>
    <n v="10"/>
    <s v="EMERALD GROUP PUBLISHING LTD"/>
    <s v="BINGLEY"/>
    <s v="HOWARD HOUSE, WAGON LANE, BINGLEY, W YORKSHIRE BD16 1WA, ENGLAND"/>
    <s v="0733-558X"/>
    <s v=""/>
    <s v="978-1-78756-591-3; 978-1-78756-592-0"/>
    <s v="RES SOCIOL ORGAN-RES"/>
    <s v=""/>
    <s v=""/>
    <x v="4"/>
    <n v="64"/>
    <s v=""/>
    <s v=""/>
    <s v=""/>
    <s v=""/>
    <s v=""/>
    <n v="91"/>
    <n v="115"/>
    <s v=""/>
    <s v="10.1108/S0733-558X20190000064007"/>
    <s v="http://dx.doi.org/10.1108/S0733-558X20190000064007"/>
    <s v=""/>
    <s v=""/>
    <n v="25"/>
    <x v="147"/>
    <x v="7"/>
    <s v="Business &amp; Economics; Sociology"/>
    <s v="BQ5QL"/>
    <s v=""/>
    <s v="Green Published"/>
    <s v=""/>
    <s v=""/>
    <s v="2023-11-15"/>
    <s v="WOS:000606978100005"/>
    <s v="View Full Record in Web of Science"/>
    <m/>
  </r>
  <r>
    <x v="469"/>
    <s v="J"/>
    <x v="464"/>
    <s v=""/>
    <s v=""/>
    <s v=""/>
    <s v="Chester, Jeff; Montgomery, Kathryn C."/>
    <s v=""/>
    <s v=""/>
    <x v="467"/>
    <x v="342"/>
    <s v=""/>
    <s v=""/>
    <s v="English"/>
    <s v="Article"/>
    <s v=""/>
    <s v=""/>
    <s v=""/>
    <s v=""/>
    <s v=""/>
    <x v="435"/>
    <x v="338"/>
    <s v="The same micro-targeted programmatic advertising that has become central to the digital media and marketing ecosystem has now migrated into election campaigns in the US and elsewhere, raising a host of issues around privacy, discrimination, and manipulation. This paper examines the digital strategies and technologies of today's political campaigns, explaining how they will be deployed in the upcoming 2020 election cycle, and assessing regulatory and policy responses - both enacted and proposed - for increasing transparency and accountability in digital politics."/>
    <s v="[Chester, Jeff] Ctr Digital Democracy, Washington, DC 20006 USA; [Montgomery, Kathryn C.] Amer Univ, Sch Commun, Washington, DC USA"/>
    <s v="American University"/>
    <s v="Chester, J (corresponding author), Ctr Digital Democracy, Washington, DC 20006 USA."/>
    <s v="jeff@democraticmedia.org; kcm@american.edu"/>
    <s v=""/>
    <s v=""/>
    <s v=""/>
    <s v=""/>
    <s v=""/>
    <s v=""/>
    <n v="119"/>
    <n v="8"/>
    <n v="8"/>
    <n v="3"/>
    <n v="7"/>
    <s v="ALEXANDER VON HUMBOLDT INST INTERNET &amp; SOC"/>
    <s v="BERLIN"/>
    <s v="OBERWALLSTRASSE 9, BERLIN, 10117, GERMANY"/>
    <s v="2197-6775"/>
    <s v=""/>
    <s v=""/>
    <s v="INTERNET POLICY REV"/>
    <s v="Internet Policy Rev."/>
    <s v=""/>
    <x v="4"/>
    <n v="8"/>
    <n v="4"/>
    <s v=""/>
    <s v=""/>
    <s v=""/>
    <s v=""/>
    <s v=""/>
    <s v=""/>
    <s v=""/>
    <s v="10.14763/2019.4.1443"/>
    <s v="http://dx.doi.org/10.14763/2019.4.1443"/>
    <s v=""/>
    <s v=""/>
    <n v="23"/>
    <x v="148"/>
    <x v="2"/>
    <s v="Communication; Government &amp; Law"/>
    <s v="KG2IA"/>
    <s v=""/>
    <s v="Green Submitted, gold"/>
    <s v=""/>
    <s v=""/>
    <s v="2023-11-15"/>
    <s v="WOS:000509764900019"/>
    <s v="View Full Record in Web of Science"/>
    <m/>
  </r>
  <r>
    <x v="470"/>
    <s v="J"/>
    <x v="465"/>
    <s v=""/>
    <s v=""/>
    <s v=""/>
    <s v="Chu, Shu-Chuan; Kamal, Sara; Kim, Yoojung"/>
    <s v=""/>
    <s v=""/>
    <x v="468"/>
    <x v="37"/>
    <s v=""/>
    <s v=""/>
    <s v="English"/>
    <s v="Article"/>
    <s v=""/>
    <s v=""/>
    <s v=""/>
    <s v=""/>
    <s v=""/>
    <x v="436"/>
    <x v="339"/>
    <s v="The purpose of this retrospective commentary is to re-examine what we know about consumers' response toward social media advertising and purchase intention toward luxury products, as well as review how researchers have cited this article. This commentary is organized as follows. First, it discusses the unique contributions of our article that causes its high impact in the literature. Second, it examines the topic of social media and luxury brands from today's perspective. Third, we offer our interpretation of the use in the literature of our study and categorize the literature into three areas: luxury brand marketing and consumer engagement in social media; beliefs, attitudes, and behavioral responses toward social media advertising; and the state of knowledge on luxury brands and fashion advertising. Lastly, this commentary offers ideas in luxury brand advertising and marketing research and new trends in luxury brand digital strategies through social media."/>
    <s v="[Chu, Shu-Chuan] DePaul Univ, Coll Commun, Publ Relat &amp; Advertising, Chicago, IL 60604 USA; [Kim, Yoojung] Konkuk Univ, Coll Liberal Arts, Dept Media &amp; Commun, 120 Neungdong Ro, Seoul 05029, South Korea"/>
    <s v="DePaul University; Konkuk University"/>
    <s v="Kim, Y (corresponding author), Konkuk Univ, Coll Liberal Arts, Dept Media &amp; Commun, 120 Neungdong Ro, Seoul 05029, South Korea."/>
    <s v="ykim@konkuk.ac.kr"/>
    <s v=""/>
    <s v=""/>
    <s v=""/>
    <s v=""/>
    <s v=""/>
    <s v=""/>
    <n v="46"/>
    <n v="34"/>
    <n v="34"/>
    <n v="5"/>
    <n v="59"/>
    <s v="ROUTLEDGE JOURNALS, TAYLOR &amp; FRANCIS LTD"/>
    <s v="ABINGDON"/>
    <s v="2-4 PARK SQUARE, MILTON PARK, ABINGDON OX14 4RN, OXON, ENGLAND"/>
    <s v="2093-2685"/>
    <s v="2325-4483"/>
    <s v=""/>
    <s v="J GLOB FASH MARK"/>
    <s v="J. Glob. Fash. Mark."/>
    <s v=""/>
    <x v="4"/>
    <n v="10"/>
    <n v="1"/>
    <s v=""/>
    <s v=""/>
    <s v=""/>
    <s v=""/>
    <n v="81"/>
    <n v="92"/>
    <s v=""/>
    <s v="10.1080/20932685.2018.1550008"/>
    <s v="http://dx.doi.org/10.1080/20932685.2018.1550008"/>
    <s v=""/>
    <s v=""/>
    <n v="12"/>
    <x v="33"/>
    <x v="2"/>
    <s v="Business &amp; Economics"/>
    <s v="IB5BO"/>
    <s v=""/>
    <s v=""/>
    <s v=""/>
    <s v=""/>
    <s v="2023-11-15"/>
    <s v="WOS:000470286400006"/>
    <s v="View Full Record in Web of Science"/>
    <m/>
  </r>
  <r>
    <x v="471"/>
    <s v="J"/>
    <x v="466"/>
    <s v=""/>
    <s v=""/>
    <s v=""/>
    <s v="De Bernardi, Paola; Bertello, Alberto; Shams, S. M. Riad"/>
    <s v=""/>
    <s v=""/>
    <x v="469"/>
    <x v="343"/>
    <s v=""/>
    <s v=""/>
    <s v="English"/>
    <s v="Article"/>
    <s v=""/>
    <s v=""/>
    <s v=""/>
    <s v=""/>
    <s v=""/>
    <x v="437"/>
    <x v="340"/>
    <s v="Museums play an important role in tourist flows, especially in cities that are famous for their cultural heritage. To valorize their role, these cultural institutions should open themselves to visitors as vectors of social, educational, and entertainment values. In particular, museums need to reinvent how they transmit information about their collections and how they engage visitors, keeping in mind the opportunities triggered by digitalization. Digital technologies could in fact be a powerful tool to assist in adopting a visitor-oriented approach and to stimulate a two-way communication. This article aims to analyze the extent of digitalization that should be integrated in museums' communication strategies, and to recognize the logics hindering digital transformation in cultural heritage strategic management. We developed an exploratory case study, focused on museums in Turin, Italy, gathering online data through institutional reports, museum websites, and social media, as well as onsite data mainly from semistructured interviews with museum managers. The research shows that most of the interviewees understand the strategic role of digitalization for museum development; however, the level of digital readiness remains low. Alongside the well-known systemic financial deficit of cultural institutions, there are other critical factors that hinder the integration of digitalization processes in the cultural heritage management. Common barriers include the presence of institutional pressures, and the lack of organizational and managerial coordination between different departments and functions that should be involved in the development of digital strategies and their integration in the strategic planning systems of museums. This research offers insights to tackle these challenges, allowing museums to compete in the international context of the cultural and heritage tourism."/>
    <s v="[De Bernardi, Paola; Bertello, Alberto] Univ Turin, Dept Management, Cso Unione Soviet 218 Bis, I-10134 Turin, Italy; [Shams, S. M. Riad] Ural Fed Univ, Dept Int Econ &amp; Management, Ekaterinburg, Russia"/>
    <s v="University of Turin; Ural Federal University"/>
    <s v="De Bernardi, P (corresponding author), Univ Turin, Dept Management, Cso Unione Soviet 218 Bis, I-10134 Turin, Italy."/>
    <s v="paola.debernardi@unito.it"/>
    <s v="Baldissera, Annalisa/AHD-6334-2022; DE BERNARDI, Paola/AAE-7105-2019; DE BERNARDI, PAOLA/I-4807-2018"/>
    <s v="DE BERNARDI, Paola/0000-0002-6776-6735; DE BERNARDI, PAOLA/0000-0002-6776-6735"/>
    <s v=""/>
    <s v=""/>
    <s v=""/>
    <s v=""/>
    <n v="63"/>
    <n v="16"/>
    <n v="16"/>
    <n v="12"/>
    <n v="76"/>
    <s v="COGNIZANT COMMUNICATION CORP"/>
    <s v="PUTNAM VALLEY"/>
    <s v="18 PEEKSKILL HOLLOW RD, PO BOX 37, PUTNAM VALLEY, NY 10579 USA"/>
    <s v="1083-5423"/>
    <s v="1943-3999"/>
    <s v=""/>
    <s v="TOUR ANAL"/>
    <s v="Tour. Anal."/>
    <s v=""/>
    <x v="4"/>
    <n v="24"/>
    <n v="3"/>
    <s v=""/>
    <s v=""/>
    <s v=""/>
    <s v=""/>
    <n v="315"/>
    <n v="327"/>
    <s v=""/>
    <s v="10.3727/108354219X15511864843876"/>
    <s v="http://dx.doi.org/10.3727/108354219X15511864843876"/>
    <s v=""/>
    <s v=""/>
    <n v="13"/>
    <x v="88"/>
    <x v="2"/>
    <s v="Social Sciences - Other Topics"/>
    <s v="IK8UQ"/>
    <s v=""/>
    <s v="Green Accepted, Green Published"/>
    <s v=""/>
    <s v=""/>
    <s v="2023-11-15"/>
    <s v="WOS:000476871600006"/>
    <s v="View Full Record in Web of Science"/>
    <m/>
  </r>
  <r>
    <x v="472"/>
    <s v="J"/>
    <x v="467"/>
    <s v=""/>
    <s v=""/>
    <s v=""/>
    <s v="Dharod, Ajay; Bellinger, Christina; Foley, Kristie; Case, L. Doug; Miller, David"/>
    <s v=""/>
    <s v=""/>
    <x v="470"/>
    <x v="21"/>
    <s v=""/>
    <s v=""/>
    <s v="English"/>
    <s v="Article"/>
    <s v=""/>
    <s v=""/>
    <s v=""/>
    <s v=""/>
    <s v=""/>
    <x v="438"/>
    <x v="341"/>
    <s v="Objective Health systems could adopt population-level approaches to screening by identifying potential screening candidates from the electronic health record and reaching out to them via the patient portal. However, whether patients would read or act on sent information is unknown. We examined the feasibility of this digital health outreach strategy. Methods We conducted a single-arm pragmatic trial in a large academic health system. An electronic health record algorithm identified primary care patients who were potentially eligible for lung cancer screening (LCS). Identified patients were sent a patient portal invitation to visit a LCS interactive Web site which assessed screening eligibility and included a decision aid. The primary outcome was screening completion. Secondary outcomes included the proportion of patients who read the invitation, visited the interactive Web site, and completed the interactive Web site. Results We sent portal invitations to 1,000 patients. Almost all patients (86%, 862/1,000) read the invitation, 404 (40%) patients visited the interactive Web site, and 349 patients (35%) completed it. Of the 99 patients who were confirmed screening eligible by the Web site, 81 made a screening decision (30% wanted screening, 44% unsure, 26% declined screening), and 22 patients had a chest computed tomography completed. Conclusion The digital outreach strategy reached the majority of patient portal users. While the study focused on LCS, this digital outreach approach could be generalized to other health needs. Given the broad reach and potential low cost of this digital strategy, future research should investigate best practices for implementing the system."/>
    <s v="[Dharod, Ajay; Miller, David] Wake Forest Univ, Wake Forest Sch Med, Sect Gen Internal Med, Dept Internal Med, Winston Salem, NC 27109 USA; [Dharod, Ajay; Foley, Kristie; Miller, David] Wake Forest Univ, Wake Forest Sch Med, Dept Implementat Sci, Winston Salem, NC 27109 USA; [Bellinger, Christina] Wake Forest Univ, Wake Forest Sch Med, Dept Internal Med, Sect Pulm Crit Care Allergy &amp; Immunol, Winston Salem, NC 27109 USA; [Case, L. Doug] Wake Forest Univ, Wake Forest Sch Med, Dept Biostat Sci, Winston Salem, NC 27109 USA"/>
    <s v="Wake Forest University; Wake Forest University; Wake Forest University; Wake Forest University"/>
    <s v="Dharod, A (corresponding author), Wake Forest Sch Med, Sect Gen Internal Med, Dept Internal Med, 1 Med Ctr Blvd, Winston Salem, NC 27157 USA."/>
    <s v="adharod@wakehealth.edu"/>
    <s v=""/>
    <s v=""/>
    <s v="Wake Forest University Comprehensive Cancer Center [NCI CCSG P30CA012197]; Wake Forest Clinical and Translational Science Institute [NCATS UL1TR001420]"/>
    <s v="Wake Forest University Comprehensive Cancer Center; Wake Forest Clinical and Translational Science Institute"/>
    <s v="This study received funding from the Wake Forest University Comprehensive Cancer Center (NCI CCSG P30CA012197) and the Wake Forest Clinical and Translational Science Institute (NCATS UL1TR001420)."/>
    <s v=""/>
    <n v="44"/>
    <n v="16"/>
    <n v="16"/>
    <n v="0"/>
    <n v="6"/>
    <s v="GEORG THIEME VERLAG KG"/>
    <s v="STUTTGART"/>
    <s v="RUDIGERSTR 14, D-70469 STUTTGART, GERMANY"/>
    <s v="1869-0327"/>
    <s v=""/>
    <s v=""/>
    <s v="APPL CLIN INFORM"/>
    <s v="Appl. Clin. Inform."/>
    <s v="JAN"/>
    <x v="4"/>
    <n v="10"/>
    <n v="1"/>
    <s v=""/>
    <s v=""/>
    <s v=""/>
    <s v=""/>
    <n v="19"/>
    <n v="27"/>
    <s v=""/>
    <s v="10.1055/s-0038-1676807"/>
    <s v="http://dx.doi.org/10.1055/s-0038-1676807"/>
    <s v=""/>
    <s v=""/>
    <n v="9"/>
    <x v="20"/>
    <x v="3"/>
    <s v="Medical Informatics"/>
    <s v="HG8BA"/>
    <n v="30625501"/>
    <s v="Green Published, Bronze"/>
    <s v=""/>
    <s v=""/>
    <s v="2023-11-15"/>
    <s v="WOS:000455220200001"/>
    <s v="View Full Record in Web of Science"/>
    <m/>
  </r>
  <r>
    <x v="473"/>
    <s v="J"/>
    <x v="468"/>
    <s v=""/>
    <s v=""/>
    <s v=""/>
    <s v="Dominguez Castillo, J. Gabriel; Cisneros Cohenour, Edith Juliana; Suaste Escalante, Miguel Angel; Vazquez Carrillo, Ileana del Socorro"/>
    <s v=""/>
    <s v=""/>
    <x v="471"/>
    <x v="344"/>
    <s v=""/>
    <s v=""/>
    <s v="English"/>
    <s v="Article"/>
    <s v=""/>
    <s v=""/>
    <s v=""/>
    <s v=""/>
    <s v=""/>
    <x v="439"/>
    <x v="342"/>
    <s v="In the XXI century, it is crucial for people belonging to vulnerable and highly marginalized communities have access to telecommunications and have the minimum skills required to use technology, as they are rapidly becoming a tool for transmitting and obtaining information. In today information society, remains a digital divide between those who have access to technological computing resources and Internet, and those who do not, presenting a constant challenge for the development of our people. This paper analyzes the impact of a mixed training program, called: REBREDIG-PJA for the reduction of the digital divide in young and adult people from a vulnerable community in southeastern Mexico, which presents high levels of social marginalization. The results of this study are discussed under the guidelines of the National Development Plan (2013-2018) and the National Digital Strategy (2013) for Mexico and are compared with the guidelines stated in the State Development Plan (2012-2018) for Yucatan."/>
    <s v="[Dominguez Castillo, J. Gabriel; Cisneros Cohenour, Edith Juliana; Suaste Escalante, Miguel Angel; Vazquez Carrillo, Ileana del Socorro] Univ Autonoma Yucatan, Merida, Yucatan, Mexico"/>
    <s v="Universidad Autonoma de Yucatan"/>
    <s v="Castillo, JGD (corresponding author), Univ Autonoma Yucatan, Merida, Yucatan, Mexico."/>
    <s v="jg.dominguez@correo.uady.mx; cchacon@correo.uady.mx; miguel.suaste@correo.uady.mx; ileana.vazquez@correo.uady.mx"/>
    <s v=""/>
    <s v=""/>
    <s v=""/>
    <s v=""/>
    <s v=""/>
    <s v=""/>
    <n v="45"/>
    <n v="3"/>
    <n v="3"/>
    <n v="0"/>
    <n v="3"/>
    <s v="EDITORIAL UNIV GRANADA"/>
    <s v="GRANADA"/>
    <s v="ANTIGUO COLEGIO MAXIMO, CAMPUS CARTUJA, GRANADA, 18071, SPAIN"/>
    <s v="1577-4147"/>
    <s v="2530-9269"/>
    <s v=""/>
    <s v="REV PUBL"/>
    <s v="Rev. Publ."/>
    <s v=""/>
    <x v="4"/>
    <n v="49"/>
    <n v="2"/>
    <s v=""/>
    <s v=""/>
    <s v=""/>
    <s v=""/>
    <n v="133"/>
    <n v="149"/>
    <s v=""/>
    <s v="10.30827/publicaciones.v49i2.9305"/>
    <s v="http://dx.doi.org/10.30827/publicaciones.v49i2.9305"/>
    <s v=""/>
    <s v=""/>
    <n v="17"/>
    <x v="39"/>
    <x v="2"/>
    <s v="Education &amp; Educational Research"/>
    <s v="JW9NP"/>
    <s v=""/>
    <s v="gold, Green Submitted"/>
    <s v=""/>
    <s v=""/>
    <s v="2023-11-15"/>
    <s v="WOS:000503372300008"/>
    <s v="View Full Record in Web of Science"/>
    <m/>
  </r>
  <r>
    <x v="474"/>
    <s v="S"/>
    <x v="469"/>
    <s v=""/>
    <s v="Giannini, T; Bowen, JP"/>
    <s v=""/>
    <s v="Giannini, Tula; Bowen, Jonathan P."/>
    <s v=""/>
    <s v=""/>
    <x v="472"/>
    <x v="345"/>
    <s v="Springer Series on Cultural Computing"/>
    <s v=""/>
    <s v="English"/>
    <s v="Article; Book Chapter"/>
    <s v=""/>
    <s v=""/>
    <s v=""/>
    <s v=""/>
    <s v=""/>
    <x v="8"/>
    <x v="1"/>
    <s v="As the digital revolution accelerates, one of the most significant impacts that museums are experiencing, is how digital development is changing the very nature of work across the professions and disciplines from art and humanities to computer science and technology. Simply put-work and life are merging and becoming increasingly digital and cross-disciplinary, as they are absorbed into the digital ecosystem. Museums are recognizing that the digital shift is causing them to rethink the skills and knowledge their professional staff needs and are challenged to find effective strategies to respond to changes brought about by digital culture and related social and cultural issues, while graduate education for museum professionals is similarly challenged. As a case study, we consider Pratt Institute's Master of Science in Museums and Digital Culture, introduced in 2015 by Giannini. Representing the first master's degree of its kind, it offers a program set in a digital framework that encompasses the full range of museum activities and functions in contrast to the prevalent museum studies model taking a more traditional collection-centered approach. Over the past few years, the work of museum professionals behind the scenes has become increasingly carried out using digital tools and technologies, from collection management including digitization and access, to museum websites and social media, while using digital in galleries and exhibitions is an emerging area of critical focus aimed at developing digital strategies and methods for visitor engagement and experience and that expand the roles and responsibilities of museum professionals. Among digital advances, augmented and virtual reality, digital storytelling and artificial intelligence, are entering the mainstream of museum life, more fully immersing museums in the digital culture ecosystem. This chapter explores how education for museum professionals is transforming, as it responds to the need for graduates to possess digital skills and a deep knowledge and understanding of the social and cultural contexts in which museums are evolving."/>
    <s v="[Giannini, Tula] Pratt Inst, Sch Informat, New York, NY 10011 USA; [Bowen, Jonathan P.] London South Bank Univ, Sch Engn, London, England; [Bowen, Jonathan P.] Southwest Univ, Chongqing, Peoples R China"/>
    <s v="London South Bank University; Southwest University - China"/>
    <s v="Giannini, T (corresponding author), Pratt Inst, Sch Informat, New York, NY 10011 USA."/>
    <s v="giannini@pratt.edu; jonathan.bowen@lsbu.ac.uk"/>
    <s v="Bowen, Jonathan P./A-3383-2008"/>
    <s v="Bowen, Jonathan P./0000-0002-8748-6140"/>
    <s v=""/>
    <s v=""/>
    <s v=""/>
    <s v=""/>
    <n v="30"/>
    <n v="2"/>
    <n v="2"/>
    <n v="2"/>
    <n v="18"/>
    <s v="SPRINGER INTERNATIONAL PUBLISHING AG"/>
    <s v="CHAM"/>
    <s v="GEWERBESTRASSE 11, CHAM, CH-6330, SWITZERLAND"/>
    <s v="2195-9056"/>
    <s v=""/>
    <s v="978-3-319-97457-6; 978-3-319-97456-9"/>
    <s v="SPR SER CULT COMPUT"/>
    <s v=""/>
    <s v=""/>
    <x v="4"/>
    <s v=""/>
    <s v=""/>
    <s v=""/>
    <s v=""/>
    <s v=""/>
    <s v=""/>
    <n v="457"/>
    <n v="480"/>
    <s v=""/>
    <s v="10.1007/978-3-319-97457-6_23"/>
    <s v="http://dx.doi.org/10.1007/978-3-319-97457-6_23"/>
    <s v="10.1007/978-3-319-97457-6"/>
    <s v=""/>
    <n v="24"/>
    <x v="149"/>
    <x v="9"/>
    <s v="Art; Arts &amp; Humanities - Other Topics; Computer Science; Information Science &amp; Library Science"/>
    <s v="BN6RD"/>
    <s v=""/>
    <s v=""/>
    <s v=""/>
    <s v=""/>
    <s v="2023-11-15"/>
    <s v="WOS:000486078600024"/>
    <s v="View Full Record in Web of Science"/>
    <m/>
  </r>
  <r>
    <x v="475"/>
    <s v="B"/>
    <x v="470"/>
    <s v=""/>
    <s v="Reardon, RM; Leonard, J"/>
    <s v=""/>
    <s v="Kerres, Michael; Waffner, Bettina"/>
    <s v=""/>
    <s v=""/>
    <x v="473"/>
    <x v="346"/>
    <s v="Current Perspectives on School-University-Community Research"/>
    <s v=""/>
    <s v="English"/>
    <s v="Article; Book Chapter"/>
    <s v=""/>
    <s v=""/>
    <s v=""/>
    <s v=""/>
    <s v=""/>
    <x v="8"/>
    <x v="343"/>
    <s v="Schools are increasingly challenged to develop a digital strategy. For some time, digital technology in classrooms has been a topic only for few teachers but, increasingly, it is perceived as a strategic issue for schools that impacts the organization more deeply. The topic not only relates to the deployment of technology and infrastructure and the training of teachers; schools must also address the consequences and potential of technology for curriculum reform and new instructional methods, which hints at a larger project of school development."/>
    <s v="[Kerres, Michael; Waffner, Bettina] Univ Duisburg Essen, Duisburg, Germany"/>
    <s v="University of Duisburg Essen"/>
    <s v="Kerres, M (corresponding author), Univ Duisburg Essen, Duisburg, Germany."/>
    <s v=""/>
    <s v=""/>
    <s v=""/>
    <s v=""/>
    <s v=""/>
    <s v=""/>
    <s v=""/>
    <n v="28"/>
    <n v="0"/>
    <n v="0"/>
    <n v="0"/>
    <n v="1"/>
    <s v="INFORMATION AGE PUBLISHING-IAP"/>
    <s v="CHARLOTTE"/>
    <s v="PO BOX 79049, CHARLOTTE, NC 28271-7047 USA"/>
    <s v=""/>
    <s v=""/>
    <s v="978-1-64113-670-9; 978-1-64113-671-6"/>
    <s v="CURR PERSP SCH-UNIV"/>
    <s v=""/>
    <s v=""/>
    <x v="4"/>
    <s v=""/>
    <s v=""/>
    <s v=""/>
    <s v=""/>
    <s v=""/>
    <s v=""/>
    <n v="227"/>
    <n v="241"/>
    <s v=""/>
    <s v=""/>
    <s v=""/>
    <s v=""/>
    <s v=""/>
    <n v="15"/>
    <x v="39"/>
    <x v="7"/>
    <s v="Education &amp; Educational Research"/>
    <s v="BO2FB"/>
    <s v=""/>
    <s v=""/>
    <s v=""/>
    <s v=""/>
    <s v="2023-11-15"/>
    <s v="WOS:000505268200010"/>
    <s v="View Full Record in Web of Science"/>
    <m/>
  </r>
  <r>
    <x v="476"/>
    <s v="J"/>
    <x v="471"/>
    <s v=""/>
    <s v=""/>
    <s v=""/>
    <s v="Lobillo-Mora, Gema; Smolak-Lozano, Emilia"/>
    <s v=""/>
    <s v=""/>
    <x v="474"/>
    <x v="179"/>
    <s v=""/>
    <s v=""/>
    <s v="Spanish"/>
    <s v="Article"/>
    <s v=""/>
    <s v=""/>
    <s v=""/>
    <s v=""/>
    <s v=""/>
    <x v="440"/>
    <x v="1"/>
    <s v="The research framework is composed by studies of the management of organizational communication in sport, with the particular focus on social networks as strategic channels to establish relationships with football fans. Olabe (2012) and Ginesta (2011) demonstrated the influence of communication with different audiences of sports entities. However, there we can observe the limited number of studies on the mutual interaction between football clubs and their star players in their respective digital strategies of corporate communication based on interactivity, influence, and publicity. The objective of the study is to demonstrate the strategic relationship established via digital communication of the most important football clubs in the Professional Football League (Real Madrid CF and FC Barcelona), with their most popular athletes (Cristiano Ronaldo and Leo Messi, respectively) on Facebook, Twitter and lnstagram. The choice of these networks is motivated by the wide use and application in case of both clubs and players (except for the FC Barcelona player, Messi who does not have a Twitter profile by the time of the study). A methodological triangulation has been used, centered on Web 2.0 analytics and content analysis of social networks, covering the period of the LFP competition and the time directly afterwards. In this way, we cover sporting period and vacation rest. In this way, we can determine the strategies of the players and their greater or lesser link to their club of relevance depending on the sport and competition activity. In order to accomplish the objective of the present study, we have used the online monitoring and measurement tools of social networks: FanPage Karma, Likelyzer and Twitonomy, so we have been able to collect a large amount of data, otherwise impossible to gather. The results show a high performance of profiles in terms of activity, popularity and advertising value. The data confirm the communication relationship between professional players and their respective clubs, developing a clear vision of their communication strategy. The study reflect the commitment and publicity value of football clubs and reveal the ways in which the players use it for their own businesses or sponsorships. In the case of both clubs, the players provoke the greatest interaction on the part of the followers, but they are not mentioned in messages through the hashtags, but key words. In addition, the clubs perform different strategies for their players. Additionally, the players have shown a marked difference in terms of the purpose of their publications on social networks. Among the conclusions, it is advisable to redesign the strategies of the social networks in order to include the conversation, dialogue and reciprocal relationship between clubs and their star players for the mutual communicative and promotional benefit, beyond the commercial effect. In short, the use of social networks by players and sports entities is based on objectives within their own separate communication strategy and business interests. However, it is advisable to cross the strategies of both players and entities to amplify the messages and optimize the strategies different actors of communication."/>
    <s v="[Lobillo-Mora, Gema; Smolak-Lozano, Emilia] Univ Malaga, Dept Comunicac Audiosvisual &amp; Publicidad, Malaga, Spain"/>
    <s v="Universidad de Malaga"/>
    <s v="Lobillo-Mora, G (corresponding author), Univ Malaga, Dept Comunicac Audiosvisual &amp; Publicidad, Malaga, Spain."/>
    <s v="gmlobillo@uma.es; esmolaklozano@uma.es"/>
    <s v="Lobillo-Mora, Gema/L-9797-2017"/>
    <s v="Lobillo-Mora, Gema/0000-0002-5315-3057"/>
    <s v=""/>
    <s v=""/>
    <s v=""/>
    <s v=""/>
    <n v="12"/>
    <n v="4"/>
    <n v="4"/>
    <n v="0"/>
    <n v="18"/>
    <s v="UNIV MALAGA, INST INVESTIGACION RELACIONES PUBLICAS"/>
    <s v="MALAGA"/>
    <s v="CAMPUS TEATINOS, MALAGA, 29071, SPAIN"/>
    <s v="2174-3681"/>
    <s v=""/>
    <s v=""/>
    <s v="REV INT RELAC PUBLIC"/>
    <s v="Rev. Int. Relac. Publicas"/>
    <s v="JAN-JUN"/>
    <x v="4"/>
    <n v="9"/>
    <n v="17"/>
    <s v=""/>
    <s v=""/>
    <s v=""/>
    <s v=""/>
    <n v="71"/>
    <n v="96"/>
    <s v=""/>
    <s v="10.5783/RIRP-17-2019-05-71-96"/>
    <s v="http://dx.doi.org/10.5783/RIRP-17-2019-05-71-96"/>
    <s v=""/>
    <s v=""/>
    <n v="26"/>
    <x v="56"/>
    <x v="2"/>
    <s v="Communication"/>
    <s v="IF0HV"/>
    <s v=""/>
    <s v=""/>
    <s v=""/>
    <s v=""/>
    <s v="2023-11-15"/>
    <s v="WOS:000472758300005"/>
    <s v="View Full Record in Web of Science"/>
    <m/>
  </r>
  <r>
    <x v="477"/>
    <s v="J"/>
    <x v="472"/>
    <s v=""/>
    <s v=""/>
    <s v=""/>
    <s v="Mal'ko, Aleksandr V.; Soldatkina, Oksana L."/>
    <s v=""/>
    <s v=""/>
    <x v="475"/>
    <x v="347"/>
    <s v=""/>
    <s v=""/>
    <s v="Russian"/>
    <s v="Article"/>
    <s v=""/>
    <s v=""/>
    <s v=""/>
    <s v=""/>
    <s v=""/>
    <x v="441"/>
    <x v="1"/>
    <s v="The article contains a comparative analysis of the main directions of the information policy of different states in three areas: information rights and freedoms, e-government and information security. Such a comparison is an actual character because the problems of information law are often global. and the legal regulation of information relations has an international component. Based on the results of the comparison of national legislations of different countries conducted in the article on certain issues of the information law, the following conclusions are made. Realization of the basic rights and freedoms of citizens in the information sphere occupies a special place among the national interests of most countries, but the rights of the individual can be limited. Legal restrictions in the information field are considered on the example of comparison of methods of content management of the global network, which are characterized by the state's definition of the level of interference in the network life of citizens and methods of ensuring intervention. Electronic governance in various states is characterized by a transition from the concept of e-government to the digital government model associated with the transformation of the entire structure of public administration. In this field, the UK experience is valuable, where the Government as a platform project is being implemented, and Germany. where the construction of e-government basically began with the enhancement of the information culture of citizens and civil servants. Information security today comes out on top in the majority of countries and international organizations. In general, information security trends in all countries are similar, which is reflected in the Russian strategic documents."/>
    <s v="[Mal'ko, Aleksandr V.] Russian Acad Sci, Inst State &amp; Law, Saratov Branch, Saratov, Russia; [Soldatkina, Oksana L.] Russian Acad Sci, Inst State &amp; Law, Saratov Branch, Saratov State Law Acad, Saratov, Russia"/>
    <s v="Russian Academy of Sciences; Saratov Scientific Center of the Russian Academy of Sciences; Russian Academy of Sciences; Saratov Scientific Center of the Russian Academy of Sciences"/>
    <s v="Mal'ko, AV (corresponding author), Russian Acad Sci, Inst State &amp; Law, Saratov Branch, Saratov, Russia."/>
    <s v="i_gp@ssla.ru; buzum@mail.ru"/>
    <s v="Солдаткина, Оксана/AAI-8094-2021"/>
    <s v=""/>
    <s v=""/>
    <s v=""/>
    <s v=""/>
    <s v=""/>
    <n v="8"/>
    <n v="0"/>
    <n v="0"/>
    <n v="0"/>
    <n v="17"/>
    <s v="PUBLISHING HOUSE JURIST"/>
    <s v="MOSCOW"/>
    <s v="26-55, BLDG 7 KOSMODAMIANSKAYA EMB, MOSCOW, 115035, RUSSIA"/>
    <s v="2221-3279"/>
    <s v="2412-4990"/>
    <s v=""/>
    <s v="SRAVN POLIT"/>
    <s v="Sravn. Polit."/>
    <s v=""/>
    <x v="4"/>
    <n v="10"/>
    <n v="1"/>
    <s v=""/>
    <s v=""/>
    <s v=""/>
    <s v=""/>
    <n v="42"/>
    <n v="58"/>
    <s v=""/>
    <s v="10.24411/2221-3279-2019-10003"/>
    <s v="http://dx.doi.org/10.24411/2221-3279-2019-10003"/>
    <s v=""/>
    <s v=""/>
    <n v="17"/>
    <x v="35"/>
    <x v="2"/>
    <s v="Government &amp; Law"/>
    <s v="HF6JP"/>
    <s v=""/>
    <s v=""/>
    <s v=""/>
    <s v=""/>
    <s v="2023-11-15"/>
    <s v="WOS:000454342500003"/>
    <s v="View Full Record in Web of Science"/>
    <m/>
  </r>
  <r>
    <x v="478"/>
    <s v="J"/>
    <x v="473"/>
    <s v=""/>
    <s v=""/>
    <s v=""/>
    <s v="Martinez, Magali; Marrujo, Jonathan; Perillo, Martina; Gonzalez, Federico M.; Burin, Debora"/>
    <s v=""/>
    <s v=""/>
    <x v="476"/>
    <x v="348"/>
    <s v=""/>
    <s v=""/>
    <s v="Spanish"/>
    <s v="Article"/>
    <s v=""/>
    <s v=""/>
    <s v=""/>
    <s v=""/>
    <s v=""/>
    <x v="442"/>
    <x v="344"/>
    <s v="Support strategies, such as elaboration, rereading, highlighting, memorization, or note-taking, contribute to expository text comprehension. The goal of the present study was to analyze the contribution of different support strategies to expository text comprehension in an e-Learning environment. For this purpose, 224 university students read two expository texts and completed comprehension and reading strategies questionnaires, through an e-Learning platform. Students reported a variety of strategies, which were categorized in three groups: reading and memorizing, note-taking, and digital strategies. For those who read passively, participants with high working memory had significantly better comprehension than those with low working memory; this difference was not significant among those with active strategies."/>
    <s v="[Martinez, Magali; Marrujo, Jonathan; Perillo, Martina; Gonzalez, Federico M.] Univ Buenos Aires, Buenos Aires, DF, Argentina; [Burin, Debora] Univ Buenos Aires, CONICET, Buenos Aires, DF, Argentina"/>
    <s v="University of Buenos Aires; Consejo Nacional de Investigaciones Cientificas y Tecnicas (CONICET); University of Buenos Aires"/>
    <s v="Martínez, M (corresponding author), Univ Buenos Aires, Buenos Aires, DF, Argentina."/>
    <s v="martinezmagali@psi.uba.ar; jmarrujo@psi.uba.ar; mperillo@psi.uba.ar; fmgonzalez@psi.uba.ar; dburin@psi.uba.ar"/>
    <s v="Marrujo, Jonathan/JCO-0983-2023; Burin, D. I./AEJ-5975-2022"/>
    <s v="Marrujo, Jonathan/0000-0003-0233-8390; Burin, D. I./0000-0002-2515-719X"/>
    <s v=""/>
    <s v=""/>
    <s v=""/>
    <s v=""/>
    <n v="37"/>
    <n v="2"/>
    <n v="3"/>
    <n v="1"/>
    <n v="15"/>
    <s v="UNIV CASTILLA-LA MANCHA, CENTRO ESTUDIOS PROMOCION LITERATURA INFANTIL"/>
    <s v="CUENCA"/>
    <s v="AVE ALFARES, 42, CUENCA, 16071, SPAIN"/>
    <s v="1885-446X"/>
    <s v="2254-9099"/>
    <s v=""/>
    <s v="OCNOS"/>
    <s v="Ocnos"/>
    <s v=""/>
    <x v="4"/>
    <n v="18"/>
    <n v="2"/>
    <s v=""/>
    <s v=""/>
    <s v=""/>
    <s v=""/>
    <n v="31"/>
    <n v="43"/>
    <s v=""/>
    <s v="10.18239/ocnos_2019.18.2.1988"/>
    <s v="http://dx.doi.org/10.18239/ocnos_2019.18.2.1988"/>
    <s v=""/>
    <s v=""/>
    <n v="13"/>
    <x v="39"/>
    <x v="2"/>
    <s v="Education &amp; Educational Research"/>
    <s v="IM2HE"/>
    <s v=""/>
    <s v="Green Published, gold, Green Submitted"/>
    <s v=""/>
    <s v=""/>
    <s v="2023-11-15"/>
    <s v="WOS:000477812800003"/>
    <s v="View Full Record in Web of Science"/>
    <m/>
  </r>
  <r>
    <x v="479"/>
    <s v="J"/>
    <x v="474"/>
    <s v=""/>
    <s v=""/>
    <s v=""/>
    <s v="Matthyssens, Paul"/>
    <s v=""/>
    <s v=""/>
    <x v="477"/>
    <x v="70"/>
    <s v=""/>
    <s v=""/>
    <s v="English"/>
    <s v="Article"/>
    <s v=""/>
    <s v=""/>
    <s v=""/>
    <s v=""/>
    <s v=""/>
    <x v="443"/>
    <x v="345"/>
    <s v="Purpose - Starting from the foundations of value innovation, this paper aims to give an idea of the key drivers and barriers - internal and external to the company - and to provide insight into proven capabilities underscoring the ability to create a flow of new value initiatives. These thoughts are then confronted with the present challenges of Industry 4.0 and the Industrial Internet of Things (IIoT). The confrontation leads to the identification of five capabilities for future-proof value innovation. Design/methodology/approach - Literature review based upon the work of the author with more than two decades of experience within value innovation research is included. The review is supplemented with recent literature and an overview of the challenges of Industry 4.0/IIoT, which leads into a confrontation of the present status of value innovation with future requirements. Findings - Value innovation remains important specifically for established companies facing path-breaking digital disruption of their existing business models provoked by Industry 4.0 and IIoT. Five key capabilities are suggested to rejuvenate value innovation and prepare it for the Industry 4.0 challenge: capabilities for designing, adapting and marketing product service systems; capabilities for blending digital strategy and processes with value offerings; capabilities for designing and mobilizing ecosystems and integrating these into a value-based IIoT platform; capabilities for combining and integrating technological and value innovation approaches; and capabilities for linking value creation to value capturing. Research limitations/implications - This paper is more of a viewpoint than an empirically based paper presenting new research findings. It is based on expert judgment and confrontation with extant literature. The outlook indicating five key capabilities needs further empirical corroboration. Practical implications - The overview of barriers and the toolkit for value innovation (Figure 1) and the five capabilities for future value innovation are expected to be managerially relevant. Originality/value - The paper highlights the concept of value innovation, as discussed over the past decades, and links it to recent challenges and opportunities imposed by Industry 4.0 and the IIoT. The concept of value or strategic innovation is still valid but needs a re-conceptualization in view of these developments. The paper provides five capabilities business marketers should develop to perform value innovation in an Industry 4.0 environment."/>
    <s v="[Matthyssens, Paul] Univ Antwerp, Antwerp Management Sch, Dept Management, Antwerp, Belgium"/>
    <s v="University of Antwerp"/>
    <s v="Matthyssens, P (corresponding author), Univ Antwerp, Antwerp Management Sch, Dept Management, Antwerp, Belgium."/>
    <s v="paul.matthyssens@ams.ac.be"/>
    <s v=""/>
    <s v="Matthyssens, Paul/0000-0002-9138-7911"/>
    <s v=""/>
    <s v=""/>
    <s v=""/>
    <s v=""/>
    <n v="46"/>
    <n v="64"/>
    <n v="64"/>
    <n v="7"/>
    <n v="102"/>
    <s v="EMERALD GROUP PUBLISHING LTD"/>
    <s v="BINGLEY"/>
    <s v="HOWARD HOUSE, WAGON LANE, BINGLEY BD16 1WA, W YORKSHIRE, ENGLAND"/>
    <s v="0885-8624"/>
    <s v="2052-1189"/>
    <s v=""/>
    <s v="J BUS IND MARK"/>
    <s v="J. Bus. Ind. Mark."/>
    <s v=""/>
    <x v="4"/>
    <n v="34"/>
    <n v="6"/>
    <s v=""/>
    <s v=""/>
    <s v=""/>
    <s v=""/>
    <n v="1203"/>
    <n v="1209"/>
    <s v=""/>
    <s v="10.1108/JBIM-11-2018-0348"/>
    <s v="http://dx.doi.org/10.1108/JBIM-11-2018-0348"/>
    <s v=""/>
    <s v=""/>
    <n v="7"/>
    <x v="33"/>
    <x v="1"/>
    <s v="Business &amp; Economics"/>
    <s v="JE1ON"/>
    <s v=""/>
    <s v="Green Accepted"/>
    <s v=""/>
    <s v=""/>
    <s v="2023-11-15"/>
    <s v="WOS:000490465000006"/>
    <s v="View Full Record in Web of Science"/>
    <m/>
  </r>
  <r>
    <x v="480"/>
    <s v="J"/>
    <x v="475"/>
    <s v=""/>
    <s v=""/>
    <s v=""/>
    <s v="Obar, Jonathan A."/>
    <s v=""/>
    <s v=""/>
    <x v="478"/>
    <x v="308"/>
    <s v=""/>
    <s v=""/>
    <s v="English"/>
    <s v="Article"/>
    <s v=""/>
    <s v=""/>
    <s v=""/>
    <s v=""/>
    <s v=""/>
    <x v="444"/>
    <x v="1"/>
    <s v="The problematic presumption that users can control the vast consent and data-management responsibilities associated with big data is referred to as the fallacy of data privacy self-management. Though untenable, this presumption remains fundamental to Canadian privacy law, exemplified in the individual access principle of the Personal Information Protection and Electronic Documents Act governing commercial data management. This article describes the fallacy, critiques the individual access principle, and introduces potential solutions relevant to Canada's digital strategy."/>
    <s v="[Obar, Jonathan A.] York Univ, Dept Commun Studies, N York, ON, Canada"/>
    <s v="York University - Canada"/>
    <s v="Obar, JA (corresponding author), York Univ, Dept Commun Studies, N York, ON, Canada."/>
    <s v="jaobar@yorku.ca"/>
    <s v=""/>
    <s v=""/>
    <s v=""/>
    <s v=""/>
    <s v=""/>
    <s v=""/>
    <n v="25"/>
    <n v="2"/>
    <n v="2"/>
    <n v="1"/>
    <n v="2"/>
    <s v="CANADIAN JOURNAL COMMUNICATION"/>
    <s v="VANCOUVER"/>
    <s v="C/O SIMON FRASER UNIV, 515 WEST HASTINGS ST, VANCOUVER, BC V6B 5K3, CANADA"/>
    <s v="0705-3657"/>
    <s v="1499-6642"/>
    <s v=""/>
    <s v="CAN J COMMUN"/>
    <s v="Can. J. Commun."/>
    <s v=""/>
    <x v="4"/>
    <n v="44"/>
    <n v="2"/>
    <s v=""/>
    <s v=""/>
    <s v=""/>
    <s v=""/>
    <n v="35"/>
    <n v="41"/>
    <s v=""/>
    <s v="10.22230/cjc.2019v44n2a3503"/>
    <s v="http://dx.doi.org/10.22230/cjc.2019v44n2a3503"/>
    <s v=""/>
    <s v=""/>
    <n v="7"/>
    <x v="56"/>
    <x v="2"/>
    <s v="Communication"/>
    <s v="IF5TD"/>
    <s v=""/>
    <s v="hybrid"/>
    <s v=""/>
    <s v=""/>
    <s v="2023-11-15"/>
    <s v="WOS:000473144200013"/>
    <s v="View Full Record in Web of Science"/>
    <m/>
  </r>
  <r>
    <x v="481"/>
    <s v="J"/>
    <x v="476"/>
    <s v=""/>
    <s v=""/>
    <s v=""/>
    <s v="Pompili, Irene"/>
    <s v=""/>
    <s v=""/>
    <x v="479"/>
    <x v="349"/>
    <s v=""/>
    <s v=""/>
    <s v="English"/>
    <s v="Article"/>
    <s v=""/>
    <s v=""/>
    <s v=""/>
    <s v=""/>
    <s v=""/>
    <x v="8"/>
    <x v="283"/>
    <s v="An internship at the CNR-ISMA was the starting point for the Master's Graduation thesis Audience Development in Archaeology: Strategies Based on Digital Innovation (Universita Commerciale Luigi Bocconi). The three-month internship was linked to several different educational initiatives carried out by the Institute. A series of activities was designed expressly: namely, analysis of the database of the scholarly journal Archeologia e Calcolatori, with a special focus on the articles related to data dissemination and education in archaeology, as well as Virtual Reality and multimedia projects; field observation of Audience Development initiatives in archaeology through on-site multimedia projects, presented in the cultural itinerary for the Virtual Museum of Archaeological Computing (Virtual Journey at Domus Romane di Palazzo Valentini); and finally focus-group interviews both with high-school students, taking part to the Alternanza Scuola-Lavoro (ASL) program, and with expert scholars."/>
    <s v="[Pompili, Irene] Univ Commerciale Luigi Bocconi, Milan, Italy"/>
    <s v="Bocconi University"/>
    <s v="Pompili, I (corresponding author), Univ Commerciale Luigi Bocconi, Milan, Italy."/>
    <s v="irepompili108@gmail.com"/>
    <s v=""/>
    <s v=""/>
    <s v=""/>
    <s v=""/>
    <s v=""/>
    <s v=""/>
    <n v="36"/>
    <n v="1"/>
    <n v="1"/>
    <n v="0"/>
    <n v="1"/>
    <s v="EDIZIONI ALL INSEGNA GIGLIO SAS-ITALIAN NATL RESEARCH COUNC"/>
    <s v="BORGO SAN LORENZO"/>
    <s v="VIA DELLA FANGOSA 38, BORGO SAN LORENZO, FI 50032, ITALY"/>
    <s v="1120-6861"/>
    <s v="2385-1953"/>
    <s v=""/>
    <s v="ARCHEOL CALC"/>
    <s v="Archeol. Calc."/>
    <s v=""/>
    <x v="4"/>
    <n v="30"/>
    <s v=""/>
    <s v=""/>
    <s v=""/>
    <s v=""/>
    <s v=""/>
    <n v="123"/>
    <n v="138"/>
    <s v=""/>
    <s v=""/>
    <s v=""/>
    <s v=""/>
    <s v=""/>
    <n v="16"/>
    <x v="140"/>
    <x v="2"/>
    <s v="Archaeology"/>
    <s v="KM1PB"/>
    <s v=""/>
    <s v=""/>
    <s v=""/>
    <s v=""/>
    <s v="2023-11-15"/>
    <s v="WOS:000513890800009"/>
    <s v="View Full Record in Web of Science"/>
    <m/>
  </r>
  <r>
    <x v="482"/>
    <s v="J"/>
    <x v="477"/>
    <s v=""/>
    <s v=""/>
    <s v=""/>
    <s v="Ribeiro, Sergio Silva; Rezende, Denis Alcides; Yao, Jingtao"/>
    <s v=""/>
    <s v=""/>
    <x v="480"/>
    <x v="350"/>
    <s v=""/>
    <s v=""/>
    <s v="English"/>
    <s v="Article"/>
    <s v=""/>
    <s v=""/>
    <s v=""/>
    <s v=""/>
    <s v=""/>
    <x v="445"/>
    <x v="346"/>
    <s v="Technological and connected modern cities demand effective decisions by managers that are aligned with citizens demands. The strategic digital city that comprises strategies, information, services, and information technology resources can provide the necessary context so that decisions based on evidence are made possible at the municipal level of management. The objective of this study is to propose a municipal decision process model in the context of the strategic digital city. The research methodology employed was qualitative and applied to circumstantial theoretical reality, emphasizing exploratory and descriptive methods aided by bibliographic and documentary survey along with the non-participatory observation of the variables that make up the model. Similar models were identified and analyzed. The municipal decision process in the context of the strategic digital city was built from three constructs: decision, evidence, and strategic digital city. These constructs are interconnected by their thirteen variables, which are related to the conceptual base of the model developed. The conclusion reinforces the importance of using evidence to support the decision process, making it one of the strategic elements for digital cities aiming at improving their citizens quality of life."/>
    <s v="[Ribeiro, Sergio Silva; Yao, Jingtao] Univ Regina, Dept Comp Sci, Regina, SK, Canada; [Rezende, Denis Alcides] Pontificia Univ Catolica Parana, Urban Management Postgrad Program, Curitiba, Parana, Brazil"/>
    <s v="University of Regina; Pontificia Universidade Catolica do Parana"/>
    <s v="Ribeiro, SS (corresponding author), Univ Regina, Dept Comp Sci, Regina, SK, Canada."/>
    <s v="professor@sergioribeiro.com.br"/>
    <s v="Yao, JingTao/A-8483-2008; Rezende, Denis Alcides/AAR-2488-2021"/>
    <s v="Yao, JingTao/0000-0002-7823-4136; Rezende, Denis Alcides/0000-0002-3327-0424"/>
    <s v=""/>
    <s v=""/>
    <s v=""/>
    <s v=""/>
    <n v="150"/>
    <n v="7"/>
    <n v="8"/>
    <n v="2"/>
    <n v="11"/>
    <s v="IOS PRESS"/>
    <s v="AMSTERDAM"/>
    <s v="NIEUWE HEMWEG 6B, 1013 BG AMSTERDAM, NETHERLANDS"/>
    <s v="1570-1255"/>
    <s v="1875-8754"/>
    <s v=""/>
    <s v="INFORM POLITY"/>
    <s v="Inf. Polity"/>
    <s v=""/>
    <x v="4"/>
    <n v="24"/>
    <n v="3"/>
    <s v=""/>
    <s v=""/>
    <s v=""/>
    <s v=""/>
    <n v="305"/>
    <n v="324"/>
    <s v=""/>
    <s v="10.3233/IP-190129"/>
    <s v="http://dx.doi.org/10.3233/IP-190129"/>
    <s v=""/>
    <s v=""/>
    <n v="20"/>
    <x v="66"/>
    <x v="2"/>
    <s v="Information Science &amp; Library Science"/>
    <s v="IW2OM"/>
    <s v=""/>
    <s v=""/>
    <s v=""/>
    <s v=""/>
    <s v="2023-11-15"/>
    <s v="WOS:000484819400006"/>
    <s v="View Full Record in Web of Science"/>
    <m/>
  </r>
  <r>
    <x v="483"/>
    <s v="J"/>
    <x v="478"/>
    <s v=""/>
    <s v=""/>
    <s v=""/>
    <s v="Shepherd, Tamara; Henderson, Monica"/>
    <s v=""/>
    <s v=""/>
    <x v="481"/>
    <x v="308"/>
    <s v=""/>
    <s v=""/>
    <s v="English"/>
    <s v="Article"/>
    <s v=""/>
    <s v=""/>
    <s v=""/>
    <s v=""/>
    <s v=""/>
    <x v="446"/>
    <x v="347"/>
    <s v="This article discusses the role of digital literacy as a digital strategy policy goal in Canada. It reviews previous framings of digital literacy and suggests how they could be broadened to avoid an overly superficial treatment of Canadians' negotiation of digital culture and policymaking."/>
    <s v="[Shepherd, Tamara; Henderson, Monica] Univ Calgary, Commun Media &amp; Film, Calgary, AB, Canada"/>
    <s v="University of Calgary"/>
    <s v="Shepherd, T (corresponding author), Univ Calgary, Commun Media &amp; Film, Calgary, AB, Canada."/>
    <s v="tamara.shepherd@ucalgary.ca; monica.henderson2@ucalgary.ca"/>
    <s v=""/>
    <s v=""/>
    <s v=""/>
    <s v=""/>
    <s v=""/>
    <s v=""/>
    <n v="29"/>
    <n v="5"/>
    <n v="5"/>
    <n v="10"/>
    <n v="32"/>
    <s v="CANADIAN JOURNAL COMMUNICATION"/>
    <s v="VANCOUVER"/>
    <s v="C/O SIMON FRASER UNIV, 515 WEST HASTINGS ST, VANCOUVER, BC V6B 5K3, CANADA"/>
    <s v="0705-3657"/>
    <s v="1499-6642"/>
    <s v=""/>
    <s v="CAN J COMMUN"/>
    <s v="Can. J. Commun."/>
    <s v=""/>
    <x v="4"/>
    <n v="44"/>
    <n v="2"/>
    <s v=""/>
    <s v=""/>
    <s v=""/>
    <s v=""/>
    <n v="51"/>
    <n v="56"/>
    <s v=""/>
    <s v="10.22230/cjc.2019v44n2a3491"/>
    <s v="http://dx.doi.org/10.22230/cjc.2019v44n2a3491"/>
    <s v=""/>
    <s v=""/>
    <n v="6"/>
    <x v="56"/>
    <x v="2"/>
    <s v="Communication"/>
    <s v="IF5TD"/>
    <s v=""/>
    <s v="hybrid"/>
    <s v=""/>
    <s v=""/>
    <s v="2023-11-15"/>
    <s v="WOS:000473144200015"/>
    <s v="View Full Record in Web of Science"/>
    <m/>
  </r>
  <r>
    <x v="484"/>
    <s v="S"/>
    <x v="479"/>
    <s v=""/>
    <s v="Giannini, T; Bowen, JP"/>
    <s v=""/>
    <s v="Siefring, Judith"/>
    <s v=""/>
    <s v=""/>
    <x v="482"/>
    <x v="345"/>
    <s v="Springer Series on Cultural Computing"/>
    <s v=""/>
    <s v="English"/>
    <s v="Article; Book Chapter"/>
    <s v=""/>
    <s v=""/>
    <s v=""/>
    <s v=""/>
    <s v=""/>
    <x v="8"/>
    <x v="1"/>
    <s v="This chapter will consider the changing nature of the work of research libraries such as the Bodleian Libraries in response to the digital shift, and the requirement to refresh, extend, and enhance our skills beyond traditional librarianship. It will consider the importance of an integrated approach to physical and digital collections and curation, and the key importance of collaboration for future digital development. The Bodleian Libraries form part of the GLAM (Gardens, Libraries, and Museums) division of the University of Oxford, and we are encouraged to work collaboratively with our museum colleagues to meet the challenge of engaging the public with our world-class collections while at the same time serving our 'traditional' constituency of researchers and scholars of the University. This changing focus has required the Bodleian Libraries to reassess user needs and audience expectations as part of our digital strategy, and feeds into our thinking on search and discovery, metadata management, digitization, preservation, and many other areas."/>
    <s v="[Siefring, Judith] Univ Oxford, Bodleian Lib, Oxford, England"/>
    <s v="University of Oxford"/>
    <s v="Siefring, J (corresponding author), Univ Oxford, Bodleian Lib, Oxford, England."/>
    <s v="judith.siefring@bodleian.ox.ac.uk"/>
    <s v=""/>
    <s v=""/>
    <s v=""/>
    <s v=""/>
    <s v=""/>
    <s v=""/>
    <n v="13"/>
    <n v="0"/>
    <n v="0"/>
    <n v="0"/>
    <n v="4"/>
    <s v="SPRINGER INTERNATIONAL PUBLISHING AG"/>
    <s v="CHAM"/>
    <s v="GEWERBESTRASSE 11, CHAM, CH-6330, SWITZERLAND"/>
    <s v="2195-9056"/>
    <s v=""/>
    <s v="978-3-319-97457-6; 978-3-319-97456-9"/>
    <s v="SPR SER CULT COMPUT"/>
    <s v=""/>
    <s v=""/>
    <x v="4"/>
    <s v=""/>
    <s v=""/>
    <s v=""/>
    <s v=""/>
    <s v=""/>
    <s v=""/>
    <n v="491"/>
    <n v="506"/>
    <s v=""/>
    <s v="10.1007/978-3-319-97457-6_25"/>
    <s v="http://dx.doi.org/10.1007/978-3-319-97457-6_25"/>
    <s v="10.1007/978-3-319-97457-6"/>
    <s v=""/>
    <n v="16"/>
    <x v="149"/>
    <x v="9"/>
    <s v="Art; Arts &amp; Humanities - Other Topics; Computer Science; Information Science &amp; Library Science"/>
    <s v="BN6RD"/>
    <s v=""/>
    <s v=""/>
    <s v=""/>
    <s v=""/>
    <s v="2023-11-15"/>
    <s v="WOS:000486078600026"/>
    <s v="View Full Record in Web of Science"/>
    <m/>
  </r>
  <r>
    <x v="485"/>
    <s v="J"/>
    <x v="480"/>
    <s v=""/>
    <s v=""/>
    <s v=""/>
    <s v="Silvaggi, Antonia; Pesce, Federica"/>
    <s v=""/>
    <s v=""/>
    <x v="483"/>
    <x v="351"/>
    <s v=""/>
    <s v=""/>
    <s v="English"/>
    <s v="Article"/>
    <s v=""/>
    <s v=""/>
    <s v=""/>
    <s v=""/>
    <s v=""/>
    <x v="447"/>
    <x v="1"/>
    <s v="Due to the increasing use of technologies in the museum sector, new job profiles are now emerging within that sector. This paper describes the key findings of the research activities carried out in Greece, Portugal and Italy within the Mu.SA - Museum Sector Alliance - project funded by the European Erasmus Plus Programme - Sector Skills Alliances. Our research addressed the questions of what skills and know-how are needed by museum professionals in the process of digital transformation of their sector and what emerging job profiles would help museums to thrive in the digital environment. The research validated four job profiles such as Digital Strategy Manager, Digital Collections Curator, Digital Interactive Experience Developer and Online Community Manager. It also showed that there are some digital and transferable competences common to the four museum job profiles, but, most importantly, that an awareness of digital culture should be developed throughout the whole of a museum's workforce."/>
    <s v="[Silvaggi, Antonia; Pesce, Federica] Melting Pro, Rome, Italy"/>
    <s v=""/>
    <s v="Silvaggi, A (corresponding author), Melting Pro, Rome, Italy."/>
    <s v="a.silvaggi@meltingpro.org; f.pesce@meltingpro.org"/>
    <s v="Marinho, Ana/AGC-0349-2022"/>
    <s v=""/>
    <s v=""/>
    <s v=""/>
    <s v=""/>
    <s v=""/>
    <n v="23"/>
    <n v="5"/>
    <n v="5"/>
    <n v="1"/>
    <n v="7"/>
    <s v="ENCATC"/>
    <s v="BRUSSELS"/>
    <s v="1 AVE MAURICE, BRUSSELS, 1050, BELGIUM"/>
    <s v="2224-2554"/>
    <s v=""/>
    <s v=""/>
    <s v="ENCATC J CULT MANAG"/>
    <s v="ENCATC J. Cult. Manag. Policy"/>
    <s v="DEC"/>
    <x v="5"/>
    <n v="8"/>
    <n v="1"/>
    <s v=""/>
    <s v=""/>
    <s v=""/>
    <s v=""/>
    <n v="56"/>
    <n v="69"/>
    <s v=""/>
    <s v=""/>
    <s v=""/>
    <s v=""/>
    <s v=""/>
    <n v="14"/>
    <x v="55"/>
    <x v="2"/>
    <s v="Arts &amp; Humanities - Other Topics"/>
    <s v="HE8KL"/>
    <s v=""/>
    <s v=""/>
    <s v=""/>
    <s v=""/>
    <s v="2023-11-15"/>
    <s v="WOS:000453695600005"/>
    <s v="View Full Record in Web of Science"/>
    <m/>
  </r>
  <r>
    <x v="486"/>
    <s v="J"/>
    <x v="481"/>
    <s v=""/>
    <s v=""/>
    <s v=""/>
    <s v="Martorell Castellano, Cristina; Serra Folch, Carolina"/>
    <s v=""/>
    <s v=""/>
    <x v="484"/>
    <x v="352"/>
    <s v=""/>
    <s v=""/>
    <s v="Catalan"/>
    <s v="Article"/>
    <s v=""/>
    <s v=""/>
    <s v=""/>
    <s v=""/>
    <s v=""/>
    <x v="448"/>
    <x v="1"/>
    <s v="This paper introduces a research technique, netnography, that can be used to analyze online brand communities. We will describe how It works, its limitations and some ethical considerations, and we will propose a functional model for analyzing online brand communities that we will later apply to the analysis of the Estrella Damm community on Facebook at two specific moments, June 2012 and May 2017, in order to observe Its evolution. The results obtained show that, In the last five years, the brand has revised and Improved its digital strategy, as we have noticed a clear commitment to create original content for Its digital profiles and a proactive attitude with Its fans: i.e. joining their conversations. These were aspects which were not observed in the analysis carried out In 2012."/>
    <s v="[Martorell Castellano, Cristina] UIC, Fac Ciencies Comunicacio, Barcelona, Spain; [Serra Folch, Carolina] UIC, Fac Ciencies Comunicacio, Publicitat &amp; Relac Publ, Barcelona, Spain"/>
    <s v="Universitat Internacional de Catalunya (UIC); Universitat Internacional de Catalunya (UIC)"/>
    <s v="Castellano, CM (corresponding author), Carrer Immaculada 22, E-08017 Barcelona, Spain."/>
    <s v="cmartorell@uic.es; cserra@uic.es"/>
    <s v="serra folch, carolina/ABF-8255-2021; Martorell Castellano, Cristina/ABF-6028-2021"/>
    <s v="Martorell Castellano, Cristina/0000-0001-6403-3387"/>
    <s v=""/>
    <s v=""/>
    <s v=""/>
    <s v=""/>
    <n v="25"/>
    <n v="0"/>
    <n v="0"/>
    <n v="0"/>
    <n v="9"/>
    <s v="SOC CATALANA COMUNICACIO"/>
    <s v="BARCELONA"/>
    <s v="CARRER DEL CARME 47, BARCELONA, 08001, SPAIN"/>
    <s v="2014-0304"/>
    <s v="2014-0444"/>
    <s v=""/>
    <s v="COMUNICACIO"/>
    <s v="Comunicacio"/>
    <s v="NOV"/>
    <x v="5"/>
    <n v="35"/>
    <n v="2"/>
    <s v=""/>
    <s v=""/>
    <s v=""/>
    <s v=""/>
    <n v="67"/>
    <n v="82"/>
    <s v=""/>
    <s v="10.2436/20.3008.01.173"/>
    <s v="http://dx.doi.org/10.2436/20.3008.01.173"/>
    <s v=""/>
    <s v=""/>
    <n v="16"/>
    <x v="56"/>
    <x v="2"/>
    <s v="Communication"/>
    <s v="HC5WC"/>
    <s v=""/>
    <s v=""/>
    <s v=""/>
    <s v=""/>
    <s v="2023-11-15"/>
    <s v="WOS:000451872100004"/>
    <s v="View Full Record in Web of Science"/>
    <m/>
  </r>
  <r>
    <x v="487"/>
    <s v="J"/>
    <x v="482"/>
    <s v=""/>
    <s v=""/>
    <s v=""/>
    <s v="Meessen, Bruno"/>
    <s v=""/>
    <s v=""/>
    <x v="485"/>
    <x v="353"/>
    <s v=""/>
    <s v=""/>
    <s v="English"/>
    <s v="Article"/>
    <s v=""/>
    <s v=""/>
    <s v=""/>
    <s v=""/>
    <s v=""/>
    <x v="8"/>
    <x v="348"/>
    <s v="Countries finance health care using a combination of 3 main functions: raising resources for health, pooling resources, and purchasing health services. In this paper, we examine how digital health technologies can be used to enhance these health financing functions in low- and middle-income countries and can thus contribute to progress toward universal health coverage. We illustrate our points by presenting some recent innovations in digital technologies for financing health care, identifying their contributions and their limits. Some examples include a mobile-health wallet application used in Kenya that encourages households to put money aside for future health expenses; an online software platform developed by a startup in Tanzania in partnership with a private insurance provider to give individuals and families the opportunity to choose among different health coverage options; and digital maps by a number of start-ups that bring together data on health facility locations and capacity, including equipment, staff, and types of services offered. We also sketch an agenda for future research and action for digital strategies for health financing. The development and adoption of effective solutions that align well with the universal health coverage agenda will require strong partnerships between stakeholders and enough proactive stewardship by authorities."/>
    <s v="[Meessen, Bruno] Inst Trop Med, Antwerp, Belgium"/>
    <s v="Institute of Tropical Medicine (ITM)"/>
    <s v="Meessen, B (corresponding author), Inst Trop Med, Antwerp, Belgium."/>
    <s v="bmeessen@itg.be"/>
    <s v="owoyele, babajide/AAD-7054-2020"/>
    <s v="owoyele, babajide/0000-0002-3688-5248; Meessen, Bruno/0000-0002-0359-8621"/>
    <s v="Aetna Foundation; World Health Organization; Johns Hopkins University Global mHealth Initiative"/>
    <s v="Aetna Foundation; World Health Organization(World Health Organization); Johns Hopkins University Global mHealth Initiative"/>
    <s v="This work was made possible by a grant from the Aetna Foundation, with support from the World Health Organization and The Johns Hopkins University Global mHealth Initiative."/>
    <s v=""/>
    <n v="47"/>
    <n v="17"/>
    <n v="17"/>
    <n v="7"/>
    <n v="33"/>
    <s v="US AGENCY INT DEVELOPMENT-USAID"/>
    <s v="BALTIMORE"/>
    <s v="US AGENCY INT DEVELOPMENT-USAID, BALTIMORE, MD 00000 USA"/>
    <s v="2169-575X"/>
    <s v=""/>
    <s v=""/>
    <s v="GLOB HEALTH-SCI PRAC"/>
    <s v="Glob. Health"/>
    <s v="OCT 10"/>
    <x v="5"/>
    <n v="6"/>
    <s v=""/>
    <s v=""/>
    <n v="1"/>
    <s v=""/>
    <s v=""/>
    <s v="S29"/>
    <s v="S40"/>
    <s v=""/>
    <s v="10.9745/GHSP-D-18-00271"/>
    <s v="http://dx.doi.org/10.9745/GHSP-D-18-00271"/>
    <s v=""/>
    <s v=""/>
    <n v="12"/>
    <x v="44"/>
    <x v="3"/>
    <s v="Public, Environmental &amp; Occupational Health"/>
    <s v="HU0TY"/>
    <n v="30305337"/>
    <s v="Green Published, gold"/>
    <s v=""/>
    <s v=""/>
    <s v="2023-11-15"/>
    <s v="WOS:000464985500004"/>
    <s v="View Full Record in Web of Science"/>
    <m/>
  </r>
  <r>
    <x v="488"/>
    <s v="J"/>
    <x v="483"/>
    <s v=""/>
    <s v=""/>
    <s v=""/>
    <s v="Orton, Maeghan; Agarwal, Smisha; Muhoza, Pierre; Vasudevan, Lavanya; Vu, Alexander"/>
    <s v=""/>
    <s v=""/>
    <x v="486"/>
    <x v="353"/>
    <s v=""/>
    <s v=""/>
    <s v="English"/>
    <s v="Article"/>
    <s v=""/>
    <s v=""/>
    <s v=""/>
    <s v=""/>
    <s v=""/>
    <x v="8"/>
    <x v="349"/>
    <s v="Background: Delivery of high-quality efficient health services is a cornerstone of the global agenda to achieve universal health coverage. According to the World Health Organization, health service delivery is considered good when equitable access to a comprehensive range of high-quality health services is ensured within an integrated and person-centered continuum of care. However, good health service delivery can be challenging in low-resource settings. In this review, we summarize and discuss key advances in health service delivery, particularly in the context of using digital health strategies for mitigating human resource constraints. Methods: The review updates the foundational systematic review conducted by Agarwal et al. in 2015. We used PubMed, EMBASE, and CINAHL to find relevant English-language peer-reviewed articles published 2018. Our search strategy for MEDLINE was based on MeSH (medical subject headings) terms and text words of key articles that we identified a priori. Our search identified 92 articles. After screening, we selected 24 articles for abstract review, of which only 6 met the eligibility criteria and were ultimately included in this review. Results: Despite encouraging advances in the evidence base on digital strategies for health service delivery, the current body of evidence is still quite limited in 3 main areas: the effectiveness of interventions on health outcomes, improvement in health system efficiencies for service delivery, and the human capacity required to implement and support digital health strategies at scale. Two particular areas, digital health-enhanced referral coordination and mobile clinical decision support systems, demonstrate considerable potential to improve the quality and comprehensiveness of care received by patients, but they require a greater level of standardization and an expanded scope of health worker engagement across the health system in order to scale them up effectively. Conclusions: Additional research is urgently needed to inform the effectiveness of interventions on health outcomes, improvement in health system efficiencies, and cost-effectiveness of service delivery. In particular, more documentation and research on ways to standardize and engage health workers in digital referral and clinical decision support systems can provide the foundation needed to scale these promising approaches in low- and middle-income settings."/>
    <s v="[Orton, Maeghan] WHO, Dept Reprod Hlth &amp; Res, Geneva, Switzerland; [Agarwal, Smisha] Johns Hopkins Global Digital Hlth Initiat, Baltimore, MD USA; [Muhoza, Pierre; Vu, Alexander] Johns Hopkins Bloomberg Sch Publ Hlth, Baltimore, MD USA; [Vasudevan, Lavanya] Duke Univ, Sch Med, Dept Community &amp; Family Med, Durham, NC 27710 USA; [Vasudevan, Lavanya] Duke Global Hlth Inst, Ctr Hlth Policy &amp; Inequal Res, Durham, NC 27710 USA; [Vu, Alexander] Johns Hopkins Sch Med, Baltimore, MD USA; [Vu, Alexander] Amer Univ Beirut, Sch Med, Beirut, Lebanon"/>
    <s v="World Health Organization; Johns Hopkins University; Johns Hopkins Bloomberg School of Public Health; Duke University; Duke University; Johns Hopkins University; Johns Hopkins Medicine; American University of Beirut"/>
    <s v="Vasudevan, L (corresponding author), Duke Univ, Sch Med, Dept Community &amp; Family Med, Durham, NC 27710 USA.;Vasudevan, L (corresponding author), Duke Global Hlth Inst, Ctr Hlth Policy &amp; Inequal Res, Durham, NC 27710 USA."/>
    <s v="Lavanya.vasude@gmail.com"/>
    <s v="Vasudevan, Lavanya/AAI-9590-2021"/>
    <s v="Vasudevan, Lavanya/0000-0003-2900-6070; Agarwal, Smisha/0000-0002-7407-0066"/>
    <s v="Aetna Foundation; World Health Organization; Johns Hopkins University Global mHealth Initiative; National Center for Advancing Translational Sciences of the National Institutes of Health [1KL2TR002554]"/>
    <s v="Aetna Foundation; World Health Organization(World Health Organization); Johns Hopkins University Global mHealth Initiative; National Center for Advancing Translational Sciences of the National Institutes of Health(United States Department of Health &amp; Human ServicesNational Institutes of Health (NIH) - USANIH National Center for Advancing Translational Sciences (NCATS))"/>
    <s v="This work was made possible by a grant from the Aetna Foundation, with support from the World Health Organization and The Johns Hopkins University Global mHealth Initiative. In addition, Vasudevan's effort on this publication was supported in part by the National Center for Advancing Translational Sciences of the National Institutes of Health under Award Number 1KL2TR002554."/>
    <s v=""/>
    <n v="69"/>
    <n v="23"/>
    <n v="26"/>
    <n v="0"/>
    <n v="4"/>
    <s v="JOHNS HOPKINS CENTER COMMUNICATION PROGRAMS-CCP"/>
    <s v="BALTIMORE"/>
    <s v="KNOWLEDGE SUCCESS PROJECT, 111 MARKET PLACE, STE 310, BALTIMORE, MD, UNITED STATES"/>
    <s v="2169-575X"/>
    <s v=""/>
    <s v=""/>
    <s v="GLOB HEALTH-SCI PRAC"/>
    <s v="Glob. Health"/>
    <s v="OCT 10"/>
    <x v="5"/>
    <n v="6"/>
    <s v=""/>
    <s v=""/>
    <n v="1"/>
    <s v=""/>
    <s v=""/>
    <s v="S61"/>
    <s v="S71"/>
    <s v=""/>
    <s v="10.9745/GHSP-D-18-00229"/>
    <s v="http://dx.doi.org/10.9745/GHSP-D-18-00229"/>
    <s v=""/>
    <s v=""/>
    <n v="11"/>
    <x v="44"/>
    <x v="3"/>
    <s v="Public, Environmental &amp; Occupational Health"/>
    <s v="HU0TY"/>
    <n v="30305340"/>
    <s v="Green Published, gold"/>
    <s v=""/>
    <s v=""/>
    <s v="2023-11-15"/>
    <s v="WOS:000464985500007"/>
    <s v="View Full Record in Web of Science"/>
    <m/>
  </r>
  <r>
    <x v="489"/>
    <s v="J"/>
    <x v="484"/>
    <s v=""/>
    <s v=""/>
    <s v=""/>
    <s v="Arostegi, Maria; Torre-Bastida, Ana; Nekane Bilbao, Miren; Del Ser, Javier"/>
    <s v=""/>
    <s v=""/>
    <x v="487"/>
    <x v="354"/>
    <s v=""/>
    <s v=""/>
    <s v="English"/>
    <s v="Article"/>
    <s v=""/>
    <s v=""/>
    <s v=""/>
    <s v=""/>
    <s v=""/>
    <x v="449"/>
    <x v="350"/>
    <s v="The rapid growth of new computing paradigms such as Cloud Computing and Big Data has unleashed great opportunities for companies to shift their business model towards a fully digital strategy. A major obstacle in this matter is the requirement of highly specialized ICT infrastructures that are expensive and difficult to manage. It is at this point that the IaaS (infrastructure as a service) model offers an efficient and cost-affordable solution to supply companies with their required computing resources. In the Big Data context, it is often a hard task to design an optimal IaaS solution that meets user requirements. In this context, we propose a methodology to optimize the definition of IaaS cloud models for hosting Big Data platforms, following a threefold criterion: cost, reliability, and computing capacity. Specifically, the proposed methodology hinges on evolutionary heuristics in order to find IaaS configurations in the cloud that optimally balance such objectives. We also define measures to quantify the aforementioned metrics over a Big Data platform hosted within an IaaS cloud model. The proposed method is validated by using real information from three IaaS providers and three Big Data platforms. The obtained results provide an insightful input for system managers when initially designing cloud infrastructures for Big Data applications."/>
    <s v="[Arostegi, Maria; Torre-Bastida, Ana; Del Ser, Javier] TECNALIA, OPTIMA Dept, Derio, Spain; [Nekane Bilbao, Miren; Del Ser, Javier] Univ Basque Country, UPV EHU, Dept Commun Engn, Bilbao, Spain; [Del Ser, Javier] BCAM, Data Sci Grp, Bilbao, Spain"/>
    <s v="University of Basque Country"/>
    <s v="Del Ser, J (corresponding author), TECNALIA, Derio 48160, Bizkaia, Spain."/>
    <s v="javier.delser@tecnalia.com"/>
    <s v="Del Ser, Javier/AAA-2965-2021"/>
    <s v="Del Ser, Javier/0000-0002-1260-9775; BILBAO MARON, MIREN NEKANE/0000-0002-0519-8728; Arostegi, Maria/0000-0001-6691-4276; Torre-Bastida, Phd. Ana I./0000-0003-3005-1100"/>
    <s v="Basque Government under the ELKARTEK program (BID3ABI project)"/>
    <s v="Basque Government under the ELKARTEK program (BID3ABI project)"/>
    <s v="This work has been funded in part by the Basque Government under the ELKARTEK program (BID3ABI project)."/>
    <s v=""/>
    <n v="55"/>
    <n v="7"/>
    <n v="7"/>
    <n v="0"/>
    <n v="20"/>
    <s v="WILEY"/>
    <s v="HOBOKEN"/>
    <s v="111 RIVER ST, HOBOKEN 07030-5774, NJ USA"/>
    <s v="0266-4720"/>
    <s v="1468-0394"/>
    <s v=""/>
    <s v="EXPERT SYST"/>
    <s v="Expert Syst."/>
    <s v="OCT"/>
    <x v="5"/>
    <n v="35"/>
    <n v="5"/>
    <s v=""/>
    <s v=""/>
    <s v="SI"/>
    <s v=""/>
    <s v=""/>
    <s v=""/>
    <s v="e12259"/>
    <s v="10.1111/exsy.12259"/>
    <s v="http://dx.doi.org/10.1111/exsy.12259"/>
    <s v=""/>
    <s v=""/>
    <n v="12"/>
    <x v="150"/>
    <x v="0"/>
    <s v="Computer Science"/>
    <s v="GW0MF"/>
    <s v=""/>
    <s v=""/>
    <s v=""/>
    <s v=""/>
    <s v="2023-11-15"/>
    <s v="WOS:000446560700001"/>
    <s v="View Full Record in Web of Science"/>
    <m/>
  </r>
  <r>
    <x v="490"/>
    <s v="J"/>
    <x v="485"/>
    <s v=""/>
    <s v=""/>
    <s v=""/>
    <s v="Bucci, Sandra; Barrowclough, Christine; Ainsworth, John; Machin, Matthew; Morris, Rohan; Berry, Katherine; Emsley, Richard; Lewis, Shon; Edge, Dawn; Buchan, Iain; Haddock, Gillian"/>
    <s v=""/>
    <s v=""/>
    <x v="488"/>
    <x v="355"/>
    <s v=""/>
    <s v=""/>
    <s v="English"/>
    <s v="Article"/>
    <s v=""/>
    <s v=""/>
    <s v=""/>
    <s v=""/>
    <s v=""/>
    <x v="450"/>
    <x v="351"/>
    <s v="Background: Timely access to intervention for psychosis is crucial yet problematic. As such, health care providers are forming digital strategies for addressing mental health challenges. A theory-driven digital intervention that monitors distressing experiences and provides real-time active management strategies could improve the speed and quality of recovery in psychosis, over and above conventional treatments. This study assesses the feasibility and acceptability of Actissist, a digital health intervention grounded in the cognitive model of psychosis that targets key early psychosis domains. Methods: A proof-of-concept, single, blind, randomized controlled trial of Actissist, compared to a symptom-monitoring control. Thirty-six early psychosis patients were randomized on a 2: 1 ratio to each arm of the trial. Actissist was delivered via a smartphone app over 12-weeks; clinical and functional assessment time-points were baseline, post-treatment and 22-weeks. Assessors' blind to treatment condition conducted the assessments. Acceptability was examined using qualitative methods. Results: Actissist was feasible (75% participants used Actissist at least once/day; uptake was high, 97% participants remained in the trial; high follow-up rates), acceptable (90% participants recommend Actissist), and safe (0 serious adverse events), with high levels of user satisfaction. Treatment effects were large on negative symptoms, general psychotic symptoms and mood. The addition of Actissist conferred benefit at post-treatment assessment over routine symptom-monitoring and treatment as usual. Conclusions: This is the first controlled proof-of-concept trial of a theory-driven digital health intervention for early psychosis. Actissist is feasible and acceptable to early psychosis patients, with a strong signal for treatment efficacy. Trial Registration: ISRCTN: 34966555."/>
    <s v="[Bucci, Sandra; Barrowclough, Christine; Morris, Rohan; Berry, Katherine; Lewis, Shon; Edge, Dawn; Haddock, Gillian] Univ Manchester, Manchester Acad Hlth Sci Ctr, Sch Hlth Sci, Div Psychol &amp; Mental Hlth, Manchester, Lancs, England; [Ainsworth, John; Machin, Matthew] Univ Manchester, Div Informat Imaging &amp; Data Sci, Manchester, Lancs, England; [Ainsworth, John; Machin, Matthew] Univ Manchester, Farr Inst Hlth Informat Res, Hlth eRes Ctr, Manchester, Lancs, England; [Emsley, Richard] Univ Manchester, Div Populat Hlth, Hlth Serv Res &amp; Primary Care, Manchester, Lancs, England; [Buchan, Iain] Microsoft Res, Cambridge, England"/>
    <s v="University of Manchester; University of Manchester; University of Manchester; University of Manchester; Microsoft"/>
    <s v="Bucci, S (corresponding author), Univ Manchester, Div Psychol &amp; Mental Hlth, 2nd Floor,Zochonis Bldg,Brunswick St, Manchester M13 9PL, Lancs, England."/>
    <s v="sandra.bucci@manchester.ac.uk"/>
    <s v="Morris, Rohan/AAA-7914-2019; Buchan, Iain E/H-5767-2013; Emsley, Richard/N-1342-2016"/>
    <s v="Buchan, Iain E/0000-0003-3392-1650; Emsley, Richard/0000-0002-1218-675X; Lewis, Shon/0000-0003-1861-4652; Ainsworth, John/0000-0002-2187-9195; Haddock, Professor Gillian/0000-0001-6234-5774; berry, katherine/0000-0002-7399-5462; Machin, Matthew/0000-0001-6600-9508"/>
    <s v="Medical Research Council Developmental Pathway Funding Scheme [MR/L005301/1]; University of Manchester; Greater Manchester Mental Health NHS Foundation Trust; Medical Research Council [MR/L005301/1] Funding Source: researchfish; MRC [MR/L005301/1, MR/P026664/1] Funding Source: UKRI"/>
    <s v="Medical Research Council Developmental Pathway Funding Scheme(UK Research &amp; Innovation (UKRI)Medical Research Council UK (MRC)); University of Manchester; Greater Manchester Mental Health NHS Foundation Trust; Medical Research Council(UK Research &amp; Innovation (UKRI)Medical Research Council UK (MRC)); MRC(UK Research &amp; Innovation (UKRI)Medical Research Council UK (MRC))"/>
    <s v="The work was supported by the Medical Research Council Developmental Pathway Funding Scheme (grant number MR/L005301/1) and was supported by the University of Manchester and Greater Manchester Mental Health NHS Foundation Trust."/>
    <s v=""/>
    <n v="43"/>
    <n v="96"/>
    <n v="96"/>
    <n v="0"/>
    <n v="12"/>
    <s v="OXFORD UNIV PRESS"/>
    <s v="OXFORD"/>
    <s v="GREAT CLARENDON ST, OXFORD OX2 6DP, ENGLAND"/>
    <s v="0586-7614"/>
    <s v="1745-1701"/>
    <s v=""/>
    <s v="SCHIZOPHRENIA BULL"/>
    <s v="Schizophr. Bull."/>
    <s v="SEP"/>
    <x v="5"/>
    <n v="44"/>
    <n v="5"/>
    <s v=""/>
    <s v=""/>
    <s v=""/>
    <s v=""/>
    <n v="1070"/>
    <n v="1080"/>
    <s v=""/>
    <s v="10.1093/schbul/sby032"/>
    <s v="http://dx.doi.org/10.1093/schbul/sby032"/>
    <s v=""/>
    <s v=""/>
    <n v="11"/>
    <x v="82"/>
    <x v="3"/>
    <s v="Psychiatry"/>
    <s v="GR8TN"/>
    <n v="29566206"/>
    <s v="Green Published, hybrid"/>
    <s v=""/>
    <s v=""/>
    <s v="2023-11-15"/>
    <s v="WOS:000443003600020"/>
    <s v="View Full Record in Web of Science"/>
    <m/>
  </r>
  <r>
    <x v="491"/>
    <s v="J"/>
    <x v="486"/>
    <s v=""/>
    <s v=""/>
    <s v=""/>
    <s v="Gutierrez-Leefmans, Catalina; Maria Nava-Rogel, Rosa; Andrea Trujillo-Leon, Maria"/>
    <s v=""/>
    <s v=""/>
    <x v="489"/>
    <x v="356"/>
    <s v=""/>
    <s v=""/>
    <s v="English"/>
    <s v="Article"/>
    <s v=""/>
    <s v=""/>
    <s v=""/>
    <s v=""/>
    <s v=""/>
    <x v="451"/>
    <x v="352"/>
    <s v="This study aims to explore the relationship between dynamic capabilities and digital marketing. From the literature review on dynamic marketing capabilities, marketing capabilities and digital marketing capabilities it is inferred that without considering the denomination, they all include the dynamic component factors. The review also results on the consideration that these capabilities already involve the use of ICTs and digital tools for their development. It is concluded that digital marketing directly supports the marketing capabilities required by the context and therefore the business strategy directed to a better performance of firms."/>
    <s v="[Gutierrez-Leefmans, Catalina; Maria Nava-Rogel, Rosa] Univ Autonoma Estado Mexico, Escola Contabilidade &amp; Adm, Cerro Coatepec S-N, Toluca, Mexico; [Andrea Trujillo-Leon, Maria] Tec Monterrey Campus Santa Fe ITESM, ITESM Campus Santa Fe,Av Carlos Lazo 100, Ciudad De Mexico 01389, Cdmx, Mexico"/>
    <s v=""/>
    <s v="Gutiérrez-Leefmans, C (corresponding author), Univ Autonoma Estado Mexico, Escola Contabilidade &amp; Adm, Cerro Coatepec S-N, Toluca, Mexico."/>
    <s v="cgluniv@gmail.com; rmnavar@uaemex.mx; andrea.trujillo@itesm.mx"/>
    <s v="Gutierrez-Leefmans, Catalina/N-6287-2018; Rosa María, Nava-Rogel/O-4885-2015"/>
    <s v="Gutierrez-Leefmans, Catalina/0000-0001-9588-6753; Rosa María, Nava-Rogel/0000-0003-2611-3903"/>
    <s v=""/>
    <s v=""/>
    <s v=""/>
    <s v=""/>
    <n v="47"/>
    <n v="2"/>
    <n v="2"/>
    <n v="7"/>
    <n v="65"/>
    <s v="UNIV SUL SANTA CATARINA-UNISUL"/>
    <s v="FLORIANOPOLIS"/>
    <s v="RUA TRAJANO 219, FLORIANOPOLIS, SC 00000, BRAZIL"/>
    <s v="1984-3372"/>
    <s v=""/>
    <s v=""/>
    <s v="REV ELETRONICA ESTRA"/>
    <s v="Rev. Eletronica Estrateg. Neg.-REEN"/>
    <s v="SEP-DEC"/>
    <x v="5"/>
    <n v="11"/>
    <n v="3"/>
    <s v=""/>
    <s v=""/>
    <s v=""/>
    <s v=""/>
    <n v="265"/>
    <n v="283"/>
    <s v=""/>
    <s v="10.19177/reen.v11e32018265-283"/>
    <s v="http://dx.doi.org/10.19177/reen.v11e32018265-283"/>
    <s v=""/>
    <s v=""/>
    <n v="19"/>
    <x v="8"/>
    <x v="2"/>
    <s v="Business &amp; Economics"/>
    <s v="HZ0RQ"/>
    <s v=""/>
    <s v="gold, Green Published"/>
    <s v=""/>
    <s v=""/>
    <s v="2023-11-15"/>
    <s v="WOS:000468549900010"/>
    <s v="View Full Record in Web of Science"/>
    <m/>
  </r>
  <r>
    <x v="492"/>
    <s v="J"/>
    <x v="487"/>
    <s v=""/>
    <s v=""/>
    <s v=""/>
    <s v="Rodriguez-Andres, Roberto"/>
    <s v=""/>
    <s v=""/>
    <x v="490"/>
    <x v="357"/>
    <s v=""/>
    <s v=""/>
    <s v="English"/>
    <s v="Article"/>
    <s v=""/>
    <s v=""/>
    <s v=""/>
    <s v=""/>
    <s v=""/>
    <x v="452"/>
    <x v="353"/>
    <s v="The Internet and social media, particularly Twitter and Facebook, have been identified as one of the factors that contributed to Donald Trump's triumph in the United States presidential elections of 2016. In this paper, we describe how the Republican candidate used social media and what his digital strategies were, after directly monitoring the campaign and reviewing journalistic information, as well as the analysis of the academic research carried out so far. Based on this review, it is possible to conclude that social media played a significant role in these elections, expanding its power of influence as compared to the previous elections of 2008 and 2012, when Obama used them extensively, and which Trump used better than Hillary Clinton to move his priority audience, to discourage his rival's audience, and to send his messages, thus making it an important part of his victory. It is also concluded, however, that it is wrong to say that social themselves were the main reason for the Republican candidate's success, as there are other substantial reasons to his triumph which are linked to the socio-political context in which these elections took place."/>
    <s v="[Rodriguez-Andres, Roberto] Univ Pontificia Comilla, Madrid, Spain"/>
    <s v="Comillas Pontifical University"/>
    <s v="Rodríguez-Andrés, R (corresponding author), Univ Pontificia Comilla, Madrid, Spain."/>
    <s v="rrodrigueza@comillas.edu"/>
    <s v="Rodríguez-Andrés, Roberto/AAA-9002-2019; ANDRÉS, Roberto RODRÍGUEZ/A-1346-2014"/>
    <s v="Rodríguez-Andrés, Roberto/0000-0003-4262-8237; ANDRÉS, Roberto RODRÍGUEZ/0000-0003-4262-8237"/>
    <s v=""/>
    <s v=""/>
    <s v=""/>
    <s v=""/>
    <n v="81"/>
    <n v="17"/>
    <n v="18"/>
    <n v="0"/>
    <n v="57"/>
    <s v="UNIV SABANA, FAC COMUNICACION"/>
    <s v="CUNDINAMARCA"/>
    <s v="CAMPUS PUENTE COMUN, KM 7, AUTOPISTA NORTE BOGOTA CHIA, CUNDINAMARCA, 00000, COLOMBIA"/>
    <s v="0122-8285"/>
    <s v="2027-534X"/>
    <s v=""/>
    <s v="PALABRA CLAVE"/>
    <s v="Palabra Clave"/>
    <s v="SEP"/>
    <x v="5"/>
    <n v="21"/>
    <n v="3"/>
    <s v=""/>
    <s v=""/>
    <s v=""/>
    <s v=""/>
    <n v="831"/>
    <n v="859"/>
    <s v=""/>
    <s v="10.5294/pacla.2018.21.3.8"/>
    <s v="http://dx.doi.org/10.5294/pacla.2018.21.3.8"/>
    <s v=""/>
    <s v=""/>
    <n v="29"/>
    <x v="56"/>
    <x v="2"/>
    <s v="Communication"/>
    <s v="GK6HE"/>
    <s v=""/>
    <s v="Green Submitted, gold, Green Published"/>
    <s v=""/>
    <s v=""/>
    <s v="2023-11-15"/>
    <s v="WOS:000436284200007"/>
    <s v="View Full Record in Web of Science"/>
    <m/>
  </r>
  <r>
    <x v="493"/>
    <s v="J"/>
    <x v="119"/>
    <s v=""/>
    <s v=""/>
    <s v=""/>
    <s v="Flores, Carla C.; Rezende, Denis A."/>
    <s v=""/>
    <s v=""/>
    <x v="491"/>
    <x v="358"/>
    <s v=""/>
    <s v=""/>
    <s v="English"/>
    <s v="Article"/>
    <s v=""/>
    <s v=""/>
    <s v=""/>
    <s v=""/>
    <s v=""/>
    <x v="453"/>
    <x v="354"/>
    <s v="Actions towards an effective city management require a focus on citizens, and it is a role of local governments to search for ways to provide their participation in the decision-making process. Among other information technology resources, local governments use social platforms thus facing the challenge of extracting and classifying information for strategic use. The objective of this study is to analyze Twitter information to contribute to the strategic digital city. The research methodology used was a case study of a Brazilian city. Twitter was analyzed, and the information assessed according to its characteristics, source, nature, quality, intelligence and organizational level. Results reveal Twitter allows communication, rudiments of public services and exchange and sharing information on municipal themes inherent to strategic digital cities. Information has quality and intelligence to serve the strategic level of government. The conclusion confirms that Twitter enhances transparency and strengthens bonds between local government and citizens."/>
    <s v="[Flores, Carla C.; Rezende, Denis A.] Pontificia Univ Catolica Parana PUCPR, Postgrad Program Urban Management &amp; Publ Adm, Curitiba, Parana, Brazil"/>
    <s v="Pontificia Universidade Catolica do Parana"/>
    <s v="Flores, CC (corresponding author), Pontificia Univ Catolica Parana PUCPR, Postgrad Program Urban Management &amp; Publ Adm, Curitiba, Parana, Brazil."/>
    <s v="carla@copta.com.br; denis.rezende@pucpr.br"/>
    <s v="Rezende, Denis Alcides/AAR-2488-2021"/>
    <s v="Rezende, Denis Alcides/0000-0002-3327-0424"/>
    <s v="CNPq-Brazil; FA-Parana"/>
    <s v="CNPq-Brazil(Conselho Nacional de Desenvolvimento Cientifico e Tecnologico (CNPQ)); FA-Parana"/>
    <s v="This work was supported by CNPq-Brazil (research fellow) and FA-Parana."/>
    <s v=""/>
    <n v="70"/>
    <n v="12"/>
    <n v="13"/>
    <n v="2"/>
    <n v="32"/>
    <s v="ELSEVIER SCIENCE BV"/>
    <s v="AMSTERDAM"/>
    <s v="PO BOX 211, 1000 AE AMSTERDAM, NETHERLANDS"/>
    <s v="0736-5853"/>
    <s v=""/>
    <s v=""/>
    <s v="TELEMAT INFORM"/>
    <s v="Telemat. Inform."/>
    <s v="AUG"/>
    <x v="5"/>
    <n v="35"/>
    <n v="5"/>
    <s v=""/>
    <s v=""/>
    <s v=""/>
    <s v=""/>
    <n v="1082"/>
    <n v="1096"/>
    <s v=""/>
    <s v="10.1016/j.tele.2018.01.005"/>
    <s v="http://dx.doi.org/10.1016/j.tele.2018.01.005"/>
    <s v=""/>
    <s v=""/>
    <n v="15"/>
    <x v="66"/>
    <x v="1"/>
    <s v="Information Science &amp; Library Science"/>
    <s v="GM8LQ"/>
    <s v=""/>
    <s v=""/>
    <s v=""/>
    <s v=""/>
    <s v="2023-11-15"/>
    <s v="WOS:000438480500002"/>
    <s v="View Full Record in Web of Science"/>
    <m/>
  </r>
  <r>
    <x v="494"/>
    <s v="J"/>
    <x v="488"/>
    <s v=""/>
    <s v=""/>
    <s v=""/>
    <s v="Olivares Carmona, Karen Michelle; Angulo Armenta, Joel; Prieto Mendez, Manuel Emilio; Torres Gastelu, Carlos Arturo"/>
    <s v=""/>
    <s v=""/>
    <x v="492"/>
    <x v="49"/>
    <s v=""/>
    <s v=""/>
    <s v="Spanish"/>
    <s v="Article"/>
    <s v=""/>
    <s v=""/>
    <s v=""/>
    <s v=""/>
    <s v=""/>
    <x v="454"/>
    <x v="1"/>
    <s v="A cross-sectional study was conducted with an application and quasi-experimental design reach. The objective was to implement a tecno-educational strategy through an instructional design called EducaTic. The final goal being the strengthening of the digital competence of students from a Mexican university. The sample was formed by 59 students from the first semester of the bachelor's in psychology program. The instruments designed for this purpose were: Likert scale of the level of competence to evaluate perception, knowledge evaluation and score scale to valuate abilities. The results showed no significant differences and it was concluded that it is imperative for proposals such as EducaTic to be implemented for the complete duration of the academic program by digitally competent professors. Keywords: instructional design, tecno-educational strategy, digital competence, ICT, higher education. the gender differences detected between boys and girls selfies, also treating the rituality of the take a selfie process and sociocultural references detected which point to an specific idea of sexuality."/>
    <s v="[Olivares Carmona, Karen Michelle; Angulo Armenta, Joel] Inst Tecnol Sonora, 5 Febrero 818 Sur, Obregon 85000, Sonora, Mexico; [Prieto Mendez, Manuel Emilio] Univ Castilla La Mancha, Camino Moledores S-N, Ciudad Real 13051, Spain; [Torres Gastelu, Carlos Arturo] Univ Veracruzana, Puesta del Sol S-N, Xalapa 91780, Veracruz, Mexico"/>
    <s v="Universidad de Castilla-La Mancha; Universidad Veracruzana"/>
    <s v="Carmona, KMO (corresponding author), Inst Tecnol Sonora, 5 Febrero 818 Sur, Obregon 85000, Sonora, Mexico."/>
    <s v="karen.olivares@itson.edu.mx; joel.angulo@itson.edu.mx; mprieto@uclm.com; ctorres@uv.mx"/>
    <s v="Gastelú, Carlos Arturo Torres/N-2459-2015; Gastelú, Carlos Arturo Torres/ABE-6449-2020; Prieto-Mendez, Manuel E./A-8047-2011"/>
    <s v="Gastelú, Carlos Arturo Torres/0000-0003-2527-9602; Prieto-Mendez, Manuel E./0000-0003-0343-1482"/>
    <s v=""/>
    <s v=""/>
    <s v=""/>
    <s v=""/>
    <n v="24"/>
    <n v="2"/>
    <n v="2"/>
    <n v="0"/>
    <n v="14"/>
    <s v="UNIV SEVILLA, EDITORIAL"/>
    <s v="SEVILLE"/>
    <s v="SECRETARIADO PUBLICACIONES, C/ PORVENIR, NO 27, SEVILLE, 41013, SPAIN"/>
    <s v="1133-8482"/>
    <s v="2171-7966"/>
    <s v=""/>
    <s v="PIXEL-BIT"/>
    <s v="Pixel-Bit"/>
    <s v="JUL"/>
    <x v="5"/>
    <s v=""/>
    <n v="53"/>
    <s v=""/>
    <s v=""/>
    <s v=""/>
    <s v=""/>
    <n v="27"/>
    <n v="40"/>
    <s v=""/>
    <s v="10.12795/pixelbit.2018.i53.02"/>
    <s v="http://dx.doi.org/10.12795/pixelbit.2018.i53.02"/>
    <s v=""/>
    <s v=""/>
    <n v="14"/>
    <x v="39"/>
    <x v="2"/>
    <s v="Education &amp; Educational Research"/>
    <s v="GU3DM"/>
    <s v=""/>
    <s v="Green Published, gold"/>
    <s v=""/>
    <s v=""/>
    <s v="2023-11-15"/>
    <s v="WOS:000445155400002"/>
    <s v="View Full Record in Web of Science"/>
    <m/>
  </r>
  <r>
    <x v="495"/>
    <s v="J"/>
    <x v="489"/>
    <s v=""/>
    <s v=""/>
    <s v=""/>
    <s v="Bossetta, Michael"/>
    <s v=""/>
    <s v=""/>
    <x v="493"/>
    <x v="359"/>
    <s v=""/>
    <s v=""/>
    <s v="English"/>
    <s v="Article"/>
    <s v=""/>
    <s v=""/>
    <s v=""/>
    <s v=""/>
    <s v=""/>
    <x v="455"/>
    <x v="355"/>
    <s v="The present study argues that political communication on social media is mediated by a platform's digital architecturethe technical protocols that enable, constrain, and shape user behavior in a virtual space. A framework for understanding digital architectures is introduced, and four platforms (Facebook, Twitter, Instagram, and Snapchat) are compared along the typology. Using the 2016 U.S. election as a case, interviews with three Republican digital strategists are combined with social media data to qualify the study's theoretical claim that a platform's network structure, functionality, algorithmic filtering, and datafication model affect political campaign strategy on social media."/>
    <s v="[Bossetta, Michael] Univ Copenhagen, Ctr European Polit, Dept Polit Sci, Copenhagen, Denmark"/>
    <s v="University of Copenhagen"/>
    <s v="Bossetta, M (corresponding author), Univ Copenhagen, Dept Polit Sci, Oster Farimagsgade 5, DK-1353 Copenhagen K, Denmark."/>
    <s v="mjb@ifs.ku.dk"/>
    <s v="Bossetta, Michael/AAC-6991-2021; 黄, 荣 昌/HGA-6762-2022"/>
    <s v="Bossetta, Michael/0000-0002-8611-5487;"/>
    <s v=""/>
    <s v=""/>
    <s v=""/>
    <s v=""/>
    <n v="63"/>
    <n v="213"/>
    <n v="220"/>
    <n v="23"/>
    <n v="174"/>
    <s v="SAGE PUBLICATIONS INC"/>
    <s v="THOUSAND OAKS"/>
    <s v="2455 TELLER RD, THOUSAND OAKS, CA 91320 USA"/>
    <s v="1077-6990"/>
    <s v="2161-430X"/>
    <s v=""/>
    <s v="J MASS COMMUN Q"/>
    <s v="Journal. Mass Commun. Q."/>
    <s v="JUN"/>
    <x v="5"/>
    <n v="95"/>
    <n v="2"/>
    <s v=""/>
    <s v=""/>
    <s v=""/>
    <s v=""/>
    <n v="471"/>
    <n v="496"/>
    <s v=""/>
    <s v="10.1177/1077699018763307"/>
    <s v="http://dx.doi.org/10.1177/1077699018763307"/>
    <s v=""/>
    <s v=""/>
    <n v="26"/>
    <x v="56"/>
    <x v="1"/>
    <s v="Communication"/>
    <s v="GH9YN"/>
    <s v=""/>
    <s v="hybrid, Green Submitted, Green Published"/>
    <s v=""/>
    <s v=""/>
    <s v="2023-11-15"/>
    <s v="WOS:000434026200008"/>
    <s v="View Full Record in Web of Science"/>
    <m/>
  </r>
  <r>
    <x v="496"/>
    <s v="J"/>
    <x v="490"/>
    <s v=""/>
    <s v=""/>
    <s v=""/>
    <s v="Mathieson, Jolene"/>
    <s v=""/>
    <s v=""/>
    <x v="494"/>
    <x v="360"/>
    <s v=""/>
    <s v=""/>
    <s v="English"/>
    <s v="Article"/>
    <s v=""/>
    <s v=""/>
    <s v=""/>
    <s v=""/>
    <s v=""/>
    <x v="456"/>
    <x v="1"/>
    <s v="New media technologies have inaugurated the most recent and important shift in our understanding of word-image relations. While seminal studies of new media poetry (Funkhouser 2012; Hayles 2006, 2008) and its potentially ekphrastic properties (Lindhe 2013) have been published in recent years, the close relationship between digital poetry and ekphrasis has yet to be convincingly theorized. This article focuses on new media poetry and the digital strategies it utilizes in the ekphrastic remediation of art images. Digital media may be unique in its ability to create highly immersive environments that more readily activate a holistically embodied and dialogical experience for the reader in represencing images, but digital ekphrastic praxis also exploits its multimodal, polysemiotic possibilities to critically reflect on the nature of the digital image and its relations to material ontology. This critique, and its emphasis on both representational and experiential reasoning, primarily takes the form of lyrical meditations on the material and immaterial realities of code, of computer-mediated poetry, of images, and of human-computer interaction. The result of these poetic meditations is a type of ekphrasis that is willfully metaphysical in tone and content, as will be evidenced via a close reading of two digital ekphrastic poems: Deena Larsen's Carving in Possibilities (2001) and Harry Giles's Photo of Maud Wagner (2013)."/>
    <s v="[Mathieson, Jolene] Univ Hamburg, Hamburg, Germany"/>
    <s v="University of Hamburg"/>
    <s v="Mathieson, J (corresponding author), Univ Hamburg, Hamburg, Germany."/>
    <s v=""/>
    <s v=""/>
    <s v=""/>
    <s v=""/>
    <s v=""/>
    <s v=""/>
    <s v=""/>
    <n v="32"/>
    <n v="1"/>
    <n v="1"/>
    <n v="0"/>
    <n v="4"/>
    <s v="DUKE UNIV PRESS"/>
    <s v="DURHAM"/>
    <s v="905 W MAIN ST, STE 18-B, DURHAM, NC 27701 USA"/>
    <s v="0333-5372"/>
    <s v=""/>
    <s v=""/>
    <s v="POETICS TODAY"/>
    <s v="Poetics Today"/>
    <s v="JUN"/>
    <x v="5"/>
    <n v="39"/>
    <n v="2"/>
    <s v=""/>
    <s v=""/>
    <s v=""/>
    <s v=""/>
    <n v="359"/>
    <n v="382"/>
    <s v=""/>
    <s v="10.1215/03335372-4324505"/>
    <s v="http://dx.doi.org/10.1215/03335372-4324505"/>
    <s v=""/>
    <s v=""/>
    <n v="24"/>
    <x v="151"/>
    <x v="5"/>
    <s v="Literature"/>
    <s v="GR2EL"/>
    <s v=""/>
    <s v=""/>
    <s v=""/>
    <s v=""/>
    <s v="2023-11-15"/>
    <s v="WOS:000442375300008"/>
    <s v="View Full Record in Web of Science"/>
    <m/>
  </r>
  <r>
    <x v="497"/>
    <s v="J"/>
    <x v="491"/>
    <s v=""/>
    <s v=""/>
    <s v=""/>
    <s v="Scheepers, Rens; Lacity, Mary C.; Willcocks, Leslie P."/>
    <s v=""/>
    <s v=""/>
    <x v="495"/>
    <x v="361"/>
    <s v=""/>
    <s v=""/>
    <s v="English"/>
    <s v="Article"/>
    <s v=""/>
    <s v=""/>
    <s v=""/>
    <s v=""/>
    <s v=""/>
    <x v="8"/>
    <x v="1"/>
    <s v="Interest is growing in using cognitive automation (CA) tools to handle customer enquiries, but there is a dearth of cases that illustrate best practice. We describe the CA journey of Deakin University, an early adopter of CA technology. Deakin, an Australian university, is using IBM Watson (an example of a question-and-answer CA application) to automate the answering of questions from students (the university's customers). We identify the value gained from Deakin's CA investment and provide key lessons and practices that other enterprises can use when deploying CA tools."/>
    <s v="[Scheepers, Rens] Deakin Univ, Chair Informat Syst, Geelong, Vic, Australia; [Lacity, Mary C.] Univ Missouri St Louis, St Louis, MO USA; [Willcocks, Leslie P.] London Sch Econ &amp; Polit Sci, Outsourcing Unit, Technol Work &amp; Globalizat, London, England"/>
    <s v="Deakin University; University of Missouri System; University of Missouri Saint Louis; University of London; London School Economics &amp; Political Science"/>
    <s v="Scheepers, R (corresponding author), Deakin Univ, Chair Informat Syst, Geelong, Vic, Australia."/>
    <s v="rens.scheepers@deakin.edu.au; Mary.Lacity@umsl.edu; willcockslp@aol.com"/>
    <s v=""/>
    <s v="Scheepers, Rens/0000-0003-2791-6513"/>
    <s v=""/>
    <s v=""/>
    <s v=""/>
    <s v=""/>
    <n v="28"/>
    <n v="19"/>
    <n v="19"/>
    <n v="0"/>
    <n v="9"/>
    <s v="INDIANA UNIV, OPER &amp; DECISION TECHNOL DEPT"/>
    <s v="BLOOMINGTON"/>
    <s v="KELLEY SCH BUS, E 10 ST, BLOOMINGTON, IN 47405-1701 USA"/>
    <s v="1540-1960"/>
    <s v="1540-1979"/>
    <s v=""/>
    <s v="MIS Q EXEC"/>
    <s v="MIS Q. Exec."/>
    <s v="JUN"/>
    <x v="5"/>
    <n v="17"/>
    <n v="2"/>
    <s v=""/>
    <s v=""/>
    <s v=""/>
    <s v=""/>
    <n v="89"/>
    <n v="107"/>
    <s v=""/>
    <s v=""/>
    <s v=""/>
    <s v=""/>
    <s v=""/>
    <n v="19"/>
    <x v="75"/>
    <x v="1"/>
    <s v="Information Science &amp; Library Science; Business &amp; Economics"/>
    <s v="GJ6PG"/>
    <s v=""/>
    <s v=""/>
    <s v=""/>
    <s v=""/>
    <s v="2023-11-15"/>
    <s v="WOS:000435505500001"/>
    <s v="View Full Record in Web of Science"/>
    <m/>
  </r>
  <r>
    <x v="498"/>
    <s v="J"/>
    <x v="492"/>
    <s v=""/>
    <s v=""/>
    <s v=""/>
    <s v="Analia Sanchez, Marisa; Zuntini, Juana I."/>
    <s v=""/>
    <s v=""/>
    <x v="496"/>
    <x v="297"/>
    <s v=""/>
    <s v=""/>
    <s v="English"/>
    <s v="Article"/>
    <s v=""/>
    <s v=""/>
    <s v=""/>
    <s v=""/>
    <s v=""/>
    <x v="457"/>
    <x v="327"/>
    <s v="The world is changing profoundly and it has gone from the industrial age to the era of intelligent and connected products with consequences both in organizations and society. The aim of this research work is to formulate a framework that explains resources, capabilities and management choices necessary to respond to the new environment. The scope is on small and medium sized established companies. The research methodology is based on literature review and an in-depth case study based on three enterprises. The framework describes (a) external forces in the context of emergent technologies; (b) adequate strategies arising from a value chain analysis; (c) resources and capabilities of critical importance. The framework contributes to the comprehension of how small and medium size companies respond to the digital transformation process."/>
    <s v="[Analia Sanchez, Marisa] Univ Nacl Sur, Dept Management Sci, Grad &amp; Postgrad Courses, Bahia Blanca, Buenos Aires, Argentina; [Zuntini, Juana I.] Univ Nacl Sur, Dept Management Sci, Bahia Blanca, Buenos Aires, Argentina"/>
    <s v="National University of the South; National University of the South"/>
    <s v="Sánchez, MA (corresponding author), Univ Nacl Sur, Dept Management Sci, Grad &amp; Postgrad Courses, Bahia Blanca, Buenos Aires, Argentina."/>
    <s v="mas@uns.edu.ar; jzuntini@uns.edu.ar"/>
    <s v="Sanchez, Marisa A/M-6135-2014"/>
    <s v="Sanchez, Marisa A/0000-0002-8291-0491"/>
    <s v=""/>
    <s v=""/>
    <s v=""/>
    <s v=""/>
    <n v="33"/>
    <n v="16"/>
    <n v="16"/>
    <n v="3"/>
    <n v="104"/>
    <s v="FUNDACAO PEDRO LEOPOLDO"/>
    <s v="PEDRO LEOPOLDO"/>
    <s v="AV LINCOLN DIOGO VIANA 830, PEDRO LEOPOLDO, MG 33600-000, BRAZIL"/>
    <s v="1677-9479"/>
    <s v="2177-6652"/>
    <s v=""/>
    <s v="REV GEST TECNOL"/>
    <s v="Rev. Gest. Tecnol."/>
    <s v="MAY-AUG"/>
    <x v="5"/>
    <n v="18"/>
    <n v="2"/>
    <s v=""/>
    <s v=""/>
    <s v=""/>
    <s v=""/>
    <n v="70"/>
    <n v="99"/>
    <s v=""/>
    <s v="10.20397/2177-6652/2018.v18i2.1316"/>
    <s v="http://dx.doi.org/10.20397/2177-6652/2018.v18i2.1316"/>
    <s v=""/>
    <s v=""/>
    <n v="30"/>
    <x v="8"/>
    <x v="2"/>
    <s v="Business &amp; Economics"/>
    <s v="GL9EM"/>
    <s v=""/>
    <s v="Green Published, gold"/>
    <s v=""/>
    <s v=""/>
    <s v="2023-11-15"/>
    <s v="WOS:000437533900005"/>
    <s v="View Full Record in Web of Science"/>
    <m/>
  </r>
  <r>
    <x v="499"/>
    <s v="J"/>
    <x v="493"/>
    <s v=""/>
    <s v=""/>
    <s v=""/>
    <s v="Pires, Danielle Silveira; Boasquevisque, Danielle De Sa; Speciali, Danielli Souza; Silva, Gisele Sampaio; Conforto, Adriana Bastos"/>
    <s v=""/>
    <s v=""/>
    <x v="497"/>
    <x v="362"/>
    <s v=""/>
    <s v=""/>
    <s v="English"/>
    <s v="Article"/>
    <s v=""/>
    <s v=""/>
    <s v=""/>
    <s v=""/>
    <s v=""/>
    <x v="458"/>
    <x v="356"/>
    <s v="OBJECTIVE: To prospectively evaluate the success of promotion strategies for a protocol of motor rehabilitation strategies for patients with stroke at Albert Einstein Hospital. METHODS: In a clinical trial of neuromodulation and rehabilitation for patients with stroke, conventional methods of dissemination and publications about the research protocol in social networks or on the hospital's website were performed. Frequencies of types of advertisements that reached potentially eligible subjects were calculated. RESULTS: Data from 80 potentially eligible patients were analyzed. The types of ads that motivated contacts more frequently were social media (38.8%) and information provided to physicians from other hospitals (23.8%) (p=0,288). The frequencies of contacts motivated by publications on the internet (53%) and conventional strategies (47%) were similar. Facebook was the digital strategy associated with the higher number of contacts, followed by the hospital's website. CONCLUSION: Social networks and websites can be as effective as traditional methods of advertisement, in order to reach patients for stroke rehabilitation protocols. These results may have an impact on the planning of clinical trials, including studies that evaluate effects of rehabilitation interventions in patients with stroke."/>
    <s v="[Pires, Danielle Silveira] Univ Ctr United Metropolitan Fac FMU, Sao Paulo, SP, Brazil; [Boasquevisque, Danielle De Sa; Speciali, Danielli Souza; Silva, Gisele Sampaio; Conforto, Adriana Bastos] Albert Einstein Israelite Hosp, Sao Paulo, SP, Brazil"/>
    <s v="Hospital Israelita Albert Einstein"/>
    <s v="Pires, DS (corresponding author), Av Albert Einstein 627-701, BR-05652900 Sao Paulo, SP, Brazil."/>
    <s v="danielle.pires_93@hotmail.com; danidesa@hotmail.com; danielli.speciali@einstein.br; giselesampaio@hotmail.com; adriana.conforto@gmail.com"/>
    <s v="Marie, Suely Kazue Nagahashi/D-1870-2012; Silva, Gisele/H-3082-2013; Speciali, Danielli S/I-5693-2016"/>
    <s v="Marie, Suely Kazue Nagahashi/0000-0003-4419-7928; Silva, Gisele/0000-0002-3247-3123; Conforto, Adriana/0000-0001-7869-3490; Pires, Danielle Silveira/0000-0002-5424-3708"/>
    <s v="Uniemp Institute"/>
    <s v="Uniemp Institute"/>
    <s v="Author 1 was granted a Scientific Initiation funding, by the Uniemp Institute, in the amount of R$579.30 for the period from October 1st, 2015 to December 31st, 2016."/>
    <s v=""/>
    <n v="30"/>
    <n v="1"/>
    <n v="1"/>
    <n v="2"/>
    <n v="3"/>
    <s v="ASSOC MEDICA BRASILEIRA"/>
    <s v="SAO PAULO"/>
    <s v="RUA SAO CARLOS DO PINHAL 324, CAIXA POSTAL 8904, SAO PAULO, SP, BRAZIL"/>
    <s v="0104-4230"/>
    <s v=""/>
    <s v=""/>
    <s v="REV ASSOC MED BRAS"/>
    <s v="Rev. Assoc. Med. Bras."/>
    <s v="MAY"/>
    <x v="5"/>
    <n v="64"/>
    <n v="5"/>
    <s v=""/>
    <s v=""/>
    <s v=""/>
    <s v=""/>
    <n v="443"/>
    <n v="447"/>
    <s v=""/>
    <s v="10.1590/1806-9282.64.05.443"/>
    <s v="http://dx.doi.org/10.1590/1806-9282.64.05.443"/>
    <s v=""/>
    <s v=""/>
    <n v="5"/>
    <x v="28"/>
    <x v="0"/>
    <s v="General &amp; Internal Medicine"/>
    <s v="GW0WY"/>
    <n v="30304144"/>
    <s v="Green Published, gold"/>
    <s v=""/>
    <s v=""/>
    <s v="2023-11-15"/>
    <s v="WOS:000446591800010"/>
    <s v="View Full Record in Web of Science"/>
    <m/>
  </r>
  <r>
    <x v="500"/>
    <s v="J"/>
    <x v="494"/>
    <s v=""/>
    <s v=""/>
    <s v=""/>
    <s v="Andrade, E. L.; Evans, W. D.; Barrett, N. D.; Cleary, S. D.; Edberg, M. C.; Alvayero, R. D.; Kierstead, E. C.; Beltran, A."/>
    <s v=""/>
    <s v=""/>
    <x v="498"/>
    <x v="363"/>
    <s v=""/>
    <s v=""/>
    <s v="English"/>
    <s v="Article"/>
    <s v=""/>
    <s v=""/>
    <s v=""/>
    <s v=""/>
    <s v=""/>
    <x v="8"/>
    <x v="357"/>
    <s v="Immigrant Latino youth represent a high-risk subgroup that should be targeted with health promotion efforts. However, there are considerable barriers to engagement in health-related programming. Little is known about the engagement possibilities of social marketing campaigns and digital strategies for traditionally 'hard-to-reach' immigrants, underscoring the importance of testing these techniques with immigrant Latino adolescents. We developed and piloted a place-based social marketing campaign in coordination with the branded, Positive Youth Development-based (PYD) Adelante intervention targeting risk factors for co-occurring youth substance abuse, sexual risk and violence. Building on prior research, we conducted a four-phase formative research process, and planned the Adelante social marketing campaign based on findings from one group interview and ongoing consultation with Adelante staff (n = 8) and four focus groups with youth (n = 35). Participants identified four overarching campaign themes, and suggested portrayal of resilient, proud youth who achieved goals despite adversity. Youth guided selection of campaign features and engagement strategies, including message/visual content, stylistic elements, and a mixed language approach. We developed a 12-month campaign to be delivered via print ads, multi-platform social media promotion, contests, youth-generated videos, blog posts, and text-messaging. We describe the process and outcome of campaign development and make recommendations for future campaigns."/>
    <s v="[Andrade, E. L.; Evans, W. D.; Barrett, N. D.; Edberg, M. C.; Kierstead, E. C.; Beltran, A.] George Washington Univ, Dept Prevent &amp; Community Hlth, Washington, DC 20052 USA; [Cleary, S. D.] George Washington Univ, Dept Epidemiol &amp; Biostat, Washington, DC 20052 USA; [Alvayero, R. D.] Maryland Multicultural Youth Ctr, 8700 Georgia Ave,Suite 500, Silver Spring, MD 20910 USA"/>
    <s v="George Washington University; George Washington University"/>
    <s v="Andrade, EL (corresponding author), George Washington Univ, Dept Prevent &amp; Community Hlth, Washington, DC 20052 USA."/>
    <s v="elandrade@gwu.edu"/>
    <s v="Cleary, Sean D/B-5596-2012"/>
    <s v="Kierstead, Elexis/0000-0002-8502-0451; Andrade, Elizabeth/0000-0001-7652-1337"/>
    <s v="National Institute of Minority Health and Health Disparities [1P20MD006898-01]"/>
    <s v="National Institute of Minority Health and Health Disparities(United States Department of Health &amp; Human ServicesNational Institutes of Health (NIH) - USANIH National Institute on Minority Health &amp; Health Disparities (NIMHD))"/>
    <s v="National Institute of Minority Health and Health Disparities [Grant number 1P20MD006898-01]."/>
    <s v=""/>
    <n v="63"/>
    <n v="12"/>
    <n v="12"/>
    <n v="0"/>
    <n v="36"/>
    <s v="OXFORD UNIV PRESS"/>
    <s v="OXFORD"/>
    <s v="GREAT CLARENDON ST, OXFORD OX2 6DP, ENGLAND"/>
    <s v="0268-1153"/>
    <s v="1465-3648"/>
    <s v=""/>
    <s v="HEALTH EDUC RES"/>
    <s v="Health Educ. Res."/>
    <s v="APR"/>
    <x v="5"/>
    <n v="33"/>
    <n v="2"/>
    <s v=""/>
    <s v=""/>
    <s v=""/>
    <s v=""/>
    <n v="125"/>
    <n v="144"/>
    <s v=""/>
    <s v="10.1093/her/cyx076"/>
    <s v="http://dx.doi.org/10.1093/her/cyx076"/>
    <s v=""/>
    <s v=""/>
    <n v="20"/>
    <x v="126"/>
    <x v="1"/>
    <s v="Education &amp; Educational Research; Public, Environmental &amp; Occupational Health"/>
    <s v="GA9KI"/>
    <n v="29329436"/>
    <s v="Green Published, Bronze"/>
    <s v=""/>
    <s v=""/>
    <s v="2023-11-15"/>
    <s v="WOS:000428659700004"/>
    <s v="View Full Record in Web of Science"/>
    <m/>
  </r>
  <r>
    <x v="501"/>
    <s v="J"/>
    <x v="495"/>
    <s v=""/>
    <s v=""/>
    <s v=""/>
    <s v="Frishammar, Johan; Cenamor, Javier; Cavalli-Bjorkman, Harald; Hernell, Emma; Carlsson, Johan"/>
    <s v=""/>
    <s v=""/>
    <x v="499"/>
    <x v="364"/>
    <s v=""/>
    <s v=""/>
    <s v="English"/>
    <s v="Article"/>
    <s v=""/>
    <s v=""/>
    <s v=""/>
    <s v=""/>
    <s v=""/>
    <x v="459"/>
    <x v="358"/>
    <s v="Digitalization is fundamentally changing the retailing ecosystem for shopping malls as digital and analogue elements get increasingly intertwined. We conceptualize shopping malls as two-sided markets whose primary function is connecting shoppers and retailers. By means of an interpretative case study, the article then presents an omnichannel strategy typology for how shopping malls can meet the evolving digitalization challenge. We identify three generic strategies labeled digital awaiter, digital data gatherer, and digital embracer. The paper provides implications for research in omnichannel strategies, digitalization, and two-sided markets by explicating different strategies that involve physical and digital resources, and different ecosystem agents, i.e., retailers and shoppers. It also provides insights for other organizations beyond retailing and which operate under a two-sided market regime. (C) 2018 Elsevier B.V. All rights reserved."/>
    <s v="[Frishammar, Johan] Lulea Univ Technol, Entrepreneurship &amp; Innovat, SE-97187 Lulea, Sweden; [Cenamor, Javier] Lund Univ, Sch Econ &amp; Management, Dept Business Adm, S-22007 Lund, Sweden; [Cavalli-Bjorkman, Harald] Re Newcell AB, Cardellgatan 1, SE-11436 Stockholm, Sweden; [Hernell, Emma] HUI Res, SE-10329 Stockholm, Sweden; [Carlsson, Johan] EVRY Sweden AB, Olof Asklunds Gata 10, S-42130 Vastra Frolunda, Sweden"/>
    <s v="Lulea University of Technology; Lund University"/>
    <s v="Frishammar, J (corresponding author), Lulea Univ Technol, Entrepreneurship &amp; Innovat, SE-97187 Lulea, Sweden."/>
    <s v="Johan.Frishammar@ltu.se; javier.cenamor@fek.lu.se; harald.cavalli-bjorkman@renewcell.com; emma.hernell@hui.se; johan.carlsson@evry.com"/>
    <s v=""/>
    <s v="CENAMOR, JAVIER/0000-0002-7432-3713"/>
    <s v="Swedish Governmental Agency for Innovation Systems (VINNOVA)"/>
    <s v="Swedish Governmental Agency for Innovation Systems (VINNOVA)(Vinnova)"/>
    <s v="The authors are grateful for comments provided by James Marsden, Christy Cheung, Yang Chen, Chee-Wee Tan and two anonymous reviewers. The research was funded by the Swedish Governmental Agency for Innovation Systems (VINNOVA)."/>
    <s v=""/>
    <n v="81"/>
    <n v="30"/>
    <n v="31"/>
    <n v="13"/>
    <n v="146"/>
    <s v="ELSEVIER SCIENCE BV"/>
    <s v="AMSTERDAM"/>
    <s v="PO BOX 211, 1000 AE AMSTERDAM, NETHERLANDS"/>
    <s v="0167-9236"/>
    <s v="1873-5797"/>
    <s v=""/>
    <s v="DECIS SUPPORT SYST"/>
    <s v="Decis. Support Syst."/>
    <s v="APR"/>
    <x v="5"/>
    <n v="108"/>
    <s v=""/>
    <s v=""/>
    <s v=""/>
    <s v=""/>
    <s v=""/>
    <n v="34"/>
    <n v="44"/>
    <s v=""/>
    <s v="10.1016/j.dss.2018.02.003"/>
    <s v="http://dx.doi.org/10.1016/j.dss.2018.02.003"/>
    <s v=""/>
    <s v=""/>
    <n v="11"/>
    <x v="152"/>
    <x v="3"/>
    <s v="Computer Science; Operations Research &amp; Management Science"/>
    <s v="GG9IS"/>
    <s v=""/>
    <s v=""/>
    <s v=""/>
    <s v=""/>
    <s v="2023-11-15"/>
    <s v="WOS:000433014800004"/>
    <s v="View Full Record in Web of Science"/>
    <m/>
  </r>
  <r>
    <x v="502"/>
    <s v="J"/>
    <x v="496"/>
    <s v=""/>
    <s v=""/>
    <s v=""/>
    <s v="Staggers, Nancy; Elias, Beth L.; Makar, Ellen; Alexander, Gregory L."/>
    <s v=""/>
    <s v=""/>
    <x v="500"/>
    <x v="365"/>
    <s v=""/>
    <s v=""/>
    <s v="English"/>
    <s v="Article"/>
    <s v=""/>
    <s v=""/>
    <s v=""/>
    <s v=""/>
    <s v=""/>
    <x v="8"/>
    <x v="359"/>
    <s v="BACKGROUND Health information technology (IT) usability issues are a key concern for nurse executives and nurses. OBJECTIVES The aims of this study are to understand usability pain points faced by nurses regarding the use of health IT, identify their impact and importance, discuss responsibilities, and develop possible solutions to improve the health IT-user experience for nurses. METHODS Twenty-seven experts were interviewed including nursing leaders, informaticists, executives, engineers, researchers, and human factors experts across acute care, long-term care, and vendor settings. Semistructured questions guided the interviews, and content analysis was used to identify themes. RESULTS Four themes emerged: 1) user experience pain points, 2) importance of the issues, 3) the responsibility gap, and 4) acting on usability issues. CONCLUSION Nurses continue to endure significant health IT-usability issues that negatively impact patients, nurses, and healthcare organizations. Solutions include enhancing the voice of nursing at the national and local levels, creating a digital strategy for nursing, providing incentives to improve usability in health IT, and accelerating the understanding of nurses' work intended to inform and translate nurses' work into health IT design."/>
    <s v="[Staggers, Nancy] Univ Utah, Summit Hlth Informat, Salt Lake City, UT USA; [Staggers, Nancy] Univ Utah, Dept Biomed Informat, Salt Lake City, UT USA; Univ Utah, Coll Nursing, Salt Lake City, UT 84112 USA; [Elias, Beth L.] Virginia Commonwealth Univ, Sch Nursing, 1100 E Leigh St, Richmond, VA 23298 USA; [Makar, Ellen] INOVA Fairfax Hosp, Profess Practice, Falls Church, VA USA; [Alexander, Gregory L.] Univ Missouri Sinclair, Sch Nursing, Columbia, MO USA"/>
    <s v="Utah System of Higher Education; University of Utah; Utah System of Higher Education; University of Utah; Utah System of Higher Education; University of Utah; Virginia Commonwealth University; Inova Fairfax Hospital; University of Missouri System; University of Missouri Columbia"/>
    <s v="Elias, BL (corresponding author), Virginia Commonwealth Univ, Sch Nursing, 1100 E Leigh St, Richmond, VA 23298 USA."/>
    <s v="belias@vcu.edu"/>
    <s v=""/>
    <s v=""/>
    <s v=""/>
    <s v=""/>
    <s v=""/>
    <s v=""/>
    <n v="26"/>
    <n v="30"/>
    <n v="30"/>
    <n v="0"/>
    <n v="5"/>
    <s v="LIPPINCOTT WILLIAMS &amp; WILKINS"/>
    <s v="PHILADELPHIA"/>
    <s v="TWO COMMERCE SQ, 2001 MARKET ST, PHILADELPHIA, PA 19103 USA"/>
    <s v="0002-0443"/>
    <s v="1539-0721"/>
    <s v=""/>
    <s v="J NURS ADMIN"/>
    <s v="J. Nurs. Adm."/>
    <s v="APR"/>
    <x v="5"/>
    <n v="48"/>
    <n v="4"/>
    <s v=""/>
    <s v=""/>
    <s v=""/>
    <s v=""/>
    <n v="191"/>
    <n v="196"/>
    <s v=""/>
    <s v="10.1097/NNA.0000000000000598"/>
    <s v="http://dx.doi.org/10.1097/NNA.0000000000000598"/>
    <s v=""/>
    <s v=""/>
    <n v="6"/>
    <x v="153"/>
    <x v="3"/>
    <s v="Nursing"/>
    <s v="GE4IF"/>
    <n v="29570144"/>
    <s v=""/>
    <s v=""/>
    <s v=""/>
    <s v="2023-11-15"/>
    <s v="WOS:000431178300006"/>
    <s v="View Full Record in Web of Science"/>
    <m/>
  </r>
  <r>
    <x v="503"/>
    <s v="J"/>
    <x v="497"/>
    <s v=""/>
    <s v=""/>
    <s v=""/>
    <s v="Munro, Morag"/>
    <s v=""/>
    <s v=""/>
    <x v="501"/>
    <x v="366"/>
    <s v=""/>
    <s v=""/>
    <s v="English"/>
    <s v="Article"/>
    <s v=""/>
    <s v=""/>
    <s v=""/>
    <s v=""/>
    <s v=""/>
    <x v="460"/>
    <x v="360"/>
    <s v="National strategies play a crucial role in framing how digital technologies are enacted in Higher Education (HE). This paper draws on some of the findings of a Critical Discourse Analysis (CDA) of thirteen digital teaching and learning strategies issued by government departments and non-departmental public bodies in the UK between 2003 and 2013. It demonstrates that, across the strategies, digital technologies are depicted as tools for advancing the marketisation of UK HE. Rather ironically, the strategies are also fraught with contradictions and paradoxes with respect to the claimed relationships between digital technologies, learning, and markets. I argue that this problematic portrayal of digital technologies makes them complicit in the neoliberal erosion of UK HE."/>
    <s v="[Munro, Morag] Maynooth Univ, Ctr Teaching &amp; Learning, Maynooth, Kildare, Ireland"/>
    <s v="Maynooth University"/>
    <s v="Munro, M (corresponding author), Maynooth Univ, Ctr Teaching &amp; Learning, Maynooth, Kildare, Ireland."/>
    <s v="morag.munro@mu.ie"/>
    <s v=""/>
    <s v=""/>
    <s v=""/>
    <s v=""/>
    <s v=""/>
    <s v=""/>
    <n v="136"/>
    <n v="27"/>
    <n v="29"/>
    <n v="4"/>
    <n v="21"/>
    <s v="SPRINGER"/>
    <s v="NEW YORK"/>
    <s v="ONE NEW YORK PLAZA, SUITE 4600, NEW YORK, NY, UNITED STATES"/>
    <s v="2365-9440"/>
    <s v=""/>
    <s v=""/>
    <s v="INT J EDUC TECHNOL H"/>
    <s v="Int. J. Educ. Technol. High. Educ."/>
    <s v="MAR 29"/>
    <x v="5"/>
    <n v="15"/>
    <s v=""/>
    <s v=""/>
    <s v=""/>
    <s v=""/>
    <s v=""/>
    <s v=""/>
    <s v=""/>
    <n v="11"/>
    <s v="10.1186/s41239-018-0093-2"/>
    <s v="http://dx.doi.org/10.1186/s41239-018-0093-2"/>
    <s v=""/>
    <s v=""/>
    <n v="20"/>
    <x v="39"/>
    <x v="1"/>
    <s v="Education &amp; Educational Research"/>
    <s v="GB3NK"/>
    <s v=""/>
    <s v="Green Accepted, gold"/>
    <s v=""/>
    <s v=""/>
    <s v="2023-11-15"/>
    <s v="WOS:000428964500001"/>
    <s v="View Full Record in Web of Science"/>
    <m/>
  </r>
  <r>
    <x v="504"/>
    <s v="J"/>
    <x v="498"/>
    <s v=""/>
    <s v=""/>
    <s v=""/>
    <s v="Rojas Torrijos, Joso Luis"/>
    <s v=""/>
    <s v=""/>
    <x v="502"/>
    <x v="367"/>
    <s v=""/>
    <s v=""/>
    <s v="Spanish"/>
    <s v="Article"/>
    <s v=""/>
    <s v=""/>
    <s v=""/>
    <s v=""/>
    <s v=""/>
    <x v="461"/>
    <x v="1"/>
    <s v="This article is a thorough analysis of the content plan and digital strategy developed on the web, mobile app and social media for the launching in Mexico in 2017 of MarcaClaro.com a new multimedia platform created by the sports daily newspaper Marca in order to internationalise and consolidate as a leading sports outlet in Latin America. For that purpose, first there is a content analysis of pieces of information (priorisation of topics and events, new formats and storytelling) published on the web during its first five months of life and selected through a random simple and, secondly, there are in-depth interviews to MARCA Claro chief editors both in Spain and in Mexico so as to know editorial keys of this transnational media partnership."/>
    <s v="[Rojas Torrijos, Joso Luis] Univ Seville, Dept Periodismo 2, Seville, Spain"/>
    <s v="University of Sevilla"/>
    <s v="Torrijos, JLR (corresponding author), Univ Seville, Dept Periodismo 2, Seville, Spain."/>
    <s v="jlrojas@us.es"/>
    <s v="Torrijos, José Luis Rojas/L-9682-2018"/>
    <s v="Torrijos, José Luis Rojas/0000-0002-7390-9843"/>
    <s v=""/>
    <s v=""/>
    <s v=""/>
    <s v=""/>
    <n v="10"/>
    <n v="3"/>
    <n v="3"/>
    <n v="6"/>
    <n v="21"/>
    <s v="UNIV PIURA"/>
    <s v="PIURA"/>
    <s v="FAC COMUNICACION, AV RAMON MUGICA 131 URB SAN EDUARDO APARTADO POSTAL 353, PIURA, 00000, PERU"/>
    <s v="1684-0933"/>
    <s v="2227-1465"/>
    <s v=""/>
    <s v="REV COMUN-PERU"/>
    <s v="Rev. Comun.-Peru"/>
    <s v="MAR-AUG"/>
    <x v="5"/>
    <n v="17"/>
    <n v="1"/>
    <s v=""/>
    <s v=""/>
    <s v=""/>
    <s v=""/>
    <n v="133"/>
    <n v="154"/>
    <s v=""/>
    <s v="10.26441/RC17.1-2018-A7"/>
    <s v="http://dx.doi.org/10.26441/RC17.1-2018-A7"/>
    <s v=""/>
    <s v=""/>
    <n v="22"/>
    <x v="56"/>
    <x v="2"/>
    <s v="Communication"/>
    <s v="HG3VI"/>
    <s v=""/>
    <s v="Green Submitted, gold"/>
    <s v=""/>
    <s v=""/>
    <s v="2023-11-15"/>
    <s v="WOS:000454902600008"/>
    <s v="View Full Record in Web of Science"/>
    <m/>
  </r>
  <r>
    <x v="505"/>
    <s v="J"/>
    <x v="499"/>
    <s v=""/>
    <s v=""/>
    <s v=""/>
    <s v="Yeow, Adrian; Soh, Christina; Hansen, Rina"/>
    <s v=""/>
    <s v=""/>
    <x v="503"/>
    <x v="212"/>
    <s v=""/>
    <s v=""/>
    <s v="English"/>
    <s v="Article"/>
    <s v=""/>
    <s v=""/>
    <s v=""/>
    <s v=""/>
    <s v=""/>
    <x v="462"/>
    <x v="361"/>
    <s v="Prior IS research has not fully addressed the aligning process in the highly dynamic context of digital strategy. To address this gap, we conduct a longitudinal analysis of a B2B company's journey to enact its B2C digital strategy, using the dynamic capabilities approach. We found that as an organization shifts towards a digital strategy, misalignments between the emergent strategy and resources give rise to tension. Our study resulted in the development of an aligning process model that is comprised of three phases (exploratory, building, and extending) and generalizable organizational aligning actions that form the organization's sensing, seizing, and transforming capacities. These aligning actions iteratively reconfigured organizational resources and refined strategy in order to respond to both changes in the environment and internal tensions. We also recognized that there are challenges to alignment, and conceptualized them as paradoxical tensions. This provided insights as to how such tensions are triggered and how they can be addressed. Finally, by applying the dynamic capabilities approach to aligning, we also show that alignment is not separate from such capabilities, but that aligning is enacted through the sensing, seizing and transforming capacities and their attendant aligning actions."/>
    <s v="[Yeow, Adrian] Singapore Univ Social Sci, Sch Business, 461 Clementi Rd, Singapore 599491, Singapore; [Soh, Christina] Nanyang Technol Univ, Nanyang Business Sch, Div Informat Technol &amp; Operat Management, 50 Nanyang Ave, Singapore 639798, Singapore; [Hansen, Rina] Copenhagen Business Sch, Dept Digitalizat, Howitzvej 60,3, DK-2000 Frederiksberg, Denmark"/>
    <s v="Singapore University of Social Sciences (SUSS); Nanyang Technological University &amp; National Institute of Education (NIE) Singapore; Nanyang Technological University; Copenhagen Business School"/>
    <s v="Yeow, A (corresponding author), Singapore Univ Social Sci, Sch Business, 461 Clementi Rd, Singapore 599491, Singapore."/>
    <s v="adrianyeowyk@suss.edu.sg; acsoh@ntu.edu.sg; rinahansen@hotmail.com"/>
    <s v="Yeow, Adrian/J-7274-2019"/>
    <s v="Yeow, Adrian/0000-0003-1355-8540"/>
    <s v=""/>
    <s v=""/>
    <s v=""/>
    <s v=""/>
    <n v="71"/>
    <n v="238"/>
    <n v="244"/>
    <n v="56"/>
    <n v="401"/>
    <s v="ELSEVIER"/>
    <s v="AMSTERDAM"/>
    <s v="RADARWEG 29, 1043 NX AMSTERDAM, NETHERLANDS"/>
    <s v="0963-8687"/>
    <s v="1873-1198"/>
    <s v=""/>
    <s v="J STRATEGIC INF SYST"/>
    <s v="J. Strateg. Inf. Syst."/>
    <s v="MAR"/>
    <x v="5"/>
    <n v="27"/>
    <n v="1"/>
    <s v=""/>
    <s v=""/>
    <s v=""/>
    <s v=""/>
    <n v="43"/>
    <n v="58"/>
    <s v=""/>
    <s v="10.1016/j.jsis.2017.09.001"/>
    <s v="http://dx.doi.org/10.1016/j.jsis.2017.09.001"/>
    <s v=""/>
    <s v=""/>
    <n v="16"/>
    <x v="62"/>
    <x v="3"/>
    <s v="Computer Science; Information Science &amp; Library Science; Business &amp; Economics"/>
    <s v="GD5AV"/>
    <s v=""/>
    <s v=""/>
    <s v=""/>
    <s v=""/>
    <s v="2023-11-15"/>
    <s v="WOS:000430518300004"/>
    <s v="View Full Record in Web of Science"/>
    <m/>
  </r>
  <r>
    <x v="506"/>
    <s v="J"/>
    <x v="500"/>
    <s v=""/>
    <s v=""/>
    <s v=""/>
    <s v="Brinch, Morten; Stentoft, Jan; Jensen, Jesper Kronborg; Rajkumar, Christopher"/>
    <s v=""/>
    <s v=""/>
    <x v="504"/>
    <x v="368"/>
    <s v=""/>
    <s v=""/>
    <s v="English"/>
    <s v="Article"/>
    <s v=""/>
    <s v=""/>
    <s v=""/>
    <s v=""/>
    <s v=""/>
    <x v="463"/>
    <x v="362"/>
    <s v="Purpose Big data poses as a valuable opportunity to further improve decision making in supply chain management (SCM). However, the understanding and application of big data seem rather elusive and only partially explored. The purpose of this paper is to create further guidance in understanding big data and to explore applications from a business process perspective. Design/methodology/approach This paper is based on a sequential mixed-method. First, a Delphi study was designed to gain insights regarding the terminology of big data and to identify and rank applications of big data in SCM using an adjusted supply chain operations reference (SCOR) process framework. This was followed by a questionnaire-survey among supply chain executives to elucidate the Delphi study findings and to assess the practical use of big data. Findings First, big data terminology seems to be more about data collection than of data management and data utilization. Second, the application of big data is most applicable for logistics, service and planning processes than of sourcing, manufacturing and return. Third, supply chain executives seem to have a slow adoption of big data. Research limitations/implications The Delphi study is explorative by nature and the questionnaire-survey rather small in scale; therefore, findings have limited generalizability. Practical implications The findings can help supply chain managers gain a clearer understanding of the domain of big data and guide them in where to deploy big data initiatives. Originality/value This study is the first to assess big data in the SCOR process framework and to rank applications of big data as a mean to guide the SCM community to where big data is most beneficial."/>
    <s v="[Brinch, Morten; Stentoft, Jan; Rajkumar, Christopher] Univ Southern Denmark, Dept Entrepreneurship &amp; Relationship Management, Kolding, Denmark; [Jensen, Jesper Kronborg] Energinet Dk, Dept Market Anal &amp; Design, Fredericia, Denmark"/>
    <s v="University of Southern Denmark"/>
    <s v="Brinch, M (corresponding author), Univ Southern Denmark, Dept Entrepreneurship &amp; Relationship Management, Kolding, Denmark."/>
    <s v="mobr@sam.sdu.dk"/>
    <s v="Brinch, Morten/H-2333-2017"/>
    <s v="Brinch, Morten/0000-0001-9497-9966"/>
    <s v=""/>
    <s v=""/>
    <s v=""/>
    <s v=""/>
    <n v="78"/>
    <n v="56"/>
    <n v="57"/>
    <n v="7"/>
    <n v="101"/>
    <s v="EMERALD GROUP PUBLISHING LTD"/>
    <s v="BINGLEY"/>
    <s v="HOWARD HOUSE, WAGON LANE, BINGLEY BD16 1WA, W YORKSHIRE, ENGLAND"/>
    <s v="0957-4093"/>
    <s v="1758-6550"/>
    <s v=""/>
    <s v="INT J LOGIST MANAG"/>
    <s v="Int. J. Logist. Manag."/>
    <s v=""/>
    <x v="5"/>
    <n v="29"/>
    <n v="2"/>
    <s v=""/>
    <s v=""/>
    <s v="SI"/>
    <s v=""/>
    <n v="555"/>
    <n v="574"/>
    <s v=""/>
    <s v="10.1108/IJLM-05-2017-0115"/>
    <s v="http://dx.doi.org/10.1108/IJLM-05-2017-0115"/>
    <s v=""/>
    <s v=""/>
    <n v="20"/>
    <x v="8"/>
    <x v="1"/>
    <s v="Business &amp; Economics"/>
    <s v="GH8EC"/>
    <s v=""/>
    <s v="Green Submitted"/>
    <s v=""/>
    <s v=""/>
    <s v="2023-11-15"/>
    <s v="WOS:000433898900005"/>
    <s v="View Full Record in Web of Science"/>
    <m/>
  </r>
  <r>
    <x v="507"/>
    <s v="J"/>
    <x v="501"/>
    <s v=""/>
    <s v=""/>
    <s v=""/>
    <s v="Cardo, Valentina"/>
    <s v=""/>
    <s v=""/>
    <x v="505"/>
    <x v="350"/>
    <s v=""/>
    <s v=""/>
    <s v="English"/>
    <s v="Article"/>
    <s v=""/>
    <s v=""/>
    <s v=""/>
    <s v=""/>
    <s v=""/>
    <x v="464"/>
    <x v="363"/>
    <s v="The development of the Internet and social platforms was expected to have a profound impact on citizens' ability to influence politics, transforming traditional methods of political communication. This article examines the digital campaign strategy of the Internet MANA alliance during the 2014 New Zealand General Election. Internet MANA adopted digital strategies that had proven successful overseas and had the potential to radically transform New Zealand politics. The campaign, however, culminated in a disastrous electoral defeat. The article argues that online media strategies alone cannot explain election outcomes. Instead, we need to explore the ways in which digital campaign strategies interact with the electoral system, mainstream media and political 'brands'. Going beyond the specifics of New Zealand politics, this article raises questions about the role of technology on political communication practices."/>
    <s v="[Cardo, Valentina] Univ Southampton, Winchester Sch Art, Pk Ave, Winchester SO23 8DL, Hants, England"/>
    <s v="University of Southampton"/>
    <s v="Cardo, V (corresponding author), Univ Southampton, Winchester Sch Art, Pk Ave, Winchester SO23 8DL, Hants, England."/>
    <s v="v.m.cardo@soton.ac.uk"/>
    <s v="Cardo, Valentina/AAQ-9656-2021"/>
    <s v="Cardo, Valentina/0000-0002-1993-6058"/>
    <s v=""/>
    <s v=""/>
    <s v=""/>
    <s v=""/>
    <n v="114"/>
    <n v="3"/>
    <n v="3"/>
    <n v="0"/>
    <n v="3"/>
    <s v="IOS PRESS"/>
    <s v="AMSTERDAM"/>
    <s v="NIEUWE HEMWEG 6B, 1013 BG AMSTERDAM, NETHERLANDS"/>
    <s v="1570-1255"/>
    <s v="1875-8754"/>
    <s v=""/>
    <s v="INFORM POLITY"/>
    <s v="Inf. Polity"/>
    <s v=""/>
    <x v="5"/>
    <n v="23"/>
    <n v="1"/>
    <s v=""/>
    <s v=""/>
    <s v=""/>
    <s v=""/>
    <n v="67"/>
    <n v="80"/>
    <s v=""/>
    <s v="10.3233/IP-170038"/>
    <s v="http://dx.doi.org/10.3233/IP-170038"/>
    <s v=""/>
    <s v=""/>
    <n v="14"/>
    <x v="66"/>
    <x v="2"/>
    <s v="Information Science &amp; Library Science"/>
    <s v="HJ5KR"/>
    <s v=""/>
    <s v="Green Accepted"/>
    <s v=""/>
    <s v=""/>
    <s v="2023-11-15"/>
    <s v="WOS:000457220600005"/>
    <s v="View Full Record in Web of Science"/>
    <m/>
  </r>
  <r>
    <x v="508"/>
    <s v="J"/>
    <x v="502"/>
    <s v=""/>
    <s v=""/>
    <s v=""/>
    <s v="Childers, Courtney Carpenter; Haley, Eric; McMillan, Sally"/>
    <s v=""/>
    <s v=""/>
    <x v="506"/>
    <x v="369"/>
    <s v=""/>
    <s v=""/>
    <s v="English"/>
    <s v="Article"/>
    <s v=""/>
    <s v=""/>
    <s v=""/>
    <s v=""/>
    <s v=""/>
    <x v="8"/>
    <x v="364"/>
    <s v="The advertising agency environment is changing and requires agencies to deal with many communications opportunities in emerging platforms. Many concepts from IMC (e.g., the importance of data-driven targeting and integrated communication across disciplinary boundaries) have carried forward to the digital era. While academic literature has begun to examine the impact of digital technology on communication practice, the function of traditional full-service advertising agencies within the digital, social, and experiential communication environment remains under-examined. This study employs a qualitative paradigmatic perspective to address the following research question: What are experiences with and perceptions of strategic digital integration among veteran advertising professionals who work in New York City full-service agencies? Eighteen advertising agency professionals who held supervisory positions were interviewed to gain a longer-term perspective on experiences with strategic digital integration. All participants were employees of major, full-service NYC advertising agencies as they would likely work with sophisticated national and multi-national marketers. Three key insights emerged from data collection: (1) planning departments are changing, (2) there are many opportunities and threats to strategic digital integration, and (3) the continued importance of the big idea as the heart of the advertising business. Overall, participants from the NYC agencies do not suggest that advertising is dying, rather they portray it as an evolving industry leveraging the new promises of digital platforms through better strategic integration."/>
    <s v="[Childers, Courtney Carpenter; Haley, Eric; McMillan, Sally] Univ Tennessee, Sch Advertising &amp; Publ Relat, Knoxville, TN 37996 USA"/>
    <s v="University of Tennessee System; University of Tennessee Knoxville"/>
    <s v="Childers, CC (corresponding author), Univ Tennessee, Sch Advertising &amp; Publ Relat, Knoxville, TN 37996 USA."/>
    <s v="childers@utk.edu"/>
    <s v=""/>
    <s v=""/>
    <s v=""/>
    <s v=""/>
    <s v=""/>
    <s v=""/>
    <n v="59"/>
    <n v="8"/>
    <n v="8"/>
    <n v="2"/>
    <n v="6"/>
    <s v="TAYLOR &amp; FRANCIS LTD"/>
    <s v="ABINGDON"/>
    <s v="2-4 PARK SQUARE, MILTON PARK, ABINGDON OR14 4RN, OXON, ENGLAND"/>
    <s v="1064-1734"/>
    <s v="2164-7313"/>
    <s v=""/>
    <s v="J CURR ISS RES AD"/>
    <s v="J. Curr. Issues Res. Advert."/>
    <s v=""/>
    <x v="5"/>
    <n v="39"/>
    <n v="3"/>
    <s v=""/>
    <s v=""/>
    <s v="SI"/>
    <s v=""/>
    <n v="244"/>
    <n v="265"/>
    <s v=""/>
    <s v="10.1080/10641734.2018.1491435"/>
    <s v="http://dx.doi.org/10.1080/10641734.2018.1491435"/>
    <s v=""/>
    <s v=""/>
    <n v="22"/>
    <x v="105"/>
    <x v="2"/>
    <s v="Business &amp; Economics; Communication"/>
    <s v="VJ2JH"/>
    <s v=""/>
    <s v=""/>
    <s v=""/>
    <s v=""/>
    <s v="2023-11-15"/>
    <s v="WOS:000558680500004"/>
    <s v="View Full Record in Web of Science"/>
    <m/>
  </r>
  <r>
    <x v="509"/>
    <s v="J"/>
    <x v="503"/>
    <s v=""/>
    <s v=""/>
    <s v=""/>
    <s v="Dominguez Castillo, J. Gabriel; Cisneros Cohernour, Edith J.; Barbera, Elena"/>
    <s v=""/>
    <s v=""/>
    <x v="507"/>
    <x v="370"/>
    <s v=""/>
    <s v=""/>
    <s v="English"/>
    <s v="Article"/>
    <s v=""/>
    <s v=""/>
    <s v=""/>
    <s v=""/>
    <s v=""/>
    <x v="465"/>
    <x v="365"/>
    <s v="We explore gender differences in technology use among Mayan-speakers in a rural community in southern Yucatan (Mexico), finding that women had poorer skills and less access to technology than men. Following a diagnosis, information and communication technology (ICT) skills training aimed at closing the digital divide was provided to 68 men and women, with post-test results indicating that while women improved their ICT skills, they continued to score lower than men. Focus group interviews with 24 women identified the main factors perceived to influence their access to and use of technology. Observations and further interviews with 10 of the focus group participants further explored issues related to women's access to and use of technology. Quantitative data were analyzed using inferential statistics and qualitative data were analyzed using a thematic approach. Recommendations for improving the ICT skills of both men and women are discussed in the context of the Mexican National Development Plan 2013-2018 and the Mexican National Digital Strategy 2013 and are compared with the guidelines of the Yucatan State Development Plan 2012-2018."/>
    <s v="[Dominguez Castillo, J. Gabriel] Autonomous Univ Yucatan, Ctr Pedag Innovat, Fac Accounting &amp; Adm, Yucatan, Mexico; [Cisneros Cohernour, Edith J.] Autonomous Univ Yucatan, Grad &amp; Res Unit, Coll Educ, Yucatan, Mexico; [Barbera, Elena] Univ Oberta Catalunya, Psychol &amp; Educ Studies, Barcelona, Spain"/>
    <s v="Universidad Autonoma de Yucatan; Universidad Autonoma de Yucatan; UOC Universitat Oberta de Catalunya"/>
    <s v="Cohernour, EJC (corresponding author), Autonomous Univ Yucatan, Coll Educ, Grad &amp; Res Unit, Km 1 Carretera Merida Tizimin, Cholul 97305, Yucatan, Mexico."/>
    <s v="cchacon@correo.uady.mx"/>
    <s v="Cisneros-Cohernour, Edith J./D-9197-2016"/>
    <s v="Cisneros-Cohernour, Edith J./0000-0003-2319-1519"/>
    <s v=""/>
    <s v=""/>
    <s v=""/>
    <s v=""/>
    <n v="84"/>
    <n v="6"/>
    <n v="6"/>
    <n v="0"/>
    <n v="6"/>
    <s v="ROUTLEDGE JOURNALS, TAYLOR &amp; FRANCIS LTD"/>
    <s v="ABINGDON"/>
    <s v="2-4 PARK SQUARE, MILTON PARK, ABINGDON OX14 4RN, OXON, ENGLAND"/>
    <s v="0971-8524"/>
    <s v="0973-0656"/>
    <s v=""/>
    <s v="GEND TECHNOL DEV"/>
    <s v="Gend. Technol. Dev."/>
    <s v=""/>
    <x v="5"/>
    <n v="22"/>
    <n v="3"/>
    <s v=""/>
    <s v=""/>
    <s v=""/>
    <s v=""/>
    <n v="185"/>
    <n v="204"/>
    <s v=""/>
    <s v="10.1080/09718524.2018.1558862"/>
    <s v="http://dx.doi.org/10.1080/09718524.2018.1558862"/>
    <s v=""/>
    <s v=""/>
    <n v="20"/>
    <x v="31"/>
    <x v="2"/>
    <s v="Social Sciences - Other Topics"/>
    <s v="HN7QS"/>
    <s v=""/>
    <s v=""/>
    <s v=""/>
    <s v=""/>
    <s v="2023-11-15"/>
    <s v="WOS:000460387200001"/>
    <s v="View Full Record in Web of Science"/>
    <m/>
  </r>
  <r>
    <x v="510"/>
    <s v="B"/>
    <x v="504"/>
    <s v=""/>
    <s v="Cadou, CB"/>
    <s v=""/>
    <s v="Fink, Robert L.; Reinhart, Thomas A.; Steele, Alyson"/>
    <s v=""/>
    <s v=""/>
    <x v="508"/>
    <x v="371"/>
    <s v=""/>
    <s v=""/>
    <s v="English"/>
    <s v="Article; Book Chapter"/>
    <s v=""/>
    <s v=""/>
    <s v=""/>
    <s v=""/>
    <s v=""/>
    <x v="8"/>
    <x v="1"/>
    <s v=""/>
    <s v="[Fink, Robert L.] Quinn Evans Architects, Washington, DC 20037 USA; [Reinhart, Thomas A.] Maryland Hist Trust, Architectural Res, Crownsville, MD USA; [Steele, Alyson] Quinn Evans Architects, Washington, DC USA"/>
    <s v=""/>
    <s v="Fink, RL (corresponding author), Quinn Evans Architects, Washington, DC 20037 USA."/>
    <s v=""/>
    <s v=""/>
    <s v=""/>
    <s v=""/>
    <s v=""/>
    <s v=""/>
    <s v=""/>
    <n v="8"/>
    <n v="0"/>
    <n v="0"/>
    <n v="0"/>
    <n v="0"/>
    <s v="UNIV PRESS VIRGINIA"/>
    <s v="CHARLOTTESVILLE"/>
    <s v="P O BOX 400318,, CHARLOTTESVILLE, VA 22904-4318 USA"/>
    <s v=""/>
    <s v=""/>
    <s v="978-0-8139-4153-0; 978-0-8139-4151-6"/>
    <s v=""/>
    <s v=""/>
    <s v=""/>
    <x v="5"/>
    <s v=""/>
    <s v=""/>
    <s v=""/>
    <s v=""/>
    <s v=""/>
    <s v=""/>
    <n v="92"/>
    <n v="120"/>
    <s v=""/>
    <s v=""/>
    <s v=""/>
    <s v=""/>
    <s v=""/>
    <n v="29"/>
    <x v="154"/>
    <x v="7"/>
    <s v="Architecture; Art; History"/>
    <s v="BO3QS"/>
    <s v=""/>
    <s v=""/>
    <s v=""/>
    <s v=""/>
    <s v="2023-11-15"/>
    <s v="WOS:000511300100006"/>
    <s v="View Full Record in Web of Science"/>
    <m/>
  </r>
  <r>
    <x v="511"/>
    <s v="J"/>
    <x v="505"/>
    <s v=""/>
    <s v=""/>
    <s v=""/>
    <s v="Gainous, Jason; Segal, Andrew; Wagner, Kevin"/>
    <s v=""/>
    <s v=""/>
    <x v="509"/>
    <x v="372"/>
    <s v=""/>
    <s v=""/>
    <s v="English"/>
    <s v="Article"/>
    <s v=""/>
    <s v=""/>
    <s v=""/>
    <s v=""/>
    <s v=""/>
    <x v="466"/>
    <x v="366"/>
    <s v="Purpose - Early information technology scholarship centered on the internet's potential to be a democratizing force was often framed using an equalization/normalization lens arguing that either the internet was going to be an equalizing force bringing power to the masses, or it was going to be normalized into the existing power structure. The purpose of this paper is to argue that considered over time the equalization/normalization lens still sheds light on our understanding of how social media (SM) strategy can shape electoral success asking if SM are an equalizing force balancing the resource gap between candidates or are being normalized into the modern campaign. Design/methodology/approach - SM metrics and electoral data were collected for US congressional candidates in 2012 and 2016. A series of additive and interactive models are employed to test whether the effects of SM reach on electoral success are conditional on levels of campaign spending. Findings - The results suggest that those candidates who spend more actually get more utility for their SM campaign than those who spend less in 2012. However, by 2016, spending inversely correlates with SM campaign utility. Research limitations/implications - The findings indicate that SM appeared to be normalizing into the modern congressional campaign in 2012. However, with higher rates of penetration and greater levels of usage in 2016, the SM campaign utility was not a result of higher spending. SM may be a greater equalizing force now. Practical implications - Campaigns that initially integrate digital and traditional strategies increase the effectiveness of the SM campaign because the non-digital strategy both complements and draws attention to the SM campaign. However, by 2016 the SM campaign was not driven by its relation to traditional campaign spending. Originality/value - This is the first large N study to examine the interactive effects of SM reach and campaign spending on electoral success."/>
    <s v="[Gainous, Jason] Univ Louisville, Dept Polit Sci, Louisville, KY 40292 USA; [Segal, Andrew] Univ Texas Austin, Dept Polit Sci, Austin, TX 78712 USA; [Wagner, Kevin] Florida Atlantic Univ, Dept Polit Sci, Boca Raton, FL 33431 USA"/>
    <s v="University of Louisville; University of Texas System; University of Texas Austin; State University System of Florida; Florida Atlantic University"/>
    <s v="Gainous, J (corresponding author), Univ Louisville, Dept Polit Sci, Louisville, KY 40292 USA."/>
    <s v="jason.gainous@louisville.edu"/>
    <s v="Wagner, Kevin/AAW-7074-2021; Gainous, Jason/AAS-1321-2020"/>
    <s v="Gainous, Jason/0000-0002-3104-2313; Wagner, Kevin/0000-0003-4750-9739"/>
    <s v=""/>
    <s v=""/>
    <s v=""/>
    <s v=""/>
    <n v="44"/>
    <n v="6"/>
    <n v="6"/>
    <n v="0"/>
    <n v="6"/>
    <s v="EMERALD GROUP PUBLISHING LTD"/>
    <s v="BINGLEY"/>
    <s v="HOWARD HOUSE, WAGON LANE, BINGLEY BD16 1WA, W YORKSHIRE, ENGLAND"/>
    <s v="1468-4527"/>
    <s v="1468-4535"/>
    <s v=""/>
    <s v="ONLINE INFORM REV"/>
    <s v="Online Inf. Rev."/>
    <s v=""/>
    <x v="5"/>
    <n v="42"/>
    <n v="5"/>
    <s v=""/>
    <s v=""/>
    <s v=""/>
    <s v=""/>
    <n v="718"/>
    <n v="731"/>
    <s v=""/>
    <s v="10.1108/OIR-08-2017-0247"/>
    <s v="http://dx.doi.org/10.1108/OIR-08-2017-0247"/>
    <s v=""/>
    <s v=""/>
    <n v="14"/>
    <x v="155"/>
    <x v="3"/>
    <s v="Computer Science; Information Science &amp; Library Science"/>
    <s v="GR0TI"/>
    <s v=""/>
    <s v=""/>
    <s v=""/>
    <s v=""/>
    <s v="2023-11-15"/>
    <s v="WOS:000442235500010"/>
    <s v="View Full Record in Web of Science"/>
    <m/>
  </r>
  <r>
    <x v="512"/>
    <s v="J"/>
    <x v="506"/>
    <s v=""/>
    <s v=""/>
    <s v=""/>
    <s v="Guerrero Perez, Enrique"/>
    <s v=""/>
    <s v=""/>
    <x v="510"/>
    <x v="373"/>
    <s v=""/>
    <s v=""/>
    <s v="Spanish"/>
    <s v="Article"/>
    <s v=""/>
    <s v=""/>
    <s v=""/>
    <s v=""/>
    <s v=""/>
    <x v="467"/>
    <x v="367"/>
    <s v="Introduction. Television is undergoing a historical transformation due to its convergence with the Internet and the disruptiveness of technological innovation. Methods. This article analyses the evolution of linear television consumption by the so-called millennial generation, in comparison to the general audience, and how it is affected by online viewing. This research also addresses millennials' audience profile and affinity in relation to the main commercial television channels in Spain. To this end, quantitative and qualitative instruments are used: Kantar Media viewership data and an original online survey about audiovisual consumption habits applied to a representative sample of Spanish Internet users and, on the other hand, semi-structured interviews with the digital strategists of the major private television companies and a multichannel network. Results and conclusions. The results confirm the leak of young audiences -and the associated revenues- and their move towards more personalised and interactive audiovisual entertainment services. In response to this, television operators are implementing new multi-platform strategies that affect their core business and even their own identity."/>
    <s v="[Guerrero Perez, Enrique] Univ Navarra, Pamplona, Spain"/>
    <s v="University of Navarra"/>
    <s v="Pérez, EG (corresponding author), Univ Navarra, Pamplona, Spain."/>
    <s v="eguerrero@unav.es"/>
    <s v="Guerrero, Enrique/I-7038-2016"/>
    <s v="Guerrero, Enrique/0000-0001-7693-8669"/>
    <s v=""/>
    <s v=""/>
    <s v=""/>
    <s v=""/>
    <n v="31"/>
    <n v="23"/>
    <n v="23"/>
    <n v="3"/>
    <n v="24"/>
    <s v="LABORATORIO TECNOLOGIAS INFORMACION &amp; NUEVOS ANALISIS COMUNICACION SOCIAL"/>
    <s v="TENERIFE"/>
    <s v="PIRAMIDE CAMPUS GUAJARA, LA LAGUNA, TENERIFE, 38200, SPAIN"/>
    <s v="1138-5820"/>
    <s v=""/>
    <s v=""/>
    <s v="REV LAT COMUN SOC"/>
    <s v="Rev. Lat. Comun. Soc."/>
    <s v=""/>
    <x v="5"/>
    <n v="73"/>
    <n v="12"/>
    <s v=""/>
    <s v=""/>
    <s v=""/>
    <s v=""/>
    <n v="1231"/>
    <n v="1246"/>
    <s v=""/>
    <s v="10.4185/RLCS-2018-1304"/>
    <s v="http://dx.doi.org/10.4185/RLCS-2018-1304"/>
    <s v=""/>
    <s v=""/>
    <n v="16"/>
    <x v="56"/>
    <x v="2"/>
    <s v="Communication"/>
    <s v="HL4ML"/>
    <s v=""/>
    <s v="Green Submitted"/>
    <s v=""/>
    <s v=""/>
    <s v="2023-11-15"/>
    <s v="WOS:000458695800009"/>
    <s v="View Full Record in Web of Science"/>
    <m/>
  </r>
  <r>
    <x v="513"/>
    <s v="J"/>
    <x v="507"/>
    <s v=""/>
    <s v=""/>
    <s v=""/>
    <s v="Kiran, Faiqa; Zubair, Ahsan; Shahzadi, Irum; Abbas, Aamir"/>
    <s v=""/>
    <s v=""/>
    <x v="511"/>
    <x v="374"/>
    <s v=""/>
    <s v=""/>
    <s v="English"/>
    <s v="Article"/>
    <s v=""/>
    <s v=""/>
    <s v=""/>
    <s v=""/>
    <s v=""/>
    <x v="468"/>
    <x v="1"/>
    <s v="Purpose The purpose of this paper is to first bring to light the essential digital strategies to study organizations. Second, how businesses can improve their strategic capabilities by using the information gathered from internet sources or networks. Third, this study investigates how employees in an organization tend to engage in positive and/or negative gossip and how gossips affect coworker-rated informal influence in organization and supervisor-rated performance. Social network analysis is used to find the underlying relationships between gossips, coworker-rated influence and supervisor-rated performance. Design/methodology/approach This research paper is divided into two parts. The first study based on profound synthesis of literature. Major digital sources to study organizations are identified. The strategies requirement for each channel is identified. Suggestions are given to managers to improve strategic decision-making based on big data. The second study is a cross-sectional study where questionnaires (survey) are used to elicit data. Social network analysis is used to analyze the data using ucinet 6 software. Findings The findings of the study pinpoint the skills required to analyze large data, available in organizations. The second study finds out that close friends are more engaged in gossips than coworkers who have only working relationships. The friends having high structural embeddedness are more likely to be involved in negative gossips. Coworker perceives those employees who are engaged in negative gossips as having high informal influence. However, there is negative relationship between negative gossips and supervisor-rated influence. Research limitations/implications The research study is cross-sectional in design; however, longitudinal design can be used to gain more insights about negative gossips and their effects. Second, a very small sample is used in this study. Practical implications This study can be used to understand informal communication network in the organization. Managers can use this channel to pass information quickly, as informal channels are faster than formal communication channels. This research can be used to understand the underling relationships between the coworkers in organizations Originality/value This paper provides guidelines to organizational life and information on how the informal networks within organization can be studied."/>
    <s v="[Kiran, Faiqa] Natl Coll Business Adm &amp; Econ, Lahore, Pakistan; [Zubair, Ahsan] Govt Coll Univ, Faisalabad, Pakistan; [Shahzadi, Irum] Govt Coll Univ, Dept Business Adm, Faisalabad, Pakistan; [Abbas, Aamir] Univ Sargodha, Layallpur Campus, Faisalabad, Pakistan"/>
    <s v="Government College University Faisalabad; Government College University Faisalabad"/>
    <s v="Abbas, A (corresponding author), Univ Sargodha, Layallpur Campus, Faisalabad, Pakistan."/>
    <s v="faiqakiran@gmail.com; ahsan_zubair@hotmail.com; irum.shahzadi@gcuf.edu.pk; aamir.abbastuf@gmail.com"/>
    <s v="Zubair, Ahsan/ABS-9752-2022; Shahzadi, Irum/HCI-9514-2022; Kiran, Faiqa/AAK-6953-2021; Kiran, Faiqa/F-1788-2014"/>
    <s v="Zubair, Ahsan/0000-0003-3909-8490; Shahzadi, Irum/0000-0001-5353-4813; Kiran, Faiqa/0000-0003-3604-9132"/>
    <s v=""/>
    <s v=""/>
    <s v=""/>
    <s v=""/>
    <n v="35"/>
    <n v="1"/>
    <n v="1"/>
    <n v="1"/>
    <n v="4"/>
    <s v="EMERALD GROUP PUBLISHING LTD"/>
    <s v="BINGLEY"/>
    <s v="HOWARD HOUSE, WAGON LANE, BINGLEY BD16 1WA, W YORKSHIRE, ENGLAND"/>
    <s v="0888-045X"/>
    <s v="2054-1724"/>
    <s v=""/>
    <s v="BOTTOM LINE"/>
    <s v="Bottom Line"/>
    <s v=""/>
    <x v="5"/>
    <n v="31"/>
    <n v="2"/>
    <s v=""/>
    <s v=""/>
    <s v=""/>
    <s v=""/>
    <n v="98"/>
    <n v="113"/>
    <s v=""/>
    <s v="10.1108/BL-03-2018-0012"/>
    <s v="http://dx.doi.org/10.1108/BL-03-2018-0012"/>
    <s v=""/>
    <s v=""/>
    <n v="16"/>
    <x v="66"/>
    <x v="2"/>
    <s v="Information Science &amp; Library Science"/>
    <s v="GJ7HV"/>
    <s v=""/>
    <s v=""/>
    <s v=""/>
    <s v=""/>
    <s v="2023-11-15"/>
    <s v="WOS:000435558000001"/>
    <s v="View Full Record in Web of Science"/>
    <m/>
  </r>
  <r>
    <x v="514"/>
    <s v="J"/>
    <x v="508"/>
    <s v=""/>
    <s v=""/>
    <s v=""/>
    <s v="Kontic, Ljiljana; Vidicki, Dorde"/>
    <s v=""/>
    <s v=""/>
    <x v="512"/>
    <x v="375"/>
    <s v=""/>
    <s v=""/>
    <s v="English"/>
    <s v="Article"/>
    <s v=""/>
    <s v=""/>
    <s v=""/>
    <s v=""/>
    <s v=""/>
    <x v="469"/>
    <x v="1"/>
    <s v="Proactive leadership and investment are the key factors that determine a company's potential to become a digital organization. Based on the analysis of relevant literature, we will introduce a four-stage model. The companies are progressing through stalling, initiating, engaging and self-reinforcement stage. The main research question is: How to assess an organization's readiness for digital transformation? The main aim of this study is to propose the digital strategy based on four critical dimensions such as digital-first mindset, digital practices, empowered talent and data access and collaboration tools. The questionnaire comprised 32 questions to assess organization's position across aforementioned dimensions. Regarding different characteristics of national culture, the construct validity of research methodology developed in one society will be investigated for a Serbian sample. The sample consisted of 30 managers in one company. The research findings revealed possible practical implementation of an adapted questionnaire used by MIT Centre for Digital Business and Capgemini Consulting. The findings add to the existing literature on digital strategies in cross-cultural organizational contexts. The research findings revealed that an analyzed company redesigned organization as well as investment significantly in technology. The practical implementation and study limitation are suggested too."/>
    <s v="[Kontic, Ljiljana] Union Univ Novi Sad, Fac Legal &amp; Business Studies Dr Lazar Vrkatic, Novi Sad, Serbia; [Vidicki, Dorde] Govt Vojvodina Novi Sad, Novi Sad, Serbia"/>
    <s v=""/>
    <s v="Kontic, L (corresponding author), Fac Legal &amp; Business Studies Dr Lazar Vrkatic, Bulevar Oslobodenja 76, Novi Sad 21000, Serbia."/>
    <s v="ljiljana.kontic@yahoo.com"/>
    <s v="Kontic, Ljiljana/GPX-1477-2022"/>
    <s v=""/>
    <s v=""/>
    <s v=""/>
    <s v=""/>
    <s v=""/>
    <n v="16"/>
    <n v="18"/>
    <n v="19"/>
    <n v="24"/>
    <n v="187"/>
    <s v="UNIV NOVI SAD, FAC ECONOMICS SUBOTICA"/>
    <s v="SUBOTICA"/>
    <s v="SEGEDINSKI PUT 9-11, SUBOTICA, 24000, SERBIA"/>
    <s v="1821-3448"/>
    <s v="2334-6191"/>
    <s v=""/>
    <s v="STRATEG MANAG"/>
    <s v="Strateg. Manag."/>
    <s v=""/>
    <x v="5"/>
    <n v="23"/>
    <n v="1"/>
    <s v=""/>
    <s v=""/>
    <s v=""/>
    <s v=""/>
    <n v="29"/>
    <n v="35"/>
    <s v=""/>
    <s v="10.5937/StraMan1801029K"/>
    <s v="http://dx.doi.org/10.5937/StraMan1801029K"/>
    <s v=""/>
    <s v=""/>
    <n v="7"/>
    <x v="8"/>
    <x v="2"/>
    <s v="Business &amp; Economics"/>
    <s v="GC9GI"/>
    <s v=""/>
    <s v="Green Submitted, gold"/>
    <s v=""/>
    <s v=""/>
    <s v="2023-11-15"/>
    <s v="WOS:000430105100004"/>
    <s v="View Full Record in Web of Science"/>
    <m/>
  </r>
  <r>
    <x v="515"/>
    <s v="J"/>
    <x v="509"/>
    <s v=""/>
    <s v=""/>
    <s v=""/>
    <s v="Kreiss, Daniel; McGregor, Shannon C."/>
    <s v=""/>
    <s v=""/>
    <x v="513"/>
    <x v="376"/>
    <s v=""/>
    <s v=""/>
    <s v="English"/>
    <s v="Article"/>
    <s v=""/>
    <s v=""/>
    <s v=""/>
    <s v=""/>
    <s v=""/>
    <x v="470"/>
    <x v="1"/>
    <s v="This article offers the first analysis of the role that technology companies, specifically Facebook, Twitter, Microsoft, and Google, play in shaping the political communication of electoral campaigns in the United States. We offer an empirical analysis of the work technology firms do around electoral politics through interviews with staffers at these firms and digital and social media directors of 2016U.S. presidential primary and general election campaigns, in addition to field observations at the 2016 Democratic National Convention. We find that technology firms are motivated to work in the political space for marketing, advertising revenue, and relationship-building in the service of lobbying efforts. To facilitate this, these firms have developed organizational structures and staffing patterns that accord with the partisan nature of American politics. Furthermore, Facebook, Twitter, and Google go beyond promoting their services and facilitating digital advertising buys, actively shaping campaign communication through their close collaboration with political staffers. We show how representatives at these firms serve as quasi-digital consultants to campaigns, shaping digital strategy, content, and execution. Given this, we argue that political communication scholars need to consider social media firms as more active agents in political processes than previously appreciated in the literature."/>
    <s v="[Kreiss, Daniel] Univ N Carolina, Sch Media &amp; Journalism, Carroll Hall,CB 3365, Chapel Hill, NC 27599 USA; [McGregor, Shannon C.] Univ Utah, Dept Commun, 255 Cent Campus Dr 2400, Salt Lake City, UT 84112 USA"/>
    <s v="University of North Carolina; University of North Carolina Chapel Hill; Utah System of Higher Education; University of Utah"/>
    <s v="Kreiss, D (corresponding author), Univ N Carolina, Sch Media &amp; Journalism, Carroll Hall,CB 3365, Chapel Hill, NC 27599 USA."/>
    <s v="dkreiss@email.unc.edu; shannon.c.mgregor@gmail.com"/>
    <s v="黄, 荣 昌/HGA-6762-2022; McGregor, Shannon C/AAO-1718-2020"/>
    <s v="McGregor, Shannon/0000-0002-3275-0397"/>
    <s v="Social Media Collective at Microsoft Research"/>
    <s v="Social Media Collective at Microsoft Research(Microsoft)"/>
    <s v="The authors would like to thank Sarah Flowers, Laura Meadows, Cara Schumann, and Shannon Zenner for their invaluable field research at the 2016 Democratic National Convention. Shannon C. McGregor also wishes to thank the Social Media Collective at Microsoft Research for their support in the early stages of this project."/>
    <s v=""/>
    <n v="38"/>
    <n v="131"/>
    <n v="134"/>
    <n v="17"/>
    <n v="177"/>
    <s v="TAYLOR &amp; FRANCIS INC"/>
    <s v="PHILADELPHIA"/>
    <s v="530 WALNUT STREET, STE 850, PHILADELPHIA, PA 19106 USA"/>
    <s v="1058-4609"/>
    <s v="1091-7675"/>
    <s v=""/>
    <s v="POLIT COMMUN"/>
    <s v="Polit. Commun."/>
    <s v=""/>
    <x v="5"/>
    <n v="35"/>
    <n v="2"/>
    <s v=""/>
    <s v=""/>
    <s v=""/>
    <s v=""/>
    <n v="155"/>
    <n v="177"/>
    <s v=""/>
    <s v="10.1080/10584609.2017.1364814"/>
    <s v="http://dx.doi.org/10.1080/10584609.2017.1364814"/>
    <s v=""/>
    <s v=""/>
    <n v="23"/>
    <x v="156"/>
    <x v="1"/>
    <s v="Communication; Government &amp; Law"/>
    <s v="FZ9AO"/>
    <s v=""/>
    <s v=""/>
    <s v=""/>
    <s v=""/>
    <s v="2023-11-15"/>
    <s v="WOS:000427902200001"/>
    <s v="View Full Record in Web of Science"/>
    <m/>
  </r>
  <r>
    <x v="516"/>
    <s v="J"/>
    <x v="510"/>
    <s v=""/>
    <s v=""/>
    <s v=""/>
    <s v="Meinich-Bache, Oyvind; Engan, Kjersti; Birkenes, Tonje Soraas; Myklebust, Helge"/>
    <s v=""/>
    <s v=""/>
    <x v="514"/>
    <x v="377"/>
    <s v=""/>
    <s v=""/>
    <s v="English"/>
    <s v="Article"/>
    <s v=""/>
    <s v=""/>
    <s v=""/>
    <s v=""/>
    <s v=""/>
    <x v="8"/>
    <x v="368"/>
    <s v="Out-of-hospital cardiac arrest (OHCA) is recognized as a global mortality challenge, and digital strategies could contribute to increase the chance of survival. In this paper, we investigate if cardiopulmonary resuscitation (CPR) quality measurement using smartphone video analysis in real-time is feasible for a range of conditions. With the use of a web-connected smartphone application which utilizes the smartphone camera, we detect inactivity and chest compressions and measure chest compression rate with real-time feedback to both the caller who performs chest compressions and over the web to the dispatcher who coaches the caller on chest compressions. The application estimates compression rate with 0.5 s update interval, time to first stable compression rate (TFSCR), active compression time (TC), hands-off time (TWC), average compression rate (ACR), and total number of compressions (NC). Four experiments were performed to test the accuracy of the calculated chest compression rate under different conditions, and a fifth experiment was done to test the accuracy of the CPR summary parameters TFSCR, TC, TWC, ACR, and NC. Average compression rate detection error was 2.7 compressions per minute (+/- 5.0 cpm), the calculated chest compression rate was within +/- 10 cpm in 98% (+/- 5.5) of the time, and the average error of the summary CPR parameters was 4.5% (+/- 3.6). The results show that real-time chest compression quality measurement by smartphone camera in simulated cardiac arrest is feasible under the conditions tested."/>
    <s v="[Meinich-Bache, Oyvind; Engan, Kjersti] Univ Stavanger, Kjell Arholmsgate 41, N-4036 Stavanger, Norway; [Birkenes, Tonje Soraas; Myklebust, Helge] Laerdal Med, Tanke Svilands Gate 30, N-4002 Stavanger, Norway"/>
    <s v="Universitetet i Stavanger"/>
    <s v="Meinich-Bache, O (corresponding author), Univ Stavanger, Kjell Arholmsgate 41, N-4036 Stavanger, Norway."/>
    <s v="oyvind.meinich-bache@uis.no"/>
    <s v="Engan, Kjersti/AFU-6843-2022"/>
    <s v="Engan, Kjersti/0000-0002-8970-0067; Birkenes, Tonje Soraas/0000-0001-8736-5122; Meinich-Bache, Oyvind/0000-0002-9264-027X"/>
    <s v="University of Stavanger; Laerdal Medical"/>
    <s v="University of Stavanger; Laerdal Medical"/>
    <s v="We want to thank Solveig Haukas Haaland, (Laerdal Medical) for help with planning and execution of experiments and (omas Hinna (BI Builders) and Daniel Vartdal (Webstep Stavanger) for help with real-time implementation of the algorithm in an android app. The study and application development was funded by University of Stavanger and Laerdal Medical."/>
    <s v=""/>
    <n v="37"/>
    <n v="7"/>
    <n v="8"/>
    <n v="1"/>
    <n v="1"/>
    <s v="HINDAWI LTD"/>
    <s v="LONDON"/>
    <s v="ADAM HOUSE, 3RD FLR, 1 FITZROY SQ, LONDON, W1T 5HF, ENGLAND"/>
    <s v="2040-2295"/>
    <s v="2040-2309"/>
    <s v=""/>
    <s v="J HEALTHC ENG"/>
    <s v="J. Healthc. Eng."/>
    <s v=""/>
    <x v="5"/>
    <n v="2018"/>
    <s v=""/>
    <s v=""/>
    <s v=""/>
    <s v=""/>
    <s v=""/>
    <s v=""/>
    <s v=""/>
    <n v="6241856"/>
    <s v="10.1155/2018/6241856"/>
    <s v="http://dx.doi.org/10.1155/2018/6241856"/>
    <s v=""/>
    <s v=""/>
    <n v="12"/>
    <x v="19"/>
    <x v="0"/>
    <s v="Health Care Sciences &amp; Services"/>
    <s v="GZ9MM"/>
    <n v="30581549"/>
    <s v="Green Published, Green Submitted, gold"/>
    <s v=""/>
    <s v=""/>
    <s v="2023-11-15"/>
    <s v="WOS:000449823600001"/>
    <s v="View Full Record in Web of Science"/>
    <m/>
  </r>
  <r>
    <x v="517"/>
    <s v="J"/>
    <x v="511"/>
    <s v=""/>
    <s v=""/>
    <s v=""/>
    <s v="Perboli, Guido; Musso, Stefano; Rosano, Mariangela"/>
    <s v=""/>
    <s v=""/>
    <x v="515"/>
    <x v="82"/>
    <s v=""/>
    <s v=""/>
    <s v="English"/>
    <s v="Article"/>
    <s v=""/>
    <s v=""/>
    <s v=""/>
    <s v=""/>
    <s v=""/>
    <x v="471"/>
    <x v="1"/>
    <s v="The Blockchain technology can be defined as a distributed ledger database for recording transactions between parties verifiably and permanently. Blockchain emerged as a leading technology layer for financial applications. Nevertheless, in the past years, the attention of researchers and practitioners moved to the application of the Blockchain technologies to other domains. Recently, it represents the backbone of a new digital supply chain. Thanks to its capability of ensuring data immutability and public accessibility of data streams, Blockchain can increase the efficiency, reliability, and transparency of the overall supply chain, and optimize the inbound processes. The literature concerning Blockchain in non-financial applications mainly focused on the technological part and the Business Process Modeling, lacking in terms of standard methodology for designing a strategy to develop and validate the overall Blockchain solution and integrate it in the Business Strategy. Thus, this paper aims to overcome this lack. First, we integrate the current literature filling the lack concerning the digital strategy, creating a standard methodology to design Blockchain technology use cases, which are not related to finance applications. Second, we present the results of a use case in the fresh food delivery, showing the critical aspects of implementing a Blockchain solution. Moreover, the paper discusses how the Blockchain will help in reducing the logistics costs and in optimizing the operations and the research challenges."/>
    <s v="[Perboli, Guido; Musso, Stefano; Rosano, Mariangela] Politecn Torino, DAUIN, I-10129 Turin, Italy; [Perboli, Guido; Musso, Stefano; Rosano, Mariangela] Politecn Torino, ICT City Logist &amp; Enterprises Ctr, I-10129 Turin, Italy; [Perboli, Guido] Ctr Interuniv Rech Reseaux Entreprise Logist &amp; Tr, Montreal, PQ H3T 1J4, Canada"/>
    <s v="Polytechnic University of Turin; Polytechnic University of Turin; Universite de Montreal"/>
    <s v="Rosano, M (corresponding author), Politecn Torino, DAUIN, I-10129 Turin, Italy.;Rosano, M (corresponding author), Politecn Torino, ICT City Logist &amp; Enterprises Ctr, I-10129 Turin, Italy."/>
    <s v="mariangela.rosano@polito.it"/>
    <s v="Musso, Stefano/AAW-5765-2021; Perboli, Guido/G-1049-2014; ROSANO, MARIANGELA/AAV-7150-2021"/>
    <s v="Perboli, Guido/0000-0001-6900-9917; ROSANO, MARIANGELA/0000-0002-6879-827X"/>
    <s v=""/>
    <s v=""/>
    <s v=""/>
    <s v=""/>
    <n v="38"/>
    <n v="235"/>
    <n v="238"/>
    <n v="18"/>
    <n v="249"/>
    <s v="IEEE-INST ELECTRICAL ELECTRONICS ENGINEERS INC"/>
    <s v="PISCATAWAY"/>
    <s v="445 HOES LANE, PISCATAWAY, NJ 08855-4141 USA"/>
    <s v="2169-3536"/>
    <s v=""/>
    <s v=""/>
    <s v="IEEE ACCESS"/>
    <s v="IEEE Access"/>
    <s v=""/>
    <x v="5"/>
    <n v="6"/>
    <s v=""/>
    <s v=""/>
    <s v=""/>
    <s v=""/>
    <s v=""/>
    <n v="62018"/>
    <n v="62028"/>
    <s v=""/>
    <s v="10.1109/ACCESS.2018.2875782"/>
    <s v="http://dx.doi.org/10.1109/ACCESS.2018.2875782"/>
    <s v=""/>
    <s v=""/>
    <n v="11"/>
    <x v="54"/>
    <x v="0"/>
    <s v="Computer Science; Engineering; Telecommunications"/>
    <s v="HA6DM"/>
    <s v=""/>
    <s v="Green Submitted, gold"/>
    <s v=""/>
    <s v=""/>
    <s v="2023-11-15"/>
    <s v="WOS:000450369800001"/>
    <s v="View Full Record in Web of Science"/>
    <m/>
  </r>
  <r>
    <x v="518"/>
    <s v="J"/>
    <x v="512"/>
    <s v=""/>
    <s v=""/>
    <s v=""/>
    <s v="Rezende, Denis Alcides; Procopiuck, Mario"/>
    <s v=""/>
    <s v=""/>
    <x v="516"/>
    <x v="109"/>
    <s v=""/>
    <s v=""/>
    <s v="Portuguese"/>
    <s v="Article"/>
    <s v=""/>
    <s v=""/>
    <s v=""/>
    <s v=""/>
    <s v=""/>
    <x v="472"/>
    <x v="369"/>
    <s v="Digital city projects can be considered as public policy with different approaches to public administration when they formalize strategies in cities as a premise to strengthen public management processes, citizenship and the development potential of society in general, through planning, structuring, saving and making available information and public services. The objective is to analyze the Chicago - USA strategic digital city project as a public policy and to contextualize it in the face of initiatives that take place in the Brazilian federal, state and municipal spheres. The research methodology emphasizes a case study constructed on the basis of qualitative information and analysis. The results indicate that Chicago has developed a strategic technological project as a public policy and that, conceptually, there is an approximation of the intentionalities expressed in Brazilian public policies. The conclusion reiterates the importance of adopting strategies in cities as a basis for designing comprehensive technological projects to increase the effectiveness of public management, increase social participation and citizens' quality life and contribute to municipal public policy."/>
    <s v="[Rezende, Denis Alcides; Procopiuck, Mario] Pontificia Univ Catolica Parana, Curitiba, Parana, Brazil"/>
    <s v="Pontificia Universidade Catolica do Parana"/>
    <s v="Rezende, DA (corresponding author), Pontificia Univ Catolica Parana, Curitiba, Parana, Brazil."/>
    <s v="denis.rezende@pucpr.br; mario.p@pucpr.br"/>
    <s v="Prokopiuk, Mario/E-1127-2014"/>
    <s v="Prokopiuk, Mario/0000-0002-7346-1938"/>
    <s v=""/>
    <s v=""/>
    <s v=""/>
    <s v=""/>
    <n v="74"/>
    <n v="0"/>
    <n v="0"/>
    <n v="2"/>
    <n v="2"/>
    <s v="UNIV TECNOLOGICA FED PARANA-UTFPR"/>
    <s v="CURITIBA"/>
    <s v="AV SETE SETEMBRO 3165, REBOUCAS, CURITIBA, PR 80230-901, BRAZIL"/>
    <s v="1809-0044"/>
    <s v="1984-3526"/>
    <s v=""/>
    <s v="REV TECNOL SOC"/>
    <s v="REV. TECNOL. SOC."/>
    <s v=""/>
    <x v="5"/>
    <n v="14"/>
    <n v="33"/>
    <s v=""/>
    <s v=""/>
    <s v=""/>
    <s v=""/>
    <s v=""/>
    <s v=""/>
    <s v=""/>
    <s v=""/>
    <s v=""/>
    <s v=""/>
    <s v=""/>
    <n v="24"/>
    <x v="31"/>
    <x v="2"/>
    <s v="Social Sciences - Other Topics"/>
    <s v="GM0XO"/>
    <s v=""/>
    <s v=""/>
    <s v=""/>
    <s v=""/>
    <s v="2023-11-15"/>
    <s v="WOS:000437784000016"/>
    <s v="View Full Record in Web of Science"/>
    <m/>
  </r>
  <r>
    <x v="519"/>
    <s v="S"/>
    <x v="513"/>
    <s v=""/>
    <s v="Bast, G; Carayannis, EG; Campbell, DFJ"/>
    <s v=""/>
    <s v="Ruttkay, Zsofia; Benyei, Judit"/>
    <s v=""/>
    <s v=""/>
    <x v="517"/>
    <x v="378"/>
    <s v="Arts Research Innovation and Society"/>
    <s v=""/>
    <s v="English"/>
    <s v="Article; Book Chapter"/>
    <s v=""/>
    <s v=""/>
    <s v=""/>
    <s v=""/>
    <s v=""/>
    <x v="473"/>
    <x v="1"/>
    <s v="At the beginning of the twenty-first century, digital technologies are radically changing the way young people communicate, learn and spend their free time. Museums, in order not to lose the next generations as visitors, must conform to the new expectations and needs. On a large scale, the museum must address young people, provide a forum for self-expression and participation and advertise itself by new means. On a smaller scale, the style and means of individual exhibitions must change, providing space for activity, emotions and multiple modalities besides text, personalized visits, interactive explorations and self-expression, evoking emotions but meanwhile also fulfilling educational objectives. Digital technologies-by the yet smaller, cheaper and more and more pervasive devices and services-provide ample means to reach these goals. In our article first we provide a conceptual framework, focussing on the Internet generation as new audience and traditional and new functions of museums. We show how digital technologies may be used to reach six major and general goals. For each issue, we discuss concrete recent examples, from international and own projects. Finally, we address the roles in the complex process of design, development and daily operation of digital applications, in the context of a digital strategy for the museum."/>
    <s v="[Ruttkay, Zsofia] Moholy Nagy Univ Art &amp; Design, Creat Technol Lab, Budapest, Hungary; [Benyei, Judit] Moholy Nagy Univ Art &amp; Design, Dept Pedag &amp; Psychol, Budapest, Hungary"/>
    <s v="Moholy-Nagy University of Art &amp; Design Budapest; Moholy-Nagy University of Art &amp; Design Budapest"/>
    <s v="Ruttkay, Z (corresponding author), Moholy Nagy Univ Art &amp; Design, Creat Technol Lab, Budapest, Hungary."/>
    <s v="ruttkay@mome.hu; benyeij@mome.hu"/>
    <s v=""/>
    <s v=""/>
    <s v=""/>
    <s v=""/>
    <s v=""/>
    <s v=""/>
    <n v="15"/>
    <n v="4"/>
    <n v="4"/>
    <n v="0"/>
    <n v="2"/>
    <s v="SPRINGER INTERNATIONAL PUBLISHING AG"/>
    <s v="CHAM"/>
    <s v="GEWERBESTRASSE 11, CHAM, CH-6330, SWITZERLAND"/>
    <s v="2626-7683"/>
    <s v="2626-7691"/>
    <s v="978-3-319-93955-1; 978-3-319-93954-4"/>
    <s v="ARTS RES INNOV SOCIE"/>
    <s v=""/>
    <s v=""/>
    <x v="5"/>
    <s v=""/>
    <s v=""/>
    <s v=""/>
    <s v=""/>
    <s v=""/>
    <s v=""/>
    <n v="101"/>
    <n v="116"/>
    <s v=""/>
    <s v="10.1007/978-3-319-93955-1_10"/>
    <s v="http://dx.doi.org/10.1007/978-3-319-93955-1_10"/>
    <s v="10.1007/978-3-319-93955-1"/>
    <s v=""/>
    <n v="16"/>
    <x v="157"/>
    <x v="7"/>
    <s v="Art; Cultural Studies"/>
    <s v="BP9LE"/>
    <s v=""/>
    <s v=""/>
    <s v=""/>
    <s v=""/>
    <s v="2023-11-15"/>
    <s v="WOS:000569532000011"/>
    <s v="View Full Record in Web of Science"/>
    <m/>
  </r>
  <r>
    <x v="520"/>
    <s v="J"/>
    <x v="514"/>
    <s v=""/>
    <s v=""/>
    <s v=""/>
    <s v="Schubert, O.; Beuer, F.; Gueth, J-F; Nold, E.; Edelhoff, D.; Metz, I"/>
    <s v=""/>
    <s v=""/>
    <x v="518"/>
    <x v="379"/>
    <s v=""/>
    <s v=""/>
    <s v="English"/>
    <s v="Article"/>
    <s v=""/>
    <s v=""/>
    <s v=""/>
    <s v=""/>
    <s v=""/>
    <x v="474"/>
    <x v="370"/>
    <s v="The irreversible trend toward digitization in dentistry and dental technology has resulted in technical progress and continuous changes to conventional workflows. In particular, implantology and prosthetics have benefited from a multitude of interesting new possibilities. Three-dimensional (3D) computed radiography and digital surface scanning can be invaluable in terms of backward planning and making implant surgery and denture fabrication more predictable. In this context, two digital implant-prosthetic treatment strategies are presented that allow for an efficient digital workflow while ensuring a minimally invasive surgical procedure. By means of digital intraoperative scanning of the implant position, the digital one-abutment/one-time concept allows for the insertion of computer-aided design/computer-aided manufacturing (CAD/CAM)-manufactured single crowns instantly after uncovering the implant. The second approach uses 3D radiographic data to preoperatively manufacture a one-piece root-analogue implant (RAI) and insert it immediately after tooth extraction. Both ideas promise some advantages in terms of quality and preservation of periimplant tissues as well as a noticeable reduction in overall treatment time."/>
    <s v="[Schubert, O.; Gueth, J-F; Nold, E.; Edelhoff, D.; Metz, I] LMU Munchen, Klinikum Univ Munchen, Poliklin Zahnarztliche Prothet, Goethestr 70, D-80336 Munich, Germany; [Beuer, F.] Charite Univ Med Berlin, Ctr Zahn Mund &amp; Kieferheilkunde, Abt Zahnarztliche Prothet Funkt Lehre &amp; Alterszah, Berlin, Germany"/>
    <s v="University of Munich; Free University of Berlin; Humboldt University of Berlin; Charite Universitatsmedizin Berlin"/>
    <s v="Schubert, O (corresponding author), LMU Munchen, Klinikum Univ Munchen, Poliklin Zahnarztliche Prothet, Goethestr 70, D-80336 Munich, Germany."/>
    <s v="oliver.schubert@med.uni-muenchen.de"/>
    <s v=""/>
    <s v="Beuer, Florian/0000-0003-0246-790X"/>
    <s v=""/>
    <s v=""/>
    <s v=""/>
    <s v=""/>
    <n v="55"/>
    <n v="14"/>
    <n v="14"/>
    <n v="1"/>
    <n v="7"/>
    <s v="QUINTESSENCE PUBLISHING CO INC"/>
    <s v="HANOVER PARK"/>
    <s v="4350 CHANDLER DRIVE, HANOVER PARK, IL 60133 USA"/>
    <s v="1463-4201"/>
    <s v=""/>
    <s v=""/>
    <s v="INT J COMPUT DENT"/>
    <s v="Int. J. Comput. Dent."/>
    <s v=""/>
    <x v="5"/>
    <n v="21"/>
    <n v="2"/>
    <s v=""/>
    <s v=""/>
    <s v=""/>
    <s v=""/>
    <n v="115"/>
    <n v="131"/>
    <s v=""/>
    <s v=""/>
    <s v=""/>
    <s v=""/>
    <s v=""/>
    <n v="17"/>
    <x v="24"/>
    <x v="0"/>
    <s v="Dentistry, Oral Surgery &amp; Medicine"/>
    <s v="GY0PQ"/>
    <n v="29967904"/>
    <s v=""/>
    <s v=""/>
    <s v=""/>
    <s v="2023-11-15"/>
    <s v="WOS:000448224100005"/>
    <s v="View Full Record in Web of Science"/>
    <m/>
  </r>
  <r>
    <x v="521"/>
    <s v="J"/>
    <x v="515"/>
    <s v=""/>
    <s v=""/>
    <s v=""/>
    <s v="Stone, Merlin; Aravopoulou, Eleni"/>
    <s v=""/>
    <s v=""/>
    <x v="519"/>
    <x v="374"/>
    <s v=""/>
    <s v=""/>
    <s v="English"/>
    <s v="Article"/>
    <s v=""/>
    <s v=""/>
    <s v=""/>
    <s v=""/>
    <s v=""/>
    <x v="475"/>
    <x v="371"/>
    <s v="Purpose This case study describes how one of the world's largest public transport operations, Transport for London (TfL), transformed the real-time availability of information for its customers and staff through the open data approach, and what the results of this transformation were. The purpose of this paper is therefore to show what is required for an open data approach to work. Design/methodology/approach This case study is based mainly on interviews at TfL and data supplied by TfL directly to the researchers. It analyses as far as possible the reported facts of the case to identify the processes required for open data and the benefits thereof. Findings The main finding is that achieving an open data approach in public transport is helped by having a clear commitment to the idea that the data belong to the public and that third parties should be allowed to use and repurpose the information, by having a strong digital strategy, and by creating strong partnerships with data management organisations that can support the delivery of high volumes of information. Research limitations/implications This research is based upon a single case study, albeit over an extensive period, so the findings cannot be applied simply to other situations, other than as evidence of what is possible. However, similar processes could be applied in other situations as a heuristic approach to open data strategy implementation. Practical implications The case study shows how open data can be used to create commercial and non-commercial customer-facing products and services, which passengers and other road users use to gain a better travel experience, and that this approach can be valued in terms of financial/economic contribution to customers and organisations. Social implications This case study shows the value that society can obtain from the opening of data in public transport, and the importance of public service innovation in delivering benefits to citizens. Originality/value This is the first case study to show in some detail some of the processes and activities required to open data to public service customers and others."/>
    <s v="[Stone, Merlin; Aravopoulou, Eleni] St Marys Univ, Dept Management &amp; Social Sci, London, England"/>
    <s v="St Mary's University Twickenham London"/>
    <s v="Stone, M (corresponding author), St Marys Univ, Dept Management &amp; Social Sci, London, England."/>
    <s v="merlin.stone@stmarys.ac.uk; Eleni.aravopoulou@stmarys.ac.uk"/>
    <s v="Stone, Merlin/AAC-9082-2019"/>
    <s v="Stone, Merlin/0000-0003-4687-0629"/>
    <s v=""/>
    <s v=""/>
    <s v=""/>
    <s v=""/>
    <n v="21"/>
    <n v="12"/>
    <n v="12"/>
    <n v="0"/>
    <n v="12"/>
    <s v="EMERALD GROUP PUBLISHING LTD"/>
    <s v="BINGLEY"/>
    <s v="HOWARD HOUSE, WAGON LANE, BINGLEY BD16 1WA, W YORKSHIRE, ENGLAND"/>
    <s v="0888-045X"/>
    <s v="2054-1724"/>
    <s v=""/>
    <s v="BOTTOM LINE"/>
    <s v="Bottom Line"/>
    <s v=""/>
    <x v="5"/>
    <n v="31"/>
    <n v="1"/>
    <s v=""/>
    <s v=""/>
    <s v=""/>
    <s v=""/>
    <n v="2"/>
    <n v="15"/>
    <s v=""/>
    <s v="10.1108/BL-12-2017-0035"/>
    <s v="http://dx.doi.org/10.1108/BL-12-2017-0035"/>
    <s v=""/>
    <s v=""/>
    <n v="14"/>
    <x v="66"/>
    <x v="2"/>
    <s v="Information Science &amp; Library Science"/>
    <s v="FY4ID"/>
    <s v=""/>
    <s v="Green Accepted"/>
    <s v=""/>
    <s v=""/>
    <s v="2023-11-15"/>
    <s v="WOS:000426785000001"/>
    <s v="View Full Record in Web of Science"/>
    <m/>
  </r>
  <r>
    <x v="522"/>
    <s v="J"/>
    <x v="516"/>
    <s v=""/>
    <s v=""/>
    <s v=""/>
    <s v="Tommasi, Brizio Leonardo"/>
    <s v=""/>
    <s v=""/>
    <x v="520"/>
    <x v="380"/>
    <s v=""/>
    <s v=""/>
    <s v="Italian"/>
    <s v="Article"/>
    <s v=""/>
    <s v=""/>
    <s v=""/>
    <s v=""/>
    <s v=""/>
    <x v="476"/>
    <x v="1"/>
    <s v="Every organization and every innovation, including digital transformation, are based on projects; one third of the world's economy is based on projects. Digital-based innovations consist of multidisciplinary prospects based on juridical, organizational, archival and technological dimensions. Moreover the project has to use management methodologies: project management has become an important discipline in this context. The project and its management methodologies use a systemic approach for the management areas. Similarly digital archive innovations require a multidisciplinary approach: it identifies a transformation from the pure analytical approach towards a complex, multidisciplinary and interdependent systems. The project and digital archive initiatives have to strategically use the approach and project oriented organization, based on a multidisciplinary and systemic approach: the digital project. This approach requires to measure results of the used digital strategies and to evaluate the effects of relative projects. The strategic perspectives management consists of balanced indicators for the related disciplines, through using Digital Scorecard (DSC), digital archive performance named Overall digital Archive Effectiveness (OAE) and the Digital Manager based on an equilibrium of competences emerging from the application of games theory."/>
    <s v="[Tommasi, Brizio Leonardo] Univ Roma Tor Vergata, CONSOB Commiss Nazl Soc &amp; Borsa, Rome, Italy"/>
    <s v="University of Rome Tor Vergata"/>
    <s v="Tommasi, BL (corresponding author), Univ Roma Tor Vergata, CONSOB Commiss Nazl Soc &amp; Borsa, Rome, Italy."/>
    <s v="b.tommasi@consob.it"/>
    <s v=""/>
    <s v="Tommasi, Brizio Leonardo/0000-0003-3827-9361"/>
    <s v=""/>
    <s v=""/>
    <s v=""/>
    <s v=""/>
    <n v="36"/>
    <n v="2"/>
    <n v="2"/>
    <n v="5"/>
    <n v="80"/>
    <s v="UNIV STUDI FIRENZE, DIPT STUDI MEDIOEVO &amp; RINASCIMENTO"/>
    <s v="FLORENCE"/>
    <s v="PIAZZA BRUNELLESCHI 3-4, FLORENCE, 50121, ITALY"/>
    <s v="2038-5366"/>
    <s v="2038-1026"/>
    <s v=""/>
    <s v="JLIS.IT"/>
    <s v="JLIS.it"/>
    <s v=""/>
    <x v="5"/>
    <n v="9"/>
    <n v="3"/>
    <s v=""/>
    <s v=""/>
    <s v=""/>
    <s v=""/>
    <n v="92"/>
    <n v="108"/>
    <s v=""/>
    <s v="10.4403/jlis.it-12420"/>
    <s v="http://dx.doi.org/10.4403/jlis.it-12420"/>
    <s v=""/>
    <s v=""/>
    <n v="17"/>
    <x v="66"/>
    <x v="2"/>
    <s v="Information Science &amp; Library Science"/>
    <s v="GT5KZ"/>
    <s v=""/>
    <s v=""/>
    <s v=""/>
    <s v=""/>
    <s v="2023-11-15"/>
    <s v="WOS:000444547800006"/>
    <s v="View Full Record in Web of Science"/>
    <m/>
  </r>
  <r>
    <x v="523"/>
    <s v="S"/>
    <x v="517"/>
    <s v=""/>
    <s v="Dornberger, R"/>
    <s v=""/>
    <s v="von Kutzschenbach, Michael; Schmid, Alexander; Schoenenberger, Lukas"/>
    <s v=""/>
    <s v=""/>
    <x v="521"/>
    <x v="381"/>
    <s v="Studies in Systems Decision and Control"/>
    <s v=""/>
    <s v="English"/>
    <s v="Article; Book Chapter"/>
    <s v=""/>
    <s v=""/>
    <s v=""/>
    <s v=""/>
    <s v=""/>
    <x v="477"/>
    <x v="372"/>
    <s v="The rapid innovation of digital technologies poses a significant challenge to the healthcare sector. Digital technologies are transforming stakeholder relationships among established industry actors, including those of manufacturers, hospitals, and patients. To be ahead of competitors and to maintain profitability, medical device technology manufacturers (medtech companies) are urged to shift their business focus from product to customer excellence and thus invest in service offerings, focusing on the costs of alternative value delivery and patient outcomes. Such investments require a systemic and holistic understanding of how these changes in strategy affect the external and internal competitive environment. In this chapter, we propose the use of feedback systems thinking to explore the intended and unintended consequences of shifts in strategy, from sequential value chains to platform-oriented thinking. Taking the perspective of a medtech company in the value chain, we highlight challenges arising from hidden limits to growth that prevent the realization of intended achievements. Based on this, we develop hypotheses for the intended and unintended consequences of investing in digital service offerings. We conclude with a discussion of how systems thinking and modeling can support digital strategy development."/>
    <s v="[von Kutzschenbach, Michael] Univ Appl Sci &amp; Arts Northwestern Switzerland, Inst Informat Syst, Peter Merian Str 86, CH-4052 Basel, Switzerland; [Schmid, Alexander] Univ Liechtenstein, Inst Informat Syst, Furst Franz Josef Str, FL-9490 Vaduz, Liechtenstein; [Schoenenberger, Lukas] Bern Univ Appl Sci, Inst Corp Dev, Dept Business Hlth &amp; Social Work, Bruckenstr 73, CH-3005 Bern, Switzerland"/>
    <s v="FHNW University of Applied Sciences &amp; Arts Northwestern Switzerland; University of Liechtenstein"/>
    <s v="von Kutzschenbach, M (corresponding author), Univ Appl Sci &amp; Arts Northwestern Switzerland, Inst Informat Syst, Peter Merian Str 86, CH-4052 Basel, Switzerland."/>
    <s v="michael.vonkutzschenbach@fhnw.ch; alexander.schmid@uni.li; lukas.schoenenberger@bfh.ch"/>
    <s v="Schmid, Alexander/R-1749-2019; von Kutzschenbach, Michael/AAH-3060-2020"/>
    <s v="Schmid, Alexander/0000-0001-6872-7140; von Kutzschenbach, Michael/0000-0002-1174-8378"/>
    <s v=""/>
    <s v=""/>
    <s v=""/>
    <s v=""/>
    <n v="37"/>
    <n v="0"/>
    <n v="0"/>
    <n v="0"/>
    <n v="4"/>
    <s v="SPRINGER INTERNATIONAL PUBLISHING AG"/>
    <s v="CHAM"/>
    <s v="GEWERBESTRASSE 11, CHAM, CH-6330, SWITZERLAND"/>
    <s v="2198-4182"/>
    <s v="2198-4190"/>
    <s v="978-3-319-74322-6; 978-3-319-74321-9"/>
    <s v="STUD SYST DECIS CONT"/>
    <s v=""/>
    <s v=""/>
    <x v="5"/>
    <n v="141"/>
    <s v=""/>
    <s v=""/>
    <s v=""/>
    <s v=""/>
    <s v=""/>
    <n v="161"/>
    <n v="175"/>
    <s v=""/>
    <s v="10.1007/978-3-319-74322-6_11"/>
    <s v="http://dx.doi.org/10.1007/978-3-319-74322-6_11"/>
    <s v="10.1007/978-3-319-74322-6"/>
    <s v=""/>
    <n v="15"/>
    <x v="158"/>
    <x v="9"/>
    <s v="Business &amp; Economics; Computer Science"/>
    <s v="BL0GH"/>
    <s v=""/>
    <s v=""/>
    <s v=""/>
    <s v=""/>
    <s v="2023-11-15"/>
    <s v="WOS:000445782200012"/>
    <s v="View Full Record in Web of Science"/>
    <m/>
  </r>
  <r>
    <x v="524"/>
    <s v="S"/>
    <x v="518"/>
    <s v=""/>
    <s v="Voogt, J; Knezek, G; Christensen, R; Lai, KW"/>
    <s v=""/>
    <s v="Whyley, David"/>
    <s v=""/>
    <s v=""/>
    <x v="522"/>
    <x v="382"/>
    <s v="Springer International Handbooks of Education"/>
    <s v=""/>
    <s v="English"/>
    <s v="Article; Book Chapter"/>
    <s v=""/>
    <s v=""/>
    <s v=""/>
    <s v=""/>
    <s v=""/>
    <x v="478"/>
    <x v="1"/>
    <s v="Since its ambitious, visionary beginning in 2003 in Wolverhampton, mobile learning continues to expand and evolve in the UK. Mobile technologies, as well, continue to expand and evolve with tablets, Chromebooks, and even laptops viewed as mobile devices. Drawing on a range of resources (e.g., interviews with 16 influential practitioners), then, this chapter addresses the question: what is the status of mobile learning in the UK some 15 years later? In developing an answer, we explore mobile devices, models of mobile device ownership, and the pedagogical uses of mobile devices for mobile learning."/>
    <s v="[Whyley, David] Whytek Consulting, Stourbridge, England"/>
    <s v=""/>
    <s v="Whyley, D (corresponding author), Whytek Consulting, Stourbridge, England."/>
    <s v="david.whyley@whytekconsulting.co.uk"/>
    <s v=""/>
    <s v=""/>
    <s v=""/>
    <s v=""/>
    <s v=""/>
    <s v=""/>
    <n v="23"/>
    <n v="4"/>
    <n v="4"/>
    <n v="0"/>
    <n v="0"/>
    <s v="SPRINGER INTERNATIONAL PUBLISHING AG"/>
    <s v="CHAM"/>
    <s v="GEWERBESTRASSE 11, CHAM, CH-6330, SWITZERLAND"/>
    <s v="2197-1951"/>
    <s v="2197-196X"/>
    <s v="978-3-319-71054-9; 978-3-319-71053-2"/>
    <s v="SPRINGER INT HBK ED"/>
    <s v=""/>
    <s v=""/>
    <x v="5"/>
    <s v=""/>
    <s v=""/>
    <s v=""/>
    <s v=""/>
    <s v=""/>
    <s v=""/>
    <n v="807"/>
    <n v="816"/>
    <s v=""/>
    <s v="10.1007/978-3-319-71054-9_53"/>
    <s v="http://dx.doi.org/10.1007/978-3-319-71054-9_53"/>
    <s v="10.1007/978-3-319-71054-9"/>
    <s v=""/>
    <n v="10"/>
    <x v="39"/>
    <x v="7"/>
    <s v="Education &amp; Educational Research"/>
    <s v="BO0BR"/>
    <s v=""/>
    <s v=""/>
    <s v=""/>
    <s v=""/>
    <s v="2023-11-15"/>
    <s v="WOS:000490251500055"/>
    <s v="View Full Record in Web of Science"/>
    <m/>
  </r>
  <r>
    <x v="525"/>
    <s v="J"/>
    <x v="519"/>
    <s v=""/>
    <s v=""/>
    <s v=""/>
    <s v="Wong, Phoebe; Lee, Daisy; Ng, Peggy M. L."/>
    <s v=""/>
    <s v=""/>
    <x v="523"/>
    <x v="383"/>
    <s v=""/>
    <s v=""/>
    <s v="English"/>
    <s v="Article"/>
    <s v=""/>
    <s v=""/>
    <s v=""/>
    <s v=""/>
    <s v=""/>
    <x v="479"/>
    <x v="373"/>
    <s v="Purpose A fuller understanding of the information search behaviour of prospective students in the digital era is one of the keys to success in university recruitment. The purpose of this paper is to investigate students' university choice factors in relation to the online environment. Design/methodology/approach In total, 637 samples from 11 private higher education institutions were collected and tested against assumptions before performing statistical analysis including exploratory factor analysis and mean comparison. Findings The findings revealed that there are some significant differences in gender and academic discipline in the use of the internet to search for university information. In addition, four constructs of university information were identified that are perceived as important by students in their search behaviour: university reputation, eligibility and affordability, teaching and learning and university tangibility. The outcomes of this research provide some noteworthy insights which have numerous strategic digital marketing implications. Originality/value While most existing studies have explored types of social media apps or online channels that prospective students use, little research has touched on students' university choice factors in relation to the online environment. Responding to Constantinides and Zinck Stagno (2011) and Hemsley-Brown et al.'s (2016) call, this paper aims to address this research gap by investigating students' university information search in relation to the online environment."/>
    <s v="[Wong, Phoebe; Lee, Daisy; Ng, Peggy M. L.] Hong Kong Polytech Univ, Sch Profess Educ &amp; Execut Dev, Hong Kong, Hong Kong, Peoples R China"/>
    <s v="Hong Kong Polytechnic University"/>
    <s v="Wong, P (corresponding author), Hong Kong Polytech Univ, Sch Profess Educ &amp; Execut Dev, Hong Kong, Hong Kong, Peoples R China."/>
    <s v="phoebewws@yahoo.com; smdlee@speed-polyu.edu.hk; sppeggy@speed-polyu.edu.hk"/>
    <s v="Lee, Daisy/E-7877-2019; Lee, Daisy/CAG-1010-2022"/>
    <s v="Lee, Daisy/0000-0002-9630-1689; WONG, Wai Sum Phoebe/0000-0002-6404-928X; Ng, Peggy/0000-0001-8659-5700"/>
    <s v="College of Professional and Continuing Education, The Hong Kong Polytechnic University"/>
    <s v="College of Professional and Continuing Education, The Hong Kong Polytechnic University"/>
    <s v="This paper was partially supported by the College of Professional and Continuing Education, The Hong Kong Polytechnic University."/>
    <s v=""/>
    <n v="61"/>
    <n v="11"/>
    <n v="11"/>
    <n v="3"/>
    <n v="25"/>
    <s v="EMERALD GROUP PUBLISHING LTD"/>
    <s v="BINGLEY"/>
    <s v="HOWARD HOUSE, WAGON LANE, BINGLEY BD16 1WA, W YORKSHIRE, ENGLAND"/>
    <s v="0951-354X"/>
    <s v="1758-6518"/>
    <s v=""/>
    <s v="INT J EDUC MANAG"/>
    <s v="Int. J. Educ. Manag."/>
    <s v=""/>
    <x v="5"/>
    <n v="32"/>
    <n v="3"/>
    <s v=""/>
    <s v=""/>
    <s v=""/>
    <s v=""/>
    <n v="511"/>
    <n v="524"/>
    <s v=""/>
    <s v="10.1108/IJEM-12-2016-0268"/>
    <s v="http://dx.doi.org/10.1108/IJEM-12-2016-0268"/>
    <s v=""/>
    <s v=""/>
    <n v="14"/>
    <x v="8"/>
    <x v="2"/>
    <s v="Business &amp; Economics"/>
    <s v="GD0LL"/>
    <s v=""/>
    <s v=""/>
    <s v=""/>
    <s v=""/>
    <s v="2023-11-15"/>
    <s v="WOS:000430192200012"/>
    <s v="View Full Record in Web of Science"/>
    <m/>
  </r>
  <r>
    <x v="526"/>
    <s v="J"/>
    <x v="464"/>
    <s v=""/>
    <s v=""/>
    <s v=""/>
    <s v="Chester, Jeff; Montgomery, Kathryn C."/>
    <s v=""/>
    <s v=""/>
    <x v="524"/>
    <x v="342"/>
    <s v=""/>
    <s v=""/>
    <s v="English"/>
    <s v="Article"/>
    <s v=""/>
    <s v=""/>
    <s v=""/>
    <s v=""/>
    <s v=""/>
    <x v="480"/>
    <x v="374"/>
    <s v="Computational politics-the application of digital targeted-marketing technologies to election campaigns in the US and elsewhere-are now raising the same concerns for democratic discourse and governance that they have long raised for consumer privacy and welfare in the commercial marketplace. This paper examines the digital strategies and technologies of today's political operations, explaining how they were employed during the most recent US election cycle, and exploring the implications of their continued use in the civic context. The paper concludes with a discussion of recent policy proposals designed to increase transparency and accountability in digital politics."/>
    <s v="[Chester, Jeff] Ctr Digital Democracy, Washington, DC 20006 USA; [Montgomery, Kathryn C.] Amer Univ, Sch Commun, Washington, DC 20016 USA"/>
    <s v="American University"/>
    <s v="Chester, J (corresponding author), Ctr Digital Democracy, Washington, DC 20006 USA."/>
    <s v=""/>
    <s v=""/>
    <s v=""/>
    <s v=""/>
    <s v=""/>
    <s v=""/>
    <s v=""/>
    <n v="97"/>
    <n v="47"/>
    <n v="48"/>
    <n v="1"/>
    <n v="26"/>
    <s v="ALEXANDER VON HUMBOLDT INST INTERNET &amp; SOC"/>
    <s v="BERLIN"/>
    <s v="OBERWALLSTRASSE 9, BERLIN, 10117, GERMANY"/>
    <s v="2197-6775"/>
    <s v=""/>
    <s v=""/>
    <s v="INTERNET POLICY REV"/>
    <s v="Internet Policy Rev."/>
    <s v="DEC"/>
    <x v="6"/>
    <n v="6"/>
    <n v="4"/>
    <s v=""/>
    <s v=""/>
    <s v="SI"/>
    <s v=""/>
    <s v=""/>
    <s v=""/>
    <s v=""/>
    <s v="10.14763/2017.4.773"/>
    <s v="http://dx.doi.org/10.14763/2017.4.773"/>
    <s v=""/>
    <s v=""/>
    <n v="20"/>
    <x v="148"/>
    <x v="2"/>
    <s v="Communication; Government &amp; Law"/>
    <s v="FV4WY"/>
    <s v=""/>
    <s v="gold, Green Submitted"/>
    <s v=""/>
    <s v=""/>
    <s v="2023-11-15"/>
    <s v="WOS:000424578800007"/>
    <s v="View Full Record in Web of Science"/>
    <m/>
  </r>
  <r>
    <x v="527"/>
    <s v="J"/>
    <x v="520"/>
    <s v=""/>
    <s v=""/>
    <s v=""/>
    <s v="Elblaus, Ludvig; Unander-Scharin, Asa; Unander-Scharin, Carl"/>
    <s v=""/>
    <s v=""/>
    <x v="525"/>
    <x v="384"/>
    <s v=""/>
    <s v=""/>
    <s v="English"/>
    <s v="Article"/>
    <s v=""/>
    <s v=""/>
    <s v=""/>
    <s v=""/>
    <s v=""/>
    <x v="8"/>
    <x v="1"/>
    <s v="In the medieval tradition of ballads, a recurring theme is that of transformation. In a staged concert for chamber orchestra, singers and dancers called Varelser och Ballader (Beings and Ballads), we explored this theme using ballads coupled with contemporary poetry and new music. The performance made use of custom-made digital musical instruments, using video analysis and large-scale physical interfaces for transformative purposes. In this article, we describe the piece itself as well as how uncanny qualities of the digital were used to emphasize eerie themes of transformation and deception by the supernatural beings found in the medieval ballads."/>
    <s v="[Elblaus, Ludvig] KTH Royal Inst Technol, S-10044 Stockholm, Sweden; [Unander-Scharin, Asa] Lulea Univ Technol, S-97187 Lulea, Sweden; [Unander-Scharin, Carl] Karlstad Univ, S-65188 Karlstad, Sweden"/>
    <s v="Royal Institute of Technology; Lulea University of Technology; Karlstad University"/>
    <s v="Elblaus, L (corresponding author), KTH Royal Inst Technol, S-10044 Stockholm, Sweden."/>
    <s v="elblaus@kth.se; asa.scharin@ltu.se; carl.unander-scharin@telia.com"/>
    <s v=""/>
    <s v=""/>
    <s v=""/>
    <s v=""/>
    <s v=""/>
    <s v=""/>
    <n v="15"/>
    <n v="0"/>
    <n v="0"/>
    <n v="0"/>
    <n v="4"/>
    <s v="MIT PRESS"/>
    <s v="CAMBRIDGE"/>
    <s v="ONE ROGERS ST, CAMBRIDGE, MA 02142-1209 USA"/>
    <s v="0961-1215"/>
    <s v="1531-4812"/>
    <s v=""/>
    <s v="LEONARDO MUSIC J"/>
    <s v="Leonardo Music J."/>
    <s v="DEC"/>
    <x v="6"/>
    <n v="27"/>
    <s v=""/>
    <s v=""/>
    <s v=""/>
    <s v=""/>
    <s v=""/>
    <n v="62"/>
    <n v="66"/>
    <s v=""/>
    <s v="10.1162/LMJ_a_01020"/>
    <s v="http://dx.doi.org/10.1162/LMJ_a_01020"/>
    <s v=""/>
    <s v=""/>
    <n v="5"/>
    <x v="159"/>
    <x v="5"/>
    <s v="Music"/>
    <s v="FO4PE"/>
    <s v=""/>
    <s v=""/>
    <s v=""/>
    <s v=""/>
    <s v="2023-11-15"/>
    <s v="WOS:000416826400023"/>
    <s v="View Full Record in Web of Science"/>
    <m/>
  </r>
  <r>
    <x v="528"/>
    <s v="J"/>
    <x v="521"/>
    <s v=""/>
    <s v=""/>
    <s v=""/>
    <s v="Ross, Jeanne W.; Sebastian, Ina M.; Beath, Cynthia M."/>
    <s v=""/>
    <s v=""/>
    <x v="526"/>
    <x v="385"/>
    <s v=""/>
    <s v=""/>
    <s v="English"/>
    <s v="Article"/>
    <s v=""/>
    <s v=""/>
    <s v=""/>
    <s v=""/>
    <s v=""/>
    <x v="8"/>
    <x v="1"/>
    <s v=""/>
    <s v="[Ross, Jeanne W.; Sebastian, Ina M.] MIT, Ctr Informat Syst Res, Cambridge, MA 02139 USA; [Beath, Cynthia M.] Univ Texas Austin, McCombs Sch Business, Austin, TX 78712 USA"/>
    <s v="Massachusetts Institute of Technology (MIT); University of Texas System; University of Texas Austin"/>
    <s v="Ross, JW (corresponding author), MIT, Ctr Informat Syst Res, Cambridge, MA 02139 USA."/>
    <s v="smrfeedback@mit.edu"/>
    <s v="Reinert, Leon/ADP-6076-2022"/>
    <s v=""/>
    <s v=""/>
    <s v=""/>
    <s v=""/>
    <s v=""/>
    <n v="0"/>
    <n v="52"/>
    <n v="52"/>
    <n v="3"/>
    <n v="122"/>
    <s v="SLOAN MANAGEMENT REVIEW ASSOC, MIT SLOAN SCHOOL MANAGEMENT"/>
    <s v="CAMBRIDGE"/>
    <s v="77 MASSACHUSETTS AVE, E60-100, CAMBRIDGE, MA 02139-4307 USA"/>
    <s v="1532-9194"/>
    <s v=""/>
    <s v=""/>
    <s v="MIT SLOAN MANAGE REV"/>
    <s v="MIT Sloan Manage. Rev."/>
    <s v="WIN"/>
    <x v="6"/>
    <n v="58"/>
    <n v="2"/>
    <s v=""/>
    <s v=""/>
    <s v=""/>
    <s v=""/>
    <n v="7"/>
    <n v="9"/>
    <s v=""/>
    <s v=""/>
    <s v=""/>
    <s v=""/>
    <s v=""/>
    <n v="3"/>
    <x v="6"/>
    <x v="1"/>
    <s v="Business &amp; Economics"/>
    <s v="EE8IT"/>
    <s v=""/>
    <s v=""/>
    <s v=""/>
    <s v=""/>
    <s v="2023-11-15"/>
    <s v="WOS:000389869600001"/>
    <s v="View Full Record in Web of Science"/>
    <m/>
  </r>
  <r>
    <x v="529"/>
    <s v="J"/>
    <x v="522"/>
    <s v=""/>
    <s v=""/>
    <s v=""/>
    <s v="Vazquez-Herrero, Jorge; Lopez-Garcia, Xose"/>
    <s v=""/>
    <s v=""/>
    <x v="527"/>
    <x v="104"/>
    <s v=""/>
    <s v=""/>
    <s v="Spanish"/>
    <s v="Article"/>
    <s v=""/>
    <s v=""/>
    <s v=""/>
    <s v=""/>
    <s v=""/>
    <x v="481"/>
    <x v="1"/>
    <s v="The main objective of this article is to examine new interactive non-fiction narratives in audiovisual media. In the current context marked by convergence, a hybridization of forms and languages is taking place within the news environment. Online media show a singular characterization, and the limits between press, radio and television are increasingly blurred. In the digital strategy of televisions as online media, innovation and the search for added value have led to the confluence of journalism and transmedia narratives, as well as to the development of new formats, among them interactive documentaries. The study was conducted in two stages. The first consists of an exploratory-descriptive stage, where interactive documentaries produced by online media in 2016 are related and classified, thus obtaining a panoramic vision of this genre in the last year. Secondly, a comparative case study is presented between Parkinson, que tiemble el camino (RTVE, 2016) and Hacked (Al Jazeera, 2016), both of which are audiovisual media projects. The analysis of these two projects focuses on the docugame, which provides novelties for the user, the content and media through ludification, simulation and greater user engagement."/>
    <s v="[Vazquez-Herrero, Jorge; Lopez-Garcia, Xose] Univ Santiago de Compostela, Santiago De Compostela, La Coruna, Spain"/>
    <s v="Universidade de Santiago de Compostela"/>
    <s v="Vázquez-Herrero, J (corresponding author), Univ Santiago de Compostela, Santiago De Compostela, La Coruna, Spain."/>
    <s v="jorge.vazquez@usc.es; xose.lopez.garcia@usc.es"/>
    <s v="García, Xosé López/I-4418-2019; Vázquez-Herrero, Jorge/J-8399-2017"/>
    <s v="García, Xosé López/0000-0002-1873-8260; Vázquez-Herrero, Jorge/0000-0002-9081-3018"/>
    <s v=""/>
    <s v=""/>
    <s v=""/>
    <s v=""/>
    <n v="32"/>
    <n v="4"/>
    <n v="4"/>
    <n v="1"/>
    <n v="27"/>
    <s v="UNIV AUTONOMA BARCELONA"/>
    <s v="CERDANYOLA DEL VALLES, BARCELONA"/>
    <s v="VICERECTORAT RELACIONS INSTITUCIONALS &amp; CULTURA, UNIV VALENCIA, VICERECTORAT INVESTIGACIO, CERDANYOLA DEL VALLES, BARCELONA, 08193, SPAIN"/>
    <s v="0211-2175"/>
    <s v="2340-5236"/>
    <s v=""/>
    <s v="ANALISI"/>
    <s v="Analisi"/>
    <s v="DEC"/>
    <x v="6"/>
    <s v=""/>
    <n v="57"/>
    <s v=""/>
    <s v=""/>
    <s v=""/>
    <s v=""/>
    <n v="47"/>
    <n v="61"/>
    <s v=""/>
    <s v="10.5565/rev/analisi.3100"/>
    <s v="http://dx.doi.org/10.5565/rev/analisi.3100"/>
    <s v=""/>
    <s v=""/>
    <n v="15"/>
    <x v="56"/>
    <x v="2"/>
    <s v="Communication"/>
    <s v="FP9XC"/>
    <s v=""/>
    <s v="Green Submitted, gold, Green Published"/>
    <s v=""/>
    <s v=""/>
    <s v="2023-11-15"/>
    <s v="WOS:000418001500004"/>
    <s v="View Full Record in Web of Science"/>
    <m/>
  </r>
  <r>
    <x v="530"/>
    <s v="J"/>
    <x v="523"/>
    <s v=""/>
    <s v=""/>
    <s v=""/>
    <s v="Zhou, Ning; Zhang, Sixuan; Chen, Jing (Elaine); Han, Xiaoting"/>
    <s v=""/>
    <s v=""/>
    <x v="528"/>
    <x v="162"/>
    <s v=""/>
    <s v=""/>
    <s v="English"/>
    <s v="Article"/>
    <s v=""/>
    <s v=""/>
    <s v=""/>
    <s v=""/>
    <s v=""/>
    <x v="482"/>
    <x v="1"/>
    <s v="This case analysis considers how digital disruption is reaching beyond technology to engulf traditionally considered low-tech industries and influence conventionally viewed non-digital businesses. For incumbent firms in these low-tech industries, the disruption brings not only plenty of opportunities but also numerous threats. Firms that quickly embrace the digital era by profoundly changing their incumbent strategies, systems, operational habits, and business models have great chances to outperform their competitors and succeed within this dynamic environment. One digital strategy that might be adopted by incumbent firms in the low-tech industries to seize the opportunities brought by digital disruption is to integrate their resource orchestration actions with advanced information technologies (ITs). Given the strong connection between firms' resource orchestration actions and their competitive advantages, as well as the increasingly vital role of ITs in contemporary business operations, it is an imperative to investigate the impacts of ITs on the resource orchestration processes of modern enterprises. Additionally, for incumbent firms operating in the low-tech industries, integrating their resource management with modern ITs might help them effectively identify and accumulate unique resources, develop their capabilities, and create value through continuous reconfiguration of resources. Therefore, low-tech firms that strive to adopt modern information technologies in their resource orchestration process are more likely to achieve improved organizational performance and competitive advantages than their competitors."/>
    <s v="[Zhou, Ning; Zhang, Sixuan; Chen, Jing (Elaine); Han, Xiaoting] Beihang Univ, Sch Econ &amp; Management, 37 Xueyuan Rd, Beijing 100191, Peoples R China"/>
    <s v="Beihang University"/>
    <s v="Zhang, SX (corresponding author), Beihang Univ, Sch Econ &amp; Management, 37 Xueyuan Rd, Beijing 100191, Peoples R China."/>
    <s v="zning80@buaa.edu.cn; sixuan.zhang@gmail.com; jechen@buaa.edu.cn; hanxiaoting@buaa.edu.cn"/>
    <s v=""/>
    <s v="Chen, Jing (Elaine)/0000-0002-3140-1881; Han, Xiaoting/0000-0002-7328-4716"/>
    <s v=""/>
    <s v=""/>
    <s v=""/>
    <s v=""/>
    <n v="5"/>
    <n v="22"/>
    <n v="23"/>
    <n v="6"/>
    <n v="68"/>
    <s v="ELSEVIER SCI LTD"/>
    <s v="OXFORD"/>
    <s v="THE BOULEVARD, LANGFORD LANE, KIDLINGTON, OXFORD OX5 1GB, OXON, ENGLAND"/>
    <s v="0268-4012"/>
    <s v="1873-4707"/>
    <s v=""/>
    <s v="INT J INFORM MANAGE"/>
    <s v="Int. J. Inf. Manage."/>
    <s v="DEC"/>
    <x v="6"/>
    <n v="37"/>
    <n v="6"/>
    <s v=""/>
    <s v=""/>
    <s v=""/>
    <s v=""/>
    <n v="713"/>
    <n v="715"/>
    <s v=""/>
    <s v="10.1016/j.ijinfomgt.2017.05.002"/>
    <s v="http://dx.doi.org/10.1016/j.ijinfomgt.2017.05.002"/>
    <s v=""/>
    <s v=""/>
    <n v="3"/>
    <x v="66"/>
    <x v="1"/>
    <s v="Information Science &amp; Library Science"/>
    <s v="FK6XS"/>
    <s v=""/>
    <s v=""/>
    <s v=""/>
    <s v=""/>
    <s v="2023-11-15"/>
    <s v="WOS:000413649100021"/>
    <s v="View Full Record in Web of Science"/>
    <m/>
  </r>
  <r>
    <x v="531"/>
    <s v="J"/>
    <x v="524"/>
    <s v=""/>
    <s v=""/>
    <s v=""/>
    <s v="Koenig, Pascal D."/>
    <s v=""/>
    <s v=""/>
    <x v="529"/>
    <x v="386"/>
    <s v=""/>
    <s v=""/>
    <s v="English"/>
    <s v="Article"/>
    <s v=""/>
    <s v=""/>
    <s v=""/>
    <s v=""/>
    <s v=""/>
    <x v="483"/>
    <x v="375"/>
    <s v="Advances in information and communication technologies enable more decentralized and individualized mechanisms for coordination and for managing societal complexity. This has important consequences for the role of conditionality and the idea of individual responsibility in two seemingly unrelated policy areas. First, the changing information infrastructure enables an extension of conditionality in the area of welfare through greater activation, enhanced self-management, and a personalization of risks. Second, conditionality and personal responsibility also form an important ideational template and a legitimatory basis for facilitating value creation that is based on data as a raw material. This argument is illustrated looking at the trajectories of the digital strategies in the United Kingdom and Germany. In both cases, data protection is depicted as a question of individual responsibility and tied to certain forms of individual conduct."/>
    <s v="[Koenig, Pascal D.] Goethe Univ Frankfurt, Frankfurt, Germany"/>
    <s v="Goethe University Frankfurt"/>
    <s v="König, PD (corresponding author), Goethe Univ Frankfurt, Dept Polit Sci, Theodor W Adorno Pl 6, D-60629 Frankfurt, Germany."/>
    <s v="p.koenig@soz.uni-frankfurt.de"/>
    <s v=""/>
    <s v="Konig, Pascal/0000-0001-9466-4024"/>
    <s v=""/>
    <s v=""/>
    <s v=""/>
    <s v=""/>
    <n v="96"/>
    <n v="8"/>
    <n v="8"/>
    <n v="4"/>
    <n v="12"/>
    <s v="SAGE PUBLICATIONS INC"/>
    <s v="THOUSAND OAKS"/>
    <s v="2455 TELLER RD, THOUSAND OAKS, CA 91320 USA"/>
    <s v="2053-9517"/>
    <s v=""/>
    <s v=""/>
    <s v="BIG DATA SOC"/>
    <s v="Big Data Soc."/>
    <s v="NOV 14"/>
    <x v="6"/>
    <n v="4"/>
    <n v="2"/>
    <s v=""/>
    <s v=""/>
    <s v=""/>
    <s v=""/>
    <s v=""/>
    <s v=""/>
    <n v="2053951717742410"/>
    <s v="10.1177/2053951717742419"/>
    <s v="http://dx.doi.org/10.1177/2053951717742419"/>
    <s v=""/>
    <s v=""/>
    <n v="14"/>
    <x v="31"/>
    <x v="1"/>
    <s v="Social Sciences - Other Topics"/>
    <s v="FM8PN"/>
    <s v=""/>
    <s v="gold, Green Published"/>
    <s v=""/>
    <s v=""/>
    <s v="2023-11-15"/>
    <s v="WOS:000415351600001"/>
    <s v="View Full Record in Web of Science"/>
    <m/>
  </r>
  <r>
    <x v="532"/>
    <s v="J"/>
    <x v="525"/>
    <s v=""/>
    <s v=""/>
    <s v=""/>
    <s v="Mummery, Jane; Rodan, Debbie"/>
    <s v=""/>
    <s v=""/>
    <x v="530"/>
    <x v="387"/>
    <s v=""/>
    <s v=""/>
    <s v="English"/>
    <s v="Article"/>
    <s v=""/>
    <s v=""/>
    <s v=""/>
    <s v=""/>
    <s v=""/>
    <x v="484"/>
    <x v="376"/>
    <s v="In this article, we examine the digitalised emotional campaigning of one of Australia's peak animal welfare body, Animals Australia, focusing on their most effective digital strategies associated with their campaigns against factory farming. Our broader interest lies with sounding out the affective affordances of the technologies informing such activist work; technologies of affect in a very significant sense. This discussion comprises three parts. First, we unpack the context for the problematic faced by animal and environmental activisms: neoliberalism, showing how neoliberal assumptions constrain such activisms to emotional appeals and denounce them for such strategising. Second, we sound out some of the affordances of digital media technologies for affectively oriented activisms; and finally, we delve into some of Animals Australia's digital campaigning with regard to issues of factory farming in order to show the efficacy of such affectively oriented mediated strategising for the forming of new relations with factory farm."/>
    <s v="[Mummery, Jane] Federat Univ Australia, Ballarat, Vic, Australia; [Rodan, Debbie] Edith Cowan Univ, Churchlands, WA, Australia"/>
    <s v="Federation University Australia; Edith Cowan University"/>
    <s v="Mummery, J (corresponding author), Federat Univ Australia, Fac Educ &amp; Arts, Univ Dr, Ballarat, Vic 3353, Australia."/>
    <s v="j.mummery@federation.edu.au"/>
    <s v=""/>
    <s v="Rodan, Debbie/0000-0002-0770-1833"/>
    <s v=""/>
    <s v=""/>
    <s v=""/>
    <s v=""/>
    <n v="69"/>
    <n v="5"/>
    <n v="5"/>
    <n v="0"/>
    <n v="20"/>
    <s v="SAGE PUBLICATIONS LTD"/>
    <s v="LONDON"/>
    <s v="1 OLIVERS YARD, 55 CITY ROAD, LONDON EC1Y 1SP, ENGLAND"/>
    <s v="1329-878X"/>
    <s v="2200-467X"/>
    <s v=""/>
    <s v="MEDIA INT AUST"/>
    <s v="Media Int. Aust."/>
    <s v="NOV"/>
    <x v="6"/>
    <n v="165"/>
    <n v="1"/>
    <s v=""/>
    <s v=""/>
    <s v=""/>
    <s v=""/>
    <n v="37"/>
    <n v="50"/>
    <s v=""/>
    <s v="10.1177/1329878X17726454"/>
    <s v="http://dx.doi.org/10.1177/1329878X17726454"/>
    <s v=""/>
    <s v=""/>
    <n v="14"/>
    <x v="56"/>
    <x v="1"/>
    <s v="Communication"/>
    <s v="FM5CU"/>
    <s v=""/>
    <s v="Green Published"/>
    <s v=""/>
    <s v=""/>
    <s v="2023-11-15"/>
    <s v="WOS:000415048600005"/>
    <s v="View Full Record in Web of Science"/>
    <m/>
  </r>
  <r>
    <x v="533"/>
    <s v="J"/>
    <x v="526"/>
    <s v=""/>
    <s v=""/>
    <s v=""/>
    <s v="Guzman Games, Francisco Javier"/>
    <s v=""/>
    <s v=""/>
    <x v="531"/>
    <x v="388"/>
    <s v=""/>
    <s v=""/>
    <s v="Spanish"/>
    <s v="Article"/>
    <s v=""/>
    <s v=""/>
    <s v=""/>
    <s v=""/>
    <s v=""/>
    <x v="485"/>
    <x v="1"/>
    <s v="The introduction of Information and Communication Technologies (ITC) affects the social structure and cultural practices of indigenous populations living in the intercultural regions of the Huasteca and the high mountains of Veracruz, Mexico (Guzman, 2014, 2015, 2017). This research, based on Pedagogy of the Oppressed and Pedagogy of Hope by Freire (2002, 2005), points out the incongruence and equivocality of the Mexican Government's National Digital Strategy. This article represents two positions: a critical stance, intending to demonstrate the theoretical assumption that ITC are camouflaged instruments of cultural dominance in rural contexts and that the indigenous populations have incorporated digital objects with a sense of ideological and economic alienation that emanates from the capitalist system; and a proactive stance, showing the existence of liberating practices through the digital solidarity among groups that are marginalized from the society of knowledge."/>
    <s v="[Guzman Games, Francisco Javier] Benemerita Univ Autonoma Puebla, Puebla, Mexico"/>
    <s v="Benemerita Universidad Autonoma de Puebla"/>
    <s v="Games, FJG (corresponding author), Benemerita Univ Autonoma Puebla, Puebla, Mexico."/>
    <s v=""/>
    <s v=""/>
    <s v=""/>
    <s v=""/>
    <s v=""/>
    <s v=""/>
    <s v=""/>
    <n v="37"/>
    <n v="0"/>
    <n v="0"/>
    <n v="0"/>
    <n v="2"/>
    <s v="INST POLITECNICO NACIONAL-IPN"/>
    <s v="MEXICO"/>
    <s v="AV LUIS ENRIQUE ERRO S-N, UNIDAD PROF ADOLFO LOPEZ MATEOS, ZACATENCO, DELEGACION GUSTAVO A, MEXICO, DISTRITO FEDERAL CP 07738, MEXICO"/>
    <s v="1665-2673"/>
    <s v=""/>
    <s v=""/>
    <s v="INNOV EDUC-MEXICO"/>
    <s v="Innov. Educ. Mex."/>
    <s v="SEP-DEC"/>
    <x v="6"/>
    <n v="17"/>
    <n v="75"/>
    <s v=""/>
    <s v=""/>
    <s v=""/>
    <s v=""/>
    <n v="9"/>
    <n v="27"/>
    <s v=""/>
    <s v=""/>
    <s v=""/>
    <s v=""/>
    <s v=""/>
    <n v="19"/>
    <x v="39"/>
    <x v="2"/>
    <s v="Education &amp; Educational Research"/>
    <s v="GH4WI"/>
    <s v=""/>
    <s v=""/>
    <s v=""/>
    <s v=""/>
    <s v="2023-11-15"/>
    <s v="WOS:000433407900001"/>
    <s v="View Full Record in Web of Science"/>
    <m/>
  </r>
  <r>
    <x v="534"/>
    <s v="J"/>
    <x v="527"/>
    <s v=""/>
    <s v=""/>
    <s v=""/>
    <s v="Sebastian, Ina M.; Ross, Jeanne W.; Beath, Cynthia; Mocker, Martin; Moloney, Kate G.; Fonstad, Nils O."/>
    <s v=""/>
    <s v=""/>
    <x v="532"/>
    <x v="361"/>
    <s v=""/>
    <s v=""/>
    <s v="English"/>
    <s v="Article"/>
    <s v=""/>
    <s v=""/>
    <s v=""/>
    <s v=""/>
    <s v=""/>
    <x v="8"/>
    <x v="377"/>
    <s v="New digital technologies present both game-changing opportunities for-and existential threats to-companies whose success was built in the pre-digital economy. This article describes our findings from a study of 25 companies that were embarking on digital transformation journeys. We identified two digital strategies-customer engagement and digitized solutions-that provide direction for a digital transformation. Two technology-enabled assets are essential for executing those strategies: an operational backbone and a digital services platform. We describe how a big old company can combine these elements to navigate its digital transformation.(1, 2)"/>
    <s v="[Sebastian, Ina M.; Ross, Jeanne W.; Mocker, Martin; Moloney, Kate G.; Fonstad, Nils O.] MIT, Sloan Ctr Informat Syst Res, Cambridge, MA 02139 USA; [Beath, Cynthia] Univ Texas Austin, McCombs Sch Business, Austin, TX 78712 USA; [Mocker, Martin] Reutlingen Univ, Informat Syst, ESB Business Sch, Reutlingen, Germany"/>
    <s v="Massachusetts Institute of Technology (MIT); University of Texas System; University of Texas Austin"/>
    <s v="Sebastian, IM (corresponding author), MIT, Sloan Ctr Informat Syst Res, Cambridge, MA 02139 USA."/>
    <s v="isebasti@mit.edu; jross@mit.edu; cbeath@mail.utexas.edu; martin.mocker@reutlingen-university.de; nilsfonstad@mit.edu"/>
    <s v="Celestino, Leandro/HIR-4215-2022"/>
    <s v=""/>
    <s v=""/>
    <s v=""/>
    <s v=""/>
    <s v=""/>
    <n v="17"/>
    <n v="335"/>
    <n v="338"/>
    <n v="62"/>
    <n v="524"/>
    <s v="INDIANA UNIV, OPER &amp; DECISION TECHNOL DEPT"/>
    <s v="BLOOMINGTON"/>
    <s v="KELLEY SCH BUS, E 10 ST, BLOOMINGTON, IN 47405-1701 USA"/>
    <s v="1540-1960"/>
    <s v="1540-1979"/>
    <s v=""/>
    <s v="MIS Q EXEC"/>
    <s v="MIS Q. Exec."/>
    <s v="SEP"/>
    <x v="6"/>
    <n v="16"/>
    <n v="3"/>
    <s v=""/>
    <s v=""/>
    <s v=""/>
    <s v=""/>
    <n v="197"/>
    <n v="213"/>
    <s v=""/>
    <s v=""/>
    <s v=""/>
    <s v=""/>
    <s v=""/>
    <n v="17"/>
    <x v="75"/>
    <x v="1"/>
    <s v="Information Science &amp; Library Science; Business &amp; Economics"/>
    <s v="FF6FR"/>
    <s v=""/>
    <s v=""/>
    <s v=""/>
    <s v=""/>
    <s v="2023-11-15"/>
    <s v="WOS:000409101300005"/>
    <s v="View Full Record in Web of Science"/>
    <m/>
  </r>
  <r>
    <x v="535"/>
    <s v="J"/>
    <x v="528"/>
    <s v=""/>
    <s v=""/>
    <s v=""/>
    <s v="Taloni, Alessandro; Font-Clos, Francesc; Guidetti, Luca; Milan, Simone; Ascagni, Miriam; Vasco, Chiara; Pasini, Maria Enrica; Gioria, Maria Rosa; Ciusani, Emilio; Zapperi, Stefano; La Porta, Caterina A. M."/>
    <s v=""/>
    <s v=""/>
    <x v="533"/>
    <x v="23"/>
    <s v=""/>
    <s v=""/>
    <s v="English"/>
    <s v="Article"/>
    <s v=""/>
    <s v=""/>
    <s v=""/>
    <s v=""/>
    <s v=""/>
    <x v="8"/>
    <x v="378"/>
    <s v="Classification of morphological features in biological samples is usually performed by a trained eye but the increasing amount of available digital images calls for semi-automatic classification techniques. Here we explore this possibility in the context of acrosome morphological analysis during spermiogenesis. Our method combines feature extraction from three dimensional reconstruction of confocal images with principal component analysis and machine learning. The method could be particularly useful in cases where the amount of data does not allow for a direct inspection by trained eye."/>
    <s v="[Taloni, Alessandro; Guidetti, Luca; Milan, Simone; Zapperi, Stefano; La Porta, Caterina A. M.] Univ Milan, Ctr Complex &amp; Biosyst, Via Celoria 16, I-20133 Milan, Italy; [Taloni, Alessandro; Zapperi, Stefano] Univ Milan, Dept Phys, Via Celoria 16, I-20133 Milan, Italy; [Taloni, Alessandro] CNR, ISC, Via Taurini 19, I-00185 Rome, Italy; [Font-Clos, Francesc; Milan, Simone; Zapperi, Stefano] ISI Fdn, Via Chisola 5, I-10126 Turin, Italy; [Guidetti, Luca; Milan, Simone; La Porta, Caterina A. M.] Univ Milan, Dept Environm Sci &amp; Policy, Via Celoria 26, I-20133 Milan, Italy; [Ascagni, Miriam; Pasini, Maria Enrica; Gioria, Maria Rosa] Univ Milan, Dept Biosci, Via Celoria 26, I-20133 Milan, Italy; [Vasco, Chiara; Ciusani, Emilio] Ist Neurol Carlo Besta, Via Celoria 11, I-20133 Milan, Italy; [Zapperi, Stefano] Aalto Univ, Dept Appl Phys, POB 11100, FIN-00076 Espoo, Finland; [Zapperi, Stefano] CNR, ICMATE, Via Roberto Cozzi 53, I-20125 Milan, Italy"/>
    <s v="University of Milan; University of Milan; Consiglio Nazionale delle Ricerche (CNR); Istituto dei Sistemi Complessi (ISC-CNR); University of Milan; University of Milan; IRCCS Istituto Neurologico Besta; Aalto University; Consiglio Nazionale delle Ricerche (CNR); Istituto di Chimica della Materia Condensata e di Tecnologie per l Energia (ICMATE-CNR)"/>
    <s v="La Porta, CAM (corresponding author), Univ Milan, Ctr Complex &amp; Biosyst, Via Celoria 16, I-20133 Milan, Italy.;La Porta, CAM (corresponding author), Univ Milan, Dept Environm Sci &amp; Policy, Via Celoria 26, I-20133 Milan, Italy."/>
    <s v="caterina.laporta@unimi.it"/>
    <s v="Zapperi, Stefano/C-9473-2009; Ciusani, Emilio/J-9822-2016; Taloni, Alessandro/N-3121-2016; Vasco, Chiara/C-5637-2017; pasini, Maria Enrica/D-8785-2012; La Porta, Caterina/K-7345-2013; Taloni, Alessandro/AAF-1641-2020"/>
    <s v="Zapperi, Stefano/0000-0001-5692-5465; Ciusani, Emilio/0000-0002-7285-123X; Taloni, Alessandro/0000-0002-8863-7166; Vasco, Chiara/0000-0002-3788-778X; pasini, Maria Enrica/0000-0002-7476-6928; La Porta, Caterina/0000-0002-3010-8966; Taloni, Alessandro/0000-0002-8863-7166"/>
    <s v="ERC Advanced grant SIZEFFECTS"/>
    <s v="ERC Advanced grant SIZEFFECTS(European Research Council (ERC))"/>
    <s v="A.T., F.F.C. and S.Z. are supported by ERC Advanced grant SIZEFFECTS."/>
    <s v=""/>
    <n v="22"/>
    <n v="2"/>
    <n v="2"/>
    <n v="0"/>
    <n v="4"/>
    <s v="NATURE PUBLISHING GROUP"/>
    <s v="LONDON"/>
    <s v="MACMILLAN BUILDING, 4 CRINAN ST, LONDON N1 9XW, ENGLAND"/>
    <s v="2045-2322"/>
    <s v=""/>
    <s v=""/>
    <s v="SCI REP-UK"/>
    <s v="Sci Rep"/>
    <s v="JUN 16"/>
    <x v="6"/>
    <n v="7"/>
    <s v=""/>
    <s v=""/>
    <s v=""/>
    <s v=""/>
    <s v=""/>
    <s v=""/>
    <s v=""/>
    <n v="3748"/>
    <s v="10.1038/s41598-017-03867-7"/>
    <s v="http://dx.doi.org/10.1038/s41598-017-03867-7"/>
    <s v=""/>
    <s v=""/>
    <n v="10"/>
    <x v="22"/>
    <x v="0"/>
    <s v="Science &amp; Technology - Other Topics"/>
    <s v="EX7FN"/>
    <n v="28623263"/>
    <s v="Green Published, gold"/>
    <s v=""/>
    <s v=""/>
    <s v="2023-11-15"/>
    <s v="WOS:000403413700110"/>
    <s v="View Full Record in Web of Science"/>
    <m/>
  </r>
  <r>
    <x v="536"/>
    <s v="J"/>
    <x v="529"/>
    <s v=""/>
    <s v=""/>
    <s v=""/>
    <s v="Roszkowska, Dorota"/>
    <s v=""/>
    <s v=""/>
    <x v="534"/>
    <x v="389"/>
    <s v=""/>
    <s v=""/>
    <s v="English"/>
    <s v="Article"/>
    <s v=""/>
    <s v=""/>
    <s v=""/>
    <s v=""/>
    <s v=""/>
    <x v="486"/>
    <x v="379"/>
    <s v="In an open and digital economy where ICTs, global networks and innovation systems play a key economic role, knowledge used by companies is increasingly gathered using different external sources. Rapidly changing technology enables companies to use new ways to innovate. New innovation processes permit companies to reduce risk and the costs of innovation. New paradigms, called open innovation and co-innovation, allow organizations to remain innovative in a rapidly changing environment. The objectives of this paper are: to provide a better understanding of open innovation and co-innovation paradigms and to suggest instruments for organizations to benefit from co-innovation ecosystem. Internet empowered ICT tools can be the first step for an organization to initiate implementation of a digital strategy. To gain incremental, tacit, organizational knowledge or marketing skills, a new innovation strategy should involve networking through social networks and virtual communities. Digitalization of innovation activities constitutes a new important role for innovation networks and ecosystems, including global innovation networks, as knowledge and technology are no longer owned by a single firm or country. This paper attempts to prepare the theoretical background, for empirical studies on the impact of new innovation processes on company innovation and their competitive advantages. The study is descriptive and analytical, building on the theory and empirical results of previous studies on new, digital innovation models."/>
    <s v="[Roszkowska, Dorota] Univ Bialystok, Dept Econ &amp; Management, Bialystok, Poland"/>
    <s v="University of Bialystok"/>
    <s v="Roszkowska, D (corresponding author), Univ Bialystok, Dept Econ &amp; Management, Bialystok, Poland."/>
    <s v="dorotta.gradzka@gmail.com"/>
    <s v="CORREA, RENATA/AAA-2417-2022"/>
    <s v=""/>
    <s v=""/>
    <s v=""/>
    <s v=""/>
    <s v=""/>
    <n v="53"/>
    <n v="5"/>
    <n v="5"/>
    <n v="1"/>
    <n v="34"/>
    <s v="SCIENDO"/>
    <s v="WARSAW"/>
    <s v="BOGUMILA ZUGA 32A, WARSAW, MAZOVIA, POLAND"/>
    <s v="2299-9701"/>
    <s v="2543-5361"/>
    <s v=""/>
    <s v="INT J MANAG ECON"/>
    <s v="Int. J. Manag. Econ."/>
    <s v="JUN"/>
    <x v="6"/>
    <n v="53"/>
    <n v="2"/>
    <s v=""/>
    <s v=""/>
    <s v=""/>
    <s v=""/>
    <n v="39"/>
    <n v="56"/>
    <s v=""/>
    <s v="10.1515/ijme-2017-0011"/>
    <s v="http://dx.doi.org/10.1515/ijme-2017-0011"/>
    <s v=""/>
    <s v=""/>
    <n v="18"/>
    <x v="15"/>
    <x v="2"/>
    <s v="Business &amp; Economics"/>
    <s v="FV4YU"/>
    <s v=""/>
    <s v="gold, Green Published"/>
    <s v=""/>
    <s v=""/>
    <s v="2023-11-15"/>
    <s v="WOS:000424584200004"/>
    <s v="View Full Record in Web of Science"/>
    <m/>
  </r>
  <r>
    <x v="537"/>
    <s v="J"/>
    <x v="530"/>
    <s v=""/>
    <s v=""/>
    <s v=""/>
    <s v="Hestres, Luis E."/>
    <s v=""/>
    <s v=""/>
    <x v="535"/>
    <x v="390"/>
    <s v=""/>
    <s v=""/>
    <s v="English"/>
    <s v="Article"/>
    <s v=""/>
    <s v=""/>
    <s v=""/>
    <s v=""/>
    <s v=""/>
    <x v="487"/>
    <x v="380"/>
    <s v="Advocacy organizations rely on social media services, such as Facebook and Twitter, to engage their supporters. These services increasingly influence how citizens and advocacy organizations engage politically online through the technical features and policies they choose to implement-a phenomenon that can sometimes disrupt the work of advocates. Interviews with digital strategists at several US advocacy organizations revealed low levels of awareness of this phenomenon, despite its potential impact on their work; substantial dependence on these services for advocacy work; and a shared sense of necessity to embrace these tools, despite their potential downsides. Implications for the scholarship and practice of Internet governance and digitally mediated advocacy are discussed."/>
    <s v="[Hestres, Luis E.] Univ Texas San Antonio, One UTSA Circle, San Antonio, TX 78249 USA"/>
    <s v="University of Texas System; University of Texas at San Antonio (UTSA)"/>
    <s v="Hestres, LE (corresponding author), Univ Texas San Antonio, One UTSA Circle, San Antonio, TX 78249 USA."/>
    <s v="luis.hestres@utsa.edu"/>
    <s v="Hestres, Luis/M-7249-2019"/>
    <s v=""/>
    <s v=""/>
    <s v=""/>
    <s v=""/>
    <s v=""/>
    <n v="63"/>
    <n v="14"/>
    <n v="14"/>
    <n v="1"/>
    <n v="7"/>
    <s v="SAGE PUBLICATIONS LTD"/>
    <s v="LONDON"/>
    <s v="1 OLIVERS YARD, 55 CITY ROAD, LONDON EC1Y 1SP, ENGLAND"/>
    <s v="2056-3051"/>
    <s v=""/>
    <s v=""/>
    <s v="SOC MEDIA SOC"/>
    <s v="Soc. Med. Soc."/>
    <s v="APR-JUN"/>
    <x v="6"/>
    <n v="3"/>
    <n v="2"/>
    <s v=""/>
    <s v=""/>
    <s v=""/>
    <s v=""/>
    <s v=""/>
    <s v=""/>
    <n v="2056305117714230"/>
    <s v="10.1177/2056305117714237"/>
    <s v="http://dx.doi.org/10.1177/2056305117714237"/>
    <s v=""/>
    <s v=""/>
    <n v="11"/>
    <x v="56"/>
    <x v="1"/>
    <s v="Communication"/>
    <s v="GS3DW"/>
    <s v=""/>
    <s v="gold"/>
    <s v=""/>
    <s v=""/>
    <s v="2023-11-15"/>
    <s v="WOS:000443460300022"/>
    <s v="View Full Record in Web of Science"/>
    <m/>
  </r>
  <r>
    <x v="538"/>
    <s v="J"/>
    <x v="531"/>
    <s v=""/>
    <s v=""/>
    <s v=""/>
    <s v="Reddy, Arenur Venkataswamy Jayapala; Rao, Bandlamudi Madhusdhan"/>
    <s v=""/>
    <s v=""/>
    <x v="536"/>
    <x v="391"/>
    <s v=""/>
    <s v=""/>
    <s v="English"/>
    <s v="Article"/>
    <s v=""/>
    <s v=""/>
    <s v=""/>
    <s v=""/>
    <s v=""/>
    <x v="488"/>
    <x v="1"/>
    <s v="Background: The era of globalization has helped many Indian Pharma companies to expand operations beyond home turf. Changes in regulatory, patent and market trends will drive opportunities for generic drugs and hence very big opportunities for Indian pharmaceutical companies in global markets. India is the largest manufacturer and exporter of generic drugs in the world and considered as the pharmacy of the world. However many Indian pharma companies find it difficult to survive in global markets due to the competition, lack of market knowledge, complex regulatory pathway and not embracing the latest digital technologies adopted by global companies. Objective: The objective of this research is to study the need of various digital tools available for different domains of pharma industry to become successful in global markets. Methods: Researcher has adopted an empirical study to conduct this research using primary and secondary data. Primary research was done by identifying target participants from pharma industry and adopted purposive sampling technique to collect the data online through a structured and validated questionnaire. Data was extracted, analyzed and interpreted using graphical analysis. Results: The results of this study found that in all the questions in questionnaire, majority of the participants were in favor of adopting digital tools in pharma industry irrespective size and type organization. Conclusion: Based on the outcome of this empirical study, it was established that there is a clear need of domain based digital tools for Indian pharma companies to compete and sustain in global markets."/>
    <s v="[Reddy, Arenur Venkataswamy Jayapala] Vignans Univ, Sch Management Studies, Int Business, Vadlamudi, Andhra Prades, India; [Reddy, Arenur Venkataswamy Jayapala] Hetero Labs Ltd, Biol Business Dev, Hyderabad 500018, Telangana, India; [Rao, Bandlamudi Madhusdhan] Vignans Univ, Sch Management Studies, Vadlamudi, Andhra Prades, India"/>
    <s v="Vignan's Foundation for Science, Technology &amp; Research (VFSTR); Vignan's Foundation for Science, Technology &amp; Research (VFSTR)"/>
    <s v="Reddy, AVJ (corresponding author), Vignans Univ, Sch Management Studies, Int Business, Vadlamudi, Andhra Prades, India.;Reddy, AVJ (corresponding author), Hetero Labs Ltd, Biol Business Dev, Hyderabad 500018, Telangana, India."/>
    <s v="jayapala@gmail.com"/>
    <s v="Rao/ABF-8682-2020"/>
    <s v="Rao/0000-0002-1905-707X"/>
    <s v=""/>
    <s v=""/>
    <s v=""/>
    <s v=""/>
    <n v="19"/>
    <n v="2"/>
    <n v="2"/>
    <n v="0"/>
    <n v="13"/>
    <s v="ASSOC PHARMACEUTICAL TEACHERS INDIA"/>
    <s v="BANGALORE"/>
    <s v="AL-AMEEN COLL PHARMACY, OPP LALBACH MAIN GATE, HOSUR MAIN RD, BANGALORE, 560 027, INDIA"/>
    <s v="0019-5464"/>
    <s v=""/>
    <s v=""/>
    <s v="INDIAN J PHARM EDUC"/>
    <s v="Indian J. Pharm. Educ. Res."/>
    <s v="APR-JUN"/>
    <x v="6"/>
    <n v="51"/>
    <n v="2"/>
    <s v=""/>
    <s v=""/>
    <s v=""/>
    <s v=""/>
    <n v="226"/>
    <n v="238"/>
    <s v=""/>
    <s v="10.5530/ijper.51.2.28"/>
    <s v="http://dx.doi.org/10.5530/ijper.51.2.28"/>
    <s v=""/>
    <s v=""/>
    <n v="13"/>
    <x v="160"/>
    <x v="0"/>
    <s v="Education &amp; Educational Research; Pharmacology &amp; Pharmacy"/>
    <s v="EY7FL"/>
    <s v=""/>
    <s v="Green Submitted, hybrid"/>
    <s v=""/>
    <s v=""/>
    <s v="2023-11-15"/>
    <s v="WOS:000404154600007"/>
    <s v="View Full Record in Web of Science"/>
    <m/>
  </r>
  <r>
    <x v="539"/>
    <s v="J"/>
    <x v="532"/>
    <s v=""/>
    <s v=""/>
    <s v=""/>
    <s v="Salazar Torres, Neyder"/>
    <s v=""/>
    <s v=""/>
    <x v="537"/>
    <x v="367"/>
    <s v=""/>
    <s v=""/>
    <s v="Spanish"/>
    <s v="Article"/>
    <s v=""/>
    <s v=""/>
    <s v=""/>
    <s v=""/>
    <s v=""/>
    <x v="489"/>
    <x v="1"/>
    <s v="This text addresses the use of digital communication of the Colombian indigenous movement, from the cases of the Communication Fabric of the ACIN and the Collective Winds of the CRIHU, for this it focuses on the analysis of the actions of mobilization of the Minga Indigena and Popular of 2008 and the recovery of Cerro El Berlin, held in Cauca and the Mingas of Liberation of Mother Earth in 2012 and 2013, held in Huila. Fundamental mobilizations in the historical struggle and the indige nous resistance, in these they articulated communicative and digital strategies, the appropriation of diverse supports and technological repertoires to counter the stigmatization of the hegemonic means and the reproduction of the state voice, thus to potentiate the political communication since Action and resistance."/>
    <s v="[Salazar Torres, Neyder] Corporac Univ, Comunicac, Uniminuto Sede Neiva, Bogota, Colombia"/>
    <s v=""/>
    <s v="Torres, NS (corresponding author), Corporac Univ, Comunicac, Uniminuto Sede Neiva, Bogota, Colombia."/>
    <s v="neyderpip98@hotmail.com"/>
    <s v="Torres, Neyder Jhoan Salazar/AAX-2829-2020"/>
    <s v="Torres, Neyder Jhoan Salazar/0000-0003-4528-0483"/>
    <s v=""/>
    <s v=""/>
    <s v=""/>
    <s v=""/>
    <n v="24"/>
    <n v="0"/>
    <n v="0"/>
    <n v="0"/>
    <n v="7"/>
    <s v="UNIV PIURA"/>
    <s v="PIURA"/>
    <s v="FAC COMUNICACION, AV RAMON MUGICA 131 URB SAN EDUARDO APARTADO POSTAL 353, PIURA, 00000, PERU"/>
    <s v="1684-0933"/>
    <s v="2227-1465"/>
    <s v=""/>
    <s v="REV COMUN-PERU"/>
    <s v="Rev. Comun.-Peru"/>
    <s v="APR-SEP"/>
    <x v="6"/>
    <n v="16"/>
    <n v="2"/>
    <s v=""/>
    <s v=""/>
    <s v=""/>
    <s v=""/>
    <n v="252"/>
    <n v="264"/>
    <s v=""/>
    <s v="10.26441/RC16.2-2017-A12"/>
    <s v="http://dx.doi.org/10.26441/RC16.2-2017-A12"/>
    <s v=""/>
    <s v=""/>
    <n v="13"/>
    <x v="56"/>
    <x v="2"/>
    <s v="Communication"/>
    <s v="VI1NG"/>
    <s v=""/>
    <s v="gold, Green Submitted"/>
    <s v=""/>
    <s v=""/>
    <s v="2023-11-15"/>
    <s v="WOS:000461199400013"/>
    <s v="View Full Record in Web of Science"/>
    <m/>
  </r>
  <r>
    <x v="540"/>
    <s v="J"/>
    <x v="533"/>
    <s v=""/>
    <s v=""/>
    <s v=""/>
    <s v="Lavonen, Jan"/>
    <s v=""/>
    <s v=""/>
    <x v="538"/>
    <x v="392"/>
    <s v=""/>
    <s v=""/>
    <s v="English"/>
    <s v="Article"/>
    <s v=""/>
    <s v=""/>
    <s v=""/>
    <s v=""/>
    <s v=""/>
    <x v="490"/>
    <x v="381"/>
    <s v="This paper introduces a Finnish education innovation known as decentralisation in education. The innovation is described based on education policy documents, research papers and two short interviews with national and municipality experts in curriculum design. In a decentralised education system local providers of education ( municipalities) and teachers play important roles in the preparation of local curriculum and learning environments, including the use of digital learning tools and environments. Education providers localise the national aims and content and describe how education is organised. Classroom-based assessment is another characteristic of decentralisation. Three preconditions are required for a decentralised education system to be effective: 1) common, national level, long-term strategic aims and must be established and local level plans, such as curriculum and an equity plan, must be developed and the implemented, 2) quality work, student assessment, continuous improvement of learning environments and practices implemented at the local level and 3) professional teachers must collaborate and engage in broad planning and assess their teaching abilities and their students' learning outcomes."/>
    <s v="[Lavonen, Jan] Univ Helsinki, Dept Educ Sci, Helsinki, Finland; [Lavonen, Jan] Univ Johannesburg, Dept Childhood Educ, Soweto, South Africa"/>
    <s v="University of Helsinki; University of Johannesburg"/>
    <s v="Lavonen, J (corresponding author), Univ Helsinki, Dept Educ Sci, Helsinki, Finland.;Lavonen, J (corresponding author), Univ Johannesburg, Dept Childhood Educ, Soweto, South Africa."/>
    <s v="jari.lavonen@helsinki.ti"/>
    <s v=""/>
    <s v=""/>
    <s v="Finnish Academy [298323, 294228]; Academy of Finland (AKA) [294228, 294228] Funding Source: Academy of Finland (AKA)"/>
    <s v="Finnish Academy(Research Council of Finland); Academy of Finland (AKA)(Research Council of Finland)"/>
    <s v="This material is based upon work supported by the Finnish Academy (no. 298323 and 294228)"/>
    <s v=""/>
    <n v="57"/>
    <n v="4"/>
    <n v="4"/>
    <n v="0"/>
    <n v="15"/>
    <s v="EDIT UM-EDICIONES UNIV MURCIA"/>
    <s v="MURCIA"/>
    <s v="EDIFICIO SAAVEDRA FAJARDO, C/O ACTOR ISIDORO MAIQUEZ 9, MURCIA, 30007, SPAIN"/>
    <s v="1578-7680"/>
    <s v=""/>
    <s v=""/>
    <s v="RED-REV EDUC DISTANC"/>
    <s v="RED-Rev. Educ. Distancia"/>
    <s v="MAR 31"/>
    <x v="6"/>
    <s v=""/>
    <n v="53"/>
    <s v=""/>
    <s v=""/>
    <s v=""/>
    <s v=""/>
    <s v=""/>
    <s v=""/>
    <n v="1"/>
    <s v="10.6018/red/53/1"/>
    <s v="http://dx.doi.org/10.6018/red/53/1"/>
    <s v=""/>
    <s v=""/>
    <n v="22"/>
    <x v="39"/>
    <x v="2"/>
    <s v="Education &amp; Educational Research"/>
    <s v="FP0QT"/>
    <s v=""/>
    <s v="Green Submitted, gold, Green Published"/>
    <s v=""/>
    <s v=""/>
    <s v="2023-11-15"/>
    <s v="WOS:000417308900008"/>
    <s v="View Full Record in Web of Science"/>
    <m/>
  </r>
  <r>
    <x v="541"/>
    <s v="J"/>
    <x v="534"/>
    <s v=""/>
    <s v=""/>
    <s v=""/>
    <s v="Alizadeh, Tooran"/>
    <s v=""/>
    <s v=""/>
    <x v="539"/>
    <x v="393"/>
    <s v=""/>
    <s v=""/>
    <s v="English"/>
    <s v="Article"/>
    <s v=""/>
    <s v=""/>
    <s v=""/>
    <s v=""/>
    <s v=""/>
    <x v="491"/>
    <x v="382"/>
    <s v="A growing number of cities around the world have now developed urban digital strategies to speed up the pace of change, and more importantly to move their digital planning and policymaking from ad-hoc to an integrated and strategic approach. The paper provides a cross-national comparative study, based on recently developed urban digital strategies in Brisbane, Australia and Vancouver, Canada. The aim is to understand if and how urban digital strategies align with broader strategic planning in the two cities. To do so, the paper combines policy analysis with interviews of a selection of stakeholders in both cities. The lessons learned can be transferred to all cities interested in integrated digital planning for successful strategic urban outcomes."/>
    <s v="[Alizadeh, Tooran] Griffith Univ, Urban Res Program, 170 Kessels Rd, Nathan, Qld 4111, Australia"/>
    <s v="Griffith University"/>
    <s v="Alizadeh, T (corresponding author), Griffith Univ, Urban Res Program, 170 Kessels Rd, Nathan, Qld 4111, Australia."/>
    <s v="t.alizadeh@griffith.edu.au"/>
    <s v="Alizadeh, Tooran/AAX-2371-2020"/>
    <s v="Alizadeh, Tooran/0000-0001-5424-3348"/>
    <s v=""/>
    <s v=""/>
    <s v=""/>
    <s v=""/>
    <n v="87"/>
    <n v="9"/>
    <n v="9"/>
    <n v="2"/>
    <n v="47"/>
    <s v="ROUTLEDGE JOURNALS, TAYLOR &amp; FRANCIS LTD"/>
    <s v="ABINGDON"/>
    <s v="2-4 PARK SQUARE, MILTON PARK, ABINGDON OX14 4RN, OXON, ENGLAND"/>
    <s v="1063-0732"/>
    <s v="1466-1853"/>
    <s v=""/>
    <s v="J URBAN TECHNOL"/>
    <s v="J. Urban Technol."/>
    <s v=""/>
    <x v="6"/>
    <n v="24"/>
    <n v="2"/>
    <s v=""/>
    <s v=""/>
    <s v=""/>
    <s v=""/>
    <n v="35"/>
    <n v="49"/>
    <s v=""/>
    <s v="10.1080/10630732.2017.1285125"/>
    <s v="http://dx.doi.org/10.1080/10630732.2017.1285125"/>
    <s v=""/>
    <s v=""/>
    <n v="15"/>
    <x v="63"/>
    <x v="1"/>
    <s v="Urban Studies"/>
    <s v="EZ6RI"/>
    <s v=""/>
    <s v=""/>
    <s v=""/>
    <s v=""/>
    <s v="2023-11-15"/>
    <s v="WOS:000404844900003"/>
    <s v="View Full Record in Web of Science"/>
    <m/>
  </r>
  <r>
    <x v="542"/>
    <s v="J"/>
    <x v="535"/>
    <s v=""/>
    <s v=""/>
    <s v=""/>
    <s v="Analia Sanchez, Marisa"/>
    <s v=""/>
    <s v=""/>
    <x v="540"/>
    <x v="394"/>
    <s v=""/>
    <s v=""/>
    <s v="English"/>
    <s v="Article"/>
    <s v=""/>
    <s v=""/>
    <s v=""/>
    <s v=""/>
    <s v=""/>
    <x v="492"/>
    <x v="383"/>
    <s v="The digital transformation puts to the test the sustainability of traditional business models. The aim of this research work is to formulate a framework that explains resources, capabilities and management choices necessary to respond to the new environment. The proposal based on literature review of both theoretical and empirical research. The framework abstracts complexity to isolate a few key variables. Its specification based on system dynamics since it naturally models forces of change in a complex system so that their influences can be better understood."/>
    <s v="[Analia Sanchez, Marisa] Univ Nacl Sur Argentina, Bahia Blanca, Argentina"/>
    <s v=""/>
    <s v="Sánchez, MA (corresponding author), Univ Nacl Sur Argentina, Bahia Blanca, Argentina."/>
    <s v="mas@uns.edu"/>
    <s v="Sanchez, Marisa A/M-6135-2014"/>
    <s v="Sanchez, Marisa A/0000-0002-8291-0491"/>
    <s v=""/>
    <s v=""/>
    <s v=""/>
    <s v=""/>
    <n v="44"/>
    <n v="19"/>
    <n v="21"/>
    <n v="1"/>
    <n v="109"/>
    <s v="UNIV AUTONOMA CARIBE-UAC"/>
    <s v="ATLANTICO"/>
    <s v="CL 90, BARRANQUILLA, ATLANTICO, 00000, COLOMBIA"/>
    <s v="1692-8563"/>
    <s v="2322-956X"/>
    <s v=""/>
    <s v="DIMENS EMPRESARIAL"/>
    <s v="Dimens. Empresarial"/>
    <s v=""/>
    <x v="6"/>
    <n v="15"/>
    <n v="2"/>
    <s v=""/>
    <s v=""/>
    <s v=""/>
    <s v=""/>
    <n v="27"/>
    <n v="40"/>
    <s v=""/>
    <s v="10.15665/rde.v15i2.976"/>
    <s v="http://dx.doi.org/10.15665/rde.v15i2.976"/>
    <s v=""/>
    <s v=""/>
    <n v="14"/>
    <x v="15"/>
    <x v="2"/>
    <s v="Business &amp; Economics"/>
    <s v="FP1NE"/>
    <s v=""/>
    <s v="gold, Green Submitted"/>
    <s v=""/>
    <s v=""/>
    <s v="2023-11-15"/>
    <s v="WOS:000417379200003"/>
    <s v="View Full Record in Web of Science"/>
    <m/>
  </r>
  <r>
    <x v="543"/>
    <s v="J"/>
    <x v="536"/>
    <s v=""/>
    <s v=""/>
    <s v=""/>
    <s v="Barns, Sarah; Cosgrave, Ellie; Acuto, Michele; Mcneill, Donald"/>
    <s v=""/>
    <s v=""/>
    <x v="541"/>
    <x v="395"/>
    <s v=""/>
    <s v=""/>
    <s v="English"/>
    <s v="Article"/>
    <s v=""/>
    <s v=""/>
    <s v=""/>
    <s v=""/>
    <s v=""/>
    <x v="493"/>
    <x v="384"/>
    <s v="The urban built environment is underpinned by an increasingly complex digital infrastructure, which is posing a variety of unpredictable and unprecedented challenges for urban governance. The paper discusses how the new hard digital infrastructures such as broadband are accompanied by the need to understand the governance of public sector information; and in turn how this relates to the emergence of smart city strategies. The paper is illustrated using empirical examples drawn from Australian digital infrastructure development, with reference to the international landscape of smart city developments. It argues that there is a significant mismatch between the often small scale, bounded capabilities of municipal government, and the operational expertise and scope of technology firms."/>
    <s v="[Barns, Sarah; Mcneill, Donald] Univ Western Sydney, Inst Culture &amp; Soc, Penrith, NSW, Australia; [Cosgrave, Ellie; Acuto, Michele] UCL, Dept Sci Technol Engn &amp; Publ Policy, London, England"/>
    <s v="Western Sydney University; University of London; University College London"/>
    <s v="Barns, S (corresponding author), Univ Western Sydney, Inst Culture &amp; Soc, Penrith, NSW, Australia."/>
    <s v="s.barns@uws.edu.au"/>
    <s v=""/>
    <s v="Acuto, Michele/0000-0003-4320-0531; Barns, Sarah/0000-0002-0087-7166; MCNEILL, DONALD/0000-0002-7672-6110"/>
    <s v="Urban Studies Foundation Post-doctoral Fellowship Scheme; Australian Research Council"/>
    <s v="Urban Studies Foundation Post-doctoral Fellowship Scheme; Australian Research Council(Australian Research Council)"/>
    <s v="The support of the Urban Studies Foundation Post-doctoral Fellowship Scheme (Barns) and Australian Research Council Future Fellowship scheme (McNeill) is gratefully acknowledged."/>
    <s v=""/>
    <n v="41"/>
    <n v="81"/>
    <n v="85"/>
    <n v="31"/>
    <n v="186"/>
    <s v="ROUTLEDGE JOURNALS, TAYLOR &amp; FRANCIS LTD"/>
    <s v="ABINGDON"/>
    <s v="2-4 PARK SQUARE, MILTON PARK, ABINGDON OX14 4RN, OXON, ENGLAND"/>
    <s v="0811-1146"/>
    <s v="1476-7244"/>
    <s v=""/>
    <s v="URBAN POLICY RES"/>
    <s v="Urban Policy Res."/>
    <s v=""/>
    <x v="6"/>
    <n v="35"/>
    <n v="1"/>
    <s v=""/>
    <s v=""/>
    <s v="SI"/>
    <s v=""/>
    <n v="20"/>
    <n v="31"/>
    <s v=""/>
    <s v="10.1080/08111146.2016.1235032"/>
    <s v="http://dx.doi.org/10.1080/08111146.2016.1235032"/>
    <s v=""/>
    <s v=""/>
    <n v="12"/>
    <x v="161"/>
    <x v="1"/>
    <s v="Environmental Sciences &amp; Ecology; Geography; Public Administration; Urban Studies"/>
    <s v="EQ4GM"/>
    <s v=""/>
    <s v="Green Submitted"/>
    <s v=""/>
    <s v=""/>
    <s v="2023-11-15"/>
    <s v="WOS:000398033600003"/>
    <s v="View Full Record in Web of Science"/>
    <m/>
  </r>
  <r>
    <x v="544"/>
    <s v="J"/>
    <x v="537"/>
    <s v=""/>
    <s v=""/>
    <s v=""/>
    <s v="Batt, Chris"/>
    <s v=""/>
    <s v=""/>
    <x v="542"/>
    <x v="396"/>
    <s v=""/>
    <s v=""/>
    <s v="English"/>
    <s v="Article"/>
    <s v=""/>
    <s v=""/>
    <s v=""/>
    <s v=""/>
    <s v=""/>
    <x v="494"/>
    <x v="1"/>
    <s v="Purpose - Collecting Institutions in the Network Society is a multidisciplinary PhD study examining present practices and policies of collecting institutions (museums, galleries, libraries and archives) in their use and development of digital technologies, within the context of wider socio-technical change. It investigates whether existing service paradigms are best suited to future digital delivery of services in the emergent network society. Design/methodology/approach - It uses an interpretive methodological approach creating a body of phenomenological evidence enabling comparison between the organisational context, internal practices, histories and policies of collecting institutions, and the wider socio-technical impact of the internet. Literature reviews provide evidence from the outer world of internet developments and impact to establish four generic drivers of internet change. For the inner world of collecting institutions, organisational context and research and development on innovation are examined to analyse various perspectives on common approaches to service policy and practice. Additionally, textual analysis of institutional mission statements and policy documents is used to establish the degree of common purpose across collecting institutions and the preparedness of practitioners and policymakers to deal with rapid socio-technical change. Findings - The evidence is synthesised to define an institutional paradigm describing the present operational processes and practices of collecting institutions. This is compared with the four generic drivers to define opportunities and challenges that collecting institutions face in exploiting the internet. This synthesis demonstrates that the siloised and fragmented nature of the institutional paradigm creates significant barriers to effective exploitation. Evidence from the textual analysis is used to develop a shared mission statement for all collecting institutions as the foundation of a strategic digital future. Originality/value - The study proposes a radically new service paradigm (the digital knowledge ecology) enabling collecting institutions to achieve maximum user value in their delivery of digital services, and concludes with proposals for actions to build a collective strategy."/>
    <s v=""/>
    <s v=""/>
    <s v=""/>
    <s v="cbatt@mac.com"/>
    <s v=""/>
    <s v=""/>
    <s v=""/>
    <s v=""/>
    <s v=""/>
    <s v=""/>
    <n v="2"/>
    <n v="2"/>
    <n v="2"/>
    <n v="0"/>
    <n v="9"/>
    <s v="EMERALD GROUP PUBLISHING LTD"/>
    <s v="BINGLEY"/>
    <s v="HOWARD HOUSE, WAGON LANE, BINGLEY BD16 1WA, W YORKSHIRE, ENGLAND"/>
    <s v="2398-5348"/>
    <s v=""/>
    <s v=""/>
    <s v="INFORM LEARN SCI"/>
    <s v="Inf. Learn. Sci."/>
    <s v=""/>
    <x v="6"/>
    <n v="118"/>
    <s v="5-6"/>
    <s v=""/>
    <s v=""/>
    <s v=""/>
    <s v=""/>
    <n v="331"/>
    <n v="335"/>
    <s v=""/>
    <s v="10.1108/ILS-06-2017-0058"/>
    <s v="http://dx.doi.org/10.1108/ILS-06-2017-0058"/>
    <s v=""/>
    <s v=""/>
    <n v="5"/>
    <x v="66"/>
    <x v="2"/>
    <s v="Information Science &amp; Library Science"/>
    <s v="FY9HI"/>
    <s v=""/>
    <s v=""/>
    <s v=""/>
    <s v=""/>
    <s v="2023-11-15"/>
    <s v="WOS:000427176100008"/>
    <s v="View Full Record in Web of Science"/>
    <m/>
  </r>
  <r>
    <x v="545"/>
    <s v="S"/>
    <x v="537"/>
    <s v=""/>
    <s v="Baker, D; Evans, W"/>
    <s v=""/>
    <s v="Batt, Chris"/>
    <s v=""/>
    <s v=""/>
    <x v="543"/>
    <x v="397"/>
    <s v="Advances in Library Administration and Organization"/>
    <s v=""/>
    <s v="English"/>
    <s v="Article; Book Chapter"/>
    <s v=""/>
    <s v=""/>
    <s v=""/>
    <s v=""/>
    <s v=""/>
    <x v="495"/>
    <x v="1"/>
    <s v="Purpose - To investigate how the United Kingdom's public museums, libraries and archives (collecting institutions) might, in the future, take strategic advantage of the dramatic changes in individual and social behaviours and expectations driven by the socio-technical determinism of the Internet since 2000. Methodology/approach - The chapter summarises the evidence and outcomes of PhD research completed in 2015 that used the tools of hermeneutic phenomenology and systems theory to examine the current state of digital strategy within the United Kingdom's collecting institutions and to compare this with the Internet's fundamental drivers of change and innovation. The research sought not to predict the future, but to define the key opportunities and challenges facing collecting institutions in face of sustained socio-technical change to maintain strategic fit, delivering maximum value in the digital space. Findings - The outcomes of the research demonstrated that libraries, like museums and archives, are ill-prepared to face continued socio-technical determinism. The key drivers of the Internet are single channel convergence, rapid innovation, instant two-way communication driving social interaction and dramatic change in the relationship between the supplier and the user. Collecting institutions, on the other hand, operate within vertically integrated silos restricting horizontal collaboration that has led to fragmentation of developments and constraints on strategy across and within the various institutional sectors. The major challenges that libraries must consider are summarised. Originality/value - The research takes an approach that has never before been attempted, either in scope or depth of analysis. The conclusions may not make comfortable reading for practitioners, but they offer an agenda for new ways of thinking about how public institutions must change to sustain their strategic fit in a digital future."/>
    <s v="[Batt, Chris] Museums Lib &amp; Arch Council MLA, Birmingham, W Midlands, England"/>
    <s v=""/>
    <s v="Batt, C (corresponding author), Museums Lib &amp; Arch Council MLA, Birmingham, W Midlands, England."/>
    <s v=""/>
    <s v=""/>
    <s v=""/>
    <s v=""/>
    <s v=""/>
    <s v=""/>
    <s v=""/>
    <n v="15"/>
    <n v="1"/>
    <n v="1"/>
    <n v="0"/>
    <n v="6"/>
    <s v="EMERALD GROUP PUBLISHING LTD"/>
    <s v="BINGLEY"/>
    <s v="HOWARD HOUSE, WAGON LANE, BINGLEY, W YORKSHIRE BD16 1WA, ENGLAND"/>
    <s v="0732-0671"/>
    <s v=""/>
    <s v="978-1-78560-730-1; 978-1-78560-731-8"/>
    <s v="ADV LIBR ADM ORGAN"/>
    <s v=""/>
    <s v=""/>
    <x v="6"/>
    <n v="35"/>
    <s v=""/>
    <s v=""/>
    <s v=""/>
    <s v=""/>
    <s v=""/>
    <n v="289"/>
    <n v="311"/>
    <s v=""/>
    <s v="10.1108/S0732-067120160000035020"/>
    <s v="http://dx.doi.org/10.1108/S0732-067120160000035020"/>
    <s v=""/>
    <s v=""/>
    <n v="23"/>
    <x v="66"/>
    <x v="7"/>
    <s v="Information Science &amp; Library Science"/>
    <s v="BI4IR"/>
    <s v=""/>
    <s v=""/>
    <s v=""/>
    <s v=""/>
    <s v="2023-11-15"/>
    <s v="WOS:000411797600013"/>
    <s v="View Full Record in Web of Science"/>
    <m/>
  </r>
  <r>
    <x v="546"/>
    <s v="B"/>
    <x v="538"/>
    <s v=""/>
    <s v="Carvalho, L; VanDenBerg, L; Galal, H; Teunisse, P"/>
    <s v=""/>
    <s v="Carvalho, Luis; van Tuijl, Erwin"/>
    <s v=""/>
    <s v=""/>
    <x v="544"/>
    <x v="398"/>
    <s v="EURICUR Series"/>
    <s v=""/>
    <s v="English"/>
    <s v="Article; Book Chapter"/>
    <s v=""/>
    <s v=""/>
    <s v=""/>
    <s v=""/>
    <s v=""/>
    <x v="8"/>
    <x v="385"/>
    <s v=""/>
    <s v="[Carvalho, Luis] Univ Porto, European Inst Comparat Urban Res EURICUR, Oporto, Portugal; [Carvalho, Luis] Univ Porto, Ctr Studies Geog &amp; Spatial Planning CEGOT, Oporto, Portugal; [van Tuijl, Erwin] Erasmus Univ, Reg Port &amp; Transport Econ RHV, Rotterdam, Netherlands; [van Tuijl, Erwin] Erasmus Univ, European Inst Comparat Urban Res Euricur, Rotterdam, Netherlands"/>
    <s v="Universidade do Porto; Universidade do Porto; Erasmus University Rotterdam; Erasmus University Rotterdam - Excl Erasmus MC; Erasmus University Rotterdam - Excl Erasmus MC; Erasmus University Rotterdam"/>
    <s v="Carvalho, L (corresponding author), Univ Porto, European Inst Comparat Urban Res EURICUR, Oporto, Portugal.;Carvalho, L (corresponding author), Univ Porto, Ctr Studies Geog &amp; Spatial Planning CEGOT, Oporto, Portugal."/>
    <s v=""/>
    <s v="Carvalho, Luis/W-3271-2019"/>
    <s v="Carvalho, Luis/0000-0002-7700-4558; van Tuijl, Erwin/0000-0002-8239-8352"/>
    <s v=""/>
    <s v=""/>
    <s v=""/>
    <s v=""/>
    <n v="13"/>
    <n v="1"/>
    <n v="1"/>
    <n v="0"/>
    <n v="1"/>
    <s v="ROUTLEDGE"/>
    <s v="ABINGDON"/>
    <s v="2 PARK SQ, MILTON PARK, ABINGDON OX14 4RN, OXFORD, ENGLAND"/>
    <s v=""/>
    <s v=""/>
    <s v="978-1-315-57636-7; 978-1-4724-8267-9"/>
    <s v="EURICUR SER"/>
    <s v=""/>
    <s v=""/>
    <x v="6"/>
    <s v=""/>
    <s v=""/>
    <s v=""/>
    <s v=""/>
    <s v=""/>
    <s v=""/>
    <n v="19"/>
    <n v="40"/>
    <s v=""/>
    <s v=""/>
    <s v=""/>
    <s v=""/>
    <s v=""/>
    <n v="22"/>
    <x v="162"/>
    <x v="7"/>
    <s v="Business &amp; Economics; Urban Studies"/>
    <s v="BH9RZ"/>
    <s v=""/>
    <s v=""/>
    <s v=""/>
    <s v=""/>
    <s v="2023-11-15"/>
    <s v="WOS:000404288800003"/>
    <s v="View Full Record in Web of Science"/>
    <m/>
  </r>
  <r>
    <x v="547"/>
    <s v="J"/>
    <x v="539"/>
    <s v=""/>
    <s v=""/>
    <s v=""/>
    <s v="Davis, Jenny L."/>
    <s v=""/>
    <s v=""/>
    <x v="545"/>
    <x v="19"/>
    <s v=""/>
    <s v=""/>
    <s v="English"/>
    <s v="Article"/>
    <s v=""/>
    <s v=""/>
    <s v=""/>
    <s v=""/>
    <s v=""/>
    <x v="496"/>
    <x v="386"/>
    <s v="Curation is a key mechanism of sociality in a digital era. With an abundance of information, sifting, sorting, selecting, hiding, and standing out become laborious tasks. While researchers have diligently documented people's curatorial strategies, digital curation remains undertheorized in its own right. I therefore theorize digital curation by disentangling productive curation from consumptive curation, addressing how people curate content that they share, and that which they consume. I embed these agentic curatorial practices within structural bounds, both social and technological. In doing so, I offer a basic theoretical model that captures a dynamic relationship between individual curators, their social networks, and technological design."/>
    <s v="[Davis, Jenny L.] James Madison Univ, Dept Sociol, Harrisonburg, VA 22807 USA"/>
    <s v="James Madison University"/>
    <s v="Davis, JL (corresponding author), James Madison Univ, Dept Sociol, Harrisonburg, VA 22807 USA."/>
    <s v="davis5jl@jmu.edu"/>
    <s v="Davis, Jenny L/P-1898-2017"/>
    <s v="Davis, Jenny L/0000-0003-0952-5842"/>
    <s v=""/>
    <s v=""/>
    <s v=""/>
    <s v=""/>
    <n v="45"/>
    <n v="35"/>
    <n v="35"/>
    <n v="1"/>
    <n v="42"/>
    <s v="ROUTLEDGE JOURNALS, TAYLOR &amp; FRANCIS LTD"/>
    <s v="ABINGDON"/>
    <s v="2-4 PARK SQUARE, MILTON PARK, ABINGDON OX14 4RN, OXON, ENGLAND"/>
    <s v="1369-118X"/>
    <s v="1468-4462"/>
    <s v=""/>
    <s v="INFORM COMMUN SOC"/>
    <s v="Info. Commun. Soc."/>
    <s v=""/>
    <x v="6"/>
    <n v="20"/>
    <n v="5"/>
    <s v=""/>
    <s v=""/>
    <s v=""/>
    <s v=""/>
    <n v="770"/>
    <n v="783"/>
    <s v=""/>
    <s v="10.1080/1369118X.2016.1203972"/>
    <s v="http://dx.doi.org/10.1080/1369118X.2016.1203972"/>
    <s v=""/>
    <s v=""/>
    <n v="14"/>
    <x v="18"/>
    <x v="1"/>
    <s v="Communication; Sociology"/>
    <s v="EO6UJ"/>
    <s v=""/>
    <s v=""/>
    <s v=""/>
    <s v=""/>
    <s v="2023-11-15"/>
    <s v="WOS:000396827700009"/>
    <s v="View Full Record in Web of Science"/>
    <m/>
  </r>
  <r>
    <x v="548"/>
    <s v="J"/>
    <x v="540"/>
    <s v=""/>
    <s v=""/>
    <s v=""/>
    <s v="Feher, Katalin"/>
    <s v=""/>
    <s v=""/>
    <x v="546"/>
    <x v="399"/>
    <s v=""/>
    <s v=""/>
    <s v="English"/>
    <s v="Article"/>
    <s v=""/>
    <s v=""/>
    <s v=""/>
    <s v=""/>
    <s v=""/>
    <x v="497"/>
    <x v="387"/>
    <s v="Users leave digital footprints behind via online systems. Mediatized self-representations by human (inter) actions and digitalized automatization imply decisions and dilemmas on account of online participation. Chains of decisions and network impact produce online mediatized selves embedded in the NetFrameWork where net is the internet, the frame is the context by it and work implies the flow process of always on (inter) actions. Users learn to adapt and to handle the blended online-offline existence. Consequences are unpredictable: both former and updated records are available in an infinite digital present. The first part of this paper introduces the conceptual approach of the digitalized and mediatized self in NetFrameWork. The second part provides an insight into our research-in-progress of personal/professional digital strategies. The qualitative research has focused on strategies with their decision points and interpretation via storylines and metaphors by two segments of different generations. Where is the boundary between personal publicity and privacy in online hyper-connectivity? What are the typical conflicting issues in human/automatized (inter) actions on the Internet and what dilemmas do users have to face in their online self-representation? What is the difference among the observed age groups in online strategy? How can metaphors and storytelling reflect to various digital challenges? The goal of this summary is to present the first results of our research project about digital identity in order to prepare the next research milestone."/>
    <s v="[Feher, Katalin] Univ Appl Sci, Budapest Business Sch, Budapest, Hungary"/>
    <s v="Budapest Business University"/>
    <s v="Fehér, K (corresponding author), Univ Appl Sci, Budapest Business Sch, Budapest, Hungary."/>
    <s v="feher.katalin@uni-bge.hu"/>
    <s v="Feher, Katalin/AAF-3175-2020"/>
    <s v="Feher, Katalin/0000-0003-3293-0862"/>
    <s v=""/>
    <s v=""/>
    <s v=""/>
    <s v=""/>
    <n v="43"/>
    <n v="3"/>
    <n v="3"/>
    <n v="0"/>
    <n v="5"/>
    <s v="CORVINUS UNIV BUDAPEST, DOCTORAL SCH SOCIOLOGY"/>
    <s v="BUDAPEST"/>
    <s v="KOZRAKTAR U 4-6, BUDAPEST, 1093, HUNGARY"/>
    <s v="2061-5558"/>
    <s v="2062-087X"/>
    <s v=""/>
    <s v="CORVINUS J SOCIOL PO"/>
    <s v="Corvinus J. Sociol. Policy"/>
    <s v=""/>
    <x v="6"/>
    <n v="8"/>
    <n v="1"/>
    <s v=""/>
    <s v=""/>
    <s v=""/>
    <s v=""/>
    <n v="111"/>
    <n v="126"/>
    <s v=""/>
    <s v="10.14267/CJSSP.2017.01.06"/>
    <s v="http://dx.doi.org/10.14267/CJSSP.2017.01.06"/>
    <s v=""/>
    <s v=""/>
    <n v="16"/>
    <x v="97"/>
    <x v="2"/>
    <s v="Sociology"/>
    <s v="FC5UN"/>
    <s v=""/>
    <s v="gold, Green Accepted"/>
    <s v=""/>
    <s v=""/>
    <s v="2023-11-15"/>
    <s v="WOS:000406907300006"/>
    <s v="View Full Record in Web of Science"/>
    <m/>
  </r>
  <r>
    <x v="549"/>
    <s v="J"/>
    <x v="541"/>
    <s v=""/>
    <s v=""/>
    <s v=""/>
    <s v="Giraldo Luque, Santiago; Villegas Simon, Isabel; Duran Becerra, Tomas"/>
    <s v=""/>
    <s v=""/>
    <x v="547"/>
    <x v="400"/>
    <s v=""/>
    <s v=""/>
    <s v="English"/>
    <s v="Article"/>
    <s v=""/>
    <s v=""/>
    <s v=""/>
    <s v=""/>
    <s v=""/>
    <x v="498"/>
    <x v="388"/>
    <s v="This study develops a longitudinal research (2010-2015) on 10 countries - 5 European countries (France, United Kingdom, Sweden, Italy and Spain) and 5 American countries (Argentina, Ecuador, Chile, Colombia and the USA). The aim is to compare how the parliaments use its official websites in order to promote the political participation process in the citizenship. The study focuses on the deliberation axe (Macintosh, 2004, Hagen, 2000, Vedel, 2003, 2007) and in the way that representative institutions define a digital strategy to create an online public sphere. Starting with the recognition of Web 2.0 as a debate sphere and as a place of reconfiguration of the traditional -and utopian- Greek Agora, the study adopts the 'deliberate' political action axe to evaluate, qualitatively and quantitatively -using a content analysis methodology- the use of the Web 2.0 tools made by the legislative bodies of the analysed countries. The article shows how, which and what parliaments use Web 2.0 tools - integrated in their web page - as a scenario that allows deliberation at the different legislative processes that integrate the examined political systems. Finally, the comparative results show the main differences and similarities between the countries, as well as a tendency to reduce deliberation tools offering by representative institutions in the countries sampled."/>
    <s v="[Giraldo Luque, Santiago; Villegas Simon, Isabel; Duran Becerra, Tomas] Univ Autonoma Barcelona, Barcelona, Spain"/>
    <s v="Autonomous University of Barcelona"/>
    <s v="Luque, SG (corresponding author), Univ Autonoma Barcelona, Barcelona, Spain."/>
    <s v="santiago.giraldo@uab.cat; isabelmaria.villegas@uab.cat; tomas.duran@uab.cat"/>
    <s v="Becerra, Tomás Durán/P-3386-2018; Simón, Isabel Villegas/AAC-3345-2021; Giraldo-Luque, Santiago/L-6662-2015"/>
    <s v="Becerra, Tomás Durán/0000-0002-5332-8785; Simón, Isabel Villegas/0000-0003-3064-6876; Giraldo Luque, Santiago/0000-0003-0024-7081"/>
    <s v=""/>
    <s v=""/>
    <s v=""/>
    <s v=""/>
    <n v="71"/>
    <n v="6"/>
    <n v="8"/>
    <n v="0"/>
    <n v="7"/>
    <s v="UNIV NAVARRA, SERVICIO PUBLICACIONES"/>
    <s v="PAMPLONA"/>
    <s v="CAMPUS UNIV, CARRETERA DEL SADAR S-N, APARTADO 177, 31080 PAMPLONA, SPAIN"/>
    <s v="2386-7876"/>
    <s v=""/>
    <s v=""/>
    <s v="COMMUN SOC-SPAIN"/>
    <s v="Commun. Soc.-Spain"/>
    <s v=""/>
    <x v="6"/>
    <n v="30"/>
    <n v="4"/>
    <s v=""/>
    <s v=""/>
    <s v=""/>
    <s v=""/>
    <n v="77"/>
    <n v="97"/>
    <s v=""/>
    <s v="10.15581/003.30.3.77-97"/>
    <s v="http://dx.doi.org/10.15581/003.30.3.77-97"/>
    <s v=""/>
    <s v=""/>
    <n v="21"/>
    <x v="56"/>
    <x v="2"/>
    <s v="Communication"/>
    <s v="FQ1UK"/>
    <s v=""/>
    <s v=""/>
    <s v=""/>
    <s v=""/>
    <s v="2023-11-15"/>
    <s v="WOS:000418142900006"/>
    <s v="View Full Record in Web of Science"/>
    <m/>
  </r>
  <r>
    <x v="550"/>
    <s v="J"/>
    <x v="542"/>
    <s v=""/>
    <s v=""/>
    <s v=""/>
    <s v="Guo, S.; Ding, W.; Lanshina, T."/>
    <s v=""/>
    <s v=""/>
    <x v="548"/>
    <x v="265"/>
    <s v=""/>
    <s v=""/>
    <s v="Russian"/>
    <s v="Article"/>
    <s v=""/>
    <s v=""/>
    <s v=""/>
    <s v=""/>
    <s v=""/>
    <x v="499"/>
    <x v="1"/>
    <s v="Recent decades have seen a rapid digital transformation resulting in important and sometimes crucial changes in business, society and the global economy. After the global crisis of 2008-2009, digital industries have been the most dynamic and promising in the global economy. Still, the world has not yet found abalance between the benefits and risks of a digital economy and thus global governance in this sphere is required. This article analyses the role and unique characteristics of the Group of 20 (G20) in the sphere of global governance in the digital economy. The authors review the definitions of digital economy and identify the key characteristics of this sector. They highlight the challenges the digital economy poses for international cooperation, analyse digital strategies of G20 countries and study the G20's participation in global digital economy governance. Following on this, the authors analyse the potential for Chinese and Russian leadership and make recommendations concerning the participation of the G20 in the global governance of the digital economy. The authors offer several conclusions based on their analysis. First, international society has to govern the digital economy properly to eliminate distortions between developed and developing countries, ensure cyber security and achieve a higher quality of life for all. Second, the G20 has very limited experience in the sphere of digital economy governance, but as a leader withsoft power and as an organization with members who have developed their digital sectors and those that that lag behind, it may play a lead role in the global governance of the digital economy. Third, while the U.S. has historically dominated the information technology (IT) sector and the digital economy, China has improved its position enough to warrant a greater role in global governance. Russia may also play a greater (though not a leading) role, taking into account its experience and potential. The authors also conclude that the G20 should pay more attention to cooperation with African countries and promote tools to encourage voluntary cooperation, first and foremost with developing countries. The G20 should also work to improve international cyber security and involve the nongovernmental sector in the process of the global digital governance more often. Finally, the G20 should position itself properly and actively in the sphere of digital governance to optimize its functions as the hub of global governance."/>
    <s v="[Guo, S.; Ding, W.] SISU, SIRPA, 550 Dalian Rd W, Shanghai 200083, Peoples R China; [Lanshina, T.] Russian Presidential Acad Natl Econ &amp; Publ Adm RA, Ctr Econ Modeling Energy &amp; Environm, Bldg 1,82 Prospect Vernadskogo, Moscow 119571, Russia; [Lanshina, T.] Russian Acad Sci ISKRAN, Ctr Ind Studies, Inst US &amp; Canadian Studies, Bldg 1,82 Prospect Vernadskogo, Moscow 119571, Russia"/>
    <s v="Shanghai International Studies University; Russian Presidential Academy of National Economy &amp; Public Administration; Russian Academy of Sciences; Institute for the US &amp; Canadian Studies, Russian Academy of Sciences"/>
    <s v="Guo, S (corresponding author), SISU, SIRPA, 550 Dalian Rd W, Shanghai 200083, Peoples R China."/>
    <s v="syguo@shisu.edu.cn; dwh1010@foxmail.com; lanshina@ranepa.ru"/>
    <s v="Lanshina, Tatiana/AAJ-1594-2021"/>
    <s v=""/>
    <s v=""/>
    <s v=""/>
    <s v=""/>
    <s v=""/>
    <n v="26"/>
    <n v="6"/>
    <n v="6"/>
    <n v="1"/>
    <n v="28"/>
    <s v="NATL RESEARCH UNIV HIGHER SCH ECONOMICS"/>
    <s v="MOSCOW"/>
    <s v="SHABOLOVKA, 26, MOSCOW, 119049, RUSSIA"/>
    <s v="1996-7845"/>
    <s v=""/>
    <s v=""/>
    <s v="VESTN MEZHDUNARODNYK"/>
    <s v="Vestn. Mezhdunarodnykh Organ."/>
    <s v=""/>
    <x v="6"/>
    <n v="12"/>
    <n v="4"/>
    <s v=""/>
    <s v=""/>
    <s v=""/>
    <s v=""/>
    <n v="169"/>
    <n v="184"/>
    <s v=""/>
    <s v=""/>
    <s v=""/>
    <s v=""/>
    <s v=""/>
    <n v="16"/>
    <x v="32"/>
    <x v="2"/>
    <s v="International Relations"/>
    <s v="FS3XL"/>
    <s v=""/>
    <s v=""/>
    <s v=""/>
    <s v=""/>
    <s v="2023-11-15"/>
    <s v="WOS:000419717800008"/>
    <s v="View Full Record in Web of Science"/>
    <m/>
  </r>
  <r>
    <x v="551"/>
    <s v="J"/>
    <x v="543"/>
    <s v=""/>
    <s v=""/>
    <s v=""/>
    <s v="Hartmann, Heiko"/>
    <s v=""/>
    <s v=""/>
    <x v="549"/>
    <x v="401"/>
    <s v=""/>
    <s v=""/>
    <s v="English"/>
    <s v="Article"/>
    <s v=""/>
    <s v=""/>
    <s v=""/>
    <s v=""/>
    <s v=""/>
    <x v="500"/>
    <x v="1"/>
    <s v="The traditional business model of academic publishers is in peril. Besides the consequences of digitization, publishers have to cope with new habits of media reception, a multitude of new substitutes, legal uncertainties, and the threat from open access. German publishers are reacting in very different ways to the challenges of the market for scholarly literature. While some smaller independent publishers are still concentrating on print titles and barely offer any electronic products, others rely on a modern digital strategy, intensive internationalization, and a large portfolio of e-products including open access formats. Focusing on the humanities, this essay analyses the current situation of German academic publishers and asks how they can succeed in the future when proven business models are no longer accepted by new market players."/>
    <s v="[Hartmann, Heiko] HTWK, Book Trade &amp; Publishing Ind, Leipzig, Germany"/>
    <s v=""/>
    <s v="Hartmann, H (corresponding author), HTWK, Book Trade &amp; Publishing Ind, Leipzig, Germany."/>
    <s v="heiko.hartmann@htwk-leipzig.de"/>
    <s v=""/>
    <s v=""/>
    <s v=""/>
    <s v=""/>
    <s v=""/>
    <s v=""/>
    <n v="34"/>
    <n v="0"/>
    <n v="0"/>
    <n v="0"/>
    <n v="10"/>
    <s v="BRILL ACADEMIC PUBLISHERS"/>
    <s v="LEIDEN"/>
    <s v="PLANTIJNSTRAAT 2, P O BOX 9000, 2300 PA LEIDEN, NETHERLANDS"/>
    <s v="0957-9656"/>
    <s v="1878-4712"/>
    <s v=""/>
    <s v="LOGOS J WORLD PUBL C"/>
    <s v="Logos-J. World Publ. Community"/>
    <s v=""/>
    <x v="6"/>
    <n v="28"/>
    <n v="2"/>
    <s v=""/>
    <s v=""/>
    <s v=""/>
    <s v=""/>
    <n v="11"/>
    <n v="26"/>
    <s v=""/>
    <s v="10.1163/1878-4712-11112127"/>
    <s v="http://dx.doi.org/10.1163/1878-4712-11112127"/>
    <s v=""/>
    <s v=""/>
    <n v="16"/>
    <x v="55"/>
    <x v="2"/>
    <s v="Arts &amp; Humanities - Other Topics"/>
    <s v="FH8OC"/>
    <s v=""/>
    <s v=""/>
    <s v=""/>
    <s v=""/>
    <s v="2023-11-15"/>
    <s v="WOS:000411455400003"/>
    <s v="View Full Record in Web of Science"/>
    <m/>
  </r>
  <r>
    <x v="552"/>
    <s v="J"/>
    <x v="544"/>
    <s v=""/>
    <s v=""/>
    <s v=""/>
    <s v="Iaia, Lea; Scorrano, Paola; Fait, Monica; Cavallo, Federica"/>
    <s v=""/>
    <s v=""/>
    <x v="550"/>
    <x v="402"/>
    <s v=""/>
    <s v=""/>
    <s v="English"/>
    <s v="Article"/>
    <s v=""/>
    <s v=""/>
    <s v=""/>
    <s v=""/>
    <s v=""/>
    <x v="501"/>
    <x v="389"/>
    <s v="Purpose - The purpose of this paper is to deepen the web marketing strategies used by wine family businesses (FBs) with the aim to identify the role assigned to websites, the online models and the competitive strategies implemented through them. Design/methodology/approach - In order to examine the content and structure of the information found on the website of selected FBs, an ad hoc analysis model was designed and validated with the support of marketing and industry experts through an inspecting focus group (Mich, 2007). Findings - The subsequent observation of the websites of the businesses studied showed that family-run Italian wineries use their websites mainly to present information about the business and as a relational tool through edutainment activities; FBs yet neglect the potential of e-commerce. Research limitations/implications - The study highlights the importance and the attention that FBs, among others, should dedicate to the role of web communications within their communications strategy. Although this path has allowed the traits essential to launch effective online communications for FBs, the small number of businesses surveyed (ten) does not permit a theoretical generalisation of the results. Thus, we expect to integrate the information obtained from this preliminary study with in-depth interviews with the digital strategists for the companies examined or by increasing the number of FBs studied. Originality/value - The paper provides an evaluation model to effectively organise the websites' contents; wine businesses should consider and customise these essential elements with the brand's specific details."/>
    <s v="[Iaia, Lea; Scorrano, Paola; Fait, Monica; Cavallo, Federica] Univ Salento, Dept Management Econ Math &amp; Stat, Lecce, Italy"/>
    <s v="University of Salento"/>
    <s v="Scorrano, P (corresponding author), Univ Salento, Dept Management Econ Math &amp; Stat, Lecce, Italy."/>
    <s v="paola.scorrano@unisalento.it"/>
    <s v="Fait, Monica/AAA-4283-2020; Iaia, Lea/R-4911-2019; scorrano, paola/N-6534-2015"/>
    <s v="Fait, Monica/0000-0003-2448-3839; Iaia, Lea/0000-0003-4650-1233; scorrano, paola/0000-0002-7964-9931"/>
    <s v=""/>
    <s v=""/>
    <s v=""/>
    <s v=""/>
    <n v="64"/>
    <n v="16"/>
    <n v="17"/>
    <n v="3"/>
    <n v="32"/>
    <s v="EMERALD GROUP PUBLISHING LTD"/>
    <s v="BINGLEY"/>
    <s v="HOWARD HOUSE, WAGON LANE, BINGLEY BD16 1WA, W YORKSHIRE, ENGLAND"/>
    <s v="0007-070X"/>
    <s v="1758-4108"/>
    <s v=""/>
    <s v="BRIT FOOD J"/>
    <s v="Br. Food J."/>
    <s v=""/>
    <x v="6"/>
    <n v="119"/>
    <n v="11"/>
    <s v=""/>
    <s v=""/>
    <s v="SI"/>
    <s v=""/>
    <n v="2294"/>
    <n v="2308"/>
    <s v=""/>
    <s v="10.1108/BFJ-02-2017-0110"/>
    <s v="http://dx.doi.org/10.1108/BFJ-02-2017-0110"/>
    <s v=""/>
    <s v=""/>
    <n v="15"/>
    <x v="163"/>
    <x v="3"/>
    <s v="Agriculture; Food Science &amp; Technology"/>
    <s v="FN6KC"/>
    <s v=""/>
    <s v=""/>
    <s v=""/>
    <s v=""/>
    <s v="2023-11-15"/>
    <s v="WOS:000416122000002"/>
    <s v="View Full Record in Web of Science"/>
    <m/>
  </r>
  <r>
    <x v="553"/>
    <s v="J"/>
    <x v="545"/>
    <s v=""/>
    <s v=""/>
    <s v=""/>
    <s v="Oyarce-Cruz, Jacqueline"/>
    <s v=""/>
    <s v=""/>
    <x v="551"/>
    <x v="403"/>
    <s v=""/>
    <s v=""/>
    <s v="Spanish"/>
    <s v="Article"/>
    <s v=""/>
    <s v=""/>
    <s v=""/>
    <s v=""/>
    <s v=""/>
    <x v="502"/>
    <x v="1"/>
    <s v="The main objective of creating a Media Lab as specialized space was to study internet and other digital media in mass communication. A specific objective was to study and apply digital strategies to broadcast scientific contributions of the Universidad Nacional Mayor de San Marcos. It is an applied, cross-sectional study. It uses podcast, streaming and hypertext. As a result, the Media Lab UNMSM was created. Today is a Research Nucleus of the Universidad Nacional Mayor de San Marcos. A Media Lab enables students and professors to innovate with digital media. It also helps to spread scientific content among the community. It is the first Media Lab of the Peruvian university."/>
    <s v="[Oyarce-Cruz, Jacqueline] Univ Nacl Mayor San Marcos, Lima, Peru"/>
    <s v="Universidad Nacional Mayor de San Marcos"/>
    <s v="Oyarce-Cruz, J (corresponding author), Univ Nacl Mayor San Marcos, Lima, Peru."/>
    <s v="moyarcec@unmsm.edu.pe"/>
    <s v="Oyarce-Cruz, Maria Jacqueline/GRY-7131-2022"/>
    <s v="Oyarce-Cruz, Jacqueline/0000-0003-4445-1092"/>
    <s v=""/>
    <s v=""/>
    <s v=""/>
    <s v=""/>
    <n v="9"/>
    <n v="0"/>
    <n v="0"/>
    <n v="0"/>
    <n v="7"/>
    <s v="UNIV NACIONAL MAYOR SAN MARCOS"/>
    <s v="LIMA"/>
    <s v="CIUDAD UNIVERSITARIA, AV VENEZUELA CDRA. 34 S/N, CASILLA POSTAL 11-0058, LIMA, 11, PERU"/>
    <s v="0378-4878"/>
    <s v="2071-5072"/>
    <s v=""/>
    <s v="LETRAS-LIMA"/>
    <s v="Letras"/>
    <s v="JAN-JUN"/>
    <x v="6"/>
    <n v="88"/>
    <n v="127"/>
    <s v=""/>
    <s v=""/>
    <s v=""/>
    <s v=""/>
    <n v="185"/>
    <n v="196"/>
    <s v=""/>
    <s v=""/>
    <s v=""/>
    <s v=""/>
    <s v=""/>
    <n v="12"/>
    <x v="55"/>
    <x v="2"/>
    <s v="Arts &amp; Humanities - Other Topics"/>
    <s v="FI0LW"/>
    <s v=""/>
    <s v=""/>
    <s v=""/>
    <s v=""/>
    <s v="2023-11-15"/>
    <s v="WOS:000411618500009"/>
    <s v="View Full Record in Web of Science"/>
    <m/>
  </r>
  <r>
    <x v="554"/>
    <s v="S"/>
    <x v="546"/>
    <s v=""/>
    <s v="Freire, FC; Araujo, XR; Fernandez, VAM; Garcia, XL"/>
    <s v=""/>
    <s v="Paladines, Fanny; Granda Tandazo, Carlos; Martinez Fernandez, Valentin Alejandro"/>
    <s v=""/>
    <s v=""/>
    <x v="552"/>
    <x v="404"/>
    <s v="Advances in Intelligent Systems and Computing"/>
    <s v=""/>
    <s v="English"/>
    <s v="Article; Book Chapter"/>
    <s v=""/>
    <s v=""/>
    <s v=""/>
    <s v=""/>
    <s v=""/>
    <x v="503"/>
    <x v="1"/>
    <s v="At present, companies face the challenge of addressing the new forms of communication by positioning their brands. This in turn results in the emergence of new professional profiles, such as the Community Manager. The present research analyses quantitative information from experts in the digital area of Ecuadorian, Mexican, Argentinian, Colombian, Venezuelan, and Uruguayan organizations. The study is focused on the study of the role of Community Managers in strategic communication. Inputs of particular interest for this research include: (a) the importance attached to the training and tools handling to address strategic issues; (b) the role of the manager of virtual communities related to companies, in order to know and control communication flows and consolidate a brand or business; (c) the participation, interaction, creation of engaging content, positioning and online reputation. This paper is aimed at contributing to research on the subject. In the region, figures providing evidence in this field are scarce and of little relevance."/>
    <s v="[Paladines, Fanny; Granda Tandazo, Carlos] Tech Particular Univ Loja UTPL, Loja, Ecuador; [Martinez Fernandez, Valentin Alejandro] Univ A Coruna, La Coruna, Spain"/>
    <s v="Universidade da Coruna"/>
    <s v="Paladines, F (corresponding author), Tech Particular Univ Loja UTPL, Loja, Ecuador."/>
    <s v="fypaladines@utpl.edu.ec; cwgranda@utpl.edu.ec"/>
    <s v="Martínez-Fernández, Valentín-Alejandro/P-3675-2019"/>
    <s v="VALENTIN-ALEJANDRO, MARTINEZ-FERNANDEZ/0000-0003-0069-675X"/>
    <s v=""/>
    <s v=""/>
    <s v=""/>
    <s v=""/>
    <n v="13"/>
    <n v="0"/>
    <n v="0"/>
    <n v="0"/>
    <n v="3"/>
    <s v="SPRINGER INTERNATIONAL PUBLISHING AG"/>
    <s v="CHAM"/>
    <s v="GEWERBESTRASSE 11, CHAM, CH-6330, SWITZERLAND"/>
    <s v="2194-5357"/>
    <s v=""/>
    <s v="978-3-319-46068-0; 978-3-319-46066-6"/>
    <s v="ADV INTELL SYST"/>
    <s v=""/>
    <s v=""/>
    <x v="6"/>
    <n v="503"/>
    <s v=""/>
    <s v=""/>
    <s v=""/>
    <s v=""/>
    <s v=""/>
    <n v="213"/>
    <n v="219"/>
    <s v=""/>
    <s v="10.1007/978-3-319-46068-0_27"/>
    <s v="http://dx.doi.org/10.1007/978-3-319-46068-0_27"/>
    <s v="10.1007/978-3-319-46068-0"/>
    <s v=""/>
    <n v="7"/>
    <x v="56"/>
    <x v="7"/>
    <s v="Communication"/>
    <s v="BH3UQ"/>
    <s v=""/>
    <s v=""/>
    <s v=""/>
    <s v=""/>
    <s v="2023-11-15"/>
    <s v="WOS:000400026600028"/>
    <s v="View Full Record in Web of Science"/>
    <m/>
  </r>
  <r>
    <x v="555"/>
    <s v="J"/>
    <x v="547"/>
    <s v=""/>
    <s v=""/>
    <s v=""/>
    <s v="Pettersson, Katarina; Sakki, Inari"/>
    <s v=""/>
    <s v=""/>
    <x v="553"/>
    <x v="405"/>
    <s v=""/>
    <s v=""/>
    <s v="English"/>
    <s v="Article"/>
    <s v=""/>
    <s v=""/>
    <s v=""/>
    <s v=""/>
    <s v=""/>
    <x v="504"/>
    <x v="390"/>
    <s v="Political blogs have come to constitute important channels for expressing nationalist and anti-immigration political views. The new forms that this rhetoric may take, comprising an intricate intermingling of verbal, digital, (audio-)visual, and communicative elements, present challenges for qualitative research. In this article we propose a way for analysing this new nationalist political discourse from a qualitative social psychological perspective. The suggested approach combines analytical procedures form critical discursive and rhetorical psychology with social semiotic and rhetorical studies of images, completed with analytical tools and concepts from narrative psychology and research into online political communication. Using two empirical examples of nationalist and anti-immigration political blog-entries written during the 2015 refugee crisis, we show this approach enables the researcher to adequately study how such political messages are conveyed through the multitude of elements provided by the blogs. In so doing, our ultimate goal is to contribute to the analytical capacity of qualitative social psychological research into contemporary political communication and persuasion."/>
    <s v="[Pettersson, Katarina; Sakki, Inari] Univ Helsinki, Dept Social Res, Social Psychol, Helsinki, Finland"/>
    <s v="University of Helsinki"/>
    <s v="Pettersson, K (corresponding author), Univ Helsinki, Dept Social Res, POB 54, FIN-00014 Helsinki, Finland."/>
    <s v="katarina.pettersson@helsinki.fi"/>
    <s v=""/>
    <s v="Pettersson, Katarina/0000-0001-8336-9505"/>
    <s v="Kulttuurin ja Yhteiskunnan Tutkimuksen Toimikunta, Suomen Akatemia [252141]; Academy of Finland (AKA) [252141] Funding Source: Academy of Finland (AKA)"/>
    <s v="Kulttuurin ja Yhteiskunnan Tutkimuksen Toimikunta, Suomen Akatemia; Academy of Finland (AKA)(Research Council of Finland)"/>
    <s v="The authors received funding from Kulttuurin ja Yhteiskunnan Tutkimuksen Toimikunta, Suomen Akatemia, grant number 252141."/>
    <s v=""/>
    <n v="93"/>
    <n v="17"/>
    <n v="17"/>
    <n v="0"/>
    <n v="14"/>
    <s v="ROUTLEDGE JOURNALS, TAYLOR &amp; FRANCIS LTD"/>
    <s v="ABINGDON"/>
    <s v="2-4 PARK SQUARE, MILTON PARK, ABINGDON OX14 4RN, OXON, ENGLAND"/>
    <s v="1478-0887"/>
    <s v="1478-0895"/>
    <s v=""/>
    <s v="QUAL RES PSYCHOL"/>
    <s v="Qual. Res. Psychol."/>
    <s v=""/>
    <x v="6"/>
    <n v="14"/>
    <n v="3"/>
    <s v=""/>
    <s v=""/>
    <s v=""/>
    <s v=""/>
    <n v="315"/>
    <n v="349"/>
    <s v=""/>
    <s v="10.1080/14780887.2017.1290177"/>
    <s v="http://dx.doi.org/10.1080/14780887.2017.1290177"/>
    <s v=""/>
    <s v=""/>
    <n v="35"/>
    <x v="47"/>
    <x v="1"/>
    <s v="Psychology"/>
    <s v="EY4BB"/>
    <s v=""/>
    <s v="Green Published, hybrid"/>
    <s v=""/>
    <s v=""/>
    <s v="2023-11-15"/>
    <s v="WOS:000403920100004"/>
    <s v="View Full Record in Web of Science"/>
    <m/>
  </r>
  <r>
    <x v="556"/>
    <s v="J"/>
    <x v="548"/>
    <s v=""/>
    <s v=""/>
    <s v=""/>
    <s v="Rodriguez Fernandez, Leticia; Saavedra Llamas, Marta"/>
    <s v=""/>
    <s v=""/>
    <x v="554"/>
    <x v="406"/>
    <s v=""/>
    <s v=""/>
    <s v="Spanish"/>
    <s v="Article"/>
    <s v=""/>
    <s v=""/>
    <s v=""/>
    <s v=""/>
    <s v=""/>
    <x v="505"/>
    <x v="391"/>
    <s v="Social networks have transformed political communication, and now political parties face new challenges in approaching citizens, combining Twitter with the use of traditional media in their communication strategy. In this digital context, the social media audience has established itself as a faithful and participatory community that continues to gain importance in television channels' transmedia strategy, while creating new challenges for these organizations. This article examines the digital strategy for social media audiences used by the main political parties during the electoral debate on June 13, 2016. Broadcast on 17 television channels, it was the fifth most watched debate in Spanish history, and it generated 1.8 million tweets. Analysis has been carried out on the production of content shared on Twitter by each political group and the relationship established with the community to determine if political parties incorporated the social media audience in their strategies."/>
    <s v="[Rodriguez Fernandez, Leticia] Univ Antonio Nebrija, Comunicac Org, Madrid, Spain; [Saavedra Llamas, Marta] Univ Antonio Nebrija, Madrid, Spain"/>
    <s v="Universidad Antonio de Nebrija; Universidad Antonio de Nebrija"/>
    <s v="Fernández, LR (corresponding author), Univ Antonio Nebrija, Comunicac Org, Madrid, Spain."/>
    <s v="leticiarofer@gmail.com; msaavedr@nebrjia.es"/>
    <s v="Rodríguez, Leticia/AAB-4766-2019"/>
    <s v="Rodríguez, Leticia/0000-0002-7472-5472"/>
    <s v=""/>
    <s v=""/>
    <s v=""/>
    <s v=""/>
    <n v="20"/>
    <n v="1"/>
    <n v="1"/>
    <n v="0"/>
    <n v="3"/>
    <s v="UNIV RAMON LLULL, FAC CIENCIES COMUNICACIO BLANQUERNA"/>
    <s v="BARCELONA"/>
    <s v="C VALLDONZELLA, 23, BARCELONA, 08001, SPAIN"/>
    <s v="1138-3305"/>
    <s v="2340-5007"/>
    <s v=""/>
    <s v="TRIPODOS"/>
    <s v="Tripodos"/>
    <s v=""/>
    <x v="6"/>
    <s v=""/>
    <n v="41"/>
    <s v=""/>
    <s v=""/>
    <s v=""/>
    <s v=""/>
    <n v="173"/>
    <n v="191"/>
    <s v=""/>
    <s v=""/>
    <s v=""/>
    <s v=""/>
    <s v=""/>
    <n v="19"/>
    <x v="56"/>
    <x v="2"/>
    <s v="Communication"/>
    <s v="GM0HU"/>
    <s v=""/>
    <s v=""/>
    <s v=""/>
    <s v=""/>
    <s v="2023-11-15"/>
    <s v="WOS:000437730000011"/>
    <s v="View Full Record in Web of Science"/>
    <m/>
  </r>
  <r>
    <x v="557"/>
    <s v="B"/>
    <x v="549"/>
    <s v="SandovalAlmazan, R; LunaReyes, LF; LunaReyes, DE; GilGarcia, JR; PuronCid, G; PicazoVela, S"/>
    <s v=""/>
    <s v=""/>
    <s v="Sandoval-Almazan, Rodrigo; Luna-Reyes, Luis F.; Luna-Reyes, Dolores E.; Ramon Gil-Garcia, J.; Puron-Cid, Gabriel; Picazo-Vela, Sergio"/>
    <s v="SandovalAlmazan, R; LunaReyes, LF; LunaReyes, DE; GilGarcia, JR; PuronCid, G; PicazoVela, S"/>
    <s v=""/>
    <x v="555"/>
    <x v="407"/>
    <s v="Public Administration and Information Technology"/>
    <s v=""/>
    <s v="English"/>
    <s v="Article; Book Chapter"/>
    <s v=""/>
    <s v=""/>
    <s v=""/>
    <s v=""/>
    <s v=""/>
    <x v="8"/>
    <x v="1"/>
    <s v="This chapter introduces the concept of digital government and its potential to transform government operations at two different levels. The first broader level refers to the conceptualization of a national digital strategy as a way to promote social and economic development of a society as a whole. Such national digital strategy is the result of negotiations among a multitude of actors within and outside the government and involves managing challenges resulting from power imbalances among key stakeholders and the creation of appropriate institutions to ensure a long-term vision. The second level, which we call enterprise strategy, focuses on developing plans and implementing programs to facilitate the creation of technology infrastructure and systems that support the substantive work of government. Digital government enterprise strategy encompasses those who are responsible for managing information technology and systems in different government agencies and working closely with the programmatic areas to plan and implement technology initiatives that deliver public value."/>
    <s v="[Sandoval-Almazan, Rodrigo] Autonomous Univ State Mexico, Polit &amp; Social Sci Sch, Toluca, Mexico; [Luna-Reyes, Luis F.; Ramon Gil-Garcia, J.] SUNY Albany, Dept Publ Adm &amp; Policy, Albany, NY 12222 USA; [Luna-Reyes, Dolores E.] Univ Americas Puebla, Dept Ind &amp; Mech Engn, Cholula, Puebla, Mexico; [Ramon Gil-Garcia, J.] SUNY Albany, Ctr Technol Govt, Albany, NY 12222 USA; [Puron-Cid, Gabriel] Ctr Invest &amp; Docencia Econ AC CIDE, Dept Publ Adm, Aguascalientes, Aguascalientes, Mexico; [Picazo-Vela, Sergio] Univ Americas Puebla, Dept Business Adm, Cholula, Mexico"/>
    <s v="Universidad Autonoma del Estado de Mexico; State University of New York (SUNY) System; State University of New York (SUNY) Albany; Universidad Americas Puebla (UDLAP); State University of New York (SUNY) System; State University of New York (SUNY) Albany; Universidad Americas Puebla (UDLAP)"/>
    <s v="Sandoval-Almazán, R (corresponding author), Autonomous Univ State Mexico, Polit &amp; Social Sci Sch, Toluca, Mexico."/>
    <s v=""/>
    <s v="Luna, Dolores E/T-4076-2017; Luna-Reyes, Luis/G-5548-2012; Gil-Garcia, J. Ramon/A-9636-2009; Puron-Cid, Gabriel/AAY-5661-2021"/>
    <s v="Luna, Dolores E/0000-0002-0601-5006; Luna-Reyes, Luis/0000-0002-0852-404X; Gil-Garcia, J. Ramon/0000-0002-1033-4974; Puron-Cid, Gabriel/0000-0002-6272-7374"/>
    <s v=""/>
    <s v=""/>
    <s v=""/>
    <s v=""/>
    <n v="20"/>
    <n v="1"/>
    <n v="1"/>
    <n v="0"/>
    <n v="8"/>
    <s v="SPRINGER"/>
    <s v="NEW YORK"/>
    <s v="233 SPRING STREET, NEW YORK, NY 10013, UNITED STATES"/>
    <s v=""/>
    <s v=""/>
    <s v="978-3-319-60348-3; 978-3-319-60347-6"/>
    <s v="PUB ADMIN INF TECH"/>
    <s v=""/>
    <s v=""/>
    <x v="6"/>
    <n v="16"/>
    <s v=""/>
    <s v=""/>
    <s v=""/>
    <s v=""/>
    <s v=""/>
    <n v="7"/>
    <n v="20"/>
    <s v=""/>
    <s v="10.1007/978-3-319-60348-3_2"/>
    <s v="http://dx.doi.org/10.1007/978-3-319-60348-3_2"/>
    <s v="10.1007/978-3-319-60348-3"/>
    <s v=""/>
    <n v="14"/>
    <x v="164"/>
    <x v="7"/>
    <s v="Business &amp; Economics; Public Administration"/>
    <s v="BK6DZ"/>
    <s v=""/>
    <s v=""/>
    <s v=""/>
    <s v=""/>
    <s v="2023-11-15"/>
    <s v="WOS:000440134800003"/>
    <s v="View Full Record in Web of Science"/>
    <m/>
  </r>
  <r>
    <x v="558"/>
    <s v="J"/>
    <x v="550"/>
    <s v=""/>
    <s v=""/>
    <s v=""/>
    <s v="Schutte, Johann"/>
    <s v=""/>
    <s v=""/>
    <x v="556"/>
    <x v="408"/>
    <s v=""/>
    <s v=""/>
    <s v="English"/>
    <s v="Article"/>
    <s v=""/>
    <s v=""/>
    <s v=""/>
    <s v=""/>
    <s v=""/>
    <x v="506"/>
    <x v="1"/>
    <s v="Purpose - A research project exploring emerging student needs explored six aspects of student life: living, learning, working, playing, connecting and participating. Participating is explored here. This aspect focuses on the ways that students may become active citizens by participating in civic life. Insights are gained as to how students may engage with universities and governments and how they will contribute to the public sphere. Themes such as voting, (h) activism, transparency and digital strategies to improve governance are explored. This paper aims to summarize two scenarios about the Participating domain from the Student Needs 2025+ project and highlight implications for the future of higher education. Design/methodology/approach - A modified version of the University of Houston's Framework Foresight method was used to explore the future of six aspects of future student life. Findings - The ability of students and citizens to innovate and affect change should not be underestimated. The maker movement and the life hacking meme are symbols of the hidden societal energy available to governments to improve the world and solve our pressing issues. For this to be effective, the role of the hacker, and hacktivism in general as a form of civic participation, should be reframed as a positive contributor of change. The relationship between governing bodies and activism is at a crossroads. The current age of interconnectivity offers tremendous potential for governing bodies to include civil contributions and innovation in a powerful, net-positive way. However, the status quo is so often the opposite and those who are being governed are perceived as a threat. There is a need for key players and leaders to creatively act according to innovative paradigms and principles that strategically reconcile the hacked and the hacking for the greater good of society. Research limitations/implications - In terms of research limitations, the paper is focused on the needs of students and does not purport to be an exhaustive analysis of all of the issues influencing higher education. It views the future of higher education through the lens of students and their emerging needs. Originality/value - This paper explores student life in its totality as a way to more accurately identify student needs in the future."/>
    <s v="[Schutte, Johann] Houston Foresight Program, Houston, TX 77204 USA"/>
    <s v=""/>
    <s v="Schutte, J (corresponding author), Houston Foresight Program, Houston, TX 77204 USA."/>
    <s v="johann@joevillage.org.za"/>
    <s v=""/>
    <s v=""/>
    <s v=""/>
    <s v=""/>
    <s v=""/>
    <s v=""/>
    <n v="0"/>
    <n v="1"/>
    <n v="1"/>
    <n v="0"/>
    <n v="8"/>
    <s v="EMERALD GROUP PUBLISHING LTD"/>
    <s v="BINGLEY"/>
    <s v="HOWARD HOUSE, WAGON LANE, BINGLEY BD16 1WA, W YORKSHIRE, ENGLAND"/>
    <s v="1074-8121"/>
    <s v="2054-1708"/>
    <s v=""/>
    <s v="HORIZON"/>
    <s v="Horizon"/>
    <s v=""/>
    <x v="6"/>
    <n v="25"/>
    <n v="3"/>
    <s v=""/>
    <s v=""/>
    <s v="SI"/>
    <s v=""/>
    <n v="177"/>
    <n v="180"/>
    <s v=""/>
    <s v="10.1108/OTH-05-2017-0025"/>
    <s v="http://dx.doi.org/10.1108/OTH-05-2017-0025"/>
    <s v=""/>
    <s v=""/>
    <n v="4"/>
    <x v="39"/>
    <x v="2"/>
    <s v="Education &amp; Educational Research"/>
    <s v="FD5UF"/>
    <s v=""/>
    <s v=""/>
    <s v=""/>
    <s v=""/>
    <s v="2023-11-15"/>
    <s v="WOS:000407594600008"/>
    <s v="View Full Record in Web of Science"/>
    <m/>
  </r>
  <r>
    <x v="559"/>
    <s v="J"/>
    <x v="551"/>
    <s v=""/>
    <s v=""/>
    <s v=""/>
    <s v="Solovey, V. D."/>
    <s v=""/>
    <s v=""/>
    <x v="557"/>
    <x v="409"/>
    <s v=""/>
    <s v=""/>
    <s v="Russian"/>
    <s v="Article"/>
    <s v=""/>
    <s v=""/>
    <s v=""/>
    <s v=""/>
    <s v=""/>
    <x v="507"/>
    <x v="392"/>
    <s v="The article examines the relevance of the so-called 'digital myths' on the example of Donald Trump presidential electoral campaign. The statement about a change of the very quality of politics and its nature in the course of transition to a digital context is the main among digital myths. The article claims that the key condition of Trump's victory was not an extensive use of digital tools, but a proper political strategy. The latter's essence was an evident idea achieving an advantage in the battleground states. The Big Data suggested how to do it, and the widest possible use of digital tools has paved the way to a victory. Electoral mobilization consisted of two elements. First, Trump's campaigners mobilized layers of the population that did not attend elections previously and that was not polled were. Second, a susceptible part of the traditional Democratic voters among youth, women and Hispanic Americans voted for Trump. To accomplish these tasks his campaigners made use of a full range of digital tools, primarily the biggest advertising platforms such as Google and Facebook. Digital media provided Trump with a low-cost, better targeted, and highly resourceful electoral campaign that was far more proficient than Hillary Clinton campaign. The observers disregarded a covered nature of Trump campaign, and this important factor made his victory quite unexpected. The author concludes that the U.S. presidential campaign 2016 was a battleground of two major types of political communication - traditional and new ones. The transition to a new type of communication is inevitable since we are entering a new political and social environment of generations that have grown up in a new technological and sociocultural context. However, even in the context of a new communication paradigm, the nature of politics remains the same. At the same time, new communications seriously transformed the mechanism of political influence on society."/>
    <s v="[Solovey, V. D.] MGIMO Univ, MFA Russia, Moscow State Inst Int Relat, Dept Publ Relat, Moscow, Russia"/>
    <s v="MGIMO University"/>
    <s v="Solovey, VD (corresponding author), MGIMO Univ, MFA Russia, Moscow State Inst Int Relat, Dept Publ Relat, Moscow, Russia."/>
    <s v="valery.solovei@gmail.com"/>
    <s v=""/>
    <s v=""/>
    <s v=""/>
    <s v=""/>
    <s v=""/>
    <s v=""/>
    <n v="24"/>
    <n v="6"/>
    <n v="8"/>
    <n v="0"/>
    <n v="23"/>
    <s v="RUSSIAN ACAD SCIENCES"/>
    <s v="MOSCOW"/>
    <s v="LENINSKII AVENUE, 14, MOSCOW, 119991, RUSSIA"/>
    <s v="1026-9487"/>
    <s v="1684-0070"/>
    <s v=""/>
    <s v="POLIS"/>
    <s v="Polis"/>
    <s v=""/>
    <x v="6"/>
    <s v=""/>
    <n v="5"/>
    <s v=""/>
    <s v=""/>
    <s v=""/>
    <s v=""/>
    <n v="122"/>
    <n v="132"/>
    <s v=""/>
    <s v="10.17976/jpps/2017.05.09"/>
    <s v="http://dx.doi.org/10.17976/jpps/2017.05.09"/>
    <s v=""/>
    <s v=""/>
    <n v="11"/>
    <x v="35"/>
    <x v="2"/>
    <s v="Government &amp; Law"/>
    <s v="FO8YU"/>
    <s v=""/>
    <s v="Bronze"/>
    <s v=""/>
    <s v=""/>
    <s v="2023-11-15"/>
    <s v="WOS:000417175400009"/>
    <s v="View Full Record in Web of Science"/>
    <m/>
  </r>
  <r>
    <x v="560"/>
    <s v="J"/>
    <x v="552"/>
    <s v=""/>
    <s v=""/>
    <s v=""/>
    <s v="Barrett, Michael; Oborn, Eivor; Orlikowski, Wanda"/>
    <s v=""/>
    <s v=""/>
    <x v="558"/>
    <x v="173"/>
    <s v=""/>
    <s v=""/>
    <s v="English"/>
    <s v="Article"/>
    <s v=""/>
    <s v=""/>
    <s v=""/>
    <s v=""/>
    <s v=""/>
    <x v="508"/>
    <x v="393"/>
    <s v="How is value created in an online community (OC) over time? We explored this question through a longitudinal field study of an OC in the healthcare arena. We found that multiple kinds of value were produced and changed over time as different participants engaged with the OC and its evolving technology in various ways. To explain our findings, we theorize OC value as performed through the ongoing sociomaterial configuring of strategies, digital platforms, and stakeholder engagement. We develop a process perspective to explain these dynamics and identify multiple different kinds of value being created by an OC over time: financial, epistemic, ethical, service, reputational, and platform. Our research points to the importance of expanding the notion of OC users to encompass a broader understanding of stakeholders. It further suggests that creating OC value increasingly requires going beyond a dyadic relationship between the OC and the firm to encompassing a more complex relationship involving a wider ecosystem of stakeholders."/>
    <s v="[Barrett, Michael] Univ Cambridge, Judge Business Sch, Cambridge CB2 1AG, England; [Oborn, Eivor] Univ Warwick, Warwick Business Sch, Coventry CV4 7AL, W Midlands, England; [Orlikowski, Wanda] MIT, Sloan Sch Management, Cambridge, MA 02142 USA"/>
    <s v="University of Cambridge; University of Warwick; Massachusetts Institute of Technology (MIT)"/>
    <s v="Barrett, M (corresponding author), Univ Cambridge, Judge Business Sch, Cambridge CB2 1AG, England."/>
    <s v="m.barrett@jbs.cam.ac.uk; eivor.oborn@wbs.ac.uk; wanda@mit.edu"/>
    <s v="Munshi, Aviva/JDC-3827-2023"/>
    <s v=""/>
    <s v="National Institute for Health Research (NIHR) Collaborations for Leadership in Applied Health Research and Care (CLAHRC) West Midlands; NIHR Cambridge; Peterborough CLAHRC"/>
    <s v="National Institute for Health Research (NIHR) Collaborations for Leadership in Applied Health Research and Care (CLAHRC) West Midlands(National Institutes of Health Research (NIHR)); NIHR Cambridge; Peterborough CLAHRC"/>
    <s v="The authors thank the members of SocialHealth, who kindly gave access and participated in this study. The authors are also grateful for the valuable guidance provided by the special issue editors, associate editor, and reviewers during the revision process. E. Oborn is supported by the National Institute for Health Research (NIHR) Collaborations for Leadership in Applied Health Research and Care (CLAHRC) West Midlands. This work was also supported in part by the NIHR Cambridge and Peterborough CLAHRC. This paper presents independent research, and the views expressed are those of the authors and not necessarily those of the National Health Service, the NIHR, or the Department of Health."/>
    <s v=""/>
    <n v="79"/>
    <n v="117"/>
    <n v="117"/>
    <n v="25"/>
    <n v="393"/>
    <s v="INFORMS"/>
    <s v="CATONSVILLE"/>
    <s v="5521 RESEARCH PARK DR, SUITE 200, CATONSVILLE, MD 21228 USA"/>
    <s v="1047-7047"/>
    <s v="1526-5536"/>
    <s v=""/>
    <s v="INFORM SYST RES"/>
    <s v="Inf. Syst. Res."/>
    <s v="DEC"/>
    <x v="7"/>
    <n v="27"/>
    <n v="4"/>
    <s v=""/>
    <s v=""/>
    <s v=""/>
    <s v=""/>
    <n v="704"/>
    <n v="723"/>
    <s v=""/>
    <s v="10.1287/isre.2016.0648"/>
    <s v="http://dx.doi.org/10.1287/isre.2016.0648"/>
    <s v=""/>
    <s v=""/>
    <n v="20"/>
    <x v="75"/>
    <x v="1"/>
    <s v="Information Science &amp; Library Science; Business &amp; Economics"/>
    <s v="EG4LI"/>
    <s v=""/>
    <s v="Green Submitted, Green Published"/>
    <s v=""/>
    <s v=""/>
    <s v="2023-11-15"/>
    <s v="WOS:000391015200003"/>
    <s v="View Full Record in Web of Science"/>
    <m/>
  </r>
  <r>
    <x v="561"/>
    <s v="J"/>
    <x v="553"/>
    <s v=""/>
    <s v=""/>
    <s v=""/>
    <s v="Gon, Marika; Pechlaner, Harald; Marangon, Francesco"/>
    <s v=""/>
    <s v=""/>
    <x v="559"/>
    <x v="410"/>
    <s v=""/>
    <s v=""/>
    <s v="English"/>
    <s v="Article"/>
    <s v=""/>
    <s v=""/>
    <s v=""/>
    <s v=""/>
    <s v=""/>
    <x v="509"/>
    <x v="394"/>
    <s v="The present paper wishes to investigate the perspective of Digital Natives (DNs), described in literature as informal experts'', in respect of digital strategies' implementation of destination management organizations (DMOs). In particular, focus groups of students and workers in the tourism field were asked to browse and discuss the website and social media presence of an Italian regional DMO (i.e. PromoTurismoFVG). Comments were collected and analyzed with the GABEK/Winrelan method for qualitative analysis. Results confirmed the DMO's adoption of a digital format but with limited social and consumer-generated-contents (CGC). DNs recognized the implementation of a Web 2.0 destination site in a rather traditional marketing mix strategy. Furthermore DMO websites and social media (SM) (i.e., Facebook, Instagram, Twitter and YouTube) content analysis showed that the DMO lacks products and offers for the young market segment. The combination of limited social content and the weak attention to youth market makes the current digital DMO not attractive enough to the digital natives. The work highlights the importance on focusing on DN informal expertise'' in the planning and development of digital strategies, DMO websites and SM presence. Their proved social media knowledge and digital competences have to be considered as a key opportunity for DMOs and for the improvement of the destination marketing strategies. This research contributes to the academic discussion on SM/Web 2.0 implementation in destination management, by presenting an exploratory study on DNs' informal expert perspective supported by the use of GABEK/ Winrelan as an innovative method."/>
    <s v="[Gon, Marika; Marangon, Francesco] Univ Udine, Udine, Italy; [Gon, Marika; Pechlaner, Harald] Katholische Univ Eichstatt Ingolstadt, Eichstatt Ingolstadt, Germany"/>
    <s v="University of Udine"/>
    <s v="Gon, M (corresponding author), Univ Udine, Udine, Italy.;Gon, M (corresponding author), Katholische Univ Eichstatt Ingolstadt, Eichstatt Ingolstadt, Germany."/>
    <s v="marikagon@hotmail.com; Harald.pechlaner@ku.de; Francesco.marangon@uniud.it"/>
    <s v="Marangon, Francesco/P-5554-2015; Rodrigues de Assis, Iracema/HJZ-4230-2023; Matzler, Kurt/M-5994-2013"/>
    <s v="Marangon, Francesco/0000-0001-7519-2922;"/>
    <s v=""/>
    <s v=""/>
    <s v=""/>
    <s v=""/>
    <n v="47"/>
    <n v="5"/>
    <n v="6"/>
    <n v="0"/>
    <n v="29"/>
    <s v="SPRINGER HEIDELBERG"/>
    <s v="HEIDELBERG"/>
    <s v="TIERGARTENSTRASSE 17, D-69121 HEIDELBERG, GERMANY"/>
    <s v="1098-3058"/>
    <s v="1943-4294"/>
    <s v=""/>
    <s v="INF TECHNOL TOUR"/>
    <s v="Inf. Technol. Tour."/>
    <s v="DEC"/>
    <x v="7"/>
    <n v="16"/>
    <n v="4"/>
    <s v=""/>
    <s v=""/>
    <s v="SI"/>
    <s v=""/>
    <n v="435"/>
    <n v="455"/>
    <s v=""/>
    <s v="10.1007/s40558-016-0068-x"/>
    <s v="http://dx.doi.org/10.1007/s40558-016-0068-x"/>
    <s v=""/>
    <s v=""/>
    <n v="21"/>
    <x v="88"/>
    <x v="2"/>
    <s v="Social Sciences - Other Topics"/>
    <s v="FK9GY"/>
    <s v=""/>
    <s v=""/>
    <s v=""/>
    <s v=""/>
    <s v="2023-11-15"/>
    <s v="WOS:000413820800007"/>
    <s v="View Full Record in Web of Science"/>
    <m/>
  </r>
  <r>
    <x v="562"/>
    <s v="J"/>
    <x v="554"/>
    <s v=""/>
    <s v=""/>
    <s v=""/>
    <s v="Dominguez Castillo, J. Gabriel; Morcillo Baquedano, J. Samantha"/>
    <s v=""/>
    <s v=""/>
    <x v="560"/>
    <x v="392"/>
    <s v=""/>
    <s v=""/>
    <s v="Spanish"/>
    <s v="Article"/>
    <s v=""/>
    <s v=""/>
    <s v=""/>
    <s v=""/>
    <s v=""/>
    <x v="510"/>
    <x v="1"/>
    <s v="This study is a response to the lack of information on the evaluation of the effectiveness of online courses in which teachers of basic education in southeastern Mexico as part of their training in the use of technology involved since today day, practicing teachers need to be competent to offer students opportunities in ICT supported learning; to use them and know how they can contribute to their learning. The research is applied type of mixed cut and involved 30 science and math teachers from 19 secondary schools in Merida. In this paper the effectiveness of the online course was evaluated and in the most important categories that emerged were found: Experience, Expectations, Work tools and relevant skills. The results are discussed in the National Digital Strategy (2013-2018) of Mexico."/>
    <s v="[Dominguez Castillo, J. Gabriel; Morcillo Baquedano, J. Samantha] Univ Autonoma Yucatan, Merida, Venezuela"/>
    <s v=""/>
    <s v="Castillo, JGD (corresponding author), Univ Autonoma Yucatan, Merida, Venezuela."/>
    <s v="jg.dominguez@correo.uady.mx; sam.morcillo@gmail.com"/>
    <s v=""/>
    <s v=""/>
    <s v=""/>
    <s v=""/>
    <s v=""/>
    <s v=""/>
    <n v="47"/>
    <n v="0"/>
    <n v="1"/>
    <n v="0"/>
    <n v="2"/>
    <s v="EDIT UM-EDICIONES UNIV MURCIA"/>
    <s v="MURCIA"/>
    <s v="EDIFICIO SAAVEDRA FAJARDO, C/O ACTOR ISIDORO MAIQUEZ 9, MURCIA, 30007, SPAIN"/>
    <s v="1578-7680"/>
    <s v=""/>
    <s v=""/>
    <s v="RED-REV EDUC DISTANC"/>
    <s v="RED-Rev. Educ. Distancia"/>
    <s v="NOV 15"/>
    <x v="7"/>
    <s v=""/>
    <n v="51"/>
    <s v=""/>
    <s v=""/>
    <s v=""/>
    <s v=""/>
    <s v=""/>
    <s v=""/>
    <n v="2"/>
    <s v="10.6018/red/51/2"/>
    <s v="http://dx.doi.org/10.6018/red/51/2"/>
    <s v=""/>
    <s v=""/>
    <n v="25"/>
    <x v="39"/>
    <x v="2"/>
    <s v="Education &amp; Educational Research"/>
    <s v="EO1MB"/>
    <s v=""/>
    <s v="Green Submitted, gold"/>
    <s v=""/>
    <s v=""/>
    <s v="2023-11-15"/>
    <s v="WOS:000396461500002"/>
    <s v="View Full Record in Web of Science"/>
    <m/>
  </r>
  <r>
    <x v="563"/>
    <s v="J"/>
    <x v="555"/>
    <s v=""/>
    <s v=""/>
    <s v=""/>
    <s v="Wessel, Maxwell; Levie, Aaron; Siegel, Robert"/>
    <s v=""/>
    <s v=""/>
    <x v="561"/>
    <x v="292"/>
    <s v=""/>
    <s v=""/>
    <s v="English"/>
    <s v="Article"/>
    <s v=""/>
    <s v=""/>
    <s v=""/>
    <s v=""/>
    <s v=""/>
    <x v="8"/>
    <x v="1"/>
    <s v="In the digital age, software has enabled innovators like Uber and Testa to gather crucial data about customers and create revolutionary offerings to serve them. Meanwhile, many well-resourced incumbents struggle to develop extended digital relationships with customers. That's partly because it's hard for companies to change their established business models. But the authors point out another inhibitor there are repercussions up and down the value chain. The authors explain that successful upstarts do not just capture and use new data effectively; they also break from traditional reliance on outside partners for sourcing inputs and distributing and servicing products. They keep more functions in-house a necessary part of launching an innovation. But if incumbents do likewise in their own efforts to take advantage of digital technology, they risk upsetting longtime relationships with suppliers, distributors, and other collaborators. To navigate this new world, the authors advise managers in traditional companies to think about the macro trends that will shape their industry in the future, agree on a digital strategy to address customers' needs in the long term, and develop better metrics to monitor progress. Incumbents must also create new business opportunities for partners so that everyone benefits from the new ecosystem."/>
    <s v="[Wessel, Maxwell] SAP Io, San Francisco, CA 94080 USA; [Siegel, Robert] Stanfords Grad Sch Business, Management, Stanford, CA USA"/>
    <s v=""/>
    <s v="Wessel, M (corresponding author), SAP Io, San Francisco, CA 94080 USA."/>
    <s v=""/>
    <s v=""/>
    <s v=""/>
    <s v=""/>
    <s v=""/>
    <s v=""/>
    <s v=""/>
    <n v="0"/>
    <n v="8"/>
    <n v="8"/>
    <n v="0"/>
    <n v="69"/>
    <s v="HARVARD BUSINESS SCHOOL PUBLISHING CORPORATION"/>
    <s v="WATERTOWN"/>
    <s v="300 NORTH BEACON STREET, WATERTOWN, MA 02472 USA"/>
    <s v="0017-8012"/>
    <s v=""/>
    <s v=""/>
    <s v="HARVARD BUS REV"/>
    <s v="Harv. Bus. Rev."/>
    <s v="NOV"/>
    <x v="7"/>
    <n v="94"/>
    <n v="11"/>
    <s v=""/>
    <s v=""/>
    <s v=""/>
    <s v=""/>
    <n v="68"/>
    <s v="+"/>
    <s v=""/>
    <s v=""/>
    <s v=""/>
    <s v=""/>
    <s v=""/>
    <n v="8"/>
    <x v="6"/>
    <x v="1"/>
    <s v="Business &amp; Economics"/>
    <s v="DY9SA"/>
    <s v=""/>
    <s v=""/>
    <s v=""/>
    <s v=""/>
    <s v="2023-11-15"/>
    <s v="WOS:000385474200012"/>
    <s v="View Full Record in Web of Science"/>
    <m/>
  </r>
  <r>
    <x v="564"/>
    <s v="J"/>
    <x v="556"/>
    <s v=""/>
    <s v=""/>
    <s v=""/>
    <s v="Alizadeh, Tooran; Sipe, Neil"/>
    <s v=""/>
    <s v=""/>
    <x v="562"/>
    <x v="411"/>
    <s v=""/>
    <s v=""/>
    <s v="English"/>
    <s v="Article"/>
    <s v=""/>
    <s v=""/>
    <s v=""/>
    <s v=""/>
    <s v=""/>
    <x v="511"/>
    <x v="395"/>
    <s v="A growing number of cities have started to realize the need to be 'smart', to use digital technology to drive prosperity and capitalize on the rapidly growing digital economy. Some local governments have developed 'urban digital strategies' to speed up the pace of change, and to move their digital planning from ad-hoc to an integrated and strategic approach. This paper examines Vancouver's Digital Strategy (VDS) and questions the role defined for this new piece of strategy. The findings represent competing views - offered by local government versus digital business community - for the role of digital in two areas of governance, and strategic planning. The paper concludes by suggesting that urban digital strategies need be incorporated into strategic urban and regional planning with a focus on the biggest issues, specific to each city."/>
    <s v="[Alizadeh, Tooran] Griffith Univ, Brisbane, Qld, Australia; [Sipe, Neil] Univ Queensland, Brisbane, Qld, Australia"/>
    <s v="Griffith University; University of Queensland"/>
    <s v="Alizadeh, T (corresponding author), Griffith Univ, Brisbane, Qld, Australia."/>
    <s v=""/>
    <s v="Sipe, Neil G./A-4052-2009; Alizadeh, Tooran/AAX-2371-2020"/>
    <s v="Sipe, Neil G./0000-0002-3228-3768;"/>
    <s v=""/>
    <s v=""/>
    <s v=""/>
    <s v=""/>
    <n v="67"/>
    <n v="9"/>
    <n v="9"/>
    <n v="0"/>
    <n v="20"/>
    <s v="IGI GLOBAL"/>
    <s v="HERSHEY"/>
    <s v="701 E CHOCOLATE AVE, STE 200, HERSHEY, PA 17033-1240 USA"/>
    <s v="2160-9918"/>
    <s v="2160-9926"/>
    <s v=""/>
    <s v="INT J E-PLAN RES"/>
    <s v="Int. J. E-Plan. Res."/>
    <s v="OCT-DEC"/>
    <x v="7"/>
    <n v="5"/>
    <n v="4"/>
    <s v=""/>
    <s v=""/>
    <s v=""/>
    <s v=""/>
    <n v="1"/>
    <n v="15"/>
    <s v=""/>
    <s v="10.4018/IJEPR.2016100101"/>
    <s v="http://dx.doi.org/10.4018/IJEPR.2016100101"/>
    <s v=""/>
    <s v=""/>
    <n v="15"/>
    <x v="165"/>
    <x v="2"/>
    <s v="Public Administration"/>
    <s v="FK0FE"/>
    <s v=""/>
    <s v=""/>
    <s v=""/>
    <s v=""/>
    <s v="2023-11-15"/>
    <s v="WOS:000413154900002"/>
    <s v="View Full Record in Web of Science"/>
    <m/>
  </r>
  <r>
    <x v="565"/>
    <s v="J"/>
    <x v="557"/>
    <s v=""/>
    <s v=""/>
    <s v=""/>
    <s v="Powers, Matthew"/>
    <s v=""/>
    <s v=""/>
    <x v="563"/>
    <x v="412"/>
    <s v=""/>
    <s v=""/>
    <s v="English"/>
    <s v="Article"/>
    <s v=""/>
    <s v=""/>
    <s v=""/>
    <s v=""/>
    <s v=""/>
    <x v="512"/>
    <x v="396"/>
    <s v="Previous research finds that nongovernmental organization (NGO) publicity strategiesdespite digital technologiescontinue to focus heavily on garnering coverage in the mainstream news media. Drawing on theories of path dependence and interviews with NGO professionals, this paper identifies three factors that explain why this should be so. First, donors continue to value media coverage as a platform to learn about advocacy groups, as well as a mechanism for measuring their impact on political discourse. Second, political officials still value media coverage as a way to learn about advocacy demands. Third, NGOs occupy a position that is socially proximate to journalism, which leads the former to see the latter as an ally in the pursuit of publicity. Together, these factors confirm and extend the new institutional concept of path dependence by demonstrating how path dependence in one field (philanthropy, politics) can reinforce path dependence in another (NGO). These reinforcing path dependencies in turn interact with established mechanisms of institutional production (start-up costs, feedback effects, knowledge accumulation) to explain why NGOs continue to persist in media-centered publicity strategies despite new technological possibilities."/>
    <s v="[Powers, Matthew] Univ Washington, Dept Commun, Box 353740, Seattle, WA 98195 USA"/>
    <s v="University of Washington; University of Washington Seattle"/>
    <s v="Powers, M (corresponding author), Univ Washington, Dept Commun, Box 353740, Seattle, WA 98195 USA."/>
    <s v="powers.mj@gmail.com"/>
    <s v=""/>
    <s v=""/>
    <s v=""/>
    <s v=""/>
    <s v=""/>
    <s v=""/>
    <n v="40"/>
    <n v="20"/>
    <n v="20"/>
    <n v="0"/>
    <n v="40"/>
    <s v="SAGE PUBLICATIONS INC"/>
    <s v="THOUSAND OAKS"/>
    <s v="2455 TELLER RD, THOUSAND OAKS, CA 91320 USA"/>
    <s v="1940-1612"/>
    <s v="1940-1620"/>
    <s v=""/>
    <s v="INT J PRESS/POLIT"/>
    <s v="Int. J. Press-Polit."/>
    <s v="OCT"/>
    <x v="7"/>
    <n v="21"/>
    <n v="4"/>
    <s v=""/>
    <s v=""/>
    <s v=""/>
    <s v=""/>
    <n v="490"/>
    <n v="507"/>
    <s v=""/>
    <s v="10.1177/1940161216658373"/>
    <s v="http://dx.doi.org/10.1177/1940161216658373"/>
    <s v=""/>
    <s v=""/>
    <n v="18"/>
    <x v="156"/>
    <x v="1"/>
    <s v="Communication; Government &amp; Law"/>
    <s v="DW1GE"/>
    <s v=""/>
    <s v=""/>
    <s v=""/>
    <s v=""/>
    <s v="2023-11-15"/>
    <s v="WOS:000383390200004"/>
    <s v="View Full Record in Web of Science"/>
    <m/>
  </r>
  <r>
    <x v="566"/>
    <s v="J"/>
    <x v="558"/>
    <s v=""/>
    <s v=""/>
    <s v=""/>
    <s v="Kandiuk, Mary"/>
    <s v=""/>
    <s v=""/>
    <x v="564"/>
    <x v="413"/>
    <s v=""/>
    <s v=""/>
    <s v="English"/>
    <s v="Article; Proceedings Paper"/>
    <s v="IFLA World Library and Information Congress on Libraries, Citizens, Societies - Confluence for Knowledge"/>
    <s v="AUG, 2014"/>
    <s v="Lyon, FRANCE"/>
    <s v="Int Federat Lib Assoc &amp; Inst"/>
    <s v=""/>
    <x v="8"/>
    <x v="1"/>
    <s v="Canadian heritage institutions are perceived as being used as political instruments of nation-branding to advance a government ideological agenda. Faced with budget reductions and increased federal government oversight, the national library and archives of Canada, titled Library and Archives Canada (LAC), has, in the eyes of stakeholders, abdicated its stewardship role and responsibility for all of the nation's collections and records to focus on government priorities. Behind what has been described as a smokescreen of digitization, a modernization approach at LAC has resulted in the loss of expertise, a moratorium on acquisitions, and the elimination of national archival development and interlibrary loan programs. This paper examines the new strategic priorities of LAC with respect to digitization and resource allocation against a failed digital strategy, which has impacted its ability to fulfill its legislated responsibility for acquisition, preservation, and access; explores the ramifications and barriers created by the digital priorities and strategy of LAC for underserved populations, with a focus on Canada's Indigenous peoples; and concludes with a discussion of the findings and recommendations of the 2014 Royal Society of Canada's expert panel's report, The Future Now: Canada's Libraries, Archives, and Public Memory."/>
    <s v="[Kandiuk, Mary] York Univ Lib, Toronto, ON, Canada"/>
    <s v="York University - Canada"/>
    <s v="Kandiuk, M (corresponding author), York Univ Lib, Toronto, ON, Canada."/>
    <s v=""/>
    <s v=""/>
    <s v=""/>
    <s v=""/>
    <s v=""/>
    <s v=""/>
    <s v=""/>
    <n v="56"/>
    <n v="1"/>
    <n v="1"/>
    <n v="0"/>
    <n v="15"/>
    <s v="JOHNS HOPKINS UNIV PRESS"/>
    <s v="BALTIMORE"/>
    <s v="JOURNALS PUBLISHING DIVISION, 2715 NORTH CHARLES ST, BALTIMORE, MD 21218-4363 USA"/>
    <s v="0024-2594"/>
    <s v="1559-0682"/>
    <s v=""/>
    <s v="LIBR TRENDS"/>
    <s v="Libr. Trends"/>
    <s v="FAL"/>
    <x v="7"/>
    <n v="65"/>
    <n v="2"/>
    <s v=""/>
    <s v=""/>
    <s v=""/>
    <s v=""/>
    <n v="165"/>
    <n v="179"/>
    <s v=""/>
    <s v="10.1353/lib.2016.0029"/>
    <s v="http://dx.doi.org/10.1353/lib.2016.0029"/>
    <s v=""/>
    <s v=""/>
    <n v="15"/>
    <x v="66"/>
    <x v="8"/>
    <s v="Information Science &amp; Library Science"/>
    <s v="EC9CI"/>
    <s v=""/>
    <s v="Green Published"/>
    <s v=""/>
    <s v=""/>
    <s v="2023-11-15"/>
    <s v="WOS:000388440900006"/>
    <s v="View Full Record in Web of Science"/>
    <m/>
  </r>
  <r>
    <x v="567"/>
    <s v="J"/>
    <x v="559"/>
    <s v=""/>
    <s v=""/>
    <s v=""/>
    <s v="Rumsfeld, John S.; Brooks, Steven C.; Aufderheide, Tom P.; Leary, Marion; Bradley, Steven M.; Nkonde-Price, Chileshe; Schwamm, Lee H.; Jessup, Mariell; Ferrer, Jose Maria E.; Merchant, Raina M."/>
    <s v=""/>
    <s v="Amer Heart Assoc Emergency Cardiov; Council Cardiopulm Critical Care P; Council Quality Care Outcomes Res; Council Cardiovasc Stroke Nursing; Council Epidemiology Prevention"/>
    <x v="565"/>
    <x v="414"/>
    <s v=""/>
    <s v=""/>
    <s v="English"/>
    <s v="Article"/>
    <s v=""/>
    <s v=""/>
    <s v=""/>
    <s v=""/>
    <s v=""/>
    <x v="513"/>
    <x v="397"/>
    <s v=""/>
    <s v=""/>
    <s v=""/>
    <s v=""/>
    <s v=""/>
    <s v="Brooks, Steven/ABC-8078-2021; Bradley, Steven/AID-7839-2022; Brooks, Steven/N-4317-2015"/>
    <s v="Brooks, Steven/0000-0002-4592-4974; Jessup, Mariell/0000-0002-3010-0112; Leary, Marion/0000-0002-4815-4223"/>
    <s v=""/>
    <s v=""/>
    <s v=""/>
    <s v=""/>
    <n v="147"/>
    <n v="72"/>
    <n v="74"/>
    <n v="0"/>
    <n v="32"/>
    <s v="LIPPINCOTT WILLIAMS &amp; WILKINS"/>
    <s v="PHILADELPHIA"/>
    <s v="TWO COMMERCE SQ, 2001 MARKET ST, PHILADELPHIA, PA 19103 USA"/>
    <s v="0009-7322"/>
    <s v="1524-4539"/>
    <s v=""/>
    <s v="CIRCULATION"/>
    <s v="Circulation"/>
    <s v="AUG 23"/>
    <x v="7"/>
    <n v="134"/>
    <n v="8"/>
    <s v=""/>
    <s v=""/>
    <s v=""/>
    <s v=""/>
    <s v="E87"/>
    <s v="E108"/>
    <s v=""/>
    <s v="10.1161/CIR.0000000000000428"/>
    <s v="http://dx.doi.org/10.1161/CIR.0000000000000428"/>
    <s v=""/>
    <s v=""/>
    <n v="22"/>
    <x v="166"/>
    <x v="3"/>
    <s v="Cardiovascular System &amp; Cardiology"/>
    <s v="DU5XK"/>
    <n v="27334603"/>
    <s v="Bronze"/>
    <s v=""/>
    <s v=""/>
    <s v="2023-11-15"/>
    <s v="WOS:000382286800001"/>
    <s v="View Full Record in Web of Science"/>
    <m/>
  </r>
  <r>
    <x v="568"/>
    <s v="J"/>
    <x v="560"/>
    <s v=""/>
    <s v=""/>
    <s v=""/>
    <s v="Dechaux, Jonathan; Filiol, Eric"/>
    <s v=""/>
    <s v=""/>
    <x v="566"/>
    <x v="415"/>
    <s v=""/>
    <s v=""/>
    <s v="English"/>
    <s v="Article"/>
    <s v=""/>
    <s v=""/>
    <s v=""/>
    <s v=""/>
    <s v=""/>
    <x v="8"/>
    <x v="1"/>
    <s v="The current detection model used by modern antivirus software is based on the same basic principle. Any antivirus has to analyze the threat in order to protect the user afterwards. This implies to have first a few systems to be infected, then to perform a manual or partially automated analysis of the malware to finally update the malware databases. Quite no prevention model is considered to mitigate this inherent limitation of AV software. This issue becomes critical when considering office documents (Microsoft Office, Libre Office, PDF files ...) which become more and more vectors of targeted attacks and hence represent a major threat. The huge variability of documents makes the current detection model quite useless. To protect against the specific risks presented by these documents, we propose a new model of antiviral protection acting proactively and offering a strong prevention model. The document is transformed into an inactive file format to protect the user from any known or unknown threat. This module of proactive threat management has been implemented into the DAVFI project (French and International AntiVirus Demonstrator), funded by the French Strategic Digital Fund. Real and concrete cases of malicious office documents have been submitted to the analysis of this module as well as its transformation principles, demonstrating its effectiveness and accuracy."/>
    <s v="[Dechaux, Jonathan; Filiol, Eric] ESIEA, Operat Cryptol &amp; Virol Lab, Laval, France"/>
    <s v=""/>
    <s v="Filiol, E (corresponding author), ESIEA, Operat Cryptol &amp; Virol Lab, Laval, France."/>
    <s v="jonathan.dechaux@esiea.fr; efiliol@netc.fr"/>
    <s v=""/>
    <s v=""/>
    <s v=""/>
    <s v=""/>
    <s v=""/>
    <s v=""/>
    <n v="17"/>
    <n v="2"/>
    <n v="2"/>
    <n v="0"/>
    <n v="7"/>
    <s v="SPRINGER FRANCE"/>
    <s v="PARIS"/>
    <s v="22 RUE DE PALESTRO, PARIS, 75002, FRANCE"/>
    <s v="2263-8733"/>
    <s v=""/>
    <s v=""/>
    <s v="J COMPUT VIROL HACKI"/>
    <s v="J. Comput. Virol. Hacking Tech."/>
    <s v="AUG"/>
    <x v="7"/>
    <n v="12"/>
    <n v="3"/>
    <s v=""/>
    <s v=""/>
    <s v="SI"/>
    <s v=""/>
    <n v="191"/>
    <n v="202"/>
    <s v=""/>
    <s v="10.1007/s11416-015-0259-6"/>
    <s v="http://dx.doi.org/10.1007/s11416-015-0259-6"/>
    <s v=""/>
    <s v=""/>
    <n v="12"/>
    <x v="36"/>
    <x v="2"/>
    <s v="Computer Science"/>
    <s v="EB1AW"/>
    <s v=""/>
    <s v=""/>
    <s v=""/>
    <s v=""/>
    <s v="2023-11-15"/>
    <s v="WOS:000387079500011"/>
    <s v="View Full Record in Web of Science"/>
    <m/>
  </r>
  <r>
    <x v="569"/>
    <s v="J"/>
    <x v="561"/>
    <s v=""/>
    <s v=""/>
    <s v=""/>
    <s v="Enguix Grau, Begonya"/>
    <s v=""/>
    <s v=""/>
    <x v="567"/>
    <x v="416"/>
    <s v=""/>
    <s v=""/>
    <s v="Spanish"/>
    <s v="Article"/>
    <s v=""/>
    <s v=""/>
    <s v=""/>
    <s v=""/>
    <s v=""/>
    <x v="514"/>
    <x v="398"/>
    <s v="Based on the anthropological interrogation into communities and the construction of a public sphere, this article approaches the digital strategies used to shape what may be referred to as the Spanish LGTB sphere. I consider LGTB activism as the main producer of legitimized social discourse, and have therefore analyzed the websites of seven LGTB collectives and other digital resources in order to examine the articulation of digital and non-digital practices, based on a shared knowledge evoking collective identities and feeding activism. In combining anthropological fieldwork on activism and digital ethnographies for virtual environments, I suggest that despite their intensive use of digital resources, the LGTB sphere still largely depends on traditional social networks. As a consequence, the article questions the usefulness of conceiving of digital and non-digital relations as separate and distinct and discusses this embeddedness as a main feature of contemporary activism."/>
    <s v="[Enguix Grau, Begonya] Univ Oberta Catalunya, Barcelona, Spain"/>
    <s v="UOC Universitat Oberta de Catalunya"/>
    <s v="Grau, BE (corresponding author), Univ Oberta Catalunya, Barcelona, Spain."/>
    <s v="benguix@uoc.edu"/>
    <s v=""/>
    <s v="Enguix, Begonya/0000-0002-5020-9019"/>
    <s v=""/>
    <s v=""/>
    <s v=""/>
    <s v=""/>
    <n v="62"/>
    <n v="7"/>
    <n v="10"/>
    <n v="1"/>
    <n v="14"/>
    <s v="INST UNIV PESQUISAS RIO DE JANEIRO-IUPERJ"/>
    <s v="RIO DE JANEIRO"/>
    <s v="RUA DA MATRIZ 82, BOTAFOGO, RIO DE JANEIRO, 22260.100, BRAZIL"/>
    <s v="0011-5258"/>
    <s v="1678-4588"/>
    <s v=""/>
    <s v="DADOS-REV CIENC SOC"/>
    <s v="Dados-Rev. Cienc. Sociais"/>
    <s v="JUL-SEP"/>
    <x v="7"/>
    <n v="59"/>
    <n v="3"/>
    <s v=""/>
    <s v=""/>
    <s v=""/>
    <s v=""/>
    <n v="755"/>
    <n v="822"/>
    <s v=""/>
    <s v="10.1590/00115258201691"/>
    <s v="http://dx.doi.org/10.1590/00115258201691"/>
    <s v=""/>
    <s v=""/>
    <n v="67"/>
    <x v="31"/>
    <x v="1"/>
    <s v="Social Sciences - Other Topics"/>
    <s v="EH0EY"/>
    <s v=""/>
    <s v="Green Submitted, Green Published, gold"/>
    <s v=""/>
    <s v=""/>
    <s v="2023-11-15"/>
    <s v="WOS:000391437000004"/>
    <s v="View Full Record in Web of Science"/>
    <m/>
  </r>
  <r>
    <x v="570"/>
    <s v="J"/>
    <x v="562"/>
    <s v=""/>
    <s v=""/>
    <s v=""/>
    <s v="Aguirre Sala, Jorge Francisco"/>
    <s v=""/>
    <s v=""/>
    <x v="568"/>
    <x v="417"/>
    <s v=""/>
    <s v=""/>
    <s v="Spanish"/>
    <s v="Article"/>
    <s v=""/>
    <s v=""/>
    <s v=""/>
    <s v=""/>
    <s v=""/>
    <x v="515"/>
    <x v="1"/>
    <s v="Objective: To show the possible support of the Internet on crime prevention in the constructivist context of governance. Theoretical framework: the theory of communitarian crime prevention is seen as a synthesis of social, situational and environmental prevention. The effects of crime statistics, coming from community prevention, suggests that action programs. Consequently the communitarian prevention is necessarily associated to governance and the interaction required by governance, between authorities and citizens, is transversal. Framework of reference: the Mexican National Digital Strategy that visualizes prevention help cyber social networks and electronic platforms. Method and case: qualitative analysis of ICT uses in crime prevention in the cases the urban area of Monterrey, Mexico."/>
    <s v="[Aguirre Sala, Jorge Francisco] Univ Ciencias Seguridad Estado Nuevo Leon, Escuela Invest Seguridad Publ, Nuevo Leon, Mexico; [Aguirre Sala, Jorge Francisco] Univ Autonoma Nuevo Leon, Inst Invest Sociales, Monterrey, Mexico"/>
    <s v="Universidad Autonoma de Nuevo Leon"/>
    <s v="Sala, JFA (corresponding author), Univ Ciencias Seguridad Estado Nuevo Leon, Escuela Invest Seguridad Publ, Nuevo Leon, Mexico.;Sala, JFA (corresponding author), Univ Autonoma Nuevo Leon, Inst Invest Sociales, Monterrey, Mexico."/>
    <s v="jorgeaguirresala@hotmail.com"/>
    <s v=""/>
    <s v=""/>
    <s v=""/>
    <s v=""/>
    <s v=""/>
    <s v=""/>
    <n v="24"/>
    <n v="0"/>
    <n v="0"/>
    <n v="2"/>
    <n v="5"/>
    <s v="FLACSO-ECUADOR"/>
    <s v="QUITO"/>
    <s v="CALLE PRADERA E7-174 &amp; DIEGO ALMAGRO, QUITO, 00000, ECUADOR"/>
    <s v="1390-3691"/>
    <s v="1390-4299"/>
    <s v=""/>
    <s v="URVIO-REV LATINOAM E"/>
    <s v="URVIO-REV. LATINOAM. ESTUD. SEGUR."/>
    <s v="JUN"/>
    <x v="7"/>
    <s v=""/>
    <n v="18"/>
    <s v=""/>
    <s v=""/>
    <s v=""/>
    <s v=""/>
    <n v="90"/>
    <n v="103"/>
    <s v=""/>
    <s v="10.17141/urvio.18.2016.1962"/>
    <s v="http://dx.doi.org/10.17141/urvio.18.2016.1962"/>
    <s v=""/>
    <s v=""/>
    <n v="14"/>
    <x v="35"/>
    <x v="2"/>
    <s v="Government &amp; Law"/>
    <s v="DX8EY"/>
    <s v=""/>
    <s v="Green Submitted, Green Published, gold"/>
    <s v=""/>
    <s v=""/>
    <s v="2023-11-15"/>
    <s v="WOS:000384622100007"/>
    <s v="View Full Record in Web of Science"/>
    <m/>
  </r>
  <r>
    <x v="571"/>
    <s v="J"/>
    <x v="563"/>
    <s v=""/>
    <s v=""/>
    <s v=""/>
    <s v="Ding, Hongfa; Zhou, Jun; Xu, Yun; Ding, Tonghai; Xiao, Houxiu; Li, Liang; Hu, Jihui"/>
    <s v=""/>
    <s v=""/>
    <x v="569"/>
    <x v="418"/>
    <s v=""/>
    <s v=""/>
    <s v="English"/>
    <s v="Article"/>
    <s v=""/>
    <s v=""/>
    <s v=""/>
    <s v=""/>
    <s v=""/>
    <x v="516"/>
    <x v="399"/>
    <s v="A flat-top pulsed magnetic field is of great interest for scientific experiments that need both high strength and high stability in the magnetic field. A battery bank with advantages of large energy storage and relative voltage stability is an ideal power supply for a flat-top pulsed field. However, due to the change of magnet resistance during discharge progress, the battery system is unable to maintain a flat-top magnetic field alone. This paper presents a current-controlled power supply based on batteries for a high-stability flat-top pulsed magnetic field at the Wuhan National High Magnetic Field Center. An active parallel circuit is proposed as an auxiliary power supply integrating the present battery system to be a current-controlled power supply, which can sustain a 35-T/270-ms flat-top pulsed field with the ripple less than 100 ppm. The prototype of the scheme has been developed, and experiments will be carried out in early 2016 on schedule. After introduction of the circuit topology and control strategy, digital simulation results are discussed in this paper."/>
    <s v="[Ding, Hongfa; Zhou, Jun; Xu, Yun; Ding, Tonghai; Xiao, Houxiu; Li, Liang] Huazhong Univ Sci &amp; Technol, Wuhan Natl High Magnet Field Ctr, Wuhan 430074, Peoples R China; [Hu, Jihui] Huazhong Univ Sci &amp; Technol, Sch Math &amp; Stat, Wuhan 430074, Peoples R China"/>
    <s v="Huazhong University of Science &amp; Technology; Huazhong University of Science &amp; Technology"/>
    <s v="Ding, HF (corresponding author), Huazhong Univ Sci &amp; Technol, Wuhan Natl High Magnet Field Ctr, Wuhan 430074, Peoples R China.;Hu, JH (corresponding author), Huazhong Univ Sci &amp; Technol, Sch Math &amp; Stat, Wuhan 430074, Peoples R China."/>
    <s v="15827204180@163.com; hujihui_hust@sina.com"/>
    <s v="li, li/HII-4157-2022; Li, Li/AEM-3636-2022; LI, LI/GVS-5344-2022; LI, LI QING/GRR-8855-2022; li, li/GPX-3938-2022; li, long/HOF-6990-2023; li, li/AAT-2097-2020"/>
    <s v=""/>
    <s v="Program for New Century Excellent Talents in University; Chinese National Natural Science Foundation [51177062, 51207067]"/>
    <s v="Program for New Century Excellent Talents in University(Program for New Century Excellent Talents in University (NCET)); Chinese National Natural Science Foundation(National Natural Science Foundation of China (NSFC))"/>
    <s v="This work was supported in part by the Program for New Century Excellent Talents in University and by the Chinese National Natural Science Foundation under Grant 51177062 and Grant 51207067."/>
    <s v=""/>
    <n v="13"/>
    <n v="1"/>
    <n v="1"/>
    <n v="1"/>
    <n v="11"/>
    <s v="IEEE-INST ELECTRICAL ELECTRONICS ENGINEERS INC"/>
    <s v="PISCATAWAY"/>
    <s v="445 HOES LANE, PISCATAWAY, NJ 08855-4141 USA"/>
    <s v="1051-8223"/>
    <s v="1558-2515"/>
    <s v=""/>
    <s v="IEEE T APPL SUPERCON"/>
    <s v="IEEE Trans. Appl. Supercond."/>
    <s v="JUN"/>
    <x v="7"/>
    <n v="26"/>
    <n v="4"/>
    <s v=""/>
    <s v=""/>
    <s v=""/>
    <s v=""/>
    <s v=""/>
    <s v=""/>
    <n v="600105"/>
    <s v="10.1109/TASC.2015.2513211"/>
    <s v="http://dx.doi.org/10.1109/TASC.2015.2513211"/>
    <s v=""/>
    <s v=""/>
    <n v="5"/>
    <x v="167"/>
    <x v="0"/>
    <s v="Engineering; Physics"/>
    <s v="DC2WC"/>
    <s v=""/>
    <s v=""/>
    <s v=""/>
    <s v=""/>
    <s v="2023-11-15"/>
    <s v="WOS:000369078300001"/>
    <s v="View Full Record in Web of Science"/>
    <m/>
  </r>
  <r>
    <x v="572"/>
    <s v="J"/>
    <x v="564"/>
    <s v=""/>
    <s v=""/>
    <s v=""/>
    <s v="Evens, Tom"/>
    <s v=""/>
    <s v=""/>
    <x v="570"/>
    <x v="419"/>
    <s v=""/>
    <s v=""/>
    <s v="English"/>
    <s v="Article"/>
    <s v=""/>
    <s v=""/>
    <s v=""/>
    <s v=""/>
    <s v=""/>
    <x v="517"/>
    <x v="1"/>
    <s v="Cultural heritage institutions increasingly consider Creative Commons licences as a useful model for overcoming the barriers created by traditional copyright frameworks and for opening up archives, databases and collections for public use. However, there is little empirical evidence to support this claim. This article therefore focuses on the use of Creative Commons among cultural heritage institutions in Flanders (the northern part of Belgium) and presents the results of two sector surveys held in 2008 and 2012. Using two data points, the study provides an overview of the evolution of the use of Creative Commons and reveals the copyright policies of cultural heritage institutions."/>
    <s v="[Evens, Tom] Univ Ghent, Res Grp Media &amp; ICT IMinds MICT, B-9000 Ghent, Belgium"/>
    <s v="Ghent University; IMEC"/>
    <s v="Evens, T (corresponding author), Univ Ghent, IMinds MICT, Korte Meer 7-9-11, B-9000 Ghent, Belgium."/>
    <s v="Tom.Evens@UGent.be"/>
    <s v="Ajmi, Ghalia Al/AAB-6467-2019"/>
    <s v="Evens, Tom/0000-0002-7274-7432"/>
    <s v="iMinds; EWI-IWT"/>
    <s v="iMinds; EWI-IWT"/>
    <s v="This article is based on the research projects, PokuMOn and Archipel, both granted by iMinds and EWI-IWT."/>
    <s v=""/>
    <n v="24"/>
    <n v="1"/>
    <n v="1"/>
    <n v="3"/>
    <n v="21"/>
    <s v="SAGE PUBLICATIONS LTD"/>
    <s v="LONDON"/>
    <s v="1 OLIVERS YARD, 55 CITY ROAD, LONDON EC1Y 1SP, ENGLAND"/>
    <s v="0961-0006"/>
    <s v="1741-6477"/>
    <s v=""/>
    <s v="J LIBR INF SCI"/>
    <s v="J. Libr. Inf. Sci."/>
    <s v="JUN"/>
    <x v="7"/>
    <n v="48"/>
    <n v="2"/>
    <s v=""/>
    <s v=""/>
    <s v=""/>
    <s v=""/>
    <n v="209"/>
    <n v="217"/>
    <s v=""/>
    <s v="10.1177/0961000615591649"/>
    <s v="http://dx.doi.org/10.1177/0961000615591649"/>
    <s v=""/>
    <s v=""/>
    <n v="9"/>
    <x v="66"/>
    <x v="1"/>
    <s v="Information Science &amp; Library Science"/>
    <s v="DO9YC"/>
    <s v=""/>
    <s v=""/>
    <s v=""/>
    <s v=""/>
    <s v="2023-11-15"/>
    <s v="WOS:000378142900007"/>
    <s v="View Full Record in Web of Science"/>
    <m/>
  </r>
  <r>
    <x v="573"/>
    <s v="J"/>
    <x v="565"/>
    <s v=""/>
    <s v=""/>
    <s v=""/>
    <s v="Ditchburn, J-L; Marshall, A."/>
    <s v=""/>
    <s v=""/>
    <x v="571"/>
    <x v="420"/>
    <s v=""/>
    <s v=""/>
    <s v="English"/>
    <s v="Article"/>
    <s v=""/>
    <s v=""/>
    <s v=""/>
    <s v=""/>
    <s v=""/>
    <x v="518"/>
    <x v="400"/>
    <s v="Introduction: The Cumbria Rural Health Forum was formed by a number of public, private and voluntary sector organisations to collaboratively work on rural health and social care in the county of Cumbria, England. The aim of the forum is to improve health and social care delivery for rural communities, and share practical ideas and evidence - based best practice that can be implemented in Cumbria. The forum currently consists of approximately 50 organisations interested in and responsible for delivery of health and social care in Cumbria. An exploration of digital technologies for health and care was recognised as an initial priority. This article describes a hands - on approach undertaken within the forum, including its current progress and development. Methods: The forum used a modified Delphi technique to facilitate its work on discussing ideas and reaching consensus to formulate the Cumbria Strategy for Digital Technologies in Health and Social Care. The group communication process took place over meetings and workshops held at various locations in the county. Results: A roadmap for the implementation of digital technologies into health and social care was developed. The roadmap recommends the following: (i) to improve the health outcomes for targeted groups, within a unit, department or care pathway; (ii) to explain, clarify, share good (and bad) practice, assess impact and value through information sharing through conferences and events, influencing and advocacy for Cumbria; and (iii) to develop a digital - health - ready workforce where health and social care professionals can be supported to use digital technologies, and enhance recruitment and retention of staff. Conclusions: The forum experienced issues consistent with those in other Delphi studies, such as the repetition of ideas. Attendance was variable due to the unavailability of key people at times. Although the forum facilitated collective effort to address rural health issues, its power is limited to influencing and supporting implementation of change. Within the implementation phase, the forum has engaged in advising and facilitating policy change at all levels. Thus, the forum has become a voice to influence change towards the advancement of health and social care through digital technologies. The forum continues to serve as a think tank and influencer for change in rural health and social care issues in Cumbria. The forum has increased awareness of digital health and social care solutions, mapped best practice and developed a digital strategy for health and social care in Cumbria."/>
    <s v="[Ditchburn, J-L] Univ Cumbria Energus, Workington, Cumbria, England; [Marshall, A.] Univ Cumbria, Fac Hlth &amp; Sci, Cumbrian Ctr Hlth Technol CaCHeT, Cumbria, England"/>
    <s v="University of Cumbria"/>
    <s v="Ditchburn, JL (corresponding author), Univ Cumbria Energus, Workington, Cumbria, England."/>
    <s v=""/>
    <s v=""/>
    <s v=""/>
    <s v="Academic Health Science Network for North East and North Cumbria; North West Coast Academic Health Science Network"/>
    <s v="Academic Health Science Network for North East and North Cumbria; North West Coast Academic Health Science Network"/>
    <s v="The Cumbria Rural Health Forum was funded in this phase of its work by the Academic Health Science Network for North East and North Cumbria. Further funding for the implementation phase was secured from that network and from the North West Coast Academic Health Science Network. In-kind support has been provided by members, in particular by Cumbria Partnership Foundation National Health Service Trust, Cumbria Clinical Commissioning Group, Cumbria County Council, Action for Communities in Cumbria and University of Cumbria. The authors would like to thank Tom Bell for his involvement in the mapping work, engagement of health professionals and comments on the manuscript; Keith Jackson for his input in the literature search; and Peter Knock for his feedback on the manuscript. The authors are grateful for the support received by everyone who has participated in the forum events or contributed in one way or another."/>
    <s v=""/>
    <n v="62"/>
    <n v="2"/>
    <n v="2"/>
    <n v="0"/>
    <n v="8"/>
    <s v="COLL MEDICINE &amp; DENTISTRY JAMES COOK UNIV TOWNSVILLE"/>
    <s v="DOUGLAS"/>
    <s v="1 JAMES COOK DR, DOUGLAS, QUEENSLAND, AUSTRALIA"/>
    <s v="1445-6354"/>
    <s v=""/>
    <s v=""/>
    <s v="RURAL REMOTE HEALTH"/>
    <s v="Rural Remote Health"/>
    <s v="APR-JUN"/>
    <x v="7"/>
    <n v="16"/>
    <n v="2"/>
    <s v=""/>
    <s v=""/>
    <s v=""/>
    <s v=""/>
    <s v=""/>
    <s v=""/>
    <n v="3738"/>
    <s v=""/>
    <s v=""/>
    <s v=""/>
    <s v=""/>
    <n v="18"/>
    <x v="44"/>
    <x v="3"/>
    <s v="Public, Environmental &amp; Occupational Health"/>
    <s v="EJ9YL"/>
    <n v="27269633"/>
    <s v=""/>
    <s v=""/>
    <s v=""/>
    <s v="2023-11-15"/>
    <s v="WOS:000393583300013"/>
    <s v="View Full Record in Web of Science"/>
    <m/>
  </r>
  <r>
    <x v="574"/>
    <s v="J"/>
    <x v="566"/>
    <s v=""/>
    <s v=""/>
    <s v=""/>
    <s v="Ribeiro, Sandra P. M."/>
    <s v=""/>
    <s v=""/>
    <x v="572"/>
    <x v="421"/>
    <s v=""/>
    <s v=""/>
    <s v="English"/>
    <s v="Article"/>
    <s v=""/>
    <s v=""/>
    <s v=""/>
    <s v=""/>
    <s v=""/>
    <x v="519"/>
    <x v="401"/>
    <s v="Higher Education mirrors the shifting nature of society and work. Mobility may provide unparalleled learning opportunities for all stakeholders; however, in order to live and work in plural societies as socially responsible and intercultural knowledgeable citizens, intercultural awareness and intercultural communication skills need to be mastered. In parallel, the relevance of a digital agenda and the studies that attest to the positive student engagement brought about by the inclusion of information and communication technologies (ICT) across all grade levels push educators to seek and incorporate technology-based learning and teaching strategies. Digital Storytelling was implemented in an undergraduate degree in Business Communication, where students discuss and reflect on key issues in Intercultural Communication. Our case study draws on the qualitative analysis of a questionnaire, which intended to understand student perceptions regarding an assignment where they are asked to create Digital Stories and consider on the their own reflection process regarding intercultural differences and communicating across cultures. Our analysis of the 140 questionnaires revealed that Digital Storytelling was able to engage students in a serious and productive debate revolving around technology-enhanced learning and cultural differences, empowering them to construct new personal and group meanings and improve their intercultural awareness. O Ensino Superior reflete a natureza inconstante da sociedade e do trabalho. A mobilidade pode proporcionar oportunidades de aprendizagem inigualaveis para todos, no entanto, a fim de viver e trabalhar em sociedades plurais como cidadAos conhecedores e socialmente responsaveis, e necessario adquirirem uma maior consciencia intercultural. Ao mesmo tempo, a relevancia da Agenda Digital, e os estudos que destacam os resultados positivos que derivam da inclusAo das TIC no ensino servem de impeto para os professores incorporarem estrategias de ensino base tecnologica. Digital Storytelling foi implementado na Licenciatura em ComunicacAo Empresarial, onde os alunos tem a oportunidade de se debrucarem sobre questoes relacionadas com a ComunicacAo Intercultural. O nosso estudo de caso baseia-se na analise qualitativa de um questionario, que destina-se a compreender as percepcoes dos alunos em relacAo a uma trabalho em que tem de criar narrativas digitais e analisar o sobre o seu proprio processo de reflexAo sobre as diferencas interculturais e a comunicacAo entre culturas. Uma analise a 140 inqueritos por questionario revelou que o trabalho que incluia Digital Storytelling foi capaz de motivar e envolver os alunos em torno de um debate, consciente e inconsciente, sobre a integracAo das TIC no ensino superior e as diferencas culturais de forma a capacita-los para a construcAo de novos significados individuais e de grupo e melhorar a sua consciencia intercultural."/>
    <s v="[Ribeiro, Sandra P. M.] Polytech Porto, CEI CICE, Sch Accounting &amp; Adm Oporto, Sao Mamede de Infesta, Portugal"/>
    <s v="Instituto Politecnico do Porto"/>
    <s v="Ribeiro, SPM (corresponding author), Polytech Porto, CEI CICE, Sch Accounting &amp; Adm Oporto, Sao Mamede de Infesta, Portugal."/>
    <s v="sribeiro@iscap.ipp.pt"/>
    <s v="Ribeiro, Sandra Patrícia Marques/AAC-1057-2022; Ribeiro, Sandra/IVH-4691-2023"/>
    <s v="Ribeiro, Sandra Patrícia Marques/0000-0002-6767-0151; Ribeiro, Sandra/0000-0002-6767-0151"/>
    <s v=""/>
    <s v=""/>
    <s v=""/>
    <s v=""/>
    <n v="63"/>
    <n v="25"/>
    <n v="25"/>
    <n v="3"/>
    <n v="87"/>
    <s v="ROUTLEDGE JOURNALS, TAYLOR &amp; FRANCIS LTD"/>
    <s v="ABINGDON"/>
    <s v="4 PARK SQUARE, MILTON PARK, ABINGDON OX14 4RN, OXFORDSHIRE, ENGLAND"/>
    <s v="1470-8477"/>
    <s v="1747-759X"/>
    <s v=""/>
    <s v="LANG INTERCULT COMM"/>
    <s v="Lang. Intercult. Commun."/>
    <s v="JAN 2"/>
    <x v="7"/>
    <n v="16"/>
    <n v="1"/>
    <s v=""/>
    <s v=""/>
    <s v="SI"/>
    <s v=""/>
    <n v="69"/>
    <n v="82"/>
    <s v=""/>
    <s v="10.1080/14708477.2015.1113752"/>
    <s v="http://dx.doi.org/10.1080/14708477.2015.1113752"/>
    <s v=""/>
    <s v=""/>
    <n v="14"/>
    <x v="168"/>
    <x v="6"/>
    <s v="Linguistics"/>
    <s v="DD4EE"/>
    <s v=""/>
    <s v="Green Submitted"/>
    <s v=""/>
    <s v=""/>
    <s v="2023-11-15"/>
    <s v="WOS:000369874500005"/>
    <s v="View Full Record in Web of Science"/>
    <m/>
  </r>
  <r>
    <x v="575"/>
    <s v="B"/>
    <x v="567"/>
    <s v="Akkizidis, I; Stagars, M"/>
    <s v=""/>
    <s v=""/>
    <s v="Akkizidis, Ioannis; Stagars, Manuel"/>
    <s v="Akkizidis, I; Stagars, M"/>
    <s v=""/>
    <x v="573"/>
    <x v="422"/>
    <s v=""/>
    <s v=""/>
    <s v="English"/>
    <s v="Article; Book Chapter"/>
    <s v=""/>
    <s v=""/>
    <s v=""/>
    <s v=""/>
    <s v=""/>
    <x v="8"/>
    <x v="1"/>
    <s v=""/>
    <s v="[Akkizidis, Ioannis] Wolters Kluwer Financial &amp; Compliance Serv, Financial Risk Management Syst, Zurich, Switzerland; [Akkizidis, Ioannis] Univ Zurich, Masters Degree Program Quantitat Finance, CH-8006 Zurich, Switzerland; [Stagars, Manuel] Singapore ETH Ctr, Singapore, Singapore"/>
    <s v="University of Zurich"/>
    <s v="Akkizidis, I (corresponding author), Wolters Kluwer Financial &amp; Compliance Serv, Financial Risk Management Syst, Zurich, Switzerland.;Akkizidis, I (corresponding author), Univ Zurich, Masters Degree Program Quantitat Finance, CH-8006 Zurich, Switzerland."/>
    <s v=""/>
    <s v=""/>
    <s v=""/>
    <s v=""/>
    <s v=""/>
    <s v=""/>
    <s v=""/>
    <n v="0"/>
    <n v="0"/>
    <n v="0"/>
    <n v="0"/>
    <n v="1"/>
    <s v="JOHN WILEY &amp; SONS LTD"/>
    <s v="CHICHESTER"/>
    <s v="THE ATRIUM, SOUTHERN GATE, CHICHESTER PO19 8SQ, WEST SUSSEX, ENGLAND"/>
    <s v=""/>
    <s v=""/>
    <s v="978-1-119-09918-5; 978-1-119-09916-1"/>
    <s v=""/>
    <s v=""/>
    <s v=""/>
    <x v="7"/>
    <s v=""/>
    <s v=""/>
    <s v=""/>
    <s v=""/>
    <s v=""/>
    <s v=""/>
    <n v="263"/>
    <n v="275"/>
    <s v=""/>
    <s v=""/>
    <s v=""/>
    <s v="10.1002/9781119099437"/>
    <s v=""/>
    <n v="13"/>
    <x v="14"/>
    <x v="7"/>
    <s v="Business &amp; Economics"/>
    <s v="BF7FE"/>
    <s v=""/>
    <s v=""/>
    <s v=""/>
    <s v=""/>
    <s v="2023-11-15"/>
    <s v="WOS:000384000800020"/>
    <s v="View Full Record in Web of Science"/>
    <m/>
  </r>
  <r>
    <x v="576"/>
    <s v="J"/>
    <x v="568"/>
    <s v=""/>
    <s v=""/>
    <s v=""/>
    <s v="Barns, Sarah"/>
    <s v=""/>
    <s v=""/>
    <x v="574"/>
    <x v="423"/>
    <s v=""/>
    <s v=""/>
    <s v="English"/>
    <s v="Article"/>
    <s v=""/>
    <s v=""/>
    <s v=""/>
    <s v=""/>
    <s v=""/>
    <x v="520"/>
    <x v="402"/>
    <s v="Investment in the release of open data has become increasingly central to the implementation of smart city programs by governments around the world. Though originally arising out of a push towards open government and the pursuit of more transparent decision-making by public authorities at multiple scales, open data programs have more recently been adopted by municipal governments to support entrepreneurial goals of enhanced competitive positioning and attracting investment. As urban scholars now subject the smart city project to critical scrutiny for its role in advancing urban entrepreneurialism, this article considers the relevance of the open data agenda as it shapes wider understandings of the smart city. In particular, I address the collection of policy practices, aspirations, stakeholders and entrepreneurs active in framing the opportunities and values of open data for urban governments. Both the momentum of support for open data, along with a recent shift in the rhetorical aspirations of the open data movement away from the values of openness and transparency and towards a more confined focus on value generation, raise important critical questions for urban geographers concerned with the nature of urban governance in an age of big data."/>
    <s v="[Barns, Sarah] Univ Western Sydney, Inst Culture &amp; Soc, Bldg EM,Parramatta Campus,Locked Bag 1797, Penrith, NSW 2751, Australia"/>
    <s v="Western Sydney University"/>
    <s v="Barns, S (corresponding author), Univ Western Sydney, Inst Culture &amp; Soc, Bldg EM,Parramatta Campus,Locked Bag 1797, Penrith, NSW 2751, Australia."/>
    <s v="s.barns@westernsydney.edu.au"/>
    <s v=""/>
    <s v="Barns, Sarah/0000-0002-0087-7166"/>
    <s v="Urban Studies Foundation Postdoctoral Research Fellowship Programme"/>
    <s v="Urban Studies Foundation Postdoctoral Research Fellowship Programme"/>
    <s v="This research was supported by the Urban Studies Foundation Postdoctoral Research Fellowship Programme."/>
    <s v=""/>
    <n v="70"/>
    <n v="69"/>
    <n v="71"/>
    <n v="2"/>
    <n v="77"/>
    <s v="ROUTLEDGE JOURNALS, TAYLOR &amp; FRANCIS LTD"/>
    <s v="ABINGDON"/>
    <s v="2-4 PARK SQUARE, MILTON PARK, ABINGDON OX14 4RN, OXON, ENGLAND"/>
    <s v="0272-3638"/>
    <s v="1938-2847"/>
    <s v=""/>
    <s v="URBAN GEOGR"/>
    <s v="Urban Geogr."/>
    <s v=""/>
    <x v="7"/>
    <n v="37"/>
    <n v="4"/>
    <s v=""/>
    <s v=""/>
    <s v=""/>
    <s v=""/>
    <n v="554"/>
    <n v="571"/>
    <s v=""/>
    <s v="10.1080/02723638.2016.1139876"/>
    <s v="http://dx.doi.org/10.1080/02723638.2016.1139876"/>
    <s v=""/>
    <s v=""/>
    <n v="18"/>
    <x v="169"/>
    <x v="1"/>
    <s v="Geography; Urban Studies"/>
    <s v="DR2VP"/>
    <s v=""/>
    <s v=""/>
    <s v=""/>
    <s v=""/>
    <s v="2023-11-15"/>
    <s v="WOS:000379762300006"/>
    <s v="View Full Record in Web of Science"/>
    <m/>
  </r>
  <r>
    <x v="577"/>
    <s v="J"/>
    <x v="569"/>
    <s v=""/>
    <s v=""/>
    <s v=""/>
    <s v="Builes Beltran, Claudia Y."/>
    <s v=""/>
    <s v=""/>
    <x v="575"/>
    <x v="424"/>
    <s v=""/>
    <s v=""/>
    <s v="Spanish"/>
    <s v="Article"/>
    <s v=""/>
    <s v=""/>
    <s v=""/>
    <s v=""/>
    <s v=""/>
    <x v="521"/>
    <x v="1"/>
    <s v="This article explores the scope of CIT in the recovery of the social background and the development of rural and isolate communities, with little access to computing resources and internet in Colombia. This model has been implemented successfully in South America, contributing to the development of processes of social inclusion for access to digital communities, virtual education and social networks, as mechanisms of connectivity which favor concerning a social identity and provide social development with equity. For this, the kiosk lives Digital, constitute a strategy for access to connectivity based on the recovery of communities through interaction in a virtual scenario tested purposefully by social psychology and neuroscience which benefit the consolidation of social networks and the entrance to the information as a central axis for balance and social inclusion."/>
    <s v="[Builes Beltran, Claudia Y.] Univ San Buenaventura, Grp Invest Salud Comportamenal &amp; Org, Medellin, Colombia"/>
    <s v=""/>
    <s v="Beltran, CYB (corresponding author), Gemprecol, Medellin, Colombia."/>
    <s v="coordinaciondecampo@genmprecol.com.co"/>
    <s v=""/>
    <s v=""/>
    <s v=""/>
    <s v=""/>
    <s v=""/>
    <s v=""/>
    <n v="11"/>
    <n v="1"/>
    <n v="1"/>
    <n v="1"/>
    <n v="7"/>
    <s v="UNIV SAN BUENAVENTURA, MEDELLIN"/>
    <s v="MEDELLIN"/>
    <s v="DEPT FORMACION HUMANA &amp; BIOETICA, SAN BENITO CENTRO, CARRERA 56C NO 51-90, MEDELLIN, 00000, COLOMBIA"/>
    <s v="2011-7922"/>
    <s v="2011-2084"/>
    <s v=""/>
    <s v="INT J PSYCHOL RES"/>
    <s v="Int. J. Psychol. Res."/>
    <s v=""/>
    <x v="7"/>
    <n v="9"/>
    <n v="1"/>
    <s v=""/>
    <s v=""/>
    <s v=""/>
    <s v=""/>
    <n v="126"/>
    <n v="130"/>
    <s v=""/>
    <s v=""/>
    <s v=""/>
    <s v=""/>
    <s v=""/>
    <n v="5"/>
    <x v="47"/>
    <x v="1"/>
    <s v="Psychology"/>
    <s v="ED1AW"/>
    <s v=""/>
    <s v=""/>
    <s v=""/>
    <s v=""/>
    <s v="2023-11-15"/>
    <s v="WOS:000388576900012"/>
    <s v="View Full Record in Web of Science"/>
    <m/>
  </r>
  <r>
    <x v="578"/>
    <s v="J"/>
    <x v="570"/>
    <s v=""/>
    <s v=""/>
    <s v=""/>
    <s v="Granda Tandazo, Carlos V.; Paladines Galarza, Fanny Y.; Velasquez Benavides, Andrea V."/>
    <s v=""/>
    <s v=""/>
    <x v="576"/>
    <x v="373"/>
    <s v=""/>
    <s v=""/>
    <s v="Spanish"/>
    <s v="Article"/>
    <s v=""/>
    <s v=""/>
    <s v=""/>
    <s v=""/>
    <s v=""/>
    <x v="522"/>
    <x v="1"/>
    <s v="Introduction: This article analyses how the digital revolution has forced Ecuador's public organisations to redesign their strategies in order to promote their services and interact with citizens. Method: The study follows a non-experimental, exploratory and descriptive approach based on a questionnaire survey applied to the chief communications officers of 52 public institutions. Results: The main findings are related to the structure of the communication departments of public institutions; the stage of development of public organisations in the design of social media strategies; the social networks and resources most commonly used by public institutions; and the tools used to measure their effectiveness. Discussion: The results indicate that public organisations need to professionalise their social media management team and to elevate their relationship with citizens to a strategic level. Conclusions: It is necessary to generate a professional strategy and structure to improve the management of social media."/>
    <s v="[Granda Tandazo, Carlos V.; Paladines Galarza, Fanny Y.; Velasquez Benavides, Andrea V.] Univ Tecn Particular Loja, Loja, Ecuador"/>
    <s v="Universidad Tecnica Particular de Loja"/>
    <s v="Tandazo, CVG; Galarza, FYP; Benavides, AVV (corresponding author), Univ Tecn Particular Loja, Loja, Ecuador."/>
    <s v="cwgranda@utpl.edu.ec; fypaladines@utpl.edu.ec; avvelasquez@utpl.edu.ec"/>
    <s v="Velásquez-Benavides, Andrea Victoria/AAR-4544-2021"/>
    <s v="Velasquez-Benavides, Andrea Victoria/0000-0003-0534-290X"/>
    <s v=""/>
    <s v=""/>
    <s v=""/>
    <s v=""/>
    <n v="24"/>
    <n v="2"/>
    <n v="4"/>
    <n v="0"/>
    <n v="6"/>
    <s v="LABORATORIO TECNOLOGIAS INFORMACION &amp; NUEVOS ANALISIS COMUNICACION SOCIAL"/>
    <s v="TENERIFE"/>
    <s v="PIRAMIDE CAMPUS GUAJARA, LA LAGUNA, TENERIFE, 38200, SPAIN"/>
    <s v="1138-5820"/>
    <s v=""/>
    <s v=""/>
    <s v="REV LAT COMUN SOC"/>
    <s v="Rev. Lat. Comun. Soc."/>
    <s v=""/>
    <x v="7"/>
    <n v="71"/>
    <n v="2"/>
    <s v=""/>
    <s v=""/>
    <s v=""/>
    <s v=""/>
    <n v="211"/>
    <n v="231"/>
    <s v=""/>
    <s v="10.4185/RLCS-2016-1092"/>
    <s v="http://dx.doi.org/10.4185/RLCS-2016-1092"/>
    <s v=""/>
    <s v=""/>
    <n v="21"/>
    <x v="56"/>
    <x v="2"/>
    <s v="Communication"/>
    <s v="DL9KC"/>
    <s v=""/>
    <s v="Bronze"/>
    <s v=""/>
    <s v=""/>
    <s v="2023-11-15"/>
    <s v="WOS:000375960500006"/>
    <s v="View Full Record in Web of Science"/>
    <m/>
  </r>
  <r>
    <x v="579"/>
    <s v="J"/>
    <x v="571"/>
    <s v=""/>
    <s v=""/>
    <s v=""/>
    <s v="Komninos, Nicos"/>
    <s v=""/>
    <s v=""/>
    <x v="577"/>
    <x v="425"/>
    <s v=""/>
    <s v=""/>
    <s v="English"/>
    <s v="Article"/>
    <s v=""/>
    <s v=""/>
    <s v=""/>
    <s v=""/>
    <s v=""/>
    <x v="523"/>
    <x v="403"/>
    <s v="This paper discusses the interface between innovation systems and digital systems. It is based on a literature review that examines how innovation and smart environments converge from the bottom up, and how innovation strategies and digital strategies are connected and shape a common set of objectives and actions for growth. Following an introduction which looks at the current outlook for growth, we focus on digital drivers of growth as outlined in various strands of the literature. We discuss the digital disruption of business practices, the use of digital tools and smart environments for innovation and new product development, the rise of cyber-physical infrastructures, and systems of innovation. We also examine how various types of innovation and digital strategies contribute to smart growth. In conclusion, we portray connectors and bridges between innovation and digital strategies, such as sector-specific smart environments, innovation over platforms, and digital solutions for collaborative product development."/>
    <s v="[Komninos, Nicos] Aristotle Univ Thessaloniki, URENIO Res, Thessaloniki 54124, Greece"/>
    <s v="Aristotle University of Thessaloniki"/>
    <s v="Komninos, N (corresponding author), Aristotle Univ Thessaloniki, URENIO Res, Thessaloniki 54124, Greece."/>
    <s v="komninos@urenio.org"/>
    <s v="Komninos, Nicos/ABW-3374-2022"/>
    <s v="Komninos, Nicos/0000-0002-4656-1263"/>
    <s v=""/>
    <s v=""/>
    <s v=""/>
    <s v=""/>
    <n v="93"/>
    <n v="24"/>
    <n v="24"/>
    <n v="0"/>
    <n v="26"/>
    <s v="INDERSCIENCE ENTERPRISES LTD"/>
    <s v="GENEVA"/>
    <s v="WORLD TRADE CENTER BLDG, 29 ROUTE DE PRE-BOIS, CASE POSTALE 856, CH-1215 GENEVA, SWITZERLAND"/>
    <s v="2040-4468"/>
    <s v="2040-4476"/>
    <s v=""/>
    <s v="INT J KNOWL-BASED DE"/>
    <s v="Int. J. Knowl.-Based Dev."/>
    <s v=""/>
    <x v="7"/>
    <n v="7"/>
    <n v="3"/>
    <s v=""/>
    <s v=""/>
    <s v=""/>
    <s v=""/>
    <n v="240"/>
    <n v="263"/>
    <s v=""/>
    <s v="10.1504/IJKBD.2016.078536"/>
    <s v="http://dx.doi.org/10.1504/IJKBD.2016.078536"/>
    <s v=""/>
    <s v=""/>
    <n v="24"/>
    <x v="63"/>
    <x v="2"/>
    <s v="Urban Studies"/>
    <s v="VD6RV"/>
    <s v=""/>
    <s v=""/>
    <s v=""/>
    <s v=""/>
    <s v="2023-11-15"/>
    <s v="WOS:000437441200004"/>
    <s v="View Full Record in Web of Science"/>
    <m/>
  </r>
  <r>
    <x v="580"/>
    <s v="J"/>
    <x v="572"/>
    <s v=""/>
    <s v=""/>
    <s v=""/>
    <s v="Kroksmark, Tomas"/>
    <s v=""/>
    <s v=""/>
    <x v="578"/>
    <x v="238"/>
    <s v=""/>
    <s v=""/>
    <s v="English"/>
    <s v="Article"/>
    <s v=""/>
    <s v=""/>
    <s v=""/>
    <s v=""/>
    <s v=""/>
    <x v="524"/>
    <x v="404"/>
    <s v="The aim of the study is to generate knowledge of how teachers change their teaching and how pupils change their learning as a consequence of working in One-to-One environments in schools. The result shows that teachers and students are changing their relation to teaching and learning when school is digitized. The most important dimension of this change is that content related knowledge of the digitized learning in a one-to-one school, is a prerequisite for improved quality and better results in schools where digital artefacts are used. The results also show in what ways teachers must understand that knowledge is stretched between analogue and digital teaching and learning in the classroom."/>
    <s v="[Kroksmark, Tomas] Jonkoping Univ, Jonkoping, Sweden"/>
    <s v="Jonkoping University"/>
    <s v="Kroksmark, T (corresponding author), Jonkoping Univ, Jonkoping, Sweden."/>
    <s v="tomas.kroksmark@hlk.hj.se"/>
    <s v=""/>
    <s v=""/>
    <s v=""/>
    <s v=""/>
    <s v=""/>
    <s v=""/>
    <n v="46"/>
    <n v="2"/>
    <n v="2"/>
    <n v="0"/>
    <n v="2"/>
    <s v="SPRINGER"/>
    <s v="NEW YORK"/>
    <s v="ONE NEW YORK PLAZA, SUITE 4600, NEW YORK, NY, UNITED STATES"/>
    <s v="1360-2357"/>
    <s v="1573-7608"/>
    <s v=""/>
    <s v="EDUC INF TECHNOL"/>
    <s v="Educ. Inf. Technol."/>
    <s v="JAN"/>
    <x v="7"/>
    <n v="21"/>
    <n v="1"/>
    <s v=""/>
    <s v=""/>
    <s v=""/>
    <s v=""/>
    <n v="35"/>
    <n v="52"/>
    <s v=""/>
    <s v="10.1007/s10639-014-9308-x"/>
    <s v="http://dx.doi.org/10.1007/s10639-014-9308-x"/>
    <s v=""/>
    <s v=""/>
    <n v="18"/>
    <x v="39"/>
    <x v="2"/>
    <s v="Education &amp; Educational Research"/>
    <s v="FG5OR"/>
    <s v=""/>
    <s v=""/>
    <s v=""/>
    <s v=""/>
    <s v="2023-11-15"/>
    <s v="WOS:000410376500004"/>
    <s v="View Full Record in Web of Science"/>
    <m/>
  </r>
  <r>
    <x v="581"/>
    <s v="S"/>
    <x v="573"/>
    <s v=""/>
    <s v="Kozak, M; Kozak, N"/>
    <s v=""/>
    <s v="Miettinen, Ekaterina"/>
    <s v=""/>
    <s v=""/>
    <x v="579"/>
    <x v="426"/>
    <s v="Advances in Culture Tourism and Hospitality Research"/>
    <s v=""/>
    <s v="English"/>
    <s v="Article; Book Chapter"/>
    <s v=""/>
    <s v=""/>
    <s v=""/>
    <s v=""/>
    <s v=""/>
    <x v="525"/>
    <x v="1"/>
    <s v="Nowadays, social media influences tourists in their decision making process and plays an important role in the digital marketing strategy of tourism service providers. The purpose of this study is to examine the presence of tourism businesses in the most popular social media channel in Russia - VKontakte (VK). The data consist of Finnish and Russian groups devoted to tourism in VK: 10,000 Finnish groups and 5,000 Russian groups were found and the 12 most popular out of each group were chosen for the analysis. The findings show that VK is widely used by Finnish and Russian tourism firms, but there is still potential for more effective implementation of the channel. The group discussions on the most popular topics can provide firms with useful knowledge for planning their digital strategies for the Russian market."/>
    <s v="[Miettinen, Ekaterina] Karelia Univ Appl Sci, Joensuu, Finland"/>
    <s v="Karelia University of Applied Sciences"/>
    <s v="Miettinen, E (corresponding author), Karelia Univ Appl Sci, Joensuu, Finland."/>
    <s v=""/>
    <s v=""/>
    <s v=""/>
    <s v=""/>
    <s v=""/>
    <s v=""/>
    <s v=""/>
    <n v="16"/>
    <n v="0"/>
    <n v="0"/>
    <n v="0"/>
    <n v="5"/>
    <s v="EMERALD GROUP PUBLISHING LTD"/>
    <s v="BINGLEY"/>
    <s v="HOWARD HOUSE, WAGON LANE, BINGLEY, W YORKSHIRE BD16 1WA, ENGLAND"/>
    <s v="1871-3173"/>
    <s v=""/>
    <s v="978-1-78635-713-7; 978-1-78635-714-4"/>
    <s v="ADV CULT TOUR HOSP R"/>
    <s v=""/>
    <s v=""/>
    <x v="7"/>
    <n v="12"/>
    <s v=""/>
    <s v=""/>
    <s v=""/>
    <s v=""/>
    <s v=""/>
    <n v="61"/>
    <n v="80"/>
    <s v=""/>
    <s v="10.1108/S1871-317320160000012006"/>
    <s v="http://dx.doi.org/10.1108/S1871-317320160000012006"/>
    <s v=""/>
    <s v=""/>
    <n v="20"/>
    <x v="88"/>
    <x v="7"/>
    <s v="Social Sciences - Other Topics"/>
    <s v="BH8EP"/>
    <s v=""/>
    <s v=""/>
    <s v=""/>
    <s v=""/>
    <s v="2023-11-15"/>
    <s v="WOS:000403250800006"/>
    <s v="View Full Record in Web of Science"/>
    <m/>
  </r>
  <r>
    <x v="582"/>
    <s v="J"/>
    <x v="574"/>
    <s v=""/>
    <s v=""/>
    <s v=""/>
    <s v="Straker, Karla; Wrigley, Cara"/>
    <s v=""/>
    <s v=""/>
    <x v="580"/>
    <x v="157"/>
    <s v=""/>
    <s v=""/>
    <s v="English"/>
    <s v="Article"/>
    <s v=""/>
    <s v=""/>
    <s v=""/>
    <s v=""/>
    <s v=""/>
    <x v="526"/>
    <x v="405"/>
    <s v="Purpose - The purpose of this paper is to investigate how companies can design digital channels to evoke desired emotions. Design/methodology/approach - The successful business case of retailer Burberry has been examined to understand the strategy and customer engagement of digital channels implemented by decoding the emotional intensions. Findings - Results illustrate that the ability to create engaging interactions via digital channels with customers has a significant impact on growth, revenue and brand advocacy. Findings from this study provide a new empirical support for the proposition that emotions can be utilised to guide company digital strategy for building digital channel relationships with customers. Originality/value - This is the first study to examine the relationship between digital channels, emotion and customer responses to digital engagements. The inclusion of an emerging theory model is outlined to explain the successful process of reformulating business strategy through a dynamic and creative process of intersecting emotion, strategy and digital channels."/>
    <s v="[Straker, Karla; Wrigley, Cara] Queensland Univ Technol, Sch Design, Brisbane, Qld, Australia"/>
    <s v="Queensland University of Technology (QUT)"/>
    <s v="Straker, K (corresponding author), Queensland Univ Technol, Sch Design, Brisbane, Qld, Australia."/>
    <s v="k.straker@qut.edu.au"/>
    <s v="Straker, Karla/AAM-3797-2021"/>
    <s v="Wrigley, Cara/0000-0001-7349-8469; Straker, Karla/0000-0002-6520-4173"/>
    <s v=""/>
    <s v=""/>
    <s v=""/>
    <s v=""/>
    <n v="65"/>
    <n v="34"/>
    <n v="34"/>
    <n v="5"/>
    <n v="67"/>
    <s v="EMERALD GROUP PUBLISHING LTD"/>
    <s v="BINGLEY"/>
    <s v="HOWARD HOUSE, WAGON LANE, BINGLEY BD16 1WA, W YORKSHIRE, ENGLAND"/>
    <s v="1361-2026"/>
    <s v="1758-7433"/>
    <s v=""/>
    <s v="J FASH MARK MANAG"/>
    <s v="J. Fash. Mark. Manag."/>
    <s v=""/>
    <x v="7"/>
    <n v="20"/>
    <n v="3"/>
    <s v=""/>
    <s v=""/>
    <s v=""/>
    <s v=""/>
    <n v="276"/>
    <n v="299"/>
    <s v=""/>
    <s v="10.1108/JFMM-10-2015-0077"/>
    <s v="http://dx.doi.org/10.1108/JFMM-10-2015-0077"/>
    <s v=""/>
    <s v=""/>
    <n v="24"/>
    <x v="6"/>
    <x v="1"/>
    <s v="Business &amp; Economics"/>
    <s v="DT4GW"/>
    <s v=""/>
    <s v="Green Published"/>
    <s v=""/>
    <s v=""/>
    <s v="2023-11-15"/>
    <s v="WOS:000381439200003"/>
    <s v="View Full Record in Web of Science"/>
    <m/>
  </r>
  <r>
    <x v="583"/>
    <s v="J"/>
    <x v="575"/>
    <s v=""/>
    <s v=""/>
    <s v=""/>
    <s v="Suarez-Obando, Fernando; Gomez-Restrepo, Carlos; Camacho, Jhon; Maria de la Hoz, Ana; Ruiz Morales, Alvaro J.; Maldonado, Patricia; Lopez, Pilar"/>
    <s v=""/>
    <s v=""/>
    <x v="581"/>
    <x v="427"/>
    <s v=""/>
    <s v=""/>
    <s v="Spanish"/>
    <s v="Article"/>
    <s v=""/>
    <s v=""/>
    <s v=""/>
    <s v=""/>
    <s v=""/>
    <x v="527"/>
    <x v="406"/>
    <s v="Introduction: In response to the necessity of concise, accurate and practical information to support clinical decision making, the Colombian government, in partnership with universities and scientific societies, has heavily invested in the development of clinical practice guidelines (CPG). Objectives: To develop a Web portal for the dissemination and communication of CPG and its clinical recommendations. Methodology: Development of the Colombian GPC web portal based on the principles of adult learning, learning development in medicine based on the Web and improvement of web development for medical education, using various informatic tools. Results: A Web portal that fulfills the purpose of disseminating the recommendations of the GPC, using various alternatives for the presentation of content, as well as to create channels of communication between developers and users of the CPG Portal."/>
    <s v="[Suarez-Obando, Fernando] Pontificia Univ Javeriana, Fac Med, Inst Genet Humana, Dept Epidemiol &amp; Bioestadist, Bogota, Colombia; [Gomez-Restrepo, Carlos; Camacho, Jhon; Maria de la Hoz, Ana; Ruiz Morales, Alvaro J.; Maldonado, Patricia; Lopez, Pilar] Pontificia Univ Javeriana, Fac Med, Dept Epidemiol &amp; Bioestadist, Bogota, Colombia"/>
    <s v="Pontificia Universidad Javeriana; Pontificia Universidad Javeriana"/>
    <s v="Suárez-Obando, F (corresponding author), Pontificia Univ Javeriana, Fac Med, Inst Genet Humana, Dept Epidemiol &amp; Bioestadist, Bogota, Colombia."/>
    <s v="fernando.suarez@javeriana.edu.co"/>
    <s v="Gomez-Restrepo, Carlos/ISA-2919-2023; Suarez-Obando, Fernando/AAY-3327-2021"/>
    <s v="Gomez-Restrepo, Carlos/0000-0002-9013-5384;"/>
    <s v=""/>
    <s v=""/>
    <s v=""/>
    <s v=""/>
    <n v="20"/>
    <n v="0"/>
    <n v="2"/>
    <n v="0"/>
    <n v="4"/>
    <s v="PONTIFICIA UNIV JAVERIANA, FAC MEDICINA"/>
    <s v="BOGOTA"/>
    <s v="HOSPITAL SAN IGNACIO, CARRERA 7A, 40-62 PISO 5, BOGOTA, CUND 00000, COLOMBIA"/>
    <s v="0041-9095"/>
    <s v="2011-0839"/>
    <s v=""/>
    <s v="UNIV MED"/>
    <s v="Univ. Med."/>
    <s v="JAN-MAR"/>
    <x v="7"/>
    <n v="57"/>
    <n v="1"/>
    <s v=""/>
    <s v=""/>
    <s v=""/>
    <s v=""/>
    <n v="44"/>
    <n v="57"/>
    <s v=""/>
    <s v="10.11144/Javeriana.umed57-1.pgpc"/>
    <s v="http://dx.doi.org/10.11144/Javeriana.umed57-1.pgpc"/>
    <s v=""/>
    <s v=""/>
    <n v="14"/>
    <x v="28"/>
    <x v="2"/>
    <s v="General &amp; Internal Medicine"/>
    <s v="EQ8SA"/>
    <s v=""/>
    <s v="Green Published, gold, Green Submitted"/>
    <s v=""/>
    <s v=""/>
    <s v="2023-11-15"/>
    <s v="WOS:000398354600004"/>
    <s v="View Full Record in Web of Science"/>
    <m/>
  </r>
  <r>
    <x v="584"/>
    <s v="J"/>
    <x v="576"/>
    <s v=""/>
    <s v=""/>
    <s v=""/>
    <s v="Yarbro, Jessica; McKnight, Katherine; Elliott, Stephen; Kurz, Alexander; Wardlow, Liane"/>
    <s v=""/>
    <s v=""/>
    <x v="582"/>
    <x v="428"/>
    <s v=""/>
    <s v=""/>
    <s v="English"/>
    <s v="Article"/>
    <s v=""/>
    <s v=""/>
    <s v=""/>
    <s v=""/>
    <s v=""/>
    <x v="528"/>
    <x v="407"/>
    <s v="Research that examines technology use in the context of daily classroom practices is needed to support the effective digital conversion of classrooms. In this study, 65 seventh-through 10th-grade Mathematics and English Language Arts teachers from six districts across six states logged information about digital strategies they incorporated into their lessons to teach specific academic content standards. We describe six major digital instructional strategies and 16 related instructional tactics that teachers used over the course of a year, and analyze how these strategies relate to opportunity to learn. We found teachers tended to use technology for a variety of strategies with varying degrees of frequency. Technology use was usually viewed as central or essential to instruction. Relationships between technology use and opportunity to learn differed between specific strategies and by subject. A discussion of the study limitations and future research needs is provided."/>
    <s v="[Yarbro, Jessica] George Mason Univ, Dept Psychol, MS 3F5, Fairfax, VA 22030 USA; [McKnight, Katherine] Pearsons Res &amp; Innovat Network, Res, Fairfax, VA USA; [Elliott, Stephen; Kurz, Alexander] Arizona State Univ, T Denny Sanford Sch Social &amp; Family Dynam, Tempe, AZ 85287 USA; [Elliott, Stephen] Australian Catholic Univ, Sydney, NSW, Australia; [Wardlow, Liane] Pearsons Res &amp; Innovat Network, Fairfax, VA USA"/>
    <s v="George Mason University; Arizona State University; Arizona State University-Tempe; Australian Catholic University"/>
    <s v="Yarbro, J (corresponding author), George Mason Univ, Dept Psychol, MS 3F5, Fairfax, VA 22030 USA."/>
    <s v="jyarbro@masonlive.gmu.edu"/>
    <s v=""/>
    <s v="McKnight, Katherine/0000-0002-8760-7408; Kurz, Alexander/0000-0001-6490-025X; , Liane/0000-0002-4111-5280"/>
    <s v=""/>
    <s v=""/>
    <s v=""/>
    <s v=""/>
    <n v="32"/>
    <n v="17"/>
    <n v="18"/>
    <n v="1"/>
    <n v="3"/>
    <s v="ROUTLEDGE JOURNALS, TAYLOR &amp; FRANCIS LTD"/>
    <s v="ABINGDON"/>
    <s v="2-4 PARK SQUARE, MILTON PARK, ABINGDON OX14 4RN, OXON, ENGLAND"/>
    <s v="1539-1523"/>
    <s v="1945-0818"/>
    <s v=""/>
    <s v="J RES TECHNOL EDUC"/>
    <s v="J. Res. Technol. Educ."/>
    <s v=""/>
    <x v="7"/>
    <n v="48"/>
    <n v="4"/>
    <s v=""/>
    <s v=""/>
    <s v=""/>
    <s v=""/>
    <n v="274"/>
    <n v="289"/>
    <s v=""/>
    <s v="10.1080/15391523.2016.1212632"/>
    <s v="http://dx.doi.org/10.1080/15391523.2016.1212632"/>
    <s v=""/>
    <s v=""/>
    <n v="16"/>
    <x v="39"/>
    <x v="2"/>
    <s v="Education &amp; Educational Research"/>
    <s v="FD7EF"/>
    <s v=""/>
    <s v=""/>
    <s v=""/>
    <s v=""/>
    <s v="2023-11-15"/>
    <s v="WOS:000407688700003"/>
    <s v="View Full Record in Web of Science"/>
    <m/>
  </r>
  <r>
    <x v="585"/>
    <s v="J"/>
    <x v="577"/>
    <s v=""/>
    <s v=""/>
    <s v=""/>
    <s v="Cunningham, David"/>
    <s v=""/>
    <s v=""/>
    <x v="583"/>
    <x v="429"/>
    <s v=""/>
    <s v=""/>
    <s v="English"/>
    <s v="Article"/>
    <s v=""/>
    <s v=""/>
    <s v=""/>
    <s v=""/>
    <s v=""/>
    <x v="8"/>
    <x v="1"/>
    <s v=""/>
    <s v="[Cunningham, David] NHS Educ Scotland, CPD &amp; Performance, Glasgow G3 8BW, Lanark, Scotland"/>
    <s v="NHS Education for Scotland"/>
    <s v="Cunningham, D (corresponding author), NHS Educ Scotland, CPD &amp; Performance, 89 Hydepk St, Glasgow G3 8BW, Lanark, Scotland."/>
    <s v="david.cunningham@nes.scot.nhs.uk"/>
    <s v=""/>
    <s v=""/>
    <s v=""/>
    <s v=""/>
    <s v=""/>
    <s v=""/>
    <n v="0"/>
    <n v="0"/>
    <n v="0"/>
    <n v="0"/>
    <n v="1"/>
    <s v="SAGE PUBLICATIONS LTD"/>
    <s v="LONDON"/>
    <s v="1 OLIVERS YARD, 55 CITY ROAD, LONDON EC1Y 1SP, ENGLAND"/>
    <s v="0036-9330"/>
    <s v="2045-6441"/>
    <s v=""/>
    <s v="SCOT MED J"/>
    <s v="Scott. Med. J."/>
    <s v="NOV"/>
    <x v="8"/>
    <n v="60"/>
    <n v="4"/>
    <s v=""/>
    <s v=""/>
    <s v="SI"/>
    <s v=""/>
    <n v="159"/>
    <n v="160"/>
    <s v=""/>
    <s v="10.1177/0036933015606574"/>
    <s v="http://dx.doi.org/10.1177/0036933015606574"/>
    <s v=""/>
    <s v=""/>
    <n v="2"/>
    <x v="28"/>
    <x v="0"/>
    <s v="General &amp; Internal Medicine"/>
    <s v="DA5ML"/>
    <n v="26449920"/>
    <s v=""/>
    <s v=""/>
    <s v=""/>
    <s v="2023-11-15"/>
    <s v="WOS:000367847100005"/>
    <s v="View Full Record in Web of Science"/>
    <m/>
  </r>
  <r>
    <x v="586"/>
    <s v="J"/>
    <x v="578"/>
    <s v=""/>
    <s v=""/>
    <s v=""/>
    <s v="Andreacola, Florence; SanJuan, Eric; Poli, Marie-Sylvie"/>
    <s v=""/>
    <s v=""/>
    <x v="584"/>
    <x v="430"/>
    <s v=""/>
    <s v=""/>
    <s v="French"/>
    <s v="Article"/>
    <s v=""/>
    <s v=""/>
    <s v=""/>
    <s v=""/>
    <s v=""/>
    <x v="529"/>
    <x v="1"/>
    <s v="What is the relevance for a museum to develop a digital strategy, one of whose components is particularly based on the intention to distribute content designed by the museum for participatory online platforms? Given the existence of the constraints raised by the development of an IT strategy for participation, museums may not necessarily find it advantageous to act directly on these levers and can opt for outsourcing this type of distribution. It might also perhaps be for them a question of resisting against participation in the Web 2.0 trend that could be temporary. However, the results of the case studies presented here do not allow us to rule out the possibility that we will see a turning point as museums, if they want to continue to best fulfill their missions, including participatory, should negotiate the best they can."/>
    <s v="[Andreacola, Florence; SanJuan, Eric; Poli, Marie-Sylvie] Univ Avignon &amp; Pays Vaucluse, Dept Sci Informat &amp; Commun, Avignon, France"/>
    <s v="Avignon Universite"/>
    <s v="Andreacola, F (corresponding author), Univ Avignon &amp; Pays Vaucluse, Dept Sci Informat &amp; Commun, Avignon, France."/>
    <s v="florence.andreacola@alumni.univ-avignon.fr; eric.sanjuan@univ-avignon.fr; marie-sylvie.poli@univ-avignon.fr"/>
    <s v=""/>
    <s v=""/>
    <s v=""/>
    <s v=""/>
    <s v=""/>
    <s v=""/>
    <n v="17"/>
    <n v="0"/>
    <n v="0"/>
    <n v="0"/>
    <n v="6"/>
    <s v="CANADIAN ASSOC INFORMATION SCIENCE"/>
    <s v="OTTAWA"/>
    <s v="PO BOX 6174, STATION J, OTTAWA, ONTARIO K2A 1T2, CANADA"/>
    <s v="1195-096X"/>
    <s v=""/>
    <s v=""/>
    <s v="CAN J INFORM LIB SCI"/>
    <s v="Can. J. Inf. Libr. Sci.-Rev. Can. Sci. Inf. Bibl."/>
    <s v="SEP-DEC"/>
    <x v="8"/>
    <n v="39"/>
    <s v="3-4"/>
    <s v=""/>
    <s v=""/>
    <s v="SI"/>
    <s v=""/>
    <n v="329"/>
    <n v="349"/>
    <s v=""/>
    <s v=""/>
    <s v=""/>
    <s v=""/>
    <s v=""/>
    <n v="21"/>
    <x v="155"/>
    <x v="1"/>
    <s v="Computer Science; Information Science &amp; Library Science"/>
    <s v="CY1CR"/>
    <s v=""/>
    <s v=""/>
    <s v=""/>
    <s v=""/>
    <s v="2023-11-15"/>
    <s v="WOS:000366144800006"/>
    <s v="View Full Record in Web of Science"/>
    <m/>
  </r>
  <r>
    <x v="587"/>
    <s v="J"/>
    <x v="579"/>
    <s v=""/>
    <s v=""/>
    <s v=""/>
    <s v="Rezende, Denis Alcides; Procopiuck, Mario; Figueiredo, Frederico de Carvalho"/>
    <s v=""/>
    <s v=""/>
    <x v="585"/>
    <x v="393"/>
    <s v=""/>
    <s v=""/>
    <s v="English"/>
    <s v="Article"/>
    <s v=""/>
    <s v=""/>
    <s v=""/>
    <s v=""/>
    <s v=""/>
    <x v="530"/>
    <x v="408"/>
    <s v="Municipalities interested in communication, education and social development seek to contribute to citizenship by planning, structuring, storing, and providing access to information. Starting with an overview of the global background to discussions on digital cities and the relation between digital cities and public policies, this article seeks to analyze and describe municipal information planning based on a project carried out, between 2009 and 2014, in the municipality of Vinhedo, SAo Paulo, Brazil. The study stresses the importance of adopting a project design methodology and implementing projects collectively at a municipal level to increase the efficiency of municipal management and implementing the strategic digital city concept, thereby increasing public space and governability and, consequently, citizens' quality of life. The results show that municipal information planning projects constitute public policy."/>
    <s v="[Rezende, Denis Alcides; Procopiuck, Mario; Figueiredo, Frederico de Carvalho] Pontifical Catholic Univ, Postgrad Program Urban Management, Curitiba, Parana, Brazil; [Rezende, Denis Alcides] DePaul Univ, Sch Publ Serv, Chicago, IL USA"/>
    <s v="Pontificia Universidade Catolica do Parana; DePaul University"/>
    <s v="Procopiuck, M (corresponding author), Pontifical Catholic Univ, Rua Imaculada Conceicao,1155 Prado Velho, Curitiba, Parana, Brazil."/>
    <s v="mario.p@pucpr.br"/>
    <s v="Rezende, Denis Alcides/AAR-2488-2021; Prokopiuk, Mario/E-1127-2014"/>
    <s v="Rezende, Denis Alcides/0000-0002-3327-0424; Prokopiuk, Mario/0000-0002-7346-1938"/>
    <s v=""/>
    <s v=""/>
    <s v=""/>
    <s v=""/>
    <n v="32"/>
    <n v="11"/>
    <n v="12"/>
    <n v="1"/>
    <n v="20"/>
    <s v="ROUTLEDGE JOURNALS, TAYLOR &amp; FRANCIS LTD"/>
    <s v="ABINGDON"/>
    <s v="4 PARK SQUARE, MILTON PARK, ABINGDON OX14 4RN, OXFORDSHIRE, ENGLAND"/>
    <s v="1063-0732"/>
    <s v="1466-1853"/>
    <s v=""/>
    <s v="J URBAN TECHNOL"/>
    <s v="J. Urban Technol."/>
    <s v="APR 3"/>
    <x v="8"/>
    <n v="22"/>
    <n v="2"/>
    <s v=""/>
    <s v=""/>
    <s v=""/>
    <s v=""/>
    <n v="63"/>
    <n v="83"/>
    <s v=""/>
    <s v="10.1080/10630732.2014.971536"/>
    <s v="http://dx.doi.org/10.1080/10630732.2014.971536"/>
    <s v=""/>
    <s v=""/>
    <n v="21"/>
    <x v="63"/>
    <x v="1"/>
    <s v="Urban Studies"/>
    <s v="CP2HQ"/>
    <s v=""/>
    <s v=""/>
    <s v=""/>
    <s v=""/>
    <s v="2023-11-15"/>
    <s v="WOS:000359698500002"/>
    <s v="View Full Record in Web of Science"/>
    <m/>
  </r>
  <r>
    <x v="588"/>
    <s v="J"/>
    <x v="556"/>
    <s v=""/>
    <s v=""/>
    <s v=""/>
    <s v="Alizadeh, Tooran; Sipe, Neil"/>
    <s v=""/>
    <s v=""/>
    <x v="586"/>
    <x v="431"/>
    <s v=""/>
    <s v=""/>
    <s v="English"/>
    <s v="Article"/>
    <s v=""/>
    <s v=""/>
    <s v=""/>
    <s v=""/>
    <s v=""/>
    <x v="531"/>
    <x v="409"/>
    <s v="A growing number of cities around the world have now realised the need to use digital technology to capitalise on the rapidly growing digitally driven economy. In mid-2013 Brisbane, Australia released its 'Digital Strategy' document to strengthen its economy through improved productivity for local businesses. The article is based on a combination of policy analysis and empirical data gathered through interviewing a sample of stakeholders involved in the strategy development process. It aims to understand how Brisbane intends on using the potentials of the digital economy. The results raise questions around the role defined for the digital economy in the future and shed light on the 'smart city' concept as a plausible digital-enabled direction for cities and regions with reference to the third wave of economic development, and the Triple (Quadruple) Helix of knowledge development. The lessons learned here may be applicable to any city interested in playing a proactive and productive role in the new economy."/>
    <s v="[Alizadeh, Tooran] Griffith Univ, Urban Res Program, Nathan, Qld 4111, Australia; [Sipe, Neil] Univ Queensland, Sch Geog Planning &amp; Environm Management, St Lucia, Qld, Australia"/>
    <s v="Griffith University; University of Queensland"/>
    <s v="Alizadeh, T (corresponding author), Griffith Univ, Urban Res Program, Nathan, Qld 4111, Australia."/>
    <s v="t.alizadeh@griffith.edu.au"/>
    <s v="Alizadeh, Tooran/AAX-2371-2020; Sipe, Neil G./A-4052-2009"/>
    <s v="Sipe, Neil G./0000-0002-3228-3768; Alizadeh, Tooran/0000-0001-5424-3348"/>
    <s v=""/>
    <s v=""/>
    <s v=""/>
    <s v=""/>
    <n v="48"/>
    <n v="13"/>
    <n v="13"/>
    <n v="1"/>
    <n v="18"/>
    <s v="ROUTLEDGE JOURNALS, TAYLOR &amp; FRANCIS LTD"/>
    <s v="ABINGDON"/>
    <s v="2-4 PARK SQUARE, MILTON PARK, ABINGDON OX14 4RN, OXON, ENGLAND"/>
    <s v="0729-3682"/>
    <s v="2150-6841"/>
    <s v=""/>
    <s v="AUST PLAN"/>
    <s v="Aust. Plan."/>
    <s v="JAN 2"/>
    <x v="8"/>
    <n v="52"/>
    <n v="1"/>
    <s v=""/>
    <s v=""/>
    <s v=""/>
    <s v=""/>
    <n v="35"/>
    <n v="41"/>
    <s v=""/>
    <s v="10.1080/07293682.2015.1019753"/>
    <s v="http://dx.doi.org/10.1080/07293682.2015.1019753"/>
    <s v=""/>
    <s v=""/>
    <n v="7"/>
    <x v="165"/>
    <x v="2"/>
    <s v="Public Administration"/>
    <s v="CH8HS"/>
    <s v=""/>
    <s v="Green Published"/>
    <s v=""/>
    <s v=""/>
    <s v="2023-11-15"/>
    <s v="WOS:000354277800005"/>
    <s v="View Full Record in Web of Science"/>
    <m/>
  </r>
  <r>
    <x v="589"/>
    <s v="J"/>
    <x v="580"/>
    <s v=""/>
    <s v=""/>
    <s v=""/>
    <s v="Colbjornsen, Terje"/>
    <s v=""/>
    <s v=""/>
    <x v="587"/>
    <x v="19"/>
    <s v=""/>
    <s v=""/>
    <s v="English"/>
    <s v="Article"/>
    <s v=""/>
    <s v=""/>
    <s v=""/>
    <s v=""/>
    <s v=""/>
    <x v="532"/>
    <x v="410"/>
    <s v="What happens when a media innovation encounters the marketplace in the form of critical bloggers and commentators? This paper adapts conceptual frameworks from science and technology studies - particularly actor-network theory (ANT) and social construction of technology (SCOT) - in order to analyse the process of introducing new media devices and the role of users and mediators in this process, by way of an empirically based study on digital strategy and marketing by a traditional book industry actor. The case studied is the Kibano Digireader, introduced to the Norwegian book market in 2011 and immediately heavily criticized. Looking into the role of tech bloggers and social media pundits, the paper argues that the success of consumer technologies relies upon an alignment with particular social groups, and their perceptions of relevance and demand. I further argue that the specific insights gained on book industry digitalization are applicable across other media industries and aim at a theoretical contribution by discussing and applying ANT/SCOT concepts on new media development. Based on analyses of press coverage and social media commentaries from November 2011, the paper addresses the following questions: What were the perceived demands and problems intended to be solved by the Digireader? How did the controversy over the Digireader play out and what arguments were raised against and in favour of the device? How can the social media commentators be categorized in terms of their engagement with and interpretation of the Digireader?"/>
    <s v="Univ Oslo, Dept Media &amp; Commun, N-0317 Oslo, Norway"/>
    <s v="University of Oslo"/>
    <s v="Colbjornsen, T (corresponding author), Univ Oslo, Dept Media &amp; Commun, POB 1093, N-0317 Oslo, Norway."/>
    <s v="terjeco@media.uio.no"/>
    <s v=""/>
    <s v="Colbjornsen, Terje/0000-0001-5849-2851"/>
    <s v=""/>
    <s v=""/>
    <s v=""/>
    <s v=""/>
    <n v="38"/>
    <n v="7"/>
    <n v="7"/>
    <n v="0"/>
    <n v="115"/>
    <s v="ROUTLEDGE JOURNALS, TAYLOR &amp; FRANCIS LTD"/>
    <s v="ABINGDON"/>
    <s v="2-4 PARK SQUARE, MILTON PARK, ABINGDON OX14 4RN, OXON, ENGLAND"/>
    <s v="1369-118X"/>
    <s v="1468-4462"/>
    <s v=""/>
    <s v="INFORM COMMUN SOC"/>
    <s v="Info. Commun. Soc."/>
    <s v="JAN 2"/>
    <x v="8"/>
    <n v="18"/>
    <n v="1"/>
    <s v=""/>
    <s v=""/>
    <s v=""/>
    <s v=""/>
    <n v="32"/>
    <n v="47"/>
    <s v=""/>
    <s v="10.1080/1369118X.2014.924982"/>
    <s v="http://dx.doi.org/10.1080/1369118X.2014.924982"/>
    <s v=""/>
    <s v=""/>
    <n v="16"/>
    <x v="18"/>
    <x v="1"/>
    <s v="Communication; Sociology"/>
    <s v="AR0CP"/>
    <s v=""/>
    <s v=""/>
    <s v=""/>
    <s v=""/>
    <s v="2023-11-15"/>
    <s v="WOS:000343233500003"/>
    <s v="View Full Record in Web of Science"/>
    <m/>
  </r>
  <r>
    <x v="590"/>
    <s v="J"/>
    <x v="534"/>
    <s v=""/>
    <s v=""/>
    <s v=""/>
    <s v="Alizadeh, Tooran"/>
    <s v=""/>
    <s v=""/>
    <x v="588"/>
    <x v="425"/>
    <s v=""/>
    <s v=""/>
    <s v="English"/>
    <s v="Article"/>
    <s v=""/>
    <s v=""/>
    <s v=""/>
    <s v=""/>
    <s v=""/>
    <x v="533"/>
    <x v="411"/>
    <s v="A growing number of cities around the world have now realised the need to strategically capitalise on the rapidly growing digital economy. In mid-2013, cities of Brisbane, Australia and Vancouver, Canada both released their 'Digital Strategy' documents to strengthen their economy by enhancing digital connections amongst citizens, business, and the whole city as a digital organisation. The paper critically investigates the digital strategies developed for the two cities to understand how they utilise the potentials of the digital economy in their respected cities and regions. The results identify fundamental differences in the two documents' core focus that firstly define different roles for the digital strategies in Brisbane vs. Vancouver, and secondly could highly affect the implications of the strategies for the two cities' overall economic development. Nevertheless, both Vancouver and Brisbane are still in the early days of implementing their digital strategies, and the paper has to be understood as a prelude to further empirical investigation."/>
    <s v="[Alizadeh, Tooran] Griffith Univ, Griffith Sch Environm, Nathan Campus,170 Kessels Rd, Brisbane, Qld 4111, Australia"/>
    <s v="Griffith University"/>
    <s v="Alizadeh, T (corresponding author), Griffith Univ, Griffith Sch Environm, Nathan Campus,170 Kessels Rd, Brisbane, Qld 4111, Australia."/>
    <s v="t.alizadeh@griffith.edu.au"/>
    <s v="Alizadeh, Tooran/AAX-2371-2020"/>
    <s v="Alizadeh, Tooran/0000-0001-5424-3348"/>
    <s v=""/>
    <s v=""/>
    <s v=""/>
    <s v=""/>
    <n v="75"/>
    <n v="14"/>
    <n v="14"/>
    <n v="1"/>
    <n v="10"/>
    <s v="INDERSCIENCE ENTERPRISES LTD"/>
    <s v="GENEVA"/>
    <s v="WORLD TRADE CENTER BLDG, 29 ROUTE DE PRE-BOIS, CASE POSTALE 856, CH-1215 GENEVA, SWITZERLAND"/>
    <s v="2040-4468"/>
    <s v="2040-4476"/>
    <s v=""/>
    <s v="INT J KNOWL-BASED DE"/>
    <s v="Int. J. Knowl.-Based Dev."/>
    <s v=""/>
    <x v="8"/>
    <n v="6"/>
    <n v="2"/>
    <s v=""/>
    <s v=""/>
    <s v=""/>
    <s v=""/>
    <n v="85"/>
    <n v="130"/>
    <s v=""/>
    <s v="10.1504/IJKBD.2015.071469"/>
    <s v="http://dx.doi.org/10.1504/IJKBD.2015.071469"/>
    <s v=""/>
    <s v=""/>
    <n v="46"/>
    <x v="63"/>
    <x v="2"/>
    <s v="Urban Studies"/>
    <s v="VD6RJ"/>
    <s v=""/>
    <s v=""/>
    <s v=""/>
    <s v=""/>
    <s v="2023-11-15"/>
    <s v="WOS:000437435200002"/>
    <s v="View Full Record in Web of Science"/>
    <m/>
  </r>
  <r>
    <x v="591"/>
    <s v="J"/>
    <x v="581"/>
    <s v=""/>
    <s v=""/>
    <s v=""/>
    <s v="Bertini, Marie-Joseph"/>
    <s v=""/>
    <s v=""/>
    <x v="589"/>
    <x v="432"/>
    <s v=""/>
    <s v=""/>
    <s v="French"/>
    <s v="Article"/>
    <s v=""/>
    <s v=""/>
    <s v=""/>
    <s v=""/>
    <s v=""/>
    <x v="8"/>
    <x v="1"/>
    <s v="Refuse to be named, while pointing art as a new esthetic experience of politics, is a challenge nevertheless regularly damaged by the digital strategies of unveiling of the most famous unknown's name on the street-art area. With his anonymity, Banksy joins masters of the Renaissance whose artistic virtuosity was strengthened by the impossible identification of the author of the work. The analysis of its performances, the most recent to oldest, will try to understand the meaning of the agir banksyen, hollow artist and relief work."/>
    <s v="[Bertini, Marie-Joseph] Univ Sci Informat &amp; Commun, New Brunswick, NJ 08901 USA; [Bertini, Marie-Joseph] LIRCES, Paris, France"/>
    <s v=""/>
    <s v="Bertini, MJ (corresponding author), Univ Sci Informat &amp; Commun, New Brunswick, NJ 08901 USA."/>
    <s v=""/>
    <s v=""/>
    <s v=""/>
    <s v=""/>
    <s v=""/>
    <s v=""/>
    <s v=""/>
    <n v="20"/>
    <n v="2"/>
    <n v="2"/>
    <n v="0"/>
    <n v="2"/>
    <s v="LABORATOIRE INTERDISCIPLINAIRE RECITS, CULTURES, &amp; SOCIETES-LIRCES"/>
    <s v="NICE"/>
    <s v="UNIV NICE-SOPHIA ANTIPOLIS-UFR LASH, CAMPUS CARLONE, BP 3209, NICE, CEDEX 306204, FRANCE"/>
    <s v="0993-8516"/>
    <s v="1765-307X"/>
    <s v=""/>
    <s v="CAH NARRAT"/>
    <s v="Cah. Narrat."/>
    <s v=""/>
    <x v="8"/>
    <s v=""/>
    <n v="29"/>
    <s v=""/>
    <s v=""/>
    <s v=""/>
    <s v=""/>
    <s v=""/>
    <s v=""/>
    <s v=""/>
    <s v="10.4000/narratologie.7398"/>
    <s v="http://dx.doi.org/10.4000/narratologie.7398"/>
    <s v=""/>
    <s v=""/>
    <n v="11"/>
    <x v="151"/>
    <x v="2"/>
    <s v="Literature"/>
    <s v="DK4ET"/>
    <s v=""/>
    <s v="gold"/>
    <s v=""/>
    <s v=""/>
    <s v="2023-11-15"/>
    <s v="WOS:000374870700004"/>
    <s v="View Full Record in Web of Science"/>
    <m/>
  </r>
  <r>
    <x v="592"/>
    <s v="J"/>
    <x v="582"/>
    <s v=""/>
    <s v=""/>
    <s v=""/>
    <s v="Cantone, Francesca"/>
    <s v=""/>
    <s v=""/>
    <x v="590"/>
    <x v="349"/>
    <s v=""/>
    <s v=""/>
    <s v="English"/>
    <s v="Article"/>
    <s v=""/>
    <s v=""/>
    <s v=""/>
    <s v=""/>
    <s v=""/>
    <x v="8"/>
    <x v="1"/>
    <s v="The paper focuses on the digital strategies developed in the study of the corpus of flower woman terracotta figurines found in the excavations carried out by Paola Zancani Montuoro and Umberto Zanotti Bianco at the Foce Sele Hera Sanctuary and stored in the National Archaeological Museum of Paestum. The flower woman definition identifies the best known structure of the statuettes composed of a female bust supporting a flower orthogonal to the base. Actually, the scientific literature about these peculiar artifacts reveals a diffused vagueness and ambiguity in the definition, formalization, and functional exegesis, encouraging a new comprehensive study. The main results come from: digital management of the information; seriation analysis supported by a quantitative approach; visualization of occurrences in the Mediterranean Basin based on Fusion Tables; testing of multidisciplinary approaches to cooperative content building in archaeology. The study developed a whole technology- enhanced workflow, including multimedia data digital management and sharing; statistical techniques for the analysis of terracotta shrinkage in moulded coroplastic figurines seriation; webGIS visualization of occurrences in the ancient Mediterranean Basin and their relations."/>
    <s v="[Cantone, Francesca] CNR Napoli, Ist Ric Innovaz &amp; Serv Sviluppo, Naples, Italy"/>
    <s v="Consiglio Nazionale delle Ricerche (CNR); Istituto di Ricerca su Innovazione e Servizi per lo Sviluppo (IRISS-CNR)"/>
    <s v="Cantone, F (corresponding author), CNR Napoli, Ist Ric Innovaz &amp; Serv Sviluppo, Naples, Italy."/>
    <s v="francesca.cantone@unina.it"/>
    <s v=""/>
    <s v=""/>
    <s v=""/>
    <s v=""/>
    <s v=""/>
    <s v=""/>
    <n v="46"/>
    <n v="2"/>
    <n v="2"/>
    <n v="0"/>
    <n v="1"/>
    <s v="EDIZIONI ALL INSEGNA GIGLIO SAS-ITALIAN NATL RESEARCH COUNC"/>
    <s v="BORGO SAN LORENZO"/>
    <s v="VIA DELLA FANGOSA 38, BORGO SAN LORENZO, FI 50032, ITALY"/>
    <s v="1120-6861"/>
    <s v="2385-1953"/>
    <s v=""/>
    <s v="ARCHEOL CALC"/>
    <s v="Archeol. Calc."/>
    <s v=""/>
    <x v="8"/>
    <n v="26"/>
    <s v=""/>
    <s v=""/>
    <s v=""/>
    <s v=""/>
    <s v=""/>
    <n v="95"/>
    <n v="114"/>
    <s v=""/>
    <s v=""/>
    <s v=""/>
    <s v=""/>
    <s v=""/>
    <n v="20"/>
    <x v="140"/>
    <x v="2"/>
    <s v="Archaeology"/>
    <s v="VI3DN"/>
    <s v=""/>
    <s v=""/>
    <s v=""/>
    <s v=""/>
    <s v="2023-11-15"/>
    <s v="WOS:000469777800020"/>
    <s v="View Full Record in Web of Science"/>
    <m/>
  </r>
  <r>
    <x v="593"/>
    <s v="J"/>
    <x v="583"/>
    <s v=""/>
    <s v=""/>
    <s v=""/>
    <s v="Coyne, Bryan; Devitt, Niamh; Lyons, Sean; McCoy, Selina"/>
    <s v=""/>
    <s v=""/>
    <x v="591"/>
    <x v="229"/>
    <s v=""/>
    <s v=""/>
    <s v="English"/>
    <s v="Article"/>
    <s v=""/>
    <s v=""/>
    <s v=""/>
    <s v=""/>
    <s v=""/>
    <x v="534"/>
    <x v="412"/>
    <s v="As part of Ireland's National Digital Strategy, high-speed broadband is being rolled out to all second-level schools to support greater use of information and communication technology (ICT) in education. This programme signals a move from slow and unreliable broadband connections for many schools to a guaranteed high-speed connection with technical support. Theoretically, this should allow for behaviours and pedagogies to adapt, incorporating ICT into education. Research shows that integrating ICT into teaching and learning is a gradual process for most teachers and is influenced by a complex mix of socio-technical factors. Our data set consists of survey data from teachers and principals from a sample of second-level schools. The survey collected factual and attitudinal variables including attitudes towards ICT integration, current availability of infrastructure and barriers to ICT use, before schools received high-speed broadband connectivity. We examine the factors influencing teachers' attitudes to ICT and their perceived barriers in adopting new technologies in their day-to-day teaching. Analysis of this baseline period is essential in an iterative digital strategy, informing future strategies, targeting policy most effectively and achieving policy objectives. While attitudes towards the potential of high-speed broadband and use of ICT are consistently positive across sub groups of schools and teachers, perceived barriers to ICT usage differ."/>
    <s v="[Coyne, Bryan; Devitt, Niamh] Econ &amp; Social Res Inst, Econ Anal Div, Dublin, Ireland; [Lyons, Sean; McCoy, Selina] Econ &amp; Social Res Inst, Dublin, Ireland; [Lyons, Sean; McCoy, Selina] Trinity Coll Dublin, Dublin, Ireland"/>
    <s v="Economic &amp; Social Research Institute (ESRI); Economic &amp; Social Research Institute (ESRI); Trinity College Dublin"/>
    <s v="Mccoy, S (corresponding author), Econ &amp; Social Res Inst, Dublin, Ireland.;Mccoy, S (corresponding author), Trinity Coll Dublin, Dublin, Ireland."/>
    <s v="selina.mccoy@esri.ie"/>
    <s v="McCoy, Selina/ABC-9817-2020; Lyons, Sean/AAH-7579-2019"/>
    <s v="McCoy, Selina/0000-0001-8774-4018; Lyons, Sean/0000-0002-3526-6947"/>
    <s v="ESRI Programme of Research in Communications; Ireland's Department for Communications, Energy and Natural Resources; Commission for Communications Regulation"/>
    <s v="ESRI Programme of Research in Communications; Ireland's Department for Communications, Energy and Natural Resources; Commission for Communications Regulation"/>
    <s v="This research was funded by the ESRI Programme of Research in Communications, with contributions from Ireland's Department for Communications, Energy and Natural Resources and the Commission for Communications Regulation. The usual disclaimer applies."/>
    <s v=""/>
    <n v="29"/>
    <n v="7"/>
    <n v="7"/>
    <n v="1"/>
    <n v="6"/>
    <s v="ROUTLEDGE JOURNALS, TAYLOR &amp; FRANCIS LTD"/>
    <s v="ABINGDON"/>
    <s v="2-4 PARK SQUARE, MILTON PARK, ABINGDON OX14 4RN, OXON, ENGLAND"/>
    <s v="0332-3315"/>
    <s v="1747-4965"/>
    <s v=""/>
    <s v="IRISH EDUC STUD"/>
    <s v="Ir. Educ. Stud."/>
    <s v=""/>
    <x v="8"/>
    <n v="34"/>
    <n v="4"/>
    <s v=""/>
    <s v=""/>
    <s v=""/>
    <s v=""/>
    <n v="355"/>
    <n v="378"/>
    <s v=""/>
    <s v="10.1080/03323315.2015.1128348"/>
    <s v="http://dx.doi.org/10.1080/03323315.2015.1128348"/>
    <s v=""/>
    <s v=""/>
    <n v="24"/>
    <x v="39"/>
    <x v="1"/>
    <s v="Education &amp; Educational Research"/>
    <s v="DR3BD"/>
    <s v=""/>
    <s v="Green Submitted"/>
    <s v=""/>
    <s v=""/>
    <s v="2023-11-15"/>
    <s v="WOS:000379776700005"/>
    <s v="View Full Record in Web of Science"/>
    <m/>
  </r>
  <r>
    <x v="594"/>
    <s v="J"/>
    <x v="584"/>
    <s v=""/>
    <s v=""/>
    <s v=""/>
    <s v="Merchant, Raina M.; Finne, Kristen; Lardy, Barbara; Veselovskiy, German; Korba, Casey; Margolis, Gregg S.; Lurie, Nicole"/>
    <s v=""/>
    <s v=""/>
    <x v="592"/>
    <x v="433"/>
    <s v=""/>
    <s v=""/>
    <s v="English"/>
    <s v="Article"/>
    <s v=""/>
    <s v=""/>
    <s v=""/>
    <s v=""/>
    <s v=""/>
    <x v="8"/>
    <x v="413"/>
    <s v="Objectives Health insurance plans serve a critical role in public health emergencies, yet little has been published about their collective emergency preparedness practices and policies. We evaluated, on a national scale, the state of health insurance plans' emergency preparedness and policies. Study Design A survey of health insurance plans. Methods We queried members of America's Health Insurance Plans, the national trade association representing the health insurance industry, about issues related to emergency preparedness issues: infrastructure, adaptability, connectedness, and best practices. Results Of 137 health insurance plans queried, 63% responded, representing 190.6 million members and 81% of US plan enrollment. All respondents had emergency plans for business continuity, and most (85%) had infrastructure for emergency teams. Some health plans also have established benchmarks for preparedness (eg, response time). Regarding adaptability, 85% had protocols to extend claim filing time and 71% could temporarily suspend prior medical authorization rules. Regarding connectedness, many plans shared their contingency plans with health officials, but often cited challenges in identifying regulatory agency contacts. Some health insurance plans had specific policies for assisting individuals dependent on durable medical equipment or home healthcare. Many plans (60%) expressed interest in sharing best practices. Conclusions Health insurance plans are prioritizing emergency preparedness. We identified 6 policy modifications that health insurance plans could undertake to potentially improve healthcare system preparedness: establishing metrics and benchmarks for emergency preparedness; identifying disaster-specific policy modifications, enhancing stakeholder connectedness, considering digital strategies to enhance communication, improving support and access for special-needs individuals, and developing regular forums for knowledge exchange about emergency preparedness."/>
    <s v="[Merchant, Raina M.; Finne, Kristen; Margolis, Gregg S.; Lurie, Nicole] US Dept HHS, Off Assistant Secretary Preparedness &amp; Response, Washington, DC 20201 USA; [Lardy, Barbara; Veselovskiy, German; Korba, Casey] Amer Hlth Insurance Plans, Washington, DC USA; [Merchant, Raina M.] Univ Penn, Perelman Sch Med, Philadelphia, PA 19104 USA"/>
    <s v="University of Pennsylvania; Pennsylvania Medicine"/>
    <s v="Merchant, RM (corresponding author), US Dept HHS, Off Assistant Secretary Preparedness &amp; Response, 200 Independence Ave SW, Washington, DC 20201 USA."/>
    <s v="raina.merchant@uphs.upenn.edu"/>
    <s v="Margolis, Gregg/AAK-9603-2021"/>
    <s v="Margolis, Gregg/0000-0003-1742-8604"/>
    <s v=""/>
    <s v=""/>
    <s v=""/>
    <s v=""/>
    <n v="42"/>
    <n v="3"/>
    <n v="3"/>
    <n v="0"/>
    <n v="11"/>
    <s v="MANAGED CARE &amp; HEALTHCARE COMMUNICATIONS LLC"/>
    <s v="PLAINSBORO"/>
    <s v="666 PLAINSBORO RD, STE 300, PLAINSBORO, NJ 08536 USA"/>
    <s v="1088-0224"/>
    <s v=""/>
    <s v=""/>
    <s v="AM J MANAG CARE"/>
    <s v="Am. J. Manag. Care"/>
    <s v="JAN"/>
    <x v="8"/>
    <n v="21"/>
    <n v="1"/>
    <s v=""/>
    <s v=""/>
    <s v=""/>
    <s v=""/>
    <n v="65"/>
    <s v="+"/>
    <s v=""/>
    <s v=""/>
    <s v=""/>
    <s v=""/>
    <s v=""/>
    <n v="14"/>
    <x v="170"/>
    <x v="3"/>
    <s v="Health Care Sciences &amp; Services; General &amp; Internal Medicine"/>
    <s v="CD3GC"/>
    <n v="25880151"/>
    <s v=""/>
    <s v=""/>
    <s v=""/>
    <s v="2023-11-15"/>
    <s v="WOS:000350965300014"/>
    <s v="View Full Record in Web of Science"/>
    <m/>
  </r>
  <r>
    <x v="595"/>
    <s v="J"/>
    <x v="585"/>
    <s v=""/>
    <s v=""/>
    <s v=""/>
    <s v="Prado, Emili"/>
    <s v=""/>
    <s v=""/>
    <x v="593"/>
    <x v="434"/>
    <s v=""/>
    <s v=""/>
    <s v="English"/>
    <s v="Article"/>
    <s v=""/>
    <s v=""/>
    <s v=""/>
    <s v=""/>
    <s v=""/>
    <x v="535"/>
    <x v="1"/>
    <s v="This article discusses the challenges facing the Catalan press in a context marked by the digitization and by a political process that demands independence. The media landscape in Catalonia is populated by media produced at Spanish level and at Catalan level, and this applies to the press, radio and television. Mainstream paid-for newspapers, available to the citizens of Catalonia produced at a national, regional, local or state level, whether written in Catalan or Spanish merit discussion. This kind of press is the most influential in the shaping of Catalonian public opinion and therefore plays a central role in the political debate on independence. In this context, newspapers in Catalonia are facing the crisis of the print-only business model and falling revenues from a declining readership base and the subsequent fall of advertising revenue. To face this problem, newspaper publishers are throwing themselves into digital strategies (web, tablet, mobile phones)."/>
    <s v="[Prado, Emili] Univ Autonoma Barcelona, E-08193 Barcelona, Spain"/>
    <s v="Autonomous University of Barcelona"/>
    <s v="Prado, E (corresponding author), Univ Autonoma Barcelona, Dept Comunicacio Audiovisual &amp; Publicitat, E-08193 Barcelona, Spain."/>
    <s v="Emili.Prado@uab.cat"/>
    <s v=""/>
    <s v="Prado, Emili/0000-0003-4871-2472"/>
    <s v=""/>
    <s v=""/>
    <s v=""/>
    <s v=""/>
    <n v="13"/>
    <n v="7"/>
    <n v="7"/>
    <n v="0"/>
    <n v="19"/>
    <s v="SAGE PUBLICATIONS LTD"/>
    <s v="LONDON"/>
    <s v="1 OLIVERS YARD, 55 CITY ROAD, LONDON EC1Y 1SP, ENGLAND"/>
    <s v="0163-4437"/>
    <s v="1460-3675"/>
    <s v=""/>
    <s v="MEDIA CULT SOC"/>
    <s v="Media Cult. Soc."/>
    <s v="JAN"/>
    <x v="8"/>
    <n v="37"/>
    <n v="1"/>
    <s v=""/>
    <s v=""/>
    <s v=""/>
    <s v=""/>
    <n v="134"/>
    <n v="143"/>
    <s v=""/>
    <s v="10.1177/0163443714553563"/>
    <s v="http://dx.doi.org/10.1177/0163443714553563"/>
    <s v=""/>
    <s v=""/>
    <n v="10"/>
    <x v="18"/>
    <x v="1"/>
    <s v="Communication; Sociology"/>
    <s v="AZ1IY"/>
    <s v=""/>
    <s v=""/>
    <s v=""/>
    <s v=""/>
    <s v="2023-11-15"/>
    <s v="WOS:000347994200011"/>
    <s v="View Full Record in Web of Science"/>
    <m/>
  </r>
  <r>
    <x v="596"/>
    <s v="J"/>
    <x v="586"/>
    <s v=""/>
    <s v=""/>
    <s v=""/>
    <s v="Rodgers, Scott"/>
    <s v=""/>
    <s v=""/>
    <x v="594"/>
    <x v="310"/>
    <s v=""/>
    <s v=""/>
    <s v="English"/>
    <s v="Article"/>
    <s v=""/>
    <s v=""/>
    <s v=""/>
    <s v=""/>
    <s v=""/>
    <x v="536"/>
    <x v="414"/>
    <s v="Research on digital' journalism has focused largely on online news, with comparatively less interest in the longer-term implications of software and computational technologies. Drawing upon a 6-year study of the Toronto Star, this article provides an account of TOPS, an in-house web content management system which served as the backbone of thestar.com for 6 years. For some, TOPS was a successful software innovation, while for others, a strategic digital property'. But for most journalists, it was slow, deficient in functionality, aesthetically unappealing and cumbersome. Although several organizational factors can explain TOPS' obstinacy, I argue for particular attention to the complex ontology of software. Based on an outline of this ontology, I suggest software be taken seriously as an object of journalism, which implies acknowledging its partial autonomy from human use or authorization, accounting for its ability to mutate indefinitely and analysing its capacity to encourage forms of computational thinking'."/>
    <s v="[Rodgers, Scott] Univ London, London WC1H 0PD, England"/>
    <s v="University of London"/>
    <s v="Rodgers, S (corresponding author), Univ London, Dept Film Media &amp; Cultural Studies, 43 Gordon Sq, London WC1H 0PD, England."/>
    <s v="s.rodgers@bbk.ac.uk"/>
    <s v=""/>
    <s v="Rodgers, Scott/0000-0002-1544-8743"/>
    <s v=""/>
    <s v=""/>
    <s v=""/>
    <s v=""/>
    <n v="42"/>
    <n v="28"/>
    <n v="28"/>
    <n v="1"/>
    <n v="42"/>
    <s v="SAGE PUBLICATIONS INC"/>
    <s v="THOUSAND OAKS"/>
    <s v="2455 TELLER RD, THOUSAND OAKS, CA 91320 USA"/>
    <s v="1464-8849"/>
    <s v="1741-3001"/>
    <s v=""/>
    <s v="JOURNALISM"/>
    <s v="Journalism"/>
    <s v="JAN"/>
    <x v="8"/>
    <n v="16"/>
    <n v="1"/>
    <s v=""/>
    <s v=""/>
    <s v="SI"/>
    <s v=""/>
    <n v="10"/>
    <n v="26"/>
    <s v=""/>
    <s v="10.1177/1464884914545729"/>
    <s v="http://dx.doi.org/10.1177/1464884914545729"/>
    <s v=""/>
    <s v=""/>
    <n v="17"/>
    <x v="56"/>
    <x v="1"/>
    <s v="Communication"/>
    <s v="AX3EK"/>
    <s v=""/>
    <s v="Green Accepted"/>
    <s v=""/>
    <s v=""/>
    <s v="2023-11-15"/>
    <s v="WOS:000346823000002"/>
    <s v="View Full Record in Web of Science"/>
    <m/>
  </r>
  <r>
    <x v="597"/>
    <s v="J"/>
    <x v="587"/>
    <s v=""/>
    <s v=""/>
    <s v=""/>
    <s v="Rosa Alva de la Selva, Alma"/>
    <s v=""/>
    <s v=""/>
    <x v="595"/>
    <x v="435"/>
    <s v=""/>
    <s v=""/>
    <s v="Spanish"/>
    <s v="Article"/>
    <s v=""/>
    <s v=""/>
    <s v=""/>
    <s v=""/>
    <s v=""/>
    <x v="537"/>
    <x v="1"/>
    <s v="In the context of Information and Knowledge Society (iks) and global capitalism's world crisis, this work addresses the problems of the digital gap as an expression of inequalities in the 21st century. The precedents of the boom that this process began to gain in the last years of the 20th century are presented, as well as the proposals and projects developed by Latin American countries in order to build this new social order. The structural nature of the digital gap problem is emphasized, understanding it as a new inequality. The fundamental transformations of this concept are pointed out and, based on statistic data, some broad analysis points on the digital gap in Latin America and Mexico are presented."/>
    <s v="[Rosa Alva de la Selva, Alma] UNAM, Fac Ciencias Polit &amp; Sociales, Ctr Estudios Ciencias Comunicac, Mexicali, Baja California, Mexico; [Rosa Alva de la Selva, Alma] Asociac Mexicana Invest Comunicac, Mexicali, Baja California, Mexico"/>
    <s v="Universidad Nacional Autonoma de Mexico"/>
    <s v="de la Selva, ARA (corresponding author), UNAM, Fac Ciencias Polit &amp; Sociales, Ctr Estudios Ciencias Comunicac, Mexicali, Baja California, Mexico."/>
    <s v="alvadelaselva@hotmail.com"/>
    <s v=""/>
    <s v=""/>
    <s v=""/>
    <s v=""/>
    <s v=""/>
    <s v=""/>
    <n v="25"/>
    <n v="7"/>
    <n v="7"/>
    <n v="0"/>
    <n v="22"/>
    <s v="UNAM, FAC CIENCIAS POLITICAS &amp; SOCIALES"/>
    <s v="MEXICO CITY DF"/>
    <s v="CIUDAD UNIV, DIV ESTUDIOS POSGRADO, CIRCUITO MARIO DE LA CUEVA, MEXICO CITY DF, CP 04510, MEXICO"/>
    <s v="0185-1918"/>
    <s v=""/>
    <s v=""/>
    <s v="REV MEX CIENC POLIT"/>
    <s v="Rev. Mex. Cienc. Polit. Soc."/>
    <s v="JAN-APR"/>
    <x v="8"/>
    <n v="60"/>
    <n v="223"/>
    <s v=""/>
    <s v=""/>
    <s v=""/>
    <s v=""/>
    <n v="265"/>
    <n v="285"/>
    <s v=""/>
    <s v=""/>
    <s v=""/>
    <s v=""/>
    <s v=""/>
    <n v="21"/>
    <x v="31"/>
    <x v="2"/>
    <s v="Social Sciences - Other Topics"/>
    <s v="CU4US"/>
    <s v=""/>
    <s v=""/>
    <s v=""/>
    <s v=""/>
    <s v="2023-11-15"/>
    <s v="WOS:000363526500010"/>
    <s v="View Full Record in Web of Science"/>
    <m/>
  </r>
  <r>
    <x v="598"/>
    <s v="J"/>
    <x v="588"/>
    <s v=""/>
    <s v=""/>
    <s v=""/>
    <s v="Saavedra Llamas, Marta; Rodriguez Fernandez, Leticia; Baron Dulce, Gemma"/>
    <s v=""/>
    <s v=""/>
    <x v="596"/>
    <x v="436"/>
    <s v=""/>
    <s v=""/>
    <s v="Spanish"/>
    <s v="Article"/>
    <s v=""/>
    <s v=""/>
    <s v=""/>
    <s v=""/>
    <s v=""/>
    <x v="538"/>
    <x v="1"/>
    <s v="This research presents the concept of social audience, as a new narrative space born in the convergence of the TV audience and the user's conversations in Twitter, and examine strategies of TV programs in Spain with higher social audience. Understand what exactly the social audience is, how does it works or what kind of metrics are made for it, becomes more necessary than ever to deepen into the uses and opportunities facing both the television media and advertisers who choose to invest in a TV space. Through the study of successful cases already implemented is to establish formulas for success that achieve a more active participation of users, transfer from social to traditional audience and the profitable inclusion of brands in this full of possibilities new communication scenario."/>
    <s v="[Saavedra Llamas, Marta] Univ Nebrija, Fac Ciencias Comunicac, Calidad, Madrid, Spain; [Rodriguez Fernandez, Leticia] Univ Nebrija, Fac Ciencias Comunicac, Madrid, Spain; [Baron Dulce, Gemma] Univ Nebrija, Direcc Publicidad Integrada TBWA, Madrid, Spain"/>
    <s v="Universidad Antonio de Nebrija; Universidad Antonio de Nebrija; Universidad Antonio de Nebrija"/>
    <s v="Llamas, MS (corresponding author), Univ Nebrija, Fac Ciencias Comunicac, Calidad, Madrid, Spain."/>
    <s v=""/>
    <s v="Rodríguez, Leticia/AAB-4766-2019"/>
    <s v="Rodríguez, Leticia/0000-0002-7472-5472"/>
    <s v=""/>
    <s v=""/>
    <s v=""/>
    <s v=""/>
    <n v="20"/>
    <n v="2"/>
    <n v="2"/>
    <n v="0"/>
    <n v="20"/>
    <s v="ICONO 14"/>
    <s v="MADRID"/>
    <s v="C/ SALUD, 15 5OD, MADRID, 28013, SPAIN"/>
    <s v="1697-8293"/>
    <s v=""/>
    <s v=""/>
    <s v="REV ICONO 14"/>
    <s v="Rev. Icono 14"/>
    <s v=""/>
    <x v="8"/>
    <n v="13"/>
    <n v="2"/>
    <s v=""/>
    <s v=""/>
    <s v=""/>
    <s v=""/>
    <n v="215"/>
    <n v="237"/>
    <s v=""/>
    <s v="10.7195/ri14.v13i2.822"/>
    <s v="http://dx.doi.org/10.7195/ri14.v13i2.822"/>
    <s v=""/>
    <s v=""/>
    <n v="23"/>
    <x v="56"/>
    <x v="2"/>
    <s v="Communication"/>
    <s v="CU8MG"/>
    <s v=""/>
    <s v="Green Submitted, gold"/>
    <s v=""/>
    <s v=""/>
    <s v="2023-11-15"/>
    <s v="WOS:000363796300011"/>
    <s v="View Full Record in Web of Science"/>
    <m/>
  </r>
  <r>
    <x v="599"/>
    <s v="J"/>
    <x v="589"/>
    <s v=""/>
    <s v=""/>
    <s v=""/>
    <s v="Slaatta, Tore"/>
    <s v=""/>
    <s v=""/>
    <x v="597"/>
    <x v="434"/>
    <s v=""/>
    <s v=""/>
    <s v="English"/>
    <s v="Article"/>
    <s v=""/>
    <s v=""/>
    <s v=""/>
    <s v=""/>
    <s v=""/>
    <x v="539"/>
    <x v="1"/>
    <s v="The conversion of newspapers from print to digital is not taking place in a simple and direct way. In Norway at least, digital news distribution is still developing on the basis of the print media order. But at the same time, it is increasingly becoming a diversified and strategically nuanced logic of online news distribution. What is remarkable in the Norwegian situation is the stability in the high number of outlets and annual sales. It is argued that the Norwegian subsidy system is the most important cause for the high and stable number of newspapers. Indirectly, it also seems to support the development of a competitive market for the development of digital strategies. There is a high rate of innovation in the Norwegian media system, and this article looks into the different digital strategies in different types of newspapers and shows the emergence of a complex pattern of digital news distribution in the Norwegian media order."/>
    <s v="[Slaatta, Tore] Univ Oslo, N-0317 Oslo, Norway"/>
    <s v="University of Oslo"/>
    <s v="Slaatta, T (corresponding author), Univ Oslo, Dept Media &amp; Commun, POB 1093, N-0317 Oslo, Norway."/>
    <s v="tore.slaatta@media.uio.no"/>
    <s v=""/>
    <s v=""/>
    <s v=""/>
    <s v=""/>
    <s v=""/>
    <s v=""/>
    <n v="9"/>
    <n v="7"/>
    <n v="7"/>
    <n v="2"/>
    <n v="25"/>
    <s v="SAGE PUBLICATIONS LTD"/>
    <s v="LONDON"/>
    <s v="1 OLIVERS YARD, 55 CITY ROAD, LONDON EC1Y 1SP, ENGLAND"/>
    <s v="0163-4437"/>
    <s v="1460-3675"/>
    <s v=""/>
    <s v="MEDIA CULT SOC"/>
    <s v="Media Cult. Soc."/>
    <s v="JAN"/>
    <x v="8"/>
    <n v="37"/>
    <n v="1"/>
    <s v=""/>
    <s v=""/>
    <s v=""/>
    <s v=""/>
    <n v="124"/>
    <n v="133"/>
    <s v=""/>
    <s v="10.1177/0163443714553566"/>
    <s v="http://dx.doi.org/10.1177/0163443714553566"/>
    <s v=""/>
    <s v=""/>
    <n v="10"/>
    <x v="18"/>
    <x v="1"/>
    <s v="Communication; Sociology"/>
    <s v="AZ1IY"/>
    <s v=""/>
    <s v=""/>
    <s v=""/>
    <s v=""/>
    <s v="2023-11-15"/>
    <s v="WOS:000347994200010"/>
    <s v="View Full Record in Web of Science"/>
    <m/>
  </r>
  <r>
    <x v="600"/>
    <s v="B"/>
    <x v="590"/>
    <s v=""/>
    <s v=""/>
    <s v="Informat Resources Management Assoc"/>
    <s v="Solima, Ludovico"/>
    <s v=""/>
    <s v=""/>
    <x v="598"/>
    <x v="437"/>
    <s v=""/>
    <s v=""/>
    <s v="English"/>
    <s v="Article; Book Chapter"/>
    <s v=""/>
    <s v=""/>
    <s v=""/>
    <s v=""/>
    <s v=""/>
    <x v="8"/>
    <x v="1"/>
    <s v="Society is experiencing unprecedented changes, largely attributable to the evolution of communication technologies, which are steadily reframing our way of life, and the methods we use to establish and maintain social relations. Museums are therefore facing numerous challenges, in general as a result of these developments: apps, open content, and the Internet-of-things. A complex relationship can be created between visitors and the museum, and this also opens new unexplored opportunities for user involvement in the museum's activities, even during the course of the visit itself. It is worth taking care to identify all the variables involved in the museum-visitor-relationship, which also encompasses the social dimension. Both the museum and the individual are active participants in a gradually expanding relationship, namely the growth of the so-called Web 2.0 and social media. Therefore, we can assume the need for museums to develop a conscious strategy for their social media presence, a real social media strategy, which forms part of the museum's wider digital strategy. The increasingly pervasive spread of e-mobile technology is a foretaste of the moment when museumgoers will radically change both the way of establishing relations with these organisations and the actual ways of using museum services. This chapter focuses on digital resources and approaches adopted by user-centred museums, where there is an increasing impact from the internet and social media."/>
    <s v="[Solima, Ludovico] Univ Naples 2, Naples, Italy"/>
    <s v="Universita della Campania Vanvitelli"/>
    <s v="Solima, L (corresponding author), Univ Naples 2, Naples, Italy."/>
    <s v=""/>
    <s v="SOLIMA, Ludovico/O-8682-2019"/>
    <s v="SOLIMA, Ludovico/0000-0002-1841-8603"/>
    <s v=""/>
    <s v=""/>
    <s v=""/>
    <s v=""/>
    <n v="62"/>
    <n v="0"/>
    <n v="0"/>
    <n v="0"/>
    <n v="1"/>
    <s v="IGI GLOBAL"/>
    <s v="HERSEY"/>
    <s v="701 E CHOCOLATE AVE, STE 200, HERSEY, PA 17033-1240 USA"/>
    <s v=""/>
    <s v=""/>
    <s v="978-1-4666-6544-6; 978-1-4666-6543-9"/>
    <s v=""/>
    <s v=""/>
    <s v=""/>
    <x v="8"/>
    <s v=""/>
    <s v=""/>
    <s v=""/>
    <s v=""/>
    <s v=""/>
    <s v=""/>
    <n v="1375"/>
    <n v="1393"/>
    <s v=""/>
    <s v="10.4018/978-1-4666-6543-9.ch079"/>
    <s v="http://dx.doi.org/10.4018/978-1-4666-6543-9.ch079"/>
    <s v="10.4018/978-1-4666-6543-9"/>
    <s v=""/>
    <n v="19"/>
    <x v="88"/>
    <x v="7"/>
    <s v="Social Sciences - Other Topics"/>
    <s v="BN9XD"/>
    <s v=""/>
    <s v=""/>
    <s v=""/>
    <s v=""/>
    <s v="2023-11-15"/>
    <s v="WOS:000489991200080"/>
    <s v="View Full Record in Web of Science"/>
    <m/>
  </r>
  <r>
    <x v="601"/>
    <s v="J"/>
    <x v="591"/>
    <s v=""/>
    <s v=""/>
    <s v=""/>
    <s v="Straker, Karla; Wrigley, Cara; Rosemann, Michael"/>
    <s v=""/>
    <s v=""/>
    <x v="599"/>
    <x v="438"/>
    <s v=""/>
    <s v=""/>
    <s v="English"/>
    <s v="Article"/>
    <s v=""/>
    <s v=""/>
    <s v=""/>
    <s v=""/>
    <s v=""/>
    <x v="540"/>
    <x v="415"/>
    <s v="Purpose - This study aims to gain a clearer understanding of digital channel design. The emergence of new technologies has revolutionised the way companies interact and engage with customers. The driver for this research was the suggestion that practitioners feel they do not possess the skills to understand and exploit new digital channel opportunities. To gain a clearer understanding of digital channel design, this paper addresses the research question: What digital channels do companies from a wide range of industries and sectors use? Design/methodology/approach - A content analysis of 100 international companies was conducted with multiple data sources to form a typology of digital touchpoints. The appropriateness of a digital channel typology for this study was for developing rigorous and useful concepts for clarifying and refining the meaning of digital channels. Findings - This study identifies what digital channels companies globally currently employ and explores the related needs across industries. A total of 34 digital touchpoints and 4 typologies of digital channels were identified across 16 industries. This research helps to identify the relationship between digital channels and enabling the connections with industry. Research limitations/implications - The findings contribute to the growing research area of digital channels. The typology of digital channels is a useful starting point for developing a systematic, theory-based study for enabling the development of broader, comprehensive theories of digital channels. Practical implications - Typologies and touchpoints are outlined in relation to industry, company objectives and customer needs to allow businesses to seize opportunities and optimise performance through individual touchpoints. A digital channel model as a key outcome of this research guides practitioners on what touchpoint to implement through an interrelated understanding of industry, company and customer needs. Originality/value - This is the first paper to explore a range of industries in relation to their use of digital channels using a unique content analysis. Contributions include clarifying and refining digital channel meaning; identifying and refining the hierarchical relations among digital channels (typologies); and establishing typology and industry relationship model."/>
    <s v="[Straker, Karla] Queensland Univ Technol, Sch Design, Brisbane, Qld 4001, Australia; [Wrigley, Cara] Queensland Univ Technol, Sch Design, Sch Informat Syst, Brisbane, Qld 4001, Australia; [Rosemann, Michael] Queensland Univ Technol, Sch Informat Syst, Brisbane, Qld 4001, Australia"/>
    <s v="Queensland University of Technology (QUT); Queensland University of Technology (QUT); Queensland University of Technology (QUT)"/>
    <s v="Straker, K (corresponding author), Queensland Univ Technol, Sch Design, Brisbane, Qld 4001, Australia."/>
    <s v="k.straker@qut.edu.au"/>
    <s v="Rosemann, Michael/I-9823-2012; Straker, Karla/AAM-3797-2021"/>
    <s v="Wrigley, Cara/0000-0001-7349-8469; Straker, Karla/0000-0002-6520-4173; Rosemann, Michael/0000-0003-3303-2896"/>
    <s v=""/>
    <s v=""/>
    <s v=""/>
    <s v=""/>
    <n v="37"/>
    <n v="37"/>
    <n v="37"/>
    <n v="1"/>
    <n v="38"/>
    <s v="EMERALD GROUP PUBLISHING LTD"/>
    <s v="BINGLEY"/>
    <s v="HOWARD HOUSE, WAGON LANE, BINGLEY BD16 1WA, W YORKSHIRE, ENGLAND"/>
    <s v="2040-7122"/>
    <s v="2040-7130"/>
    <s v=""/>
    <s v="J RES INTERACT MARK"/>
    <s v="J. Res. Interact. Mark."/>
    <s v=""/>
    <x v="8"/>
    <n v="9"/>
    <n v="2"/>
    <s v=""/>
    <s v=""/>
    <s v="SI"/>
    <s v=""/>
    <n v="110"/>
    <n v="128"/>
    <s v=""/>
    <s v="10.1108/JRIM-06-2014-0039"/>
    <s v="http://dx.doi.org/10.1108/JRIM-06-2014-0039"/>
    <s v=""/>
    <s v=""/>
    <n v="19"/>
    <x v="33"/>
    <x v="2"/>
    <s v="Business &amp; Economics"/>
    <s v="CM9TF"/>
    <s v=""/>
    <s v=""/>
    <s v=""/>
    <s v=""/>
    <s v="2023-11-15"/>
    <s v="WOS:000358051200003"/>
    <s v="View Full Record in Web of Science"/>
    <m/>
  </r>
  <r>
    <x v="602"/>
    <s v="J"/>
    <x v="592"/>
    <s v=""/>
    <s v=""/>
    <s v=""/>
    <s v="Gerardi, G.; Abbene, L."/>
    <s v=""/>
    <s v=""/>
    <x v="600"/>
    <x v="439"/>
    <s v=""/>
    <s v=""/>
    <s v="English"/>
    <s v="Article"/>
    <s v=""/>
    <s v=""/>
    <s v=""/>
    <s v=""/>
    <s v=""/>
    <x v="541"/>
    <x v="416"/>
    <s v="Modern spectrometers are currently developed by using digital pulse processing (DPP) systems, showing several advantages over traditional analog electronics. The aim of this work is to present digital strategies, in a time domain, for the development of real time high-rate high-resolution spectrometers. We propose a digital method, based on the single delay line (SDL) shaping technique, able to perform multi-parameter analysis with high performance even at high photon counting rates. A robust pulse shape and height analysis (PSHA), applied on single isolated time windows of the detector output waveforms, is presented. The potentialities of the proposed strategy are highlighted through both theoretical and experimental approaches. To strengthen our approach, the implementation of the method on a real-time system together with some experimental results are presented. X-ray spectra measurements with a semiconductor detector are performed both at low and high photon counting rates (up to 1.1 Mcps). (C) 2014 Elsevier B.V. All rights reserved."/>
    <s v="[Gerardi, G.; Abbene, L.] Univ Palermo, Dipartimento Fis &amp; Chim, I-90128 Palermo, Italy"/>
    <s v="University of Palermo"/>
    <s v="Abbene, L (corresponding author), Univ Palermo, Dipartimento Fis &amp; Chim, Edificio 18, I-90128 Palermo, Italy."/>
    <s v="leonardo.abbene@unipa.it"/>
    <s v=""/>
    <s v="ABBENE, Leonardo/0000-0001-9633-6606"/>
    <s v="Italian Ministry for Education, University and Research (MIUR) [2012WM9MEP]"/>
    <s v="Italian Ministry for Education, University and Research (MIUR)(Ministry of Education, Universities and Research (MIUR))"/>
    <s v="This work was supported by the Italian Ministry for Education, University and Research (MIUR) under PRIN Project No. 2012WM9MEP."/>
    <s v=""/>
    <n v="42"/>
    <n v="31"/>
    <n v="32"/>
    <n v="1"/>
    <n v="19"/>
    <s v="ELSEVIER"/>
    <s v="AMSTERDAM"/>
    <s v="RADARWEG 29, 1043 NX AMSTERDAM, NETHERLANDS"/>
    <s v="0168-9002"/>
    <s v="1872-9576"/>
    <s v=""/>
    <s v="NUCL INSTRUM METH A"/>
    <s v="Nucl. Instrum. Methods Phys. Res. Sect. A-Accel. Spectrom. Dect. Assoc. Equip."/>
    <s v="DEC 21"/>
    <x v="9"/>
    <n v="768"/>
    <s v=""/>
    <s v=""/>
    <s v=""/>
    <s v=""/>
    <s v=""/>
    <n v="46"/>
    <n v="54"/>
    <s v=""/>
    <s v="10.1016/j.nima.2014.09.047"/>
    <s v="http://dx.doi.org/10.1016/j.nima.2014.09.047"/>
    <s v=""/>
    <s v=""/>
    <n v="9"/>
    <x v="171"/>
    <x v="0"/>
    <s v="Instruments &amp; Instrumentation; Nuclear Science &amp; Technology; Physics"/>
    <s v="AT5PU"/>
    <s v=""/>
    <s v="Green Published"/>
    <s v=""/>
    <s v=""/>
    <s v="2023-11-15"/>
    <s v="WOS:000344995400008"/>
    <s v="View Full Record in Web of Science"/>
    <m/>
  </r>
  <r>
    <x v="603"/>
    <s v="J"/>
    <x v="593"/>
    <s v=""/>
    <s v=""/>
    <s v=""/>
    <s v="Latifi, Neda; Miri, Amir K.; Mongeau, Luc"/>
    <s v=""/>
    <s v=""/>
    <x v="601"/>
    <x v="440"/>
    <s v=""/>
    <s v=""/>
    <s v="English"/>
    <s v="Article"/>
    <s v=""/>
    <s v=""/>
    <s v=""/>
    <s v=""/>
    <s v=""/>
    <x v="542"/>
    <x v="417"/>
    <s v="The aim of the present study was to quantify the effects of the specimen shape on the accuracy of mechanical properties determined from a shape-specific model generation strategy. Digital images of five rabbit vocal folds (VFs) in their initial undeformed conditions were used to build corresponding specific solid models. The displacement field of the VFs under uniaxial tensile test was then measured over the visible portion of the surface using digital image correlation. A three-dimensional finite element model was built, using ABAQUS, for each solid model, while imposing measured boundary conditions. An inverse-problem method was used, assuming a homogeneous isotropic linear elastic constitutive model. Unknown elastic properties were identified iteratively through an error minimization technique between simulated and measured force-time data. The longitudinal elastic moduli of the five rabbit VFs were calculated and compared to values from a simple analytical method and those obtained by approximating the cross-section as elliptical. The use of shape-specific models significantly reduced the standard deviation of the Young's moduli of the tested specimens. However, a non-parametric statistical analysis test, i.e., the Friedman test, yielded no statistically significant differences between the shape-specific method and the elliptic cylindrical finite element model. Considering the required procedures to reconstruct the shape-specific finite element model for each tissue specimen, it might be expedient to use the simpler method when large numbers of tissue specimens are to be compared regarding their Young's moduli. (C) 2014 Elsevier Ltd. All rights reserved."/>
    <s v="[Latifi, Neda; Miri, Amir K.; Mongeau, Luc] McGill Univ, Dept Mech Engn, Montreal, PQ H3A 0C3, Canada"/>
    <s v="McGill University"/>
    <s v="Latifi, N (corresponding author), McGill Univ, Dept Mech Engn, 817 Sherbrooke St West, Montreal, PQ H3A 0C3, Canada."/>
    <s v="nada.latifialavijeh@mail.mcgill.ca; amir.miriramsheh@mail.mcgill.ca; luc.mongeau@mcgill.ca"/>
    <s v=""/>
    <s v="Latifi, Neda/0000-0002-8099-8354; Mongeau, Luc/0000-0003-0344-227X; Miri, Amir K./0000-0003-0685-0770"/>
    <s v="National Institutes of Health [NIDCD R01-DC005788]"/>
    <s v="National Institutes of Health(United States Department of Health &amp; Human ServicesNational Institutes of Health (NIH) - USA)"/>
    <s v="This work was supported by Grant NIDCD R01-DC005788 from the National Institutes of Health, (Principal investigator: Luc Mongeau). The authors would like to express their gratitude to Professors Nicole Li and Susan Thibeault (University of Wisconsin, Department of Surgery) for providing the tissue specimens and Professor Rosaire Mongrain (Montreal Heart Institute, Research Center, Montreal) for sharing his mechanical tester. We are thankful to Juan F. Henao (McGill University, Department of Mechanical Engineering) for his help in preparing the iModeller setup. Finally, the authors would like to express their heartfelt gratitude to the reviewers for their constructive comments."/>
    <s v=""/>
    <n v="20"/>
    <n v="4"/>
    <n v="4"/>
    <n v="0"/>
    <n v="7"/>
    <s v="ELSEVIER SCIENCE BV"/>
    <s v="AMSTERDAM"/>
    <s v="PO BOX 211, 1000 AE AMSTERDAM, NETHERLANDS"/>
    <s v="1751-6161"/>
    <s v="1878-0180"/>
    <s v=""/>
    <s v="J MECH BEHAV BIOMED"/>
    <s v="J. Mech. Behav. Biomed. Mater."/>
    <s v="NOV"/>
    <x v="9"/>
    <n v="39"/>
    <s v=""/>
    <s v=""/>
    <s v=""/>
    <s v=""/>
    <s v=""/>
    <n v="366"/>
    <n v="374"/>
    <s v=""/>
    <s v="10.1016/j.jmbbm.2014.07.031"/>
    <s v="http://dx.doi.org/10.1016/j.jmbbm.2014.07.031"/>
    <s v=""/>
    <s v=""/>
    <n v="9"/>
    <x v="172"/>
    <x v="0"/>
    <s v="Engineering; Materials Science"/>
    <s v="AR1IL"/>
    <n v="25173237"/>
    <s v="Green Accepted"/>
    <s v=""/>
    <s v=""/>
    <s v="2023-11-15"/>
    <s v="WOS:000343338800033"/>
    <s v="View Full Record in Web of Science"/>
    <m/>
  </r>
  <r>
    <x v="604"/>
    <s v="J"/>
    <x v="594"/>
    <s v=""/>
    <s v=""/>
    <s v=""/>
    <s v="Rivera Costales, Jose"/>
    <s v=""/>
    <s v=""/>
    <x v="602"/>
    <x v="441"/>
    <s v=""/>
    <s v=""/>
    <s v="Spanish"/>
    <s v="Article"/>
    <s v=""/>
    <s v=""/>
    <s v=""/>
    <s v=""/>
    <s v=""/>
    <x v="543"/>
    <x v="1"/>
    <s v="This work aims to deal with the changes that have occurred in the Ecuadorian Political Marketing since the adoption of new technology tools as a strategy concerning the 2006 electoral campaign. In this context, the article analyzes the specific case of one candidate, Rafael Correa Delgado, as well as the digital strategies used in his political campaign. With the analysis of the channels that have been employed, one can know the level of importance that they gave to these alternative ways of promotion. lt is interesting to note that the incursion of the candidate into digital space radically transformed the way politics works in Ecuador, and set the tone for the now President's performing as well as his strong interest in developing an environment of Digital Government at the service of the citizen."/>
    <s v="[Rivera Costales, Jose] Univ San Francisco Quito, Pontificia Univ Catolica, Quito, Ecuador; [Rivera Costales, Jose] Univ Politecn Salesiana, Cuenca, Ecuador; [Rivera Costales, Jose] Univ Cent Ecuador, Quito, Ecuador; [Rivera Costales, Jose] Univ Las Amer UDLA, Quito, Ecuador"/>
    <s v="Universidad San Francisco de Quito; Pontificia Universidad Catolica del Ecuador; Universidad Politecnica Salesiana; Universidad Central del Ecuador; Universidad de Las Americas - Ecuador"/>
    <s v="Costales, JR (corresponding author), Univ San Francisco Quito, Pontificia Univ Catolica, Quito, Ecuador."/>
    <s v="tikinauta@gmail.com"/>
    <s v=""/>
    <s v=""/>
    <s v=""/>
    <s v=""/>
    <s v=""/>
    <s v=""/>
    <n v="18"/>
    <n v="1"/>
    <n v="1"/>
    <n v="0"/>
    <n v="0"/>
    <s v="CENTRO INT ESTUDIOS SUPERIORES COMUNICACION AMER LATINA-CIESPAL"/>
    <s v="QUITO"/>
    <s v="AVE DIEGO ALMAGRO N32-133 &amp; ANDRADE MARIN, QUITO, 00000, ECUADOR"/>
    <s v="1390-1079"/>
    <s v="1390-924X"/>
    <s v=""/>
    <s v="CHASQUI-REV LAT COM"/>
    <s v="CHASQUI"/>
    <s v="OCT"/>
    <x v="9"/>
    <s v=""/>
    <n v="126"/>
    <s v=""/>
    <s v=""/>
    <s v=""/>
    <s v=""/>
    <n v="116"/>
    <n v="123"/>
    <s v=""/>
    <s v=""/>
    <s v=""/>
    <s v=""/>
    <s v=""/>
    <n v="8"/>
    <x v="56"/>
    <x v="2"/>
    <s v="Communication"/>
    <s v="VH7LO"/>
    <s v=""/>
    <s v=""/>
    <s v=""/>
    <s v=""/>
    <s v="2023-11-15"/>
    <s v="WOS:000454015100012"/>
    <s v="View Full Record in Web of Science"/>
    <m/>
  </r>
  <r>
    <x v="605"/>
    <s v="J"/>
    <x v="595"/>
    <s v=""/>
    <s v=""/>
    <s v=""/>
    <s v="Chen, Lizhao; Xu, Minhui; Zou, Yongwen; Xu, Lunshan"/>
    <s v=""/>
    <s v=""/>
    <x v="603"/>
    <x v="442"/>
    <s v=""/>
    <s v=""/>
    <s v="English"/>
    <s v="Article"/>
    <s v=""/>
    <s v=""/>
    <s v=""/>
    <s v=""/>
    <s v=""/>
    <x v="544"/>
    <x v="418"/>
    <s v="The objective of this study is to assess the clinical role of computed tomography angiography (CTA) in determining the etiology of aneurysmal subarachnoid hemorrhage (ASAH) and selecting the treatment options. A total of 452 patients with ASAH underwent a 64-slice CTA examination to determine the etiology and select the treatment strategies. Digital subtraction angiography (DSA) or clipping operation confirmed the detection from the CTA. The CTA results of 452 patients with ASAH were confirmed through the DSA or clipping operation and the CTA results of 451 cases were consistent with what were seen during the DSA or clipping operation. The treatment choices for 451 patients (99.8 %) were based on the CTA results. A total of 90 cases (19.9 %) underwent endovascular embolization and 362 cases (80.1 %) underwent clipping operation. The other one patient underwent endovascular embolization after the DSA examination due to insufficient information from the CTA. Also, there was one patient who was misdiagnosed in the CTA. In conclusion, a 64-slice CTA can accurately detect intracranial aneurysms and is helpful in choosing the best treatment option."/>
    <s v="[Chen, Lizhao; Xu, Minhui; Zou, Yongwen; Xu, Lunshan] Third Mil Med Univ, Inst Surg Res, Daping Hosp, Dept Neurosurg, Chongqing 400042, Peoples R China"/>
    <s v="Army Medical University"/>
    <s v="Xu, LS (corresponding author), Third Mil Med Univ, Inst Surg Res, Daping Hosp, Dept Neurosurg, 10 Changjiang Branch, Chongqing 400042, Peoples R China."/>
    <s v="chenLiZhao1971@163.com; Xulunshan1972@163.com"/>
    <s v=""/>
    <s v=""/>
    <s v=""/>
    <s v=""/>
    <s v=""/>
    <s v=""/>
    <n v="7"/>
    <n v="1"/>
    <n v="2"/>
    <n v="0"/>
    <n v="0"/>
    <s v="HUMANA PRESS INC"/>
    <s v="TOTOWA"/>
    <s v="999 RIVERVIEW DRIVE SUITE 208, TOTOWA, NJ 07512 USA"/>
    <s v="1085-9195"/>
    <s v="1559-0283"/>
    <s v=""/>
    <s v="CELL BIOCHEM BIOPHYS"/>
    <s v="Cell Biochem. Biophys."/>
    <s v="JUL"/>
    <x v="9"/>
    <n v="69"/>
    <n v="3"/>
    <s v=""/>
    <s v=""/>
    <s v=""/>
    <s v=""/>
    <n v="573"/>
    <n v="575"/>
    <s v=""/>
    <s v="10.1007/s12013-014-9834-6"/>
    <s v="http://dx.doi.org/10.1007/s12013-014-9834-6"/>
    <s v=""/>
    <s v=""/>
    <n v="3"/>
    <x v="173"/>
    <x v="0"/>
    <s v="Biochemistry &amp; Molecular Biology; Biophysics; Cell Biology"/>
    <s v="AJ6GC"/>
    <n v="24554484"/>
    <s v=""/>
    <s v=""/>
    <s v=""/>
    <s v="2023-11-15"/>
    <s v="WOS:000337787700026"/>
    <s v="View Full Record in Web of Science"/>
    <m/>
  </r>
  <r>
    <x v="606"/>
    <s v="J"/>
    <x v="596"/>
    <s v=""/>
    <s v=""/>
    <s v=""/>
    <s v="Reggi, Luigi; Scicchitano, Sergio"/>
    <s v=""/>
    <s v=""/>
    <x v="604"/>
    <x v="125"/>
    <s v=""/>
    <s v=""/>
    <s v="English"/>
    <s v="Article"/>
    <s v=""/>
    <s v=""/>
    <s v=""/>
    <s v=""/>
    <s v=""/>
    <x v="545"/>
    <x v="419"/>
    <s v="The ambitious goals of the European Digital Agenda need active involvement by regional innovation systems. Effective regional digital strategies should be both consistent with the European framework and based on available evidence on the needs and opportunities of local contexts. Such evidence should be used to balance the different components of the Information Society development (e.g. eServices vs. infrastructures; ICT supply and demand), so as to ensure that they can all unleash their full potential. Therefore, EU regions should spend more money to overcome regional weaknesses than to improve existing assets. In this paper we explore the different strategies of the EU's lagging regions through the analysis of the allocation of 2007-13 Structural Funds. Then, we verify whether such strategies respond to territorial conditions by comparing strategic choices made with the actual characteristics of local contexts. Results show that EU regions tend to invest more resources in those aspects in which they already demonstrate good relative performances. Possible causes of this unbalanced strategic approach are discussed, including the lack of sound analysis of the regional context and the path dependence of policy choices. (C) 2013 Elsevier Ltd. All rights reserved."/>
    <s v="[Reggi, Luigi; Scicchitano, Sergio] Minist Econ Dev, Dept Dev &amp; Econ Cohes, Rome, Italy; [Reggi, Luigi; Scicchitano, Sergio] Univ Urbino, DESP, EIBURS TAIPS Team, I-61029 Urbino, Italy"/>
    <s v="University of Urbino"/>
    <s v="Reggi, L (corresponding author), Minist Econ Dev, Dept Dev &amp; Econ Cohes, Rome, Italy."/>
    <s v="luigi.reggi@gmail.com; luigi.reggi@tesoro.it"/>
    <s v="Scicchitano, Sergio/X-8492-2018"/>
    <s v="Scicchitano, Sergio/0000-0003-1015-7629"/>
    <s v="Eiburs - EIB University Research Sponsorship Programme; EU Cohesion Policy"/>
    <s v="Eiburs - EIB University Research Sponsorship Programme; EU Cohesion Policy"/>
    <s v="This paper is part of the research project Technology Adoption and Innovation in Public Services (TAIPS). The project is carried out by the Department of Economics, Society and Politics (DESP), University of Urbino, Italy, and funded by Eiburs - EIB University Research Sponsorship Programme.; The authors would like to thank Pasquale D'Alessandro and the European Commission - DG Regional Policy for providing the dataset on the financial resources programmed by the EU Cohesion Policy. The authors are also grateful to participants at Regional Innovation and Competitiveness Policy Workshop, 15th November 2012, University of Cambridge and to Davide Arduini, Annaflavia Bianchi, Marco Biagetti, Marco Marini, Maurizio Franzini, Harald Gruber, Dimitri Tartan, Antonello Zanfei, who provided valuable suggestions and comments to a previous version of this paper."/>
    <s v=""/>
    <n v="28"/>
    <n v="13"/>
    <n v="13"/>
    <n v="0"/>
    <n v="20"/>
    <s v="ELSEVIER SCI LTD"/>
    <s v="OXFORD"/>
    <s v="THE BOULEVARD, LANGFORD LANE, KIDLINGTON, OXFORD OX5 1GB, OXON, ENGLAND"/>
    <s v="0308-5961"/>
    <s v="1879-3258"/>
    <s v=""/>
    <s v="TELECOMMUN POLICY"/>
    <s v="Telecommun. Policy"/>
    <s v="JUN-JUL"/>
    <x v="9"/>
    <n v="38"/>
    <s v="5-6"/>
    <s v=""/>
    <s v=""/>
    <s v="SI"/>
    <s v=""/>
    <n v="530"/>
    <n v="538"/>
    <s v=""/>
    <s v="10.1016/j.telpol.2013.12.007"/>
    <s v="http://dx.doi.org/10.1016/j.telpol.2013.12.007"/>
    <s v=""/>
    <s v=""/>
    <n v="9"/>
    <x v="70"/>
    <x v="3"/>
    <s v="Communication; Information Science &amp; Library Science; Telecommunications"/>
    <s v="AL0NF"/>
    <s v=""/>
    <s v=""/>
    <s v=""/>
    <s v=""/>
    <s v="2023-11-15"/>
    <s v="WOS:000338822900011"/>
    <s v="View Full Record in Web of Science"/>
    <m/>
  </r>
  <r>
    <x v="607"/>
    <s v="J"/>
    <x v="597"/>
    <s v=""/>
    <s v=""/>
    <s v=""/>
    <s v="Thompson, Peter"/>
    <s v=""/>
    <s v=""/>
    <x v="605"/>
    <x v="387"/>
    <s v=""/>
    <s v=""/>
    <s v="English"/>
    <s v="Article"/>
    <s v=""/>
    <s v=""/>
    <s v=""/>
    <s v=""/>
    <s v=""/>
    <x v="8"/>
    <x v="1"/>
    <s v="Government policy has played a crucial role in driving the development of broadband technology in New Zealand, but this has evidently been shaped by the interplay of different ministerial imperatives and rationales under different administrations. The Labour-led government's 2005 Digital Strategy primarily aimed at increasing consumer uptake of basic broadband to overcome the 'digital divide'. This evolved into the more ambitious 2008 Digital Strategy 2.0 which, consistent with Labour's 'third way' philosophy, focused both on grassroots community engagement and economic goals (involving both the Ministry for Culture and Heritage and the Ministry of Economic Development). However, the election of the National-led government later in 2008 brought a shift in the principles and outcomes driving broadband policy. National's Ultra-Fast Broadband initiative has seen NZ$1.35 billion allocated to telecommunications companies that won contracts to develop a nationwide fibre-optic infrastructure. The political rationale more strongly reflects macro-economic imperatives informed primarily by the revamped Ministry for Business, Innovation and Employment. This more commercial policy orientation has nevertheless led the government into some complex and contradictory positions, particularly with respect to its reluctance to insulate the UFB initiative from demands to re-regulate the media sector in response to convergence and competition issues. Taking a critical institutionalist approach and drawing on evidence from key policy documents and interview data with policy actors, this analysis outlines several policy tensions underpinning the shifts in New Zealand's telecommunications and broadband policy between 2005 and 2013."/>
    <s v="Victoria Univ Wellington, Media Studies Program, Wellington, New Zealand"/>
    <s v="Victoria University Wellington"/>
    <s v="Thompson, P (corresponding author), Victoria Univ Wellington, Media Studies Program, Wellington, New Zealand."/>
    <s v=""/>
    <s v=""/>
    <s v=""/>
    <s v=""/>
    <s v=""/>
    <s v=""/>
    <s v=""/>
    <n v="33"/>
    <n v="0"/>
    <n v="0"/>
    <n v="0"/>
    <n v="9"/>
    <s v="UNIV QUEENSLAND PRESS"/>
    <s v="ST LUCIA"/>
    <s v="PO BOX 42, ST LUCIA, QUEENSLAND 4067, AUSTRALIA"/>
    <s v="1329-878X"/>
    <s v=""/>
    <s v=""/>
    <s v="MEDIA INT AUST"/>
    <s v="Media Int. Aust."/>
    <s v="MAY"/>
    <x v="9"/>
    <s v=""/>
    <n v="151"/>
    <s v=""/>
    <s v=""/>
    <s v=""/>
    <s v=""/>
    <n v="146"/>
    <n v="156"/>
    <s v=""/>
    <s v=""/>
    <s v=""/>
    <s v=""/>
    <s v=""/>
    <n v="11"/>
    <x v="56"/>
    <x v="1"/>
    <s v="Communication"/>
    <s v="AK8PP"/>
    <s v=""/>
    <s v=""/>
    <s v=""/>
    <s v=""/>
    <s v="2023-11-15"/>
    <s v="WOS:000338690700018"/>
    <s v="View Full Record in Web of Science"/>
    <m/>
  </r>
  <r>
    <x v="608"/>
    <s v="J"/>
    <x v="598"/>
    <s v=""/>
    <s v=""/>
    <s v=""/>
    <s v="Bermes, Emmanuelle"/>
    <s v=""/>
    <s v=""/>
    <x v="606"/>
    <x v="443"/>
    <s v=""/>
    <s v=""/>
    <s v="English"/>
    <s v="Article"/>
    <s v=""/>
    <s v=""/>
    <s v=""/>
    <s v=""/>
    <s v=""/>
    <x v="8"/>
    <x v="1"/>
    <s v="Seit 2007 verfolgt das Centre Pompidou, eines der bedeutendsten Museen fur zeitgenossische Kunst in Paris, eine neue digitale Strategie, um online verfugbaren Content weltweit abrufbar zu machen: das Digitale Centre Pompidou. Diese Plattform erlaubt den Zugriff auf die gesamte digitale Produktion des Museums sowie der ihm angegliederten Einrichtungen uber einen einzelnen Sucheinstieg. Der innovative auf Hypertexten basierende Ansatz beschert dem Besucher der Plattform oft unerwartete Entdeckungen und war das Resultat einer intensiven Auseinandersetzung mit dem Nutzerverhalten, moglich wurde er durch den Einsatz von Semantic-Web-Technologie. In Zukunft sollen die Nutzer der Seite noch starker eingebunden werden,damit sie den Content auch inhaltlich mitgestalten konnen. Since 2007, the Centre Pompidou, the major modern art museum in Paris, has been developing a new digital strategy aimed at providing a global platform for online digital content: the Digital Centre Pompidou. This platform provides access via a single entry point to the whole digital production of the organization and associated institutions. The combination of Semantic Web technologies and intensive research on end-user interface issues has resulted in an innovative approach to digital content based on hypertextual navigation which favours serendipity and unpredicted discoveries. Future evolutions of the platform also include involving users in constructing the meaning or semantics of the content."/>
    <s v="Ctr Pompidou, F-75004 Paris, France"/>
    <s v=""/>
    <s v="Bermès, E (corresponding author), Ctr Pompidou, Pl Georges Pompidou, F-75004 Paris, France."/>
    <s v="Emmanuelle.BERMES@centrepompidou.fr"/>
    <s v=""/>
    <s v=""/>
    <s v=""/>
    <s v=""/>
    <s v=""/>
    <s v=""/>
    <n v="8"/>
    <n v="0"/>
    <n v="0"/>
    <n v="0"/>
    <n v="6"/>
    <s v="VITTORIO KLOSTERMANN GMBH"/>
    <s v="FRANKFURT-AM-MAIN"/>
    <s v="POSTFACH 90 06 01, D-60446 FRANKFURT-AM-MAIN, GERMANY"/>
    <s v="0044-2380"/>
    <s v="1864-2950"/>
    <s v=""/>
    <s v="Z BIBL BIBL"/>
    <s v="Z. Bibl. Bibliogr."/>
    <s v="MAR-APR"/>
    <x v="9"/>
    <n v="61"/>
    <n v="2"/>
    <s v=""/>
    <s v=""/>
    <s v=""/>
    <s v=""/>
    <n v="68"/>
    <n v="75"/>
    <s v=""/>
    <s v="10.3196/186429501461221"/>
    <s v="http://dx.doi.org/10.3196/186429501461221"/>
    <s v=""/>
    <s v=""/>
    <n v="8"/>
    <x v="66"/>
    <x v="1"/>
    <s v="Information Science &amp; Library Science"/>
    <s v="AI5DT"/>
    <s v=""/>
    <s v="Green Submitted, Green Published"/>
    <s v=""/>
    <s v=""/>
    <s v="2023-11-15"/>
    <s v="WOS:000336886300002"/>
    <s v="View Full Record in Web of Science"/>
    <m/>
  </r>
  <r>
    <x v="609"/>
    <s v="J"/>
    <x v="599"/>
    <s v=""/>
    <s v=""/>
    <s v=""/>
    <s v="Rezende, Denis Alcides; Madeira, Gilberto dos Santos; Mendes, Leonardo de Souza; Breda, Gean Davis; Zarpelao, Bruno Bogaz; Figueiredo, Frederico de Carvalho"/>
    <s v=""/>
    <s v=""/>
    <x v="607"/>
    <x v="358"/>
    <s v=""/>
    <s v=""/>
    <s v="English"/>
    <s v="Article"/>
    <s v=""/>
    <s v=""/>
    <s v=""/>
    <s v=""/>
    <s v=""/>
    <x v="546"/>
    <x v="420"/>
    <s v="Making information and telecommunications available is a permanent challenge for cities concerned to their social, urban and local planning and development, focused on life quality of their citizens and on the effectiveness of public management. Such a challenge requires the involvement of everyone in the city. The objective is to describe the information and telecommunications project from the planning of a digital city carried out in Vinhedo-SP, Brazil. It was built as a telecommunications infrastructure of the kind of open access metropolitan area networks which enables the integration of citizens in a single telecommunications environment. The research methodology was emphasized by a case study which turned to be a research-action, comprising the municipal administration and its local units. The results achieved describe, by means of a methodology, the phases, sub-phases, activities, approval points and resulting products, and formalize their respective challenges and difficulties. The contributions have to do with the practical feasibility of the project and execution of its methodology. The conclusion reiterates the importance of the project, collectively implemented and accepted, as a tool to help the management of cities, in the implementation of Strategic Digital City Projects, in the decisions of public administration managers, and in the quality of life of their citizens. (C) 2013 Elsevier Ltd. All rights reserved."/>
    <s v="[Rezende, Denis Alcides; Figueiredo, Frederico de Carvalho] Pontificia Univ Catolica Parana PUCPR, Postgrad Program Urban Management, Curitiba, Parana, Brazil; [Madeira, Gilberto dos Santos; Mendes, Leonardo de Souza; Breda, Gean Davis; Zarpelao, Bruno Bogaz] Univ Campinas UNICAMP, Sch Elect &amp; Comp Engn, Campinas, SP, Brazil"/>
    <s v="Pontificia Universidade Catolica do Parana; Universidade Estadual de Campinas"/>
    <s v="Rezende, DA (corresponding author), Pontificia Univ Catolica Parana PUCPR, Postgrad Program Urban Management, Curitiba, Parana, Brazil."/>
    <s v="denis.rezende@pucpr.br; gilmadeira@uol.com.br; lmendes@decom.fee.unicamp.br; gean@decom.fee.unicamp.br; bzarpe@decom.fee.unicamp.br; frederico.figueiredo@pucpr.br"/>
    <s v="Zarpelão, Bruno B./D-6845-2013; Rezende, Denis Alcides/AAR-2488-2021"/>
    <s v="Rezende, Denis Alcides/0000-0002-3327-0424; MENDES, LEONARDO/0000-0001-6712-2203; Bogaz Zarpelao, Bruno/0000-0001-9172-3578"/>
    <s v=""/>
    <s v=""/>
    <s v=""/>
    <s v=""/>
    <n v="68"/>
    <n v="10"/>
    <n v="12"/>
    <n v="2"/>
    <n v="45"/>
    <s v="ELSEVIER SCIENCE BV"/>
    <s v="AMSTERDAM"/>
    <s v="PO BOX 211, 1000 AE AMSTERDAM, NETHERLANDS"/>
    <s v="0736-5853"/>
    <s v=""/>
    <s v=""/>
    <s v="TELEMAT INFORM"/>
    <s v="Telemat. Inform."/>
    <s v="FEB"/>
    <x v="9"/>
    <n v="31"/>
    <n v="1"/>
    <s v=""/>
    <s v=""/>
    <s v=""/>
    <s v=""/>
    <n v="98"/>
    <n v="114"/>
    <s v=""/>
    <s v="10.1016/j.tele.2013.05.001"/>
    <s v="http://dx.doi.org/10.1016/j.tele.2013.05.001"/>
    <s v=""/>
    <s v=""/>
    <n v="17"/>
    <x v="66"/>
    <x v="1"/>
    <s v="Information Science &amp; Library Science"/>
    <s v="252JQ"/>
    <s v=""/>
    <s v=""/>
    <s v=""/>
    <s v=""/>
    <s v="2023-11-15"/>
    <s v="WOS:000327001400010"/>
    <s v="View Full Record in Web of Science"/>
    <m/>
  </r>
  <r>
    <x v="610"/>
    <s v="S"/>
    <x v="600"/>
    <s v=""/>
    <s v="Dameri, RP; RosenthalSabroux, C"/>
    <s v=""/>
    <s v="Dameri, Renata Paola"/>
    <s v=""/>
    <s v=""/>
    <x v="608"/>
    <x v="444"/>
    <s v="Progress in IS"/>
    <s v=""/>
    <s v="English"/>
    <s v="Article; Book Chapter"/>
    <s v=""/>
    <s v=""/>
    <s v=""/>
    <s v=""/>
    <s v=""/>
    <x v="547"/>
    <x v="421"/>
    <s v="The objective of this research is to investigate the relations between Smart city and Digital city concepts and strategies. The author examines the international literature about these topics, comparing smart city and digital city definitions, components and goals. This survey shows that a clear definition of both smart city and digital city still lacks and that these two topics are often overlapped or confused. The same thing happens in empirical implementation of smart and/or digital strategies in cities. The research methodology includes the study and comparison of two important empirical implementations of Smart/Digital strategies in Europe: Amsterdam and Genoa. The results show that smart city and digital city are not the same, even if they are strictly linked each other and sometimes merged in common initiatives. Moreover, this empirical research highlights the key role of players, programs and governance in realizing smart/digital cities really effective for a best quality of life in the urban space."/>
    <s v="Univ Genoa, Dept Econ, Genoa, Italy"/>
    <s v="University of Genoa"/>
    <s v="Dameri, RP (corresponding author), Univ Genoa, Dept Econ, Genoa, Italy."/>
    <s v="dameri@economia.unige.it"/>
    <s v="DAMERI, RENATA/AAD-6635-2021"/>
    <s v=""/>
    <s v=""/>
    <s v=""/>
    <s v=""/>
    <s v=""/>
    <n v="33"/>
    <n v="60"/>
    <n v="60"/>
    <n v="4"/>
    <n v="31"/>
    <s v="SPRINGER-VERLAG BERLIN"/>
    <s v="BERLIN"/>
    <s v="HEIDELBERGER PLATZ 3, D-14197 BERLIN, GERMANY"/>
    <s v="2196-8705"/>
    <s v="2196-8713"/>
    <s v="978-3-319-06160-3; 978-3-319-06159-7"/>
    <s v="PROGR IS"/>
    <s v=""/>
    <s v=""/>
    <x v="9"/>
    <s v=""/>
    <s v=""/>
    <s v=""/>
    <s v=""/>
    <s v=""/>
    <s v=""/>
    <n v="45"/>
    <n v="88"/>
    <s v=""/>
    <s v="10.1007/978-3-319-06160-3_3"/>
    <s v="http://dx.doi.org/10.1007/978-3-319-06160-3_3"/>
    <s v="10.1007/978-3-319-06160-3"/>
    <s v=""/>
    <n v="44"/>
    <x v="174"/>
    <x v="7"/>
    <s v="Public Administration"/>
    <s v="BB4ZX"/>
    <s v=""/>
    <s v=""/>
    <s v=""/>
    <s v=""/>
    <s v="2023-11-15"/>
    <s v="WOS:000343584800004"/>
    <s v="View Full Record in Web of Science"/>
    <m/>
  </r>
  <r>
    <x v="611"/>
    <s v="J"/>
    <x v="601"/>
    <s v=""/>
    <s v=""/>
    <s v=""/>
    <s v="Isabel Punin, M.; Martinez, Alison; Rencoret, Nathaly"/>
    <s v=""/>
    <s v=""/>
    <x v="609"/>
    <x v="445"/>
    <s v=""/>
    <s v=""/>
    <s v="Spanish"/>
    <s v="Article"/>
    <s v=""/>
    <s v=""/>
    <s v=""/>
    <s v=""/>
    <s v=""/>
    <x v="548"/>
    <x v="1"/>
    <s v="The advances in technology, especially in the field of communication, cause mass media to constantly evolve- and thus not to perish. Indeed, this occurs in situations that are marked by a series of media transformations and changes that have affected journalism as a profession and mass media as a process. The studies that have resulted from these changes have been positive and negative. This paper analyses the digital media panorama in Ecuador, the characteristics of journalism culture and the specific usage of web content. It describes the trends of the main digital media in the country, which have been selected for a case study. The article takes as a core reference 'ten digital trends in media communication' proposed by Cerezo-Gilarranz - a specialist in digital strategies. We then focus on the deficiencies of Ecuadorian mass media, which is mainly due to a lack of control over technological environments and the scarcity of links between business and journalism projects that have technological and innovative support, such as the usage of social networks and others. The final result is a detailed guide to the weaknesses and strengths of each digital medium that has been studied. Furthermore, this work highlights reliable trends so that the selected media can orientate towards digital environments. This is achieved by making use of technological tools for creating business and service opportunities."/>
    <s v="[Isabel Punin, M.] Univ Tecn Particular Loja, TC Dept Ciencias Comunicac, Loja, Ecuador; [Martinez, Alison; Rencoret, Nathaly] Univ Tecn Particular Loja, Dept Ciencias Comunicac, Loja, Ecuador"/>
    <s v="Universidad Tecnica Particular de Loja; Universidad Tecnica Particular de Loja"/>
    <s v="Punín, MI (corresponding author), Univ Tecn Particular Loja, TC Dept Ciencias Comunicac, Loja, Ecuador."/>
    <s v="mipunin@utpl.edu.ec; acmartinez1@utpl.edu.ec; natieangelik@utpl.edu.ec"/>
    <s v="Punín, M.I/F-1970-2019"/>
    <s v="Punín, M.I/0000-0001-5052-824X"/>
    <s v=""/>
    <s v=""/>
    <s v=""/>
    <s v=""/>
    <n v="30"/>
    <n v="15"/>
    <n v="17"/>
    <n v="3"/>
    <n v="18"/>
    <s v="GRUPO COMUNICAR"/>
    <s v="HUELVA"/>
    <s v="APDO CORREOS 527, HUELVA, 21080, SPAIN"/>
    <s v="1134-3478"/>
    <s v="1988-3293"/>
    <s v=""/>
    <s v="COMUNICAR"/>
    <s v="Comunicar"/>
    <s v="JAN 1"/>
    <x v="9"/>
    <n v="21"/>
    <n v="42"/>
    <s v=""/>
    <s v=""/>
    <s v=""/>
    <s v=""/>
    <n v="199"/>
    <n v="207"/>
    <s v=""/>
    <s v="10.3916/C42-2014-20"/>
    <s v="http://dx.doi.org/10.3916/C42-2014-20"/>
    <s v=""/>
    <s v=""/>
    <n v="9"/>
    <x v="175"/>
    <x v="1"/>
    <s v="Communication; Education &amp; Educational Research"/>
    <s v="281XU"/>
    <s v=""/>
    <s v="Green Accepted, Green Submitted, gold"/>
    <s v=""/>
    <s v=""/>
    <s v="2023-11-15"/>
    <s v="WOS:000329135100022"/>
    <s v="View Full Record in Web of Science"/>
    <m/>
  </r>
  <r>
    <x v="612"/>
    <s v="J"/>
    <x v="602"/>
    <s v=""/>
    <s v=""/>
    <s v=""/>
    <s v="Kontu, Hanna; Vecchi, Alessandra"/>
    <s v=""/>
    <s v=""/>
    <x v="610"/>
    <x v="37"/>
    <s v=""/>
    <s v=""/>
    <s v="English"/>
    <s v="Article"/>
    <s v=""/>
    <s v=""/>
    <s v=""/>
    <s v=""/>
    <s v=""/>
    <x v="549"/>
    <x v="1"/>
    <s v="The importance of social media is evident, as millions of people use it to connect with others, share content and discuss different topics. Although it is clear that social media is powerful and ubiquitous, many fashion brands have been reluctant or unable to develop strategies and allocate resources to effectively engage with the new media. Adopting an exploratory approach, our study provides a critical assessment of the use of social media by three international fashion brands, in order to identify its potential as a strategic marketing tool."/>
    <s v="[Kontu, Hanna; Vecchi, Alessandra] Univ Arts, London Coll Fash, London, England"/>
    <s v="University of Arts London"/>
    <s v="Kontu, H (corresponding author), Univ Arts, London Coll Fash, London, England."/>
    <s v="h.kontu@fashion.arts.ac.uk"/>
    <s v=""/>
    <s v="vecchi, alessandra/0000-0003-3449-7927"/>
    <s v=""/>
    <s v=""/>
    <s v=""/>
    <s v=""/>
    <n v="57"/>
    <n v="25"/>
    <n v="25"/>
    <n v="0"/>
    <n v="16"/>
    <s v="ROUTLEDGE JOURNALS, TAYLOR &amp; FRANCIS LTD"/>
    <s v="ABINGDON"/>
    <s v="2-4 PARK SQUARE, MILTON PARK, ABINGDON OX14 4RN, OXON, ENGLAND"/>
    <s v="2093-2685"/>
    <s v="2325-4483"/>
    <s v=""/>
    <s v="J GLOB FASH MARK"/>
    <s v="J. Glob. Fash. Mark."/>
    <s v=""/>
    <x v="9"/>
    <n v="5"/>
    <n v="3"/>
    <s v=""/>
    <s v=""/>
    <s v="SI"/>
    <s v=""/>
    <n v="235"/>
    <n v="250"/>
    <s v=""/>
    <s v="10.1080/20932685.2014.912443"/>
    <s v="http://dx.doi.org/10.1080/20932685.2014.912443"/>
    <s v=""/>
    <s v=""/>
    <n v="16"/>
    <x v="33"/>
    <x v="2"/>
    <s v="Business &amp; Economics"/>
    <s v="VA1YA"/>
    <s v=""/>
    <s v=""/>
    <s v=""/>
    <s v=""/>
    <s v="2023-11-15"/>
    <s v="WOS:000409703200005"/>
    <s v="View Full Record in Web of Science"/>
    <m/>
  </r>
  <r>
    <x v="613"/>
    <s v="J"/>
    <x v="603"/>
    <s v=""/>
    <s v=""/>
    <s v=""/>
    <s v="Massis, Bruce E."/>
    <s v=""/>
    <s v=""/>
    <x v="611"/>
    <x v="446"/>
    <s v=""/>
    <s v=""/>
    <s v="English"/>
    <s v="Article"/>
    <s v=""/>
    <s v=""/>
    <s v=""/>
    <s v=""/>
    <s v=""/>
    <x v="550"/>
    <x v="1"/>
    <s v="Purpose - The purpose of this column is to provide several discussion themes on which to muse regarding the strategy of library marketing in today's technology-rich environment. Design/methodology/approach - It involves literature review and commentary on this topic that has been addressed by professionals, researchers and practitioners. Findings - Moving between the traditional model of library marketing to the cutting-edge model is occurring through the numerous digital communication tools used everyday. Not only must the library rely on these modes of marketing they must also recognize that their patrons share that space with them and the many contacts each one of those patrons has as well, thus potentially expanding the library audience and therefore positively expanding its user base. Originality/value - The value in addressing this issue is to examine approaches to marketing library services in an effort to present the reader with several discussion points on the topic."/>
    <s v="[Massis, Bruce E.] Columbus State Community Coll, Lib, Columbus, OH 43215 USA"/>
    <s v="Columbus State Community College"/>
    <s v="Massis, BE (corresponding author), Columbus State Community Coll, Lib, Columbus, OH 43215 USA."/>
    <s v="bmassis@hotmail.com"/>
    <s v=""/>
    <s v=""/>
    <s v=""/>
    <s v=""/>
    <s v=""/>
    <s v=""/>
    <n v="6"/>
    <n v="3"/>
    <n v="3"/>
    <n v="2"/>
    <n v="6"/>
    <s v="EMERALD GROUP PUBLISHING LTD"/>
    <s v="BINGLEY"/>
    <s v="HOWARD HOUSE, WAGON LANE, BINGLEY BD16 1WA, W YORKSHIRE, ENGLAND"/>
    <s v="0307-4803"/>
    <s v="1758-6909"/>
    <s v=""/>
    <s v="NEW LIB WORLD"/>
    <s v="New Lib. World"/>
    <s v=""/>
    <x v="9"/>
    <n v="115"/>
    <s v="7-8"/>
    <s v=""/>
    <s v=""/>
    <s v=""/>
    <s v=""/>
    <n v="405"/>
    <n v="408"/>
    <s v=""/>
    <s v="10.1108/NLW-01-2014-0007"/>
    <s v="http://dx.doi.org/10.1108/NLW-01-2014-0007"/>
    <s v=""/>
    <s v=""/>
    <n v="4"/>
    <x v="66"/>
    <x v="2"/>
    <s v="Information Science &amp; Library Science"/>
    <s v="V99BM"/>
    <s v=""/>
    <s v=""/>
    <s v=""/>
    <s v=""/>
    <s v="2023-11-15"/>
    <s v="WOS:000213442500007"/>
    <s v="View Full Record in Web of Science"/>
    <m/>
  </r>
  <r>
    <x v="614"/>
    <s v="J"/>
    <x v="604"/>
    <s v=""/>
    <s v=""/>
    <s v=""/>
    <s v="Mouzykant, V. L."/>
    <s v=""/>
    <s v=""/>
    <x v="612"/>
    <x v="447"/>
    <s v=""/>
    <s v=""/>
    <s v="Russian"/>
    <s v="Article"/>
    <s v=""/>
    <s v=""/>
    <s v=""/>
    <s v=""/>
    <s v=""/>
    <x v="551"/>
    <x v="1"/>
    <s v="The article describes the phenomenon of social marketing in the Internet that has changed the idea of the relationships between the addresser and the addressee in the social networks. The author analyzes the typology, genesis and consequences of the virus marketing in social networks from the perspective of the sociological analysis of media. The article considers the influence of the Internet on the behavior of the Russians, the methods of measuring the impact of the emerging new media. The author identifies different strategies in the SMM-market, such as creative content, digital-projects, media planning, simple content, government, close-to-government and educational projects. ROMIR within the GemuisAudience project conducted a research among 20 thousand Russian respondents to monitor their behavior in the sphere with the help of special sensors that identify Internet preferences of the Russians. The first results of the project revealed a trend - the more interesting the content the more likely the user is to share the app with his friends."/>
    <s v="[Mouzykant, V. L.] Peoples Friendship Univ Russia, Miklukho Maklaya Str 6, Moscow 117198, Russia"/>
    <s v="Peoples Friendship University of Russia"/>
    <s v="Mouzykant, VL (corresponding author), Peoples Friendship Univ Russia, Miklukho Maklaya Str 6, Moscow 117198, Russia."/>
    <s v="vmouzyka@mail.ru"/>
    <s v="Muzykant, valerii/AAE-1181-2020"/>
    <s v="Muzykant, valerii/0000-0001-9422-351X"/>
    <s v=""/>
    <s v=""/>
    <s v=""/>
    <s v=""/>
    <n v="5"/>
    <n v="0"/>
    <n v="0"/>
    <n v="0"/>
    <n v="0"/>
    <s v="PEOPLES FRIENDSHIP UNIV RUSSIA"/>
    <s v="MOSCOW"/>
    <s v="UL MIKLUKHO-MAKLAYA, DOM 6, MOSCOW, 117198, RUSSIA"/>
    <s v="2313-2272"/>
    <s v="2408-8897"/>
    <s v=""/>
    <s v="RUDN J SOCIOL"/>
    <s v="RUDN J. Sociol."/>
    <s v=""/>
    <x v="9"/>
    <s v=""/>
    <n v="4"/>
    <s v=""/>
    <s v=""/>
    <s v=""/>
    <s v=""/>
    <n v="75"/>
    <n v="85"/>
    <s v=""/>
    <s v=""/>
    <s v=""/>
    <s v=""/>
    <s v=""/>
    <n v="11"/>
    <x v="97"/>
    <x v="2"/>
    <s v="Sociology"/>
    <s v="VH0TQ"/>
    <s v=""/>
    <s v=""/>
    <s v=""/>
    <s v=""/>
    <s v="2023-11-15"/>
    <s v="WOS:000450054100006"/>
    <s v="View Full Record in Web of Science"/>
    <m/>
  </r>
  <r>
    <x v="615"/>
    <s v="B"/>
    <x v="605"/>
    <s v=""/>
    <s v="Carson, C; Kirwan, P"/>
    <s v=""/>
    <s v="Nelson, Ryan"/>
    <s v=""/>
    <s v=""/>
    <x v="613"/>
    <x v="448"/>
    <s v=""/>
    <s v=""/>
    <s v="English"/>
    <s v="Article; Book Chapter"/>
    <s v=""/>
    <s v=""/>
    <s v=""/>
    <s v=""/>
    <s v=""/>
    <x v="8"/>
    <x v="1"/>
    <s v=""/>
    <s v="[Nelson, Ryan] Barbican Ctr, London, England; [Nelson, Ryan] Google, Mountain View, CA USA; [Nelson, Ryan] The Guardian, London, England"/>
    <s v="Google Incorporated"/>
    <s v="Nelson, R (corresponding author), Barbican Ctr, London, England."/>
    <s v=""/>
    <s v=""/>
    <s v=""/>
    <s v=""/>
    <s v=""/>
    <s v=""/>
    <s v=""/>
    <n v="10"/>
    <n v="1"/>
    <n v="1"/>
    <n v="0"/>
    <n v="1"/>
    <s v="CAMBRIDGE UNIV PRESS"/>
    <s v="CAMBRIDGE"/>
    <s v="THE PITT BUILDING, TRUMPINGTON ST, CAMBRIDGE CB2 1RP, CAMBS, ENGLAND"/>
    <s v=""/>
    <s v=""/>
    <s v="978-1-107-66078-6; 978-1-107-06436-2"/>
    <s v=""/>
    <s v=""/>
    <s v=""/>
    <x v="9"/>
    <s v=""/>
    <s v=""/>
    <s v=""/>
    <s v=""/>
    <s v=""/>
    <s v=""/>
    <n v="202"/>
    <n v="211"/>
    <s v=""/>
    <s v=""/>
    <s v=""/>
    <s v="10.1017/CBO9781107587526"/>
    <s v=""/>
    <n v="10"/>
    <x v="176"/>
    <x v="7"/>
    <s v="Education &amp; Educational Research; Literature"/>
    <s v="BB0CS"/>
    <s v=""/>
    <s v=""/>
    <s v=""/>
    <s v=""/>
    <s v="2023-11-15"/>
    <s v="WOS:000340103000020"/>
    <s v="View Full Record in Web of Science"/>
    <m/>
  </r>
  <r>
    <x v="616"/>
    <s v="J"/>
    <x v="606"/>
    <s v=""/>
    <s v=""/>
    <s v=""/>
    <s v="Tomas, Kelly"/>
    <s v=""/>
    <s v=""/>
    <x v="614"/>
    <x v="449"/>
    <s v=""/>
    <s v=""/>
    <s v="English"/>
    <s v="Article"/>
    <s v=""/>
    <s v=""/>
    <s v=""/>
    <s v=""/>
    <s v=""/>
    <x v="552"/>
    <x v="1"/>
    <s v="This paper examines the state of the magazine industry in the US and offers research to show why publishers should shift their thinking from a print- or digital-first publishing strategy to a mobile-first publishing strategy. The publishing industry faces increasing challenges to generate a profit and grow their audience. These challenges are compounded by a difficult economy, the proliferation of new technological devices, and consumers' changing reading habits. Mobile publishing offers new and expanding ways for the magazine industry to diversity income, expand readership, and position their titles for future growth."/>
    <s v=""/>
    <s v=""/>
    <s v="Tomas, K (corresponding author), 208 Kingston Circle, Birmingham, AL 35211 USA."/>
    <s v="kellybtomas@gmail.com"/>
    <s v=""/>
    <s v=""/>
    <s v=""/>
    <s v=""/>
    <s v=""/>
    <s v=""/>
    <n v="45"/>
    <n v="1"/>
    <n v="1"/>
    <n v="0"/>
    <n v="0"/>
    <s v="SPRINGER"/>
    <s v="NEW YORK"/>
    <s v="233 SPRING ST, NEW YORK, NY 10013 USA"/>
    <s v="1053-8801"/>
    <s v="1936-4792"/>
    <s v=""/>
    <s v="PUBLISH RES Q"/>
    <s v="Publ. Res. Q."/>
    <s v="DEC"/>
    <x v="10"/>
    <n v="29"/>
    <n v="4"/>
    <s v=""/>
    <s v=""/>
    <s v=""/>
    <s v=""/>
    <n v="301"/>
    <n v="317"/>
    <s v=""/>
    <s v="10.1007/s12109-013-9330-7"/>
    <s v="http://dx.doi.org/10.1007/s12109-013-9330-7"/>
    <s v=""/>
    <s v=""/>
    <n v="17"/>
    <x v="66"/>
    <x v="2"/>
    <s v="Information Science &amp; Library Science"/>
    <s v="VG7PH"/>
    <s v=""/>
    <s v=""/>
    <s v=""/>
    <s v=""/>
    <s v="2023-11-15"/>
    <s v="WOS:000448354600002"/>
    <s v="View Full Record in Web of Science"/>
    <m/>
  </r>
  <r>
    <x v="617"/>
    <s v="J"/>
    <x v="607"/>
    <s v=""/>
    <s v=""/>
    <s v=""/>
    <s v="Jose Fandino, Yamith"/>
    <s v=""/>
    <s v=""/>
    <x v="615"/>
    <x v="450"/>
    <s v=""/>
    <s v=""/>
    <s v="English"/>
    <s v="Article"/>
    <s v=""/>
    <s v=""/>
    <s v=""/>
    <s v=""/>
    <s v=""/>
    <x v="553"/>
    <x v="422"/>
    <s v="The 21st century demands the explicit integration of learning strategies, digital competences and career abilities. Schools in general and EFL classrooms in particular should provide students with practices and processes focused on acquiring and developing, among other things, creativity, critical thinking, collaboration, self-direction, and cross-cultural skills. In this regard, the Partnership for 21st Century Skills (2007) argues for the explicit integration of learning and innovation skills, information, media and digital literacy skills, and life and career skills. Despite its relevance, a basic review of Colombian scholarly publications suggests that little has been done in order to infuse the EFL class with some of these ideas. Consequently, this paper seeks to inform and motivate Colombian EFL teachers to incorporate meaningful and intellectually stimulating alternatives that allow students not just to learn English, but more importantly to understand complex perspectives, use multiple media and technologies, and work creatively with others."/>
    <s v="[Jose Fandino, Yamith] La Salle Univ, Sch Educ Sci, Bogota, Colombia"/>
    <s v="Universidad de La Salle"/>
    <s v="Fandiño, YJ (corresponding author), La Salle Univ, Sch Educ Sci, Bogota, Colombia."/>
    <s v="yfandino@unisalle.edu.co"/>
    <s v="FandiÃ±o Parra, Yamith Jose/N-6508-2014; Fandiño Parra, Yamith José/AAA-9047-2021"/>
    <s v="FandiÃ±o Parra, Yamith Jose/0000-0002-5567-5465; Fandiño Parra, Yamith José/0000-0002-5567-5465"/>
    <s v=""/>
    <s v=""/>
    <s v=""/>
    <s v=""/>
    <n v="50"/>
    <n v="6"/>
    <n v="8"/>
    <n v="1"/>
    <n v="4"/>
    <s v="INST UNIV COLOMBO AMERICANA-UNICA"/>
    <s v="BOGOTA"/>
    <s v="CALLE 19 NO 2A-49 SEGUNDO PISO, BOGOTA, 00000, COLOMBIA"/>
    <s v="1692-5777"/>
    <s v=""/>
    <s v=""/>
    <s v="GIST-EDUC LEARN RES"/>
    <s v="GIST-Educ. Learn. Res. J."/>
    <s v="NOV"/>
    <x v="10"/>
    <s v=""/>
    <n v="7"/>
    <s v=""/>
    <s v=""/>
    <s v=""/>
    <s v=""/>
    <n v="190"/>
    <n v="208"/>
    <s v=""/>
    <s v=""/>
    <s v=""/>
    <s v=""/>
    <s v=""/>
    <n v="19"/>
    <x v="39"/>
    <x v="2"/>
    <s v="Education &amp; Educational Research"/>
    <s v="V53MD"/>
    <s v=""/>
    <s v=""/>
    <s v=""/>
    <s v=""/>
    <s v="2023-11-15"/>
    <s v="WOS:000210360600012"/>
    <s v="View Full Record in Web of Science"/>
    <m/>
  </r>
  <r>
    <x v="618"/>
    <s v="J"/>
    <x v="608"/>
    <s v=""/>
    <s v=""/>
    <s v=""/>
    <s v="Vasicek, Zdenek; Bidlo, Michal; Sekanina, Lukas"/>
    <s v=""/>
    <s v=""/>
    <x v="616"/>
    <x v="451"/>
    <s v=""/>
    <s v=""/>
    <s v="English"/>
    <s v="Article"/>
    <s v=""/>
    <s v=""/>
    <s v=""/>
    <s v=""/>
    <s v=""/>
    <x v="554"/>
    <x v="423"/>
    <s v="Image processing represents a research field in which high-quality solutions have been obtained using various soft computing techniques. Evolutionary algorithms constitute a class of stochastic search methods that are applicable in both optimization and design tasks. In the area of circuit design Cartesian Genetic Programming has often been utilized in combination with an algorithm of Evolutionary Strategy. Digital image filters represent a specific class of circuits whose design can be performed by means of this approach. Switching filters are advanced non-linear filtering techniques in which the main idea is to detect and filter the noise pixels while keeping the uncorrupted pixels unchanged in order to increase the quality of the resulting image. The aim of this article is to present a robust design technique based on Cartesian Genetic Programming for the automatic synthesis of switching image filters intended for real-time processing applications. The robustness of the proposed evolutionary approach is evaluated using four design problems including the removal of salt and pepper noise, random shot noise, impulse burst noise and impulse burst noise combined with random shot noise. An extensive evaluation is performed in order to compare the properties of the evolved switching filters with the best conventional solutions. The evaluation has shown that the evolved switching filters exhibit a very good trade off between the quality of filtering and the implementation cost in field programmable gate arrays."/>
    <s v="[Vasicek, Zdenek; Bidlo, Michal; Sekanina, Lukas] Brno Univ Technol, Fac Informat Technol, Ctr Excellence IT4Innovat, Brno 61266, Czech Republic"/>
    <s v="Brno University of Technology"/>
    <s v="Sekanina, L (corresponding author), Brno Univ Technol, Fac Informat Technol, Ctr Excellence IT4Innovat, Bozetechova 2, Brno 61266, Czech Republic."/>
    <s v="vasicek@fit.vutbr.cz; bidlom@fit.vutbr.cz; sekanina@fit.vutbr.cz"/>
    <s v="Sekanina, Lukas/E-8394-2014; Vasicek, Zdenek/A-3655-2016; Bidlo, Michal/GRS-4501-2022"/>
    <s v="Sekanina, Lukas/0000-0002-2693-9011; Vasicek, Zdenek/0000-0002-2279-5217;"/>
    <s v="Czech Science Foundation [GP103/10/1517]; IT4Innovations Centre of Excellence [CZ.1.05/1.1.00/02.0070]"/>
    <s v="Czech Science Foundation(Grant Agency of the Czech Republic); IT4Innovations Centre of Excellence"/>
    <s v="This work was partially supported by the Czech Science Foundation project GP103/10/1517 Natural Computing on Unconventional Platforms and the IT4Innovations Centre of Excellence CZ.1.05/1.1.00/02.0070."/>
    <s v=""/>
    <n v="29"/>
    <n v="9"/>
    <n v="10"/>
    <n v="2"/>
    <n v="9"/>
    <s v="SPRINGER"/>
    <s v="NEW YORK"/>
    <s v="233 SPRING ST, NEW YORK, NY 10013 USA"/>
    <s v="1432-7643"/>
    <s v="1433-7479"/>
    <s v=""/>
    <s v="SOFT COMPUT"/>
    <s v="Soft Comput."/>
    <s v="NOV"/>
    <x v="10"/>
    <n v="17"/>
    <n v="11"/>
    <s v=""/>
    <s v=""/>
    <s v="SI"/>
    <s v=""/>
    <n v="2163"/>
    <n v="2180"/>
    <s v=""/>
    <s v="10.1007/s00500-013-1040-8"/>
    <s v="http://dx.doi.org/10.1007/s00500-013-1040-8"/>
    <s v=""/>
    <s v=""/>
    <n v="18"/>
    <x v="177"/>
    <x v="0"/>
    <s v="Computer Science"/>
    <s v="236TS"/>
    <s v=""/>
    <s v=""/>
    <s v=""/>
    <s v=""/>
    <s v="2023-11-15"/>
    <s v="WOS:000325822900017"/>
    <s v="View Full Record in Web of Science"/>
    <m/>
  </r>
  <r>
    <x v="619"/>
    <s v="J"/>
    <x v="609"/>
    <s v=""/>
    <s v=""/>
    <s v=""/>
    <s v="Mintz, Ofer; Currim, Imran S.; Jeliazkov, Ivan"/>
    <s v=""/>
    <s v=""/>
    <x v="617"/>
    <x v="452"/>
    <s v=""/>
    <s v=""/>
    <s v="English"/>
    <s v="Article"/>
    <s v=""/>
    <s v=""/>
    <s v=""/>
    <s v=""/>
    <s v=""/>
    <x v="555"/>
    <x v="424"/>
    <s v="The information processing literature provides a wealth of laboratory evidence on the effects that the choice task and individual characteristics have on the extent to which consumers engage in alternative-based versus attribute-based information processing. Less attention has been paid to studying how the processing pattern at the point of purchase is associated with a consumer's propensity to buy in shopping settings. To understand this relationship, we formulate a discrete choice model and perform formal model comparisons to distinguish among several possible dependence structures. We consider models involving an existing measure of information processing, PATTERN; a latent variable version of this measure; and several new refinements and generalizations. Analysis of a unique data set of 895 shoppers on a popular electronics website supports the latent variable specification and provides validation for several hypotheses and modeling components. We find a positive relationship between alternative-based processing and purchase, as well as a tendency of shoppers in the lower price category to engage in alternative-based processing. The results also support the case for joint modeling and estimation. These findings can be useful for future work in information processing and suggest that likely buyers can be identified while engaged in information processing prior to purchase commitment, an important first step in targeting decisions."/>
    <s v="[Mintz, Ofer] Louisiana State Univ, EJ Ourso Coll Business, Baton Rouge, LA 70803 USA; [Currim, Imran S.] Univ Calif Irvine, Paul Merage Sch Business, Irvine, CA 92697 USA; [Jeliazkov, Ivan] Univ Calif Irvine, Dept Econ, Irvine, CA 92697 USA"/>
    <s v="Louisiana State University System; Louisiana State University; University of California System; University of California Irvine; University of California System; University of California Irvine"/>
    <s v="Mintz, O (corresponding author), Louisiana State Univ, EJ Ourso Coll Business, Baton Rouge, LA 70803 USA."/>
    <s v="omintz@lsu.edu; iscurrim@uci.edu; ivan@uci.edu"/>
    <s v="Mintz, Ofer/H-7972-2013; Jeliazkov, Ivan/C-3108-2009"/>
    <s v="Mintz, Ofer/0000-0003-0512-4283; Jeliazkov, Ivan/0000-0002-4924-9910"/>
    <s v=""/>
    <s v=""/>
    <s v=""/>
    <s v=""/>
    <n v="36"/>
    <n v="11"/>
    <n v="11"/>
    <n v="2"/>
    <n v="75"/>
    <s v="INFORMS"/>
    <s v="CATONSVILLE"/>
    <s v="5521 RESEARCH PARK DR, SUITE 200, CATONSVILLE, MD 21228 USA"/>
    <s v="0732-2399"/>
    <s v=""/>
    <s v=""/>
    <s v="MARKET SCI"/>
    <s v="Mark. Sci."/>
    <s v="SEP-OCT"/>
    <x v="10"/>
    <n v="32"/>
    <n v="5"/>
    <s v=""/>
    <s v=""/>
    <s v=""/>
    <s v=""/>
    <n v="716"/>
    <n v="732"/>
    <s v=""/>
    <s v="10.1287/mksc.2013.0790"/>
    <s v="http://dx.doi.org/10.1287/mksc.2013.0790"/>
    <s v=""/>
    <s v=""/>
    <n v="17"/>
    <x v="33"/>
    <x v="1"/>
    <s v="Business &amp; Economics"/>
    <s v="229ZH"/>
    <s v=""/>
    <s v=""/>
    <s v=""/>
    <s v=""/>
    <s v="2023-11-15"/>
    <s v="WOS:000325305900003"/>
    <s v="View Full Record in Web of Science"/>
    <m/>
  </r>
  <r>
    <x v="620"/>
    <s v="J"/>
    <x v="610"/>
    <s v=""/>
    <s v=""/>
    <s v=""/>
    <s v="Beijer, Tim R.; van Dijk, Ewoud J.; de Vries, Joost; Vermeer, Sarah E.; Prokop, Mathias; Meijer, Frederick J. A."/>
    <s v=""/>
    <s v=""/>
    <x v="618"/>
    <x v="453"/>
    <s v=""/>
    <s v=""/>
    <s v="English"/>
    <s v="Article"/>
    <s v=""/>
    <s v=""/>
    <s v=""/>
    <s v=""/>
    <s v=""/>
    <x v="556"/>
    <x v="425"/>
    <s v="Objective and methods: In the diagnostic work-up of patients suspected of a dural arteriovenous fistula (dAVF), imaging has a key role in order to diagnose the dAVF, assess its bleeding risk and choose optimal treatment strategy. Digital subtraction angiography (DSA) is the gold standard for the most detailed image of a dAVF. Nowadays four-dimensional CT angiography (4D-CTA) could possibly be an additional first-line tool in the work-up of a patient suspected of a dAVF. We describe three cases clinically suspected of a dAVF which had a diagnostic work-up with 4D-CTA as well as DSA. We evaluated the angioarchitecture of the dAVF both on 4D-CTA and DSA, with emphasis on the patterns of venous drainage as this is important in assessing the bleeding risk of a dAVF. Results and conclusion: 4D-CTA identified the dAVF, revealed its angioarchitecture and correctly differentiated different patterns of venous drainage (Borden type I, II and III) as confirmed on DSA. Although DSA has the advantage of higher spatial and temporal resolution, 4D-CTA seems to be a new useful non-invasive tool in the diagnostic work-up of a patient suspected of a dAVF. (C) 2012 Elsevier B.V. All rights reserved."/>
    <s v="[Beijer, Tim R.; van Dijk, Ewoud J.] Radboud Univ Nijmegen, Med Ctr, Dept Neurol, NL-6500 HB Nijmegen, Netherlands; [de Vries, Joost] Radboud Univ Nijmegen, Med Ctr, Dept Neurosurg, NL-6500 HB Nijmegen, Netherlands; [Vermeer, Sarah E.] Rijnstate Med Ctr, Dept Neurol, Arnhem, Netherlands; [Prokop, Mathias; Meijer, Frederick J. A.] Radboud Univ Nijmegen, Med Ctr, Dept Radiol, NL-6500 HB Nijmegen, Netherlands"/>
    <s v="Radboud University Nijmegen; Radboud University Nijmegen; Rijnstate Hospital; Radboud University Nijmegen"/>
    <s v="Meijer, FJA (corresponding author), Radboud Univ Nijmegen, Med Ctr, Dept Radiol, Postbus 9101, NL-6500 HB Nijmegen, Netherlands."/>
    <s v="f.meijer@rad.umcn.nl"/>
    <s v="van Dijk, Ewoud J/J-7951-2012; Vries, J./L-4731-2015; Meijer, Frederick J.A./L-4516-2015; Prokop, W. Mathias/H-8081-2014"/>
    <s v="Meijer, Frederick J.A./0000-0001-5921-639X; Prokop, W. Mathias/0000-0001-8157-8055"/>
    <s v=""/>
    <s v=""/>
    <s v=""/>
    <s v=""/>
    <n v="11"/>
    <n v="15"/>
    <n v="15"/>
    <n v="0"/>
    <n v="2"/>
    <s v="ELSEVIER SCIENCE BV"/>
    <s v="AMSTERDAM"/>
    <s v="PO BOX 211, 1000 AE AMSTERDAM, NETHERLANDS"/>
    <s v="0303-8467"/>
    <s v=""/>
    <s v=""/>
    <s v="CLIN NEUROL NEUROSUR"/>
    <s v="Clin. Neurol. Neurosurg."/>
    <s v="AUG"/>
    <x v="10"/>
    <n v="115"/>
    <n v="8"/>
    <s v=""/>
    <s v=""/>
    <s v=""/>
    <s v=""/>
    <n v="1313"/>
    <n v="1316"/>
    <s v=""/>
    <s v="10.1016/j.clineuro.2012.12.015"/>
    <s v="http://dx.doi.org/10.1016/j.clineuro.2012.12.015"/>
    <s v=""/>
    <s v=""/>
    <n v="4"/>
    <x v="178"/>
    <x v="0"/>
    <s v="Neurosciences &amp; Neurology; Surgery"/>
    <s v="198NJ"/>
    <n v="23298975"/>
    <s v=""/>
    <s v=""/>
    <s v=""/>
    <s v="2023-11-15"/>
    <s v="WOS:000322929300021"/>
    <s v="View Full Record in Web of Science"/>
    <m/>
  </r>
  <r>
    <x v="621"/>
    <s v="J"/>
    <x v="611"/>
    <s v=""/>
    <s v=""/>
    <s v=""/>
    <s v="Reynolds, Carl J."/>
    <s v=""/>
    <s v=""/>
    <x v="619"/>
    <x v="454"/>
    <s v=""/>
    <s v=""/>
    <s v="English"/>
    <s v="Article"/>
    <s v=""/>
    <s v=""/>
    <s v=""/>
    <s v=""/>
    <s v=""/>
    <x v="557"/>
    <x v="1"/>
    <s v="The recent NHS 'hack days' have showcased the enthusiasm and talent of the junior doctor body as well as the potential of open source, open governance and small-medium enterprise. There still remains much scope for developing better value digital health services within the NHS. This article sets out the current state of NHS information technology (IT), how it fails to meet the needs of patients and professionals alike and suggests how better value digital health can be achieved."/>
    <s v="[Reynolds, Carl J.] Open Healthcare UK, London, England"/>
    <s v=""/>
    <s v="Reynolds, CJ (corresponding author), Flat 29 Blackmore House,Copenhagen St, London NI 0SE, England."/>
    <s v="carl.reynolds@openhealthcare.org.uk"/>
    <s v=""/>
    <s v="Reynolds, Carl/0000-0002-7415-258X"/>
    <s v="National Institute for Health Research [ACF-2013-21-023] Funding Source: researchfish"/>
    <s v="National Institute for Health Research(National Institutes of Health Research (NIHR))"/>
    <s v=""/>
    <s v=""/>
    <n v="15"/>
    <n v="2"/>
    <n v="2"/>
    <n v="2"/>
    <n v="12"/>
    <s v="ROY COLL PHYS LONDON EDITORIAL OFFICE"/>
    <s v="LONDON"/>
    <s v="11 ST ANDREWS PLACE REGENTS PARK, LONDON NW1 4LE, ENGLAND"/>
    <s v="1470-2118"/>
    <s v="1473-4893"/>
    <s v=""/>
    <s v="CLIN MED"/>
    <s v="Clin. Med."/>
    <s v="AUG"/>
    <x v="10"/>
    <n v="13"/>
    <n v="4"/>
    <s v=""/>
    <s v=""/>
    <s v=""/>
    <s v=""/>
    <n v="336"/>
    <n v="339"/>
    <s v=""/>
    <s v="10.7861/clinmedicine.13-4-336"/>
    <s v="http://dx.doi.org/10.7861/clinmedicine.13-4-336"/>
    <s v=""/>
    <s v=""/>
    <n v="4"/>
    <x v="28"/>
    <x v="0"/>
    <s v="General &amp; Internal Medicine"/>
    <s v="242OE"/>
    <n v="23908499"/>
    <s v="Bronze, Green Published"/>
    <s v=""/>
    <s v=""/>
    <s v="2023-11-15"/>
    <s v="WOS:000326251100004"/>
    <s v="View Full Record in Web of Science"/>
    <m/>
  </r>
  <r>
    <x v="622"/>
    <s v="J"/>
    <x v="612"/>
    <s v=""/>
    <s v=""/>
    <s v=""/>
    <s v="Goldstein, Karen; Briggs, Michael; Oleynik, Veronica; Cullen, Mac; Jones, Jewel; Newman, Eileen; Narva, Andrew"/>
    <s v=""/>
    <s v=""/>
    <x v="620"/>
    <x v="455"/>
    <s v=""/>
    <s v=""/>
    <s v="English"/>
    <s v="Article"/>
    <s v=""/>
    <s v=""/>
    <s v=""/>
    <s v=""/>
    <s v=""/>
    <x v="558"/>
    <x v="426"/>
    <s v="Health-care providers and patients increasingly turn to the Internet-websites as well as social media platforms-for health-related information and support. Informed by research on audience behaviors and preferences related to digital health information, the National Kidney Disease Education Program (NKDEP) developed a comprehensive and user-friendly digital ecosystem featuring content and platforms relevant for each audience. NKDEP's analysis of website metrics and social media conversation mapping related to CKD revealed gaps and opportunities, informing the development of a digital strategy to position NKDEP as a trustworthy digital source for evidence-based kidney disease information. NKDEP launched a redesigned website (www.nkdep.nih.gov) with enhanced content for multiple audiences as well as a complementary social media presence on Twitter and Facebook serving to drive traffic to the website as well as actively engage target audiences in conversations about kidney disease. The results included improved website metrics and increasing social media engagement among consumers and health-care providers. NKDEP will continue to monitor trends, explore new directions, and work to improve communication across digital platforms. Published by Elsevier Inc. on behalf of the National Kidney Foundation, Inc."/>
    <s v="[Goldstein, Karen; Briggs, Michael; Oleynik, Veronica; Cullen, Mac; Jones, Jewel; Newman, Eileen; Narva, Andrew] Natl Kidney Dis Educ Program, Bethesda, MD 20892 USA"/>
    <s v=""/>
    <s v="Narva, A (corresponding author), Natl Kidney Dis Educ Program, 2 Democracy Plaza,Room 644,MSC 5458, Bethesda, MD 20892 USA."/>
    <s v="narvaa@niddk.nih.gov"/>
    <s v=""/>
    <s v=""/>
    <s v="Intramural NIH HHS [Z99 DK999999] Funding Source: Medline"/>
    <s v="Intramural NIH HHS(United States Department of Health &amp; Human ServicesNational Institutes of Health (NIH) - USA)"/>
    <s v=""/>
    <s v=""/>
    <n v="14"/>
    <n v="32"/>
    <n v="33"/>
    <n v="2"/>
    <n v="27"/>
    <s v="W B SAUNDERS CO-ELSEVIER INC"/>
    <s v="PHILADELPHIA"/>
    <s v="1600 JOHN F KENNEDY BOULEVARD, STE 1800, PHILADELPHIA, PA 19103-2899 USA"/>
    <s v="1548-5595"/>
    <s v=""/>
    <s v=""/>
    <s v="ADV CHRONIC KIDNEY D"/>
    <s v="Adv. Chronic Kidney Dis."/>
    <s v="JUL"/>
    <x v="10"/>
    <n v="20"/>
    <n v="4"/>
    <s v=""/>
    <s v=""/>
    <s v=""/>
    <s v=""/>
    <n v="364"/>
    <n v="369"/>
    <s v=""/>
    <s v="10.1053/j.ackd.2013.04.001"/>
    <s v="http://dx.doi.org/10.1053/j.ackd.2013.04.001"/>
    <s v=""/>
    <s v=""/>
    <n v="6"/>
    <x v="179"/>
    <x v="3"/>
    <s v="Urology &amp; Nephrology"/>
    <s v="178RE"/>
    <n v="23809289"/>
    <s v="Bronze, Green Accepted"/>
    <s v=""/>
    <s v=""/>
    <s v="2023-11-15"/>
    <s v="WOS:000321464300010"/>
    <s v="View Full Record in Web of Science"/>
    <m/>
  </r>
  <r>
    <x v="623"/>
    <s v="J"/>
    <x v="613"/>
    <s v=""/>
    <s v=""/>
    <s v=""/>
    <s v="Thomas, Eleanor"/>
    <s v=""/>
    <s v=""/>
    <x v="621"/>
    <x v="339"/>
    <s v=""/>
    <s v=""/>
    <s v="English"/>
    <s v="Article"/>
    <s v=""/>
    <s v=""/>
    <s v=""/>
    <s v=""/>
    <s v=""/>
    <x v="8"/>
    <x v="1"/>
    <s v="The University of South Australia Library (UniSA) has long recognized the advantages of e-books. In late 2011, the Library implemented a Digital Strategy that resulted in dramatic changes to the proportion of print and electronic monograph resources being acquired for the Library collection. The building of a new Learning Centre prompted the Digital Strategy and has provided both opportunities and challenges for the Library. This article examines the issues behind the creation of the Strategy and the impacts on academics, librarians, vendors and students."/>
    <s v="[Thomas, Eleanor] Univ South Australia Lib, Informat Resources &amp; Technol, Mawson Lakes Blvd, Mawson Lakes, SA 5095, Australia"/>
    <s v="University of South Australia"/>
    <s v="Thomas, E (corresponding author), Univ South Australia Lib, Informat Resources &amp; Technol, Mawson Lakes Blvd, Mawson Lakes, SA 5095, Australia."/>
    <s v="Eleanor.Thomas@unisa.edu.au"/>
    <s v="Thomas, Eleanor/L-6841-2014"/>
    <s v="Thomas, Eleanor/0000-0001-6731-0087"/>
    <s v=""/>
    <s v=""/>
    <s v=""/>
    <s v=""/>
    <n v="2"/>
    <n v="0"/>
    <n v="0"/>
    <n v="0"/>
    <n v="0"/>
    <s v="UBIQUITY PRESS LTD"/>
    <s v="LONDON"/>
    <s v="6 WINDMILL ST, LONDON, W1T 2JB, ENGLAND"/>
    <s v="2048-7754"/>
    <s v=""/>
    <s v=""/>
    <s v="INSIGHTS"/>
    <s v="Insights"/>
    <s v="JUL"/>
    <x v="10"/>
    <n v="26"/>
    <n v="2"/>
    <s v=""/>
    <s v=""/>
    <s v=""/>
    <s v=""/>
    <n v="174"/>
    <n v="179"/>
    <s v=""/>
    <s v="10.1629/2048-7754.58"/>
    <s v="http://dx.doi.org/10.1629/2048-7754.58"/>
    <s v=""/>
    <s v=""/>
    <n v="6"/>
    <x v="66"/>
    <x v="2"/>
    <s v="Information Science &amp; Library Science"/>
    <s v="VD1XL"/>
    <s v=""/>
    <s v="gold"/>
    <s v=""/>
    <s v=""/>
    <s v="2023-11-15"/>
    <s v="WOS:000436259300014"/>
    <s v="View Full Record in Web of Science"/>
    <m/>
  </r>
  <r>
    <x v="624"/>
    <s v="J"/>
    <x v="614"/>
    <s v=""/>
    <s v=""/>
    <s v=""/>
    <s v="Bharadwaj, Anandhi; El Sawy, Omar A.; Pavlou, Paul A.; Venkatraman, N."/>
    <s v=""/>
    <s v=""/>
    <x v="622"/>
    <x v="99"/>
    <s v=""/>
    <s v=""/>
    <s v="English"/>
    <s v="Article"/>
    <s v=""/>
    <s v=""/>
    <s v=""/>
    <s v=""/>
    <s v=""/>
    <x v="559"/>
    <x v="427"/>
    <s v="Over the last three decades, the prevailing view of information technology strategy has been that it is a functional-level strategy that must be aligned with the firm's chosen business strategy. Even within this so-called alignment view, business strategy directed IT strategy. During the last decade, the business infrastructure has become digital with increased interconnections among products, processes, and services. Across many firms spanning different industries and sectors, digital technologies (viewed as combinations of information, computing, communication, and connectivity technologies) are fundamentally transforming business strategies, business processes, firm capabilities, products and services, and key interfirm relationships in extended business networks. Accordingly, we argue that the time is right to rethink the role of IT strategy, from that of a functional-level strategy-aligned but essentially always subordinate to business strategy-to one that reflects a fusion between IT strategy and business strategy. This fusion is herein termed digital business strategy. We identify four key themes to guide our thinking on digital business strategy and help provide a framework to define the next generation of insights. The four themes are (1) the scope of digital business strategy, (2) the scale of digital business strategy, (3) the speed of digital business strategy, and (4) the sources of business value creation and capture in digital business strategy. After elaborating on each of these four themes, we discuss the success metrics and potential performance implications from pursuing a digital business strategy. We also show how the papers in the special issue shed light on digital strategies and offer directions to advance insights and shape future research."/>
    <s v="[Bharadwaj, Anandhi] Emory Univ, Goizueta Business Sch, Atlanta, GA 30332 USA; [El Sawy, Omar A.] Univ So Calif, Marshall Sch Business, Los Angeles, CA 90089 USA; [Pavlou, Paul A.] Temple Univ, Fox Sch Business, Philadelphia, PA 19122 USA; [Venkatraman, N.] Boston Univ, Sch Management, Boston, MA 02215 USA"/>
    <s v="Emory University; University of Southern California; Pennsylvania Commonwealth System of Higher Education (PCSHE); Temple University; Boston University"/>
    <s v="Bharadwaj, A (corresponding author), Emory Univ, Goizueta Business Sch, Atlanta, GA 30332 USA."/>
    <s v="abharad@emory.edu; elsawy@marshall.usc.edu; pavlou@temple.edu; venkat@bu.edu"/>
    <s v="Pavlou, Paul A/D-3561-2014; Venkatraman, N. Venkat/AAB-2555-2019; El Sawy, Omar/ABG-7773-2021"/>
    <s v="Bharadwaj, Anandhi/0000-0002-5909-4983"/>
    <s v=""/>
    <s v=""/>
    <s v=""/>
    <s v=""/>
    <n v="55"/>
    <n v="1212"/>
    <n v="1244"/>
    <n v="186"/>
    <n v="1363"/>
    <s v="SOC INFORM MANAGE-MIS RES CENT"/>
    <s v="MINNEAPOLIS"/>
    <s v="UNIV MINNESOTA-SCH MANAGEMENT 271 19TH AVE SOUTH, MINNEAPOLIS, MN 55455 USA"/>
    <s v="0276-7783"/>
    <s v=""/>
    <s v=""/>
    <s v="MIS QUART"/>
    <s v="MIS Q."/>
    <s v="JUN"/>
    <x v="10"/>
    <n v="37"/>
    <n v="2"/>
    <s v=""/>
    <s v=""/>
    <s v=""/>
    <s v=""/>
    <n v="471"/>
    <n v="482"/>
    <s v=""/>
    <s v="10.25300/MISQ/2013/37:2.3"/>
    <s v="http://dx.doi.org/10.25300/MISQ/2013/37:2.3"/>
    <s v=""/>
    <s v=""/>
    <n v="12"/>
    <x v="62"/>
    <x v="3"/>
    <s v="Computer Science; Information Science &amp; Library Science; Business &amp; Economics"/>
    <s v="290KI"/>
    <s v=""/>
    <s v="Bronze"/>
    <s v=""/>
    <s v=""/>
    <s v="2023-11-15"/>
    <s v="WOS:000329754600009"/>
    <s v="View Full Record in Web of Science"/>
    <m/>
  </r>
  <r>
    <x v="625"/>
    <s v="J"/>
    <x v="615"/>
    <s v=""/>
    <s v=""/>
    <s v=""/>
    <s v="Loudini, Malik; Rezig, Sawsen; Hidouci, Walid-Khaled; Salhi, Yahia"/>
    <s v=""/>
    <s v=""/>
    <x v="623"/>
    <x v="456"/>
    <s v=""/>
    <s v=""/>
    <s v="English"/>
    <s v="Article"/>
    <s v=""/>
    <s v=""/>
    <s v=""/>
    <s v=""/>
    <s v=""/>
    <x v="560"/>
    <x v="428"/>
    <s v="This paper considers the design problem of efficient feedback control schemes to enhance the quality of service (QoS) of a web server (WS) whose input/output dynamic behavior is modeled by discrete mathematical representations. Discrete models allowing the digital simulation of the WS responses to different scenarios of client requests are adopted. The capabilities to guarantee performing service delays, under dynamic workload variations, are the main investigations of this work. To try to provide prospective solutions, advanced feedback control strategies are proposed. First, a fuzzy logic controller (FLC) is implemented as a regulating solution in a closed-loop control architecture. Then, the tabu search (TS) algorithm (TSA) is used to optimize the PLC parameters with innovative tuning procedures. The TS optimized PLC (TSOFLC) is also implemented and applied to attempt to improve the WS QoS. To demonstrate the effectiveness of the adopted closed-loop intelligent control strategies, digital simulation experiments are carried out and examined."/>
    <s v="[Loudini, Malik; Rezig, Sawsen; Hidouci, Walid-Khaled; Salhi, Yahia] Ecole Natl Super Informat ESI, LCSI, Algiers 16270, Algeria"/>
    <s v="Ecole Nationale Superieure d'Informatique"/>
    <s v="Loudini, M (corresponding author), Ecole Natl Super Informat ESI, LCSI, BP 68M, Algiers 16270, Algeria."/>
    <s v="m_loudini@esi.dz; s_rezig@esi.dz; w_hidouci@esi.dz; yah_alg@yahoo.fr"/>
    <s v=""/>
    <s v=""/>
    <s v=""/>
    <s v=""/>
    <s v=""/>
    <s v=""/>
    <n v="57"/>
    <n v="1"/>
    <n v="1"/>
    <n v="0"/>
    <n v="2"/>
    <s v="ROMANIAN SOC CONTROL TECH INFORMATICS"/>
    <s v="BUCHAREST"/>
    <s v="313 SPLAIUL INDEPENDENTEI, BUCHAREST, 060042, ROMANIA"/>
    <s v="1454-8658"/>
    <s v=""/>
    <s v=""/>
    <s v="CONTROL ENG APPL INF"/>
    <s v="Control Eng. Appl. Inform."/>
    <s v="JUN"/>
    <x v="10"/>
    <n v="15"/>
    <n v="2"/>
    <s v=""/>
    <s v=""/>
    <s v=""/>
    <s v=""/>
    <n v="54"/>
    <n v="66"/>
    <s v=""/>
    <s v=""/>
    <s v=""/>
    <s v=""/>
    <s v=""/>
    <n v="13"/>
    <x v="180"/>
    <x v="0"/>
    <s v="Automation &amp; Control Systems"/>
    <s v="174KZ"/>
    <s v=""/>
    <s v=""/>
    <s v=""/>
    <s v=""/>
    <s v="2023-11-15"/>
    <s v="WOS:000321155600007"/>
    <s v="View Full Record in Web of Science"/>
    <m/>
  </r>
  <r>
    <x v="626"/>
    <s v="J"/>
    <x v="616"/>
    <s v=""/>
    <s v=""/>
    <s v=""/>
    <s v="Mithas, Sunil; Tafti, Ali; Mitchell, Will"/>
    <s v=""/>
    <s v=""/>
    <x v="624"/>
    <x v="99"/>
    <s v=""/>
    <s v=""/>
    <s v="English"/>
    <s v="Article"/>
    <s v=""/>
    <s v=""/>
    <s v=""/>
    <s v=""/>
    <s v=""/>
    <x v="561"/>
    <x v="429"/>
    <s v="In this paper, we examine how the competitive industry environment shapes the way that digital strategic posture (defined as a focal firm's degree of engagement in a particular class of digital business practices relative to the industry norm) influences firms' realized digital business strategy. We focus on two forms of digital strategy: general IT investment and IT outsourcing investment. Drawing from prior literature on determinants of IT activity and competitive dynamics, we argue that three elements of the industry environment determine whether digital strategic posture has an increasingly convergent or divergent influence on digital business strategy. By divergent influence, we mean an influence that leads to spending substantially more or less on a particular strategic activity than industry norms. We predict that a digital strategic posture (difference from the industry mean) has an increasingly divergent effect on digital business strategy under higher industry turbulence, while having an increasingly convergent effect on digital business strategy under higher industry concentration and higher industry growth. The study uses archival data for 400 U.S.-based firms from 1999 to 2006. Our findings imply that digital business strategy is not solely a matter of optimizing firm operations internally or of responding to one or two focal competitors, but also arises strikingly from awareness and responsiveness to the digital business competitive environment. Collectively, the findings provide insights on how strategic posture and industry environment influence firms' digital business strategy."/>
    <s v="[Mithas, Sunil] Univ Maryland, Robert H Smith Sch Business, College Pk, MD 20742 USA; [Tafti, Ali] Univ Illinois, Coll Business, Champaign, IL 61820 USA; [Mitchell, Will] Univ Toronto, Rotman Sch Management, Toronto, ON, Canada; [Mitchell, Will] Duke Univ, Durham, NC 27708 USA"/>
    <s v="University System of Maryland; University of Maryland College Park; University of Illinois System; University of Illinois Urbana-Champaign; University of Toronto; Duke University"/>
    <s v="Mithas, S (corresponding author), Univ Maryland, Robert H Smith Sch Business, Van Munching Hall, College Pk, MD 20742 USA."/>
    <s v="smithas@rhsmith.umd.edu; atafti@illinois.edu; william.mitchell@rotman.utoronto.ca"/>
    <s v="N'Dri, Amoin Bernadine/IWD-7811-2023"/>
    <s v="Mithas, Sunil/0000-0002-2182-6202"/>
    <s v=""/>
    <s v=""/>
    <s v=""/>
    <s v=""/>
    <n v="99"/>
    <n v="197"/>
    <n v="199"/>
    <n v="41"/>
    <n v="371"/>
    <s v="SOC INFORM MANAGE-MIS RES CENT"/>
    <s v="MINNEAPOLIS"/>
    <s v="UNIV MINNESOTA-SCH MANAGEMENT 271 19TH AVE SOUTH, MINNEAPOLIS, MN 55455 USA"/>
    <s v="0276-7783"/>
    <s v=""/>
    <s v=""/>
    <s v="MIS QUART"/>
    <s v="MIS Q."/>
    <s v="JUN"/>
    <x v="10"/>
    <n v="37"/>
    <n v="2"/>
    <s v=""/>
    <s v=""/>
    <s v=""/>
    <s v=""/>
    <n v="511"/>
    <n v="536"/>
    <s v=""/>
    <s v="10.25300/MISQ/2013/37.2.09"/>
    <s v="http://dx.doi.org/10.25300/MISQ/2013/37.2.09"/>
    <s v=""/>
    <s v=""/>
    <n v="26"/>
    <x v="62"/>
    <x v="3"/>
    <s v="Computer Science; Information Science &amp; Library Science; Business &amp; Economics"/>
    <s v="290KI"/>
    <s v=""/>
    <s v=""/>
    <s v=""/>
    <s v=""/>
    <s v="2023-11-15"/>
    <s v="WOS:000329754600011"/>
    <s v="View Full Record in Web of Science"/>
    <m/>
  </r>
  <r>
    <x v="627"/>
    <s v="J"/>
    <x v="617"/>
    <s v=""/>
    <s v=""/>
    <s v=""/>
    <s v="Blikstad-Balas, Marte; Hvistendahl, Rita"/>
    <s v=""/>
    <s v=""/>
    <x v="625"/>
    <x v="457"/>
    <s v=""/>
    <s v=""/>
    <s v="English"/>
    <s v="Article"/>
    <s v=""/>
    <s v=""/>
    <s v=""/>
    <s v=""/>
    <s v=""/>
    <x v="562"/>
    <x v="430"/>
    <s v="When the classroom is connected to the Internet, the number of possible sources of information is almost infinite. Nevertheless, students tend to systematically favor the online encyclopedia Wikipedia as a source for knowledge. The present study combines quantitative and qualitative data to investigate the role Wikipedia plays in the literacy practices of students working on school tasks. It also discusses how different tasks lead to different strategies."/>
    <s v="[Blikstad-Balas, Marte; Hvistendahl, Rita] Univ Oslo, Dept Educ &amp; Sch Res, Fac Educ Sci, Oslo, Norway"/>
    <s v="University of Oslo"/>
    <s v="Blikstad-Balas, M (corresponding author), Univ Oslo, Dept Educ &amp; Sch Res, Fac Educ Sci, Oslo, Norway."/>
    <s v="marte.blikstad-balas@ils.uio.no; r.e.hvistendahl@ils.uio.no"/>
    <s v=""/>
    <s v=""/>
    <s v=""/>
    <s v=""/>
    <s v=""/>
    <s v=""/>
    <n v="46"/>
    <n v="13"/>
    <n v="13"/>
    <n v="0"/>
    <n v="0"/>
    <s v="UNIVERSITETSFORLAGET AS"/>
    <s v="OSLO"/>
    <s v="SEHESTEDS GATE 3, PO BOX 508, OSLO, 0105, NORWAY"/>
    <s v="0809-6724"/>
    <s v="1891-943X"/>
    <s v=""/>
    <s v="NORD J DIGIT LIT"/>
    <s v="Nord. J. Digit. Lit."/>
    <s v=""/>
    <x v="10"/>
    <n v="8"/>
    <s v="1-2"/>
    <s v=""/>
    <s v=""/>
    <s v=""/>
    <s v=""/>
    <n v="32"/>
    <n v="48"/>
    <s v=""/>
    <s v=""/>
    <s v=""/>
    <s v=""/>
    <s v=""/>
    <n v="17"/>
    <x v="39"/>
    <x v="2"/>
    <s v="Education &amp; Educational Research"/>
    <s v="VD1IA"/>
    <s v=""/>
    <s v=""/>
    <s v=""/>
    <s v=""/>
    <s v="2023-11-15"/>
    <s v="WOS:000436010000003"/>
    <s v="View Full Record in Web of Science"/>
    <m/>
  </r>
  <r>
    <x v="628"/>
    <s v="S"/>
    <x v="618"/>
    <s v=""/>
    <s v="Ortlieb, E; Cheek, EH"/>
    <s v=""/>
    <s v="Dalton, Bridget; Jocius, Robin"/>
    <s v=""/>
    <s v=""/>
    <x v="626"/>
    <x v="458"/>
    <s v="Literacy Research Practice and Evaluation"/>
    <s v=""/>
    <s v="English"/>
    <s v="Article; Book Chapter"/>
    <s v=""/>
    <s v=""/>
    <s v=""/>
    <s v=""/>
    <s v=""/>
    <x v="563"/>
    <x v="431"/>
    <s v="Purpose - To introduce classroom teachers to an integrated digital literacies perspective and provide a range of strategies and tools to support struggling readers in becoming successful digital readers and multimodal composers. Design/methodology/approach - The chapter begins with the rationale for integrating technology to support struggling readers' achievement, explains universal design for learning principles, and then offers specific strategies, digital tools, and media for reading and composing. Findings - Provides research support for the use of technology to provide students' access to grade-level text, enhance comprehension, improve writing, and develop multimodal composition skills. Research limitations/implications - The authors do not address all areas of technology and literacy integration. Instead, they focus on key priority areas for using technology to develop struggling readers' literacy. Practical implications - The chapter provides theoretical and research-based strategies and digital resources for using technology to improve struggling readers' comprehension and composition that should be helpful to classroom teachers. Originality/value of chapter - Teachers need support in integrating technology and literacy in ways that will make a meaningful difference for their struggling readers' achievement and engagement."/>
    <s v="[Dalton, Bridget] Univ Colorado Boulder, Sch Educ, Literacy Studies, Boulder, CO 80309 USA; [Jocius, Robin] Vanderbilt Univ, Peabody Coll Educ, Dept Teaching &amp; Learning, Nashville, TN 37235 USA"/>
    <s v="University of Colorado System; University of Colorado Boulder; Vanderbilt University; Vanderbilt University Peabody College"/>
    <s v="Dalton, B (corresponding author), Univ Colorado Boulder, Sch Educ, Literacy Studies, Boulder, CO 80309 USA."/>
    <s v=""/>
    <s v=""/>
    <s v=""/>
    <s v=""/>
    <s v=""/>
    <s v=""/>
    <s v=""/>
    <n v="47"/>
    <n v="7"/>
    <n v="8"/>
    <n v="2"/>
    <n v="5"/>
    <s v="EMERALD GROUP PUBLISHING LTD"/>
    <s v="BINGLEY"/>
    <s v="HOWARD HOUSE, WAGON LANE, BINGLEY, W YORKSHIRE BD16 1WA, ENGLAND"/>
    <s v="2048-0458"/>
    <s v=""/>
    <s v="978-1-78190-697-2; 978-1-78190-696-5"/>
    <s v="LIT RES PRACT EVAL"/>
    <s v=""/>
    <s v=""/>
    <x v="10"/>
    <n v="3"/>
    <s v=""/>
    <s v=""/>
    <s v=""/>
    <s v=""/>
    <s v=""/>
    <n v="79"/>
    <n v="97"/>
    <s v=""/>
    <s v="10.1108/S2048-0458(2013)0000003008"/>
    <s v="http://dx.doi.org/10.1108/S2048-0458(2013)0000003008"/>
    <s v="10.1108/S2048-0458(2013)3"/>
    <s v=""/>
    <n v="19"/>
    <x v="181"/>
    <x v="7"/>
    <s v="Education &amp; Educational Research"/>
    <s v="BE5JW"/>
    <s v=""/>
    <s v=""/>
    <s v=""/>
    <s v=""/>
    <s v="2023-11-15"/>
    <s v="WOS:000372917200006"/>
    <s v="View Full Record in Web of Science"/>
    <m/>
  </r>
  <r>
    <x v="629"/>
    <s v="J"/>
    <x v="619"/>
    <s v=""/>
    <s v=""/>
    <s v=""/>
    <s v="McCombs, Gillian M."/>
    <s v=""/>
    <s v=""/>
    <x v="627"/>
    <x v="459"/>
    <s v=""/>
    <s v=""/>
    <s v="English"/>
    <s v="Article"/>
    <s v=""/>
    <s v=""/>
    <s v=""/>
    <s v=""/>
    <s v=""/>
    <x v="564"/>
    <x v="1"/>
    <s v="Purpose - The purpose of this paper is to document the use of digital strategies in managing print collections more efficiently in a small research institution. Design/methodology/approach - This is a case study which documents a four prong strategy that was used to manage collections as diverse as nineteenth century photographs, early twentieth century regional art, faculty conference papers, church history and student engaged learning initiatives. Findings - It takes several years to build critical mass. Patience, partnerships and creativity are essential. Timing is often crucial. Changing the culture is necessary. A university mandate is required. Originality/value - Sharing best practices is crucial in our profession. Although each institution is unique, we all have things we can learn from each other and tweak or adapt to our own environment. The important lessons here are in breaking down the digital projects into samplers and engaging users, donors and collectors to promote and support the work."/>
    <s v="[McCombs, Gillian M.] Southern Methodist Univ, Cent Univ Libraries, Dallas, TX 75205 USA"/>
    <s v="Southern Methodist University"/>
    <s v="McCombs, GM (corresponding author), Southern Methodist Univ, Cent Univ Libraries, Dallas, TX 75205 USA."/>
    <s v="gmccombs@smu.edu"/>
    <s v=""/>
    <s v=""/>
    <s v=""/>
    <s v=""/>
    <s v=""/>
    <s v=""/>
    <n v="12"/>
    <n v="0"/>
    <n v="1"/>
    <n v="0"/>
    <n v="1"/>
    <s v="EMERALD GROUP PUBLISHING LTD"/>
    <s v="BINGLEY"/>
    <s v="HOWARD HOUSE, WAGON LANE, BINGLEY BD16 1WA, W YORKSHIRE, ENGLAND"/>
    <s v="0143-5124"/>
    <s v="1758-7921"/>
    <s v=""/>
    <s v="LIBR MANAGE"/>
    <s v="Libr. Manage."/>
    <s v=""/>
    <x v="10"/>
    <n v="34"/>
    <s v="4-5"/>
    <s v=""/>
    <s v=""/>
    <s v="SI"/>
    <s v=""/>
    <n v="290"/>
    <n v="298"/>
    <s v=""/>
    <s v="10.1108/01435121311328636"/>
    <s v="http://dx.doi.org/10.1108/01435121311328636"/>
    <s v=""/>
    <s v=""/>
    <n v="9"/>
    <x v="66"/>
    <x v="2"/>
    <s v="Information Science &amp; Library Science"/>
    <s v="V94OL"/>
    <s v=""/>
    <s v=""/>
    <s v=""/>
    <s v=""/>
    <s v="2023-11-15"/>
    <s v="WOS:000213138200003"/>
    <s v="View Full Record in Web of Science"/>
    <m/>
  </r>
  <r>
    <x v="630"/>
    <s v="B"/>
    <x v="620"/>
    <s v="GilGarcia, JR"/>
    <s v=""/>
    <s v=""/>
    <s v="Premat, Christophe"/>
    <s v="GilGarcia, JR"/>
    <s v=""/>
    <x v="628"/>
    <x v="460"/>
    <s v=""/>
    <s v=""/>
    <s v="English"/>
    <s v="Article; Book Chapter"/>
    <s v=""/>
    <s v=""/>
    <s v=""/>
    <s v=""/>
    <s v=""/>
    <x v="8"/>
    <x v="432"/>
    <s v="The chapter updates a former study on digital communication at local level in France in 2006. The goal is to analyse the explanatory factors which influence the digital communication of municipalities on participatory democracy. Why are there municipalities which communicate more on these resources than others? It is important to compare the situation of these municipalities in 2006 and in 2012 because there was a power shift after the last municipal election in 2008. The focus will be on municipalities of more than 30.000 inhabitants as they have the possible resources to support a digital strategy. A quantitative method was used to select the variables which affect the communication on participatory tools. In other words, the article deals with the way politicians promote citizen engagement at local level through updated websites."/>
    <s v="[Premat, Christophe] Sci Po Bordeaux, Ctr Emile Durkheim, Bordeaux, France; [Premat, Christophe] Inst Francais Sweden, Stockholm, Sweden"/>
    <s v="Centre National de la Recherche Scientifique (CNRS)"/>
    <s v="Premat, C (corresponding author), Sci Po Bordeaux, Ctr Emile Durkheim, Bordeaux, France."/>
    <s v=""/>
    <s v="Premat, Christophe/I-2355-2018"/>
    <s v="Premat, Christophe/0000-0001-6107-735X"/>
    <s v=""/>
    <s v=""/>
    <s v=""/>
    <s v=""/>
    <n v="112"/>
    <n v="1"/>
    <n v="1"/>
    <n v="1"/>
    <n v="2"/>
    <s v="IGI GLOBAL"/>
    <s v="HERSEY"/>
    <s v="701 E CHOCOLATE AVE, STE 200, HERSEY, PA 17033-1240 USA"/>
    <s v=""/>
    <s v=""/>
    <s v="978-1-4666-4174-7; 978-1-4666-4173-0"/>
    <s v=""/>
    <s v=""/>
    <s v=""/>
    <x v="10"/>
    <s v=""/>
    <s v=""/>
    <s v=""/>
    <s v=""/>
    <s v=""/>
    <s v=""/>
    <n v="321"/>
    <n v="340"/>
    <s v=""/>
    <s v="10.4018/978-1-4666-4173-0.ch016"/>
    <s v="http://dx.doi.org/10.4018/978-1-4666-4173-0.ch016"/>
    <s v="10.4018/978-1-4666-4173-0"/>
    <s v=""/>
    <n v="20"/>
    <x v="182"/>
    <x v="9"/>
    <s v="Computer Science; Public Administration"/>
    <s v="BH2BS"/>
    <s v=""/>
    <s v=""/>
    <s v=""/>
    <s v=""/>
    <s v="2023-11-15"/>
    <s v="WOS:000398771300018"/>
    <s v="View Full Record in Web of Science"/>
    <m/>
  </r>
  <r>
    <x v="631"/>
    <s v="J"/>
    <x v="621"/>
    <s v=""/>
    <s v=""/>
    <s v=""/>
    <s v="Tsai, Zhi-Ren"/>
    <s v=""/>
    <s v=""/>
    <x v="629"/>
    <x v="134"/>
    <s v=""/>
    <s v=""/>
    <s v="English"/>
    <s v="Article"/>
    <s v=""/>
    <s v=""/>
    <s v=""/>
    <s v=""/>
    <s v=""/>
    <x v="8"/>
    <x v="433"/>
    <s v="A tracking problem, time-delay, uncertainty and stability analysis of a predictive control system are considered. The predictive control design is based on the input and output of neural plant model (NPM), and a recursive fuzzy predictive tracker has scaling factors which limit the value zone of measured data and cause the tuned parameters to converge to obtain a robust control performance. To improve the further control performance, the proposed random-local-optimization design (RLO) for a model/controller uses offline initialization to obtain a near global optimal model/ controller. Other issues are the considerations of modeling error, input-delay, sampling distortion, cost, greater flexibility, and highly reliable digital products of the model-based controller for the continuous-time (CT) nonlinear system. They are solved by a recommended two-stage control design with the first-stage (offline) RLO and second-stage (online) adaptive steps. A theorizing method is then put forward to replace the sensitivity calculation, which reduces the calculation of Jacobin matrices of the back-propagation (BP) method. Finally, the feedforward input of reference signals helps the digital fuzzy controller improve the control performance, and the technique works to control the CT systems precisely."/>
    <s v="Asia Univ, Dept Comp Sci &amp; Informat Engn, Taichung 41354, Taiwan"/>
    <s v="Asia University Taiwan"/>
    <s v="Tsai, ZR (corresponding author), Asia Univ, Dept Comp Sci &amp; Informat Engn, Taichung 41354, Taiwan."/>
    <s v="ren@asia.edu.tw"/>
    <s v=""/>
    <s v=""/>
    <s v="National Science Council; Asia University [NSC-97-2218-E-468-009, NSC-98-2221-E-468-022, NSC-99-2628-E-468-023, NSC-100-2628-E-468-001, NSC-101-2221-E-468-024, 98-ASIA-02, 100-asia-35, 101-asia-29]"/>
    <s v="National Science Council(Ministry of Science and Technology, Taiwan); Asia University"/>
    <s v="The author would like to thank the National Science Council and Asia University for the support under Contracts nos. NSC-97-2218-E-468-009, NSC-98-2221-E-468-022, NSC-99-2628-E-468-023, NSC-100-2628-E-468-001, NSC-101-2221-E-468-024, 98-ASIA-02, 100-asia-35, and 101-asia-29."/>
    <s v=""/>
    <n v="29"/>
    <n v="1"/>
    <n v="1"/>
    <n v="0"/>
    <n v="8"/>
    <s v="HINDAWI LTD"/>
    <s v="LONDON"/>
    <s v="ADAM HOUSE, 3RD FLR, 1 FITZROY SQ, LONDON, W1T 5HF, ENGLAND"/>
    <s v="1024-123X"/>
    <s v="1563-5147"/>
    <s v=""/>
    <s v="MATH PROBL ENG"/>
    <s v="Math. Probl. Eng."/>
    <s v=""/>
    <x v="10"/>
    <n v="2013"/>
    <s v=""/>
    <s v=""/>
    <s v=""/>
    <s v=""/>
    <s v=""/>
    <s v=""/>
    <s v=""/>
    <n v="836414"/>
    <s v="10.1155/2013/836414"/>
    <s v="http://dx.doi.org/10.1155/2013/836414"/>
    <s v=""/>
    <s v=""/>
    <n v="12"/>
    <x v="76"/>
    <x v="0"/>
    <s v="Engineering; Mathematics"/>
    <s v="141XW"/>
    <s v=""/>
    <s v="gold, Green Submitted"/>
    <s v=""/>
    <s v=""/>
    <s v="2023-11-15"/>
    <s v="WOS:000318760900001"/>
    <s v="View Full Record in Web of Science"/>
    <m/>
  </r>
  <r>
    <x v="632"/>
    <s v="J"/>
    <x v="622"/>
    <s v=""/>
    <s v=""/>
    <s v=""/>
    <s v="Attwooll, David"/>
    <s v=""/>
    <s v=""/>
    <x v="630"/>
    <x v="401"/>
    <s v=""/>
    <s v=""/>
    <s v="English"/>
    <s v="Article"/>
    <s v=""/>
    <s v=""/>
    <s v=""/>
    <s v=""/>
    <s v=""/>
    <x v="8"/>
    <x v="1"/>
    <s v=""/>
    <s v=""/>
    <s v=""/>
    <s v=""/>
    <s v="david@attwoollassociates.com"/>
    <s v=""/>
    <s v=""/>
    <s v=""/>
    <s v=""/>
    <s v=""/>
    <s v=""/>
    <n v="0"/>
    <n v="0"/>
    <n v="0"/>
    <n v="0"/>
    <n v="1"/>
    <s v="BRILL ACADEMIC PUBLISHERS"/>
    <s v="LEIDEN"/>
    <s v="PLANTIJNSTRAAT 2, P O BOX 9000, 2300 PA LEIDEN, NETHERLANDS"/>
    <s v="0957-9656"/>
    <s v="1878-4712"/>
    <s v=""/>
    <s v="LOGOS J WORLD PUBL C"/>
    <s v="Logos-J. World Publ. Community"/>
    <s v=""/>
    <x v="11"/>
    <n v="23"/>
    <n v="1"/>
    <s v=""/>
    <s v=""/>
    <s v=""/>
    <s v=""/>
    <n v="13"/>
    <n v="15"/>
    <s v=""/>
    <s v="10.1163/095796512X640367"/>
    <s v="http://dx.doi.org/10.1163/095796512X640367"/>
    <s v=""/>
    <s v=""/>
    <n v="3"/>
    <x v="55"/>
    <x v="2"/>
    <s v="Arts &amp; Humanities - Other Topics"/>
    <s v="V2S7Q"/>
    <s v=""/>
    <s v=""/>
    <s v=""/>
    <s v=""/>
    <s v="2023-11-15"/>
    <s v="WOS:000217877300003"/>
    <s v="View Full Record in Web of Science"/>
    <m/>
  </r>
  <r>
    <x v="633"/>
    <s v="B"/>
    <x v="623"/>
    <s v=""/>
    <s v=""/>
    <s v="Informat Resources Management Assoc"/>
    <s v="de Kervenoael, Ronan; Palmer, Mark; Cakici, N. Meltem"/>
    <s v=""/>
    <s v=""/>
    <x v="631"/>
    <x v="461"/>
    <s v=""/>
    <s v=""/>
    <s v="English"/>
    <s v="Article; Book Chapter"/>
    <s v=""/>
    <s v=""/>
    <s v=""/>
    <s v=""/>
    <s v=""/>
    <x v="8"/>
    <x v="434"/>
    <s v="The concept of mobility, related to technology in particular, has evolved dramatically over the last two decades including: (i) hardware ranging from walkmans to Ipods, laptops to netbooks, PDAs to 3G mobile phone; (ii) software supporting multiple audio and video formats driven by ubiquitous mobile wireless access, WiMax, automations such as radio frequency ID tracking and location aware services. Against the background of increasing budget deficit, along with the imperative for efficiency gains, leveraging ICT and mobility promises for work related tasks, in a public administration context, in emerging markets, point to multiple possible paths. M-government transition involve both technological changes and adoption to deliver government services differently (e.g. 24/7, error free, anywhere to the same standards) but also the design of digital strategies including possibly competing m-government models, the re-shaping of cultural practices, the creation of m-policies and legislations, the structuring of m-services architecture, and progress regarding m-governance. While many emerging countries are already offering e-government services and are gearing-up for further m-government activities, little is actually known about the resistance that is encountered, as a reflection of civil servants' current standing, before any further macro-strategies are deployed. Drawing on the resistance and mobility literature, this chapter investigates how civil servants' behaviors, in an emerging country technological environment, through their everyday practice, react and resist the influence of m-government transition. The findings points to four main type of resistance namely: i) functional resistance; ii) ideological resistance; iii) market driven resistance and iv) geographical resistance. Policy implication are discussed in the specific context of emerging markets."/>
    <s v="[de Kervenoael, Ronan] Sabanci Univ, Istanbul, Turkey; [de Kervenoael, Ronan; Palmer, Mark] Aston Univ, Birmingham, W Midlands, England; [Cakici, N. Meltem] Gediz Univ, Izmir, Turkey"/>
    <s v="Sabanci University; Aston University; Gediz University"/>
    <s v="de Kervenoael, R (corresponding author), Sabanci Univ, Istanbul, Turkey."/>
    <s v=""/>
    <s v="Cakici, Meltem/N-8094-2016; De Kervenoael, Ronan/H-7009-2019"/>
    <s v="Cakici, Meltem/0000-0003-2009-0309;"/>
    <s v=""/>
    <s v=""/>
    <s v=""/>
    <s v=""/>
    <n v="113"/>
    <n v="0"/>
    <n v="0"/>
    <n v="0"/>
    <n v="3"/>
    <s v="IGI GLOBAL"/>
    <s v="HERSEY"/>
    <s v="701 E CHOCOLATE AVE, STE 200, HERSEY, PA 17033-1240 USA"/>
    <s v=""/>
    <s v=""/>
    <s v="978-1-4666-1741-4; 978-1-4666-1740-7"/>
    <s v=""/>
    <s v=""/>
    <s v=""/>
    <x v="11"/>
    <s v=""/>
    <s v=""/>
    <s v=""/>
    <s v=""/>
    <s v=""/>
    <s v=""/>
    <n v="1554"/>
    <n v="1579"/>
    <s v=""/>
    <s v="10.4018/978-1-4666-1740-7.ch077"/>
    <s v="http://dx.doi.org/10.4018/978-1-4666-1740-7.ch077"/>
    <s v="10.4018/978-1-4666-1740-7"/>
    <s v=""/>
    <n v="26"/>
    <x v="183"/>
    <x v="9"/>
    <s v="Computer Science; Information Science &amp; Library Science"/>
    <s v="BJ8FW"/>
    <s v=""/>
    <s v=""/>
    <s v=""/>
    <s v=""/>
    <s v="2023-11-15"/>
    <s v="WOS:000428175800079"/>
    <s v="View Full Record in Web of Science"/>
    <m/>
  </r>
  <r>
    <x v="634"/>
    <s v="J"/>
    <x v="624"/>
    <s v=""/>
    <s v=""/>
    <s v=""/>
    <s v="Hall, Frania"/>
    <s v=""/>
    <s v=""/>
    <x v="632"/>
    <x v="401"/>
    <s v=""/>
    <s v=""/>
    <s v="English"/>
    <s v="Article"/>
    <s v=""/>
    <s v=""/>
    <s v=""/>
    <s v=""/>
    <s v=""/>
    <x v="565"/>
    <x v="1"/>
    <s v="This paper explores the ways to equip students of publishing with the skills necessary to enter an industry facing unprecedented change. Digital strategies and business models are evolving rapidly within the book industry. Publishers need to recruit for the digital environment and can find it difficult to identify employees with the sort of skills they need. A short study was undertaken to explore the importance of teaching publishers in training about the skills required to design effective digital strategies in an environment that is always changing. Developing a simulation approach in this case allowed students to experience decision making, problem solving, and creative thinking, enabling them to be ready to adapt as the industry moves forward, and preparing them to be the publishers of the future."/>
    <s v="[Hall, Frania] Univ Arts London, London Coll Commun, London, England"/>
    <s v="University of Arts London"/>
    <s v="Hall, F (corresponding author), Univ Arts London, London Coll Commun, London, England."/>
    <s v="f.hall@lcc.arts.ac.uk"/>
    <s v=""/>
    <s v=""/>
    <s v=""/>
    <s v=""/>
    <s v=""/>
    <s v=""/>
    <n v="11"/>
    <n v="0"/>
    <n v="0"/>
    <n v="0"/>
    <n v="0"/>
    <s v="BRILL"/>
    <s v="LEIDEN"/>
    <s v="PLANTIJNSTRAAT 2, P O BOX 9000, 2300 PA LEIDEN, NETHERLANDS"/>
    <s v="0957-9656"/>
    <s v="1878-4712"/>
    <s v=""/>
    <s v="LOGOS J WORLD PUBL C"/>
    <s v="Logos-J. World Publ. Community"/>
    <s v=""/>
    <x v="11"/>
    <n v="23"/>
    <n v="3"/>
    <s v=""/>
    <s v=""/>
    <s v=""/>
    <s v=""/>
    <n v="48"/>
    <n v="55"/>
    <s v=""/>
    <s v="10.1163/1878-4712-11111123"/>
    <s v="http://dx.doi.org/10.1163/1878-4712-11111123"/>
    <s v=""/>
    <s v=""/>
    <n v="8"/>
    <x v="55"/>
    <x v="2"/>
    <s v="Arts &amp; Humanities - Other Topics"/>
    <s v="V2S8J"/>
    <s v=""/>
    <s v=""/>
    <s v=""/>
    <s v=""/>
    <s v="2023-11-15"/>
    <s v="WOS:000217879200006"/>
    <s v="View Full Record in Web of Science"/>
    <m/>
  </r>
  <r>
    <x v="635"/>
    <s v="J"/>
    <x v="625"/>
    <s v=""/>
    <s v=""/>
    <s v=""/>
    <s v="Kohli, Rajiv; Johnson, Shawn"/>
    <s v=""/>
    <s v=""/>
    <x v="633"/>
    <x v="361"/>
    <s v=""/>
    <s v=""/>
    <s v="English"/>
    <s v="Article"/>
    <s v=""/>
    <s v=""/>
    <s v=""/>
    <s v=""/>
    <s v=""/>
    <x v="8"/>
    <x v="1"/>
    <s v="Unlike digitally savvy banking and retail industries, oil and natural gas businesses are latecomers to digitization. With large capital investments in complex industrial operations, firms in latecomer industries are seeking ways to cut costs and become responsive to market demands. Executives in oil and natural gas companies are facing unprecedented pressure to cut costs due to market turbulence and need advice on how to undertake digitization; organizational changes needed; who should lead the digitization effort; and the role of the chief information officer (CIO) in executing a digital strategy. We address these issues by drawing on the experience of Encana Oil &amp; Gas (USA) Inc. High fixed costs and declining gas prices required Encana to synchronize production with volatile demand for natural gas. To gain supply chain visibility, Encana's CIO and business leaders jointly targeted operational processes to embed digital technologies to capture, integrate and deliver information, established new Information Systems (IS) governance policies and redesigned the IS organizational structure. Together, these actions strengthened Encana's agility to respond to price and demand volatility. In doing so, Encana has become a frontrunner in a latecomer industry."/>
    <s v="[Kohli, Rajiv] Coll William &amp; Mary, Williamsburg, VA 23187 USA"/>
    <s v="William &amp; Mary"/>
    <s v="Kohli, R (corresponding author), Coll William &amp; Mary, Williamsburg, VA 23187 USA."/>
    <s v="rajiv.kohli@mason.wm.edu; shawn.johnson@encana.com"/>
    <s v=""/>
    <s v=""/>
    <s v=""/>
    <s v=""/>
    <s v=""/>
    <s v=""/>
    <n v="15"/>
    <n v="66"/>
    <n v="66"/>
    <n v="9"/>
    <n v="195"/>
    <s v="INDIANA UNIV, OPER &amp; DECISION TECHNOL DEPT"/>
    <s v="BLOOMINGTON"/>
    <s v="KELLEY SCH BUS, E 10 ST, BLOOMINGTON, IN 47405-1701 USA"/>
    <s v="1540-1960"/>
    <s v=""/>
    <s v=""/>
    <s v="MIS Q EXEC"/>
    <s v="MIS Q. Exec."/>
    <s v="DEC"/>
    <x v="12"/>
    <n v="10"/>
    <n v="4"/>
    <s v=""/>
    <s v=""/>
    <s v=""/>
    <s v=""/>
    <n v="141"/>
    <n v="156"/>
    <s v=""/>
    <s v=""/>
    <s v=""/>
    <s v=""/>
    <s v=""/>
    <n v="16"/>
    <x v="75"/>
    <x v="1"/>
    <s v="Information Science &amp; Library Science; Business &amp; Economics"/>
    <s v="863LN"/>
    <s v=""/>
    <s v=""/>
    <s v=""/>
    <s v=""/>
    <s v="2023-11-15"/>
    <s v="WOS:000298165600001"/>
    <s v="View Full Record in Web of Science"/>
    <m/>
  </r>
  <r>
    <x v="636"/>
    <s v="J"/>
    <x v="626"/>
    <s v=""/>
    <s v=""/>
    <s v=""/>
    <s v="Pitieiro-Oterol, Teresa"/>
    <s v=""/>
    <s v=""/>
    <x v="634"/>
    <x v="258"/>
    <s v=""/>
    <s v=""/>
    <s v="Spanish"/>
    <s v="Article"/>
    <s v=""/>
    <s v=""/>
    <s v=""/>
    <s v=""/>
    <s v=""/>
    <x v="566"/>
    <x v="1"/>
    <s v="IT penetration in society has developed new communication and information distribution forms. It has generated important changes in several day by day aspects like social interactions or learning. Particularly important has been the incorporation of web 2.0 tools in High Education methodologies. An incorporation that has allowed answering new demands to Network Society. The educational use of Web 2.0 favours digital competences development. These competences presents a particular dimension in High Education context, involved in European convergence process. Present work focus on the development of a viral communication initiative carried out in Audiovisual Advertising subject. An initiative based in web 2.0 possibilities and digital natives skills for developing and autonomous learning."/>
    <s v="[Pitieiro-Oterol, Teresa] Univ A Coruna, La Coruna, Spain"/>
    <s v="Universidade da Coruna"/>
    <s v="Pitieiro-Oterol, T (corresponding author), Univ A Coruna, La Coruna, Spain."/>
    <s v="teresa.pineiro@udc.es"/>
    <s v=""/>
    <s v=""/>
    <s v=""/>
    <s v=""/>
    <s v=""/>
    <s v=""/>
    <n v="24"/>
    <n v="0"/>
    <n v="0"/>
    <n v="0"/>
    <n v="0"/>
    <s v="UNIV COMPLUTENSE MADRID, SERVICIO PUBLICACIONES"/>
    <s v="MADRID"/>
    <s v="CIUDAD UNIV, OBISPO TREJO 3, MADRID, 28040, SPAIN"/>
    <s v="1575-2844"/>
    <s v=""/>
    <s v=""/>
    <s v="VIVAT ACAD"/>
    <s v="Vivat Acad."/>
    <s v="DEC"/>
    <x v="12"/>
    <s v=""/>
    <n v="117"/>
    <s v=""/>
    <s v=""/>
    <s v=""/>
    <s v=""/>
    <n v="327"/>
    <n v="336"/>
    <s v=""/>
    <s v="10.15178/va.2011.117E.327-336"/>
    <s v="http://dx.doi.org/10.15178/va.2011.117E.327-336"/>
    <s v=""/>
    <s v=""/>
    <n v="10"/>
    <x v="56"/>
    <x v="2"/>
    <s v="Communication"/>
    <s v="V30EJ"/>
    <s v=""/>
    <s v="Green Submitted, gold"/>
    <s v=""/>
    <s v=""/>
    <s v="2023-11-15"/>
    <s v="WOS:000215545600021"/>
    <s v="View Full Record in Web of Science"/>
    <m/>
  </r>
  <r>
    <x v="637"/>
    <s v="J"/>
    <x v="627"/>
    <s v=""/>
    <s v=""/>
    <s v=""/>
    <s v="Piskorski, Mikolaj Jan"/>
    <s v=""/>
    <s v=""/>
    <x v="635"/>
    <x v="292"/>
    <s v=""/>
    <s v=""/>
    <s v="English"/>
    <s v="Article"/>
    <s v=""/>
    <s v=""/>
    <s v=""/>
    <s v=""/>
    <s v=""/>
    <x v="8"/>
    <x v="1"/>
    <s v="Although most companies have collected lots of friends and followers on social platforms such as Facebook, few have succeeded in generating profits there. That's because they merely port their digital strategies into social environments by broadcasting their commercial messages or seeking customer feedback. To succeed on social platforms, says Harvard Business School's Piskorski, businesses need to devise social strategies that are consistent with users' expectations and behavior in these venues namely, people want to connect with other people, not with companies. The author defines successful social strategies as those that reduce costs or increase customers' willingness to pay by helping people establish or strengthen relationships through doing free work on a company's behalf. Citing successes at Zynga, eBay, American Express, and Yelp, Piskorski shows that social strategies can generate profits by helping people connect in exchange for tasks that benefit the company such as customer acquisition, marketing, and content creation. He lays out a systematic way to build a social strategy and shows how a major credit card company he advised used the method to roll out its own strategy."/>
    <s v="Harvard Univ, Sch Business, Strategy Unit, Cambridge, MA 02138 USA"/>
    <s v="Harvard University"/>
    <s v="Piskorski, MJ (corresponding author), Harvard Univ, Sch Business, Strategy Unit, Cambridge, MA 02138 USA."/>
    <s v=""/>
    <s v=""/>
    <s v="Bernard, Jean-Luc/0009-0001-4768-7108"/>
    <s v=""/>
    <s v=""/>
    <s v=""/>
    <s v=""/>
    <n v="0"/>
    <n v="55"/>
    <n v="58"/>
    <n v="0"/>
    <n v="48"/>
    <s v="HARVARD BUSINESS SCHOOL PUBLISHING CORPORATION"/>
    <s v="WATERTOWN"/>
    <s v="300 NORTH BEACON STREET, WATERTOWN, MA 02472 USA"/>
    <s v="0017-8012"/>
    <s v=""/>
    <s v=""/>
    <s v="HARVARD BUS REV"/>
    <s v="Harv. Bus. Rev."/>
    <s v="NOV"/>
    <x v="12"/>
    <n v="89"/>
    <n v="11"/>
    <s v=""/>
    <s v=""/>
    <s v=""/>
    <s v=""/>
    <n v="116"/>
    <s v="+"/>
    <s v=""/>
    <s v=""/>
    <s v=""/>
    <s v=""/>
    <s v=""/>
    <n v="8"/>
    <x v="6"/>
    <x v="1"/>
    <s v="Business &amp; Economics"/>
    <s v="838OT"/>
    <n v="22111430"/>
    <s v=""/>
    <s v=""/>
    <s v=""/>
    <s v="2023-11-15"/>
    <s v="WOS:000296302800031"/>
    <s v="View Full Record in Web of Science"/>
    <m/>
  </r>
  <r>
    <x v="638"/>
    <s v="J"/>
    <x v="628"/>
    <s v=""/>
    <s v=""/>
    <s v=""/>
    <s v="Okada, Sionara Ioco"/>
    <s v=""/>
    <s v=""/>
    <x v="636"/>
    <x v="462"/>
    <s v=""/>
    <s v=""/>
    <s v="Portuguese"/>
    <s v="Article"/>
    <s v=""/>
    <s v=""/>
    <s v=""/>
    <s v=""/>
    <s v=""/>
    <x v="567"/>
    <x v="1"/>
    <s v="The measurement and continuous monitoring of market actions lead to knowledge of consumer behavior, not only on variables such as frequency, recency and value for money, but also engagement in questions and interaction with the product and / or trademark. The development of metrics for different media increases the amount of useful information on the consumption profile enabling the optimization of digital strategies to targeted audiences. This article is an update that aims to review the latest publications on models of metrics - web analytics- WA Consistent digital strategy and emerging media platforms. Regarding the methodology used, it is a secondary research, especially literature aiming to update and comparative analysis of three models web analytics- wa for organizations that operate in electronic retailing, using different digital channels. The study focuses on: i) Model of Five Stages of competition analysis, proposed by Davenport ii) Model maturity in web analytics, proposed by Hammel iii) Model Web analyticsScorecard proposed by Giuntini &amp; Morier. The expansion of M-commerce and the advent of Social Commerce assumed as irreversible trends, requiring organizations that operate in electronic retailing, metrics and performance indicators for continuous monitoring of consumer behavior in order to strengthen the interaction and metrics engagement as the main protagonists of contemporary digital strategies."/>
    <s v="[Okada, Sionara Ioco] Univ Fed Goias, Agronegocio, Goiania, Go, Brazil; [Okada, Sionara Ioco] Univ Fed Goias, Goiania, Go, Brazil"/>
    <s v="Universidade Federal de Goias; Universidade Federal de Goias"/>
    <s v="Okada, SI (corresponding author), Univ Fed Goias, Agronegocio, Goiania, Go, Brazil."/>
    <s v="sionara14@hotmail.com"/>
    <s v=""/>
    <s v=""/>
    <s v=""/>
    <s v=""/>
    <s v=""/>
    <s v=""/>
    <n v="23"/>
    <n v="0"/>
    <n v="0"/>
    <n v="0"/>
    <n v="1"/>
    <s v="UNIV NOVE JULHO"/>
    <s v="SAO PAULO"/>
    <s v="AV FRANCISCO MATARAZZO 612, AGUA BRANCA, SAO PAULO, C05001-100, BRAZIL"/>
    <s v="2177-5184"/>
    <s v=""/>
    <s v=""/>
    <s v="REV BRASIL MARK"/>
    <s v="Rev. Brasil. Mark."/>
    <s v="SEP-DEC"/>
    <x v="12"/>
    <n v="10"/>
    <n v="3"/>
    <s v=""/>
    <s v=""/>
    <s v=""/>
    <s v=""/>
    <n v="107"/>
    <n v="126"/>
    <s v=""/>
    <s v=""/>
    <s v=""/>
    <s v=""/>
    <s v=""/>
    <n v="20"/>
    <x v="33"/>
    <x v="2"/>
    <s v="Business &amp; Economics"/>
    <s v="V5P9A"/>
    <s v=""/>
    <s v=""/>
    <s v=""/>
    <s v=""/>
    <s v="2023-11-15"/>
    <s v="WOS:000219830900007"/>
    <s v="View Full Record in Web of Science"/>
    <m/>
  </r>
  <r>
    <x v="639"/>
    <s v="J"/>
    <x v="629"/>
    <s v=""/>
    <s v=""/>
    <s v=""/>
    <s v="Stiakakis, Emmanouil; Georgiadis, Christos K."/>
    <s v=""/>
    <s v=""/>
    <x v="637"/>
    <x v="463"/>
    <s v=""/>
    <s v=""/>
    <s v="English"/>
    <s v="Article"/>
    <s v=""/>
    <s v=""/>
    <s v=""/>
    <s v=""/>
    <s v=""/>
    <x v="568"/>
    <x v="1"/>
    <s v="The possible interactions among tourism organizations, their customers and other organizations are considered in this article. Based on these interactions, three drivers of an integrated e-business strategy in the tourism sector are suggested: (1) customizing tourist products, personalizing services and supporting mobile services, (2) sharing tourism information and operational data, and (3) offering tailor made products and supporting user-generated content. In order to emphasize our suggestions, the most representative figures derived from recent surveys conducted by the Sectoral e-Business W@tch are selected and analyzed. These figures are: (a) the use of customer relationship management applications in tourism and the importance of mobile services for different sectors of the economy including tourism, for the first driver, (b) the use of supply chain management systems, online purchasing and finally the use of broadband Internet as a complementary indicator, for the second driver, and (c) the use of ICT-enabled product and process innovations and dynamic packaging, for the third driver. The clear positive tendencies of these figures indicate the rising importance of our suggested directions as basic drivers of a tourism e-business strategy."/>
    <s v="[Stiakakis, Emmanouil; Georgiadis, Christos K.] Univ Macedonia, Dept Appl Informat, Thessaloniki 54006, Greece"/>
    <s v="University of Macedonia"/>
    <s v="Georgiadis, CK (corresponding author), Univ Macedonia, Dept Appl Informat, 156 Egnatia Str, Thessaloniki 54006, Greece."/>
    <s v="geor@uom.gr; stiakakis@uom.gr"/>
    <s v="GEORGIADIS, CHRISTOS Κ./AAM-7076-2021"/>
    <s v="GEORGIADIS, CHRISTOS Κ./0000-0003-0897-9009"/>
    <s v=""/>
    <s v=""/>
    <s v=""/>
    <s v=""/>
    <n v="22"/>
    <n v="9"/>
    <n v="10"/>
    <n v="1"/>
    <n v="52"/>
    <s v="SPRINGER HEIDELBERG"/>
    <s v="HEIDELBERG"/>
    <s v="TIERGARTENSTRASSE 17, D-69121 HEIDELBERG, GERMANY"/>
    <s v="1109-2858"/>
    <s v="1866-1505"/>
    <s v=""/>
    <s v="OPER RES-GER"/>
    <s v="Oper. Res."/>
    <s v="AUG"/>
    <x v="12"/>
    <n v="11"/>
    <n v="2"/>
    <s v=""/>
    <s v=""/>
    <s v="SI"/>
    <s v=""/>
    <n v="149"/>
    <n v="169"/>
    <s v=""/>
    <s v="10.1007/s12351-009-0046-6"/>
    <s v="http://dx.doi.org/10.1007/s12351-009-0046-6"/>
    <s v=""/>
    <s v=""/>
    <n v="21"/>
    <x v="114"/>
    <x v="0"/>
    <s v="Operations Research &amp; Management Science"/>
    <s v="V31HG"/>
    <s v=""/>
    <s v=""/>
    <s v=""/>
    <s v=""/>
    <s v="2023-11-15"/>
    <s v="WOS:000208874100003"/>
    <s v="View Full Record in Web of Science"/>
    <m/>
  </r>
  <r>
    <x v="640"/>
    <s v="J"/>
    <x v="630"/>
    <s v=""/>
    <s v=""/>
    <s v=""/>
    <s v="Morales-Caporal, Roberto; Pacas, Mario"/>
    <s v=""/>
    <s v=""/>
    <x v="638"/>
    <x v="464"/>
    <s v=""/>
    <s v=""/>
    <s v="English"/>
    <s v="Article"/>
    <s v=""/>
    <s v=""/>
    <s v=""/>
    <s v=""/>
    <s v=""/>
    <x v="569"/>
    <x v="435"/>
    <s v="This paper presents a digital strategy to suppress magnetic-and cross-saturation effects in a sensorless predictive direct-torque-controlled synchronous reluctance machine (SynRM). In SynRMs, the angular position of the rotor can be estimated by using inductance variations due to geometrical effects of the rotor. However, magnetic-and cross-saturation effects lead to large errors on the estimated angular position, particularly when the magnetization level and torque load change. This error deteriorates the performance of the electrical drive when the estimated position of the rotor is used instead of the measured one in a sensorless control scheme. In this paper, it is shown how saturation effects can be readily alleviated by using a digitally implemented quadrature phase-locked loop observer, together with linear regression, so that easy digital implementation, stable operation, and null parametric dependence can be achieved. The experimental results at very low and zero speeds verify the effectiveness of the proposed sensorless control scheme."/>
    <s v="[Morales-Caporal, Roberto] Technol Inst Apizaco, Postgrad Studies &amp; Res Div, Apizaco 90300, Mexico; [Pacas, Mario] Univ Siegen, Inst Power Elect &amp; Elect Drives, D-57068 Siegen, Germany"/>
    <s v="Universitat Siegen"/>
    <s v="Morales-Caporal, R (corresponding author), Technol Inst Apizaco, Postgrad Studies &amp; Res Div, Apizaco 90300, Mexico."/>
    <s v="rmcaporal@ieee.org; jmpacas@ieee.org"/>
    <s v="Morales Caporal, Roberto/AGJ-8245-2022"/>
    <s v="Morales-Caporal, Roberto/0000-0002-6115-0454"/>
    <s v="PROMEP [ITAPI-PTC-002]"/>
    <s v="PROMEP"/>
    <s v="Manuscript received February 11, 2010; revised June 3, 2010; accepted August 4, 2010. Date of publication September 27, 2010; date of current version June 15, 2011. This work was supported by the PROMEP under Grant ITAPI-PTC-002."/>
    <s v=""/>
    <n v="31"/>
    <n v="30"/>
    <n v="31"/>
    <n v="0"/>
    <n v="9"/>
    <s v="IEEE-INST ELECTRICAL ELECTRONICS ENGINEERS INC"/>
    <s v="PISCATAWAY"/>
    <s v="445 HOES LANE, PISCATAWAY, NJ 08855-4141 USA"/>
    <s v="0278-0046"/>
    <s v="1557-9948"/>
    <s v=""/>
    <s v="IEEE T IND ELECTRON"/>
    <s v="IEEE Trans. Ind. Electron."/>
    <s v="JUL"/>
    <x v="12"/>
    <n v="58"/>
    <n v="7"/>
    <s v=""/>
    <s v=""/>
    <s v=""/>
    <s v=""/>
    <n v="2809"/>
    <n v="2817"/>
    <s v=""/>
    <s v="10.1109/TIE.2010.2080652"/>
    <s v="http://dx.doi.org/10.1109/TIE.2010.2080652"/>
    <s v=""/>
    <s v=""/>
    <n v="9"/>
    <x v="184"/>
    <x v="0"/>
    <s v="Automation &amp; Control Systems; Engineering; Instruments &amp; Instrumentation"/>
    <s v="806SU"/>
    <s v=""/>
    <s v=""/>
    <s v=""/>
    <s v=""/>
    <s v="2023-11-15"/>
    <s v="WOS:000293832600026"/>
    <s v="View Full Record in Web of Science"/>
    <m/>
  </r>
  <r>
    <x v="641"/>
    <s v="J"/>
    <x v="631"/>
    <s v=""/>
    <s v=""/>
    <s v=""/>
    <s v="Flew, Terry"/>
    <s v=""/>
    <s v=""/>
    <x v="639"/>
    <x v="177"/>
    <s v=""/>
    <s v=""/>
    <s v="English"/>
    <s v="Article"/>
    <s v=""/>
    <s v=""/>
    <s v=""/>
    <s v=""/>
    <s v=""/>
    <x v="8"/>
    <x v="1"/>
    <s v="This article considers the concept of media citizenship in relation to the digital strategies of the Special Broadcasting Service (SBS). At SBS, Australia's multicultural public broadcaster, there is a critical appraisal of its strategies to harness user-created content (UCC) and social media to promote greater audience participation through its news and current affairs Web sites. The article looks at the opportunities and challenges that user-created content presents for public service media organizations as they consolidate multiplatform service delivery. Also analyzed are the implications of radio and television broadcasters' moves to develop online services. It is proposed that case study methodologies enable an understanding of media citizenship to be developed that maintains a focus on the interaction between delivery technologies, organizational structures and cultures, and program content that is essential for understanding the changing focus of 21st-century public service media."/>
    <s v="Queensland Univ Technol, Brisbane, Qld 4001, Australia"/>
    <s v="Queensland University of Technology (QUT)"/>
    <s v="Flew, T (corresponding author), Queensland Univ Technol, Brisbane, Qld 4001, Australia."/>
    <s v="t.flew@qut.edu.au"/>
    <s v="Flew, Terry/I-9738-2012"/>
    <s v="Flew, Terry/0000-0003-4485-9338"/>
    <s v=""/>
    <s v=""/>
    <s v=""/>
    <s v=""/>
    <n v="54"/>
    <n v="18"/>
    <n v="18"/>
    <n v="0"/>
    <n v="13"/>
    <s v="USC ANNENBERG PRESS"/>
    <s v="LOS ANGELES"/>
    <s v="UNIV SOUTHERN CALIFORNIA, KERCKHOFF HALL, 734 W ADAMS BLVD, MC7725, LOS ANGELES, CA 90089 USA"/>
    <s v="1932-8036"/>
    <s v=""/>
    <s v=""/>
    <s v="INT J COMMUN-US"/>
    <s v="Int. J. Commun."/>
    <s v=""/>
    <x v="12"/>
    <n v="5"/>
    <s v=""/>
    <s v=""/>
    <s v=""/>
    <s v=""/>
    <s v=""/>
    <n v="215"/>
    <n v="232"/>
    <s v=""/>
    <s v=""/>
    <s v=""/>
    <s v=""/>
    <s v=""/>
    <n v="18"/>
    <x v="56"/>
    <x v="1"/>
    <s v="Communication"/>
    <s v="877ZN"/>
    <s v=""/>
    <s v=""/>
    <s v=""/>
    <s v=""/>
    <s v="2023-11-15"/>
    <s v="WOS:000299221300019"/>
    <s v="View Full Record in Web of Science"/>
    <m/>
  </r>
  <r>
    <x v="642"/>
    <s v="J"/>
    <x v="632"/>
    <s v=""/>
    <s v=""/>
    <s v=""/>
    <s v="Yoo, Youngjin; Henfridsson, Ola; Lyytinen, Kalle"/>
    <s v=""/>
    <s v=""/>
    <x v="640"/>
    <x v="173"/>
    <s v=""/>
    <s v=""/>
    <s v="English"/>
    <s v="Article"/>
    <s v=""/>
    <s v=""/>
    <s v=""/>
    <s v=""/>
    <s v=""/>
    <x v="570"/>
    <x v="436"/>
    <s v="In this essay, we argue that pervasive digitization gives birth to a new type of product architecture: the layered modular architecture. The layered modular architecture extends the modular architecture of physical products by incorporating four loosely coupled layers of devices, networks, services, and contents created by digital technology. We posit that this new architecture instigates profound changes in the ways that firms organize for innovation in the future. We develop (1) a conceptual framework to describe the emerging organizing logic of digital innovation and (2) an information systems research agenda for digital strategy and the creation and management of corporate information technology infrastructures."/>
    <s v="[Yoo, Youngjin] Temple Univ, Ctr Design &amp; Innovat, Philadelphia, PA 19122 USA; [Henfridsson, Ola] Viktoria Inst Horselgangen 4, S-41756 Gothenburg, Sweden; [Henfridsson, Ola] Univ Oslo, Dept Informat, N-0316 Oslo, Norway; [Lyytinen, Kalle] Case Western Reserve Univ, Dept Informat Syst, Cleveland, OH 44106 USA"/>
    <s v="Pennsylvania Commonwealth System of Higher Education (PCSHE); Temple University; University of Oslo; Case Western Reserve University"/>
    <s v="Yoo, YJ (corresponding author), Temple Univ, Ctr Design &amp; Innovat, Philadelphia, PA 19122 USA."/>
    <s v="yxy23yoo@gmail.com; ola.henfridsson@viktoria.se; kjl13@case.edu"/>
    <s v="Yoo, Youngjin/ABI-7778-2020; Lyytinen, Kalle/O-8202-2017"/>
    <s v="Yoo, Youngjin/0000-0001-8548-3475; Lyytinen, Kalle/0000-0002-3352-5343; Henfridsson, Ola/0000-0003-1605-5180"/>
    <s v="Direct For Computer &amp; Info Scie &amp; Enginr; Office of Advanced Cyberinfrastructure (OAC) [0943157, 0943010] Funding Source: National Science Foundation"/>
    <s v="Direct For Computer &amp; Info Scie &amp; Enginr; Office of Advanced Cyberinfrastructure (OAC)(National Science Foundation (NSF)NSF - Directorate for Computer &amp; Information Science &amp; Engineering (CISE))"/>
    <s v=""/>
    <s v=""/>
    <n v="39"/>
    <n v="1231"/>
    <n v="1282"/>
    <n v="99"/>
    <n v="923"/>
    <s v="INFORMS"/>
    <s v="HANOVER"/>
    <s v="7240 PARKWAY DR, STE 310, HANOVER, MD 21076-1344 USA"/>
    <s v="1047-7047"/>
    <s v=""/>
    <s v=""/>
    <s v="INFORM SYST RES"/>
    <s v="Inf. Syst. Res."/>
    <s v="DEC"/>
    <x v="13"/>
    <n v="21"/>
    <n v="4"/>
    <s v=""/>
    <s v=""/>
    <s v=""/>
    <s v=""/>
    <n v="724"/>
    <n v="735"/>
    <s v=""/>
    <s v="10.1287/isre.1100.0322"/>
    <s v="http://dx.doi.org/10.1287/isre.1100.0322"/>
    <s v=""/>
    <s v=""/>
    <n v="12"/>
    <x v="75"/>
    <x v="1"/>
    <s v="Information Science &amp; Library Science; Business &amp; Economics"/>
    <s v="695OZ"/>
    <s v=""/>
    <s v=""/>
    <s v=""/>
    <s v=""/>
    <s v="2023-11-15"/>
    <s v="WOS:000285383200006"/>
    <s v="View Full Record in Web of Science"/>
    <m/>
  </r>
  <r>
    <x v="643"/>
    <s v="J"/>
    <x v="633"/>
    <s v=""/>
    <s v=""/>
    <s v=""/>
    <s v="Greco, Albert N.; Wharton, Robert M."/>
    <s v=""/>
    <s v=""/>
    <x v="641"/>
    <x v="465"/>
    <s v=""/>
    <s v=""/>
    <s v="English"/>
    <s v="Article"/>
    <s v=""/>
    <s v=""/>
    <s v=""/>
    <s v=""/>
    <s v=""/>
    <x v="571"/>
    <x v="1"/>
    <s v="This article analyzes important US university press net publishers' revenue and net publishers' unit datasets and.e-book revenues for 2008-9. Data for net publishers' revenues, net publishers' units, and digital e-book revenues for higher education textbooks, professional and scholarly books, and consumer e-books were also evaluated covering the years 2008-9. Drawing on important economic data projections and the publicly available competitive print and digital strategies crafted by competitors in the consumer, higher education, and professional and scholarly sectors, the authors develop net publishers' revenue and unit projections for all of these book categories for 2010-15. The university press data sets reveal unsettling declines in revenues and units for 2008-2015. Addressing these declines, the authors conclude with a brief series of recommendations, including the rapid adoption of a digital 'e-book' business model in order to reposition the presses in what is becoming a digital book marketplace."/>
    <s v="[Greco, Albert N.; Wharton, Robert M.] Fordham Univ, Sch Business, Management Syst Area, Bronx, NY 10458 USA"/>
    <s v="Fordham University"/>
    <s v="Greco, AN (corresponding author), Fordham Univ, Sch Business, Management Syst Area, Bronx, NY 10458 USA."/>
    <s v=""/>
    <s v=""/>
    <s v=""/>
    <s v=""/>
    <s v=""/>
    <s v=""/>
    <s v=""/>
    <n v="30"/>
    <n v="12"/>
    <n v="12"/>
    <n v="0"/>
    <n v="13"/>
    <s v="UNIV TORONTO PRESS INC"/>
    <s v="TORONTO"/>
    <s v="JOURNALS DIVISION, 5201 DUFFERIN ST, DOWNSVIEW, TORONTO, ON M3H 5T8, CANADA"/>
    <s v="1198-9742"/>
    <s v="1710-1166"/>
    <s v=""/>
    <s v="J SCHOLARLY PUBL"/>
    <s v="J. Sch. Publ."/>
    <s v="OCT"/>
    <x v="13"/>
    <n v="42"/>
    <n v="1"/>
    <s v=""/>
    <s v=""/>
    <s v=""/>
    <s v=""/>
    <n v="1"/>
    <n v="15"/>
    <s v=""/>
    <s v="10.3138/jsp.42.1.1"/>
    <s v="http://dx.doi.org/10.3138/jsp.42.1.1"/>
    <s v=""/>
    <s v=""/>
    <n v="15"/>
    <x v="185"/>
    <x v="6"/>
    <s v="Arts &amp; Humanities - Other Topics; Information Science &amp; Library Science"/>
    <s v="673DX"/>
    <s v=""/>
    <s v=""/>
    <s v=""/>
    <s v=""/>
    <s v="2023-11-15"/>
    <s v="WOS:000283640400001"/>
    <s v="View Full Record in Web of Science"/>
    <m/>
  </r>
  <r>
    <x v="644"/>
    <s v="J"/>
    <x v="634"/>
    <s v=""/>
    <s v=""/>
    <s v=""/>
    <s v="Mussinelli, Cristina"/>
    <s v=""/>
    <s v=""/>
    <x v="642"/>
    <x v="449"/>
    <s v=""/>
    <s v=""/>
    <s v="English"/>
    <s v="Article"/>
    <s v=""/>
    <s v=""/>
    <s v=""/>
    <s v=""/>
    <s v=""/>
    <x v="572"/>
    <x v="1"/>
    <s v="In this article we will provide a general overview of the situation of the digital publishing in Europe starting from the insights provided by the Editech conference, the international day of advanced study organized by the Italian Publishers Association and focused on the trends, perspectives and applications of technological innovation in publishing at an international level. It is the main Italian event dedicated to book publishing with the aim of helping publishers define their short- and medium-term digital strategies, while being aware of the opportunities and risks involved in the conversion to digital of their business model. The Editech 2010 main focus had been: the market and the national and international situation of digital publishing, the new buying and reading behaviors of consumers, e-books and content for e-readers and mobile devices, new production processes (XML, ePub, digital printing) and the distribution scenario and the diffusion of digital content."/>
    <s v=""/>
    <s v=""/>
    <s v="Mussinelli, C (corresponding author), Piazza Pietro Gobetti 10, I-20131 Milan, Italy."/>
    <s v="c.mussinelli@360publishing.it"/>
    <s v=""/>
    <s v=""/>
    <s v=""/>
    <s v=""/>
    <s v=""/>
    <s v=""/>
    <n v="0"/>
    <n v="12"/>
    <n v="12"/>
    <n v="0"/>
    <n v="2"/>
    <s v="SPRINGER"/>
    <s v="NEW YORK"/>
    <s v="233 SPRING ST, NEW YORK, NY 10013 USA"/>
    <s v="1053-8801"/>
    <s v="1936-4792"/>
    <s v=""/>
    <s v="PUBLISH RES Q"/>
    <s v="Publ. Res. Q."/>
    <s v="SEP"/>
    <x v="13"/>
    <n v="26"/>
    <n v="3"/>
    <s v=""/>
    <s v=""/>
    <s v=""/>
    <s v=""/>
    <n v="168"/>
    <n v="175"/>
    <s v=""/>
    <s v="10.1007/s12109-010-9172-5"/>
    <s v="http://dx.doi.org/10.1007/s12109-010-9172-5"/>
    <s v=""/>
    <s v=""/>
    <n v="8"/>
    <x v="66"/>
    <x v="2"/>
    <s v="Information Science &amp; Library Science"/>
    <s v="VG7OD"/>
    <s v=""/>
    <s v=""/>
    <s v=""/>
    <s v=""/>
    <s v="2023-11-15"/>
    <s v="WOS:000448336500002"/>
    <s v="View Full Record in Web of Science"/>
    <m/>
  </r>
  <r>
    <x v="645"/>
    <s v="J"/>
    <x v="635"/>
    <s v=""/>
    <s v=""/>
    <s v=""/>
    <s v="Phelps, Louise Wetherbee; Ackerman, John M."/>
    <s v=""/>
    <s v=""/>
    <x v="643"/>
    <x v="466"/>
    <s v=""/>
    <s v=""/>
    <s v="English"/>
    <s v="Article"/>
    <s v=""/>
    <s v=""/>
    <s v=""/>
    <s v=""/>
    <s v=""/>
    <x v="8"/>
    <x v="1"/>
    <s v="In the Visibility Project, professional organizations have worked to gain recognition for the disciplinarity of writing and rhetoric studies through representation of the field in the information codes and databases of higher education. We report success in two important cases: recognition as an emerging field in the National Research Council's taxonomy of research disciplines; and the assignment of a code series to rhetoric and composition/writing studies in the federal Classification of Instructional Programs (CIP). We analyze the rhetorical strategies and implications of each case and call for continuing efforts to develop and implement a digital strategy for handling data about the field and its representation in information networks."/>
    <s v="[Phelps, Louise Wetherbee] Syracuse Univ, Syracuse, NY 13244 USA; [Ackerman, John M.] Univ Colorado, Boulder, CO 80309 USA"/>
    <s v="Syracuse University; University of Colorado System; University of Colorado Boulder"/>
    <s v="Phelps, LW (corresponding author), Old Dominion Univ, Norfolk, VA 23529 USA."/>
    <s v=""/>
    <s v=""/>
    <s v=""/>
    <s v=""/>
    <s v=""/>
    <s v=""/>
    <s v=""/>
    <n v="20"/>
    <n v="24"/>
    <n v="25"/>
    <n v="0"/>
    <n v="4"/>
    <s v="NATL COUNCIL TEACHERS ENGLISH"/>
    <s v="URBANA"/>
    <s v="1111 KENYON RD, URBANA, IL 61801 USA"/>
    <s v="0010-096X"/>
    <s v=""/>
    <s v=""/>
    <s v="COLL COMPOS COMMUN"/>
    <s v="Coll. Compost. Commun."/>
    <s v="SEP"/>
    <x v="13"/>
    <n v="62"/>
    <n v="1"/>
    <s v=""/>
    <s v=""/>
    <s v=""/>
    <s v=""/>
    <n v="180"/>
    <n v="215"/>
    <s v=""/>
    <s v=""/>
    <s v=""/>
    <s v=""/>
    <s v=""/>
    <n v="36"/>
    <x v="151"/>
    <x v="5"/>
    <s v="Literature"/>
    <s v="651QI"/>
    <s v=""/>
    <s v=""/>
    <s v=""/>
    <s v=""/>
    <s v="2023-11-15"/>
    <s v="WOS:000281941800013"/>
    <s v="View Full Record in Web of Science"/>
    <m/>
  </r>
  <r>
    <x v="646"/>
    <s v="J"/>
    <x v="636"/>
    <s v=""/>
    <s v=""/>
    <s v=""/>
    <s v="Metaxiotis, Kostas; Larios, Yiannis; Assimakopoulos, Vassilis"/>
    <s v=""/>
    <s v=""/>
    <x v="644"/>
    <x v="467"/>
    <s v=""/>
    <s v=""/>
    <s v="English"/>
    <s v="Article"/>
    <s v=""/>
    <s v=""/>
    <s v=""/>
    <s v=""/>
    <s v=""/>
    <x v="8"/>
    <x v="1"/>
    <s v=""/>
    <s v="[Metaxiotis, Kostas] Univ Piraeus, Piraeus 18534, Greece; [Larios, Yiannis; Assimakopoulos, Vassilis] Minist Econ &amp; Finance, Athens, Greece"/>
    <s v="University of Piraeus"/>
    <s v="Metaxiotis, K (corresponding author), Univ Piraeus, 80 Karaoli &amp; Dimitriou St, Piraeus 18534, Greece."/>
    <s v=""/>
    <s v=""/>
    <s v=""/>
    <s v=""/>
    <s v=""/>
    <s v=""/>
    <s v=""/>
    <n v="16"/>
    <n v="2"/>
    <n v="2"/>
    <n v="0"/>
    <n v="5"/>
    <s v="IEEE-INST ELECTRICAL ELECTRONICS ENGINEERS INC"/>
    <s v="PISCATAWAY"/>
    <s v="445 HOES LANE, PISCATAWAY, NJ 08855-4141 USA"/>
    <s v="0278-0097"/>
    <s v=""/>
    <s v=""/>
    <s v="IEEE TECHNOL SOC MAG"/>
    <s v="IEEE Technol. Soc. Mag."/>
    <s v="SUM"/>
    <x v="13"/>
    <n v="29"/>
    <n v="2"/>
    <s v=""/>
    <s v=""/>
    <s v=""/>
    <s v=""/>
    <n v="54"/>
    <n v="62"/>
    <s v=""/>
    <s v="10.1109/MTS.2010.937028"/>
    <s v="http://dx.doi.org/10.1109/MTS.2010.937028"/>
    <s v=""/>
    <s v=""/>
    <n v="9"/>
    <x v="125"/>
    <x v="0"/>
    <s v="Engineering"/>
    <s v="607VR"/>
    <s v=""/>
    <s v=""/>
    <s v=""/>
    <s v=""/>
    <s v="2023-11-15"/>
    <s v="WOS:000278535900010"/>
    <s v="View Full Record in Web of Science"/>
    <m/>
  </r>
  <r>
    <x v="647"/>
    <s v="S"/>
    <x v="637"/>
    <s v=""/>
    <s v="Reddick, CG"/>
    <s v=""/>
    <s v="Fielden, Kay; Malcolm, Pam"/>
    <s v=""/>
    <s v=""/>
    <x v="645"/>
    <x v="468"/>
    <s v="Integrated Series in Information Systems"/>
    <s v=""/>
    <s v="English"/>
    <s v="Article; Book Chapter"/>
    <s v=""/>
    <s v=""/>
    <s v=""/>
    <s v=""/>
    <s v=""/>
    <x v="8"/>
    <x v="437"/>
    <s v="Research carried out in 2009 on New Zealand's local government e-readiness with respect to the national digital strategy has discovered that there is a wide maturity range. In the first part of this chapter, an e-readiness maturity model is presented that indicates to what extent local governments, both urban and rural have met the national strategy guidelines. These results are contextualised within the international literature on local e-government maturity. In the second part of this chapter, challenges for four diverse and marginalised user groups are considered. Factors that affect end-users in New Zealand include: inequitable infrastructure provision, a shift in emphasis and ownership of technical knowledge and skills required to gain access to government services, and the differences in benefits and challenges for both majority and minority end-user groups. This analysis has been embedded in a theoretical framework informed by social informatics (Sawyer, 2005), digital inclusion/exclusion models (Cushman &amp; McLean, 2008), boundary conditioning modelling (Cordoba &amp; Midgley, 2008) and an e-government to e-governance model proposed by Dawes (2008)."/>
    <s v="[Fielden, Kay; Malcolm, Pam] Unitec Inst Technol, Auckland, New Zealand"/>
    <s v="Unitec NZ"/>
    <s v="Fielden, K (corresponding author), Unitec Inst Technol, Auckland, New Zealand."/>
    <s v="kfielden@unitec.ac.nz; pmalcolm@unitec.ac.nz"/>
    <s v=""/>
    <s v=""/>
    <s v=""/>
    <s v=""/>
    <s v=""/>
    <s v=""/>
    <n v="55"/>
    <n v="1"/>
    <n v="1"/>
    <n v="0"/>
    <n v="4"/>
    <s v="SPRINGER"/>
    <s v="NEW YORK"/>
    <s v="233 SPRING STREET, NEW YORK, NY 10013, UNITED STATES"/>
    <s v="1571-0270"/>
    <s v=""/>
    <s v="978-1-4419-6535-6"/>
    <s v="INTEGR SER INFORM SY"/>
    <s v=""/>
    <s v=""/>
    <x v="13"/>
    <n v="25"/>
    <s v=""/>
    <s v=""/>
    <s v=""/>
    <s v=""/>
    <s v=""/>
    <n v="505"/>
    <n v="524"/>
    <s v=""/>
    <s v="10.1007/978-1-4419-6536-3_26"/>
    <s v="http://dx.doi.org/10.1007/978-1-4419-6536-3_26"/>
    <s v="10.1007/978-1-4419-6536-3"/>
    <s v=""/>
    <n v="20"/>
    <x v="186"/>
    <x v="10"/>
    <s v="Computer Science; Operations Research &amp; Management Science"/>
    <s v="BQV43"/>
    <s v=""/>
    <s v=""/>
    <s v=""/>
    <s v=""/>
    <s v="2023-11-15"/>
    <s v="WOS:000281964400026"/>
    <s v="View Full Record in Web of Science"/>
    <m/>
  </r>
  <r>
    <x v="648"/>
    <s v="J"/>
    <x v="638"/>
    <s v=""/>
    <s v=""/>
    <s v=""/>
    <s v="McShane, Ian; Thomas, Julian"/>
    <s v=""/>
    <s v=""/>
    <x v="646"/>
    <x v="469"/>
    <s v=""/>
    <s v=""/>
    <s v="English"/>
    <s v="Article"/>
    <s v=""/>
    <s v=""/>
    <s v=""/>
    <s v=""/>
    <s v=""/>
    <x v="8"/>
    <x v="1"/>
    <s v="This paper examines some implications for public libraries of the Australian government's 2009 strategy for the digital economy. Many countries have produced national digital strategies in recent years, but these key pieces of policy architecture have received little critical attention. The rhetorical framing of the Australian document indicates the shift of communication and information to the centre of economic policy. This has particular significance for public libraries, as the major public information portals and cultural storehouses of liberal democracies. The strategy's emphasis on productivity and economic competitiveness, boosted by a proposed high-speed national broadband network, presents major opportunities for Australian libraries. However, libraries and other collecting institutions have voiced concern over assumptions that they can simply 'unlock' their collections and supply content for new broadband applications. In contrast to some other countries, the Australian strategy pays no attention to the profound implications for information integrity and cultural memory presented by the expansion of cultural and economic activity in the digital sphere. The challenge for public libraries, the paper argues, is to explore ways that orthodox library responsibilities and new roles can be articulated in this evolving policy framework."/>
    <s v="[McShane, Ian; Thomas, Julian] Swinburne Univ Technol, Melbourne, Vic, Australia"/>
    <s v="Swinburne University of Technology"/>
    <s v="McShane, I (corresponding author), Swinburne Univ Technol, Melbourne, Vic, Australia."/>
    <s v="imcshane@swin.edu.au"/>
    <s v="McShane, Ian/A-4464-2010"/>
    <s v="McShane, Ian/0000-0001-8280-4560; Thomas, Julian/0000-0002-2907-4586"/>
    <s v=""/>
    <s v=""/>
    <s v=""/>
    <s v=""/>
    <n v="63"/>
    <n v="5"/>
    <n v="5"/>
    <n v="0"/>
    <n v="1"/>
    <s v="ROUTLEDGE JOURNALS, TAYLOR &amp; FRANCIS LTD"/>
    <s v="ABINGDON"/>
    <s v="2-4 PARK SQUARE, MILTON PARK, ABINGDON OX14 4RN, OXON, ENGLAND"/>
    <s v="0810-9028"/>
    <s v="1470-1030"/>
    <s v=""/>
    <s v="PROMETHEUS"/>
    <s v="Prometheus"/>
    <s v=""/>
    <x v="13"/>
    <n v="28"/>
    <n v="2"/>
    <s v=""/>
    <s v=""/>
    <s v=""/>
    <s v=""/>
    <n v="149"/>
    <n v="163"/>
    <s v=""/>
    <s v="10.1080/08109028.2010.496235"/>
    <s v="http://dx.doi.org/10.1080/08109028.2010.496235"/>
    <s v=""/>
    <s v=""/>
    <n v="15"/>
    <x v="31"/>
    <x v="2"/>
    <s v="Social Sciences - Other Topics"/>
    <s v="V60NG"/>
    <s v=""/>
    <s v="Green Published"/>
    <s v=""/>
    <s v=""/>
    <s v="2023-11-15"/>
    <s v="WOS:000210836700005"/>
    <s v="View Full Record in Web of Science"/>
    <m/>
  </r>
  <r>
    <x v="649"/>
    <s v="J"/>
    <x v="639"/>
    <s v=""/>
    <s v=""/>
    <s v=""/>
    <s v="Shao, Guosong"/>
    <s v=""/>
    <s v=""/>
    <x v="647"/>
    <x v="470"/>
    <s v=""/>
    <s v=""/>
    <s v="English"/>
    <s v="Article"/>
    <s v=""/>
    <s v=""/>
    <s v=""/>
    <s v=""/>
    <s v=""/>
    <x v="573"/>
    <x v="438"/>
    <s v="This paper examined how media firms chose among acquisitions, equity alliances, and non-equity alliances when they decided to venture their digital business. The dataset covered 292 deals made by 20 U.S. media companies of the Fortune 1000 in the 2000s. The results showed that the choice was a function of strategic objectives (e.g., product extension and market extension), market factors (e.g., market uncertainty and competition), and media firms' attributes (e.g., technological intensity, relative size, and diversification level)."/>
    <s v="[Shao, Guosong] Pittsburg State Univ, Pittsburg, KS 66762 USA"/>
    <s v="Pittsburg State University"/>
    <s v="Shao, GS (corresponding author), Pittsburg State Univ, Pittsburg, KS 66762 USA."/>
    <s v=""/>
    <s v=""/>
    <s v=""/>
    <s v=""/>
    <s v=""/>
    <s v=""/>
    <s v=""/>
    <n v="40"/>
    <n v="5"/>
    <n v="6"/>
    <n v="0"/>
    <n v="1"/>
    <s v="ROUTLEDGE JOURNALS, TAYLOR &amp; FRANCIS LTD"/>
    <s v="ABINGDON"/>
    <s v="2-4 PARK SQUARE, MILTON PARK, ABINGDON OX14 4RN, OXON, ENGLAND"/>
    <s v="1652-2354"/>
    <s v="2376-2977"/>
    <s v=""/>
    <s v="J MEDIA BUS STUD"/>
    <s v="J. Media Bus. Stud."/>
    <s v=""/>
    <x v="13"/>
    <n v="7"/>
    <n v="1"/>
    <s v=""/>
    <s v=""/>
    <s v=""/>
    <s v=""/>
    <n v="21"/>
    <n v="39"/>
    <s v=""/>
    <s v="10.1080/16522354.2010.11073501"/>
    <s v="http://dx.doi.org/10.1080/16522354.2010.11073501"/>
    <s v=""/>
    <s v=""/>
    <n v="19"/>
    <x v="33"/>
    <x v="2"/>
    <s v="Business &amp; Economics"/>
    <s v="VA2MP"/>
    <s v=""/>
    <s v=""/>
    <s v=""/>
    <s v=""/>
    <s v="2023-11-15"/>
    <s v="WOS:000409741900002"/>
    <s v="View Full Record in Web of Science"/>
    <m/>
  </r>
  <r>
    <x v="650"/>
    <s v="J"/>
    <x v="640"/>
    <s v=""/>
    <s v=""/>
    <s v=""/>
    <s v="McAnulty, John D."/>
    <s v=""/>
    <s v=""/>
    <x v="648"/>
    <x v="471"/>
    <s v=""/>
    <s v=""/>
    <s v="English"/>
    <s v="Article"/>
    <s v=""/>
    <s v=""/>
    <s v=""/>
    <s v=""/>
    <s v=""/>
    <x v="574"/>
    <x v="1"/>
    <s v="Every day people search the Internet, seeking information, support, and treatment for many different diseases. Digital strategies, such as search engine marketing databases and web design, are effective ways to reach potential patients; pharmaceutical and biotechnology companies who do not include digital strategies are missing important patient targeting opportunities. This article explores the convergence of old and new media, and how new media affect and will continue to affect patient recruitment. Executing a digital strategy requires specialized skills, knowledge, and tools to effectively communicate with potential online study participants."/>
    <s v="[McAnulty, John D.] Fleishman Hillard Clin Trials Div, Kansas City, MO USA"/>
    <s v=""/>
    <s v="McAnulty, JD (corresponding author), 2405 Grand Blvd,Suite 700, Kansas City, MO 64108 USA."/>
    <s v="John.mcanulty@fleishman.com"/>
    <s v=""/>
    <s v=""/>
    <s v=""/>
    <s v=""/>
    <s v=""/>
    <s v=""/>
    <n v="6"/>
    <n v="2"/>
    <n v="2"/>
    <n v="0"/>
    <n v="4"/>
    <s v="DRUG INFORMATION ASSOC"/>
    <s v="HORSHAM"/>
    <s v="800 ENTERPRISE ROAD, SUITE 200, HORSHAM, PA 19044-3595 USA"/>
    <s v="0092-8615"/>
    <s v=""/>
    <s v=""/>
    <s v="DRUG INF J"/>
    <s v="Drug Inf. J."/>
    <s v="JUL"/>
    <x v="14"/>
    <n v="43"/>
    <n v="4"/>
    <s v=""/>
    <s v=""/>
    <s v=""/>
    <s v=""/>
    <n v="501"/>
    <n v="508"/>
    <s v=""/>
    <s v="10.1177/009286150904300416"/>
    <s v="http://dx.doi.org/10.1177/009286150904300416"/>
    <s v=""/>
    <s v=""/>
    <n v="8"/>
    <x v="187"/>
    <x v="0"/>
    <s v="Health Care Sciences &amp; Services; Pharmacology &amp; Pharmacy"/>
    <s v="469EC"/>
    <s v=""/>
    <s v=""/>
    <s v=""/>
    <s v=""/>
    <s v="2023-11-15"/>
    <s v="WOS:000267877500016"/>
    <s v="View Full Record in Web of Science"/>
    <m/>
  </r>
  <r>
    <x v="651"/>
    <s v="J"/>
    <x v="641"/>
    <s v=""/>
    <s v=""/>
    <s v=""/>
    <s v="Carnaby, Penny"/>
    <s v=""/>
    <s v=""/>
    <x v="649"/>
    <x v="472"/>
    <s v=""/>
    <s v=""/>
    <s v="English"/>
    <s v="Article; Proceedings Paper"/>
    <s v="Bridging Worlds Conference"/>
    <s v="OCT 16-17, 2008"/>
    <s v="Singapore, SINGAPORE"/>
    <s v="Natl Lib Singapore"/>
    <s v=""/>
    <x v="575"/>
    <x v="1"/>
    <s v="Purpose - The purpose of this paper is to show how libraries in New Zealand have developed their digital strategies in order to serve its citizens, the country and the world. Design/methodology/approach - A description of various New Zealand initiatives is given, many of which involve the National Library of New Zealand. Findings - The four components of the New Zealand Digital strategy: connection; content; confidence; and collaboration have been driven by the library and information sector. Originality/value - The paper provides a personal insight, by the National Librarian, into key digital developments in New Zealand"/>
    <s v="Natl Lib New Zealand, Wellington, New Zealand"/>
    <s v=""/>
    <s v="Carnaby, P (corresponding author), Natl Lib New Zealand, Wellington, New Zealand."/>
    <s v="penny.carnaby@natlib.govt.nz"/>
    <s v=""/>
    <s v=""/>
    <s v=""/>
    <s v=""/>
    <s v=""/>
    <s v=""/>
    <n v="0"/>
    <n v="2"/>
    <n v="2"/>
    <n v="1"/>
    <n v="2"/>
    <s v="EMERALD GROUP PUBLISHING LIMITED"/>
    <s v="BINGLEY"/>
    <s v="HOWARD HOUSE, WAGON LANE, BINGLEY BD16 1WA, W YORKSHIRE, ENGLAND"/>
    <s v="0033-0337"/>
    <s v=""/>
    <s v=""/>
    <s v="PROGRAM-ELECTRON LIB"/>
    <s v="Program-Electron. Libr. Inf. Syst."/>
    <s v=""/>
    <x v="14"/>
    <n v="43"/>
    <n v="3"/>
    <s v=""/>
    <s v=""/>
    <s v=""/>
    <s v=""/>
    <n v="251"/>
    <n v="263"/>
    <s v=""/>
    <s v="10.1108/00330330910978554"/>
    <s v="http://dx.doi.org/10.1108/00330330910978554"/>
    <s v=""/>
    <s v=""/>
    <n v="13"/>
    <x v="155"/>
    <x v="11"/>
    <s v="Computer Science; Information Science &amp; Library Science"/>
    <s v="490DU"/>
    <s v=""/>
    <s v=""/>
    <s v=""/>
    <s v=""/>
    <s v="2023-11-15"/>
    <s v="WOS:000269478900002"/>
    <s v="View Full Record in Web of Science"/>
    <m/>
  </r>
  <r>
    <x v="652"/>
    <s v="J"/>
    <x v="642"/>
    <s v=""/>
    <s v=""/>
    <s v=""/>
    <s v="Helbig, Natalie; Gil-Garcia, J. Ramon; Ferro, Enrico"/>
    <s v=""/>
    <s v=""/>
    <x v="650"/>
    <x v="113"/>
    <s v=""/>
    <s v=""/>
    <s v="English"/>
    <s v="Article"/>
    <s v=""/>
    <s v=""/>
    <s v=""/>
    <s v=""/>
    <s v=""/>
    <x v="576"/>
    <x v="439"/>
    <s v="Theoretically and practically E-Government and the digital divide are intertwined social phenomena. Using sophisticated information technologies (IT) in government has little social value if citizens are not able to use services or interact in political processes in meaningful ways. Similarly, understanding the development and use of IT in government without incorporating a demand perspective would potentially lead to partial explanations of a complex social reality. This article argues that studies about E-Government and the digital divide, which have been relatively disconnected research areas, have important parallels and potential intersections. These parallels may be useful in understanding E-Government projects and policies in a more comprehensive way and, consequently, for developing effective digital strategies. The paper reviews trajectories in E-Government and digital divide research and suggests potential implications drawn from the digital divide literature for E-Government research and practice, including model and theory development, understanding users, and some determinants of demand. (C) 2008 Published by Elsevier Inc."/>
    <s v="[Helbig, Natalie] SUNY Albany, Rockefeller Coll Publ Affairs &amp; Policy, Albany, NY 12222 USA; [Gil-Garcia, J. Ramon] Ctr Invest &amp; Docencia Econ, Dept Publ Adm, Mexico City, DF, Mexico; [Gil-Garcia, J. Ramon] CIDE, Data Ctr Appl Res Social Sci, Mexico City, DF, Mexico"/>
    <s v="State University of New York (SUNY) System; State University of New York (SUNY) Albany; Centro de Investigacion y Docencia Economicas A.C. (CIDE); Centro de Investigacion y Docencia Economicas A.C. (CIDE)"/>
    <s v="Helbig, N (corresponding author), SUNY Albany, Rockefeller Coll Publ Affairs &amp; Policy, Albany, NY 12222 USA."/>
    <s v="nh6739@albany.edu; joseramon.gil@cide.edu; ferro@ismb.it"/>
    <s v="Gil-Garcia, J. Ramon/A-9636-2009"/>
    <s v="Gil-Garcia, J. Ramon/0000-0002-1033-4974; Ferro, Enrico/0000-0002-4853-0444"/>
    <s v=""/>
    <s v=""/>
    <s v=""/>
    <s v=""/>
    <n v="80"/>
    <n v="241"/>
    <n v="247"/>
    <n v="19"/>
    <n v="205"/>
    <s v="ELSEVIER INC"/>
    <s v="SAN DIEGO"/>
    <s v="525 B STREET, STE 1900, SAN DIEGO, CA 92101-4495 USA"/>
    <s v="0740-624X"/>
    <s v="1872-9517"/>
    <s v=""/>
    <s v="GOV INFORM Q"/>
    <s v="Gov. Inf. Q."/>
    <s v="JAN"/>
    <x v="14"/>
    <n v="26"/>
    <n v="1"/>
    <s v=""/>
    <s v=""/>
    <s v="SI"/>
    <s v=""/>
    <n v="89"/>
    <n v="97"/>
    <s v=""/>
    <s v="10.1016/j.giq.2008.05.004"/>
    <s v="http://dx.doi.org/10.1016/j.giq.2008.05.004"/>
    <s v=""/>
    <s v=""/>
    <n v="9"/>
    <x v="66"/>
    <x v="1"/>
    <s v="Information Science &amp; Library Science"/>
    <s v="388OZ"/>
    <s v=""/>
    <s v="Green Submitted"/>
    <s v=""/>
    <s v=""/>
    <s v="2023-11-15"/>
    <s v="WOS:000262030400012"/>
    <s v="View Full Record in Web of Science"/>
    <m/>
  </r>
  <r>
    <x v="653"/>
    <s v="J"/>
    <x v="643"/>
    <s v=""/>
    <s v=""/>
    <s v=""/>
    <s v="Lim, Doo Hun; Ripley, David; O'Steen, Billy"/>
    <s v=""/>
    <s v=""/>
    <x v="651"/>
    <x v="473"/>
    <s v=""/>
    <s v=""/>
    <s v="English"/>
    <s v="Article"/>
    <s v=""/>
    <s v=""/>
    <s v=""/>
    <s v=""/>
    <s v=""/>
    <x v="577"/>
    <x v="1"/>
    <s v="In this cross-national qualitative study, tertiary instructors from North America (Canada and the USA) and New Zealand were asked to share their perceptions regarding effective e-learning methodologies. The purpose of the research was to identify what similarities and differences in perceptions existed, and what implications, if any, such similarities and differences would have for the development of national and tertiary digital strategies for New Zealand. A comparison of the responses to four primary research questions indicated that while both similarities and differences in perception do exist, the similarities far outweigh the differences."/>
    <s v="[Lim, Doo Hun] Univ Oklahoma, Adult &amp; Higher Educ, 820 Vleet Oval, Norman, OK 73019 USA; [Ripley, David] Boise State Univ, Coll Engn, Dept Instruct &amp; Performance Technol, Boise, ID 83725 USA; [O'Steen, Billy] Univ Canterbury, Ctr Teaching &amp; Learning, Christchurch, New Zealand"/>
    <s v="University of Oklahoma System; University of Oklahoma - Norman; Idaho; Boise State University; University of Canterbury"/>
    <s v="Lim, DH (corresponding author), Univ Oklahoma, Adult &amp; Higher Educ, 820 Vleet Oval, Norman, OK 73019 USA."/>
    <s v="dhlim@ou.edu"/>
    <s v=""/>
    <s v=""/>
    <s v=""/>
    <s v=""/>
    <s v=""/>
    <s v=""/>
    <n v="54"/>
    <n v="4"/>
    <n v="4"/>
    <n v="0"/>
    <n v="0"/>
    <s v="ROUTLEDGE JOURNALS, TAYLOR &amp; FRANCIS LTD"/>
    <s v="ABINGDON"/>
    <s v="2-4 PARK SQUARE, MILTON PARK, ABINGDON OX14 4RN, OXON, ENGLAND"/>
    <s v="1367-8868"/>
    <s v="1469-8374"/>
    <s v=""/>
    <s v="HUM RESOUR DEV INT"/>
    <s v="Hum. Resour. Dev. Int."/>
    <s v=""/>
    <x v="14"/>
    <n v="12"/>
    <n v="2"/>
    <s v=""/>
    <s v=""/>
    <s v=""/>
    <s v=""/>
    <n v="209"/>
    <n v="224"/>
    <s v=""/>
    <s v="10.1080/13678860902764134"/>
    <s v="http://dx.doi.org/10.1080/13678860902764134"/>
    <s v=""/>
    <s v=""/>
    <n v="16"/>
    <x v="8"/>
    <x v="2"/>
    <s v="Business &amp; Economics"/>
    <s v="V88CP"/>
    <s v=""/>
    <s v=""/>
    <s v=""/>
    <s v=""/>
    <s v="2023-11-15"/>
    <s v="WOS:000212701800007"/>
    <s v="View Full Record in Web of Science"/>
    <m/>
  </r>
  <r>
    <x v="654"/>
    <s v="J"/>
    <x v="644"/>
    <s v=""/>
    <s v=""/>
    <s v=""/>
    <s v="Mittrowann, Andreas"/>
    <s v=""/>
    <s v=""/>
    <x v="652"/>
    <x v="152"/>
    <s v=""/>
    <s v=""/>
    <s v="English"/>
    <s v="Article"/>
    <s v=""/>
    <s v=""/>
    <s v=""/>
    <s v=""/>
    <s v=""/>
    <x v="578"/>
    <x v="1"/>
    <s v="The library of the future will survive if it is able to adapt and respond quickly to technological and demographic changes and shifting user needs. But what do the users want from the library of the future? To answer this question, this article reports the results of a study related to user expectations regarding library services, the need for a strategic services plan drawn from it and the role of digital services as well as human librarians in the future. This article is based on an ever-changing presentation the author has delivered to library leaders and workers in Germany and internationally."/>
    <s v="[Mittrowann, Andreas] Ekz Bibliotheksserv GmbH, Bismarckstr 3, D-72764 Reutlingen, Germany"/>
    <s v=""/>
    <s v="Mittrowann, A (corresponding author), Ekz Bibliotheksserv GmbH, Bismarckstr 3, D-72764 Reutlingen, Germany."/>
    <s v="andreas.mittrowann@ekz.de"/>
    <s v=""/>
    <s v=""/>
    <s v=""/>
    <s v=""/>
    <s v=""/>
    <s v=""/>
    <n v="5"/>
    <n v="0"/>
    <n v="0"/>
    <n v="0"/>
    <n v="0"/>
    <s v="ROUTLEDGE JOURNALS, TAYLOR &amp; FRANCIS LTD"/>
    <s v="ABINGDON"/>
    <s v="2-4 PARK SQUARE, MILTON PARK, ABINGDON OX14 4RN, OXON, ENGLAND"/>
    <s v="0161-6846"/>
    <s v="1541-1540"/>
    <s v=""/>
    <s v="PUBLIC LIBR Q"/>
    <s v="Public Libr. Q."/>
    <s v=""/>
    <x v="14"/>
    <n v="28"/>
    <n v="3"/>
    <s v=""/>
    <s v=""/>
    <s v=""/>
    <s v=""/>
    <n v="193"/>
    <n v="203"/>
    <s v=""/>
    <s v="10.1080/01616840903106949"/>
    <s v="http://dx.doi.org/10.1080/01616840903106949"/>
    <s v=""/>
    <s v=""/>
    <n v="11"/>
    <x v="66"/>
    <x v="2"/>
    <s v="Information Science &amp; Library Science"/>
    <s v="VB3PV"/>
    <s v=""/>
    <s v=""/>
    <s v=""/>
    <s v=""/>
    <s v="2023-11-15"/>
    <s v="WOS:000415426800001"/>
    <s v="View Full Record in Web of Science"/>
    <m/>
  </r>
  <r>
    <x v="655"/>
    <s v="J"/>
    <x v="645"/>
    <s v=""/>
    <s v=""/>
    <s v=""/>
    <s v="Cha, Hanju; Choi, Soonho; Han, Byung-Moon"/>
    <s v=""/>
    <s v=""/>
    <x v="653"/>
    <x v="474"/>
    <s v=""/>
    <s v=""/>
    <s v="English"/>
    <s v="Article"/>
    <s v=""/>
    <s v=""/>
    <s v=""/>
    <s v=""/>
    <s v=""/>
    <x v="579"/>
    <x v="1"/>
    <s v="In this paper, three kinds of PWM strategies for a three-phase current-fed dc/dc converter are proposed and compared in terms of losses and voltage transfer ratio. Each PWM strategy is described graphically and their switching losses are analyzed. With the proposed PWM C strategy, one turn-off switching of each bridge switch is eliminated to reduce switching losses under the same switching frequency. In addition, RMS current through the bridge switches is lowered by using parallel connection between two bridge switches and thus, conduction losses of the switches are reduced. Further, copper losses of the transformer are decreased due to the reduced RMS current of each transformer's winding. Therefore, total losses are minimized and the efficiency of the converter is improved by using the proposed PWM C strategy. Digital signal processor (DSP: TI320LF2407) and a field-programmable gate array (FPGA: EPM7128) board are used to generate PWM patterns for three-phase bridge and clamp MOSFETs. A 500W prototype converter is built and its experimental results verify the validity of the proposed PWM strategies."/>
    <s v="[Cha, Hanju; Choi, Soonho] Chungnam Natl Univ, Dept Elect Engn, Taejon, South Korea; [Han, Byung-Moon] Myongji Univ, Dept Elect Engn, Yongin, South Korea"/>
    <s v="Chungnam National University; Myongji University"/>
    <s v="Cha, H (corresponding author), Chungnam Natl Univ, Dept Elect Engn, Taejon, South Korea."/>
    <s v="hjcha@cnu.ac.kr"/>
    <s v=""/>
    <s v="Cha, Hanju/0000-0002-9185-6124"/>
    <s v="Ministry of Knowledge and Economy (MKE)"/>
    <s v="Ministry of Knowledge and Economy (MKE)(Ministry of Trade, Industry &amp; Energy (MOTIE), Republic of Korea)"/>
    <s v="This work is the outcome of a Manpower Development Program for Energy &amp; Resources supported by the Ministry of Knowledge and Economy (MKE)"/>
    <s v=""/>
    <n v="9"/>
    <n v="2"/>
    <n v="2"/>
    <n v="0"/>
    <n v="3"/>
    <s v="SPRINGER HEIDELBERG"/>
    <s v="HEIDELBERG"/>
    <s v="TIERGARTENSTRASSE 17, D-69121 HEIDELBERG, GERMANY"/>
    <s v="1598-2092"/>
    <s v="2093-4718"/>
    <s v=""/>
    <s v="J POWER ELECTRON"/>
    <s v="J. Power Electron."/>
    <s v="OCT 20"/>
    <x v="15"/>
    <n v="8"/>
    <n v="4"/>
    <s v=""/>
    <s v=""/>
    <s v=""/>
    <s v=""/>
    <n v="363"/>
    <n v="370"/>
    <s v=""/>
    <s v=""/>
    <s v=""/>
    <s v=""/>
    <s v=""/>
    <n v="8"/>
    <x v="125"/>
    <x v="0"/>
    <s v="Engineering"/>
    <s v="365XM"/>
    <s v=""/>
    <s v=""/>
    <s v=""/>
    <s v=""/>
    <s v="2023-11-15"/>
    <s v="WOS:000260442900009"/>
    <s v="View Full Record in Web of Science"/>
    <m/>
  </r>
  <r>
    <x v="656"/>
    <s v="J"/>
    <x v="646"/>
    <s v=""/>
    <s v=""/>
    <s v=""/>
    <s v="Fernandez Diaz, Elia; Correa Gorospe, Jose Miguel"/>
    <s v=""/>
    <s v=""/>
    <x v="654"/>
    <x v="256"/>
    <s v=""/>
    <s v=""/>
    <s v="Spanish"/>
    <s v="Article"/>
    <s v=""/>
    <s v=""/>
    <s v=""/>
    <s v=""/>
    <s v=""/>
    <x v="580"/>
    <x v="1"/>
    <s v="In the educational practice, the stage of the timely implementation of ICT must give way to a stadium in the transformation processes that lead to improvement and normalization of its use in the classroom, according to a model capable of combining resources and different in nature and format, reviewing and transforming the teaching work. In this line of reflection, on the action dovetailed work of our network of Preschool, generated around a training action that complements the use of a platform moodle with different tools of technology for social milestones of the process we highlight the following: Development projects collaborative learning centres where students spoke of Preschool and Primary. Review of methodological approaches and facilitation strategies to remove obstacles arising from the shortage of ICT resources in schools: guidelines for more flexible spaces and timetables, systematisation of sponsorships as digital strategies and Child tutoring for the use of technology and diversification of the clusters. Integration of tools of social technology and optimiztion of scaffoliding among participants to rethink and improve integration of ICT as well as contribute to the dissemination of experiences."/>
    <s v="[Fernandez Diaz, Elia] Univ Basque Country, Escuela Univ Magisterio, Dpto Didact, Onati Plaza 3, San Sebastian 20018, Spain; Univ Basque Country, Org Escolar, San Sebastian 20018, Spain"/>
    <s v="University of Basque Country; University of Basque Country"/>
    <s v="Díaz, EF (corresponding author), Univ Basque Country, Escuela Univ Magisterio, Dpto Didact, Onati Plaza 3, San Sebastian 20018, Spain."/>
    <s v="fernandez.elia@gmail.com; sgpcogoj@sc.ehu.es"/>
    <s v="Fernández-Díaz, Elia EFD/H-2790-2015; CORREA-GOROSPE, JOSE M./L-5627-2013"/>
    <s v="Fernández-Díaz, Elia EFD/0000-0003-0647-260X; CORREA-GOROSPE, JOSE M./0000-0002-6570-9905"/>
    <s v=""/>
    <s v=""/>
    <s v=""/>
    <s v=""/>
    <n v="12"/>
    <n v="0"/>
    <n v="0"/>
    <n v="0"/>
    <n v="0"/>
    <s v="UNIV EXTREMADURA, FAC EDUCACION"/>
    <s v="BADAJOZ"/>
    <s v="AV ELVAS S-N, BADAJOZ, 06071, SPAIN"/>
    <s v="1695-288X"/>
    <s v=""/>
    <s v=""/>
    <s v="REV LATINOAM TECNOL"/>
    <s v="Rev. Latinoam. Tecnol. Educ.-RELATEC"/>
    <s v=""/>
    <x v="15"/>
    <n v="7"/>
    <n v="2"/>
    <s v=""/>
    <s v=""/>
    <s v=""/>
    <s v=""/>
    <n v="45"/>
    <n v="55"/>
    <s v=""/>
    <s v=""/>
    <s v=""/>
    <s v=""/>
    <s v=""/>
    <n v="11"/>
    <x v="39"/>
    <x v="2"/>
    <s v="Education &amp; Educational Research"/>
    <s v="V54WX"/>
    <s v=""/>
    <s v=""/>
    <s v=""/>
    <s v=""/>
    <s v="2023-11-15"/>
    <s v="WOS:000210456200003"/>
    <s v="View Full Record in Web of Science"/>
    <m/>
  </r>
  <r>
    <x v="657"/>
    <s v="J"/>
    <x v="647"/>
    <s v=""/>
    <s v=""/>
    <s v=""/>
    <s v="Siakas, Kerstin; Kotsialos, Themis"/>
    <s v=""/>
    <s v=""/>
    <x v="655"/>
    <x v="475"/>
    <s v=""/>
    <s v=""/>
    <s v="Hungarian"/>
    <s v="Article"/>
    <s v=""/>
    <s v=""/>
    <s v=""/>
    <s v=""/>
    <s v=""/>
    <x v="581"/>
    <x v="440"/>
    <s v="The authors of this country report argue that the information society in Greece Is developing slowly, and Greece is close to the bottom of the EU ranking regarding most indicators. Broadband adoption is not sufficient, and even narrowband is not widespread. Due to shortcomings of the infrastructure, across all internet services usage is far below average. Accordingly, basic and specialist ICT skills in Greece are low. However, important encouraging steps are being taken to improve the situation. ICT development initiatives for regulation, education, and infrastructure development have been announced and several programs are being implemented. A fundamental precondition for success is rapid completion of liberalisation of the telecommunications services market. The Digital Strategy 2006-2013 alms at bridging the digital gap that still exists between Greece and other member states of the EU."/>
    <s v=""/>
    <s v=""/>
    <s v=""/>
    <s v="siaka@it.teithe.gr"/>
    <s v=""/>
    <s v=""/>
    <s v=""/>
    <s v=""/>
    <s v=""/>
    <s v=""/>
    <n v="39"/>
    <n v="0"/>
    <n v="0"/>
    <n v="0"/>
    <n v="0"/>
    <s v="INFONIA"/>
    <s v="BUDAPEST"/>
    <s v="MUEGYETEM RKP 9 II EMELET 210, BUDAPEST, 1111, HUNGARY"/>
    <s v="1587-8694"/>
    <s v=""/>
    <s v=""/>
    <s v="INF TARSAD"/>
    <s v="Inf. Tarsad."/>
    <s v=""/>
    <x v="15"/>
    <n v="8"/>
    <n v="3"/>
    <s v=""/>
    <s v=""/>
    <s v=""/>
    <s v=""/>
    <n v="82"/>
    <s v="+"/>
    <s v=""/>
    <s v=""/>
    <s v=""/>
    <s v=""/>
    <s v=""/>
    <n v="32"/>
    <x v="66"/>
    <x v="1"/>
    <s v="Information Science &amp; Library Science"/>
    <s v="363NX"/>
    <s v=""/>
    <s v=""/>
    <s v=""/>
    <s v=""/>
    <s v="2023-11-15"/>
    <s v="WOS:000260275100007"/>
    <s v="View Full Record in Web of Science"/>
    <m/>
  </r>
  <r>
    <x v="658"/>
    <s v="J"/>
    <x v="648"/>
    <s v=""/>
    <s v=""/>
    <s v=""/>
    <s v="Van Audenhove, Leo; Delaere, Simon; Ballon, Pieter"/>
    <s v=""/>
    <s v=""/>
    <x v="656"/>
    <x v="470"/>
    <s v=""/>
    <s v=""/>
    <s v="English"/>
    <s v="Article"/>
    <s v=""/>
    <s v=""/>
    <s v=""/>
    <s v=""/>
    <s v=""/>
    <x v="582"/>
    <x v="1"/>
    <s v="The article analyses the changes in business models employed by the stakeholders in the newspaper value network, in view of the introduction of mobile devices using electronic paper. These devices hold the promise of a mobile digital reading experience close to that of 'real' paper. The potential impact of massive digitally distributed reading content on the traditional publishing value chain could be significant. This article develops four scenarios outlining possible business models."/>
    <s v="[Van Audenhove, Leo; Delaere, Simon; Ballon, Pieter] SMIT Vrije Univ Brussel, IBBT, Brussels, Belgium"/>
    <s v=""/>
    <s v="Van Audenhove, L (corresponding author), SMIT Vrije Univ Brussel, IBBT, Brussels, Belgium."/>
    <s v=""/>
    <s v=""/>
    <s v="Ballon, Pieter/0000-0001-6066-3242; Van Audenhove, Leo/0000-0002-1093-9041; Delaere, Simon/0000-0003-3775-6592"/>
    <s v=""/>
    <s v=""/>
    <s v=""/>
    <s v=""/>
    <n v="20"/>
    <n v="1"/>
    <n v="1"/>
    <n v="0"/>
    <n v="1"/>
    <s v="ROUTLEDGE JOURNALS, TAYLOR &amp; FRANCIS LTD"/>
    <s v="ABINGDON"/>
    <s v="2-4 PARK SQUARE, MILTON PARK, ABINGDON OX14 4RN, OXON, ENGLAND"/>
    <s v="1652-2354"/>
    <s v="2376-2977"/>
    <s v=""/>
    <s v="J MEDIA RES STUD"/>
    <s v="J. Media Res. Stud."/>
    <s v=""/>
    <x v="15"/>
    <n v="5"/>
    <n v="2"/>
    <s v=""/>
    <s v=""/>
    <s v=""/>
    <s v=""/>
    <n v="47"/>
    <n v="69"/>
    <s v=""/>
    <s v="10.1080/16522354.2008.11073466"/>
    <s v="http://dx.doi.org/10.1080/16522354.2008.11073466"/>
    <s v=""/>
    <s v=""/>
    <n v="23"/>
    <x v="33"/>
    <x v="2"/>
    <s v="Business &amp; Economics"/>
    <s v="VA2DB"/>
    <s v=""/>
    <s v=""/>
    <s v=""/>
    <s v=""/>
    <s v="2023-11-15"/>
    <s v="WOS:000409716500003"/>
    <s v="View Full Record in Web of Science"/>
    <m/>
  </r>
  <r>
    <x v="659"/>
    <s v="J"/>
    <x v="649"/>
    <s v=""/>
    <s v=""/>
    <s v=""/>
    <s v="Ashton, Hazel; Thorns, David C."/>
    <s v=""/>
    <s v=""/>
    <x v="657"/>
    <x v="476"/>
    <s v=""/>
    <s v=""/>
    <s v="English"/>
    <s v="Article"/>
    <s v=""/>
    <s v=""/>
    <s v=""/>
    <s v=""/>
    <s v=""/>
    <x v="8"/>
    <x v="1"/>
    <s v="The article explores the decline in social connectivity and the questions of whether and how local populations can use information-communications technologies (ICTs) to help reconnect. At. the center of this debate are problems in conceptulizing community in today's globalizing network society. As well as challenges to older ideas about community, these problems include the impacts of numerous contemporary societal and global pressures on communities themselves. The first step of community renewal is what Scott Lash ( 1994) refers to as the retrieval of community which is to be a genuinely participatory process, rather than presuming community already exists or engineering a consensus about what it is or what it wants. Some governments are now Suggesting that a way to reconnect local populations ill order to recover lost sociability and rebuild social infrastructure is through using ICTs as a major tool. Using the New Zealand Government policy contained in the Connecting Communities programme (2002) and the Digital Strategy (2004), the article explores and provides it critique of the strategies being advocated, particularly with respect to the use of the concepts of community and connectivity. A case study of the development and use of ICT tools for community retrieval within a particular local area is Used to identify some pitfalls and argue for approaches to connectivity that effectively utilize ICTs as community networking tools."/>
    <s v="[Thorns, David C.] Univ Canterbury, Coll Arts, Sch Sociol &amp; Anthropol, Christchurch 1, New Zealand"/>
    <s v="University of Canterbury"/>
    <s v="Thorns, DC (corresponding author), Univ Canterbury, Coll Arts, Sch Sociol &amp; Anthropol, Private Bag 4800, Christchurch 1, New Zealand."/>
    <s v="david.thorns@canterbury.ac.nz"/>
    <s v=""/>
    <s v=""/>
    <s v=""/>
    <s v=""/>
    <s v=""/>
    <s v=""/>
    <n v="49"/>
    <n v="8"/>
    <n v="9"/>
    <n v="2"/>
    <n v="11"/>
    <s v="WILEY"/>
    <s v="HOBOKEN"/>
    <s v="111 RIVER ST, HOBOKEN 07030-5774, NJ USA"/>
    <s v="1535-6841"/>
    <s v="1540-6040"/>
    <s v=""/>
    <s v="CITY COMMUNITY"/>
    <s v="City Community"/>
    <s v="SEP"/>
    <x v="16"/>
    <n v="6"/>
    <n v="3"/>
    <s v=""/>
    <s v=""/>
    <s v=""/>
    <s v=""/>
    <n v="211"/>
    <n v="229"/>
    <s v=""/>
    <s v="10.1111/j.1540-6040.2007.00214.x"/>
    <s v="http://dx.doi.org/10.1111/j.1540-6040.2007.00214.x"/>
    <s v=""/>
    <s v=""/>
    <n v="19"/>
    <x v="188"/>
    <x v="1"/>
    <s v="Sociology; Urban Studies"/>
    <s v="346DK"/>
    <s v=""/>
    <s v=""/>
    <s v=""/>
    <s v=""/>
    <s v="2023-11-15"/>
    <s v="WOS:000259048400004"/>
    <s v="View Full Record in Web of Science"/>
    <m/>
  </r>
  <r>
    <x v="660"/>
    <s v="J"/>
    <x v="650"/>
    <s v=""/>
    <s v=""/>
    <s v=""/>
    <s v="De Venuto, Daniela; Reyneri, Leonardo"/>
    <s v=""/>
    <s v=""/>
    <x v="658"/>
    <x v="477"/>
    <s v=""/>
    <s v=""/>
    <s v="English"/>
    <s v="Article; Proceedings Paper"/>
    <s v="6th International Symposium on Quality Electronic Design"/>
    <s v="MAR 21-23, 2005"/>
    <s v="San Jose, CA"/>
    <s v="IEEE Electron Devices Soc,IEEE Components, Packaging &amp; Mfg Technol Soc,ACM SIGDA"/>
    <s v=""/>
    <x v="583"/>
    <x v="441"/>
    <s v="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7 Published by Elsevier Ltd."/>
    <s v="Politecn Bari, Dipartimento Elettrotecn &amp; Elettron, I-70125 Bari, Italy; Politecn Torino, Turin, Italy"/>
    <s v="Politecnico di Bari; Polytechnic University of Turin"/>
    <s v="Venuto, D (corresponding author), Politecn Bari, Dipartimento Elettrotecn &amp; Elettron, Via Orabona 4, I-70125 Bari, Italy."/>
    <s v="devenuto@deemail.poliba.it; leonardo.reyneri@polito.it"/>
    <s v=""/>
    <s v="DE VENUTO, Daniela/0000-0003-4563-7614"/>
    <s v=""/>
    <s v=""/>
    <s v=""/>
    <s v=""/>
    <n v="12"/>
    <n v="3"/>
    <n v="3"/>
    <n v="0"/>
    <n v="2"/>
    <s v="ELSEVIER SCI LTD"/>
    <s v="OXFORD"/>
    <s v="THE BOULEVARD, LANGFORD LANE, KIDLINGTON, OXFORD OX5 1GB, OXON, ENGLAND"/>
    <s v="0026-2692"/>
    <s v=""/>
    <s v=""/>
    <s v="MICROELECTRON J"/>
    <s v="Microelectron. J."/>
    <s v="APR-MAY"/>
    <x v="16"/>
    <n v="38"/>
    <s v="4-5"/>
    <s v=""/>
    <s v=""/>
    <s v="SI"/>
    <s v=""/>
    <n v="474"/>
    <n v="481"/>
    <s v=""/>
    <s v="10.1016/j.mejo.2006.08.005"/>
    <s v="http://dx.doi.org/10.1016/j.mejo.2006.08.005"/>
    <s v=""/>
    <s v=""/>
    <n v="8"/>
    <x v="189"/>
    <x v="12"/>
    <s v="Engineering; Science &amp; Technology - Other Topics"/>
    <s v="183KA"/>
    <s v=""/>
    <s v=""/>
    <s v=""/>
    <s v=""/>
    <s v="2023-11-15"/>
    <s v="WOS:000247570500004"/>
    <s v="View Full Record in Web of Science"/>
    <m/>
  </r>
  <r>
    <x v="661"/>
    <s v="J"/>
    <x v="651"/>
    <s v=""/>
    <s v=""/>
    <s v=""/>
    <s v="Smith, Paul; Steemers, Jeanette"/>
    <s v=""/>
    <s v=""/>
    <x v="659"/>
    <x v="478"/>
    <s v=""/>
    <s v=""/>
    <s v="English"/>
    <s v="Article"/>
    <s v=""/>
    <s v=""/>
    <s v=""/>
    <s v=""/>
    <s v=""/>
    <x v="8"/>
    <x v="1"/>
    <s v="Britain is almost unique in giving its incumbent public service broadcaster, the BBC, a leading role in driving digital, thereby hoping to hasten digital take-up, and thus allowing analogue switch-off by 2012. This paper is divided into two parts. The first part investigates the recent historical past with respect to the making of policy, drawing on the analytical framework of policy cycles. Why has the British government given the BBC a lead role in the move towards digital and how does this decision link and interconnect with other interweaving policy debates surrounding the BBC licence fee and Charter renewal? In a media environment, increasingly driven by commercial considerations, what are the key policy motivations for entrusting a publicly funded institution with a lead role in the digital era, and what have been the main challenges and policy dilemmas in doing this? Part two considers how the BBC has responded to government policy initiatives. What are the key building blocks of its digital strategy and just how comfortably do these sit with its public service remit? For digital means much more than just broadcasting, demanding responses to changes in the way that audiences are likely to interact with content in future. Yet, in positioning itself as a content provider, whose content will be available on demand on myriad future platforms, the Corporation is increasingly impinging on what commercial operators believe is their future route to profitability. In the light of this analysis, the paper concludes by assessing the compatibility of government policy and BBC strategy given their at times diverging aims and objectives, and what this means for the continuance of a public service ethos into the digital age."/>
    <s v="De Montfort Univ, Fac Humanities, Leicester LE1 9BH, Leics, England; Univ Westminster, Sch Media Arts &amp; Design, London W1R 8AL, England"/>
    <s v="De Montfort University; University of Westminster"/>
    <s v="Smith, P (corresponding author), De Montfort Univ, Fac Humanities, Leicester LE1 9BH, Leics, England."/>
    <s v="pasmith@dmu.ac.uk; J.Steemers@wmin.ac.uk"/>
    <s v=""/>
    <s v="Steemers, Jeanette/0000-0003-3436-741X"/>
    <s v=""/>
    <s v=""/>
    <s v=""/>
    <s v=""/>
    <n v="62"/>
    <n v="8"/>
    <n v="9"/>
    <n v="1"/>
    <n v="26"/>
    <s v="ROUTLEDGE JOURNALS, TAYLOR &amp; FRANCIS LTD"/>
    <s v="ABINGDON"/>
    <s v="2-4 PARK SQUARE, MILTON PARK, ABINGDON OX14 4RN, OXON, ENGLAND"/>
    <s v="1318-3222"/>
    <s v="1854-8377"/>
    <s v=""/>
    <s v="JAVNOST-PUBLIC"/>
    <s v="Javnost-Public"/>
    <s v="APR"/>
    <x v="16"/>
    <n v="14"/>
    <n v="1"/>
    <s v=""/>
    <s v=""/>
    <s v=""/>
    <s v=""/>
    <n v="39"/>
    <n v="55"/>
    <s v=""/>
    <s v="10.1080/13183222.2007.11008935"/>
    <s v="http://dx.doi.org/10.1080/13183222.2007.11008935"/>
    <s v=""/>
    <s v=""/>
    <n v="17"/>
    <x v="56"/>
    <x v="1"/>
    <s v="Communication"/>
    <s v="187JO"/>
    <s v=""/>
    <s v=""/>
    <s v=""/>
    <s v=""/>
    <s v="2023-11-15"/>
    <s v="WOS:000247843900003"/>
    <s v="View Full Record in Web of Science"/>
    <m/>
  </r>
  <r>
    <x v="662"/>
    <s v="J"/>
    <x v="652"/>
    <s v=""/>
    <s v=""/>
    <s v=""/>
    <s v="De Venuto, Daniela; Reyneri, Leonardo"/>
    <s v=""/>
    <s v=""/>
    <x v="660"/>
    <x v="477"/>
    <s v=""/>
    <s v=""/>
    <s v="English"/>
    <s v="Article"/>
    <s v=""/>
    <s v=""/>
    <s v=""/>
    <s v=""/>
    <s v=""/>
    <x v="584"/>
    <x v="442"/>
    <s v="This work describes a novel test strategy that uses digital stimuli for cheap, fast, though accurate, testing of high resolution Sigma Delta ADC's. Simulation results showed a detection sensitivity on specifications parameters of up to -100 dB. The proposed method can also help to reduce the cost of ADC production test, to extend test coverage and to enable built-in self-test and test-based self-calibration. (c) 2006 Elsevier Ltd. All rights reserved."/>
    <s v="Politecn Bari, Dipartimento Elettrotecn &amp; Elettron, I-70125 Bari, Italy; Politecn Torino, Dipartimento Elettron, I-10129 Turin, Italy"/>
    <s v="Politecnico di Bari; Polytechnic University of Turin"/>
    <s v="Venuto, D (corresponding author), Politecn Bari, Dipartimento Elettrotecn &amp; Elettron, Via Orabona 4, I-70125 Bari, Italy."/>
    <s v="d.devenuto@poliba.it; leonardo.reyneri@polito.it"/>
    <s v=""/>
    <s v="DE VENUTO, Daniela/0000-0003-4563-7614"/>
    <s v=""/>
    <s v=""/>
    <s v=""/>
    <s v=""/>
    <n v="13"/>
    <n v="1"/>
    <n v="1"/>
    <n v="0"/>
    <n v="2"/>
    <s v="ELSEVIER SCI LTD"/>
    <s v="OXFORD"/>
    <s v="THE BOULEVARD, LANGFORD LANE, KIDLINGTON, OXFORD OX5 1GB, OXON, ENGLAND"/>
    <s v="0026-2692"/>
    <s v=""/>
    <s v=""/>
    <s v="MICROELECTRON J"/>
    <s v="Microelectron. J."/>
    <s v="JAN"/>
    <x v="16"/>
    <n v="38"/>
    <n v="1"/>
    <s v=""/>
    <s v=""/>
    <s v=""/>
    <s v=""/>
    <n v="140"/>
    <n v="147"/>
    <s v=""/>
    <s v="10.1016/j.mejo.2006.08.002"/>
    <s v="http://dx.doi.org/10.1016/j.mejo.2006.08.002"/>
    <s v=""/>
    <s v=""/>
    <n v="8"/>
    <x v="189"/>
    <x v="0"/>
    <s v="Engineering; Science &amp; Technology - Other Topics"/>
    <s v="130XM"/>
    <s v=""/>
    <s v=""/>
    <s v=""/>
    <s v=""/>
    <s v="2023-11-15"/>
    <s v="WOS:000243832300026"/>
    <s v="View Full Record in Web of Science"/>
    <m/>
  </r>
  <r>
    <x v="663"/>
    <s v="J"/>
    <x v="653"/>
    <s v=""/>
    <s v=""/>
    <s v=""/>
    <s v="Rabold, Martin; Doll, Alexander; Goldschmidtboeing, Frank; Woias, Peter"/>
    <s v=""/>
    <s v=""/>
    <x v="661"/>
    <x v="479"/>
    <s v=""/>
    <s v=""/>
    <s v="English"/>
    <s v="Article"/>
    <s v=""/>
    <s v=""/>
    <s v=""/>
    <s v=""/>
    <s v=""/>
    <x v="8"/>
    <x v="1"/>
    <s v="This article presents a test method for a nondestructive strength characterization of full-wafer bonds. The test is based on a modification of the common destructive blister test. Thereby, special geometries enable a controlled crack generation at the bond interface. Based on the theory of energy conservation, a theoretical model was built up and a crack propagation parameter was introduced. Three test strategies were established, an analog strategy, that can be used for a statistical evaluation, a digital strategy, that enables a redundant test analysis, and a binary strategy, that can be used as one-shot measurement (similar to the common blister test) or as bond gauge to guarantee a certain bond strength. For the geometric design, analytical models in combination with numerical simulations were used. Bonded wafers including these test structures were fabricated and the bond strength was measured. The result was compared to the common double cantilever beam (DCB) test as a standard. An excellent agreement of both test methods was shown. (C) 2007 The Electrochemical Society."/>
    <s v="Univ Freiburg, Dept Microsyst Engn, Lab Design Microsyst, D-79110 Freiburg, Germany"/>
    <s v="University of Freiburg"/>
    <s v="Rabold, M (corresponding author), Univ Freiburg, Dept Microsyst Engn, Lab Design Microsyst, D-79110 Freiburg, Germany."/>
    <s v="rabold@imtek.de"/>
    <s v=""/>
    <s v=""/>
    <s v=""/>
    <s v=""/>
    <s v=""/>
    <s v=""/>
    <n v="18"/>
    <n v="3"/>
    <n v="3"/>
    <n v="1"/>
    <n v="9"/>
    <s v="ELECTROCHEMICAL SOC INC"/>
    <s v="PENNINGTON"/>
    <s v="65 SOUTH MAIN STREET, PENNINGTON, NJ 08534 USA"/>
    <s v="0013-4651"/>
    <s v="1945-7111"/>
    <s v=""/>
    <s v="J ELECTROCHEM SOC"/>
    <s v="J. Electrochem. Soc."/>
    <s v=""/>
    <x v="16"/>
    <n v="154"/>
    <n v="7"/>
    <s v=""/>
    <s v=""/>
    <s v=""/>
    <s v=""/>
    <s v="H647"/>
    <s v="H652"/>
    <s v=""/>
    <s v="10.1149/1.2737658"/>
    <s v="http://dx.doi.org/10.1149/1.2737658"/>
    <s v=""/>
    <s v=""/>
    <n v="6"/>
    <x v="190"/>
    <x v="0"/>
    <s v="Electrochemistry; Materials Science"/>
    <s v="173SE"/>
    <s v=""/>
    <s v=""/>
    <s v=""/>
    <s v=""/>
    <s v="2023-11-15"/>
    <s v="WOS:000246892000068"/>
    <s v="View Full Record in Web of Science"/>
    <m/>
  </r>
  <r>
    <x v="664"/>
    <s v="J"/>
    <x v="654"/>
    <s v=""/>
    <s v=""/>
    <s v=""/>
    <s v="Dennis, Everette E."/>
    <s v=""/>
    <s v=""/>
    <x v="662"/>
    <x v="480"/>
    <s v=""/>
    <s v=""/>
    <s v="English"/>
    <s v="Article"/>
    <s v=""/>
    <s v=""/>
    <s v=""/>
    <s v=""/>
    <s v=""/>
    <x v="8"/>
    <x v="1"/>
    <s v=""/>
    <s v="Fordhams Grad Sch Business New York City, New York, NY USA"/>
    <s v=""/>
    <s v="Dennis, EE (corresponding author), Fordhams Grad Sch Business New York City, New York, NY USA."/>
    <s v=""/>
    <s v=""/>
    <s v=""/>
    <s v=""/>
    <s v=""/>
    <s v=""/>
    <s v=""/>
    <n v="0"/>
    <n v="3"/>
    <n v="3"/>
    <n v="0"/>
    <n v="3"/>
    <s v="NATL ACAD TELEVISION ARTS SCIENCES"/>
    <s v="NEW YORK"/>
    <s v="111 W 57TH ST, #1020, NEW YORK, NY 10019 USA"/>
    <s v="0040-2796"/>
    <s v=""/>
    <s v=""/>
    <s v="TELEV QUART"/>
    <s v="Telev. Q."/>
    <s v="FAL"/>
    <x v="17"/>
    <n v="37"/>
    <n v="1"/>
    <s v=""/>
    <s v=""/>
    <s v=""/>
    <s v=""/>
    <n v="22"/>
    <n v="26"/>
    <s v=""/>
    <s v=""/>
    <s v=""/>
    <s v=""/>
    <s v=""/>
    <n v="5"/>
    <x v="109"/>
    <x v="5"/>
    <s v="Film, Radio &amp; Television"/>
    <s v="102UL"/>
    <s v=""/>
    <s v=""/>
    <s v=""/>
    <s v=""/>
    <s v="2023-11-15"/>
    <s v="WOS:000241838700005"/>
    <s v="View Full Record in Web of Science"/>
    <m/>
  </r>
  <r>
    <x v="665"/>
    <s v="J"/>
    <x v="655"/>
    <s v=""/>
    <s v=""/>
    <s v=""/>
    <s v="Davarpanah, M. R.; Khaleghi, Narges"/>
    <s v=""/>
    <s v=""/>
    <x v="663"/>
    <x v="481"/>
    <s v=""/>
    <s v=""/>
    <s v="English"/>
    <s v="Article"/>
    <s v=""/>
    <s v=""/>
    <s v=""/>
    <s v=""/>
    <s v=""/>
    <x v="585"/>
    <x v="1"/>
    <s v="Purpose - The objective of this research paper is to evaluate websites freely available on the internet from one country - Iran and to provide information about the quality of their content. Design/methodology/approach - General quality criteria were used for the evaluation. These included ownership and authorship, type of websites, purpose and scope of the sites, language, links, domain types, currency/updating of information, accessibility, services and facilities. Thus, in May and June 2004, 328 websites were selected using Yahoo, Google, Lycos, Iran Digest, and A Guide to Iranian Websites, to conduct searches. A check list was drawn up to review the information from the tools. Findings - The research revealed that among Iranian websites providing information on the internet, private sites were much more likely to be of poorer quality compared to sites of governmental organizations. Research limitations/implications - Because there are no authoritative search engines which are specifically Iranian, the data were collected by using a selection of five search tools over a limited period of time. Using only these search tools, 3735 websites were found. While this paper has surveyed the content of the websites, more research is needed to highlight the nature of the internet infrastructure and its use in this country. Originality/value - The websites of each country are regarded as a prime national gateway of information. The paper uses other work on evaluating national web presence and gives clear insight into Iran's websites and gives a model for evaluating the national web presence in any one country. Based on the results, national digital strategies can be devised to help make progress towards an effective and high quality national portfolio of websites."/>
    <s v="[Davarpanah, M. R.] Ferdowsi Univ Mashhad, Dept Lib &amp; Informat Sci, Mashhad, Iran; [Khaleghi, Narges] Qume Univ, Dept Lib &amp; Informat Sci, Qume, Iran"/>
    <s v="Ferdowsi University Mashhad"/>
    <s v="Davarpanah, MR (corresponding author), Ferdowsi Univ Mashhad, Dept Lib &amp; Informat Sci, Mashhad, Iran."/>
    <s v="mrdavarpanah@yahoo.com"/>
    <s v=""/>
    <s v="khaleghi, narges/0000-0003-3770-2789"/>
    <s v=""/>
    <s v=""/>
    <s v=""/>
    <s v=""/>
    <n v="11"/>
    <n v="1"/>
    <n v="1"/>
    <n v="0"/>
    <n v="0"/>
    <s v="EMERALD GROUP PUBLISHING LTD"/>
    <s v="BINGLEY"/>
    <s v="HOWARD HOUSE, WAGON LANE, BINGLEY BD16 1WA, W YORKSHIRE, ENGLAND"/>
    <s v="0024-2535"/>
    <s v="1758-793X"/>
    <s v=""/>
    <s v="LIBR REV"/>
    <s v="Libr. Rev."/>
    <s v=""/>
    <x v="17"/>
    <n v="55"/>
    <n v="9"/>
    <s v=""/>
    <s v=""/>
    <s v=""/>
    <s v=""/>
    <n v="621"/>
    <s v="+"/>
    <s v=""/>
    <s v="10.1108/00242530610706806"/>
    <s v="http://dx.doi.org/10.1108/00242530610706806"/>
    <s v=""/>
    <s v=""/>
    <n v="12"/>
    <x v="66"/>
    <x v="2"/>
    <s v="Information Science &amp; Library Science"/>
    <s v="V93GA"/>
    <s v=""/>
    <s v=""/>
    <s v=""/>
    <s v=""/>
    <s v="2023-11-15"/>
    <s v="WOS:000213048700007"/>
    <s v="View Full Record in Web of Science"/>
    <m/>
  </r>
  <r>
    <x v="666"/>
    <s v="J"/>
    <x v="656"/>
    <s v=""/>
    <s v=""/>
    <s v=""/>
    <s v="Dennis, Everette E.; Warley, Stephen; Sheridan, James"/>
    <s v=""/>
    <s v=""/>
    <x v="664"/>
    <x v="470"/>
    <s v=""/>
    <s v=""/>
    <s v="English"/>
    <s v="Article"/>
    <s v=""/>
    <s v=""/>
    <s v=""/>
    <s v=""/>
    <s v=""/>
    <x v="586"/>
    <x v="1"/>
    <s v="This study examines how major U.S. media companies are developing their digital strategies in the context of earlier work on convergence. Through rare interviews with media leaders and other sources, the ways that media corporations have coped with digital innovation following the dot-com crash are explored, including its delivery and the styles of leadership. The authors posit that media firms fall into three categories: leaders, learners and laggards."/>
    <s v="[Dennis, Everette E.; Warley, Stephen; Sheridan, James] Fordham Univ, Grad Sch Business, Bronx, NY 10458 USA"/>
    <s v="Fordham University"/>
    <s v="Dennis, EE (corresponding author), Fordham Univ, Grad Sch Business, Bronx, NY 10458 USA."/>
    <s v=""/>
    <s v=""/>
    <s v=""/>
    <s v=""/>
    <s v=""/>
    <s v=""/>
    <s v=""/>
    <n v="8"/>
    <n v="15"/>
    <n v="15"/>
    <n v="0"/>
    <n v="1"/>
    <s v="ROUTLEDGE JOURNALS, TAYLOR &amp; FRANCIS LTD"/>
    <s v="ABINGDON"/>
    <s v="2-4 PARK SQUARE, MILTON PARK, ABINGDON OX14 4RN, OXON, ENGLAND"/>
    <s v="1652-2354"/>
    <s v="2376-2977"/>
    <s v=""/>
    <s v="J MEDIA RES STUD"/>
    <s v="J. Media Res. Stud."/>
    <s v=""/>
    <x v="17"/>
    <n v="3"/>
    <n v="1"/>
    <s v=""/>
    <s v=""/>
    <s v=""/>
    <s v=""/>
    <n v="33"/>
    <n v="51"/>
    <s v=""/>
    <s v="10.1080/16522354.2006.11073438"/>
    <s v="http://dx.doi.org/10.1080/16522354.2006.11073438"/>
    <s v=""/>
    <s v=""/>
    <n v="19"/>
    <x v="33"/>
    <x v="2"/>
    <s v="Business &amp; Economics"/>
    <s v="VA1XM"/>
    <s v=""/>
    <s v=""/>
    <s v=""/>
    <s v=""/>
    <s v="2023-11-15"/>
    <s v="WOS:000409701800003"/>
    <s v="View Full Record in Web of Science"/>
    <m/>
  </r>
  <r>
    <x v="667"/>
    <s v="J"/>
    <x v="657"/>
    <s v=""/>
    <s v=""/>
    <s v=""/>
    <s v="McNulty, E"/>
    <s v=""/>
    <s v=""/>
    <x v="665"/>
    <x v="292"/>
    <s v=""/>
    <s v=""/>
    <s v="English"/>
    <s v="Article"/>
    <s v=""/>
    <s v=""/>
    <s v=""/>
    <s v=""/>
    <s v=""/>
    <x v="8"/>
    <x v="1"/>
    <s v="It's the busiest time of year for North Pole Workshops. Production is in high gear, and the elves are on overtime in the sprint toward Christmas. But an unexpected spike in demand for one toy may leave children around the world disappointed on Christmas morning, whether they've been naughty or nice. At the same time, another toy's popularity threatens to plummet, leaving Santa and his elves faced with the prospect of millions of unloved playthings left in the warehouse. This is the third time in three years that Santa's elves have been caught off guard by a toy's sudden surge in popularity. Earlier in the season, even just a month ago, it would have been possible to find capacity, but now every line is running full tilt. Oh, it used to be so simple, Santa ruminates. Wooden blocks, a train set, a doll... Now we have more than a million SKUs.... Trends jump across the oceans in an instant. I've asked the elves in the field to go beyond reporting on kids' behavior and start trend spotting. I've invested in software. But still I can't help thinking that one of these days we're not going to be able to do it. Santa and his staff are determined not to disappoint the children, but North Pole Workshops must find a way to improve its response to shifts in demand. Should Santa invest in better forecasting? Or does the answer lie in a more flexible supply chain? Commenting on this fictional case study are M. Eric Johnson, the director of the Glassmeyer/McNamee Center for Digital Strategies at Dartmouth's Tuck School of Business; Horst Brandstatter, the owner of Playmobil; Warren Hausman, a professor of operations management at Stanford University; and Anne Omrod, the CEO of the consulting firm John Galt Solutions."/>
    <s v="Harvard Univ, Business Sch Publishing, Conference Div, Boston, MA 02115 USA"/>
    <s v="Harvard University"/>
    <s v="McNulty, E (corresponding author), Harvard Univ, Business Sch Publishing, Conference Div, Boston, MA 02115 USA."/>
    <s v="emcnulty@hbsp.harvard.edu"/>
    <s v=""/>
    <s v=""/>
    <s v=""/>
    <s v=""/>
    <s v=""/>
    <s v=""/>
    <n v="0"/>
    <n v="0"/>
    <n v="0"/>
    <n v="0"/>
    <n v="5"/>
    <s v="HARVARD BUSINESS SCHOOL PUBLISHING CORPORATION"/>
    <s v="WATERTOWN"/>
    <s v="300 NORTH BEACON STREET, WATERTOWN, MA 02472 USA"/>
    <s v="0017-8012"/>
    <s v=""/>
    <s v=""/>
    <s v="HARVARD BUS REV"/>
    <s v="Harv. Bus. Rev."/>
    <s v="DEC"/>
    <x v="18"/>
    <n v="83"/>
    <n v="12"/>
    <s v=""/>
    <s v=""/>
    <s v=""/>
    <s v=""/>
    <n v="39"/>
    <s v="+"/>
    <s v=""/>
    <s v=""/>
    <s v=""/>
    <s v=""/>
    <s v=""/>
    <n v="9"/>
    <x v="6"/>
    <x v="1"/>
    <s v="Business &amp; Economics"/>
    <s v="986MP"/>
    <s v=""/>
    <s v=""/>
    <s v=""/>
    <s v=""/>
    <s v="2023-11-15"/>
    <s v="WOS:000233454000016"/>
    <s v="View Full Record in Web of Science"/>
    <m/>
  </r>
  <r>
    <x v="668"/>
    <s v="J"/>
    <x v="658"/>
    <s v=""/>
    <s v=""/>
    <s v=""/>
    <s v="Azaïs, F; Bertrand, Y; Renovell, M; Ivanov, A; Tabatabaei, S"/>
    <s v=""/>
    <s v=""/>
    <x v="666"/>
    <x v="482"/>
    <s v=""/>
    <s v=""/>
    <s v="English"/>
    <s v="Article"/>
    <s v=""/>
    <s v=""/>
    <s v=""/>
    <s v=""/>
    <s v=""/>
    <x v="8"/>
    <x v="1"/>
    <s v="Traditional functional testing of mixed-signal ICs is slow and requires costly, dedicated test equipment. The authors update the standard PLL architecture to allow simple digital testing. The all-digital strategy yields catastrophic fault coverage as high as that of the classical functional test, plus it is fast, extremely simple to implement and requires only standard digital test equipment."/>
    <s v="Univ Montpellier, CNRS, Microelect Dept, LIRMM, F-34392 Montpellier, France; Univ British Columbia, Dept Elect &amp; Comp Engn, Vancouver, BC V5Z 1M9, Canada"/>
    <s v="Centre National de la Recherche Scientifique (CNRS); Universite Paul-Valery; Universite Perpignan Via Domitia; Universite de Montpellier; University of British Columbia"/>
    <s v=""/>
    <s v="azais@lirmm.fr"/>
    <s v=""/>
    <s v=""/>
    <s v=""/>
    <s v=""/>
    <s v=""/>
    <s v=""/>
    <n v="12"/>
    <n v="27"/>
    <n v="28"/>
    <n v="0"/>
    <n v="1"/>
    <s v="IEEE COMPUTER SOC"/>
    <s v="LOS ALAMITOS"/>
    <s v="10662 LOS VAQUEROS CIRCLE, PO BOX 3014, LOS ALAMITOS, CA 90720-1314 USA"/>
    <s v="0740-7475"/>
    <s v="1558-1918"/>
    <s v=""/>
    <s v="IEEE DES TEST COMPUT"/>
    <s v="IEEE Des. Test Comput."/>
    <s v="JAN-FEB"/>
    <x v="19"/>
    <n v="20"/>
    <n v="1"/>
    <s v=""/>
    <s v=""/>
    <s v=""/>
    <s v=""/>
    <n v="60"/>
    <n v="67"/>
    <s v=""/>
    <s v="10.1109/MDT.2003.1173054"/>
    <s v="http://dx.doi.org/10.1109/MDT.2003.1173054"/>
    <s v=""/>
    <s v=""/>
    <n v="8"/>
    <x v="191"/>
    <x v="0"/>
    <s v="Computer Science; Engineering"/>
    <s v="634HG"/>
    <s v=""/>
    <s v=""/>
    <s v=""/>
    <s v=""/>
    <s v="2023-11-15"/>
    <s v="WOS:000180333500009"/>
    <s v="View Full Record in Web of Science"/>
    <m/>
  </r>
  <r>
    <x v="669"/>
    <s v="J"/>
    <x v="659"/>
    <s v=""/>
    <s v=""/>
    <s v=""/>
    <s v="Bermak, A; Boussaïd, F; Bouzerdoum, A"/>
    <s v=""/>
    <s v=""/>
    <x v="667"/>
    <x v="483"/>
    <s v=""/>
    <s v=""/>
    <s v="English"/>
    <s v="Article"/>
    <s v=""/>
    <s v=""/>
    <s v=""/>
    <s v=""/>
    <s v=""/>
    <x v="8"/>
    <x v="1"/>
    <s v="In this paper a CMOS vision chip featuring real-time on-chip image processing capabilities is presented. A sensor army, an analogue read-out processor and a digital image processor have been integrated on a single chip. The prototype can perform dynamic-range compression, noise filtering, edge detection and image enhancement. To achieve high-speed real-time processing, an efficient VLSI implementation based on a mixed-mode analogue-digital strategy is proposed. The proposed approach also leads to a very compact VLSI implementation of the analogue processing parts, allowing for 7590 of the silicon area to be fully dedicated to the 58 x 58-pixel array."/>
    <s v="Edith Cowan Univ, Sch Engn &amp; Math, Joondalup, WA 6027, Australia"/>
    <s v="Edith Cowan University"/>
    <s v="Bermak, A (corresponding author), Edith Cowan Univ, Sch Engn &amp; Math, Joondalup, WA 6027, Australia."/>
    <s v="a.bermak@ecu.edu.au; f.boussaid@ecu.edu.au; a.bouzerdoum@ecu.edu.au"/>
    <s v="Bermak, Amine/G-9915-2013; Bouzerdoum, Abdesselam/A-4479-2012"/>
    <s v="Bouzerdoum, Abdesselam/0000-0002-9163-0045; Bermak, Amine/0000-0003-4984-6093; BOUSSAID, FARID/0000-0001-7250-7407"/>
    <s v=""/>
    <s v=""/>
    <s v=""/>
    <s v=""/>
    <n v="6"/>
    <n v="5"/>
    <n v="5"/>
    <n v="0"/>
    <n v="1"/>
    <s v="IEEE CANADA"/>
    <s v="QUEBEC CITY"/>
    <s v="UNIVERSITE LAVAL, DEPT GENIE ELECTRIQUE, QUEBEC CITY, PQ G1K 7P4, CANADA"/>
    <s v="0840-8688"/>
    <s v=""/>
    <s v=""/>
    <s v="CAN J ELECT COMPUT E"/>
    <s v="Can. J. Electr. Comp. Eng.-Rev. Can. Genie Electr. Inform."/>
    <s v="JUL-OCT"/>
    <x v="20"/>
    <n v="26"/>
    <s v="3-4"/>
    <s v=""/>
    <s v=""/>
    <s v=""/>
    <s v=""/>
    <n v="153"/>
    <n v="157"/>
    <s v=""/>
    <s v=""/>
    <s v=""/>
    <s v=""/>
    <s v=""/>
    <n v="5"/>
    <x v="191"/>
    <x v="0"/>
    <s v="Computer Science; Engineering"/>
    <s v="530KR"/>
    <s v=""/>
    <s v=""/>
    <s v=""/>
    <s v=""/>
    <s v="2023-11-15"/>
    <s v="WOS:000174357300013"/>
    <s v="View Full Record in Web of Science"/>
    <m/>
  </r>
  <r>
    <x v="670"/>
    <s v="J"/>
    <x v="660"/>
    <s v=""/>
    <s v=""/>
    <s v=""/>
    <s v="Inouye, AS"/>
    <s v=""/>
    <s v=""/>
    <x v="668"/>
    <x v="484"/>
    <s v=""/>
    <s v=""/>
    <s v="English"/>
    <s v="Article"/>
    <s v=""/>
    <s v=""/>
    <s v=""/>
    <s v=""/>
    <s v=""/>
    <x v="8"/>
    <x v="1"/>
    <s v=""/>
    <s v="Comp Sci &amp; Telecommun Board, Washington, DC USA"/>
    <s v=""/>
    <s v="Inouye, AS (corresponding author), Comp Sci &amp; Telecommun Board, Washington, DC USA."/>
    <s v=""/>
    <s v=""/>
    <s v="Hedstrom, Margaret/0000-0002-0356-6806"/>
    <s v=""/>
    <s v=""/>
    <s v=""/>
    <s v=""/>
    <n v="0"/>
    <n v="2"/>
    <n v="2"/>
    <n v="1"/>
    <n v="9"/>
    <s v="ASSOC COMPUTING MACHINERY"/>
    <s v="NEW YORK"/>
    <s v="1515 BROADWAY, NEW YORK, NY 10036 USA"/>
    <s v="0001-0782"/>
    <s v=""/>
    <s v=""/>
    <s v="COMMUN ACM"/>
    <s v="Commun. ACM"/>
    <s v="MAY"/>
    <x v="20"/>
    <n v="44"/>
    <n v="5"/>
    <s v=""/>
    <s v=""/>
    <s v=""/>
    <s v=""/>
    <n v="43"/>
    <n v="43"/>
    <s v=""/>
    <s v="10.1145/374308.374336"/>
    <s v="http://dx.doi.org/10.1145/374308.374336"/>
    <s v=""/>
    <s v=""/>
    <n v="1"/>
    <x v="192"/>
    <x v="0"/>
    <s v="Computer Science"/>
    <s v="428PH"/>
    <s v=""/>
    <s v="Bronze"/>
    <s v=""/>
    <s v=""/>
    <s v="2023-11-15"/>
    <s v="WOS:000168469700012"/>
    <s v="View Full Record in Web of Science"/>
    <m/>
  </r>
  <r>
    <x v="671"/>
    <s v="J"/>
    <x v="661"/>
    <s v=""/>
    <s v=""/>
    <s v=""/>
    <s v="Coutu, DL"/>
    <s v=""/>
    <s v=""/>
    <x v="669"/>
    <x v="292"/>
    <s v=""/>
    <s v=""/>
    <s v="English"/>
    <s v="Article"/>
    <s v=""/>
    <s v=""/>
    <s v=""/>
    <s v=""/>
    <s v=""/>
    <x v="8"/>
    <x v="1"/>
    <s v="C.J. Albert, the head of family-owned Armor Coat insurance, is just settling in on a Sunday evening when he receives an unsettling phone call from his star salesman. Fifty-two-year-old Ed McGlynn has just returned from a business dinner with his younger technology mentor, and he's none too happy with the way he's being treated. If CJ. doesn't take this attack dog off him, Ed warns, he's gone. C.J. had indeed assigned 28-year-old Roger Sterling - the company's monomaniacal, slightly antisocial director of e-commerce-to teach Ed about digital strategy and the Web. Reverse mentoring seemed like a good way to create synergy between the sales and technology groups. The goal was to create a digital insurance product that would allow Armor Coat to keep up with its competitors. But there'd been tension between Ed and Roger right from the start - stemming from their personalities and their two departments. So when the two reluctantly agreed to meet for dinner to talk, the conversation didn't go well. Ed insisted that great sales reps, not the Internet, are crucial to selling insurance. Roger insisted that the Web will revolutionize the way insurance is sold and distributed - that Ed either give in or move on. Ed took off in a huff and subsequently phoned C.J. Roger followed Ed's irate call with his own weary ultimatum: Either Ed goes or I go. C.J. faces some difficult Monday-morning discussions with both disgruntled parties. What should he do? Six commentators, including a mentor-protege pair, offer their advice in this fictional case study."/>
    <s v=""/>
    <s v=""/>
    <s v=""/>
    <s v=""/>
    <s v=""/>
    <s v=""/>
    <s v=""/>
    <s v=""/>
    <s v=""/>
    <s v=""/>
    <n v="0"/>
    <n v="5"/>
    <n v="5"/>
    <n v="0"/>
    <n v="13"/>
    <s v="HARVARD BUSINESS SCHOOL PUBLISHING CORPORATION"/>
    <s v="BOSTON"/>
    <s v="60 HARVARD WAY, BOSTON, MA 02163 USA"/>
    <s v="0017-8012"/>
    <s v=""/>
    <s v=""/>
    <s v="HARVARD BUS REV"/>
    <s v="Harv. Bus. Rev."/>
    <s v="NOV-DEC"/>
    <x v="21"/>
    <n v="78"/>
    <n v="6"/>
    <s v=""/>
    <s v=""/>
    <s v=""/>
    <s v=""/>
    <n v="37"/>
    <s v="+"/>
    <s v=""/>
    <s v=""/>
    <s v=""/>
    <s v=""/>
    <s v=""/>
    <n v="180"/>
    <x v="6"/>
    <x v="1"/>
    <s v="Business &amp; Economics"/>
    <s v="368KL"/>
    <n v="11184976"/>
    <s v=""/>
    <s v=""/>
    <s v=""/>
    <s v="2023-11-15"/>
    <s v="WOS:000090116100009"/>
    <s v="View Full Record in Web of Science"/>
    <m/>
  </r>
  <r>
    <x v="672"/>
    <s v="J"/>
    <x v="662"/>
    <s v=""/>
    <s v=""/>
    <s v=""/>
    <s v="DJUKANOVIC, M; NEVICEVIC, M; SOBAJIC, DJ; PAO, YP"/>
    <s v=""/>
    <s v=""/>
    <x v="670"/>
    <x v="485"/>
    <s v=""/>
    <s v=""/>
    <s v="English"/>
    <s v="Article"/>
    <s v=""/>
    <s v=""/>
    <s v=""/>
    <s v=""/>
    <s v=""/>
    <x v="587"/>
    <x v="443"/>
    <s v="Design of a new adaptive optimal load frequency control (LFC) system using an artificial neural network (ANN) and its performance irt a computer simulation of the two-area load frequency control problem is demonstrated In order to achieve minimization of the excursions of area control errors (ACEs), their integrals and control vectors about the steady stare values over a wide range of operating conditions, it is desirable to adapt elements of the feedback matrix K. The control system design is based on the pattern recognition principle and ill implementation on the parallel distributed computational architecture of artificial neural networks. A comparison between neural-net based LFC and fuzzy logic based LFC is presented. The fuzzy logic controller based on a set of fuzzy logic operations that are performed on controller inputs, provides a means of converting a linguistic control strategy based on expert knowledge into an efficient control strategy. Digital simulations of two-area power system dynamic response subject to a disturbance of a step load change under different oper ating conditions are performed and the comparisons of conventional integral control, stare space optimal control and neural-net based optimal control are presented, The effectiveness of the proposed fuzzy logic controller is illustrated through the comparison of dynamic performances obtained using fuzzy controller and the state-space optimal controller."/>
    <s v="JUGEL,BELGRADE,YUGOSLAVIA; ELECT POWER RES INST,PALO ALTO,CA 94304; CASE WESTERN RESERVE UNIV,DEPT ELECT ENGN &amp; COMP SCI,CLEVELAND,OH 44106; AI WARE INC,CLEVELAND,OH 44106"/>
    <s v="Electric Power Research Institute (EPRI); Case Western Reserve University"/>
    <s v="DJUKANOVIC, M (corresponding author), ELECT ENGN INST NIKOLA TESLA,BELGRADE,YUGOSLAVIA."/>
    <s v=""/>
    <s v=""/>
    <s v=""/>
    <s v=""/>
    <s v=""/>
    <s v=""/>
    <s v=""/>
    <n v="26"/>
    <n v="37"/>
    <n v="37"/>
    <n v="0"/>
    <n v="0"/>
    <s v="C R L PUBLISHING LTD"/>
    <s v="MARKET HARBOROUGH"/>
    <s v="PO BOX 31, MARKET HARBOROUGH, LEICS, ENGLAND LE16 9RQ"/>
    <s v="0969-1170"/>
    <s v=""/>
    <s v=""/>
    <s v="ENG INTELL SYST ELEC"/>
    <s v="Eng. Intell. Syst. Elect. Eng. Commun."/>
    <s v="JUN"/>
    <x v="22"/>
    <n v="3"/>
    <n v="2"/>
    <s v=""/>
    <s v=""/>
    <s v=""/>
    <s v=""/>
    <n v="95"/>
    <n v="108"/>
    <s v=""/>
    <s v=""/>
    <s v=""/>
    <s v=""/>
    <s v=""/>
    <n v="14"/>
    <x v="193"/>
    <x v="0"/>
    <s v="Computer Science; Engineering"/>
    <s v="RE970"/>
    <s v=""/>
    <s v=""/>
    <s v=""/>
    <s v=""/>
    <s v="2023-11-15"/>
    <s v="WOS:A1995RE97000004"/>
    <s v="View Full Record in Web of Science"/>
    <m/>
  </r>
  <r>
    <x v="673"/>
    <s v="J"/>
    <x v="663"/>
    <s v=""/>
    <s v=""/>
    <s v=""/>
    <s v="CAMMARANO, R; STREET, R; MCCORMICK, PG; EVANS, ME"/>
    <s v=""/>
    <s v=""/>
    <x v="671"/>
    <x v="486"/>
    <s v=""/>
    <s v=""/>
    <s v="English"/>
    <s v="Article; Proceedings Paper"/>
    <s v="35TH ANNUAL CONF ON MAGNETISM AND MAGNETIC MATERIALS"/>
    <s v="OCT 29-NOV 01, 1990"/>
    <s v="SAN DIEGO, CA"/>
    <s v="AMER INST PHYS,IEEE, MAGNET SOC,AMER INST MIN MET &amp; PETR ENGINEERS, MET SOC,USN, OFF NAVAL RES,AMER SOC TESTING &amp; MAT,AMER PHYS SOC,AMER CERAM SOC"/>
    <s v=""/>
    <x v="8"/>
    <x v="444"/>
    <s v="An experimental procedure has been developed by which magnetization curves may be traversed at a constant rate of change of magnetic polarization, J. The new technique involves, in an iterative procedure, the use of a combination of closed- and open-loop digital strategies to control the magnetic field so that J remains constant over the majority of the hysteresis loop. As an application of the effectiveness of the technique, results obtained using Alnico permanent magnet materials are presented. The limitations of this method are reviewed in relation to material properties and the type of measurement system utilized. The consequences of using a digital control system and digital measurement techniques in the characterization of magnetic materials are discussed."/>
    <s v="UNIV WESTERN AUSTRALIA,DEPT PHYS,NEDLANDS,WA 6009,AUSTRALIA"/>
    <s v="University of Western Australia"/>
    <s v="CAMMARANO, R (corresponding author), UNIV WESTERN AUSTRALIA,DEPT MECH ENGN,NEDLANDS,WA 6009,AUSTRALIA."/>
    <s v=""/>
    <s v=""/>
    <s v=""/>
    <s v=""/>
    <s v=""/>
    <s v=""/>
    <s v=""/>
    <n v="8"/>
    <n v="3"/>
    <n v="3"/>
    <n v="0"/>
    <n v="2"/>
    <s v="AMER INST PHYSICS"/>
    <s v="WOODBURY"/>
    <s v="CIRCULATION FULFILLMENT DIV, 500 SUNNYSIDE BLVD, WOODBURY, NY 11797-2999"/>
    <s v="0021-8979"/>
    <s v=""/>
    <s v=""/>
    <s v="J APPL PHYS"/>
    <s v="J. Appl. Phys."/>
    <s v="APR 15"/>
    <x v="23"/>
    <n v="69"/>
    <n v="8"/>
    <s v="2A"/>
    <s v=""/>
    <s v=""/>
    <s v=""/>
    <n v="5100"/>
    <n v="5102"/>
    <s v=""/>
    <s v="10.1063/1.348136"/>
    <s v="http://dx.doi.org/10.1063/1.348136"/>
    <s v=""/>
    <s v=""/>
    <n v="3"/>
    <x v="194"/>
    <x v="13"/>
    <s v="Physics"/>
    <s v="FL732"/>
    <s v=""/>
    <s v=""/>
    <s v=""/>
    <s v=""/>
    <s v="2023-11-15"/>
    <s v="WOS:A1991FL73200238"/>
    <s v="View Full Record in Web of Science"/>
    <m/>
  </r>
  <r>
    <x v="674"/>
    <m/>
    <x v="664"/>
    <m/>
    <m/>
    <m/>
    <m/>
    <m/>
    <m/>
    <x v="672"/>
    <x v="487"/>
    <m/>
    <m/>
    <m/>
    <m/>
    <m/>
    <m/>
    <m/>
    <m/>
    <m/>
    <x v="588"/>
    <x v="445"/>
    <m/>
    <m/>
    <m/>
    <m/>
    <m/>
    <m/>
    <m/>
    <m/>
    <m/>
    <m/>
    <m/>
    <m/>
    <m/>
    <m/>
    <m/>
    <m/>
    <m/>
    <m/>
    <m/>
    <m/>
    <m/>
    <m/>
    <m/>
    <m/>
    <m/>
    <x v="24"/>
    <m/>
    <m/>
    <m/>
    <m/>
    <m/>
    <m/>
    <m/>
    <m/>
    <m/>
    <m/>
    <m/>
    <m/>
    <m/>
    <m/>
    <x v="195"/>
    <x v="14"/>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9" firstHeaderRow="1" firstDataRow="1" firstDataCol="1"/>
  <pivotFields count="7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6"/>
        <item x="12"/>
        <item x="4"/>
        <item x="10"/>
        <item x="9"/>
        <item x="3"/>
        <item x="2"/>
        <item x="13"/>
        <item x="8"/>
        <item x="1"/>
        <item x="11"/>
        <item x="0"/>
        <item x="5"/>
        <item x="7"/>
        <item t="default"/>
      </items>
    </pivotField>
    <pivotField showAll="0"/>
    <pivotField showAll="0"/>
    <pivotField showAll="0"/>
    <pivotField showAll="0"/>
    <pivotField showAll="0"/>
    <pivotField showAll="0"/>
    <pivotField showAll="0"/>
    <pivotField dataField="1" showAll="0">
      <items count="675">
        <item x="246"/>
        <item x="378"/>
        <item x="245"/>
        <item x="63"/>
        <item x="167"/>
        <item x="224"/>
        <item x="671"/>
        <item x="243"/>
        <item x="272"/>
        <item x="466"/>
        <item x="664"/>
        <item x="305"/>
        <item x="668"/>
        <item x="665"/>
        <item x="667"/>
        <item x="669"/>
        <item x="673"/>
        <item x="308"/>
        <item x="465"/>
        <item x="307"/>
        <item x="306"/>
        <item x="182"/>
        <item x="181"/>
        <item x="672"/>
        <item x="377"/>
        <item x="6"/>
        <item x="375"/>
        <item x="376"/>
        <item x="374"/>
        <item x="76"/>
        <item x="463"/>
        <item x="148"/>
        <item x="0"/>
        <item x="57"/>
        <item x="35"/>
        <item x="26"/>
        <item x="98"/>
        <item x="462"/>
        <item x="460"/>
        <item x="52"/>
        <item x="124"/>
        <item x="156"/>
        <item x="166"/>
        <item x="373"/>
        <item x="159"/>
        <item x="123"/>
        <item x="1"/>
        <item x="11"/>
        <item x="661"/>
        <item x="457"/>
        <item x="660"/>
        <item x="137"/>
        <item x="458"/>
        <item x="196"/>
        <item x="271"/>
        <item x="30"/>
        <item x="54"/>
        <item x="60"/>
        <item x="200"/>
        <item x="198"/>
        <item x="304"/>
        <item x="136"/>
        <item x="41"/>
        <item x="155"/>
        <item x="199"/>
        <item x="372"/>
        <item x="658"/>
        <item x="657"/>
        <item x="453"/>
        <item x="73"/>
        <item x="201"/>
        <item x="370"/>
        <item x="368"/>
        <item x="454"/>
        <item x="23"/>
        <item x="197"/>
        <item x="47"/>
        <item x="21"/>
        <item x="88"/>
        <item x="654"/>
        <item x="653"/>
        <item x="180"/>
        <item x="366"/>
        <item x="452"/>
        <item x="455"/>
        <item x="36"/>
        <item x="15"/>
        <item x="195"/>
        <item x="367"/>
        <item x="652"/>
        <item x="44"/>
        <item x="18"/>
        <item x="656"/>
        <item x="461"/>
        <item x="651"/>
        <item x="655"/>
        <item x="363"/>
        <item x="104"/>
        <item x="364"/>
        <item x="448"/>
        <item x="164"/>
        <item x="303"/>
        <item x="451"/>
        <item x="105"/>
        <item x="5"/>
        <item x="125"/>
        <item x="74"/>
        <item x="464"/>
        <item x="244"/>
        <item x="369"/>
        <item x="649"/>
        <item x="650"/>
        <item x="447"/>
        <item x="165"/>
        <item x="82"/>
        <item x="242"/>
        <item x="240"/>
        <item x="179"/>
        <item x="670"/>
        <item x="116"/>
        <item x="646"/>
        <item x="223"/>
        <item x="270"/>
        <item x="93"/>
        <item x="269"/>
        <item x="221"/>
        <item x="222"/>
        <item x="38"/>
        <item x="241"/>
        <item x="147"/>
        <item x="365"/>
        <item x="14"/>
        <item x="666"/>
        <item x="146"/>
        <item x="62"/>
        <item x="97"/>
        <item x="154"/>
        <item x="7"/>
        <item x="56"/>
        <item x="55"/>
        <item x="647"/>
        <item x="33"/>
        <item x="9"/>
        <item x="92"/>
        <item x="446"/>
        <item x="138"/>
        <item x="663"/>
        <item x="103"/>
        <item x="132"/>
        <item x="75"/>
        <item x="115"/>
        <item x="449"/>
        <item x="644"/>
        <item x="145"/>
        <item x="450"/>
        <item x="220"/>
        <item x="444"/>
        <item x="16"/>
        <item x="131"/>
        <item x="362"/>
        <item x="361"/>
        <item x="645"/>
        <item x="193"/>
        <item x="445"/>
        <item x="130"/>
        <item x="149"/>
        <item x="459"/>
        <item x="194"/>
        <item x="662"/>
        <item x="8"/>
        <item x="642"/>
        <item x="239"/>
        <item x="456"/>
        <item x="640"/>
        <item x="301"/>
        <item x="114"/>
        <item x="302"/>
        <item x="79"/>
        <item x="219"/>
        <item x="59"/>
        <item x="299"/>
        <item x="648"/>
        <item x="218"/>
        <item x="237"/>
        <item x="50"/>
        <item x="441"/>
        <item x="10"/>
        <item x="191"/>
        <item x="102"/>
        <item x="78"/>
        <item x="96"/>
        <item x="356"/>
        <item x="360"/>
        <item x="217"/>
        <item x="637"/>
        <item x="371"/>
        <item x="46"/>
        <item x="266"/>
        <item x="359"/>
        <item x="238"/>
        <item x="113"/>
        <item x="358"/>
        <item x="440"/>
        <item x="25"/>
        <item x="265"/>
        <item x="216"/>
        <item x="192"/>
        <item x="357"/>
        <item x="641"/>
        <item x="91"/>
        <item x="77"/>
        <item x="659"/>
        <item x="268"/>
        <item x="27"/>
        <item x="49"/>
        <item x="87"/>
        <item x="32"/>
        <item x="439"/>
        <item x="69"/>
        <item x="84"/>
        <item x="2"/>
        <item x="112"/>
        <item x="24"/>
        <item x="300"/>
        <item x="17"/>
        <item x="298"/>
        <item x="354"/>
        <item x="639"/>
        <item x="634"/>
        <item x="135"/>
        <item x="83"/>
        <item x="81"/>
        <item x="177"/>
        <item x="643"/>
        <item x="633"/>
        <item x="34"/>
        <item x="31"/>
        <item x="627"/>
        <item x="297"/>
        <item x="443"/>
        <item x="264"/>
        <item x="48"/>
        <item x="134"/>
        <item x="626"/>
        <item x="53"/>
        <item x="625"/>
        <item x="4"/>
        <item x="190"/>
        <item x="95"/>
        <item x="13"/>
        <item x="632"/>
        <item x="188"/>
        <item x="28"/>
        <item x="189"/>
        <item x="349"/>
        <item x="176"/>
        <item x="263"/>
        <item x="129"/>
        <item x="110"/>
        <item x="352"/>
        <item x="350"/>
        <item x="175"/>
        <item x="436"/>
        <item x="437"/>
        <item x="68"/>
        <item x="111"/>
        <item x="12"/>
        <item x="58"/>
        <item x="178"/>
        <item x="638"/>
        <item x="153"/>
        <item x="236"/>
        <item x="267"/>
        <item x="67"/>
        <item x="351"/>
        <item x="347"/>
        <item x="438"/>
        <item x="296"/>
        <item x="3"/>
        <item x="295"/>
        <item x="143"/>
        <item x="628"/>
        <item x="294"/>
        <item x="94"/>
        <item x="215"/>
        <item x="262"/>
        <item x="621"/>
        <item x="631"/>
        <item x="635"/>
        <item x="630"/>
        <item x="144"/>
        <item x="86"/>
        <item x="348"/>
        <item x="29"/>
        <item x="442"/>
        <item x="622"/>
        <item x="293"/>
        <item x="432"/>
        <item x="623"/>
        <item x="213"/>
        <item x="292"/>
        <item x="343"/>
        <item x="431"/>
        <item x="51"/>
        <item x="61"/>
        <item x="19"/>
        <item x="353"/>
        <item x="128"/>
        <item x="430"/>
        <item x="609"/>
        <item x="122"/>
        <item x="174"/>
        <item x="291"/>
        <item x="40"/>
        <item x="173"/>
        <item x="342"/>
        <item x="290"/>
        <item x="340"/>
        <item x="172"/>
        <item x="101"/>
        <item x="608"/>
        <item x="214"/>
        <item x="133"/>
        <item x="429"/>
        <item x="152"/>
        <item x="233"/>
        <item x="341"/>
        <item x="288"/>
        <item x="151"/>
        <item x="434"/>
        <item x="611"/>
        <item x="260"/>
        <item x="256"/>
        <item x="620"/>
        <item x="607"/>
        <item x="286"/>
        <item x="90"/>
        <item x="121"/>
        <item x="187"/>
        <item x="108"/>
        <item x="285"/>
        <item x="234"/>
        <item x="345"/>
        <item x="232"/>
        <item x="346"/>
        <item x="212"/>
        <item x="435"/>
        <item x="287"/>
        <item x="426"/>
        <item x="235"/>
        <item x="66"/>
        <item x="284"/>
        <item x="344"/>
        <item x="161"/>
        <item x="37"/>
        <item x="613"/>
        <item x="619"/>
        <item x="339"/>
        <item x="337"/>
        <item x="119"/>
        <item x="162"/>
        <item x="355"/>
        <item x="427"/>
        <item x="127"/>
        <item x="142"/>
        <item x="606"/>
        <item x="170"/>
        <item x="120"/>
        <item x="45"/>
        <item x="211"/>
        <item x="171"/>
        <item x="423"/>
        <item x="72"/>
        <item x="71"/>
        <item x="425"/>
        <item x="433"/>
        <item x="80"/>
        <item x="231"/>
        <item x="65"/>
        <item x="604"/>
        <item x="336"/>
        <item x="141"/>
        <item x="208"/>
        <item x="150"/>
        <item x="207"/>
        <item x="258"/>
        <item x="424"/>
        <item x="158"/>
        <item x="614"/>
        <item x="616"/>
        <item x="85"/>
        <item x="335"/>
        <item x="163"/>
        <item x="169"/>
        <item x="282"/>
        <item x="70"/>
        <item x="605"/>
        <item x="610"/>
        <item x="257"/>
        <item x="422"/>
        <item x="117"/>
        <item x="590"/>
        <item x="281"/>
        <item x="118"/>
        <item x="210"/>
        <item x="209"/>
        <item x="126"/>
        <item x="338"/>
        <item x="636"/>
        <item x="601"/>
        <item x="629"/>
        <item x="334"/>
        <item x="261"/>
        <item x="140"/>
        <item x="329"/>
        <item x="615"/>
        <item x="229"/>
        <item x="417"/>
        <item x="419"/>
        <item x="109"/>
        <item x="259"/>
        <item x="588"/>
        <item x="586"/>
        <item x="100"/>
        <item x="289"/>
        <item x="228"/>
        <item x="585"/>
        <item x="327"/>
        <item x="328"/>
        <item x="577"/>
        <item x="331"/>
        <item x="416"/>
        <item x="39"/>
        <item x="99"/>
        <item x="205"/>
        <item x="20"/>
        <item x="323"/>
        <item x="204"/>
        <item x="254"/>
        <item x="418"/>
        <item x="599"/>
        <item x="22"/>
        <item x="203"/>
        <item x="600"/>
        <item x="227"/>
        <item x="64"/>
        <item x="206"/>
        <item x="325"/>
        <item x="324"/>
        <item x="326"/>
        <item x="580"/>
        <item x="597"/>
        <item x="595"/>
        <item x="226"/>
        <item x="414"/>
        <item x="574"/>
        <item x="592"/>
        <item x="230"/>
        <item x="575"/>
        <item x="420"/>
        <item x="583"/>
        <item x="591"/>
        <item x="587"/>
        <item x="598"/>
        <item x="593"/>
        <item x="280"/>
        <item x="582"/>
        <item x="572"/>
        <item x="185"/>
        <item x="332"/>
        <item x="107"/>
        <item x="283"/>
        <item x="596"/>
        <item x="89"/>
        <item x="322"/>
        <item x="397"/>
        <item x="252"/>
        <item x="569"/>
        <item x="279"/>
        <item x="570"/>
        <item x="412"/>
        <item x="413"/>
        <item x="186"/>
        <item x="253"/>
        <item x="318"/>
        <item x="321"/>
        <item x="408"/>
        <item x="562"/>
        <item x="410"/>
        <item x="277"/>
        <item x="415"/>
        <item x="319"/>
        <item x="563"/>
        <item x="320"/>
        <item x="576"/>
        <item x="568"/>
        <item x="573"/>
        <item x="202"/>
        <item x="251"/>
        <item x="560"/>
        <item x="275"/>
        <item x="157"/>
        <item x="571"/>
        <item x="276"/>
        <item x="561"/>
        <item x="555"/>
        <item x="404"/>
        <item x="406"/>
        <item x="405"/>
        <item x="225"/>
        <item x="168"/>
        <item x="557"/>
        <item x="558"/>
        <item x="612"/>
        <item x="317"/>
        <item x="250"/>
        <item x="553"/>
        <item x="333"/>
        <item x="316"/>
        <item x="43"/>
        <item x="278"/>
        <item x="554"/>
        <item x="407"/>
        <item x="330"/>
        <item x="550"/>
        <item x="559"/>
        <item x="564"/>
        <item x="401"/>
        <item x="547"/>
        <item x="566"/>
        <item x="399"/>
        <item x="402"/>
        <item x="428"/>
        <item x="398"/>
        <item x="567"/>
        <item x="139"/>
        <item x="184"/>
        <item x="314"/>
        <item x="546"/>
        <item x="545"/>
        <item x="183"/>
        <item x="589"/>
        <item x="160"/>
        <item x="544"/>
        <item x="543"/>
        <item x="537"/>
        <item x="311"/>
        <item x="548"/>
        <item x="315"/>
        <item x="313"/>
        <item x="403"/>
        <item x="533"/>
        <item x="312"/>
        <item x="565"/>
        <item x="552"/>
        <item x="581"/>
        <item x="393"/>
        <item x="551"/>
        <item x="603"/>
        <item x="409"/>
        <item x="556"/>
        <item x="532"/>
        <item x="531"/>
        <item x="528"/>
        <item x="274"/>
        <item x="394"/>
        <item x="392"/>
        <item x="273"/>
        <item x="400"/>
        <item x="524"/>
        <item x="617"/>
        <item x="521"/>
        <item x="390"/>
        <item x="542"/>
        <item x="310"/>
        <item x="389"/>
        <item x="388"/>
        <item x="249"/>
        <item x="602"/>
        <item x="522"/>
        <item x="523"/>
        <item x="106"/>
        <item x="387"/>
        <item x="386"/>
        <item x="391"/>
        <item x="579"/>
        <item x="578"/>
        <item x="520"/>
        <item x="385"/>
        <item x="624"/>
        <item x="618"/>
        <item x="247"/>
        <item x="529"/>
        <item x="519"/>
        <item x="384"/>
        <item x="538"/>
        <item x="584"/>
        <item x="517"/>
        <item x="512"/>
        <item x="516"/>
        <item x="513"/>
        <item x="509"/>
        <item x="536"/>
        <item x="549"/>
        <item x="539"/>
        <item x="382"/>
        <item x="395"/>
        <item x="411"/>
        <item x="508"/>
        <item x="515"/>
        <item x="383"/>
        <item x="510"/>
        <item x="248"/>
        <item x="505"/>
        <item x="507"/>
        <item x="506"/>
        <item x="504"/>
        <item x="503"/>
        <item x="511"/>
        <item x="594"/>
        <item x="534"/>
        <item x="496"/>
        <item x="494"/>
        <item x="514"/>
        <item x="255"/>
        <item x="380"/>
        <item x="525"/>
        <item x="495"/>
        <item x="518"/>
        <item x="493"/>
        <item x="381"/>
        <item x="535"/>
        <item x="491"/>
        <item x="492"/>
        <item x="498"/>
        <item x="497"/>
        <item x="396"/>
        <item x="490"/>
        <item x="501"/>
        <item x="379"/>
        <item x="499"/>
        <item x="489"/>
        <item x="488"/>
        <item x="472"/>
        <item x="478"/>
        <item x="487"/>
        <item x="486"/>
        <item x="480"/>
        <item x="530"/>
        <item x="527"/>
        <item x="484"/>
        <item x="500"/>
        <item x="483"/>
        <item x="475"/>
        <item x="477"/>
        <item x="482"/>
        <item x="479"/>
        <item x="481"/>
        <item x="473"/>
        <item x="485"/>
        <item x="421"/>
        <item x="476"/>
        <item x="541"/>
        <item x="540"/>
        <item x="471"/>
        <item x="474"/>
        <item x="469"/>
        <item x="467"/>
        <item x="468"/>
        <item x="502"/>
        <item x="526"/>
        <item x="470"/>
        <item x="309"/>
        <item x="42"/>
        <item t="default"/>
      </items>
    </pivotField>
    <pivotField showAll="0"/>
  </pivotFields>
  <rowFields count="1">
    <field x="13"/>
  </rowFields>
  <rowItems count="6">
    <i>
      <x/>
    </i>
    <i>
      <x v="1"/>
    </i>
    <i>
      <x v="2"/>
    </i>
    <i>
      <x v="3"/>
    </i>
    <i>
      <x v="4"/>
    </i>
    <i t="grand">
      <x/>
    </i>
  </rowItems>
  <colItems count="1">
    <i/>
  </colItems>
  <dataFields count="1">
    <dataField name="Count of UT (Unique WOS ID)" fld="7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Tabla dinámica2" cacheId="1"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2">
  <location ref="E1:F2049" firstHeaderRow="1" firstDataRow="1" firstDataCol="1"/>
  <pivotFields count="1">
    <pivotField axis="axisRow" dataField="1" showAll="0" sortType="descending">
      <items count="2048">
        <item x="0"/>
        <item x="1"/>
        <item x="2"/>
        <item x="3"/>
        <item x="1426"/>
        <item x="4"/>
        <item x="1427"/>
        <item x="5"/>
        <item x="6"/>
        <item x="1428"/>
        <item x="1429"/>
        <item x="7"/>
        <item x="8"/>
        <item x="1430"/>
        <item x="9"/>
        <item x="10"/>
        <item x="11"/>
        <item x="12"/>
        <item x="13"/>
        <item x="14"/>
        <item x="1431"/>
        <item x="15"/>
        <item x="16"/>
        <item x="17"/>
        <item x="18"/>
        <item x="19"/>
        <item x="20"/>
        <item x="21"/>
        <item x="22"/>
        <item x="23"/>
        <item x="1432"/>
        <item x="24"/>
        <item x="1433"/>
        <item x="25"/>
        <item x="26"/>
        <item x="27"/>
        <item x="1434"/>
        <item x="28"/>
        <item x="1435"/>
        <item x="29"/>
        <item x="1436"/>
        <item x="30"/>
        <item x="1437"/>
        <item x="31"/>
        <item x="1438"/>
        <item x="1439"/>
        <item x="1440"/>
        <item x="32"/>
        <item x="33"/>
        <item x="1441"/>
        <item x="34"/>
        <item x="35"/>
        <item x="36"/>
        <item x="37"/>
        <item x="38"/>
        <item x="1442"/>
        <item x="1443"/>
        <item x="39"/>
        <item x="40"/>
        <item x="1444"/>
        <item x="41"/>
        <item x="1445"/>
        <item x="42"/>
        <item x="43"/>
        <item x="1446"/>
        <item x="44"/>
        <item x="45"/>
        <item x="1447"/>
        <item x="46"/>
        <item x="1448"/>
        <item x="47"/>
        <item x="48"/>
        <item x="1449"/>
        <item x="49"/>
        <item x="50"/>
        <item x="51"/>
        <item x="1450"/>
        <item x="1451"/>
        <item x="52"/>
        <item x="53"/>
        <item x="1452"/>
        <item x="1453"/>
        <item x="1454"/>
        <item x="54"/>
        <item x="55"/>
        <item x="56"/>
        <item x="1455"/>
        <item x="57"/>
        <item x="58"/>
        <item x="1456"/>
        <item x="59"/>
        <item x="1457"/>
        <item x="60"/>
        <item x="61"/>
        <item x="1458"/>
        <item x="62"/>
        <item x="63"/>
        <item x="64"/>
        <item x="65"/>
        <item x="66"/>
        <item x="67"/>
        <item x="1459"/>
        <item x="1460"/>
        <item x="68"/>
        <item x="69"/>
        <item x="70"/>
        <item x="71"/>
        <item x="1461"/>
        <item x="1462"/>
        <item x="72"/>
        <item x="73"/>
        <item x="74"/>
        <item x="75"/>
        <item x="76"/>
        <item x="1463"/>
        <item x="77"/>
        <item x="78"/>
        <item x="79"/>
        <item x="1464"/>
        <item x="80"/>
        <item x="81"/>
        <item x="82"/>
        <item x="83"/>
        <item x="84"/>
        <item x="85"/>
        <item x="1465"/>
        <item x="86"/>
        <item x="1466"/>
        <item x="87"/>
        <item x="88"/>
        <item x="1467"/>
        <item x="89"/>
        <item x="90"/>
        <item x="91"/>
        <item x="92"/>
        <item x="93"/>
        <item x="94"/>
        <item x="95"/>
        <item x="1468"/>
        <item x="1469"/>
        <item x="96"/>
        <item x="97"/>
        <item x="98"/>
        <item x="1470"/>
        <item x="99"/>
        <item x="100"/>
        <item x="101"/>
        <item x="102"/>
        <item x="1471"/>
        <item x="103"/>
        <item x="104"/>
        <item x="105"/>
        <item x="106"/>
        <item x="107"/>
        <item x="108"/>
        <item x="109"/>
        <item x="110"/>
        <item x="1472"/>
        <item x="1473"/>
        <item x="111"/>
        <item x="112"/>
        <item x="113"/>
        <item x="114"/>
        <item x="1474"/>
        <item x="115"/>
        <item x="116"/>
        <item x="117"/>
        <item x="118"/>
        <item x="119"/>
        <item x="120"/>
        <item x="121"/>
        <item x="122"/>
        <item x="1475"/>
        <item x="123"/>
        <item x="124"/>
        <item x="125"/>
        <item x="126"/>
        <item x="127"/>
        <item x="128"/>
        <item x="1476"/>
        <item x="129"/>
        <item x="130"/>
        <item x="131"/>
        <item x="132"/>
        <item x="1477"/>
        <item x="1478"/>
        <item x="133"/>
        <item x="134"/>
        <item x="135"/>
        <item x="136"/>
        <item x="137"/>
        <item x="138"/>
        <item x="139"/>
        <item x="140"/>
        <item x="1479"/>
        <item x="1480"/>
        <item x="1481"/>
        <item x="1482"/>
        <item x="1483"/>
        <item x="141"/>
        <item x="1484"/>
        <item x="142"/>
        <item x="143"/>
        <item x="1485"/>
        <item x="144"/>
        <item x="1486"/>
        <item x="1487"/>
        <item x="145"/>
        <item x="146"/>
        <item x="1488"/>
        <item x="147"/>
        <item x="148"/>
        <item x="149"/>
        <item x="1489"/>
        <item x="150"/>
        <item x="151"/>
        <item x="152"/>
        <item x="153"/>
        <item x="154"/>
        <item x="155"/>
        <item x="156"/>
        <item x="1490"/>
        <item x="157"/>
        <item x="1491"/>
        <item x="158"/>
        <item x="159"/>
        <item x="160"/>
        <item x="161"/>
        <item x="162"/>
        <item x="1492"/>
        <item x="163"/>
        <item x="164"/>
        <item x="165"/>
        <item x="166"/>
        <item x="167"/>
        <item x="168"/>
        <item x="169"/>
        <item x="170"/>
        <item x="171"/>
        <item x="172"/>
        <item x="173"/>
        <item x="174"/>
        <item x="1493"/>
        <item x="1494"/>
        <item x="1495"/>
        <item x="175"/>
        <item x="176"/>
        <item x="1496"/>
        <item x="1497"/>
        <item x="177"/>
        <item x="178"/>
        <item x="179"/>
        <item x="180"/>
        <item x="181"/>
        <item x="1498"/>
        <item x="182"/>
        <item x="1499"/>
        <item x="183"/>
        <item x="1500"/>
        <item x="1501"/>
        <item x="184"/>
        <item x="185"/>
        <item x="1502"/>
        <item x="186"/>
        <item x="1503"/>
        <item x="1504"/>
        <item x="187"/>
        <item x="188"/>
        <item x="1505"/>
        <item x="1506"/>
        <item x="189"/>
        <item x="190"/>
        <item x="191"/>
        <item x="1507"/>
        <item x="192"/>
        <item x="193"/>
        <item x="194"/>
        <item x="195"/>
        <item x="1508"/>
        <item x="1509"/>
        <item x="196"/>
        <item x="1510"/>
        <item x="1511"/>
        <item x="197"/>
        <item x="198"/>
        <item x="199"/>
        <item x="1512"/>
        <item x="1513"/>
        <item x="200"/>
        <item x="201"/>
        <item x="1514"/>
        <item x="1515"/>
        <item x="1516"/>
        <item x="202"/>
        <item x="203"/>
        <item x="204"/>
        <item x="1517"/>
        <item x="205"/>
        <item x="206"/>
        <item x="207"/>
        <item x="1518"/>
        <item x="1519"/>
        <item x="208"/>
        <item x="209"/>
        <item x="1520"/>
        <item x="1521"/>
        <item x="1522"/>
        <item x="1523"/>
        <item x="210"/>
        <item x="211"/>
        <item x="212"/>
        <item x="213"/>
        <item x="1524"/>
        <item x="214"/>
        <item x="1525"/>
        <item x="1526"/>
        <item x="215"/>
        <item x="216"/>
        <item x="1527"/>
        <item x="217"/>
        <item x="1528"/>
        <item x="1529"/>
        <item x="218"/>
        <item x="219"/>
        <item x="220"/>
        <item x="221"/>
        <item x="1530"/>
        <item x="222"/>
        <item x="223"/>
        <item x="224"/>
        <item x="1531"/>
        <item x="1532"/>
        <item x="225"/>
        <item x="226"/>
        <item x="227"/>
        <item x="1533"/>
        <item x="228"/>
        <item x="229"/>
        <item x="230"/>
        <item x="231"/>
        <item x="232"/>
        <item x="233"/>
        <item x="1534"/>
        <item x="1535"/>
        <item x="234"/>
        <item x="235"/>
        <item x="236"/>
        <item x="237"/>
        <item x="1536"/>
        <item x="238"/>
        <item x="239"/>
        <item x="240"/>
        <item x="1537"/>
        <item x="1538"/>
        <item x="241"/>
        <item x="242"/>
        <item x="243"/>
        <item x="244"/>
        <item x="245"/>
        <item x="246"/>
        <item x="247"/>
        <item x="1539"/>
        <item x="248"/>
        <item x="249"/>
        <item x="250"/>
        <item x="251"/>
        <item x="252"/>
        <item x="1540"/>
        <item x="253"/>
        <item x="254"/>
        <item x="255"/>
        <item x="256"/>
        <item x="257"/>
        <item x="1541"/>
        <item x="258"/>
        <item x="259"/>
        <item x="260"/>
        <item x="261"/>
        <item x="1542"/>
        <item x="262"/>
        <item x="1543"/>
        <item x="1544"/>
        <item x="263"/>
        <item x="264"/>
        <item x="265"/>
        <item x="266"/>
        <item x="1545"/>
        <item x="267"/>
        <item x="1546"/>
        <item x="1547"/>
        <item x="268"/>
        <item x="269"/>
        <item x="270"/>
        <item x="271"/>
        <item x="1548"/>
        <item x="1549"/>
        <item x="1550"/>
        <item x="1551"/>
        <item x="272"/>
        <item x="273"/>
        <item x="1552"/>
        <item x="1553"/>
        <item x="274"/>
        <item x="1554"/>
        <item x="1555"/>
        <item x="275"/>
        <item x="276"/>
        <item x="277"/>
        <item x="278"/>
        <item x="279"/>
        <item x="280"/>
        <item x="281"/>
        <item x="282"/>
        <item x="283"/>
        <item x="284"/>
        <item x="285"/>
        <item x="286"/>
        <item x="1556"/>
        <item x="287"/>
        <item x="288"/>
        <item x="1557"/>
        <item x="289"/>
        <item x="290"/>
        <item x="291"/>
        <item x="292"/>
        <item x="293"/>
        <item x="294"/>
        <item x="1558"/>
        <item x="295"/>
        <item x="1559"/>
        <item x="1560"/>
        <item x="1561"/>
        <item x="296"/>
        <item x="297"/>
        <item x="298"/>
        <item x="299"/>
        <item x="300"/>
        <item x="1562"/>
        <item x="301"/>
        <item x="302"/>
        <item x="303"/>
        <item x="304"/>
        <item x="1563"/>
        <item x="1564"/>
        <item x="1565"/>
        <item x="305"/>
        <item x="1566"/>
        <item x="306"/>
        <item x="307"/>
        <item x="1567"/>
        <item x="1568"/>
        <item x="308"/>
        <item x="309"/>
        <item x="310"/>
        <item x="1569"/>
        <item x="311"/>
        <item x="1570"/>
        <item x="312"/>
        <item x="1571"/>
        <item x="1572"/>
        <item x="1573"/>
        <item x="313"/>
        <item x="1574"/>
        <item x="314"/>
        <item x="315"/>
        <item x="1575"/>
        <item x="316"/>
        <item x="317"/>
        <item x="318"/>
        <item x="319"/>
        <item x="320"/>
        <item x="321"/>
        <item x="322"/>
        <item x="323"/>
        <item x="1576"/>
        <item x="324"/>
        <item x="325"/>
        <item x="326"/>
        <item x="1577"/>
        <item x="327"/>
        <item x="328"/>
        <item x="329"/>
        <item x="1578"/>
        <item x="330"/>
        <item x="1579"/>
        <item x="331"/>
        <item x="332"/>
        <item x="333"/>
        <item x="334"/>
        <item x="335"/>
        <item x="336"/>
        <item x="337"/>
        <item x="1580"/>
        <item x="338"/>
        <item x="339"/>
        <item x="1581"/>
        <item x="340"/>
        <item x="1582"/>
        <item x="341"/>
        <item x="1583"/>
        <item x="1584"/>
        <item x="342"/>
        <item x="343"/>
        <item x="1585"/>
        <item x="344"/>
        <item x="1586"/>
        <item x="345"/>
        <item x="346"/>
        <item x="347"/>
        <item x="1587"/>
        <item x="1588"/>
        <item x="348"/>
        <item x="1589"/>
        <item x="349"/>
        <item x="350"/>
        <item x="351"/>
        <item x="1590"/>
        <item x="352"/>
        <item x="1591"/>
        <item x="353"/>
        <item x="354"/>
        <item x="355"/>
        <item x="356"/>
        <item x="1592"/>
        <item x="1593"/>
        <item x="357"/>
        <item x="358"/>
        <item x="359"/>
        <item x="1594"/>
        <item x="1595"/>
        <item x="360"/>
        <item x="361"/>
        <item x="362"/>
        <item x="363"/>
        <item x="1596"/>
        <item x="364"/>
        <item x="365"/>
        <item x="366"/>
        <item x="367"/>
        <item x="1597"/>
        <item x="1598"/>
        <item x="368"/>
        <item x="369"/>
        <item x="370"/>
        <item x="371"/>
        <item x="1599"/>
        <item x="1600"/>
        <item x="372"/>
        <item x="373"/>
        <item x="374"/>
        <item x="1601"/>
        <item x="375"/>
        <item x="376"/>
        <item x="1602"/>
        <item x="377"/>
        <item x="378"/>
        <item x="379"/>
        <item x="1603"/>
        <item x="380"/>
        <item x="381"/>
        <item x="382"/>
        <item x="383"/>
        <item x="384"/>
        <item x="385"/>
        <item x="386"/>
        <item x="1604"/>
        <item x="387"/>
        <item x="1605"/>
        <item x="388"/>
        <item x="389"/>
        <item x="1606"/>
        <item x="390"/>
        <item x="391"/>
        <item x="392"/>
        <item x="393"/>
        <item x="394"/>
        <item x="395"/>
        <item x="1607"/>
        <item x="396"/>
        <item x="397"/>
        <item x="398"/>
        <item x="399"/>
        <item x="400"/>
        <item x="1608"/>
        <item x="1609"/>
        <item x="1610"/>
        <item x="1611"/>
        <item x="401"/>
        <item x="402"/>
        <item x="403"/>
        <item x="404"/>
        <item x="405"/>
        <item x="406"/>
        <item x="407"/>
        <item x="1612"/>
        <item x="408"/>
        <item x="409"/>
        <item x="1613"/>
        <item x="1614"/>
        <item x="1615"/>
        <item x="1616"/>
        <item x="410"/>
        <item x="411"/>
        <item x="412"/>
        <item x="413"/>
        <item x="414"/>
        <item x="1617"/>
        <item x="415"/>
        <item x="416"/>
        <item x="1618"/>
        <item x="417"/>
        <item x="1619"/>
        <item x="418"/>
        <item x="1620"/>
        <item x="419"/>
        <item x="420"/>
        <item x="421"/>
        <item x="1621"/>
        <item x="1622"/>
        <item x="422"/>
        <item x="423"/>
        <item x="424"/>
        <item x="425"/>
        <item x="1623"/>
        <item x="426"/>
        <item x="427"/>
        <item x="428"/>
        <item x="429"/>
        <item x="1624"/>
        <item x="1625"/>
        <item x="1626"/>
        <item x="430"/>
        <item x="431"/>
        <item x="432"/>
        <item x="1627"/>
        <item x="433"/>
        <item x="434"/>
        <item x="1628"/>
        <item x="435"/>
        <item x="436"/>
        <item x="437"/>
        <item x="438"/>
        <item x="1629"/>
        <item x="1630"/>
        <item x="439"/>
        <item x="440"/>
        <item x="441"/>
        <item x="442"/>
        <item x="443"/>
        <item x="444"/>
        <item x="445"/>
        <item x="1631"/>
        <item x="446"/>
        <item x="447"/>
        <item x="448"/>
        <item x="1632"/>
        <item x="449"/>
        <item x="450"/>
        <item x="451"/>
        <item x="452"/>
        <item x="1633"/>
        <item x="453"/>
        <item x="454"/>
        <item x="455"/>
        <item x="456"/>
        <item x="1634"/>
        <item x="457"/>
        <item x="458"/>
        <item x="459"/>
        <item x="460"/>
        <item x="1635"/>
        <item x="461"/>
        <item x="1636"/>
        <item x="462"/>
        <item x="463"/>
        <item x="464"/>
        <item x="465"/>
        <item x="1637"/>
        <item x="1638"/>
        <item x="466"/>
        <item x="467"/>
        <item x="1639"/>
        <item x="468"/>
        <item x="469"/>
        <item x="470"/>
        <item x="471"/>
        <item x="472"/>
        <item x="473"/>
        <item x="474"/>
        <item x="475"/>
        <item x="1640"/>
        <item x="1641"/>
        <item x="1642"/>
        <item x="1643"/>
        <item x="1644"/>
        <item x="476"/>
        <item x="477"/>
        <item x="478"/>
        <item x="1645"/>
        <item x="479"/>
        <item x="1646"/>
        <item x="1647"/>
        <item x="1648"/>
        <item x="480"/>
        <item x="481"/>
        <item x="482"/>
        <item x="1649"/>
        <item x="483"/>
        <item x="484"/>
        <item x="485"/>
        <item x="1650"/>
        <item x="1651"/>
        <item x="486"/>
        <item x="487"/>
        <item x="1652"/>
        <item x="488"/>
        <item x="489"/>
        <item x="490"/>
        <item x="491"/>
        <item x="492"/>
        <item x="1653"/>
        <item x="493"/>
        <item x="494"/>
        <item x="495"/>
        <item x="1654"/>
        <item x="1655"/>
        <item x="496"/>
        <item x="497"/>
        <item x="498"/>
        <item x="1656"/>
        <item x="499"/>
        <item x="1657"/>
        <item x="500"/>
        <item x="501"/>
        <item x="502"/>
        <item x="1658"/>
        <item x="503"/>
        <item x="504"/>
        <item x="505"/>
        <item x="506"/>
        <item x="507"/>
        <item x="508"/>
        <item x="509"/>
        <item x="1659"/>
        <item x="510"/>
        <item x="511"/>
        <item x="512"/>
        <item x="513"/>
        <item x="514"/>
        <item x="515"/>
        <item x="1660"/>
        <item x="516"/>
        <item x="1661"/>
        <item x="517"/>
        <item x="518"/>
        <item x="1662"/>
        <item x="519"/>
        <item x="520"/>
        <item x="521"/>
        <item x="522"/>
        <item x="523"/>
        <item x="524"/>
        <item x="1663"/>
        <item x="1664"/>
        <item x="525"/>
        <item x="526"/>
        <item x="527"/>
        <item x="1665"/>
        <item x="528"/>
        <item x="1666"/>
        <item x="529"/>
        <item x="530"/>
        <item x="1667"/>
        <item x="531"/>
        <item x="532"/>
        <item x="533"/>
        <item x="534"/>
        <item x="535"/>
        <item x="536"/>
        <item x="1668"/>
        <item x="537"/>
        <item x="538"/>
        <item x="1669"/>
        <item x="539"/>
        <item x="540"/>
        <item x="1670"/>
        <item x="1671"/>
        <item x="541"/>
        <item x="1672"/>
        <item x="542"/>
        <item x="543"/>
        <item x="544"/>
        <item x="545"/>
        <item x="546"/>
        <item x="1673"/>
        <item x="547"/>
        <item x="548"/>
        <item x="549"/>
        <item x="1674"/>
        <item x="550"/>
        <item x="551"/>
        <item x="552"/>
        <item x="553"/>
        <item x="554"/>
        <item x="555"/>
        <item x="1675"/>
        <item x="556"/>
        <item x="557"/>
        <item x="558"/>
        <item x="559"/>
        <item x="1676"/>
        <item x="560"/>
        <item x="561"/>
        <item x="1677"/>
        <item x="562"/>
        <item x="563"/>
        <item x="564"/>
        <item x="1678"/>
        <item x="1679"/>
        <item x="565"/>
        <item x="566"/>
        <item x="1680"/>
        <item x="1681"/>
        <item x="567"/>
        <item x="568"/>
        <item x="569"/>
        <item x="570"/>
        <item x="571"/>
        <item x="572"/>
        <item x="573"/>
        <item x="574"/>
        <item x="575"/>
        <item x="576"/>
        <item x="577"/>
        <item x="578"/>
        <item x="579"/>
        <item x="580"/>
        <item x="1682"/>
        <item x="581"/>
        <item x="582"/>
        <item x="1683"/>
        <item x="583"/>
        <item x="584"/>
        <item x="1684"/>
        <item x="585"/>
        <item x="586"/>
        <item x="587"/>
        <item x="588"/>
        <item x="1685"/>
        <item x="589"/>
        <item x="590"/>
        <item x="591"/>
        <item x="592"/>
        <item x="593"/>
        <item x="594"/>
        <item x="1686"/>
        <item x="595"/>
        <item x="1687"/>
        <item x="596"/>
        <item x="1688"/>
        <item x="1689"/>
        <item x="597"/>
        <item x="598"/>
        <item x="599"/>
        <item x="600"/>
        <item x="601"/>
        <item x="1690"/>
        <item x="1691"/>
        <item x="602"/>
        <item x="603"/>
        <item x="1692"/>
        <item x="1693"/>
        <item x="604"/>
        <item x="605"/>
        <item x="606"/>
        <item x="1694"/>
        <item x="607"/>
        <item x="1695"/>
        <item x="608"/>
        <item x="609"/>
        <item x="1696"/>
        <item x="1697"/>
        <item x="610"/>
        <item x="1698"/>
        <item x="611"/>
        <item x="1699"/>
        <item x="612"/>
        <item x="1700"/>
        <item x="613"/>
        <item x="614"/>
        <item x="615"/>
        <item x="1701"/>
        <item x="1702"/>
        <item x="616"/>
        <item x="1703"/>
        <item x="617"/>
        <item x="1704"/>
        <item x="618"/>
        <item x="1705"/>
        <item x="1706"/>
        <item x="1707"/>
        <item x="619"/>
        <item x="620"/>
        <item x="1708"/>
        <item x="1709"/>
        <item x="621"/>
        <item x="1710"/>
        <item x="1711"/>
        <item x="622"/>
        <item x="623"/>
        <item x="624"/>
        <item x="625"/>
        <item x="626"/>
        <item x="1712"/>
        <item x="627"/>
        <item x="1713"/>
        <item x="628"/>
        <item x="629"/>
        <item x="1714"/>
        <item x="1715"/>
        <item x="630"/>
        <item x="1716"/>
        <item x="631"/>
        <item x="632"/>
        <item x="633"/>
        <item x="634"/>
        <item x="635"/>
        <item x="636"/>
        <item x="637"/>
        <item x="638"/>
        <item x="639"/>
        <item x="640"/>
        <item x="641"/>
        <item x="642"/>
        <item x="643"/>
        <item x="644"/>
        <item x="645"/>
        <item x="646"/>
        <item x="647"/>
        <item x="648"/>
        <item x="1717"/>
        <item x="649"/>
        <item x="650"/>
        <item x="1718"/>
        <item x="651"/>
        <item x="652"/>
        <item x="653"/>
        <item x="1719"/>
        <item x="654"/>
        <item x="655"/>
        <item x="1720"/>
        <item x="656"/>
        <item x="1721"/>
        <item x="1722"/>
        <item x="657"/>
        <item x="1723"/>
        <item x="658"/>
        <item x="659"/>
        <item x="660"/>
        <item x="1724"/>
        <item x="661"/>
        <item x="662"/>
        <item x="663"/>
        <item x="1725"/>
        <item x="1726"/>
        <item x="664"/>
        <item x="665"/>
        <item x="666"/>
        <item x="667"/>
        <item x="668"/>
        <item x="669"/>
        <item x="1727"/>
        <item x="670"/>
        <item x="1728"/>
        <item x="1729"/>
        <item x="671"/>
        <item x="672"/>
        <item x="673"/>
        <item x="674"/>
        <item x="1730"/>
        <item x="675"/>
        <item x="676"/>
        <item x="1731"/>
        <item x="677"/>
        <item x="678"/>
        <item x="679"/>
        <item x="680"/>
        <item x="681"/>
        <item x="682"/>
        <item x="683"/>
        <item x="684"/>
        <item x="685"/>
        <item x="1732"/>
        <item x="686"/>
        <item x="687"/>
        <item x="1733"/>
        <item x="1734"/>
        <item x="688"/>
        <item x="689"/>
        <item x="690"/>
        <item x="691"/>
        <item x="692"/>
        <item x="693"/>
        <item x="694"/>
        <item x="695"/>
        <item x="696"/>
        <item x="697"/>
        <item x="698"/>
        <item x="699"/>
        <item x="1735"/>
        <item x="1736"/>
        <item x="700"/>
        <item x="701"/>
        <item x="1737"/>
        <item x="702"/>
        <item x="703"/>
        <item x="1738"/>
        <item x="704"/>
        <item x="705"/>
        <item x="706"/>
        <item x="1739"/>
        <item x="707"/>
        <item x="708"/>
        <item x="709"/>
        <item x="710"/>
        <item x="1740"/>
        <item x="1741"/>
        <item x="1742"/>
        <item x="711"/>
        <item x="712"/>
        <item x="713"/>
        <item x="714"/>
        <item x="1743"/>
        <item x="715"/>
        <item x="716"/>
        <item x="717"/>
        <item x="718"/>
        <item x="1744"/>
        <item x="1745"/>
        <item x="1746"/>
        <item x="719"/>
        <item x="1747"/>
        <item x="720"/>
        <item x="721"/>
        <item x="722"/>
        <item x="723"/>
        <item x="724"/>
        <item x="725"/>
        <item x="726"/>
        <item x="1748"/>
        <item x="1749"/>
        <item x="727"/>
        <item x="1750"/>
        <item x="728"/>
        <item x="729"/>
        <item x="730"/>
        <item x="731"/>
        <item x="732"/>
        <item x="733"/>
        <item x="734"/>
        <item x="735"/>
        <item x="736"/>
        <item x="737"/>
        <item x="738"/>
        <item x="1751"/>
        <item x="739"/>
        <item x="740"/>
        <item x="741"/>
        <item x="1752"/>
        <item x="1753"/>
        <item x="1754"/>
        <item x="742"/>
        <item x="743"/>
        <item x="744"/>
        <item x="745"/>
        <item x="746"/>
        <item x="747"/>
        <item x="748"/>
        <item x="1755"/>
        <item x="749"/>
        <item x="750"/>
        <item x="751"/>
        <item x="1756"/>
        <item x="752"/>
        <item x="753"/>
        <item x="1757"/>
        <item x="1758"/>
        <item x="754"/>
        <item x="755"/>
        <item x="756"/>
        <item x="757"/>
        <item x="1759"/>
        <item x="1760"/>
        <item x="1761"/>
        <item x="758"/>
        <item x="759"/>
        <item x="760"/>
        <item x="761"/>
        <item x="1762"/>
        <item x="762"/>
        <item x="1763"/>
        <item x="763"/>
        <item x="1764"/>
        <item x="1765"/>
        <item x="764"/>
        <item x="765"/>
        <item x="766"/>
        <item x="767"/>
        <item x="768"/>
        <item x="769"/>
        <item x="770"/>
        <item x="771"/>
        <item x="1766"/>
        <item x="1767"/>
        <item x="1768"/>
        <item x="772"/>
        <item x="1769"/>
        <item x="773"/>
        <item x="1770"/>
        <item x="1771"/>
        <item x="774"/>
        <item x="775"/>
        <item x="776"/>
        <item x="1772"/>
        <item x="777"/>
        <item x="1773"/>
        <item x="778"/>
        <item x="1774"/>
        <item x="779"/>
        <item x="1775"/>
        <item x="780"/>
        <item x="781"/>
        <item x="1776"/>
        <item x="1777"/>
        <item x="1778"/>
        <item x="782"/>
        <item x="1779"/>
        <item x="783"/>
        <item x="784"/>
        <item x="785"/>
        <item x="1780"/>
        <item x="1781"/>
        <item x="1782"/>
        <item x="786"/>
        <item x="1783"/>
        <item x="787"/>
        <item x="788"/>
        <item x="789"/>
        <item x="790"/>
        <item x="791"/>
        <item x="1784"/>
        <item x="1785"/>
        <item x="1786"/>
        <item x="1787"/>
        <item x="792"/>
        <item x="793"/>
        <item x="1788"/>
        <item x="794"/>
        <item x="795"/>
        <item x="796"/>
        <item x="797"/>
        <item x="798"/>
        <item x="799"/>
        <item x="800"/>
        <item x="801"/>
        <item x="802"/>
        <item x="1789"/>
        <item x="803"/>
        <item x="804"/>
        <item x="1790"/>
        <item x="805"/>
        <item x="806"/>
        <item x="807"/>
        <item x="1791"/>
        <item x="808"/>
        <item x="1792"/>
        <item x="1793"/>
        <item x="1794"/>
        <item x="809"/>
        <item x="810"/>
        <item x="811"/>
        <item x="812"/>
        <item x="813"/>
        <item x="814"/>
        <item x="815"/>
        <item x="816"/>
        <item x="1795"/>
        <item x="1796"/>
        <item x="817"/>
        <item x="818"/>
        <item x="819"/>
        <item x="820"/>
        <item x="1797"/>
        <item x="1798"/>
        <item x="821"/>
        <item x="822"/>
        <item x="1799"/>
        <item x="823"/>
        <item x="824"/>
        <item x="825"/>
        <item x="826"/>
        <item x="827"/>
        <item x="828"/>
        <item x="829"/>
        <item x="830"/>
        <item x="831"/>
        <item x="1800"/>
        <item x="832"/>
        <item x="833"/>
        <item x="834"/>
        <item x="835"/>
        <item x="836"/>
        <item x="1801"/>
        <item x="1802"/>
        <item x="1803"/>
        <item x="837"/>
        <item x="838"/>
        <item x="839"/>
        <item x="840"/>
        <item x="841"/>
        <item x="1804"/>
        <item x="842"/>
        <item x="1805"/>
        <item x="1806"/>
        <item x="843"/>
        <item x="844"/>
        <item x="1807"/>
        <item x="1808"/>
        <item x="1809"/>
        <item x="845"/>
        <item x="846"/>
        <item x="1810"/>
        <item x="847"/>
        <item x="848"/>
        <item x="1811"/>
        <item x="849"/>
        <item x="850"/>
        <item x="851"/>
        <item x="852"/>
        <item x="853"/>
        <item x="854"/>
        <item x="855"/>
        <item x="856"/>
        <item x="1812"/>
        <item x="857"/>
        <item x="858"/>
        <item x="859"/>
        <item x="860"/>
        <item x="861"/>
        <item x="1813"/>
        <item x="862"/>
        <item x="863"/>
        <item x="864"/>
        <item x="865"/>
        <item x="1814"/>
        <item x="866"/>
        <item x="1815"/>
        <item x="1816"/>
        <item x="867"/>
        <item x="1817"/>
        <item x="868"/>
        <item x="1818"/>
        <item x="1819"/>
        <item x="869"/>
        <item x="870"/>
        <item x="871"/>
        <item x="1820"/>
        <item x="872"/>
        <item x="873"/>
        <item x="874"/>
        <item x="875"/>
        <item x="876"/>
        <item x="1821"/>
        <item x="877"/>
        <item x="878"/>
        <item x="879"/>
        <item x="880"/>
        <item x="881"/>
        <item x="882"/>
        <item x="883"/>
        <item x="1822"/>
        <item x="1823"/>
        <item x="1824"/>
        <item x="1825"/>
        <item x="1826"/>
        <item x="884"/>
        <item x="885"/>
        <item x="1827"/>
        <item x="886"/>
        <item x="887"/>
        <item x="888"/>
        <item x="889"/>
        <item x="890"/>
        <item x="891"/>
        <item x="1828"/>
        <item x="892"/>
        <item x="893"/>
        <item x="894"/>
        <item x="1829"/>
        <item x="895"/>
        <item x="896"/>
        <item x="1830"/>
        <item x="897"/>
        <item x="898"/>
        <item x="899"/>
        <item x="900"/>
        <item x="901"/>
        <item x="902"/>
        <item x="1831"/>
        <item x="903"/>
        <item x="904"/>
        <item x="905"/>
        <item x="906"/>
        <item x="907"/>
        <item x="908"/>
        <item x="1832"/>
        <item x="909"/>
        <item x="910"/>
        <item x="911"/>
        <item x="912"/>
        <item x="913"/>
        <item x="1833"/>
        <item x="914"/>
        <item x="1834"/>
        <item x="1835"/>
        <item x="915"/>
        <item x="916"/>
        <item x="917"/>
        <item x="918"/>
        <item x="1836"/>
        <item x="919"/>
        <item x="920"/>
        <item x="1837"/>
        <item x="921"/>
        <item x="1838"/>
        <item x="922"/>
        <item x="923"/>
        <item x="924"/>
        <item x="925"/>
        <item x="1839"/>
        <item x="926"/>
        <item x="1840"/>
        <item x="927"/>
        <item x="928"/>
        <item x="929"/>
        <item x="1841"/>
        <item x="930"/>
        <item x="931"/>
        <item x="1842"/>
        <item x="1843"/>
        <item x="932"/>
        <item x="933"/>
        <item x="1844"/>
        <item x="934"/>
        <item x="935"/>
        <item x="936"/>
        <item x="937"/>
        <item x="938"/>
        <item x="939"/>
        <item x="1845"/>
        <item x="940"/>
        <item x="1846"/>
        <item x="941"/>
        <item x="1847"/>
        <item x="1848"/>
        <item x="1849"/>
        <item x="942"/>
        <item x="943"/>
        <item x="1850"/>
        <item x="1851"/>
        <item x="944"/>
        <item x="945"/>
        <item x="946"/>
        <item x="947"/>
        <item x="948"/>
        <item x="949"/>
        <item x="950"/>
        <item x="1852"/>
        <item x="951"/>
        <item x="1853"/>
        <item x="1854"/>
        <item x="952"/>
        <item x="953"/>
        <item x="954"/>
        <item x="1855"/>
        <item x="955"/>
        <item x="1856"/>
        <item x="956"/>
        <item x="957"/>
        <item x="958"/>
        <item x="1857"/>
        <item x="1858"/>
        <item x="1859"/>
        <item x="959"/>
        <item x="1860"/>
        <item x="960"/>
        <item x="1861"/>
        <item x="1862"/>
        <item x="1863"/>
        <item x="961"/>
        <item x="1864"/>
        <item x="962"/>
        <item x="1865"/>
        <item x="963"/>
        <item x="964"/>
        <item x="965"/>
        <item x="966"/>
        <item x="967"/>
        <item x="1866"/>
        <item x="1867"/>
        <item x="1868"/>
        <item x="968"/>
        <item x="1869"/>
        <item x="969"/>
        <item x="970"/>
        <item x="1870"/>
        <item x="1871"/>
        <item x="1872"/>
        <item x="1873"/>
        <item x="971"/>
        <item x="1874"/>
        <item x="1875"/>
        <item x="972"/>
        <item x="973"/>
        <item x="1876"/>
        <item x="974"/>
        <item x="1877"/>
        <item x="975"/>
        <item x="976"/>
        <item x="1878"/>
        <item x="1879"/>
        <item x="977"/>
        <item x="978"/>
        <item x="979"/>
        <item x="980"/>
        <item x="981"/>
        <item x="982"/>
        <item x="1880"/>
        <item x="1881"/>
        <item x="983"/>
        <item x="984"/>
        <item x="985"/>
        <item x="986"/>
        <item x="987"/>
        <item x="1882"/>
        <item x="1883"/>
        <item x="1884"/>
        <item x="988"/>
        <item x="989"/>
        <item x="990"/>
        <item x="1885"/>
        <item x="991"/>
        <item x="992"/>
        <item x="993"/>
        <item x="994"/>
        <item x="995"/>
        <item x="996"/>
        <item x="1886"/>
        <item x="997"/>
        <item x="998"/>
        <item x="999"/>
        <item x="1000"/>
        <item x="1001"/>
        <item x="1002"/>
        <item x="1003"/>
        <item x="1887"/>
        <item x="1004"/>
        <item x="1005"/>
        <item x="1006"/>
        <item x="1007"/>
        <item x="1888"/>
        <item x="1008"/>
        <item x="1009"/>
        <item x="1010"/>
        <item x="1011"/>
        <item x="1012"/>
        <item x="1889"/>
        <item x="1013"/>
        <item x="1014"/>
        <item x="1890"/>
        <item x="1015"/>
        <item x="1891"/>
        <item x="1892"/>
        <item x="1016"/>
        <item x="1017"/>
        <item x="1893"/>
        <item x="1018"/>
        <item x="1019"/>
        <item x="1020"/>
        <item x="1021"/>
        <item x="1022"/>
        <item x="1894"/>
        <item x="1023"/>
        <item x="1024"/>
        <item x="1025"/>
        <item x="1026"/>
        <item x="1895"/>
        <item x="1896"/>
        <item x="1897"/>
        <item x="1027"/>
        <item x="1028"/>
        <item x="1029"/>
        <item x="1898"/>
        <item x="1899"/>
        <item x="1030"/>
        <item x="1031"/>
        <item x="1900"/>
        <item x="1032"/>
        <item x="1033"/>
        <item x="1034"/>
        <item x="1035"/>
        <item x="1901"/>
        <item x="1036"/>
        <item x="1037"/>
        <item x="1038"/>
        <item x="1902"/>
        <item x="1903"/>
        <item x="1904"/>
        <item x="1039"/>
        <item x="1040"/>
        <item x="1905"/>
        <item x="1041"/>
        <item x="1042"/>
        <item x="1043"/>
        <item x="1044"/>
        <item x="1045"/>
        <item x="1046"/>
        <item x="1047"/>
        <item x="1048"/>
        <item x="1049"/>
        <item x="1050"/>
        <item x="1051"/>
        <item x="1052"/>
        <item x="1053"/>
        <item x="1054"/>
        <item x="1055"/>
        <item x="1906"/>
        <item x="1056"/>
        <item x="1057"/>
        <item x="1907"/>
        <item x="1058"/>
        <item x="1059"/>
        <item x="1060"/>
        <item x="1061"/>
        <item x="1062"/>
        <item x="1908"/>
        <item x="1909"/>
        <item x="1910"/>
        <item x="1911"/>
        <item x="1912"/>
        <item x="1913"/>
        <item x="1063"/>
        <item x="1914"/>
        <item x="1915"/>
        <item x="1064"/>
        <item x="1916"/>
        <item x="1065"/>
        <item x="1066"/>
        <item x="1067"/>
        <item x="1068"/>
        <item x="1069"/>
        <item x="1070"/>
        <item x="1071"/>
        <item x="1072"/>
        <item x="1917"/>
        <item x="1073"/>
        <item x="1074"/>
        <item x="1075"/>
        <item x="1076"/>
        <item x="1918"/>
        <item x="1077"/>
        <item x="1078"/>
        <item x="1919"/>
        <item x="1079"/>
        <item x="1920"/>
        <item x="1921"/>
        <item x="1922"/>
        <item x="1080"/>
        <item x="1923"/>
        <item x="1081"/>
        <item x="1082"/>
        <item x="1083"/>
        <item x="1924"/>
        <item x="1084"/>
        <item x="1085"/>
        <item x="1086"/>
        <item x="1087"/>
        <item x="1088"/>
        <item x="1089"/>
        <item x="1090"/>
        <item x="1091"/>
        <item x="1092"/>
        <item x="1925"/>
        <item x="1093"/>
        <item x="1094"/>
        <item x="1095"/>
        <item x="1096"/>
        <item x="1097"/>
        <item x="1098"/>
        <item x="1926"/>
        <item x="1099"/>
        <item x="1927"/>
        <item x="1928"/>
        <item x="1100"/>
        <item x="1101"/>
        <item x="1102"/>
        <item x="1103"/>
        <item x="1104"/>
        <item x="1105"/>
        <item x="1106"/>
        <item x="1107"/>
        <item x="1108"/>
        <item x="1109"/>
        <item x="1929"/>
        <item x="1930"/>
        <item x="1931"/>
        <item x="1932"/>
        <item x="1110"/>
        <item x="1111"/>
        <item x="1112"/>
        <item x="1113"/>
        <item x="1114"/>
        <item x="1115"/>
        <item x="1933"/>
        <item x="1116"/>
        <item x="1117"/>
        <item x="1118"/>
        <item x="1119"/>
        <item x="1120"/>
        <item x="1121"/>
        <item x="1122"/>
        <item x="1934"/>
        <item x="1123"/>
        <item x="1124"/>
        <item x="1935"/>
        <item x="1936"/>
        <item x="1125"/>
        <item x="1126"/>
        <item x="1127"/>
        <item x="1937"/>
        <item x="1128"/>
        <item x="1129"/>
        <item x="1130"/>
        <item x="1131"/>
        <item x="1132"/>
        <item x="1133"/>
        <item x="1938"/>
        <item x="1134"/>
        <item x="1135"/>
        <item x="1939"/>
        <item x="1940"/>
        <item x="1136"/>
        <item x="1137"/>
        <item x="1138"/>
        <item x="1941"/>
        <item x="1942"/>
        <item x="1139"/>
        <item x="1943"/>
        <item x="1140"/>
        <item x="1944"/>
        <item x="1141"/>
        <item x="1945"/>
        <item x="1142"/>
        <item x="1143"/>
        <item x="1144"/>
        <item x="1145"/>
        <item x="1146"/>
        <item x="1147"/>
        <item x="1148"/>
        <item x="1149"/>
        <item x="1150"/>
        <item x="1151"/>
        <item x="1152"/>
        <item x="1153"/>
        <item x="1154"/>
        <item x="1155"/>
        <item x="1156"/>
        <item x="1946"/>
        <item x="1157"/>
        <item x="1158"/>
        <item x="1159"/>
        <item x="1947"/>
        <item x="1160"/>
        <item x="1161"/>
        <item x="1162"/>
        <item x="1163"/>
        <item x="1164"/>
        <item x="1948"/>
        <item x="1165"/>
        <item x="1166"/>
        <item x="1167"/>
        <item x="1168"/>
        <item x="1169"/>
        <item x="1949"/>
        <item x="1170"/>
        <item x="1950"/>
        <item x="1951"/>
        <item x="1171"/>
        <item x="1952"/>
        <item x="1953"/>
        <item x="1954"/>
        <item x="1172"/>
        <item x="1173"/>
        <item x="1955"/>
        <item x="1174"/>
        <item x="1175"/>
        <item x="1176"/>
        <item x="1177"/>
        <item x="1178"/>
        <item x="1179"/>
        <item x="1180"/>
        <item x="1181"/>
        <item x="1182"/>
        <item x="1183"/>
        <item x="1184"/>
        <item x="1185"/>
        <item x="1186"/>
        <item x="1187"/>
        <item x="1188"/>
        <item x="1956"/>
        <item x="1189"/>
        <item x="1190"/>
        <item x="1191"/>
        <item x="1192"/>
        <item x="1193"/>
        <item x="1194"/>
        <item x="1195"/>
        <item x="1196"/>
        <item x="1197"/>
        <item x="1198"/>
        <item x="1957"/>
        <item x="1958"/>
        <item x="1199"/>
        <item x="1959"/>
        <item x="1960"/>
        <item x="1961"/>
        <item x="1200"/>
        <item x="1201"/>
        <item x="1202"/>
        <item x="1962"/>
        <item x="1203"/>
        <item x="1963"/>
        <item x="1204"/>
        <item x="1964"/>
        <item x="1205"/>
        <item x="1206"/>
        <item x="1207"/>
        <item x="1208"/>
        <item x="1209"/>
        <item x="1210"/>
        <item x="1211"/>
        <item x="1212"/>
        <item x="1213"/>
        <item x="1214"/>
        <item x="1215"/>
        <item x="1216"/>
        <item x="1217"/>
        <item x="1218"/>
        <item x="1219"/>
        <item x="1220"/>
        <item x="1221"/>
        <item x="1965"/>
        <item x="1966"/>
        <item x="1222"/>
        <item x="1223"/>
        <item x="1967"/>
        <item x="1224"/>
        <item x="1225"/>
        <item x="1968"/>
        <item x="1226"/>
        <item x="1227"/>
        <item x="1228"/>
        <item x="1969"/>
        <item x="1229"/>
        <item x="1230"/>
        <item x="1231"/>
        <item x="1232"/>
        <item x="1233"/>
        <item x="1234"/>
        <item x="1235"/>
        <item x="1970"/>
        <item x="1971"/>
        <item x="1236"/>
        <item x="1237"/>
        <item x="1238"/>
        <item x="1972"/>
        <item x="1239"/>
        <item x="1973"/>
        <item x="1240"/>
        <item x="1241"/>
        <item x="1974"/>
        <item x="1242"/>
        <item x="1243"/>
        <item x="1244"/>
        <item x="1245"/>
        <item x="1246"/>
        <item x="1247"/>
        <item x="1975"/>
        <item x="1976"/>
        <item x="1248"/>
        <item x="1977"/>
        <item x="1249"/>
        <item x="1250"/>
        <item x="1251"/>
        <item x="1978"/>
        <item x="1979"/>
        <item x="1252"/>
        <item x="1253"/>
        <item x="1980"/>
        <item x="1254"/>
        <item x="1981"/>
        <item x="1255"/>
        <item x="1982"/>
        <item x="1983"/>
        <item x="1256"/>
        <item x="1257"/>
        <item x="1258"/>
        <item x="1259"/>
        <item x="1260"/>
        <item x="1261"/>
        <item x="1984"/>
        <item x="1262"/>
        <item x="1263"/>
        <item x="1264"/>
        <item x="1265"/>
        <item x="1266"/>
        <item x="1985"/>
        <item x="1267"/>
        <item x="1268"/>
        <item x="1269"/>
        <item x="1986"/>
        <item x="1987"/>
        <item x="1988"/>
        <item x="1989"/>
        <item x="1990"/>
        <item x="1270"/>
        <item x="1271"/>
        <item x="1272"/>
        <item x="1991"/>
        <item x="1273"/>
        <item x="1992"/>
        <item x="1993"/>
        <item x="1274"/>
        <item x="1275"/>
        <item x="1276"/>
        <item x="1994"/>
        <item x="1277"/>
        <item x="1278"/>
        <item x="1279"/>
        <item x="1280"/>
        <item x="1281"/>
        <item x="1995"/>
        <item x="1282"/>
        <item x="1283"/>
        <item x="1284"/>
        <item x="1996"/>
        <item x="1997"/>
        <item x="1998"/>
        <item x="1285"/>
        <item x="1286"/>
        <item x="1287"/>
        <item x="1288"/>
        <item x="1289"/>
        <item x="1999"/>
        <item x="1290"/>
        <item x="1291"/>
        <item x="1292"/>
        <item x="2000"/>
        <item x="1293"/>
        <item x="1294"/>
        <item x="1295"/>
        <item x="1296"/>
        <item x="2001"/>
        <item x="1297"/>
        <item x="1298"/>
        <item x="2002"/>
        <item x="2003"/>
        <item x="1299"/>
        <item x="1300"/>
        <item x="1301"/>
        <item x="1302"/>
        <item x="1303"/>
        <item x="1304"/>
        <item x="1305"/>
        <item x="1306"/>
        <item x="1307"/>
        <item x="1308"/>
        <item x="1309"/>
        <item x="1310"/>
        <item x="1311"/>
        <item x="1312"/>
        <item x="2004"/>
        <item x="2005"/>
        <item x="1313"/>
        <item x="1314"/>
        <item x="1315"/>
        <item x="2006"/>
        <item x="1316"/>
        <item x="1317"/>
        <item x="1318"/>
        <item x="1319"/>
        <item x="2007"/>
        <item x="1320"/>
        <item x="1321"/>
        <item x="1322"/>
        <item x="2008"/>
        <item x="1323"/>
        <item x="2009"/>
        <item x="1324"/>
        <item x="1325"/>
        <item x="1326"/>
        <item x="1327"/>
        <item x="1328"/>
        <item x="2010"/>
        <item x="1329"/>
        <item x="2011"/>
        <item x="2012"/>
        <item x="1330"/>
        <item x="1331"/>
        <item x="1332"/>
        <item x="1333"/>
        <item x="2013"/>
        <item x="1334"/>
        <item x="1335"/>
        <item x="1336"/>
        <item x="1337"/>
        <item x="1338"/>
        <item x="2014"/>
        <item x="1339"/>
        <item x="1340"/>
        <item x="1341"/>
        <item x="1342"/>
        <item x="1343"/>
        <item x="1344"/>
        <item x="1345"/>
        <item x="1346"/>
        <item x="1347"/>
        <item x="1348"/>
        <item x="1349"/>
        <item x="1350"/>
        <item x="1351"/>
        <item x="1352"/>
        <item x="2015"/>
        <item x="1353"/>
        <item x="1354"/>
        <item x="1355"/>
        <item x="2016"/>
        <item x="1356"/>
        <item x="1357"/>
        <item x="1358"/>
        <item x="1359"/>
        <item x="1360"/>
        <item x="1361"/>
        <item x="2017"/>
        <item x="1362"/>
        <item x="1363"/>
        <item x="1364"/>
        <item x="2018"/>
        <item x="1365"/>
        <item x="2019"/>
        <item x="1366"/>
        <item x="1367"/>
        <item x="2020"/>
        <item x="1368"/>
        <item x="1369"/>
        <item x="1370"/>
        <item x="1371"/>
        <item x="2021"/>
        <item x="2022"/>
        <item x="1372"/>
        <item x="1373"/>
        <item x="1374"/>
        <item x="1375"/>
        <item x="2023"/>
        <item x="1376"/>
        <item x="2024"/>
        <item x="1377"/>
        <item x="1378"/>
        <item x="2025"/>
        <item x="1379"/>
        <item x="2026"/>
        <item x="2027"/>
        <item x="1380"/>
        <item x="2028"/>
        <item x="2029"/>
        <item x="2030"/>
        <item x="1381"/>
        <item x="1382"/>
        <item x="2031"/>
        <item x="1383"/>
        <item x="1384"/>
        <item x="1385"/>
        <item x="2032"/>
        <item x="1386"/>
        <item x="2033"/>
        <item x="1387"/>
        <item x="1388"/>
        <item x="2034"/>
        <item x="2035"/>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2036"/>
        <item x="2037"/>
        <item x="2038"/>
        <item x="1414"/>
        <item x="1415"/>
        <item x="2039"/>
        <item x="2040"/>
        <item x="1416"/>
        <item x="1417"/>
        <item x="1418"/>
        <item x="2041"/>
        <item x="2042"/>
        <item x="2043"/>
        <item x="2044"/>
        <item x="2045"/>
        <item x="1419"/>
        <item x="1420"/>
        <item x="1421"/>
        <item x="1422"/>
        <item x="1423"/>
        <item x="1424"/>
        <item x="1425"/>
        <item x="2046"/>
        <item t="default"/>
      </items>
      <autoSortScope>
        <pivotArea dataOnly="0" outline="0" fieldPosition="0">
          <references count="1">
            <reference field="4294967294" count="1" selected="0">
              <x v="0"/>
            </reference>
          </references>
        </pivotArea>
      </autoSortScope>
    </pivotField>
  </pivotFields>
  <rowFields count="1">
    <field x="0"/>
  </rowFields>
  <rowItems count="2048">
    <i>
      <x v="1493"/>
    </i>
    <i>
      <x v="1553"/>
    </i>
    <i>
      <x v="850"/>
    </i>
    <i>
      <x v="641"/>
    </i>
    <i>
      <x v="392"/>
    </i>
    <i>
      <x v="1572"/>
    </i>
    <i>
      <x v="1592"/>
    </i>
    <i>
      <x v="980"/>
    </i>
    <i>
      <x v="279"/>
    </i>
    <i>
      <x v="1948"/>
    </i>
    <i>
      <x v="2027"/>
    </i>
    <i>
      <x v="2002"/>
    </i>
    <i>
      <x v="1773"/>
    </i>
    <i>
      <x v="1944"/>
    </i>
    <i>
      <x v="1815"/>
    </i>
    <i>
      <x v="1999"/>
    </i>
    <i>
      <x v="1849"/>
    </i>
    <i>
      <x v="2019"/>
    </i>
    <i>
      <x v="1915"/>
    </i>
    <i>
      <x v="1934"/>
    </i>
    <i>
      <x v="1894"/>
    </i>
    <i>
      <x v="1567"/>
    </i>
    <i>
      <x v="1735"/>
    </i>
    <i>
      <x v="1497"/>
    </i>
    <i>
      <x v="1508"/>
    </i>
    <i>
      <x v="1492"/>
    </i>
    <i>
      <x v="1590"/>
    </i>
    <i>
      <x v="1490"/>
    </i>
    <i>
      <x v="1601"/>
    </i>
    <i>
      <x v="1634"/>
    </i>
    <i>
      <x v="1513"/>
    </i>
    <i>
      <x v="1625"/>
    </i>
    <i>
      <x v="1532"/>
    </i>
    <i>
      <x v="1709"/>
    </i>
    <i>
      <x v="1534"/>
    </i>
    <i>
      <x v="1538"/>
    </i>
    <i>
      <x v="1749"/>
    </i>
    <i>
      <x v="1354"/>
    </i>
    <i>
      <x v="1250"/>
    </i>
    <i>
      <x v="1246"/>
    </i>
    <i>
      <x v="1208"/>
    </i>
    <i>
      <x v="1337"/>
    </i>
    <i>
      <x v="1239"/>
    </i>
    <i>
      <x v="1422"/>
    </i>
    <i>
      <x v="1244"/>
    </i>
    <i>
      <x v="1311"/>
    </i>
    <i>
      <x v="1015"/>
    </i>
    <i>
      <x v="1104"/>
    </i>
    <i>
      <x v="897"/>
    </i>
    <i>
      <x v="914"/>
    </i>
    <i>
      <x v="993"/>
    </i>
    <i>
      <x v="976"/>
    </i>
    <i>
      <x v="1164"/>
    </i>
    <i>
      <x v="1026"/>
    </i>
    <i>
      <x v="1038"/>
    </i>
    <i>
      <x v="1085"/>
    </i>
    <i>
      <x v="981"/>
    </i>
    <i>
      <x v="985"/>
    </i>
    <i>
      <x v="1165"/>
    </i>
    <i>
      <x v="873"/>
    </i>
    <i>
      <x v="832"/>
    </i>
    <i>
      <x v="790"/>
    </i>
    <i>
      <x v="606"/>
    </i>
    <i>
      <x v="624"/>
    </i>
    <i>
      <x v="669"/>
    </i>
    <i>
      <x v="870"/>
    </i>
    <i>
      <x v="431"/>
    </i>
    <i>
      <x v="356"/>
    </i>
    <i>
      <x v="541"/>
    </i>
    <i>
      <x v="546"/>
    </i>
    <i>
      <x v="554"/>
    </i>
    <i>
      <x v="423"/>
    </i>
    <i>
      <x v="583"/>
    </i>
    <i>
      <x v="118"/>
    </i>
    <i>
      <x v="122"/>
    </i>
    <i>
      <x v="17"/>
    </i>
    <i>
      <x v="119"/>
    </i>
    <i>
      <x v="40"/>
    </i>
    <i>
      <x v="251"/>
    </i>
    <i>
      <x v="63"/>
    </i>
    <i>
      <x v="235"/>
    </i>
    <i>
      <x v="69"/>
    </i>
    <i>
      <x v="124"/>
    </i>
    <i>
      <x v="2025"/>
    </i>
    <i>
      <x v="1961"/>
    </i>
    <i>
      <x v="1929"/>
    </i>
    <i>
      <x v="1771"/>
    </i>
    <i>
      <x v="1993"/>
    </i>
    <i>
      <x v="1772"/>
    </i>
    <i>
      <x v="1913"/>
    </i>
    <i>
      <x v="1759"/>
    </i>
    <i>
      <x v="1945"/>
    </i>
    <i>
      <x v="1774"/>
    </i>
    <i>
      <x v="1977"/>
    </i>
    <i>
      <x v="1775"/>
    </i>
    <i>
      <x v="2009"/>
    </i>
    <i>
      <x v="1776"/>
    </i>
    <i>
      <x v="1905"/>
    </i>
    <i>
      <x v="1777"/>
    </i>
    <i>
      <x v="1921"/>
    </i>
    <i>
      <x v="1778"/>
    </i>
    <i>
      <x v="1937"/>
    </i>
    <i>
      <x v="1779"/>
    </i>
    <i>
      <x v="1953"/>
    </i>
    <i>
      <x v="1780"/>
    </i>
    <i>
      <x v="1969"/>
    </i>
    <i>
      <x v="1781"/>
    </i>
    <i>
      <x v="1985"/>
    </i>
    <i>
      <x v="1782"/>
    </i>
    <i>
      <x v="2001"/>
    </i>
    <i>
      <x v="1783"/>
    </i>
    <i>
      <x v="2017"/>
    </i>
    <i>
      <x v="1784"/>
    </i>
    <i>
      <x v="2045"/>
    </i>
    <i>
      <x v="1785"/>
    </i>
    <i>
      <x v="1909"/>
    </i>
    <i>
      <x v="1786"/>
    </i>
    <i>
      <x v="1917"/>
    </i>
    <i>
      <x v="1787"/>
    </i>
    <i>
      <x v="1925"/>
    </i>
    <i>
      <x v="1788"/>
    </i>
    <i>
      <x v="1933"/>
    </i>
    <i>
      <x v="1789"/>
    </i>
    <i>
      <x v="1941"/>
    </i>
    <i>
      <x v="1790"/>
    </i>
    <i>
      <x v="1949"/>
    </i>
    <i>
      <x v="1791"/>
    </i>
    <i>
      <x v="1957"/>
    </i>
    <i>
      <x v="1792"/>
    </i>
    <i>
      <x v="1965"/>
    </i>
    <i>
      <x v="1793"/>
    </i>
    <i>
      <x v="1973"/>
    </i>
    <i>
      <x v="1794"/>
    </i>
    <i>
      <x v="1981"/>
    </i>
    <i>
      <x v="1795"/>
    </i>
    <i>
      <x v="1989"/>
    </i>
    <i>
      <x v="1796"/>
    </i>
    <i>
      <x v="1997"/>
    </i>
    <i>
      <x v="1797"/>
    </i>
    <i>
      <x v="2005"/>
    </i>
    <i>
      <x v="1798"/>
    </i>
    <i>
      <x v="2013"/>
    </i>
    <i>
      <x v="1799"/>
    </i>
    <i>
      <x v="2021"/>
    </i>
    <i>
      <x v="1800"/>
    </i>
    <i>
      <x v="2029"/>
    </i>
    <i>
      <x v="1801"/>
    </i>
    <i>
      <x v="1903"/>
    </i>
    <i>
      <x v="1802"/>
    </i>
    <i>
      <x v="1907"/>
    </i>
    <i>
      <x v="1803"/>
    </i>
    <i>
      <x v="1911"/>
    </i>
    <i>
      <x v="1804"/>
    </i>
    <i>
      <x v="1762"/>
    </i>
    <i>
      <x v="1805"/>
    </i>
    <i>
      <x v="1919"/>
    </i>
    <i>
      <x v="1806"/>
    </i>
    <i>
      <x v="1923"/>
    </i>
    <i>
      <x v="1807"/>
    </i>
    <i>
      <x v="1927"/>
    </i>
    <i>
      <x v="1808"/>
    </i>
    <i>
      <x v="1931"/>
    </i>
    <i>
      <x v="1809"/>
    </i>
    <i>
      <x v="1935"/>
    </i>
    <i>
      <x v="1810"/>
    </i>
    <i>
      <x v="1939"/>
    </i>
    <i>
      <x v="1811"/>
    </i>
    <i>
      <x v="1943"/>
    </i>
    <i>
      <x v="1812"/>
    </i>
    <i>
      <x v="1947"/>
    </i>
    <i>
      <x v="1813"/>
    </i>
    <i>
      <x v="1951"/>
    </i>
    <i>
      <x v="1814"/>
    </i>
    <i>
      <x v="1955"/>
    </i>
    <i>
      <x v="1760"/>
    </i>
    <i>
      <x v="1959"/>
    </i>
    <i>
      <x v="1816"/>
    </i>
    <i>
      <x v="1963"/>
    </i>
    <i>
      <x v="1817"/>
    </i>
    <i>
      <x v="1967"/>
    </i>
    <i>
      <x v="1818"/>
    </i>
    <i>
      <x v="1971"/>
    </i>
    <i>
      <x v="1819"/>
    </i>
    <i>
      <x v="1975"/>
    </i>
    <i>
      <x v="1820"/>
    </i>
    <i>
      <x v="1979"/>
    </i>
    <i>
      <x v="1821"/>
    </i>
    <i>
      <x v="1983"/>
    </i>
    <i>
      <x v="1822"/>
    </i>
    <i>
      <x v="1987"/>
    </i>
    <i>
      <x v="1823"/>
    </i>
    <i>
      <x v="1991"/>
    </i>
    <i>
      <x v="1824"/>
    </i>
    <i>
      <x v="1995"/>
    </i>
    <i>
      <x v="1825"/>
    </i>
    <i>
      <x v="1766"/>
    </i>
    <i>
      <x v="1826"/>
    </i>
    <i>
      <x v="2003"/>
    </i>
    <i>
      <x v="1827"/>
    </i>
    <i>
      <x v="2007"/>
    </i>
    <i>
      <x v="1828"/>
    </i>
    <i>
      <x v="2011"/>
    </i>
    <i>
      <x v="1829"/>
    </i>
    <i>
      <x v="2015"/>
    </i>
    <i>
      <x v="1830"/>
    </i>
    <i>
      <x v="1768"/>
    </i>
    <i>
      <x v="1831"/>
    </i>
    <i>
      <x v="2023"/>
    </i>
    <i>
      <x v="1832"/>
    </i>
    <i>
      <x v="1769"/>
    </i>
    <i>
      <x v="1833"/>
    </i>
    <i>
      <x v="2031"/>
    </i>
    <i>
      <x v="1834"/>
    </i>
    <i>
      <x v="1758"/>
    </i>
    <i>
      <x v="1835"/>
    </i>
    <i>
      <x v="1904"/>
    </i>
    <i>
      <x v="1836"/>
    </i>
    <i>
      <x v="1906"/>
    </i>
    <i>
      <x v="1837"/>
    </i>
    <i>
      <x v="1908"/>
    </i>
    <i>
      <x v="1838"/>
    </i>
    <i>
      <x v="1910"/>
    </i>
    <i>
      <x v="1839"/>
    </i>
    <i>
      <x v="1912"/>
    </i>
    <i>
      <x v="1840"/>
    </i>
    <i>
      <x v="1914"/>
    </i>
    <i>
      <x v="1841"/>
    </i>
    <i>
      <x v="1916"/>
    </i>
    <i>
      <x v="1842"/>
    </i>
    <i>
      <x v="1918"/>
    </i>
    <i>
      <x v="1843"/>
    </i>
    <i>
      <x v="1920"/>
    </i>
    <i>
      <x v="1844"/>
    </i>
    <i>
      <x v="1922"/>
    </i>
    <i>
      <x v="1845"/>
    </i>
    <i>
      <x v="1924"/>
    </i>
    <i>
      <x v="1846"/>
    </i>
    <i>
      <x v="1926"/>
    </i>
    <i>
      <x v="1847"/>
    </i>
    <i>
      <x v="1928"/>
    </i>
    <i>
      <x v="1848"/>
    </i>
    <i>
      <x v="1930"/>
    </i>
    <i>
      <x v="1761"/>
    </i>
    <i>
      <x v="1932"/>
    </i>
    <i>
      <x v="1850"/>
    </i>
    <i>
      <x v="1763"/>
    </i>
    <i>
      <x v="1851"/>
    </i>
    <i>
      <x v="1936"/>
    </i>
    <i>
      <x v="1852"/>
    </i>
    <i>
      <x v="1938"/>
    </i>
    <i>
      <x v="1853"/>
    </i>
    <i>
      <x v="1940"/>
    </i>
    <i>
      <x v="1854"/>
    </i>
    <i>
      <x v="1942"/>
    </i>
    <i>
      <x v="1855"/>
    </i>
    <i>
      <x v="1764"/>
    </i>
    <i>
      <x v="1856"/>
    </i>
    <i>
      <x v="1946"/>
    </i>
    <i>
      <x v="1857"/>
    </i>
    <i>
      <x v="1765"/>
    </i>
    <i>
      <x v="1858"/>
    </i>
    <i>
      <x v="1950"/>
    </i>
    <i>
      <x v="1859"/>
    </i>
    <i>
      <x v="1952"/>
    </i>
    <i>
      <x v="1860"/>
    </i>
    <i>
      <x v="1954"/>
    </i>
    <i>
      <x v="1861"/>
    </i>
    <i>
      <x v="1956"/>
    </i>
    <i>
      <x v="1862"/>
    </i>
    <i>
      <x v="1958"/>
    </i>
    <i>
      <x v="1863"/>
    </i>
    <i>
      <x v="1960"/>
    </i>
    <i>
      <x v="1864"/>
    </i>
    <i>
      <x v="1962"/>
    </i>
    <i>
      <x v="1865"/>
    </i>
    <i>
      <x v="1964"/>
    </i>
    <i>
      <x v="1866"/>
    </i>
    <i>
      <x v="1966"/>
    </i>
    <i>
      <x v="1867"/>
    </i>
    <i>
      <x v="1968"/>
    </i>
    <i>
      <x v="1868"/>
    </i>
    <i>
      <x v="1970"/>
    </i>
    <i>
      <x v="1869"/>
    </i>
    <i>
      <x v="1972"/>
    </i>
    <i>
      <x v="1870"/>
    </i>
    <i>
      <x v="1974"/>
    </i>
    <i>
      <x v="1871"/>
    </i>
    <i>
      <x v="1976"/>
    </i>
    <i>
      <x v="1872"/>
    </i>
    <i>
      <x v="1978"/>
    </i>
    <i>
      <x v="1873"/>
    </i>
    <i>
      <x v="1980"/>
    </i>
    <i>
      <x v="1874"/>
    </i>
    <i>
      <x v="1982"/>
    </i>
    <i>
      <x v="1875"/>
    </i>
    <i>
      <x v="1984"/>
    </i>
    <i>
      <x v="1876"/>
    </i>
    <i>
      <x v="1986"/>
    </i>
    <i>
      <x v="1877"/>
    </i>
    <i>
      <x v="1988"/>
    </i>
    <i>
      <x v="1878"/>
    </i>
    <i>
      <x v="1990"/>
    </i>
    <i>
      <x v="1879"/>
    </i>
    <i>
      <x v="1992"/>
    </i>
    <i>
      <x v="1880"/>
    </i>
    <i>
      <x v="1994"/>
    </i>
    <i>
      <x v="1881"/>
    </i>
    <i>
      <x v="1996"/>
    </i>
    <i>
      <x v="1882"/>
    </i>
    <i>
      <x v="1998"/>
    </i>
    <i>
      <x v="1883"/>
    </i>
    <i>
      <x v="2000"/>
    </i>
    <i>
      <x v="1884"/>
    </i>
    <i>
      <x v="1767"/>
    </i>
    <i>
      <x v="1885"/>
    </i>
    <i>
      <x v="2004"/>
    </i>
    <i>
      <x v="1886"/>
    </i>
    <i>
      <x v="2006"/>
    </i>
    <i>
      <x v="1887"/>
    </i>
    <i>
      <x v="2008"/>
    </i>
    <i>
      <x v="1888"/>
    </i>
    <i>
      <x v="2010"/>
    </i>
    <i>
      <x v="1889"/>
    </i>
    <i>
      <x v="2012"/>
    </i>
    <i>
      <x v="1890"/>
    </i>
    <i>
      <x v="2014"/>
    </i>
    <i>
      <x v="1891"/>
    </i>
    <i>
      <x v="2016"/>
    </i>
    <i>
      <x v="1892"/>
    </i>
    <i>
      <x v="2018"/>
    </i>
    <i>
      <x v="1893"/>
    </i>
    <i>
      <x v="2020"/>
    </i>
    <i>
      <x v="2032"/>
    </i>
    <i>
      <x v="2022"/>
    </i>
    <i>
      <x v="2033"/>
    </i>
    <i>
      <x v="2024"/>
    </i>
    <i>
      <x v="2035"/>
    </i>
    <i>
      <x v="2026"/>
    </i>
    <i>
      <x v="2037"/>
    </i>
    <i>
      <x v="2028"/>
    </i>
    <i>
      <x v="2039"/>
    </i>
    <i>
      <x v="2030"/>
    </i>
    <i>
      <x v="2041"/>
    </i>
    <i>
      <x v="1770"/>
    </i>
    <i>
      <x v="2043"/>
    </i>
    <i>
      <x v="2034"/>
    </i>
    <i>
      <x v="1895"/>
    </i>
    <i>
      <x v="2036"/>
    </i>
    <i>
      <x v="1896"/>
    </i>
    <i>
      <x v="2038"/>
    </i>
    <i>
      <x v="1897"/>
    </i>
    <i>
      <x v="2040"/>
    </i>
    <i>
      <x v="1898"/>
    </i>
    <i>
      <x v="2042"/>
    </i>
    <i>
      <x v="1899"/>
    </i>
    <i>
      <x v="2044"/>
    </i>
    <i>
      <x v="1900"/>
    </i>
    <i>
      <x v="1901"/>
    </i>
    <i>
      <x v="1902"/>
    </i>
    <i>
      <x v="1740"/>
    </i>
    <i>
      <x v="1676"/>
    </i>
    <i>
      <x v="1644"/>
    </i>
    <i>
      <x v="1486"/>
    </i>
    <i>
      <x v="1708"/>
    </i>
    <i>
      <x v="1487"/>
    </i>
    <i>
      <x v="1628"/>
    </i>
    <i>
      <x v="1488"/>
    </i>
    <i>
      <x v="1660"/>
    </i>
    <i>
      <x v="1489"/>
    </i>
    <i>
      <x v="1692"/>
    </i>
    <i>
      <x v="1466"/>
    </i>
    <i>
      <x v="1724"/>
    </i>
    <i>
      <x v="1491"/>
    </i>
    <i>
      <x v="1620"/>
    </i>
    <i>
      <x v="1467"/>
    </i>
    <i>
      <x v="1636"/>
    </i>
    <i>
      <x v="1468"/>
    </i>
    <i>
      <x v="1652"/>
    </i>
    <i>
      <x v="1494"/>
    </i>
    <i>
      <x v="1668"/>
    </i>
    <i>
      <x v="1495"/>
    </i>
    <i>
      <x v="1684"/>
    </i>
    <i>
      <x v="1496"/>
    </i>
    <i>
      <x v="1700"/>
    </i>
    <i>
      <x v="1469"/>
    </i>
    <i>
      <x v="1716"/>
    </i>
    <i>
      <x v="1498"/>
    </i>
    <i>
      <x v="1732"/>
    </i>
    <i>
      <x v="1499"/>
    </i>
    <i>
      <x v="1485"/>
    </i>
    <i>
      <x v="1500"/>
    </i>
    <i>
      <x v="1624"/>
    </i>
    <i>
      <x v="1501"/>
    </i>
    <i>
      <x v="1632"/>
    </i>
    <i>
      <x v="1502"/>
    </i>
    <i>
      <x v="1640"/>
    </i>
    <i>
      <x v="1503"/>
    </i>
    <i>
      <x v="1648"/>
    </i>
    <i>
      <x v="1504"/>
    </i>
    <i>
      <x v="1656"/>
    </i>
    <i>
      <x v="1505"/>
    </i>
    <i>
      <x v="1664"/>
    </i>
    <i>
      <x v="1506"/>
    </i>
    <i>
      <x v="1672"/>
    </i>
    <i>
      <x v="1507"/>
    </i>
    <i>
      <x v="1680"/>
    </i>
    <i>
      <x v="1470"/>
    </i>
    <i>
      <x v="1688"/>
    </i>
    <i>
      <x v="1509"/>
    </i>
    <i>
      <x v="1696"/>
    </i>
    <i>
      <x v="1510"/>
    </i>
    <i>
      <x v="1704"/>
    </i>
    <i>
      <x v="1511"/>
    </i>
    <i>
      <x v="1712"/>
    </i>
    <i>
      <x v="1512"/>
    </i>
    <i>
      <x v="1720"/>
    </i>
    <i>
      <x v="1471"/>
    </i>
    <i>
      <x v="1728"/>
    </i>
    <i>
      <x v="1514"/>
    </i>
    <i>
      <x v="1736"/>
    </i>
    <i>
      <x v="1515"/>
    </i>
    <i>
      <x v="1744"/>
    </i>
    <i>
      <x v="1516"/>
    </i>
    <i>
      <x v="1618"/>
    </i>
    <i>
      <x v="1517"/>
    </i>
    <i>
      <x v="1622"/>
    </i>
    <i>
      <x v="1518"/>
    </i>
    <i>
      <x v="1626"/>
    </i>
    <i>
      <x v="1519"/>
    </i>
    <i>
      <x v="1630"/>
    </i>
    <i>
      <x v="1520"/>
    </i>
    <i>
      <x v="1482"/>
    </i>
    <i>
      <x v="1521"/>
    </i>
    <i>
      <x v="1638"/>
    </i>
    <i>
      <x v="1522"/>
    </i>
    <i>
      <x v="1642"/>
    </i>
    <i>
      <x v="1523"/>
    </i>
    <i>
      <x v="1646"/>
    </i>
    <i>
      <x v="1524"/>
    </i>
    <i>
      <x v="1650"/>
    </i>
    <i>
      <x v="1525"/>
    </i>
    <i>
      <x v="1654"/>
    </i>
    <i>
      <x v="1526"/>
    </i>
    <i>
      <x v="1658"/>
    </i>
    <i>
      <x v="1527"/>
    </i>
    <i>
      <x v="1662"/>
    </i>
    <i>
      <x v="1528"/>
    </i>
    <i>
      <x v="1666"/>
    </i>
    <i>
      <x v="1529"/>
    </i>
    <i>
      <x v="1670"/>
    </i>
    <i>
      <x v="1530"/>
    </i>
    <i>
      <x v="1674"/>
    </i>
    <i>
      <x v="1531"/>
    </i>
    <i>
      <x v="1678"/>
    </i>
    <i>
      <x v="1472"/>
    </i>
    <i>
      <x v="1682"/>
    </i>
    <i>
      <x v="1533"/>
    </i>
    <i>
      <x v="1686"/>
    </i>
    <i>
      <x v="1473"/>
    </i>
    <i>
      <x v="1690"/>
    </i>
    <i>
      <x v="1535"/>
    </i>
    <i>
      <x v="1694"/>
    </i>
    <i>
      <x v="1536"/>
    </i>
    <i>
      <x v="1698"/>
    </i>
    <i>
      <x v="1537"/>
    </i>
    <i>
      <x v="1702"/>
    </i>
    <i>
      <x v="1474"/>
    </i>
    <i>
      <x v="1706"/>
    </i>
    <i>
      <x v="1539"/>
    </i>
    <i>
      <x v="1710"/>
    </i>
    <i>
      <x v="1540"/>
    </i>
    <i>
      <x v="1714"/>
    </i>
    <i>
      <x v="1541"/>
    </i>
    <i>
      <x v="1718"/>
    </i>
    <i>
      <x v="1542"/>
    </i>
    <i>
      <x v="1722"/>
    </i>
    <i>
      <x v="1543"/>
    </i>
    <i>
      <x v="1726"/>
    </i>
    <i>
      <x v="1544"/>
    </i>
    <i>
      <x v="1730"/>
    </i>
    <i>
      <x v="1545"/>
    </i>
    <i>
      <x v="1734"/>
    </i>
    <i>
      <x v="1546"/>
    </i>
    <i>
      <x v="1738"/>
    </i>
    <i>
      <x v="1547"/>
    </i>
    <i>
      <x v="1742"/>
    </i>
    <i>
      <x v="1548"/>
    </i>
    <i>
      <x v="1746"/>
    </i>
    <i>
      <x v="1549"/>
    </i>
    <i>
      <x v="1617"/>
    </i>
    <i>
      <x v="1550"/>
    </i>
    <i>
      <x v="1619"/>
    </i>
    <i>
      <x v="1551"/>
    </i>
    <i>
      <x v="1621"/>
    </i>
    <i>
      <x v="1552"/>
    </i>
    <i>
      <x v="1623"/>
    </i>
    <i>
      <x v="1475"/>
    </i>
    <i>
      <x v="1481"/>
    </i>
    <i>
      <x v="1554"/>
    </i>
    <i>
      <x v="1627"/>
    </i>
    <i>
      <x v="1555"/>
    </i>
    <i>
      <x v="1629"/>
    </i>
    <i>
      <x v="1556"/>
    </i>
    <i>
      <x v="1631"/>
    </i>
    <i>
      <x v="1557"/>
    </i>
    <i>
      <x v="1633"/>
    </i>
    <i>
      <x v="1558"/>
    </i>
    <i>
      <x v="1635"/>
    </i>
    <i>
      <x v="1559"/>
    </i>
    <i>
      <x v="1637"/>
    </i>
    <i>
      <x v="1560"/>
    </i>
    <i>
      <x v="1639"/>
    </i>
    <i>
      <x v="1561"/>
    </i>
    <i>
      <x v="1641"/>
    </i>
    <i>
      <x v="1562"/>
    </i>
    <i>
      <x v="1643"/>
    </i>
    <i>
      <x v="1563"/>
    </i>
    <i>
      <x v="1645"/>
    </i>
    <i>
      <x v="1564"/>
    </i>
    <i>
      <x v="1647"/>
    </i>
    <i>
      <x v="1565"/>
    </i>
    <i>
      <x v="1649"/>
    </i>
    <i>
      <x v="1566"/>
    </i>
    <i>
      <x v="1651"/>
    </i>
    <i>
      <x v="1476"/>
    </i>
    <i>
      <x v="1653"/>
    </i>
    <i>
      <x v="1568"/>
    </i>
    <i>
      <x v="1655"/>
    </i>
    <i>
      <x v="1569"/>
    </i>
    <i>
      <x v="1657"/>
    </i>
    <i>
      <x v="1570"/>
    </i>
    <i>
      <x v="1659"/>
    </i>
    <i>
      <x v="1571"/>
    </i>
    <i>
      <x v="1661"/>
    </i>
    <i>
      <x v="1477"/>
    </i>
    <i>
      <x v="1663"/>
    </i>
    <i>
      <x v="1573"/>
    </i>
    <i>
      <x v="1665"/>
    </i>
    <i>
      <x v="1574"/>
    </i>
    <i>
      <x v="1667"/>
    </i>
    <i>
      <x v="1575"/>
    </i>
    <i>
      <x v="1669"/>
    </i>
    <i>
      <x v="1576"/>
    </i>
    <i>
      <x v="1671"/>
    </i>
    <i>
      <x v="1577"/>
    </i>
    <i>
      <x v="1673"/>
    </i>
    <i>
      <x v="1578"/>
    </i>
    <i>
      <x v="1675"/>
    </i>
    <i>
      <x v="1579"/>
    </i>
    <i>
      <x v="1677"/>
    </i>
    <i>
      <x v="1580"/>
    </i>
    <i>
      <x v="1679"/>
    </i>
    <i>
      <x v="1581"/>
    </i>
    <i>
      <x v="1681"/>
    </i>
    <i>
      <x v="1582"/>
    </i>
    <i>
      <x v="1683"/>
    </i>
    <i>
      <x v="1583"/>
    </i>
    <i>
      <x v="1685"/>
    </i>
    <i>
      <x v="1584"/>
    </i>
    <i>
      <x v="1687"/>
    </i>
    <i>
      <x v="1585"/>
    </i>
    <i>
      <x v="1689"/>
    </i>
    <i>
      <x v="1586"/>
    </i>
    <i>
      <x v="1691"/>
    </i>
    <i>
      <x v="1587"/>
    </i>
    <i>
      <x v="1693"/>
    </i>
    <i>
      <x v="1588"/>
    </i>
    <i>
      <x v="1695"/>
    </i>
    <i>
      <x v="1589"/>
    </i>
    <i>
      <x v="1697"/>
    </i>
    <i>
      <x v="1478"/>
    </i>
    <i>
      <x v="1699"/>
    </i>
    <i>
      <x v="1591"/>
    </i>
    <i>
      <x v="1701"/>
    </i>
    <i>
      <x v="1479"/>
    </i>
    <i>
      <x v="1703"/>
    </i>
    <i>
      <x v="1593"/>
    </i>
    <i>
      <x v="1705"/>
    </i>
    <i>
      <x v="1594"/>
    </i>
    <i>
      <x v="1707"/>
    </i>
    <i>
      <x v="1595"/>
    </i>
    <i>
      <x v="1483"/>
    </i>
    <i>
      <x v="1596"/>
    </i>
    <i>
      <x v="1711"/>
    </i>
    <i>
      <x v="1597"/>
    </i>
    <i>
      <x v="1713"/>
    </i>
    <i>
      <x v="1598"/>
    </i>
    <i>
      <x v="1715"/>
    </i>
    <i>
      <x v="1599"/>
    </i>
    <i>
      <x v="1717"/>
    </i>
    <i>
      <x v="1600"/>
    </i>
    <i>
      <x v="1719"/>
    </i>
    <i>
      <x v="1480"/>
    </i>
    <i>
      <x v="1721"/>
    </i>
    <i>
      <x v="1602"/>
    </i>
    <i>
      <x v="1723"/>
    </i>
    <i>
      <x v="1603"/>
    </i>
    <i>
      <x v="1725"/>
    </i>
    <i>
      <x v="1604"/>
    </i>
    <i>
      <x v="1727"/>
    </i>
    <i>
      <x v="1605"/>
    </i>
    <i>
      <x v="1729"/>
    </i>
    <i>
      <x v="1748"/>
    </i>
    <i>
      <x v="1731"/>
    </i>
    <i>
      <x v="1750"/>
    </i>
    <i>
      <x v="1733"/>
    </i>
    <i>
      <x v="1752"/>
    </i>
    <i>
      <x v="1484"/>
    </i>
    <i>
      <x v="1754"/>
    </i>
    <i>
      <x v="1737"/>
    </i>
    <i>
      <x v="1756"/>
    </i>
    <i>
      <x v="1739"/>
    </i>
    <i>
      <x v="1465"/>
    </i>
    <i>
      <x v="1741"/>
    </i>
    <i>
      <x v="1612"/>
    </i>
    <i>
      <x v="1743"/>
    </i>
    <i>
      <x v="1613"/>
    </i>
    <i>
      <x v="1745"/>
    </i>
    <i>
      <x v="1614"/>
    </i>
    <i>
      <x v="1747"/>
    </i>
    <i>
      <x v="1615"/>
    </i>
    <i>
      <x v="1616"/>
    </i>
    <i>
      <x v="1606"/>
    </i>
    <i>
      <x v="1751"/>
    </i>
    <i>
      <x v="1607"/>
    </i>
    <i>
      <x v="1753"/>
    </i>
    <i>
      <x v="1608"/>
    </i>
    <i>
      <x v="1755"/>
    </i>
    <i>
      <x v="1609"/>
    </i>
    <i>
      <x v="1757"/>
    </i>
    <i>
      <x v="1610"/>
    </i>
    <i>
      <x v="1611"/>
    </i>
    <i>
      <x v="1436"/>
    </i>
    <i>
      <x v="1372"/>
    </i>
    <i>
      <x v="1340"/>
    </i>
    <i>
      <x v="1182"/>
    </i>
    <i>
      <x v="1404"/>
    </i>
    <i>
      <x v="1183"/>
    </i>
    <i>
      <x v="1324"/>
    </i>
    <i>
      <x v="1184"/>
    </i>
    <i>
      <x v="1356"/>
    </i>
    <i>
      <x v="1185"/>
    </i>
    <i>
      <x v="1388"/>
    </i>
    <i>
      <x v="1186"/>
    </i>
    <i>
      <x v="1420"/>
    </i>
    <i>
      <x v="1187"/>
    </i>
    <i>
      <x v="1181"/>
    </i>
    <i>
      <x v="1188"/>
    </i>
    <i>
      <x v="1332"/>
    </i>
    <i>
      <x v="1189"/>
    </i>
    <i>
      <x v="1348"/>
    </i>
    <i>
      <x v="1190"/>
    </i>
    <i>
      <x v="1364"/>
    </i>
    <i>
      <x v="1191"/>
    </i>
    <i>
      <x v="1380"/>
    </i>
    <i>
      <x v="1192"/>
    </i>
    <i>
      <x v="1396"/>
    </i>
    <i>
      <x v="1193"/>
    </i>
    <i>
      <x v="1412"/>
    </i>
    <i>
      <x v="1194"/>
    </i>
    <i>
      <x v="1428"/>
    </i>
    <i>
      <x v="1195"/>
    </i>
    <i>
      <x v="1444"/>
    </i>
    <i>
      <x v="1196"/>
    </i>
    <i>
      <x v="1320"/>
    </i>
    <i>
      <x v="1197"/>
    </i>
    <i>
      <x v="1328"/>
    </i>
    <i>
      <x v="1198"/>
    </i>
    <i>
      <x v="1336"/>
    </i>
    <i>
      <x v="1199"/>
    </i>
    <i>
      <x v="1344"/>
    </i>
    <i>
      <x v="1200"/>
    </i>
    <i>
      <x v="1352"/>
    </i>
    <i>
      <x v="1201"/>
    </i>
    <i>
      <x v="1360"/>
    </i>
    <i>
      <x v="1202"/>
    </i>
    <i>
      <x v="1368"/>
    </i>
    <i>
      <x v="1203"/>
    </i>
    <i>
      <x v="1376"/>
    </i>
    <i>
      <x v="1204"/>
    </i>
    <i>
      <x v="1384"/>
    </i>
    <i>
      <x v="1205"/>
    </i>
    <i>
      <x v="1392"/>
    </i>
    <i>
      <x v="1206"/>
    </i>
    <i>
      <x v="1400"/>
    </i>
    <i>
      <x v="1207"/>
    </i>
    <i>
      <x v="1408"/>
    </i>
    <i>
      <x v="1173"/>
    </i>
    <i>
      <x v="1416"/>
    </i>
    <i>
      <x v="1209"/>
    </i>
    <i>
      <x v="1424"/>
    </i>
    <i>
      <x v="1210"/>
    </i>
    <i>
      <x v="1432"/>
    </i>
    <i>
      <x v="1211"/>
    </i>
    <i>
      <x v="1440"/>
    </i>
    <i>
      <x v="1212"/>
    </i>
    <i>
      <x v="1448"/>
    </i>
    <i>
      <x v="1213"/>
    </i>
    <i>
      <x v="1172"/>
    </i>
    <i>
      <x v="1214"/>
    </i>
    <i>
      <x v="1322"/>
    </i>
    <i>
      <x v="1215"/>
    </i>
    <i>
      <x v="1326"/>
    </i>
    <i>
      <x v="1216"/>
    </i>
    <i>
      <x v="1330"/>
    </i>
    <i>
      <x v="1217"/>
    </i>
    <i>
      <x v="1334"/>
    </i>
    <i>
      <x v="1218"/>
    </i>
    <i>
      <x v="1338"/>
    </i>
    <i>
      <x v="1219"/>
    </i>
    <i>
      <x v="1342"/>
    </i>
    <i>
      <x v="1220"/>
    </i>
    <i>
      <x v="1346"/>
    </i>
    <i>
      <x v="1221"/>
    </i>
    <i>
      <x v="1350"/>
    </i>
    <i>
      <x v="1222"/>
    </i>
    <i>
      <x v="1179"/>
    </i>
    <i>
      <x v="1223"/>
    </i>
    <i>
      <x v="1358"/>
    </i>
    <i>
      <x v="1224"/>
    </i>
    <i>
      <x v="1362"/>
    </i>
    <i>
      <x v="1225"/>
    </i>
    <i>
      <x v="1366"/>
    </i>
    <i>
      <x v="1226"/>
    </i>
    <i>
      <x v="1370"/>
    </i>
    <i>
      <x v="1227"/>
    </i>
    <i>
      <x v="1374"/>
    </i>
    <i>
      <x v="1228"/>
    </i>
    <i>
      <x v="1378"/>
    </i>
    <i>
      <x v="1229"/>
    </i>
    <i>
      <x v="1382"/>
    </i>
    <i>
      <x v="1230"/>
    </i>
    <i>
      <x v="1386"/>
    </i>
    <i>
      <x v="1231"/>
    </i>
    <i>
      <x v="1390"/>
    </i>
    <i>
      <x v="1232"/>
    </i>
    <i>
      <x v="1394"/>
    </i>
    <i>
      <x v="1233"/>
    </i>
    <i>
      <x v="1398"/>
    </i>
    <i>
      <x v="1234"/>
    </i>
    <i>
      <x v="1402"/>
    </i>
    <i>
      <x v="1235"/>
    </i>
    <i>
      <x v="1406"/>
    </i>
    <i>
      <x v="1236"/>
    </i>
    <i>
      <x v="1410"/>
    </i>
    <i>
      <x v="1237"/>
    </i>
    <i>
      <x v="1414"/>
    </i>
    <i>
      <x v="1238"/>
    </i>
    <i>
      <x v="1418"/>
    </i>
    <i>
      <x v="1174"/>
    </i>
    <i>
      <x v="1180"/>
    </i>
    <i>
      <x v="1240"/>
    </i>
    <i>
      <x v="1426"/>
    </i>
    <i>
      <x v="1241"/>
    </i>
    <i>
      <x v="1430"/>
    </i>
    <i>
      <x v="1242"/>
    </i>
    <i>
      <x v="1434"/>
    </i>
    <i>
      <x v="1243"/>
    </i>
    <i>
      <x v="1438"/>
    </i>
    <i>
      <x v="1175"/>
    </i>
    <i>
      <x v="1442"/>
    </i>
    <i>
      <x v="1245"/>
    </i>
    <i>
      <x v="1446"/>
    </i>
    <i>
      <x v="1176"/>
    </i>
    <i>
      <x v="1450"/>
    </i>
    <i>
      <x v="1247"/>
    </i>
    <i>
      <x v="1463"/>
    </i>
    <i>
      <x v="1248"/>
    </i>
    <i>
      <x v="1319"/>
    </i>
    <i>
      <x v="1249"/>
    </i>
    <i>
      <x v="1321"/>
    </i>
    <i>
      <x v="1177"/>
    </i>
    <i>
      <x v="1323"/>
    </i>
    <i>
      <x v="1251"/>
    </i>
    <i>
      <x v="1325"/>
    </i>
    <i>
      <x v="1252"/>
    </i>
    <i>
      <x v="1327"/>
    </i>
    <i>
      <x v="1253"/>
    </i>
    <i>
      <x v="1329"/>
    </i>
    <i>
      <x v="1254"/>
    </i>
    <i>
      <x v="1331"/>
    </i>
    <i>
      <x v="1255"/>
    </i>
    <i>
      <x v="1333"/>
    </i>
    <i>
      <x v="1256"/>
    </i>
    <i>
      <x v="1335"/>
    </i>
    <i>
      <x v="1257"/>
    </i>
    <i>
      <x v="1178"/>
    </i>
    <i>
      <x v="1258"/>
    </i>
    <i>
      <x v="1339"/>
    </i>
    <i>
      <x v="1259"/>
    </i>
    <i>
      <x v="1341"/>
    </i>
    <i>
      <x v="1260"/>
    </i>
    <i>
      <x v="1343"/>
    </i>
    <i>
      <x v="1261"/>
    </i>
    <i>
      <x v="1345"/>
    </i>
    <i>
      <x v="1262"/>
    </i>
    <i>
      <x v="1347"/>
    </i>
    <i>
      <x v="1263"/>
    </i>
    <i>
      <x v="1349"/>
    </i>
    <i>
      <x v="1264"/>
    </i>
    <i>
      <x v="1351"/>
    </i>
    <i>
      <x v="1265"/>
    </i>
    <i>
      <x v="1353"/>
    </i>
    <i>
      <x v="1266"/>
    </i>
    <i>
      <x v="1355"/>
    </i>
    <i>
      <x v="1267"/>
    </i>
    <i>
      <x v="1357"/>
    </i>
    <i>
      <x v="1268"/>
    </i>
    <i>
      <x v="1359"/>
    </i>
    <i>
      <x v="1269"/>
    </i>
    <i>
      <x v="1361"/>
    </i>
    <i>
      <x v="1270"/>
    </i>
    <i>
      <x v="1363"/>
    </i>
    <i>
      <x v="1271"/>
    </i>
    <i>
      <x v="1365"/>
    </i>
    <i>
      <x v="1272"/>
    </i>
    <i>
      <x v="1367"/>
    </i>
    <i>
      <x v="1273"/>
    </i>
    <i>
      <x v="1369"/>
    </i>
    <i>
      <x v="1274"/>
    </i>
    <i>
      <x v="1371"/>
    </i>
    <i>
      <x v="1275"/>
    </i>
    <i>
      <x v="1373"/>
    </i>
    <i>
      <x v="1276"/>
    </i>
    <i>
      <x v="1375"/>
    </i>
    <i>
      <x v="1277"/>
    </i>
    <i>
      <x v="1377"/>
    </i>
    <i>
      <x v="1278"/>
    </i>
    <i>
      <x v="1379"/>
    </i>
    <i>
      <x v="1279"/>
    </i>
    <i>
      <x v="1381"/>
    </i>
    <i>
      <x v="1280"/>
    </i>
    <i>
      <x v="1383"/>
    </i>
    <i>
      <x v="1281"/>
    </i>
    <i>
      <x v="1385"/>
    </i>
    <i>
      <x v="1282"/>
    </i>
    <i>
      <x v="1387"/>
    </i>
    <i>
      <x v="1283"/>
    </i>
    <i>
      <x v="1389"/>
    </i>
    <i>
      <x v="1284"/>
    </i>
    <i>
      <x v="1391"/>
    </i>
    <i>
      <x v="1285"/>
    </i>
    <i>
      <x v="1393"/>
    </i>
    <i>
      <x v="1286"/>
    </i>
    <i>
      <x v="1395"/>
    </i>
    <i>
      <x v="1287"/>
    </i>
    <i>
      <x v="1397"/>
    </i>
    <i>
      <x v="1288"/>
    </i>
    <i>
      <x v="1399"/>
    </i>
    <i>
      <x v="1289"/>
    </i>
    <i>
      <x v="1401"/>
    </i>
    <i>
      <x v="1290"/>
    </i>
    <i>
      <x v="1403"/>
    </i>
    <i>
      <x v="1291"/>
    </i>
    <i>
      <x v="1405"/>
    </i>
    <i>
      <x v="1292"/>
    </i>
    <i>
      <x v="1407"/>
    </i>
    <i>
      <x v="1293"/>
    </i>
    <i>
      <x v="1409"/>
    </i>
    <i>
      <x v="1294"/>
    </i>
    <i>
      <x v="1411"/>
    </i>
    <i>
      <x v="1295"/>
    </i>
    <i>
      <x v="1413"/>
    </i>
    <i>
      <x v="1296"/>
    </i>
    <i>
      <x v="1415"/>
    </i>
    <i>
      <x v="1297"/>
    </i>
    <i>
      <x v="1417"/>
    </i>
    <i>
      <x v="1298"/>
    </i>
    <i>
      <x v="1419"/>
    </i>
    <i>
      <x v="1299"/>
    </i>
    <i>
      <x v="1421"/>
    </i>
    <i>
      <x v="1300"/>
    </i>
    <i>
      <x v="1423"/>
    </i>
    <i>
      <x v="1301"/>
    </i>
    <i>
      <x v="1425"/>
    </i>
    <i>
      <x v="1302"/>
    </i>
    <i>
      <x v="1427"/>
    </i>
    <i>
      <x v="1303"/>
    </i>
    <i>
      <x v="1429"/>
    </i>
    <i>
      <x v="1304"/>
    </i>
    <i>
      <x v="1431"/>
    </i>
    <i>
      <x v="1305"/>
    </i>
    <i>
      <x v="1433"/>
    </i>
    <i>
      <x v="1306"/>
    </i>
    <i>
      <x v="1435"/>
    </i>
    <i>
      <x v="1307"/>
    </i>
    <i>
      <x v="1437"/>
    </i>
    <i>
      <x v="1308"/>
    </i>
    <i>
      <x v="1439"/>
    </i>
    <i>
      <x v="1309"/>
    </i>
    <i>
      <x v="1441"/>
    </i>
    <i>
      <x v="1310"/>
    </i>
    <i>
      <x v="1443"/>
    </i>
    <i>
      <x v="1452"/>
    </i>
    <i>
      <x v="1445"/>
    </i>
    <i>
      <x v="1453"/>
    </i>
    <i>
      <x v="1447"/>
    </i>
    <i>
      <x v="1455"/>
    </i>
    <i>
      <x v="1449"/>
    </i>
    <i>
      <x v="1457"/>
    </i>
    <i>
      <x v="1451"/>
    </i>
    <i>
      <x v="1459"/>
    </i>
    <i>
      <x v="1461"/>
    </i>
    <i>
      <x v="1454"/>
    </i>
    <i>
      <x v="1312"/>
    </i>
    <i>
      <x v="1456"/>
    </i>
    <i>
      <x v="1313"/>
    </i>
    <i>
      <x v="1458"/>
    </i>
    <i>
      <x v="1314"/>
    </i>
    <i>
      <x v="1460"/>
    </i>
    <i>
      <x v="1315"/>
    </i>
    <i>
      <x v="1462"/>
    </i>
    <i>
      <x v="1316"/>
    </i>
    <i>
      <x v="1464"/>
    </i>
    <i>
      <x v="1317"/>
    </i>
    <i>
      <x v="1318"/>
    </i>
    <i>
      <x v="1148"/>
    </i>
    <i>
      <x v="1084"/>
    </i>
    <i>
      <x v="1052"/>
    </i>
    <i>
      <x v="894"/>
    </i>
    <i>
      <x v="1116"/>
    </i>
    <i>
      <x v="895"/>
    </i>
    <i>
      <x v="1036"/>
    </i>
    <i>
      <x v="896"/>
    </i>
    <i>
      <x v="1068"/>
    </i>
    <i>
      <x v="880"/>
    </i>
    <i>
      <x v="1100"/>
    </i>
    <i>
      <x v="898"/>
    </i>
    <i>
      <x v="1132"/>
    </i>
    <i>
      <x v="899"/>
    </i>
    <i>
      <x v="893"/>
    </i>
    <i>
      <x v="900"/>
    </i>
    <i>
      <x v="1044"/>
    </i>
    <i>
      <x v="901"/>
    </i>
    <i>
      <x v="1060"/>
    </i>
    <i>
      <x v="902"/>
    </i>
    <i>
      <x v="1076"/>
    </i>
    <i>
      <x v="903"/>
    </i>
    <i>
      <x v="1092"/>
    </i>
    <i>
      <x v="904"/>
    </i>
    <i>
      <x v="1108"/>
    </i>
    <i>
      <x v="905"/>
    </i>
    <i>
      <x v="1124"/>
    </i>
    <i>
      <x v="906"/>
    </i>
    <i>
      <x v="1140"/>
    </i>
    <i>
      <x v="907"/>
    </i>
    <i>
      <x v="1156"/>
    </i>
    <i>
      <x v="908"/>
    </i>
    <i>
      <x v="1032"/>
    </i>
    <i>
      <x v="909"/>
    </i>
    <i>
      <x v="1040"/>
    </i>
    <i>
      <x v="910"/>
    </i>
    <i>
      <x v="1048"/>
    </i>
    <i>
      <x v="911"/>
    </i>
    <i>
      <x v="1056"/>
    </i>
    <i>
      <x v="912"/>
    </i>
    <i>
      <x v="1064"/>
    </i>
    <i>
      <x v="913"/>
    </i>
    <i>
      <x v="1072"/>
    </i>
    <i>
      <x v="881"/>
    </i>
    <i>
      <x v="1080"/>
    </i>
    <i>
      <x v="915"/>
    </i>
    <i>
      <x v="1088"/>
    </i>
    <i>
      <x v="916"/>
    </i>
    <i>
      <x v="1096"/>
    </i>
    <i>
      <x v="917"/>
    </i>
    <i>
      <x v="892"/>
    </i>
    <i>
      <x v="918"/>
    </i>
    <i>
      <x v="1112"/>
    </i>
    <i>
      <x v="919"/>
    </i>
    <i>
      <x v="1120"/>
    </i>
    <i>
      <x v="920"/>
    </i>
    <i>
      <x v="1128"/>
    </i>
    <i>
      <x v="921"/>
    </i>
    <i>
      <x v="1136"/>
    </i>
    <i>
      <x v="922"/>
    </i>
    <i>
      <x v="1144"/>
    </i>
    <i>
      <x v="923"/>
    </i>
    <i>
      <x v="1152"/>
    </i>
    <i>
      <x v="924"/>
    </i>
    <i>
      <x v="1160"/>
    </i>
    <i>
      <x v="925"/>
    </i>
    <i>
      <x v="1030"/>
    </i>
    <i>
      <x v="926"/>
    </i>
    <i>
      <x v="1034"/>
    </i>
    <i>
      <x v="927"/>
    </i>
    <i>
      <x v="890"/>
    </i>
    <i>
      <x v="928"/>
    </i>
    <i>
      <x v="1042"/>
    </i>
    <i>
      <x v="929"/>
    </i>
    <i>
      <x v="1046"/>
    </i>
    <i>
      <x v="930"/>
    </i>
    <i>
      <x v="1050"/>
    </i>
    <i>
      <x v="931"/>
    </i>
    <i>
      <x v="1054"/>
    </i>
    <i>
      <x v="932"/>
    </i>
    <i>
      <x v="1058"/>
    </i>
    <i>
      <x v="933"/>
    </i>
    <i>
      <x v="1062"/>
    </i>
    <i>
      <x v="934"/>
    </i>
    <i>
      <x v="1066"/>
    </i>
    <i>
      <x v="935"/>
    </i>
    <i>
      <x v="1070"/>
    </i>
    <i>
      <x v="936"/>
    </i>
    <i>
      <x v="1074"/>
    </i>
    <i>
      <x v="937"/>
    </i>
    <i>
      <x v="1078"/>
    </i>
    <i>
      <x v="938"/>
    </i>
    <i>
      <x v="1082"/>
    </i>
    <i>
      <x v="939"/>
    </i>
    <i>
      <x v="1086"/>
    </i>
    <i>
      <x v="940"/>
    </i>
    <i>
      <x v="1090"/>
    </i>
    <i>
      <x v="941"/>
    </i>
    <i>
      <x v="1094"/>
    </i>
    <i>
      <x v="942"/>
    </i>
    <i>
      <x v="1098"/>
    </i>
    <i>
      <x v="943"/>
    </i>
    <i>
      <x v="1102"/>
    </i>
    <i>
      <x v="944"/>
    </i>
    <i>
      <x v="1106"/>
    </i>
    <i>
      <x v="945"/>
    </i>
    <i>
      <x v="1110"/>
    </i>
    <i>
      <x v="946"/>
    </i>
    <i>
      <x v="1114"/>
    </i>
    <i>
      <x v="947"/>
    </i>
    <i>
      <x v="1118"/>
    </i>
    <i>
      <x v="948"/>
    </i>
    <i>
      <x v="1122"/>
    </i>
    <i>
      <x v="949"/>
    </i>
    <i>
      <x v="1126"/>
    </i>
    <i>
      <x v="950"/>
    </i>
    <i>
      <x v="1130"/>
    </i>
    <i>
      <x v="951"/>
    </i>
    <i>
      <x v="1134"/>
    </i>
    <i>
      <x v="952"/>
    </i>
    <i>
      <x v="1138"/>
    </i>
    <i>
      <x v="953"/>
    </i>
    <i>
      <x v="1142"/>
    </i>
    <i>
      <x v="954"/>
    </i>
    <i>
      <x v="1146"/>
    </i>
    <i>
      <x v="955"/>
    </i>
    <i>
      <x v="1150"/>
    </i>
    <i>
      <x v="956"/>
    </i>
    <i>
      <x v="1154"/>
    </i>
    <i>
      <x v="957"/>
    </i>
    <i>
      <x v="1158"/>
    </i>
    <i>
      <x v="958"/>
    </i>
    <i>
      <x v="1162"/>
    </i>
    <i>
      <x v="959"/>
    </i>
    <i>
      <x v="1029"/>
    </i>
    <i>
      <x v="960"/>
    </i>
    <i>
      <x v="1031"/>
    </i>
    <i>
      <x v="961"/>
    </i>
    <i>
      <x v="1033"/>
    </i>
    <i>
      <x v="962"/>
    </i>
    <i>
      <x v="1035"/>
    </i>
    <i>
      <x v="963"/>
    </i>
    <i>
      <x v="1037"/>
    </i>
    <i>
      <x v="964"/>
    </i>
    <i>
      <x v="1039"/>
    </i>
    <i>
      <x v="965"/>
    </i>
    <i>
      <x v="1041"/>
    </i>
    <i>
      <x v="966"/>
    </i>
    <i>
      <x v="1043"/>
    </i>
    <i>
      <x v="967"/>
    </i>
    <i>
      <x v="1045"/>
    </i>
    <i>
      <x v="968"/>
    </i>
    <i>
      <x v="1047"/>
    </i>
    <i>
      <x v="969"/>
    </i>
    <i>
      <x v="1049"/>
    </i>
    <i>
      <x v="970"/>
    </i>
    <i>
      <x v="1051"/>
    </i>
    <i>
      <x v="971"/>
    </i>
    <i>
      <x v="1053"/>
    </i>
    <i>
      <x v="972"/>
    </i>
    <i>
      <x v="1055"/>
    </i>
    <i>
      <x v="973"/>
    </i>
    <i>
      <x v="1057"/>
    </i>
    <i>
      <x v="974"/>
    </i>
    <i>
      <x v="1059"/>
    </i>
    <i>
      <x v="975"/>
    </i>
    <i>
      <x v="1061"/>
    </i>
    <i>
      <x v="882"/>
    </i>
    <i>
      <x v="1063"/>
    </i>
    <i>
      <x v="977"/>
    </i>
    <i>
      <x v="1065"/>
    </i>
    <i>
      <x v="978"/>
    </i>
    <i>
      <x v="1067"/>
    </i>
    <i>
      <x v="979"/>
    </i>
    <i>
      <x v="1069"/>
    </i>
    <i>
      <x v="883"/>
    </i>
    <i>
      <x v="1071"/>
    </i>
    <i>
      <x v="884"/>
    </i>
    <i>
      <x v="1073"/>
    </i>
    <i>
      <x v="982"/>
    </i>
    <i>
      <x v="1075"/>
    </i>
    <i>
      <x v="983"/>
    </i>
    <i>
      <x v="1077"/>
    </i>
    <i>
      <x v="984"/>
    </i>
    <i>
      <x v="1079"/>
    </i>
    <i>
      <x v="885"/>
    </i>
    <i>
      <x v="1081"/>
    </i>
    <i>
      <x v="986"/>
    </i>
    <i>
      <x v="1083"/>
    </i>
    <i>
      <x v="987"/>
    </i>
    <i>
      <x v="891"/>
    </i>
    <i>
      <x v="988"/>
    </i>
    <i>
      <x v="1087"/>
    </i>
    <i>
      <x v="989"/>
    </i>
    <i>
      <x v="1089"/>
    </i>
    <i>
      <x v="990"/>
    </i>
    <i>
      <x v="1091"/>
    </i>
    <i>
      <x v="991"/>
    </i>
    <i>
      <x v="1093"/>
    </i>
    <i>
      <x v="992"/>
    </i>
    <i>
      <x v="1095"/>
    </i>
    <i>
      <x v="886"/>
    </i>
    <i>
      <x v="1097"/>
    </i>
    <i>
      <x v="994"/>
    </i>
    <i>
      <x v="1099"/>
    </i>
    <i>
      <x v="995"/>
    </i>
    <i>
      <x v="1101"/>
    </i>
    <i>
      <x v="996"/>
    </i>
    <i>
      <x v="1103"/>
    </i>
    <i>
      <x v="997"/>
    </i>
    <i>
      <x v="1105"/>
    </i>
    <i>
      <x v="998"/>
    </i>
    <i>
      <x v="1107"/>
    </i>
    <i>
      <x v="999"/>
    </i>
    <i>
      <x v="1109"/>
    </i>
    <i>
      <x v="1000"/>
    </i>
    <i>
      <x v="1111"/>
    </i>
    <i>
      <x v="1001"/>
    </i>
    <i>
      <x v="1113"/>
    </i>
    <i>
      <x v="1002"/>
    </i>
    <i>
      <x v="1115"/>
    </i>
    <i>
      <x v="1003"/>
    </i>
    <i>
      <x v="1117"/>
    </i>
    <i>
      <x v="1004"/>
    </i>
    <i>
      <x v="1119"/>
    </i>
    <i>
      <x v="1005"/>
    </i>
    <i>
      <x v="1121"/>
    </i>
    <i>
      <x v="1006"/>
    </i>
    <i>
      <x v="1123"/>
    </i>
    <i>
      <x v="1007"/>
    </i>
    <i>
      <x v="1125"/>
    </i>
    <i>
      <x v="1008"/>
    </i>
    <i>
      <x v="1127"/>
    </i>
    <i>
      <x v="1009"/>
    </i>
    <i>
      <x v="1129"/>
    </i>
    <i>
      <x v="1010"/>
    </i>
    <i>
      <x v="1131"/>
    </i>
    <i>
      <x v="1011"/>
    </i>
    <i>
      <x v="1133"/>
    </i>
    <i>
      <x v="1012"/>
    </i>
    <i>
      <x v="1135"/>
    </i>
    <i>
      <x v="1013"/>
    </i>
    <i>
      <x v="1137"/>
    </i>
    <i>
      <x v="1014"/>
    </i>
    <i>
      <x v="1139"/>
    </i>
    <i>
      <x v="887"/>
    </i>
    <i>
      <x v="1141"/>
    </i>
    <i>
      <x v="1016"/>
    </i>
    <i>
      <x v="1143"/>
    </i>
    <i>
      <x v="1017"/>
    </i>
    <i>
      <x v="1145"/>
    </i>
    <i>
      <x v="1018"/>
    </i>
    <i>
      <x v="1147"/>
    </i>
    <i>
      <x v="1019"/>
    </i>
    <i>
      <x v="1149"/>
    </i>
    <i>
      <x v="1020"/>
    </i>
    <i>
      <x v="1151"/>
    </i>
    <i>
      <x v="888"/>
    </i>
    <i>
      <x v="1153"/>
    </i>
    <i>
      <x v="1166"/>
    </i>
    <i>
      <x v="1155"/>
    </i>
    <i>
      <x v="1168"/>
    </i>
    <i>
      <x v="1157"/>
    </i>
    <i>
      <x v="1170"/>
    </i>
    <i>
      <x v="1159"/>
    </i>
    <i>
      <x v="879"/>
    </i>
    <i>
      <x v="1161"/>
    </i>
    <i>
      <x v="889"/>
    </i>
    <i>
      <x v="1163"/>
    </i>
    <i>
      <x v="1027"/>
    </i>
    <i>
      <x v="1028"/>
    </i>
    <i>
      <x v="1021"/>
    </i>
    <i>
      <x v="1167"/>
    </i>
    <i>
      <x v="1022"/>
    </i>
    <i>
      <x v="1169"/>
    </i>
    <i>
      <x v="1023"/>
    </i>
    <i>
      <x v="1171"/>
    </i>
    <i>
      <x v="1024"/>
    </i>
    <i>
      <x v="1025"/>
    </i>
    <i>
      <x v="594"/>
    </i>
    <i>
      <x v="786"/>
    </i>
    <i>
      <x v="754"/>
    </i>
    <i>
      <x v="596"/>
    </i>
    <i>
      <x v="818"/>
    </i>
    <i>
      <x v="597"/>
    </i>
    <i>
      <x v="738"/>
    </i>
    <i>
      <x v="598"/>
    </i>
    <i>
      <x v="770"/>
    </i>
    <i>
      <x v="599"/>
    </i>
    <i>
      <x v="802"/>
    </i>
    <i>
      <x v="600"/>
    </i>
    <i>
      <x v="834"/>
    </i>
    <i>
      <x v="601"/>
    </i>
    <i>
      <x v="866"/>
    </i>
    <i>
      <x v="602"/>
    </i>
    <i>
      <x v="746"/>
    </i>
    <i>
      <x v="603"/>
    </i>
    <i>
      <x v="762"/>
    </i>
    <i>
      <x v="604"/>
    </i>
    <i>
      <x v="778"/>
    </i>
    <i>
      <x v="605"/>
    </i>
    <i>
      <x v="794"/>
    </i>
    <i>
      <x v="587"/>
    </i>
    <i>
      <x v="810"/>
    </i>
    <i>
      <x v="607"/>
    </i>
    <i>
      <x v="826"/>
    </i>
    <i>
      <x v="608"/>
    </i>
    <i>
      <x v="842"/>
    </i>
    <i>
      <x v="609"/>
    </i>
    <i>
      <x v="858"/>
    </i>
    <i>
      <x v="610"/>
    </i>
    <i>
      <x v="734"/>
    </i>
    <i>
      <x v="611"/>
    </i>
    <i>
      <x v="742"/>
    </i>
    <i>
      <x v="612"/>
    </i>
    <i>
      <x v="750"/>
    </i>
    <i>
      <x v="613"/>
    </i>
    <i>
      <x v="758"/>
    </i>
    <i>
      <x v="614"/>
    </i>
    <i>
      <x v="766"/>
    </i>
    <i>
      <x v="615"/>
    </i>
    <i>
      <x v="774"/>
    </i>
    <i>
      <x v="616"/>
    </i>
    <i>
      <x v="782"/>
    </i>
    <i>
      <x v="617"/>
    </i>
    <i>
      <x v="592"/>
    </i>
    <i>
      <x v="618"/>
    </i>
    <i>
      <x v="798"/>
    </i>
    <i>
      <x v="619"/>
    </i>
    <i>
      <x v="806"/>
    </i>
    <i>
      <x v="620"/>
    </i>
    <i>
      <x v="814"/>
    </i>
    <i>
      <x v="621"/>
    </i>
    <i>
      <x v="822"/>
    </i>
    <i>
      <x v="622"/>
    </i>
    <i>
      <x v="830"/>
    </i>
    <i>
      <x v="623"/>
    </i>
    <i>
      <x v="838"/>
    </i>
    <i>
      <x v="588"/>
    </i>
    <i>
      <x v="846"/>
    </i>
    <i>
      <x v="625"/>
    </i>
    <i>
      <x v="854"/>
    </i>
    <i>
      <x v="626"/>
    </i>
    <i>
      <x v="862"/>
    </i>
    <i>
      <x v="627"/>
    </i>
    <i>
      <x v="586"/>
    </i>
    <i>
      <x v="628"/>
    </i>
    <i>
      <x v="736"/>
    </i>
    <i>
      <x v="629"/>
    </i>
    <i>
      <x v="740"/>
    </i>
    <i>
      <x v="630"/>
    </i>
    <i>
      <x v="744"/>
    </i>
    <i>
      <x v="631"/>
    </i>
    <i>
      <x v="748"/>
    </i>
    <i>
      <x v="632"/>
    </i>
    <i>
      <x v="752"/>
    </i>
    <i>
      <x v="633"/>
    </i>
    <i>
      <x v="756"/>
    </i>
    <i>
      <x v="634"/>
    </i>
    <i>
      <x v="760"/>
    </i>
    <i>
      <x v="635"/>
    </i>
    <i>
      <x v="764"/>
    </i>
    <i>
      <x v="636"/>
    </i>
    <i>
      <x v="768"/>
    </i>
    <i>
      <x v="637"/>
    </i>
    <i>
      <x v="772"/>
    </i>
    <i>
      <x v="638"/>
    </i>
    <i>
      <x v="776"/>
    </i>
    <i>
      <x v="639"/>
    </i>
    <i>
      <x v="780"/>
    </i>
    <i>
      <x v="640"/>
    </i>
    <i>
      <x v="784"/>
    </i>
    <i>
      <x v="589"/>
    </i>
    <i>
      <x v="788"/>
    </i>
    <i>
      <x v="642"/>
    </i>
    <i>
      <x v="792"/>
    </i>
    <i>
      <x v="643"/>
    </i>
    <i>
      <x v="796"/>
    </i>
    <i>
      <x v="644"/>
    </i>
    <i>
      <x v="800"/>
    </i>
    <i>
      <x v="645"/>
    </i>
    <i>
      <x v="804"/>
    </i>
    <i>
      <x v="646"/>
    </i>
    <i>
      <x v="808"/>
    </i>
    <i>
      <x v="647"/>
    </i>
    <i>
      <x v="812"/>
    </i>
    <i>
      <x v="648"/>
    </i>
    <i>
      <x v="816"/>
    </i>
    <i>
      <x v="649"/>
    </i>
    <i>
      <x v="820"/>
    </i>
    <i>
      <x v="650"/>
    </i>
    <i>
      <x v="824"/>
    </i>
    <i>
      <x v="651"/>
    </i>
    <i>
      <x v="828"/>
    </i>
    <i>
      <x v="652"/>
    </i>
    <i>
      <x v="593"/>
    </i>
    <i>
      <x v="653"/>
    </i>
    <i>
      <x v="836"/>
    </i>
    <i>
      <x v="654"/>
    </i>
    <i>
      <x v="840"/>
    </i>
    <i>
      <x v="655"/>
    </i>
    <i>
      <x v="844"/>
    </i>
    <i>
      <x v="656"/>
    </i>
    <i>
      <x v="848"/>
    </i>
    <i>
      <x v="657"/>
    </i>
    <i>
      <x v="852"/>
    </i>
    <i>
      <x v="658"/>
    </i>
    <i>
      <x v="856"/>
    </i>
    <i>
      <x v="659"/>
    </i>
    <i>
      <x v="860"/>
    </i>
    <i>
      <x v="660"/>
    </i>
    <i>
      <x v="864"/>
    </i>
    <i>
      <x v="661"/>
    </i>
    <i>
      <x v="868"/>
    </i>
    <i>
      <x v="662"/>
    </i>
    <i>
      <x v="733"/>
    </i>
    <i>
      <x v="663"/>
    </i>
    <i>
      <x v="735"/>
    </i>
    <i>
      <x v="664"/>
    </i>
    <i>
      <x v="737"/>
    </i>
    <i>
      <x v="665"/>
    </i>
    <i>
      <x v="739"/>
    </i>
    <i>
      <x v="666"/>
    </i>
    <i>
      <x v="741"/>
    </i>
    <i>
      <x v="667"/>
    </i>
    <i>
      <x v="743"/>
    </i>
    <i>
      <x v="668"/>
    </i>
    <i>
      <x v="745"/>
    </i>
    <i>
      <x v="590"/>
    </i>
    <i>
      <x v="747"/>
    </i>
    <i>
      <x v="670"/>
    </i>
    <i>
      <x v="749"/>
    </i>
    <i>
      <x v="671"/>
    </i>
    <i>
      <x v="751"/>
    </i>
    <i>
      <x v="672"/>
    </i>
    <i>
      <x v="753"/>
    </i>
    <i>
      <x v="673"/>
    </i>
    <i>
      <x v="755"/>
    </i>
    <i>
      <x v="674"/>
    </i>
    <i>
      <x v="757"/>
    </i>
    <i>
      <x v="675"/>
    </i>
    <i>
      <x v="759"/>
    </i>
    <i>
      <x v="676"/>
    </i>
    <i>
      <x v="761"/>
    </i>
    <i>
      <x v="677"/>
    </i>
    <i>
      <x v="763"/>
    </i>
    <i>
      <x v="678"/>
    </i>
    <i>
      <x v="765"/>
    </i>
    <i>
      <x v="679"/>
    </i>
    <i>
      <x v="767"/>
    </i>
    <i>
      <x v="680"/>
    </i>
    <i>
      <x v="769"/>
    </i>
    <i>
      <x v="681"/>
    </i>
    <i>
      <x v="771"/>
    </i>
    <i>
      <x v="682"/>
    </i>
    <i>
      <x v="773"/>
    </i>
    <i>
      <x v="683"/>
    </i>
    <i>
      <x v="775"/>
    </i>
    <i>
      <x v="684"/>
    </i>
    <i>
      <x v="777"/>
    </i>
    <i>
      <x v="685"/>
    </i>
    <i>
      <x v="779"/>
    </i>
    <i>
      <x v="686"/>
    </i>
    <i>
      <x v="781"/>
    </i>
    <i>
      <x v="687"/>
    </i>
    <i>
      <x v="783"/>
    </i>
    <i>
      <x v="688"/>
    </i>
    <i>
      <x v="785"/>
    </i>
    <i>
      <x v="689"/>
    </i>
    <i>
      <x v="787"/>
    </i>
    <i>
      <x v="690"/>
    </i>
    <i>
      <x v="789"/>
    </i>
    <i>
      <x v="691"/>
    </i>
    <i>
      <x v="791"/>
    </i>
    <i>
      <x v="692"/>
    </i>
    <i>
      <x v="793"/>
    </i>
    <i>
      <x v="693"/>
    </i>
    <i>
      <x v="795"/>
    </i>
    <i>
      <x v="694"/>
    </i>
    <i>
      <x v="797"/>
    </i>
    <i>
      <x v="695"/>
    </i>
    <i>
      <x v="799"/>
    </i>
    <i>
      <x v="696"/>
    </i>
    <i>
      <x v="801"/>
    </i>
    <i>
      <x v="697"/>
    </i>
    <i>
      <x v="803"/>
    </i>
    <i>
      <x v="698"/>
    </i>
    <i>
      <x v="805"/>
    </i>
    <i>
      <x v="699"/>
    </i>
    <i>
      <x v="807"/>
    </i>
    <i>
      <x v="700"/>
    </i>
    <i>
      <x v="809"/>
    </i>
    <i>
      <x v="701"/>
    </i>
    <i>
      <x v="811"/>
    </i>
    <i>
      <x v="702"/>
    </i>
    <i>
      <x v="813"/>
    </i>
    <i>
      <x v="703"/>
    </i>
    <i>
      <x v="815"/>
    </i>
    <i>
      <x v="704"/>
    </i>
    <i>
      <x v="817"/>
    </i>
    <i>
      <x v="705"/>
    </i>
    <i>
      <x v="819"/>
    </i>
    <i>
      <x v="706"/>
    </i>
    <i>
      <x v="821"/>
    </i>
    <i>
      <x v="707"/>
    </i>
    <i>
      <x v="823"/>
    </i>
    <i>
      <x v="708"/>
    </i>
    <i>
      <x v="825"/>
    </i>
    <i>
      <x v="709"/>
    </i>
    <i>
      <x v="827"/>
    </i>
    <i>
      <x v="710"/>
    </i>
    <i>
      <x v="829"/>
    </i>
    <i>
      <x v="711"/>
    </i>
    <i>
      <x v="831"/>
    </i>
    <i>
      <x v="712"/>
    </i>
    <i>
      <x v="833"/>
    </i>
    <i>
      <x v="713"/>
    </i>
    <i>
      <x v="835"/>
    </i>
    <i>
      <x v="714"/>
    </i>
    <i>
      <x v="837"/>
    </i>
    <i>
      <x v="715"/>
    </i>
    <i>
      <x v="839"/>
    </i>
    <i>
      <x v="716"/>
    </i>
    <i>
      <x v="841"/>
    </i>
    <i>
      <x v="717"/>
    </i>
    <i>
      <x v="843"/>
    </i>
    <i>
      <x v="718"/>
    </i>
    <i>
      <x v="845"/>
    </i>
    <i>
      <x v="719"/>
    </i>
    <i>
      <x v="847"/>
    </i>
    <i>
      <x v="720"/>
    </i>
    <i>
      <x v="849"/>
    </i>
    <i>
      <x v="721"/>
    </i>
    <i>
      <x v="851"/>
    </i>
    <i>
      <x v="722"/>
    </i>
    <i>
      <x v="853"/>
    </i>
    <i>
      <x v="723"/>
    </i>
    <i>
      <x v="855"/>
    </i>
    <i>
      <x v="724"/>
    </i>
    <i>
      <x v="857"/>
    </i>
    <i>
      <x v="725"/>
    </i>
    <i>
      <x v="859"/>
    </i>
    <i>
      <x v="726"/>
    </i>
    <i>
      <x v="861"/>
    </i>
    <i>
      <x v="869"/>
    </i>
    <i>
      <x v="863"/>
    </i>
    <i>
      <x v="871"/>
    </i>
    <i>
      <x v="865"/>
    </i>
    <i>
      <x v="591"/>
    </i>
    <i>
      <x v="867"/>
    </i>
    <i>
      <x v="875"/>
    </i>
    <i>
      <x v="595"/>
    </i>
    <i>
      <x v="877"/>
    </i>
    <i>
      <x v="727"/>
    </i>
    <i>
      <x v="872"/>
    </i>
    <i>
      <x v="728"/>
    </i>
    <i>
      <x v="874"/>
    </i>
    <i>
      <x v="729"/>
    </i>
    <i>
      <x v="876"/>
    </i>
    <i>
      <x v="730"/>
    </i>
    <i>
      <x v="878"/>
    </i>
    <i>
      <x v="731"/>
    </i>
    <i>
      <x v="732"/>
    </i>
    <i>
      <x v="556"/>
    </i>
    <i>
      <x v="492"/>
    </i>
    <i>
      <x v="460"/>
    </i>
    <i>
      <x v="302"/>
    </i>
    <i>
      <x v="524"/>
    </i>
    <i>
      <x v="303"/>
    </i>
    <i>
      <x v="444"/>
    </i>
    <i>
      <x v="304"/>
    </i>
    <i>
      <x v="476"/>
    </i>
    <i>
      <x v="305"/>
    </i>
    <i>
      <x v="508"/>
    </i>
    <i>
      <x v="306"/>
    </i>
    <i>
      <x v="540"/>
    </i>
    <i>
      <x v="307"/>
    </i>
    <i>
      <x v="572"/>
    </i>
    <i>
      <x v="308"/>
    </i>
    <i>
      <x v="452"/>
    </i>
    <i>
      <x v="309"/>
    </i>
    <i>
      <x v="468"/>
    </i>
    <i>
      <x v="310"/>
    </i>
    <i>
      <x v="484"/>
    </i>
    <i>
      <x v="311"/>
    </i>
    <i>
      <x v="500"/>
    </i>
    <i>
      <x v="312"/>
    </i>
    <i>
      <x v="516"/>
    </i>
    <i>
      <x v="313"/>
    </i>
    <i>
      <x v="532"/>
    </i>
    <i>
      <x v="314"/>
    </i>
    <i>
      <x v="548"/>
    </i>
    <i>
      <x v="315"/>
    </i>
    <i>
      <x v="564"/>
    </i>
    <i>
      <x v="316"/>
    </i>
    <i>
      <x v="580"/>
    </i>
    <i>
      <x v="317"/>
    </i>
    <i>
      <x v="448"/>
    </i>
    <i>
      <x v="318"/>
    </i>
    <i>
      <x v="456"/>
    </i>
    <i>
      <x v="319"/>
    </i>
    <i>
      <x v="464"/>
    </i>
    <i>
      <x v="320"/>
    </i>
    <i>
      <x v="472"/>
    </i>
    <i>
      <x v="321"/>
    </i>
    <i>
      <x v="480"/>
    </i>
    <i>
      <x v="322"/>
    </i>
    <i>
      <x v="488"/>
    </i>
    <i>
      <x v="323"/>
    </i>
    <i>
      <x v="496"/>
    </i>
    <i>
      <x v="324"/>
    </i>
    <i>
      <x v="504"/>
    </i>
    <i>
      <x v="325"/>
    </i>
    <i>
      <x v="512"/>
    </i>
    <i>
      <x v="326"/>
    </i>
    <i>
      <x v="520"/>
    </i>
    <i>
      <x v="327"/>
    </i>
    <i>
      <x v="528"/>
    </i>
    <i>
      <x v="328"/>
    </i>
    <i>
      <x v="536"/>
    </i>
    <i>
      <x v="329"/>
    </i>
    <i>
      <x v="544"/>
    </i>
    <i>
      <x v="330"/>
    </i>
    <i>
      <x v="552"/>
    </i>
    <i>
      <x v="331"/>
    </i>
    <i>
      <x v="560"/>
    </i>
    <i>
      <x v="332"/>
    </i>
    <i>
      <x v="568"/>
    </i>
    <i>
      <x v="333"/>
    </i>
    <i>
      <x v="576"/>
    </i>
    <i>
      <x v="334"/>
    </i>
    <i>
      <x v="442"/>
    </i>
    <i>
      <x v="335"/>
    </i>
    <i>
      <x v="446"/>
    </i>
    <i>
      <x v="336"/>
    </i>
    <i>
      <x v="450"/>
    </i>
    <i>
      <x v="337"/>
    </i>
    <i>
      <x v="454"/>
    </i>
    <i>
      <x v="338"/>
    </i>
    <i>
      <x v="458"/>
    </i>
    <i>
      <x v="339"/>
    </i>
    <i>
      <x v="462"/>
    </i>
    <i>
      <x v="340"/>
    </i>
    <i>
      <x v="466"/>
    </i>
    <i>
      <x v="341"/>
    </i>
    <i>
      <x v="470"/>
    </i>
    <i>
      <x v="342"/>
    </i>
    <i>
      <x v="474"/>
    </i>
    <i>
      <x v="343"/>
    </i>
    <i>
      <x v="478"/>
    </i>
    <i>
      <x v="344"/>
    </i>
    <i>
      <x v="482"/>
    </i>
    <i>
      <x v="345"/>
    </i>
    <i>
      <x v="486"/>
    </i>
    <i>
      <x v="346"/>
    </i>
    <i>
      <x v="490"/>
    </i>
    <i>
      <x v="347"/>
    </i>
    <i>
      <x v="494"/>
    </i>
    <i>
      <x v="348"/>
    </i>
    <i>
      <x v="498"/>
    </i>
    <i>
      <x v="349"/>
    </i>
    <i>
      <x v="502"/>
    </i>
    <i>
      <x v="350"/>
    </i>
    <i>
      <x v="506"/>
    </i>
    <i>
      <x v="351"/>
    </i>
    <i>
      <x v="510"/>
    </i>
    <i>
      <x v="352"/>
    </i>
    <i>
      <x v="514"/>
    </i>
    <i>
      <x v="353"/>
    </i>
    <i>
      <x v="518"/>
    </i>
    <i>
      <x v="354"/>
    </i>
    <i>
      <x v="522"/>
    </i>
    <i>
      <x v="355"/>
    </i>
    <i>
      <x v="526"/>
    </i>
    <i>
      <x v="294"/>
    </i>
    <i>
      <x v="530"/>
    </i>
    <i>
      <x v="357"/>
    </i>
    <i>
      <x v="534"/>
    </i>
    <i>
      <x v="358"/>
    </i>
    <i>
      <x v="538"/>
    </i>
    <i>
      <x v="359"/>
    </i>
    <i>
      <x v="542"/>
    </i>
    <i>
      <x v="360"/>
    </i>
    <i>
      <x v="299"/>
    </i>
    <i>
      <x v="361"/>
    </i>
    <i>
      <x v="550"/>
    </i>
    <i>
      <x v="362"/>
    </i>
    <i>
      <x v="300"/>
    </i>
    <i>
      <x v="363"/>
    </i>
    <i>
      <x v="558"/>
    </i>
    <i>
      <x v="364"/>
    </i>
    <i>
      <x v="562"/>
    </i>
    <i>
      <x v="365"/>
    </i>
    <i>
      <x v="566"/>
    </i>
    <i>
      <x v="366"/>
    </i>
    <i>
      <x v="570"/>
    </i>
    <i>
      <x v="367"/>
    </i>
    <i>
      <x v="574"/>
    </i>
    <i>
      <x v="368"/>
    </i>
    <i>
      <x v="578"/>
    </i>
    <i>
      <x v="369"/>
    </i>
    <i>
      <x v="301"/>
    </i>
    <i>
      <x v="370"/>
    </i>
    <i>
      <x v="443"/>
    </i>
    <i>
      <x v="371"/>
    </i>
    <i>
      <x v="445"/>
    </i>
    <i>
      <x v="372"/>
    </i>
    <i>
      <x v="447"/>
    </i>
    <i>
      <x v="373"/>
    </i>
    <i>
      <x v="449"/>
    </i>
    <i>
      <x v="374"/>
    </i>
    <i>
      <x v="451"/>
    </i>
    <i>
      <x v="375"/>
    </i>
    <i>
      <x v="453"/>
    </i>
    <i>
      <x v="376"/>
    </i>
    <i>
      <x v="455"/>
    </i>
    <i>
      <x v="377"/>
    </i>
    <i>
      <x v="457"/>
    </i>
    <i>
      <x v="378"/>
    </i>
    <i>
      <x v="459"/>
    </i>
    <i>
      <x v="379"/>
    </i>
    <i>
      <x v="461"/>
    </i>
    <i>
      <x v="380"/>
    </i>
    <i>
      <x v="463"/>
    </i>
    <i>
      <x v="381"/>
    </i>
    <i>
      <x v="465"/>
    </i>
    <i>
      <x v="382"/>
    </i>
    <i>
      <x v="467"/>
    </i>
    <i>
      <x v="383"/>
    </i>
    <i>
      <x v="469"/>
    </i>
    <i>
      <x v="384"/>
    </i>
    <i>
      <x v="471"/>
    </i>
    <i>
      <x v="385"/>
    </i>
    <i>
      <x v="473"/>
    </i>
    <i>
      <x v="386"/>
    </i>
    <i>
      <x v="475"/>
    </i>
    <i>
      <x v="387"/>
    </i>
    <i>
      <x v="477"/>
    </i>
    <i>
      <x v="388"/>
    </i>
    <i>
      <x v="479"/>
    </i>
    <i>
      <x v="389"/>
    </i>
    <i>
      <x v="481"/>
    </i>
    <i>
      <x v="390"/>
    </i>
    <i>
      <x v="483"/>
    </i>
    <i>
      <x v="391"/>
    </i>
    <i>
      <x v="485"/>
    </i>
    <i>
      <x v="295"/>
    </i>
    <i>
      <x v="487"/>
    </i>
    <i>
      <x v="393"/>
    </i>
    <i>
      <x v="489"/>
    </i>
    <i>
      <x v="394"/>
    </i>
    <i>
      <x v="491"/>
    </i>
    <i>
      <x v="395"/>
    </i>
    <i>
      <x v="493"/>
    </i>
    <i>
      <x v="396"/>
    </i>
    <i>
      <x v="495"/>
    </i>
    <i>
      <x v="397"/>
    </i>
    <i>
      <x v="497"/>
    </i>
    <i>
      <x v="398"/>
    </i>
    <i>
      <x v="499"/>
    </i>
    <i>
      <x v="399"/>
    </i>
    <i>
      <x v="501"/>
    </i>
    <i>
      <x v="400"/>
    </i>
    <i>
      <x v="503"/>
    </i>
    <i>
      <x v="401"/>
    </i>
    <i>
      <x v="505"/>
    </i>
    <i>
      <x v="402"/>
    </i>
    <i>
      <x v="507"/>
    </i>
    <i>
      <x v="403"/>
    </i>
    <i>
      <x v="509"/>
    </i>
    <i>
      <x v="404"/>
    </i>
    <i>
      <x v="511"/>
    </i>
    <i>
      <x v="405"/>
    </i>
    <i>
      <x v="513"/>
    </i>
    <i>
      <x v="406"/>
    </i>
    <i>
      <x v="515"/>
    </i>
    <i>
      <x v="407"/>
    </i>
    <i>
      <x v="517"/>
    </i>
    <i>
      <x v="408"/>
    </i>
    <i>
      <x v="519"/>
    </i>
    <i>
      <x v="409"/>
    </i>
    <i>
      <x v="521"/>
    </i>
    <i>
      <x v="410"/>
    </i>
    <i>
      <x v="523"/>
    </i>
    <i>
      <x v="411"/>
    </i>
    <i>
      <x v="525"/>
    </i>
    <i>
      <x v="412"/>
    </i>
    <i>
      <x v="527"/>
    </i>
    <i>
      <x v="413"/>
    </i>
    <i>
      <x v="529"/>
    </i>
    <i>
      <x v="414"/>
    </i>
    <i>
      <x v="531"/>
    </i>
    <i>
      <x v="415"/>
    </i>
    <i>
      <x v="533"/>
    </i>
    <i>
      <x v="416"/>
    </i>
    <i>
      <x v="535"/>
    </i>
    <i>
      <x v="417"/>
    </i>
    <i>
      <x v="537"/>
    </i>
    <i>
      <x v="418"/>
    </i>
    <i>
      <x v="539"/>
    </i>
    <i>
      <x v="419"/>
    </i>
    <i>
      <x v="298"/>
    </i>
    <i>
      <x v="420"/>
    </i>
    <i>
      <x v="543"/>
    </i>
    <i>
      <x v="421"/>
    </i>
    <i>
      <x v="545"/>
    </i>
    <i>
      <x v="422"/>
    </i>
    <i>
      <x v="547"/>
    </i>
    <i>
      <x v="296"/>
    </i>
    <i>
      <x v="549"/>
    </i>
    <i>
      <x v="424"/>
    </i>
    <i>
      <x v="551"/>
    </i>
    <i>
      <x v="425"/>
    </i>
    <i>
      <x v="553"/>
    </i>
    <i>
      <x v="426"/>
    </i>
    <i>
      <x v="555"/>
    </i>
    <i>
      <x v="427"/>
    </i>
    <i>
      <x v="557"/>
    </i>
    <i>
      <x v="428"/>
    </i>
    <i>
      <x v="559"/>
    </i>
    <i>
      <x v="429"/>
    </i>
    <i>
      <x v="561"/>
    </i>
    <i>
      <x v="430"/>
    </i>
    <i>
      <x v="563"/>
    </i>
    <i>
      <x v="297"/>
    </i>
    <i>
      <x v="565"/>
    </i>
    <i>
      <x v="432"/>
    </i>
    <i>
      <x v="567"/>
    </i>
    <i>
      <x v="433"/>
    </i>
    <i>
      <x v="569"/>
    </i>
    <i>
      <x v="434"/>
    </i>
    <i>
      <x v="571"/>
    </i>
    <i>
      <x v="435"/>
    </i>
    <i>
      <x v="573"/>
    </i>
    <i>
      <x v="436"/>
    </i>
    <i>
      <x v="575"/>
    </i>
    <i>
      <x v="582"/>
    </i>
    <i>
      <x v="577"/>
    </i>
    <i>
      <x v="584"/>
    </i>
    <i>
      <x v="579"/>
    </i>
    <i>
      <x v="293"/>
    </i>
    <i>
      <x v="581"/>
    </i>
    <i>
      <x v="440"/>
    </i>
    <i>
      <x v="441"/>
    </i>
    <i>
      <x v="437"/>
    </i>
    <i>
      <x v="585"/>
    </i>
    <i>
      <x v="438"/>
    </i>
    <i>
      <x v="439"/>
    </i>
    <i>
      <x v="277"/>
    </i>
    <i>
      <x v="202"/>
    </i>
    <i>
      <x v="170"/>
    </i>
    <i>
      <x v="12"/>
    </i>
    <i>
      <x v="234"/>
    </i>
    <i>
      <x v="13"/>
    </i>
    <i>
      <x v="154"/>
    </i>
    <i>
      <x v="14"/>
    </i>
    <i>
      <x v="186"/>
    </i>
    <i>
      <x v="15"/>
    </i>
    <i>
      <x v="218"/>
    </i>
    <i>
      <x v="16"/>
    </i>
    <i>
      <x v="11"/>
    </i>
    <i>
      <x v="1"/>
    </i>
    <i>
      <x/>
    </i>
    <i>
      <x v="18"/>
    </i>
    <i>
      <x v="162"/>
    </i>
    <i>
      <x v="19"/>
    </i>
    <i>
      <x v="178"/>
    </i>
    <i>
      <x v="20"/>
    </i>
    <i>
      <x v="194"/>
    </i>
    <i>
      <x v="21"/>
    </i>
    <i>
      <x v="210"/>
    </i>
    <i>
      <x v="22"/>
    </i>
    <i>
      <x v="226"/>
    </i>
    <i>
      <x v="23"/>
    </i>
    <i>
      <x v="242"/>
    </i>
    <i>
      <x v="24"/>
    </i>
    <i>
      <x v="269"/>
    </i>
    <i>
      <x v="25"/>
    </i>
    <i>
      <x v="285"/>
    </i>
    <i>
      <x v="26"/>
    </i>
    <i>
      <x v="150"/>
    </i>
    <i>
      <x v="27"/>
    </i>
    <i>
      <x v="158"/>
    </i>
    <i>
      <x v="28"/>
    </i>
    <i>
      <x v="166"/>
    </i>
    <i>
      <x v="29"/>
    </i>
    <i>
      <x v="174"/>
    </i>
    <i>
      <x v="30"/>
    </i>
    <i>
      <x v="182"/>
    </i>
    <i>
      <x v="31"/>
    </i>
    <i>
      <x v="190"/>
    </i>
    <i>
      <x v="32"/>
    </i>
    <i>
      <x v="198"/>
    </i>
    <i>
      <x v="33"/>
    </i>
    <i>
      <x v="206"/>
    </i>
    <i>
      <x v="34"/>
    </i>
    <i>
      <x v="214"/>
    </i>
    <i>
      <x v="35"/>
    </i>
    <i>
      <x v="222"/>
    </i>
    <i>
      <x v="36"/>
    </i>
    <i>
      <x v="230"/>
    </i>
    <i>
      <x v="37"/>
    </i>
    <i>
      <x v="238"/>
    </i>
    <i>
      <x v="38"/>
    </i>
    <i>
      <x v="246"/>
    </i>
    <i>
      <x v="39"/>
    </i>
    <i>
      <x v="265"/>
    </i>
    <i>
      <x v="2"/>
    </i>
    <i>
      <x v="273"/>
    </i>
    <i>
      <x v="41"/>
    </i>
    <i>
      <x v="281"/>
    </i>
    <i>
      <x v="42"/>
    </i>
    <i>
      <x v="289"/>
    </i>
    <i>
      <x v="43"/>
    </i>
    <i>
      <x v="148"/>
    </i>
    <i>
      <x v="44"/>
    </i>
    <i>
      <x v="152"/>
    </i>
    <i>
      <x v="45"/>
    </i>
    <i>
      <x v="156"/>
    </i>
    <i>
      <x v="46"/>
    </i>
    <i>
      <x v="160"/>
    </i>
    <i>
      <x v="47"/>
    </i>
    <i>
      <x v="164"/>
    </i>
    <i>
      <x v="48"/>
    </i>
    <i>
      <x v="168"/>
    </i>
    <i>
      <x v="49"/>
    </i>
    <i>
      <x v="172"/>
    </i>
    <i>
      <x v="50"/>
    </i>
    <i>
      <x v="176"/>
    </i>
    <i>
      <x v="51"/>
    </i>
    <i>
      <x v="180"/>
    </i>
    <i>
      <x v="52"/>
    </i>
    <i>
      <x v="184"/>
    </i>
    <i>
      <x v="53"/>
    </i>
    <i>
      <x v="188"/>
    </i>
    <i>
      <x v="54"/>
    </i>
    <i>
      <x v="192"/>
    </i>
    <i>
      <x v="55"/>
    </i>
    <i>
      <x v="196"/>
    </i>
    <i>
      <x v="56"/>
    </i>
    <i>
      <x v="200"/>
    </i>
    <i>
      <x v="57"/>
    </i>
    <i>
      <x v="204"/>
    </i>
    <i>
      <x v="58"/>
    </i>
    <i>
      <x v="208"/>
    </i>
    <i>
      <x v="59"/>
    </i>
    <i>
      <x v="212"/>
    </i>
    <i>
      <x v="60"/>
    </i>
    <i>
      <x v="216"/>
    </i>
    <i>
      <x v="61"/>
    </i>
    <i>
      <x v="220"/>
    </i>
    <i>
      <x v="62"/>
    </i>
    <i>
      <x v="224"/>
    </i>
    <i>
      <x v="3"/>
    </i>
    <i>
      <x v="228"/>
    </i>
    <i>
      <x v="64"/>
    </i>
    <i>
      <x v="232"/>
    </i>
    <i>
      <x v="65"/>
    </i>
    <i>
      <x v="236"/>
    </i>
    <i>
      <x v="66"/>
    </i>
    <i>
      <x v="240"/>
    </i>
    <i>
      <x v="67"/>
    </i>
    <i>
      <x v="244"/>
    </i>
    <i>
      <x v="68"/>
    </i>
    <i>
      <x v="248"/>
    </i>
    <i>
      <x v="4"/>
    </i>
    <i>
      <x v="263"/>
    </i>
    <i>
      <x v="70"/>
    </i>
    <i>
      <x v="267"/>
    </i>
    <i>
      <x v="71"/>
    </i>
    <i>
      <x v="271"/>
    </i>
    <i>
      <x v="72"/>
    </i>
    <i>
      <x v="275"/>
    </i>
    <i>
      <x v="73"/>
    </i>
    <i>
      <x v="9"/>
    </i>
    <i>
      <x v="74"/>
    </i>
    <i>
      <x v="283"/>
    </i>
    <i>
      <x v="75"/>
    </i>
    <i>
      <x v="287"/>
    </i>
    <i>
      <x v="76"/>
    </i>
    <i>
      <x v="291"/>
    </i>
    <i>
      <x v="77"/>
    </i>
    <i>
      <x v="147"/>
    </i>
    <i>
      <x v="78"/>
    </i>
    <i>
      <x v="149"/>
    </i>
    <i>
      <x v="79"/>
    </i>
    <i>
      <x v="151"/>
    </i>
    <i>
      <x v="80"/>
    </i>
    <i>
      <x v="153"/>
    </i>
    <i>
      <x v="81"/>
    </i>
    <i>
      <x v="155"/>
    </i>
    <i>
      <x v="82"/>
    </i>
    <i>
      <x v="157"/>
    </i>
    <i>
      <x v="83"/>
    </i>
    <i>
      <x v="159"/>
    </i>
    <i>
      <x v="84"/>
    </i>
    <i>
      <x v="161"/>
    </i>
    <i>
      <x v="85"/>
    </i>
    <i>
      <x v="163"/>
    </i>
    <i>
      <x v="86"/>
    </i>
    <i>
      <x v="165"/>
    </i>
    <i>
      <x v="87"/>
    </i>
    <i>
      <x v="167"/>
    </i>
    <i>
      <x v="88"/>
    </i>
    <i>
      <x v="169"/>
    </i>
    <i>
      <x v="89"/>
    </i>
    <i>
      <x v="171"/>
    </i>
    <i>
      <x v="90"/>
    </i>
    <i>
      <x v="173"/>
    </i>
    <i>
      <x v="91"/>
    </i>
    <i>
      <x v="175"/>
    </i>
    <i>
      <x v="92"/>
    </i>
    <i>
      <x v="177"/>
    </i>
    <i>
      <x v="93"/>
    </i>
    <i>
      <x v="179"/>
    </i>
    <i>
      <x v="94"/>
    </i>
    <i>
      <x v="181"/>
    </i>
    <i>
      <x v="95"/>
    </i>
    <i>
      <x v="183"/>
    </i>
    <i>
      <x v="96"/>
    </i>
    <i>
      <x v="185"/>
    </i>
    <i>
      <x v="97"/>
    </i>
    <i>
      <x v="187"/>
    </i>
    <i>
      <x v="98"/>
    </i>
    <i>
      <x v="189"/>
    </i>
    <i>
      <x v="99"/>
    </i>
    <i>
      <x v="191"/>
    </i>
    <i>
      <x v="100"/>
    </i>
    <i>
      <x v="193"/>
    </i>
    <i>
      <x v="101"/>
    </i>
    <i>
      <x v="195"/>
    </i>
    <i>
      <x v="102"/>
    </i>
    <i>
      <x v="197"/>
    </i>
    <i>
      <x v="103"/>
    </i>
    <i>
      <x v="199"/>
    </i>
    <i>
      <x v="104"/>
    </i>
    <i>
      <x v="201"/>
    </i>
    <i>
      <x v="105"/>
    </i>
    <i>
      <x v="203"/>
    </i>
    <i>
      <x v="106"/>
    </i>
    <i>
      <x v="205"/>
    </i>
    <i>
      <x v="107"/>
    </i>
    <i>
      <x v="207"/>
    </i>
    <i>
      <x v="108"/>
    </i>
    <i>
      <x v="209"/>
    </i>
    <i>
      <x v="109"/>
    </i>
    <i>
      <x v="211"/>
    </i>
    <i>
      <x v="110"/>
    </i>
    <i>
      <x v="213"/>
    </i>
    <i>
      <x v="111"/>
    </i>
    <i>
      <x v="215"/>
    </i>
    <i>
      <x v="112"/>
    </i>
    <i>
      <x v="217"/>
    </i>
    <i>
      <x v="113"/>
    </i>
    <i>
      <x v="219"/>
    </i>
    <i>
      <x v="114"/>
    </i>
    <i>
      <x v="221"/>
    </i>
    <i>
      <x v="115"/>
    </i>
    <i>
      <x v="223"/>
    </i>
    <i>
      <x v="116"/>
    </i>
    <i>
      <x v="225"/>
    </i>
    <i>
      <x v="117"/>
    </i>
    <i>
      <x v="227"/>
    </i>
    <i>
      <x v="5"/>
    </i>
    <i>
      <x v="229"/>
    </i>
    <i>
      <x v="6"/>
    </i>
    <i>
      <x v="231"/>
    </i>
    <i>
      <x v="120"/>
    </i>
    <i>
      <x v="233"/>
    </i>
    <i>
      <x v="121"/>
    </i>
    <i>
      <x v="10"/>
    </i>
    <i>
      <x v="7"/>
    </i>
    <i>
      <x v="237"/>
    </i>
    <i>
      <x v="123"/>
    </i>
    <i>
      <x v="239"/>
    </i>
    <i>
      <x v="250"/>
    </i>
    <i>
      <x v="241"/>
    </i>
    <i>
      <x v="8"/>
    </i>
    <i>
      <x v="243"/>
    </i>
    <i>
      <x v="253"/>
    </i>
    <i>
      <x v="245"/>
    </i>
    <i>
      <x v="255"/>
    </i>
    <i>
      <x v="247"/>
    </i>
    <i>
      <x v="257"/>
    </i>
    <i>
      <x v="249"/>
    </i>
    <i>
      <x v="259"/>
    </i>
    <i>
      <x v="261"/>
    </i>
    <i>
      <x v="252"/>
    </i>
    <i>
      <x v="125"/>
    </i>
    <i>
      <x v="254"/>
    </i>
    <i>
      <x v="126"/>
    </i>
    <i>
      <x v="256"/>
    </i>
    <i>
      <x v="127"/>
    </i>
    <i>
      <x v="258"/>
    </i>
    <i>
      <x v="128"/>
    </i>
    <i>
      <x v="260"/>
    </i>
    <i>
      <x v="129"/>
    </i>
    <i>
      <x v="262"/>
    </i>
    <i>
      <x v="130"/>
    </i>
    <i>
      <x v="264"/>
    </i>
    <i>
      <x v="131"/>
    </i>
    <i>
      <x v="266"/>
    </i>
    <i>
      <x v="132"/>
    </i>
    <i>
      <x v="268"/>
    </i>
    <i>
      <x v="133"/>
    </i>
    <i>
      <x v="270"/>
    </i>
    <i>
      <x v="134"/>
    </i>
    <i>
      <x v="272"/>
    </i>
    <i>
      <x v="135"/>
    </i>
    <i>
      <x v="274"/>
    </i>
    <i>
      <x v="136"/>
    </i>
    <i>
      <x v="276"/>
    </i>
    <i>
      <x v="137"/>
    </i>
    <i>
      <x v="278"/>
    </i>
    <i>
      <x v="138"/>
    </i>
    <i>
      <x v="280"/>
    </i>
    <i>
      <x v="139"/>
    </i>
    <i>
      <x v="282"/>
    </i>
    <i>
      <x v="140"/>
    </i>
    <i>
      <x v="284"/>
    </i>
    <i>
      <x v="141"/>
    </i>
    <i>
      <x v="286"/>
    </i>
    <i>
      <x v="142"/>
    </i>
    <i>
      <x v="288"/>
    </i>
    <i>
      <x v="143"/>
    </i>
    <i>
      <x v="290"/>
    </i>
    <i>
      <x v="144"/>
    </i>
    <i>
      <x v="292"/>
    </i>
    <i>
      <x v="145"/>
    </i>
    <i>
      <x v="146"/>
    </i>
    <i>
      <x v="2046"/>
    </i>
    <i t="grand">
      <x/>
    </i>
  </rowItems>
  <colItems count="1">
    <i/>
  </colItems>
  <dataFields count="1">
    <dataField name="Cuenta de AUTORES" fld="0" subtotal="count" baseField="0" baseItem="0"/>
  </dataFields>
  <chartFormats count="1">
    <chartFormat chart="1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2" cacheId="2"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8">
  <location ref="A1:B26" firstHeaderRow="1" firstDataRow="1" firstDataCol="1"/>
  <pivotFields count="74">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26">
        <item x="23"/>
        <item x="22"/>
        <item x="21"/>
        <item x="20"/>
        <item x="19"/>
        <item x="18"/>
        <item x="17"/>
        <item x="16"/>
        <item x="15"/>
        <item x="14"/>
        <item x="13"/>
        <item x="12"/>
        <item x="11"/>
        <item x="10"/>
        <item x="9"/>
        <item x="8"/>
        <item x="7"/>
        <item x="6"/>
        <item x="5"/>
        <item x="4"/>
        <item x="3"/>
        <item x="2"/>
        <item x="1"/>
        <item x="0"/>
        <item h="1" x="2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dataFields count="1">
    <dataField name="Cuenta de Publication Year" fld="47" subtotal="count" baseField="47"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9"/>
  <sheetViews>
    <sheetView workbookViewId="0">
      <selection activeCell="D19" sqref="D19"/>
    </sheetView>
  </sheetViews>
  <sheetFormatPr baseColWidth="10" defaultColWidth="8.7265625" defaultRowHeight="12.5" x14ac:dyDescent="0.25"/>
  <cols>
    <col min="1" max="1" width="24.81640625" bestFit="1" customWidth="1"/>
    <col min="2" max="2" width="27.453125" bestFit="1" customWidth="1"/>
  </cols>
  <sheetData>
    <row r="3" spans="1:2" x14ac:dyDescent="0.25">
      <c r="A3" s="4" t="s">
        <v>12937</v>
      </c>
      <c r="B3" t="s">
        <v>12939</v>
      </c>
    </row>
    <row r="4" spans="1:2" x14ac:dyDescent="0.25">
      <c r="A4" s="5" t="s">
        <v>79</v>
      </c>
      <c r="B4">
        <v>605</v>
      </c>
    </row>
    <row r="5" spans="1:2" x14ac:dyDescent="0.25">
      <c r="A5" s="5" t="s">
        <v>4932</v>
      </c>
      <c r="B5">
        <v>25</v>
      </c>
    </row>
    <row r="6" spans="1:2" x14ac:dyDescent="0.25">
      <c r="A6" s="5" t="s">
        <v>112</v>
      </c>
      <c r="B6">
        <v>37</v>
      </c>
    </row>
    <row r="7" spans="1:2" x14ac:dyDescent="0.25">
      <c r="A7" s="5" t="s">
        <v>7247</v>
      </c>
      <c r="B7">
        <v>6</v>
      </c>
    </row>
    <row r="8" spans="1:2" x14ac:dyDescent="0.25">
      <c r="A8" s="5" t="s">
        <v>6646</v>
      </c>
      <c r="B8">
        <v>1</v>
      </c>
    </row>
    <row r="9" spans="1:2" x14ac:dyDescent="0.25">
      <c r="A9" s="5" t="s">
        <v>12938</v>
      </c>
      <c r="B9">
        <v>674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11"/>
  <sheetViews>
    <sheetView workbookViewId="0">
      <selection activeCell="J1" sqref="J1"/>
    </sheetView>
  </sheetViews>
  <sheetFormatPr baseColWidth="10" defaultColWidth="8.7265625" defaultRowHeight="12.5" x14ac:dyDescent="0.25"/>
  <sheetData>
    <row r="1" spans="1:72" x14ac:dyDescent="0.25">
      <c r="A1" s="15" t="s">
        <v>0</v>
      </c>
      <c r="B1" s="15" t="s">
        <v>1</v>
      </c>
      <c r="C1" s="15" t="s">
        <v>2</v>
      </c>
      <c r="D1" s="15" t="s">
        <v>3</v>
      </c>
      <c r="E1" s="15" t="s">
        <v>4</v>
      </c>
      <c r="F1" s="15" t="s">
        <v>5</v>
      </c>
      <c r="G1" s="15" t="s">
        <v>6</v>
      </c>
      <c r="H1" s="15" t="s">
        <v>7</v>
      </c>
      <c r="I1" s="15" t="s">
        <v>8</v>
      </c>
      <c r="J1" s="15" t="s">
        <v>9</v>
      </c>
      <c r="K1" s="15" t="s">
        <v>10</v>
      </c>
      <c r="L1" s="15" t="s">
        <v>11</v>
      </c>
      <c r="M1" s="15" t="s">
        <v>12</v>
      </c>
      <c r="N1" s="15" t="s">
        <v>13</v>
      </c>
      <c r="O1" s="15" t="s">
        <v>14</v>
      </c>
      <c r="P1" s="15" t="s">
        <v>15</v>
      </c>
      <c r="Q1" s="15" t="s">
        <v>16</v>
      </c>
      <c r="R1" s="15" t="s">
        <v>17</v>
      </c>
      <c r="S1" s="15" t="s">
        <v>18</v>
      </c>
      <c r="T1" s="15" t="s">
        <v>19</v>
      </c>
      <c r="U1" s="15" t="s">
        <v>20</v>
      </c>
      <c r="V1" s="15" t="s">
        <v>21</v>
      </c>
      <c r="W1" s="15" t="s">
        <v>22</v>
      </c>
      <c r="X1" s="15" t="s">
        <v>23</v>
      </c>
      <c r="Y1" s="15" t="s">
        <v>24</v>
      </c>
      <c r="Z1" s="15" t="s">
        <v>25</v>
      </c>
      <c r="AA1" s="15" t="s">
        <v>26</v>
      </c>
      <c r="AB1" s="15" t="s">
        <v>27</v>
      </c>
      <c r="AC1" s="15" t="s">
        <v>28</v>
      </c>
      <c r="AD1" s="15" t="s">
        <v>29</v>
      </c>
      <c r="AE1" s="15" t="s">
        <v>30</v>
      </c>
      <c r="AF1" s="15" t="s">
        <v>31</v>
      </c>
      <c r="AG1" s="15" t="s">
        <v>32</v>
      </c>
      <c r="AH1" s="15" t="s">
        <v>33</v>
      </c>
      <c r="AI1" s="15" t="s">
        <v>34</v>
      </c>
      <c r="AJ1" s="15" t="s">
        <v>35</v>
      </c>
      <c r="AK1" s="15" t="s">
        <v>36</v>
      </c>
      <c r="AL1" s="15" t="s">
        <v>37</v>
      </c>
      <c r="AM1" s="15" t="s">
        <v>38</v>
      </c>
      <c r="AN1" s="15" t="s">
        <v>39</v>
      </c>
      <c r="AO1" s="15" t="s">
        <v>40</v>
      </c>
      <c r="AP1" s="15" t="s">
        <v>41</v>
      </c>
      <c r="AQ1" s="15" t="s">
        <v>42</v>
      </c>
      <c r="AR1" s="15" t="s">
        <v>43</v>
      </c>
      <c r="AS1" s="15" t="s">
        <v>44</v>
      </c>
      <c r="AT1" s="15" t="s">
        <v>45</v>
      </c>
      <c r="AU1" s="15" t="s">
        <v>46</v>
      </c>
      <c r="AV1" s="15" t="s">
        <v>47</v>
      </c>
      <c r="AW1" s="15" t="s">
        <v>48</v>
      </c>
      <c r="AX1" s="15" t="s">
        <v>49</v>
      </c>
      <c r="AY1" s="15" t="s">
        <v>50</v>
      </c>
      <c r="AZ1" s="15" t="s">
        <v>51</v>
      </c>
      <c r="BA1" s="15" t="s">
        <v>52</v>
      </c>
      <c r="BB1" s="15" t="s">
        <v>53</v>
      </c>
      <c r="BC1" s="15" t="s">
        <v>54</v>
      </c>
      <c r="BD1" s="15" t="s">
        <v>55</v>
      </c>
      <c r="BE1" s="15" t="s">
        <v>56</v>
      </c>
      <c r="BF1" s="15" t="s">
        <v>57</v>
      </c>
      <c r="BG1" s="15" t="s">
        <v>58</v>
      </c>
      <c r="BH1" s="15" t="s">
        <v>59</v>
      </c>
      <c r="BI1" s="15" t="s">
        <v>60</v>
      </c>
      <c r="BJ1" s="15" t="s">
        <v>61</v>
      </c>
      <c r="BK1" s="15" t="s">
        <v>62</v>
      </c>
      <c r="BL1" s="15" t="s">
        <v>63</v>
      </c>
      <c r="BM1" s="15" t="s">
        <v>64</v>
      </c>
      <c r="BN1" s="15" t="s">
        <v>65</v>
      </c>
      <c r="BO1" s="15" t="s">
        <v>66</v>
      </c>
      <c r="BP1" s="15" t="s">
        <v>67</v>
      </c>
      <c r="BQ1" s="15" t="s">
        <v>68</v>
      </c>
      <c r="BR1" s="15" t="s">
        <v>69</v>
      </c>
      <c r="BS1" s="15" t="s">
        <v>70</v>
      </c>
      <c r="BT1" s="15" t="s">
        <v>71</v>
      </c>
    </row>
    <row r="2" spans="1:72" x14ac:dyDescent="0.25">
      <c r="A2" s="15" t="s">
        <v>72</v>
      </c>
      <c r="B2" s="15" t="s">
        <v>8728</v>
      </c>
      <c r="C2" s="15" t="s">
        <v>74</v>
      </c>
      <c r="D2" s="15" t="s">
        <v>74</v>
      </c>
      <c r="E2" s="15" t="s">
        <v>74</v>
      </c>
      <c r="F2" s="15" t="s">
        <v>8729</v>
      </c>
      <c r="G2" s="15" t="s">
        <v>74</v>
      </c>
      <c r="H2" s="15" t="s">
        <v>74</v>
      </c>
      <c r="I2" s="15" t="s">
        <v>8730</v>
      </c>
      <c r="J2" s="15" t="s">
        <v>8731</v>
      </c>
      <c r="K2" s="15" t="s">
        <v>74</v>
      </c>
      <c r="L2" s="15" t="s">
        <v>74</v>
      </c>
      <c r="M2" s="15" t="s">
        <v>78</v>
      </c>
      <c r="N2" s="15" t="s">
        <v>112</v>
      </c>
      <c r="O2" s="15" t="s">
        <v>74</v>
      </c>
      <c r="P2" s="15" t="s">
        <v>74</v>
      </c>
      <c r="Q2" s="15" t="s">
        <v>74</v>
      </c>
      <c r="R2" s="15" t="s">
        <v>74</v>
      </c>
      <c r="S2" s="15" t="s">
        <v>74</v>
      </c>
      <c r="T2" s="15" t="s">
        <v>74</v>
      </c>
      <c r="U2" s="15" t="s">
        <v>8732</v>
      </c>
      <c r="V2" s="15" t="s">
        <v>8733</v>
      </c>
      <c r="W2" s="15" t="s">
        <v>8734</v>
      </c>
      <c r="X2" s="15" t="s">
        <v>5582</v>
      </c>
      <c r="Y2" s="15" t="s">
        <v>8735</v>
      </c>
      <c r="Z2" s="15" t="s">
        <v>8736</v>
      </c>
      <c r="AA2" s="15" t="s">
        <v>74</v>
      </c>
      <c r="AB2" s="15" t="s">
        <v>8737</v>
      </c>
      <c r="AC2" s="15" t="s">
        <v>8738</v>
      </c>
      <c r="AD2" s="15" t="s">
        <v>8738</v>
      </c>
      <c r="AE2" s="15" t="s">
        <v>8739</v>
      </c>
      <c r="AF2" s="15" t="s">
        <v>74</v>
      </c>
      <c r="AG2" s="15">
        <v>90</v>
      </c>
      <c r="AH2" s="15">
        <v>30</v>
      </c>
      <c r="AI2" s="15">
        <v>31</v>
      </c>
      <c r="AJ2" s="15">
        <v>20</v>
      </c>
      <c r="AK2" s="15">
        <v>168</v>
      </c>
      <c r="AL2" s="15" t="s">
        <v>492</v>
      </c>
      <c r="AM2" s="15" t="s">
        <v>493</v>
      </c>
      <c r="AN2" s="15" t="s">
        <v>494</v>
      </c>
      <c r="AO2" s="15" t="s">
        <v>8740</v>
      </c>
      <c r="AP2" s="15" t="s">
        <v>8741</v>
      </c>
      <c r="AQ2" s="15" t="s">
        <v>74</v>
      </c>
      <c r="AR2" s="15" t="s">
        <v>8742</v>
      </c>
      <c r="AS2" s="15" t="s">
        <v>8743</v>
      </c>
      <c r="AT2" s="15" t="s">
        <v>8744</v>
      </c>
      <c r="AU2" s="15">
        <v>2019</v>
      </c>
      <c r="AV2" s="15" t="s">
        <v>74</v>
      </c>
      <c r="AW2" s="15" t="s">
        <v>74</v>
      </c>
      <c r="AX2" s="15" t="s">
        <v>74</v>
      </c>
      <c r="AY2" s="15" t="s">
        <v>74</v>
      </c>
      <c r="AZ2" s="15" t="s">
        <v>74</v>
      </c>
      <c r="BA2" s="15" t="s">
        <v>74</v>
      </c>
      <c r="BB2" s="15" t="s">
        <v>74</v>
      </c>
      <c r="BC2" s="15" t="s">
        <v>74</v>
      </c>
      <c r="BD2" s="15" t="s">
        <v>74</v>
      </c>
      <c r="BE2" s="15" t="s">
        <v>8745</v>
      </c>
      <c r="BF2" s="15">
        <v>0</v>
      </c>
      <c r="BG2" s="15" t="s">
        <v>74</v>
      </c>
      <c r="BH2" s="15" t="s">
        <v>8702</v>
      </c>
      <c r="BI2" s="15">
        <v>16</v>
      </c>
      <c r="BJ2" s="15" t="s">
        <v>8746</v>
      </c>
      <c r="BK2" s="15" t="s">
        <v>156</v>
      </c>
      <c r="BL2" s="15" t="s">
        <v>8747</v>
      </c>
      <c r="BM2" s="15" t="s">
        <v>8748</v>
      </c>
      <c r="BN2" s="15" t="s">
        <v>74</v>
      </c>
      <c r="BO2" s="15" t="s">
        <v>105</v>
      </c>
      <c r="BP2" s="15" t="s">
        <v>74</v>
      </c>
      <c r="BQ2" s="15" t="s">
        <v>74</v>
      </c>
      <c r="BR2" s="15" t="s">
        <v>12946</v>
      </c>
      <c r="BS2" s="15" t="s">
        <v>8749</v>
      </c>
      <c r="BT2" s="15">
        <v>0</v>
      </c>
    </row>
    <row r="3" spans="1:72" x14ac:dyDescent="0.25">
      <c r="A3" s="15" t="s">
        <v>72</v>
      </c>
      <c r="B3" s="15" t="s">
        <v>8855</v>
      </c>
      <c r="C3" s="15" t="s">
        <v>74</v>
      </c>
      <c r="D3" s="15" t="s">
        <v>74</v>
      </c>
      <c r="E3" s="15" t="s">
        <v>74</v>
      </c>
      <c r="F3" s="15" t="s">
        <v>8856</v>
      </c>
      <c r="G3" s="15" t="s">
        <v>74</v>
      </c>
      <c r="H3" s="15" t="s">
        <v>74</v>
      </c>
      <c r="I3" s="15" t="s">
        <v>8857</v>
      </c>
      <c r="J3" s="15" t="s">
        <v>8858</v>
      </c>
      <c r="K3" s="15" t="s">
        <v>74</v>
      </c>
      <c r="L3" s="15" t="s">
        <v>74</v>
      </c>
      <c r="M3" s="15" t="s">
        <v>78</v>
      </c>
      <c r="N3" s="15" t="s">
        <v>79</v>
      </c>
      <c r="O3" s="15" t="s">
        <v>74</v>
      </c>
      <c r="P3" s="15" t="s">
        <v>74</v>
      </c>
      <c r="Q3" s="15" t="s">
        <v>74</v>
      </c>
      <c r="R3" s="15" t="s">
        <v>74</v>
      </c>
      <c r="S3" s="15" t="s">
        <v>74</v>
      </c>
      <c r="T3" s="15" t="s">
        <v>8859</v>
      </c>
      <c r="U3" s="15" t="s">
        <v>8860</v>
      </c>
      <c r="V3" s="15" t="s">
        <v>8861</v>
      </c>
      <c r="W3" s="15" t="s">
        <v>8862</v>
      </c>
      <c r="X3" s="15" t="s">
        <v>8863</v>
      </c>
      <c r="Y3" s="15" t="s">
        <v>8864</v>
      </c>
      <c r="Z3" s="15" t="s">
        <v>8865</v>
      </c>
      <c r="AA3" s="15" t="s">
        <v>13014</v>
      </c>
      <c r="AB3" s="15" t="s">
        <v>74</v>
      </c>
      <c r="AC3" s="15" t="s">
        <v>74</v>
      </c>
      <c r="AD3" s="15" t="s">
        <v>74</v>
      </c>
      <c r="AE3" s="15" t="s">
        <v>74</v>
      </c>
      <c r="AF3" s="15" t="s">
        <v>74</v>
      </c>
      <c r="AG3" s="15">
        <v>110</v>
      </c>
      <c r="AH3" s="15">
        <v>26</v>
      </c>
      <c r="AI3" s="15">
        <v>27</v>
      </c>
      <c r="AJ3" s="15">
        <v>2</v>
      </c>
      <c r="AK3" s="15">
        <v>22</v>
      </c>
      <c r="AL3" s="15" t="s">
        <v>715</v>
      </c>
      <c r="AM3" s="15" t="s">
        <v>716</v>
      </c>
      <c r="AN3" s="15" t="s">
        <v>717</v>
      </c>
      <c r="AO3" s="15" t="s">
        <v>8868</v>
      </c>
      <c r="AP3" s="15" t="s">
        <v>8869</v>
      </c>
      <c r="AQ3" s="15" t="s">
        <v>74</v>
      </c>
      <c r="AR3" s="15" t="s">
        <v>8870</v>
      </c>
      <c r="AS3" s="15" t="s">
        <v>8871</v>
      </c>
      <c r="AT3" s="15" t="s">
        <v>8872</v>
      </c>
      <c r="AU3" s="15">
        <v>2019</v>
      </c>
      <c r="AV3" s="15">
        <v>39</v>
      </c>
      <c r="AW3" s="15" t="s">
        <v>8873</v>
      </c>
      <c r="AX3" s="15" t="s">
        <v>74</v>
      </c>
      <c r="AY3" s="15" t="s">
        <v>74</v>
      </c>
      <c r="AZ3" s="15" t="s">
        <v>74</v>
      </c>
      <c r="BA3" s="15" t="s">
        <v>74</v>
      </c>
      <c r="BB3" s="15">
        <v>752</v>
      </c>
      <c r="BC3" s="15">
        <v>772</v>
      </c>
      <c r="BD3" s="15" t="s">
        <v>74</v>
      </c>
      <c r="BE3" s="15" t="s">
        <v>8874</v>
      </c>
      <c r="BF3" s="15">
        <v>0</v>
      </c>
      <c r="BG3" s="15" t="s">
        <v>74</v>
      </c>
      <c r="BH3" s="15" t="s">
        <v>74</v>
      </c>
      <c r="BI3" s="15">
        <v>21</v>
      </c>
      <c r="BJ3" s="15" t="s">
        <v>5263</v>
      </c>
      <c r="BK3" s="15" t="s">
        <v>183</v>
      </c>
      <c r="BL3" s="15" t="s">
        <v>5263</v>
      </c>
      <c r="BM3" s="15" t="s">
        <v>8875</v>
      </c>
      <c r="BN3" s="15" t="s">
        <v>74</v>
      </c>
      <c r="BO3" s="15" t="s">
        <v>74</v>
      </c>
      <c r="BP3" s="15" t="s">
        <v>74</v>
      </c>
      <c r="BQ3" s="15" t="s">
        <v>74</v>
      </c>
      <c r="BR3" s="15" t="s">
        <v>12946</v>
      </c>
      <c r="BS3" s="15" t="s">
        <v>8876</v>
      </c>
      <c r="BT3" s="15">
        <v>0</v>
      </c>
    </row>
    <row r="4" spans="1:72" x14ac:dyDescent="0.25">
      <c r="A4" s="15" t="s">
        <v>72</v>
      </c>
      <c r="B4" s="15" t="s">
        <v>5291</v>
      </c>
      <c r="C4" s="15" t="s">
        <v>74</v>
      </c>
      <c r="D4" s="15" t="s">
        <v>74</v>
      </c>
      <c r="E4" s="15" t="s">
        <v>74</v>
      </c>
      <c r="F4" s="15" t="s">
        <v>5292</v>
      </c>
      <c r="G4" s="15" t="s">
        <v>74</v>
      </c>
      <c r="H4" s="15" t="s">
        <v>74</v>
      </c>
      <c r="I4" s="15" t="s">
        <v>5293</v>
      </c>
      <c r="J4" s="15" t="s">
        <v>5294</v>
      </c>
      <c r="K4" s="15" t="s">
        <v>74</v>
      </c>
      <c r="L4" s="15" t="s">
        <v>74</v>
      </c>
      <c r="M4" s="15" t="s">
        <v>78</v>
      </c>
      <c r="N4" s="15" t="s">
        <v>79</v>
      </c>
      <c r="O4" s="15" t="s">
        <v>74</v>
      </c>
      <c r="P4" s="15" t="s">
        <v>74</v>
      </c>
      <c r="Q4" s="15" t="s">
        <v>74</v>
      </c>
      <c r="R4" s="15" t="s">
        <v>74</v>
      </c>
      <c r="S4" s="15" t="s">
        <v>74</v>
      </c>
      <c r="T4" s="15" t="s">
        <v>5295</v>
      </c>
      <c r="U4" s="15" t="s">
        <v>5296</v>
      </c>
      <c r="V4" s="15" t="s">
        <v>5297</v>
      </c>
      <c r="W4" s="15" t="s">
        <v>5298</v>
      </c>
      <c r="X4" s="15" t="s">
        <v>5299</v>
      </c>
      <c r="Y4" s="15" t="s">
        <v>5300</v>
      </c>
      <c r="Z4" s="15" t="s">
        <v>5301</v>
      </c>
      <c r="AA4" s="15" t="s">
        <v>74</v>
      </c>
      <c r="AB4" s="15" t="s">
        <v>74</v>
      </c>
      <c r="AC4" s="15" t="s">
        <v>5299</v>
      </c>
      <c r="AD4" s="15" t="s">
        <v>5299</v>
      </c>
      <c r="AE4" s="15" t="s">
        <v>5302</v>
      </c>
      <c r="AF4" s="15" t="s">
        <v>74</v>
      </c>
      <c r="AG4" s="15">
        <v>33</v>
      </c>
      <c r="AH4" s="15">
        <v>23</v>
      </c>
      <c r="AI4" s="15">
        <v>23</v>
      </c>
      <c r="AJ4" s="15">
        <v>44</v>
      </c>
      <c r="AK4" s="15">
        <v>130</v>
      </c>
      <c r="AL4" s="15" t="s">
        <v>5303</v>
      </c>
      <c r="AM4" s="15" t="s">
        <v>5304</v>
      </c>
      <c r="AN4" s="15" t="s">
        <v>5305</v>
      </c>
      <c r="AO4" s="15" t="s">
        <v>74</v>
      </c>
      <c r="AP4" s="15" t="s">
        <v>5306</v>
      </c>
      <c r="AQ4" s="15" t="s">
        <v>74</v>
      </c>
      <c r="AR4" s="15" t="s">
        <v>5307</v>
      </c>
      <c r="AS4" s="15" t="s">
        <v>5308</v>
      </c>
      <c r="AT4" s="15" t="s">
        <v>74</v>
      </c>
      <c r="AU4" s="15">
        <v>2022</v>
      </c>
      <c r="AV4" s="15">
        <v>4</v>
      </c>
      <c r="AW4" s="15">
        <v>3</v>
      </c>
      <c r="AX4" s="15" t="s">
        <v>74</v>
      </c>
      <c r="AY4" s="15" t="s">
        <v>74</v>
      </c>
      <c r="AZ4" s="15" t="s">
        <v>74</v>
      </c>
      <c r="BA4" s="15" t="s">
        <v>74</v>
      </c>
      <c r="BB4" s="15">
        <v>251</v>
      </c>
      <c r="BC4" s="15">
        <v>272</v>
      </c>
      <c r="BD4" s="15" t="s">
        <v>74</v>
      </c>
      <c r="BE4" s="15" t="s">
        <v>5309</v>
      </c>
      <c r="BF4" s="15">
        <v>0</v>
      </c>
      <c r="BG4" s="15" t="s">
        <v>74</v>
      </c>
      <c r="BH4" s="15" t="s">
        <v>74</v>
      </c>
      <c r="BI4" s="15">
        <v>22</v>
      </c>
      <c r="BJ4" s="15" t="s">
        <v>5310</v>
      </c>
      <c r="BK4" s="15" t="s">
        <v>183</v>
      </c>
      <c r="BL4" s="15" t="s">
        <v>265</v>
      </c>
      <c r="BM4" s="15" t="s">
        <v>5311</v>
      </c>
      <c r="BN4" s="15" t="s">
        <v>74</v>
      </c>
      <c r="BO4" s="15" t="s">
        <v>186</v>
      </c>
      <c r="BP4" s="15" t="s">
        <v>74</v>
      </c>
      <c r="BQ4" s="15" t="s">
        <v>74</v>
      </c>
      <c r="BR4" s="15" t="s">
        <v>12946</v>
      </c>
      <c r="BS4" s="15" t="s">
        <v>5312</v>
      </c>
      <c r="BT4" s="15">
        <v>0</v>
      </c>
    </row>
    <row r="5" spans="1:72" x14ac:dyDescent="0.25">
      <c r="A5" s="15" t="s">
        <v>72</v>
      </c>
      <c r="B5" s="15" t="s">
        <v>2350</v>
      </c>
      <c r="C5" s="15" t="s">
        <v>74</v>
      </c>
      <c r="D5" s="15" t="s">
        <v>74</v>
      </c>
      <c r="E5" s="15" t="s">
        <v>74</v>
      </c>
      <c r="F5" s="15" t="s">
        <v>2351</v>
      </c>
      <c r="G5" s="15" t="s">
        <v>74</v>
      </c>
      <c r="H5" s="15" t="s">
        <v>74</v>
      </c>
      <c r="I5" s="15" t="s">
        <v>2352</v>
      </c>
      <c r="J5" s="15" t="s">
        <v>2353</v>
      </c>
      <c r="K5" s="15" t="s">
        <v>74</v>
      </c>
      <c r="L5" s="15" t="s">
        <v>74</v>
      </c>
      <c r="M5" s="15" t="s">
        <v>78</v>
      </c>
      <c r="N5" s="15" t="s">
        <v>79</v>
      </c>
      <c r="O5" s="15" t="s">
        <v>74</v>
      </c>
      <c r="P5" s="15" t="s">
        <v>74</v>
      </c>
      <c r="Q5" s="15" t="s">
        <v>74</v>
      </c>
      <c r="R5" s="15" t="s">
        <v>74</v>
      </c>
      <c r="S5" s="15" t="s">
        <v>74</v>
      </c>
      <c r="T5" s="15" t="s">
        <v>2354</v>
      </c>
      <c r="U5" s="15" t="s">
        <v>2355</v>
      </c>
      <c r="V5" s="15" t="s">
        <v>2356</v>
      </c>
      <c r="W5" s="15" t="s">
        <v>2357</v>
      </c>
      <c r="X5" s="15" t="s">
        <v>2358</v>
      </c>
      <c r="Y5" s="15" t="s">
        <v>2359</v>
      </c>
      <c r="Z5" s="15" t="s">
        <v>2360</v>
      </c>
      <c r="AA5" s="15" t="s">
        <v>2361</v>
      </c>
      <c r="AB5" s="15" t="s">
        <v>13379</v>
      </c>
      <c r="AC5" s="15" t="s">
        <v>74</v>
      </c>
      <c r="AD5" s="15" t="s">
        <v>74</v>
      </c>
      <c r="AE5" s="15" t="s">
        <v>74</v>
      </c>
      <c r="AF5" s="15" t="s">
        <v>74</v>
      </c>
      <c r="AG5" s="15">
        <v>79</v>
      </c>
      <c r="AH5" s="15">
        <v>8</v>
      </c>
      <c r="AI5" s="15">
        <v>8</v>
      </c>
      <c r="AJ5" s="15">
        <v>2</v>
      </c>
      <c r="AK5" s="15">
        <v>9</v>
      </c>
      <c r="AL5" s="15" t="s">
        <v>715</v>
      </c>
      <c r="AM5" s="15" t="s">
        <v>716</v>
      </c>
      <c r="AN5" s="15" t="s">
        <v>717</v>
      </c>
      <c r="AO5" s="15" t="s">
        <v>2363</v>
      </c>
      <c r="AP5" s="15" t="s">
        <v>2364</v>
      </c>
      <c r="AQ5" s="15" t="s">
        <v>74</v>
      </c>
      <c r="AR5" s="15" t="s">
        <v>2365</v>
      </c>
      <c r="AS5" s="15" t="s">
        <v>2366</v>
      </c>
      <c r="AT5" s="15" t="s">
        <v>1059</v>
      </c>
      <c r="AU5" s="15">
        <v>2023</v>
      </c>
      <c r="AV5" s="15">
        <v>49</v>
      </c>
      <c r="AW5" s="15">
        <v>7</v>
      </c>
      <c r="AX5" s="15" t="s">
        <v>74</v>
      </c>
      <c r="AY5" s="15" t="s">
        <v>74</v>
      </c>
      <c r="AZ5" s="15" t="s">
        <v>74</v>
      </c>
      <c r="BA5" s="15" t="s">
        <v>74</v>
      </c>
      <c r="BB5" s="15">
        <v>1221</v>
      </c>
      <c r="BC5" s="15">
        <v>1238</v>
      </c>
      <c r="BD5" s="15" t="s">
        <v>74</v>
      </c>
      <c r="BE5" s="15" t="s">
        <v>2367</v>
      </c>
      <c r="BF5" s="15">
        <v>0</v>
      </c>
      <c r="BG5" s="15" t="s">
        <v>74</v>
      </c>
      <c r="BH5" s="15" t="s">
        <v>2368</v>
      </c>
      <c r="BI5" s="15">
        <v>18</v>
      </c>
      <c r="BJ5" s="15" t="s">
        <v>479</v>
      </c>
      <c r="BK5" s="15" t="s">
        <v>183</v>
      </c>
      <c r="BL5" s="15" t="s">
        <v>265</v>
      </c>
      <c r="BM5" s="15" t="s">
        <v>2369</v>
      </c>
      <c r="BN5" s="15" t="s">
        <v>74</v>
      </c>
      <c r="BO5" s="15" t="s">
        <v>74</v>
      </c>
      <c r="BP5" s="15" t="s">
        <v>74</v>
      </c>
      <c r="BQ5" s="15" t="s">
        <v>74</v>
      </c>
      <c r="BR5" s="15" t="s">
        <v>12946</v>
      </c>
      <c r="BS5" s="15" t="s">
        <v>2370</v>
      </c>
      <c r="BT5" s="15">
        <v>0</v>
      </c>
    </row>
    <row r="6" spans="1:72" x14ac:dyDescent="0.25">
      <c r="A6" s="15" t="s">
        <v>72</v>
      </c>
      <c r="B6" s="15" t="s">
        <v>3487</v>
      </c>
      <c r="C6" s="15" t="s">
        <v>74</v>
      </c>
      <c r="D6" s="15" t="s">
        <v>74</v>
      </c>
      <c r="E6" s="15" t="s">
        <v>74</v>
      </c>
      <c r="F6" s="15" t="s">
        <v>3488</v>
      </c>
      <c r="G6" s="15" t="s">
        <v>74</v>
      </c>
      <c r="H6" s="15" t="s">
        <v>74</v>
      </c>
      <c r="I6" s="15" t="s">
        <v>3489</v>
      </c>
      <c r="J6" s="15" t="s">
        <v>3490</v>
      </c>
      <c r="K6" s="15" t="s">
        <v>74</v>
      </c>
      <c r="L6" s="15" t="s">
        <v>74</v>
      </c>
      <c r="M6" s="15" t="s">
        <v>78</v>
      </c>
      <c r="N6" s="15" t="s">
        <v>79</v>
      </c>
      <c r="O6" s="15" t="s">
        <v>74</v>
      </c>
      <c r="P6" s="15" t="s">
        <v>74</v>
      </c>
      <c r="Q6" s="15" t="s">
        <v>74</v>
      </c>
      <c r="R6" s="15" t="s">
        <v>74</v>
      </c>
      <c r="S6" s="15" t="s">
        <v>74</v>
      </c>
      <c r="T6" s="15" t="s">
        <v>3491</v>
      </c>
      <c r="U6" s="15" t="s">
        <v>3492</v>
      </c>
      <c r="V6" s="15" t="s">
        <v>3493</v>
      </c>
      <c r="W6" s="15" t="s">
        <v>3494</v>
      </c>
      <c r="X6" s="15" t="s">
        <v>3495</v>
      </c>
      <c r="Y6" s="15" t="s">
        <v>3496</v>
      </c>
      <c r="Z6" s="15" t="s">
        <v>3497</v>
      </c>
      <c r="AA6" s="15" t="s">
        <v>74</v>
      </c>
      <c r="AB6" s="15" t="s">
        <v>13382</v>
      </c>
      <c r="AC6" s="15" t="s">
        <v>3498</v>
      </c>
      <c r="AD6" s="15" t="s">
        <v>3499</v>
      </c>
      <c r="AE6" s="15" t="s">
        <v>3500</v>
      </c>
      <c r="AF6" s="15" t="s">
        <v>74</v>
      </c>
      <c r="AG6" s="15">
        <v>34</v>
      </c>
      <c r="AH6" s="15">
        <v>5</v>
      </c>
      <c r="AI6" s="15">
        <v>5</v>
      </c>
      <c r="AJ6" s="15">
        <v>0</v>
      </c>
      <c r="AK6" s="15">
        <v>5</v>
      </c>
      <c r="AL6" s="15" t="s">
        <v>492</v>
      </c>
      <c r="AM6" s="15" t="s">
        <v>493</v>
      </c>
      <c r="AN6" s="15" t="s">
        <v>494</v>
      </c>
      <c r="AO6" s="15" t="s">
        <v>3501</v>
      </c>
      <c r="AP6" s="15" t="s">
        <v>3502</v>
      </c>
      <c r="AQ6" s="15" t="s">
        <v>74</v>
      </c>
      <c r="AR6" s="15" t="s">
        <v>3503</v>
      </c>
      <c r="AS6" s="15" t="s">
        <v>3504</v>
      </c>
      <c r="AT6" s="15" t="s">
        <v>3505</v>
      </c>
      <c r="AU6" s="15">
        <v>2023</v>
      </c>
      <c r="AV6" s="15">
        <v>33</v>
      </c>
      <c r="AW6" s="15">
        <v>1</v>
      </c>
      <c r="AX6" s="15" t="s">
        <v>74</v>
      </c>
      <c r="AY6" s="15" t="s">
        <v>74</v>
      </c>
      <c r="AZ6" s="15" t="s">
        <v>1020</v>
      </c>
      <c r="BA6" s="15" t="s">
        <v>74</v>
      </c>
      <c r="BB6" s="15">
        <v>22</v>
      </c>
      <c r="BC6" s="15">
        <v>38</v>
      </c>
      <c r="BD6" s="15" t="s">
        <v>74</v>
      </c>
      <c r="BE6" s="15" t="s">
        <v>3506</v>
      </c>
      <c r="BF6" s="15">
        <v>0</v>
      </c>
      <c r="BG6" s="15" t="s">
        <v>74</v>
      </c>
      <c r="BH6" s="15" t="s">
        <v>3464</v>
      </c>
      <c r="BI6" s="15">
        <v>17</v>
      </c>
      <c r="BJ6" s="15" t="s">
        <v>3507</v>
      </c>
      <c r="BK6" s="15" t="s">
        <v>183</v>
      </c>
      <c r="BL6" s="15" t="s">
        <v>265</v>
      </c>
      <c r="BM6" s="15" t="s">
        <v>3508</v>
      </c>
      <c r="BN6" s="15" t="s">
        <v>74</v>
      </c>
      <c r="BO6" s="15" t="s">
        <v>74</v>
      </c>
      <c r="BP6" s="15" t="s">
        <v>74</v>
      </c>
      <c r="BQ6" s="15" t="s">
        <v>74</v>
      </c>
      <c r="BR6" s="15" t="s">
        <v>12946</v>
      </c>
      <c r="BS6" s="15" t="s">
        <v>3509</v>
      </c>
      <c r="BT6" s="15">
        <v>0</v>
      </c>
    </row>
    <row r="7" spans="1:72" x14ac:dyDescent="0.25">
      <c r="A7" s="15" t="s">
        <v>72</v>
      </c>
      <c r="B7" s="15" t="s">
        <v>1105</v>
      </c>
      <c r="C7" s="15" t="s">
        <v>74</v>
      </c>
      <c r="D7" s="15" t="s">
        <v>74</v>
      </c>
      <c r="E7" s="15" t="s">
        <v>74</v>
      </c>
      <c r="F7" s="15" t="s">
        <v>1106</v>
      </c>
      <c r="G7" s="15" t="s">
        <v>74</v>
      </c>
      <c r="H7" s="15" t="s">
        <v>74</v>
      </c>
      <c r="I7" s="15" t="s">
        <v>1107</v>
      </c>
      <c r="J7" s="15" t="s">
        <v>1108</v>
      </c>
      <c r="K7" s="15" t="s">
        <v>74</v>
      </c>
      <c r="L7" s="15" t="s">
        <v>74</v>
      </c>
      <c r="M7" s="15" t="s">
        <v>78</v>
      </c>
      <c r="N7" s="15" t="s">
        <v>79</v>
      </c>
      <c r="O7" s="15" t="s">
        <v>74</v>
      </c>
      <c r="P7" s="15" t="s">
        <v>74</v>
      </c>
      <c r="Q7" s="15" t="s">
        <v>74</v>
      </c>
      <c r="R7" s="15" t="s">
        <v>74</v>
      </c>
      <c r="S7" s="15" t="s">
        <v>74</v>
      </c>
      <c r="T7" s="15" t="s">
        <v>1109</v>
      </c>
      <c r="U7" s="15" t="s">
        <v>1110</v>
      </c>
      <c r="V7" s="15" t="s">
        <v>1111</v>
      </c>
      <c r="W7" s="15" t="s">
        <v>1112</v>
      </c>
      <c r="X7" s="15" t="s">
        <v>1113</v>
      </c>
      <c r="Y7" s="15" t="s">
        <v>1114</v>
      </c>
      <c r="Z7" s="15" t="s">
        <v>1115</v>
      </c>
      <c r="AA7" s="15" t="s">
        <v>13380</v>
      </c>
      <c r="AB7" s="15" t="s">
        <v>13381</v>
      </c>
      <c r="AC7" s="15" t="s">
        <v>74</v>
      </c>
      <c r="AD7" s="15" t="s">
        <v>74</v>
      </c>
      <c r="AE7" s="15" t="s">
        <v>74</v>
      </c>
      <c r="AF7" s="15" t="s">
        <v>74</v>
      </c>
      <c r="AG7" s="15">
        <v>77</v>
      </c>
      <c r="AH7" s="15">
        <v>2</v>
      </c>
      <c r="AI7" s="15">
        <v>2</v>
      </c>
      <c r="AJ7" s="15">
        <v>4</v>
      </c>
      <c r="AK7" s="15">
        <v>10</v>
      </c>
      <c r="AL7" s="15" t="s">
        <v>715</v>
      </c>
      <c r="AM7" s="15" t="s">
        <v>716</v>
      </c>
      <c r="AN7" s="15" t="s">
        <v>717</v>
      </c>
      <c r="AO7" s="15" t="s">
        <v>1117</v>
      </c>
      <c r="AP7" s="15" t="s">
        <v>1118</v>
      </c>
      <c r="AQ7" s="15" t="s">
        <v>74</v>
      </c>
      <c r="AR7" s="15" t="s">
        <v>1119</v>
      </c>
      <c r="AS7" s="15" t="s">
        <v>1120</v>
      </c>
      <c r="AT7" s="15" t="s">
        <v>1121</v>
      </c>
      <c r="AU7" s="15">
        <v>2023</v>
      </c>
      <c r="AV7" s="15">
        <v>40</v>
      </c>
      <c r="AW7" s="15">
        <v>4</v>
      </c>
      <c r="AX7" s="15" t="s">
        <v>74</v>
      </c>
      <c r="AY7" s="15" t="s">
        <v>74</v>
      </c>
      <c r="AZ7" s="15" t="s">
        <v>1020</v>
      </c>
      <c r="BA7" s="15" t="s">
        <v>74</v>
      </c>
      <c r="BB7" s="15">
        <v>606</v>
      </c>
      <c r="BC7" s="15">
        <v>624</v>
      </c>
      <c r="BD7" s="15" t="s">
        <v>74</v>
      </c>
      <c r="BE7" s="15" t="s">
        <v>1122</v>
      </c>
      <c r="BF7" s="15">
        <v>0</v>
      </c>
      <c r="BG7" s="15" t="s">
        <v>74</v>
      </c>
      <c r="BH7" s="15" t="s">
        <v>1022</v>
      </c>
      <c r="BI7" s="15">
        <v>19</v>
      </c>
      <c r="BJ7" s="15" t="s">
        <v>479</v>
      </c>
      <c r="BK7" s="15" t="s">
        <v>183</v>
      </c>
      <c r="BL7" s="15" t="s">
        <v>265</v>
      </c>
      <c r="BM7" s="15" t="s">
        <v>1123</v>
      </c>
      <c r="BN7" s="15" t="s">
        <v>74</v>
      </c>
      <c r="BO7" s="15" t="s">
        <v>74</v>
      </c>
      <c r="BP7" s="15" t="s">
        <v>74</v>
      </c>
      <c r="BQ7" s="15" t="s">
        <v>74</v>
      </c>
      <c r="BR7" s="15" t="s">
        <v>12946</v>
      </c>
      <c r="BS7" s="15" t="s">
        <v>1124</v>
      </c>
      <c r="BT7" s="15">
        <v>0</v>
      </c>
    </row>
    <row r="8" spans="1:72" x14ac:dyDescent="0.25">
      <c r="A8" s="15" t="s">
        <v>72</v>
      </c>
      <c r="B8" s="15" t="s">
        <v>1329</v>
      </c>
      <c r="C8" s="15" t="s">
        <v>74</v>
      </c>
      <c r="D8" s="15" t="s">
        <v>74</v>
      </c>
      <c r="E8" s="15" t="s">
        <v>74</v>
      </c>
      <c r="F8" s="15" t="s">
        <v>1330</v>
      </c>
      <c r="G8" s="15" t="s">
        <v>74</v>
      </c>
      <c r="H8" s="15" t="s">
        <v>74</v>
      </c>
      <c r="I8" s="15" t="s">
        <v>1331</v>
      </c>
      <c r="J8" s="15" t="s">
        <v>1332</v>
      </c>
      <c r="K8" s="15" t="s">
        <v>74</v>
      </c>
      <c r="L8" s="15" t="s">
        <v>74</v>
      </c>
      <c r="M8" s="15" t="s">
        <v>78</v>
      </c>
      <c r="N8" s="15" t="s">
        <v>79</v>
      </c>
      <c r="O8" s="15" t="s">
        <v>74</v>
      </c>
      <c r="P8" s="15" t="s">
        <v>74</v>
      </c>
      <c r="Q8" s="15" t="s">
        <v>74</v>
      </c>
      <c r="R8" s="15" t="s">
        <v>74</v>
      </c>
      <c r="S8" s="15" t="s">
        <v>74</v>
      </c>
      <c r="T8" s="15" t="s">
        <v>1333</v>
      </c>
      <c r="U8" s="15" t="s">
        <v>74</v>
      </c>
      <c r="V8" s="15" t="s">
        <v>1334</v>
      </c>
      <c r="W8" s="15" t="s">
        <v>1335</v>
      </c>
      <c r="X8" s="15" t="s">
        <v>13097</v>
      </c>
      <c r="Y8" s="15" t="s">
        <v>1337</v>
      </c>
      <c r="Z8" s="15" t="s">
        <v>1338</v>
      </c>
      <c r="AA8" s="15" t="s">
        <v>13098</v>
      </c>
      <c r="AB8" s="15" t="s">
        <v>13099</v>
      </c>
      <c r="AC8" s="15" t="s">
        <v>74</v>
      </c>
      <c r="AD8" s="15" t="s">
        <v>74</v>
      </c>
      <c r="AE8" s="15" t="s">
        <v>74</v>
      </c>
      <c r="AF8" s="15" t="s">
        <v>74</v>
      </c>
      <c r="AG8" s="15">
        <v>37</v>
      </c>
      <c r="AH8" s="15">
        <v>2</v>
      </c>
      <c r="AI8" s="15">
        <v>2</v>
      </c>
      <c r="AJ8" s="15">
        <v>2</v>
      </c>
      <c r="AK8" s="15">
        <v>8</v>
      </c>
      <c r="AL8" s="15" t="s">
        <v>1341</v>
      </c>
      <c r="AM8" s="15" t="s">
        <v>1342</v>
      </c>
      <c r="AN8" s="15" t="s">
        <v>1343</v>
      </c>
      <c r="AO8" s="15" t="s">
        <v>1344</v>
      </c>
      <c r="AP8" s="15" t="s">
        <v>1345</v>
      </c>
      <c r="AQ8" s="15" t="s">
        <v>74</v>
      </c>
      <c r="AR8" s="15" t="s">
        <v>1346</v>
      </c>
      <c r="AS8" s="15" t="s">
        <v>1347</v>
      </c>
      <c r="AT8" s="15" t="s">
        <v>1348</v>
      </c>
      <c r="AU8" s="15">
        <v>2023</v>
      </c>
      <c r="AV8" s="15">
        <v>14</v>
      </c>
      <c r="AW8" s="15">
        <v>40</v>
      </c>
      <c r="AX8" s="15" t="s">
        <v>74</v>
      </c>
      <c r="AY8" s="15" t="s">
        <v>74</v>
      </c>
      <c r="AZ8" s="15" t="s">
        <v>74</v>
      </c>
      <c r="BA8" s="15" t="s">
        <v>74</v>
      </c>
      <c r="BB8" s="15">
        <v>486</v>
      </c>
      <c r="BC8" s="15">
        <v>505</v>
      </c>
      <c r="BD8" s="15" t="s">
        <v>74</v>
      </c>
      <c r="BE8" s="15" t="s">
        <v>1349</v>
      </c>
      <c r="BF8" s="15">
        <v>0</v>
      </c>
      <c r="BG8" s="15" t="s">
        <v>74</v>
      </c>
      <c r="BH8" s="15" t="s">
        <v>74</v>
      </c>
      <c r="BI8" s="15">
        <v>21</v>
      </c>
      <c r="BJ8" s="15" t="s">
        <v>942</v>
      </c>
      <c r="BK8" s="15" t="s">
        <v>183</v>
      </c>
      <c r="BL8" s="15" t="s">
        <v>943</v>
      </c>
      <c r="BM8" s="15" t="s">
        <v>1350</v>
      </c>
      <c r="BN8" s="15" t="s">
        <v>74</v>
      </c>
      <c r="BO8" s="15" t="s">
        <v>791</v>
      </c>
      <c r="BP8" s="15" t="s">
        <v>74</v>
      </c>
      <c r="BQ8" s="15" t="s">
        <v>74</v>
      </c>
      <c r="BR8" s="15" t="s">
        <v>12946</v>
      </c>
      <c r="BS8" s="15" t="s">
        <v>1352</v>
      </c>
      <c r="BT8" s="15">
        <v>0</v>
      </c>
    </row>
    <row r="9" spans="1:72" x14ac:dyDescent="0.25">
      <c r="A9" s="15" t="s">
        <v>72</v>
      </c>
      <c r="B9" s="15" t="s">
        <v>1480</v>
      </c>
      <c r="C9" s="15" t="s">
        <v>74</v>
      </c>
      <c r="D9" s="15" t="s">
        <v>74</v>
      </c>
      <c r="E9" s="15" t="s">
        <v>74</v>
      </c>
      <c r="F9" s="15" t="s">
        <v>1481</v>
      </c>
      <c r="G9" s="15" t="s">
        <v>74</v>
      </c>
      <c r="H9" s="15" t="s">
        <v>74</v>
      </c>
      <c r="I9" s="15" t="s">
        <v>1482</v>
      </c>
      <c r="J9" s="15" t="s">
        <v>1483</v>
      </c>
      <c r="K9" s="15" t="s">
        <v>74</v>
      </c>
      <c r="L9" s="15" t="s">
        <v>74</v>
      </c>
      <c r="M9" s="15" t="s">
        <v>78</v>
      </c>
      <c r="N9" s="15" t="s">
        <v>79</v>
      </c>
      <c r="O9" s="15" t="s">
        <v>74</v>
      </c>
      <c r="P9" s="15" t="s">
        <v>74</v>
      </c>
      <c r="Q9" s="15" t="s">
        <v>74</v>
      </c>
      <c r="R9" s="15" t="s">
        <v>74</v>
      </c>
      <c r="S9" s="15" t="s">
        <v>74</v>
      </c>
      <c r="T9" s="15" t="s">
        <v>1484</v>
      </c>
      <c r="U9" s="15" t="s">
        <v>74</v>
      </c>
      <c r="V9" s="15" t="s">
        <v>1485</v>
      </c>
      <c r="W9" s="15" t="s">
        <v>1486</v>
      </c>
      <c r="X9" s="15" t="s">
        <v>74</v>
      </c>
      <c r="Y9" s="15" t="s">
        <v>1487</v>
      </c>
      <c r="Z9" s="15" t="s">
        <v>1488</v>
      </c>
      <c r="AA9" s="15" t="s">
        <v>1489</v>
      </c>
      <c r="AB9" s="15" t="s">
        <v>1490</v>
      </c>
      <c r="AC9" s="15" t="s">
        <v>74</v>
      </c>
      <c r="AD9" s="15" t="s">
        <v>74</v>
      </c>
      <c r="AE9" s="15" t="s">
        <v>74</v>
      </c>
      <c r="AF9" s="15" t="s">
        <v>74</v>
      </c>
      <c r="AG9" s="15">
        <v>35</v>
      </c>
      <c r="AH9" s="15">
        <v>1</v>
      </c>
      <c r="AI9" s="15">
        <v>2</v>
      </c>
      <c r="AJ9" s="15">
        <v>0</v>
      </c>
      <c r="AK9" s="15">
        <v>7</v>
      </c>
      <c r="AL9" s="15" t="s">
        <v>121</v>
      </c>
      <c r="AM9" s="15" t="s">
        <v>122</v>
      </c>
      <c r="AN9" s="15" t="s">
        <v>123</v>
      </c>
      <c r="AO9" s="15" t="s">
        <v>74</v>
      </c>
      <c r="AP9" s="15" t="s">
        <v>1491</v>
      </c>
      <c r="AQ9" s="15" t="s">
        <v>74</v>
      </c>
      <c r="AR9" s="15" t="s">
        <v>1492</v>
      </c>
      <c r="AS9" s="15" t="s">
        <v>1493</v>
      </c>
      <c r="AT9" s="15" t="s">
        <v>1494</v>
      </c>
      <c r="AU9" s="15">
        <v>2023</v>
      </c>
      <c r="AV9" s="15">
        <v>11</v>
      </c>
      <c r="AW9" s="15">
        <v>1</v>
      </c>
      <c r="AX9" s="15" t="s">
        <v>74</v>
      </c>
      <c r="AY9" s="15" t="s">
        <v>74</v>
      </c>
      <c r="AZ9" s="15" t="s">
        <v>74</v>
      </c>
      <c r="BA9" s="15" t="s">
        <v>74</v>
      </c>
      <c r="BB9" s="15" t="s">
        <v>74</v>
      </c>
      <c r="BC9" s="15" t="s">
        <v>74</v>
      </c>
      <c r="BD9" s="15">
        <v>10</v>
      </c>
      <c r="BE9" s="15" t="s">
        <v>1495</v>
      </c>
      <c r="BF9" s="15">
        <v>0</v>
      </c>
      <c r="BG9" s="15" t="s">
        <v>74</v>
      </c>
      <c r="BH9" s="15" t="s">
        <v>74</v>
      </c>
      <c r="BI9" s="15">
        <v>20</v>
      </c>
      <c r="BJ9" s="15" t="s">
        <v>1326</v>
      </c>
      <c r="BK9" s="15" t="s">
        <v>183</v>
      </c>
      <c r="BL9" s="15" t="s">
        <v>1326</v>
      </c>
      <c r="BM9" s="15" t="s">
        <v>1496</v>
      </c>
      <c r="BN9" s="15">
        <v>37008281</v>
      </c>
      <c r="BO9" s="15" t="s">
        <v>422</v>
      </c>
      <c r="BP9" s="15" t="s">
        <v>74</v>
      </c>
      <c r="BQ9" s="15" t="s">
        <v>74</v>
      </c>
      <c r="BR9" s="15" t="s">
        <v>12946</v>
      </c>
      <c r="BS9" s="15" t="s">
        <v>1497</v>
      </c>
      <c r="BT9" s="15">
        <v>0</v>
      </c>
    </row>
    <row r="10" spans="1:72" x14ac:dyDescent="0.25">
      <c r="A10" s="15" t="s">
        <v>72</v>
      </c>
      <c r="B10" s="15" t="s">
        <v>6982</v>
      </c>
      <c r="C10" s="15" t="s">
        <v>74</v>
      </c>
      <c r="D10" s="15" t="s">
        <v>74</v>
      </c>
      <c r="E10" s="15" t="s">
        <v>74</v>
      </c>
      <c r="F10" s="15" t="s">
        <v>6983</v>
      </c>
      <c r="G10" s="15" t="s">
        <v>74</v>
      </c>
      <c r="H10" s="15" t="s">
        <v>74</v>
      </c>
      <c r="I10" s="15" t="s">
        <v>6984</v>
      </c>
      <c r="J10" s="15" t="s">
        <v>1332</v>
      </c>
      <c r="K10" s="15" t="s">
        <v>74</v>
      </c>
      <c r="L10" s="15" t="s">
        <v>74</v>
      </c>
      <c r="M10" s="15" t="s">
        <v>78</v>
      </c>
      <c r="N10" s="15" t="s">
        <v>79</v>
      </c>
      <c r="O10" s="15" t="s">
        <v>74</v>
      </c>
      <c r="P10" s="15" t="s">
        <v>74</v>
      </c>
      <c r="Q10" s="15" t="s">
        <v>74</v>
      </c>
      <c r="R10" s="15" t="s">
        <v>74</v>
      </c>
      <c r="S10" s="15" t="s">
        <v>74</v>
      </c>
      <c r="T10" s="15" t="s">
        <v>6985</v>
      </c>
      <c r="U10" s="15" t="s">
        <v>74</v>
      </c>
      <c r="V10" s="15" t="s">
        <v>6986</v>
      </c>
      <c r="W10" s="15" t="s">
        <v>6987</v>
      </c>
      <c r="X10" s="15" t="s">
        <v>6070</v>
      </c>
      <c r="Y10" s="15" t="s">
        <v>6988</v>
      </c>
      <c r="Z10" s="15" t="s">
        <v>6989</v>
      </c>
      <c r="AA10" s="15" t="s">
        <v>74</v>
      </c>
      <c r="AB10" s="15" t="s">
        <v>74</v>
      </c>
      <c r="AC10" s="15" t="s">
        <v>74</v>
      </c>
      <c r="AD10" s="15" t="s">
        <v>74</v>
      </c>
      <c r="AE10" s="15" t="s">
        <v>74</v>
      </c>
      <c r="AF10" s="15" t="s">
        <v>74</v>
      </c>
      <c r="AG10" s="15">
        <v>31</v>
      </c>
      <c r="AH10" s="15">
        <v>1</v>
      </c>
      <c r="AI10" s="15">
        <v>1</v>
      </c>
      <c r="AJ10" s="15">
        <v>2</v>
      </c>
      <c r="AK10" s="15">
        <v>13</v>
      </c>
      <c r="AL10" s="15" t="s">
        <v>1341</v>
      </c>
      <c r="AM10" s="15" t="s">
        <v>1342</v>
      </c>
      <c r="AN10" s="15" t="s">
        <v>1343</v>
      </c>
      <c r="AO10" s="15" t="s">
        <v>1344</v>
      </c>
      <c r="AP10" s="15" t="s">
        <v>74</v>
      </c>
      <c r="AQ10" s="15" t="s">
        <v>74</v>
      </c>
      <c r="AR10" s="15" t="s">
        <v>1346</v>
      </c>
      <c r="AS10" s="15" t="s">
        <v>1347</v>
      </c>
      <c r="AT10" s="15" t="s">
        <v>6990</v>
      </c>
      <c r="AU10" s="15">
        <v>2021</v>
      </c>
      <c r="AV10" s="15">
        <v>12</v>
      </c>
      <c r="AW10" s="15">
        <v>32</v>
      </c>
      <c r="AX10" s="15" t="s">
        <v>74</v>
      </c>
      <c r="AY10" s="15" t="s">
        <v>74</v>
      </c>
      <c r="AZ10" s="15" t="s">
        <v>74</v>
      </c>
      <c r="BA10" s="15" t="s">
        <v>74</v>
      </c>
      <c r="BB10" s="15">
        <v>414</v>
      </c>
      <c r="BC10" s="15">
        <v>443</v>
      </c>
      <c r="BD10" s="15" t="s">
        <v>74</v>
      </c>
      <c r="BE10" s="15" t="s">
        <v>6991</v>
      </c>
      <c r="BF10" s="15">
        <v>0</v>
      </c>
      <c r="BG10" s="15" t="s">
        <v>74</v>
      </c>
      <c r="BH10" s="15" t="s">
        <v>74</v>
      </c>
      <c r="BI10" s="15">
        <v>30</v>
      </c>
      <c r="BJ10" s="15" t="s">
        <v>942</v>
      </c>
      <c r="BK10" s="15" t="s">
        <v>183</v>
      </c>
      <c r="BL10" s="15" t="s">
        <v>943</v>
      </c>
      <c r="BM10" s="15" t="s">
        <v>6992</v>
      </c>
      <c r="BN10" s="15" t="s">
        <v>74</v>
      </c>
      <c r="BO10" s="15" t="s">
        <v>791</v>
      </c>
      <c r="BP10" s="15" t="s">
        <v>74</v>
      </c>
      <c r="BQ10" s="15" t="s">
        <v>74</v>
      </c>
      <c r="BR10" s="15" t="s">
        <v>12946</v>
      </c>
      <c r="BS10" s="15" t="s">
        <v>6993</v>
      </c>
      <c r="BT10" s="15">
        <v>0</v>
      </c>
    </row>
    <row r="11" spans="1:72" x14ac:dyDescent="0.25">
      <c r="A11" s="15" t="s">
        <v>72</v>
      </c>
      <c r="B11" s="15" t="s">
        <v>4947</v>
      </c>
      <c r="C11" s="15" t="s">
        <v>74</v>
      </c>
      <c r="D11" s="15" t="s">
        <v>74</v>
      </c>
      <c r="E11" s="15" t="s">
        <v>74</v>
      </c>
      <c r="F11" s="15" t="s">
        <v>4948</v>
      </c>
      <c r="G11" s="15" t="s">
        <v>74</v>
      </c>
      <c r="H11" s="15" t="s">
        <v>74</v>
      </c>
      <c r="I11" s="15" t="s">
        <v>4949</v>
      </c>
      <c r="J11" s="15" t="s">
        <v>4950</v>
      </c>
      <c r="K11" s="15" t="s">
        <v>74</v>
      </c>
      <c r="L11" s="15" t="s">
        <v>74</v>
      </c>
      <c r="M11" s="15" t="s">
        <v>929</v>
      </c>
      <c r="N11" s="15" t="s">
        <v>79</v>
      </c>
      <c r="O11" s="15" t="s">
        <v>74</v>
      </c>
      <c r="P11" s="15" t="s">
        <v>74</v>
      </c>
      <c r="Q11" s="15" t="s">
        <v>74</v>
      </c>
      <c r="R11" s="15" t="s">
        <v>74</v>
      </c>
      <c r="S11" s="15" t="s">
        <v>74</v>
      </c>
      <c r="T11" s="15" t="s">
        <v>4951</v>
      </c>
      <c r="U11" s="15" t="s">
        <v>74</v>
      </c>
      <c r="V11" s="15" t="s">
        <v>4952</v>
      </c>
      <c r="W11" s="15" t="s">
        <v>4953</v>
      </c>
      <c r="X11" s="15" t="s">
        <v>74</v>
      </c>
      <c r="Y11" s="15" t="s">
        <v>4954</v>
      </c>
      <c r="Z11" s="15" t="s">
        <v>4955</v>
      </c>
      <c r="AA11" s="15" t="s">
        <v>74</v>
      </c>
      <c r="AB11" s="15" t="s">
        <v>74</v>
      </c>
      <c r="AC11" s="15" t="s">
        <v>74</v>
      </c>
      <c r="AD11" s="15" t="s">
        <v>74</v>
      </c>
      <c r="AE11" s="15" t="s">
        <v>74</v>
      </c>
      <c r="AF11" s="15" t="s">
        <v>74</v>
      </c>
      <c r="AG11" s="15">
        <v>25</v>
      </c>
      <c r="AH11" s="15">
        <v>0</v>
      </c>
      <c r="AI11" s="15">
        <v>0</v>
      </c>
      <c r="AJ11" s="15">
        <v>0</v>
      </c>
      <c r="AK11" s="15">
        <v>0</v>
      </c>
      <c r="AL11" s="15" t="s">
        <v>4956</v>
      </c>
      <c r="AM11" s="15" t="s">
        <v>4957</v>
      </c>
      <c r="AN11" s="15" t="s">
        <v>4958</v>
      </c>
      <c r="AO11" s="15" t="s">
        <v>4959</v>
      </c>
      <c r="AP11" s="15" t="s">
        <v>4960</v>
      </c>
      <c r="AQ11" s="15" t="s">
        <v>74</v>
      </c>
      <c r="AR11" s="15" t="s">
        <v>4950</v>
      </c>
      <c r="AS11" s="15" t="s">
        <v>4961</v>
      </c>
      <c r="AT11" s="15" t="s">
        <v>4962</v>
      </c>
      <c r="AU11" s="15">
        <v>2022</v>
      </c>
      <c r="AV11" s="15">
        <v>17</v>
      </c>
      <c r="AW11" s="15">
        <v>1</v>
      </c>
      <c r="AX11" s="15" t="s">
        <v>74</v>
      </c>
      <c r="AY11" s="15" t="s">
        <v>74</v>
      </c>
      <c r="AZ11" s="15" t="s">
        <v>74</v>
      </c>
      <c r="BA11" s="15" t="s">
        <v>74</v>
      </c>
      <c r="BB11" s="15">
        <v>129</v>
      </c>
      <c r="BC11" s="15">
        <v>143</v>
      </c>
      <c r="BD11" s="15" t="s">
        <v>74</v>
      </c>
      <c r="BE11" s="15" t="s">
        <v>4963</v>
      </c>
      <c r="BF11" s="15">
        <v>0</v>
      </c>
      <c r="BG11" s="15" t="s">
        <v>74</v>
      </c>
      <c r="BH11" s="15" t="s">
        <v>74</v>
      </c>
      <c r="BI11" s="15">
        <v>15</v>
      </c>
      <c r="BJ11" s="15" t="s">
        <v>1082</v>
      </c>
      <c r="BK11" s="15" t="s">
        <v>183</v>
      </c>
      <c r="BL11" s="15" t="s">
        <v>379</v>
      </c>
      <c r="BM11" s="15" t="s">
        <v>4964</v>
      </c>
      <c r="BN11" s="15" t="s">
        <v>74</v>
      </c>
      <c r="BO11" s="15" t="s">
        <v>105</v>
      </c>
      <c r="BP11" s="15" t="s">
        <v>74</v>
      </c>
      <c r="BQ11" s="15" t="s">
        <v>74</v>
      </c>
      <c r="BR11" s="15" t="s">
        <v>12946</v>
      </c>
      <c r="BS11" s="15" t="s">
        <v>4965</v>
      </c>
      <c r="BT11" s="15">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10"/>
  <sheetViews>
    <sheetView workbookViewId="0">
      <selection sqref="A1:BT10"/>
    </sheetView>
  </sheetViews>
  <sheetFormatPr baseColWidth="10" defaultColWidth="8.7265625" defaultRowHeight="12.5" x14ac:dyDescent="0.25"/>
  <sheetData>
    <row r="1" spans="1:72" x14ac:dyDescent="0.25">
      <c r="A1" s="16" t="s">
        <v>0</v>
      </c>
      <c r="B1" s="16" t="s">
        <v>1</v>
      </c>
      <c r="C1" s="16" t="s">
        <v>2</v>
      </c>
      <c r="D1" s="16" t="s">
        <v>3</v>
      </c>
      <c r="E1" s="16" t="s">
        <v>4</v>
      </c>
      <c r="F1" s="16" t="s">
        <v>5</v>
      </c>
      <c r="G1" s="16" t="s">
        <v>6</v>
      </c>
      <c r="H1" s="16" t="s">
        <v>7</v>
      </c>
      <c r="I1" s="16" t="s">
        <v>8</v>
      </c>
      <c r="J1" s="16" t="s">
        <v>9</v>
      </c>
      <c r="K1" s="16" t="s">
        <v>10</v>
      </c>
      <c r="L1" s="16" t="s">
        <v>11</v>
      </c>
      <c r="M1" s="16" t="s">
        <v>12</v>
      </c>
      <c r="N1" s="16" t="s">
        <v>13</v>
      </c>
      <c r="O1" s="16" t="s">
        <v>14</v>
      </c>
      <c r="P1" s="16" t="s">
        <v>15</v>
      </c>
      <c r="Q1" s="16" t="s">
        <v>16</v>
      </c>
      <c r="R1" s="16" t="s">
        <v>17</v>
      </c>
      <c r="S1" s="16" t="s">
        <v>18</v>
      </c>
      <c r="T1" s="16" t="s">
        <v>19</v>
      </c>
      <c r="U1" s="16" t="s">
        <v>20</v>
      </c>
      <c r="V1" s="16" t="s">
        <v>21</v>
      </c>
      <c r="W1" s="16" t="s">
        <v>22</v>
      </c>
      <c r="X1" s="16" t="s">
        <v>23</v>
      </c>
      <c r="Y1" s="16" t="s">
        <v>24</v>
      </c>
      <c r="Z1" s="16" t="s">
        <v>25</v>
      </c>
      <c r="AA1" s="16" t="s">
        <v>26</v>
      </c>
      <c r="AB1" s="16" t="s">
        <v>27</v>
      </c>
      <c r="AC1" s="16" t="s">
        <v>28</v>
      </c>
      <c r="AD1" s="16" t="s">
        <v>29</v>
      </c>
      <c r="AE1" s="16" t="s">
        <v>30</v>
      </c>
      <c r="AF1" s="16" t="s">
        <v>31</v>
      </c>
      <c r="AG1" s="16" t="s">
        <v>32</v>
      </c>
      <c r="AH1" s="16" t="s">
        <v>33</v>
      </c>
      <c r="AI1" s="16" t="s">
        <v>34</v>
      </c>
      <c r="AJ1" s="16" t="s">
        <v>35</v>
      </c>
      <c r="AK1" s="16" t="s">
        <v>36</v>
      </c>
      <c r="AL1" s="16" t="s">
        <v>37</v>
      </c>
      <c r="AM1" s="16" t="s">
        <v>38</v>
      </c>
      <c r="AN1" s="16" t="s">
        <v>39</v>
      </c>
      <c r="AO1" s="16" t="s">
        <v>40</v>
      </c>
      <c r="AP1" s="16" t="s">
        <v>41</v>
      </c>
      <c r="AQ1" s="16" t="s">
        <v>42</v>
      </c>
      <c r="AR1" s="16" t="s">
        <v>43</v>
      </c>
      <c r="AS1" s="16" t="s">
        <v>44</v>
      </c>
      <c r="AT1" s="16" t="s">
        <v>45</v>
      </c>
      <c r="AU1" s="16" t="s">
        <v>46</v>
      </c>
      <c r="AV1" s="16" t="s">
        <v>47</v>
      </c>
      <c r="AW1" s="16" t="s">
        <v>48</v>
      </c>
      <c r="AX1" s="16" t="s">
        <v>49</v>
      </c>
      <c r="AY1" s="16" t="s">
        <v>50</v>
      </c>
      <c r="AZ1" s="16" t="s">
        <v>51</v>
      </c>
      <c r="BA1" s="16" t="s">
        <v>52</v>
      </c>
      <c r="BB1" s="16" t="s">
        <v>53</v>
      </c>
      <c r="BC1" s="16" t="s">
        <v>54</v>
      </c>
      <c r="BD1" s="16" t="s">
        <v>55</v>
      </c>
      <c r="BE1" s="16" t="s">
        <v>56</v>
      </c>
      <c r="BF1" s="16" t="s">
        <v>57</v>
      </c>
      <c r="BG1" s="16" t="s">
        <v>58</v>
      </c>
      <c r="BH1" s="16" t="s">
        <v>59</v>
      </c>
      <c r="BI1" s="16" t="s">
        <v>60</v>
      </c>
      <c r="BJ1" s="16" t="s">
        <v>61</v>
      </c>
      <c r="BK1" s="16" t="s">
        <v>62</v>
      </c>
      <c r="BL1" s="16" t="s">
        <v>63</v>
      </c>
      <c r="BM1" s="16" t="s">
        <v>64</v>
      </c>
      <c r="BN1" s="16" t="s">
        <v>65</v>
      </c>
      <c r="BO1" s="16" t="s">
        <v>66</v>
      </c>
      <c r="BP1" s="16" t="s">
        <v>67</v>
      </c>
      <c r="BQ1" s="16" t="s">
        <v>68</v>
      </c>
      <c r="BR1" s="16" t="s">
        <v>69</v>
      </c>
      <c r="BS1" s="16" t="s">
        <v>70</v>
      </c>
      <c r="BT1" s="16" t="s">
        <v>71</v>
      </c>
    </row>
    <row r="2" spans="1:72" x14ac:dyDescent="0.25">
      <c r="A2" s="16" t="s">
        <v>72</v>
      </c>
      <c r="B2" s="16" t="s">
        <v>5291</v>
      </c>
      <c r="C2" s="16" t="s">
        <v>74</v>
      </c>
      <c r="D2" s="16" t="s">
        <v>74</v>
      </c>
      <c r="E2" s="16" t="s">
        <v>74</v>
      </c>
      <c r="F2" s="16" t="s">
        <v>5292</v>
      </c>
      <c r="G2" s="16" t="s">
        <v>74</v>
      </c>
      <c r="H2" s="16" t="s">
        <v>74</v>
      </c>
      <c r="I2" s="16" t="s">
        <v>5293</v>
      </c>
      <c r="J2" s="16" t="s">
        <v>5294</v>
      </c>
      <c r="K2" s="16" t="s">
        <v>74</v>
      </c>
      <c r="L2" s="16" t="s">
        <v>74</v>
      </c>
      <c r="M2" s="16" t="s">
        <v>78</v>
      </c>
      <c r="N2" s="16" t="s">
        <v>79</v>
      </c>
      <c r="O2" s="16" t="s">
        <v>74</v>
      </c>
      <c r="P2" s="16" t="s">
        <v>74</v>
      </c>
      <c r="Q2" s="16" t="s">
        <v>74</v>
      </c>
      <c r="R2" s="16" t="s">
        <v>74</v>
      </c>
      <c r="S2" s="16" t="s">
        <v>74</v>
      </c>
      <c r="T2" s="16" t="s">
        <v>5295</v>
      </c>
      <c r="U2" s="16" t="s">
        <v>5296</v>
      </c>
      <c r="V2" s="16" t="s">
        <v>5297</v>
      </c>
      <c r="W2" s="16" t="s">
        <v>5298</v>
      </c>
      <c r="X2" s="16" t="s">
        <v>5299</v>
      </c>
      <c r="Y2" s="16" t="s">
        <v>5300</v>
      </c>
      <c r="Z2" s="16" t="s">
        <v>5301</v>
      </c>
      <c r="AA2" s="16" t="s">
        <v>74</v>
      </c>
      <c r="AB2" s="16" t="s">
        <v>74</v>
      </c>
      <c r="AC2" s="16" t="s">
        <v>5299</v>
      </c>
      <c r="AD2" s="16" t="s">
        <v>5299</v>
      </c>
      <c r="AE2" s="16" t="s">
        <v>5302</v>
      </c>
      <c r="AF2" s="16" t="s">
        <v>74</v>
      </c>
      <c r="AG2" s="16">
        <v>33</v>
      </c>
      <c r="AH2" s="16">
        <v>23</v>
      </c>
      <c r="AI2" s="16">
        <v>23</v>
      </c>
      <c r="AJ2" s="16">
        <v>44</v>
      </c>
      <c r="AK2" s="16">
        <v>130</v>
      </c>
      <c r="AL2" s="16" t="s">
        <v>5303</v>
      </c>
      <c r="AM2" s="16" t="s">
        <v>5304</v>
      </c>
      <c r="AN2" s="16" t="s">
        <v>5305</v>
      </c>
      <c r="AO2" s="16" t="s">
        <v>74</v>
      </c>
      <c r="AP2" s="16" t="s">
        <v>5306</v>
      </c>
      <c r="AQ2" s="16" t="s">
        <v>74</v>
      </c>
      <c r="AR2" s="16" t="s">
        <v>5307</v>
      </c>
      <c r="AS2" s="16" t="s">
        <v>5308</v>
      </c>
      <c r="AT2" s="16" t="s">
        <v>74</v>
      </c>
      <c r="AU2" s="16">
        <v>2022</v>
      </c>
      <c r="AV2" s="16">
        <v>4</v>
      </c>
      <c r="AW2" s="16">
        <v>3</v>
      </c>
      <c r="AX2" s="16" t="s">
        <v>74</v>
      </c>
      <c r="AY2" s="16" t="s">
        <v>74</v>
      </c>
      <c r="AZ2" s="16" t="s">
        <v>74</v>
      </c>
      <c r="BA2" s="16" t="s">
        <v>74</v>
      </c>
      <c r="BB2" s="16">
        <v>251</v>
      </c>
      <c r="BC2" s="16">
        <v>272</v>
      </c>
      <c r="BD2" s="16" t="s">
        <v>74</v>
      </c>
      <c r="BE2" s="16" t="s">
        <v>5309</v>
      </c>
      <c r="BF2" s="16">
        <v>0</v>
      </c>
      <c r="BG2" s="16" t="s">
        <v>74</v>
      </c>
      <c r="BH2" s="16" t="s">
        <v>74</v>
      </c>
      <c r="BI2" s="16">
        <v>22</v>
      </c>
      <c r="BJ2" s="16" t="s">
        <v>5310</v>
      </c>
      <c r="BK2" s="16" t="s">
        <v>183</v>
      </c>
      <c r="BL2" s="16" t="s">
        <v>265</v>
      </c>
      <c r="BM2" s="16" t="s">
        <v>5311</v>
      </c>
      <c r="BN2" s="16" t="s">
        <v>74</v>
      </c>
      <c r="BO2" s="16" t="s">
        <v>186</v>
      </c>
      <c r="BP2" s="16" t="s">
        <v>74</v>
      </c>
      <c r="BQ2" s="16" t="s">
        <v>74</v>
      </c>
      <c r="BR2" s="16" t="s">
        <v>12946</v>
      </c>
      <c r="BS2" s="16" t="s">
        <v>5312</v>
      </c>
      <c r="BT2" s="16">
        <v>0</v>
      </c>
    </row>
    <row r="3" spans="1:72" x14ac:dyDescent="0.25">
      <c r="A3" s="16" t="s">
        <v>72</v>
      </c>
      <c r="B3" s="16" t="s">
        <v>10904</v>
      </c>
      <c r="C3" s="16" t="s">
        <v>74</v>
      </c>
      <c r="D3" s="16" t="s">
        <v>74</v>
      </c>
      <c r="E3" s="16" t="s">
        <v>74</v>
      </c>
      <c r="F3" s="16" t="s">
        <v>10905</v>
      </c>
      <c r="G3" s="16" t="s">
        <v>74</v>
      </c>
      <c r="H3" s="16" t="s">
        <v>74</v>
      </c>
      <c r="I3" s="16" t="s">
        <v>10906</v>
      </c>
      <c r="J3" s="16" t="s">
        <v>10907</v>
      </c>
      <c r="K3" s="16" t="s">
        <v>74</v>
      </c>
      <c r="L3" s="16" t="s">
        <v>74</v>
      </c>
      <c r="M3" s="16" t="s">
        <v>78</v>
      </c>
      <c r="N3" s="16" t="s">
        <v>79</v>
      </c>
      <c r="O3" s="16" t="s">
        <v>74</v>
      </c>
      <c r="P3" s="16" t="s">
        <v>74</v>
      </c>
      <c r="Q3" s="16" t="s">
        <v>74</v>
      </c>
      <c r="R3" s="16" t="s">
        <v>74</v>
      </c>
      <c r="S3" s="16" t="s">
        <v>74</v>
      </c>
      <c r="T3" s="16" t="s">
        <v>10908</v>
      </c>
      <c r="U3" s="16" t="s">
        <v>10909</v>
      </c>
      <c r="V3" s="16" t="s">
        <v>10910</v>
      </c>
      <c r="W3" s="16" t="s">
        <v>10911</v>
      </c>
      <c r="X3" s="16" t="s">
        <v>8209</v>
      </c>
      <c r="Y3" s="16" t="s">
        <v>10912</v>
      </c>
      <c r="Z3" s="16" t="s">
        <v>10913</v>
      </c>
      <c r="AA3" s="16" t="s">
        <v>13383</v>
      </c>
      <c r="AB3" s="16" t="s">
        <v>10914</v>
      </c>
      <c r="AC3" s="16" t="s">
        <v>10915</v>
      </c>
      <c r="AD3" s="16" t="s">
        <v>10916</v>
      </c>
      <c r="AE3" s="16" t="s">
        <v>10917</v>
      </c>
      <c r="AF3" s="16" t="s">
        <v>74</v>
      </c>
      <c r="AG3" s="16">
        <v>93</v>
      </c>
      <c r="AH3" s="16">
        <v>21</v>
      </c>
      <c r="AI3" s="16">
        <v>21</v>
      </c>
      <c r="AJ3" s="16">
        <v>2</v>
      </c>
      <c r="AK3" s="16">
        <v>18</v>
      </c>
      <c r="AL3" s="16" t="s">
        <v>492</v>
      </c>
      <c r="AM3" s="16" t="s">
        <v>493</v>
      </c>
      <c r="AN3" s="16" t="s">
        <v>494</v>
      </c>
      <c r="AO3" s="16" t="s">
        <v>10918</v>
      </c>
      <c r="AP3" s="16" t="s">
        <v>10919</v>
      </c>
      <c r="AQ3" s="16" t="s">
        <v>74</v>
      </c>
      <c r="AR3" s="16" t="s">
        <v>10920</v>
      </c>
      <c r="AS3" s="16" t="s">
        <v>10921</v>
      </c>
      <c r="AT3" s="16" t="s">
        <v>74</v>
      </c>
      <c r="AU3" s="16">
        <v>2017</v>
      </c>
      <c r="AV3" s="16">
        <v>14</v>
      </c>
      <c r="AW3" s="16">
        <v>3</v>
      </c>
      <c r="AX3" s="16" t="s">
        <v>74</v>
      </c>
      <c r="AY3" s="16" t="s">
        <v>74</v>
      </c>
      <c r="AZ3" s="16" t="s">
        <v>74</v>
      </c>
      <c r="BA3" s="16" t="s">
        <v>74</v>
      </c>
      <c r="BB3" s="16">
        <v>315</v>
      </c>
      <c r="BC3" s="16">
        <v>349</v>
      </c>
      <c r="BD3" s="16" t="s">
        <v>74</v>
      </c>
      <c r="BE3" s="16" t="s">
        <v>10922</v>
      </c>
      <c r="BF3" s="16">
        <v>0</v>
      </c>
      <c r="BG3" s="16" t="s">
        <v>74</v>
      </c>
      <c r="BH3" s="16" t="s">
        <v>74</v>
      </c>
      <c r="BI3" s="16">
        <v>35</v>
      </c>
      <c r="BJ3" s="16" t="s">
        <v>1664</v>
      </c>
      <c r="BK3" s="16" t="s">
        <v>156</v>
      </c>
      <c r="BL3" s="16" t="s">
        <v>1665</v>
      </c>
      <c r="BM3" s="16" t="s">
        <v>10923</v>
      </c>
      <c r="BN3" s="16" t="s">
        <v>74</v>
      </c>
      <c r="BO3" s="16" t="s">
        <v>3068</v>
      </c>
      <c r="BP3" s="16" t="s">
        <v>74</v>
      </c>
      <c r="BQ3" s="16" t="s">
        <v>74</v>
      </c>
      <c r="BR3" s="16" t="s">
        <v>12946</v>
      </c>
      <c r="BS3" s="16" t="s">
        <v>10924</v>
      </c>
      <c r="BT3" s="16">
        <v>0</v>
      </c>
    </row>
    <row r="4" spans="1:72" x14ac:dyDescent="0.25">
      <c r="A4" s="16" t="s">
        <v>72</v>
      </c>
      <c r="B4" s="16" t="s">
        <v>2350</v>
      </c>
      <c r="C4" s="16" t="s">
        <v>74</v>
      </c>
      <c r="D4" s="16" t="s">
        <v>74</v>
      </c>
      <c r="E4" s="16" t="s">
        <v>74</v>
      </c>
      <c r="F4" s="16" t="s">
        <v>2351</v>
      </c>
      <c r="G4" s="16" t="s">
        <v>74</v>
      </c>
      <c r="H4" s="16" t="s">
        <v>74</v>
      </c>
      <c r="I4" s="16" t="s">
        <v>2352</v>
      </c>
      <c r="J4" s="16" t="s">
        <v>2353</v>
      </c>
      <c r="K4" s="16" t="s">
        <v>74</v>
      </c>
      <c r="L4" s="16" t="s">
        <v>74</v>
      </c>
      <c r="M4" s="16" t="s">
        <v>78</v>
      </c>
      <c r="N4" s="16" t="s">
        <v>79</v>
      </c>
      <c r="O4" s="16" t="s">
        <v>74</v>
      </c>
      <c r="P4" s="16" t="s">
        <v>74</v>
      </c>
      <c r="Q4" s="16" t="s">
        <v>74</v>
      </c>
      <c r="R4" s="16" t="s">
        <v>74</v>
      </c>
      <c r="S4" s="16" t="s">
        <v>74</v>
      </c>
      <c r="T4" s="16" t="s">
        <v>2354</v>
      </c>
      <c r="U4" s="16" t="s">
        <v>2355</v>
      </c>
      <c r="V4" s="16" t="s">
        <v>2356</v>
      </c>
      <c r="W4" s="16" t="s">
        <v>2357</v>
      </c>
      <c r="X4" s="16" t="s">
        <v>2358</v>
      </c>
      <c r="Y4" s="16" t="s">
        <v>2359</v>
      </c>
      <c r="Z4" s="16" t="s">
        <v>2360</v>
      </c>
      <c r="AA4" s="16" t="s">
        <v>2361</v>
      </c>
      <c r="AB4" s="16" t="s">
        <v>13379</v>
      </c>
      <c r="AC4" s="16" t="s">
        <v>74</v>
      </c>
      <c r="AD4" s="16" t="s">
        <v>74</v>
      </c>
      <c r="AE4" s="16" t="s">
        <v>74</v>
      </c>
      <c r="AF4" s="16" t="s">
        <v>74</v>
      </c>
      <c r="AG4" s="16">
        <v>79</v>
      </c>
      <c r="AH4" s="16">
        <v>8</v>
      </c>
      <c r="AI4" s="16">
        <v>8</v>
      </c>
      <c r="AJ4" s="16">
        <v>2</v>
      </c>
      <c r="AK4" s="16">
        <v>9</v>
      </c>
      <c r="AL4" s="16" t="s">
        <v>715</v>
      </c>
      <c r="AM4" s="16" t="s">
        <v>716</v>
      </c>
      <c r="AN4" s="16" t="s">
        <v>717</v>
      </c>
      <c r="AO4" s="16" t="s">
        <v>2363</v>
      </c>
      <c r="AP4" s="16" t="s">
        <v>2364</v>
      </c>
      <c r="AQ4" s="16" t="s">
        <v>74</v>
      </c>
      <c r="AR4" s="16" t="s">
        <v>2365</v>
      </c>
      <c r="AS4" s="16" t="s">
        <v>2366</v>
      </c>
      <c r="AT4" s="16" t="s">
        <v>1059</v>
      </c>
      <c r="AU4" s="16">
        <v>2023</v>
      </c>
      <c r="AV4" s="16">
        <v>49</v>
      </c>
      <c r="AW4" s="16">
        <v>7</v>
      </c>
      <c r="AX4" s="16" t="s">
        <v>74</v>
      </c>
      <c r="AY4" s="16" t="s">
        <v>74</v>
      </c>
      <c r="AZ4" s="16" t="s">
        <v>74</v>
      </c>
      <c r="BA4" s="16" t="s">
        <v>74</v>
      </c>
      <c r="BB4" s="16">
        <v>1221</v>
      </c>
      <c r="BC4" s="16">
        <v>1238</v>
      </c>
      <c r="BD4" s="16" t="s">
        <v>74</v>
      </c>
      <c r="BE4" s="16" t="s">
        <v>2367</v>
      </c>
      <c r="BF4" s="16">
        <v>0</v>
      </c>
      <c r="BG4" s="16" t="s">
        <v>74</v>
      </c>
      <c r="BH4" s="16" t="s">
        <v>2368</v>
      </c>
      <c r="BI4" s="16">
        <v>18</v>
      </c>
      <c r="BJ4" s="16" t="s">
        <v>479</v>
      </c>
      <c r="BK4" s="16" t="s">
        <v>183</v>
      </c>
      <c r="BL4" s="16" t="s">
        <v>265</v>
      </c>
      <c r="BM4" s="16" t="s">
        <v>2369</v>
      </c>
      <c r="BN4" s="16" t="s">
        <v>74</v>
      </c>
      <c r="BO4" s="16" t="s">
        <v>74</v>
      </c>
      <c r="BP4" s="16" t="s">
        <v>74</v>
      </c>
      <c r="BQ4" s="16" t="s">
        <v>74</v>
      </c>
      <c r="BR4" s="16" t="s">
        <v>12946</v>
      </c>
      <c r="BS4" s="16" t="s">
        <v>2370</v>
      </c>
      <c r="BT4" s="16">
        <v>0</v>
      </c>
    </row>
    <row r="5" spans="1:72" x14ac:dyDescent="0.25">
      <c r="A5" s="16" t="s">
        <v>72</v>
      </c>
      <c r="B5" s="16" t="s">
        <v>1105</v>
      </c>
      <c r="C5" s="16" t="s">
        <v>74</v>
      </c>
      <c r="D5" s="16" t="s">
        <v>74</v>
      </c>
      <c r="E5" s="16" t="s">
        <v>74</v>
      </c>
      <c r="F5" s="16" t="s">
        <v>1106</v>
      </c>
      <c r="G5" s="16" t="s">
        <v>74</v>
      </c>
      <c r="H5" s="16" t="s">
        <v>74</v>
      </c>
      <c r="I5" s="16" t="s">
        <v>1107</v>
      </c>
      <c r="J5" s="16" t="s">
        <v>1108</v>
      </c>
      <c r="K5" s="16" t="s">
        <v>74</v>
      </c>
      <c r="L5" s="16" t="s">
        <v>74</v>
      </c>
      <c r="M5" s="16" t="s">
        <v>78</v>
      </c>
      <c r="N5" s="16" t="s">
        <v>79</v>
      </c>
      <c r="O5" s="16" t="s">
        <v>74</v>
      </c>
      <c r="P5" s="16" t="s">
        <v>74</v>
      </c>
      <c r="Q5" s="16" t="s">
        <v>74</v>
      </c>
      <c r="R5" s="16" t="s">
        <v>74</v>
      </c>
      <c r="S5" s="16" t="s">
        <v>74</v>
      </c>
      <c r="T5" s="16" t="s">
        <v>1109</v>
      </c>
      <c r="U5" s="16" t="s">
        <v>1110</v>
      </c>
      <c r="V5" s="16" t="s">
        <v>1111</v>
      </c>
      <c r="W5" s="16" t="s">
        <v>1112</v>
      </c>
      <c r="X5" s="16" t="s">
        <v>1113</v>
      </c>
      <c r="Y5" s="16" t="s">
        <v>1114</v>
      </c>
      <c r="Z5" s="16" t="s">
        <v>1115</v>
      </c>
      <c r="AA5" s="16" t="s">
        <v>13380</v>
      </c>
      <c r="AB5" s="16" t="s">
        <v>13381</v>
      </c>
      <c r="AC5" s="16" t="s">
        <v>74</v>
      </c>
      <c r="AD5" s="16" t="s">
        <v>74</v>
      </c>
      <c r="AE5" s="16" t="s">
        <v>74</v>
      </c>
      <c r="AF5" s="16" t="s">
        <v>74</v>
      </c>
      <c r="AG5" s="16">
        <v>77</v>
      </c>
      <c r="AH5" s="16">
        <v>2</v>
      </c>
      <c r="AI5" s="16">
        <v>2</v>
      </c>
      <c r="AJ5" s="16">
        <v>4</v>
      </c>
      <c r="AK5" s="16">
        <v>10</v>
      </c>
      <c r="AL5" s="16" t="s">
        <v>715</v>
      </c>
      <c r="AM5" s="16" t="s">
        <v>716</v>
      </c>
      <c r="AN5" s="16" t="s">
        <v>717</v>
      </c>
      <c r="AO5" s="16" t="s">
        <v>1117</v>
      </c>
      <c r="AP5" s="16" t="s">
        <v>1118</v>
      </c>
      <c r="AQ5" s="16" t="s">
        <v>74</v>
      </c>
      <c r="AR5" s="16" t="s">
        <v>1119</v>
      </c>
      <c r="AS5" s="16" t="s">
        <v>1120</v>
      </c>
      <c r="AT5" s="16" t="s">
        <v>1121</v>
      </c>
      <c r="AU5" s="16">
        <v>2023</v>
      </c>
      <c r="AV5" s="16">
        <v>40</v>
      </c>
      <c r="AW5" s="16">
        <v>4</v>
      </c>
      <c r="AX5" s="16" t="s">
        <v>74</v>
      </c>
      <c r="AY5" s="16" t="s">
        <v>74</v>
      </c>
      <c r="AZ5" s="16" t="s">
        <v>1020</v>
      </c>
      <c r="BA5" s="16" t="s">
        <v>74</v>
      </c>
      <c r="BB5" s="16">
        <v>606</v>
      </c>
      <c r="BC5" s="16">
        <v>624</v>
      </c>
      <c r="BD5" s="16" t="s">
        <v>74</v>
      </c>
      <c r="BE5" s="16" t="s">
        <v>1122</v>
      </c>
      <c r="BF5" s="16">
        <v>0</v>
      </c>
      <c r="BG5" s="16" t="s">
        <v>74</v>
      </c>
      <c r="BH5" s="16" t="s">
        <v>1022</v>
      </c>
      <c r="BI5" s="16">
        <v>19</v>
      </c>
      <c r="BJ5" s="16" t="s">
        <v>479</v>
      </c>
      <c r="BK5" s="16" t="s">
        <v>183</v>
      </c>
      <c r="BL5" s="16" t="s">
        <v>265</v>
      </c>
      <c r="BM5" s="16" t="s">
        <v>1123</v>
      </c>
      <c r="BN5" s="16" t="s">
        <v>74</v>
      </c>
      <c r="BO5" s="16" t="s">
        <v>74</v>
      </c>
      <c r="BP5" s="16" t="s">
        <v>74</v>
      </c>
      <c r="BQ5" s="16" t="s">
        <v>74</v>
      </c>
      <c r="BR5" s="16" t="s">
        <v>12946</v>
      </c>
      <c r="BS5" s="16" t="s">
        <v>1124</v>
      </c>
      <c r="BT5" s="16">
        <v>0</v>
      </c>
    </row>
    <row r="6" spans="1:72" x14ac:dyDescent="0.25">
      <c r="A6" s="16" t="s">
        <v>72</v>
      </c>
      <c r="B6" s="16" t="s">
        <v>3095</v>
      </c>
      <c r="C6" s="16" t="s">
        <v>74</v>
      </c>
      <c r="D6" s="16" t="s">
        <v>74</v>
      </c>
      <c r="E6" s="16" t="s">
        <v>74</v>
      </c>
      <c r="F6" s="16" t="s">
        <v>3096</v>
      </c>
      <c r="G6" s="16" t="s">
        <v>74</v>
      </c>
      <c r="H6" s="16" t="s">
        <v>74</v>
      </c>
      <c r="I6" s="16" t="s">
        <v>3097</v>
      </c>
      <c r="J6" s="16" t="s">
        <v>1649</v>
      </c>
      <c r="K6" s="16" t="s">
        <v>74</v>
      </c>
      <c r="L6" s="16" t="s">
        <v>74</v>
      </c>
      <c r="M6" s="16" t="s">
        <v>78</v>
      </c>
      <c r="N6" s="16" t="s">
        <v>79</v>
      </c>
      <c r="O6" s="16" t="s">
        <v>74</v>
      </c>
      <c r="P6" s="16" t="s">
        <v>74</v>
      </c>
      <c r="Q6" s="16" t="s">
        <v>74</v>
      </c>
      <c r="R6" s="16" t="s">
        <v>74</v>
      </c>
      <c r="S6" s="16" t="s">
        <v>74</v>
      </c>
      <c r="T6" s="16" t="s">
        <v>3098</v>
      </c>
      <c r="U6" s="16" t="s">
        <v>3099</v>
      </c>
      <c r="V6" s="16" t="s">
        <v>3100</v>
      </c>
      <c r="W6" s="16" t="s">
        <v>3101</v>
      </c>
      <c r="X6" s="16" t="s">
        <v>3102</v>
      </c>
      <c r="Y6" s="16" t="s">
        <v>3103</v>
      </c>
      <c r="Z6" s="16" t="s">
        <v>3104</v>
      </c>
      <c r="AA6" s="16" t="s">
        <v>74</v>
      </c>
      <c r="AB6" s="16" t="s">
        <v>74</v>
      </c>
      <c r="AC6" s="16" t="s">
        <v>3105</v>
      </c>
      <c r="AD6" s="16" t="s">
        <v>3106</v>
      </c>
      <c r="AE6" s="16" t="s">
        <v>3107</v>
      </c>
      <c r="AF6" s="16" t="s">
        <v>74</v>
      </c>
      <c r="AG6" s="16">
        <v>14</v>
      </c>
      <c r="AH6" s="16">
        <v>2</v>
      </c>
      <c r="AI6" s="16">
        <v>2</v>
      </c>
      <c r="AJ6" s="16">
        <v>13</v>
      </c>
      <c r="AK6" s="16">
        <v>76</v>
      </c>
      <c r="AL6" s="16" t="s">
        <v>1382</v>
      </c>
      <c r="AM6" s="16" t="s">
        <v>1383</v>
      </c>
      <c r="AN6" s="16" t="s">
        <v>1384</v>
      </c>
      <c r="AO6" s="16" t="s">
        <v>1659</v>
      </c>
      <c r="AP6" s="16" t="s">
        <v>74</v>
      </c>
      <c r="AQ6" s="16" t="s">
        <v>74</v>
      </c>
      <c r="AR6" s="16" t="s">
        <v>1660</v>
      </c>
      <c r="AS6" s="16" t="s">
        <v>1661</v>
      </c>
      <c r="AT6" s="16" t="s">
        <v>3090</v>
      </c>
      <c r="AU6" s="16">
        <v>2022</v>
      </c>
      <c r="AV6" s="16">
        <v>13</v>
      </c>
      <c r="AW6" s="16" t="s">
        <v>74</v>
      </c>
      <c r="AX6" s="16" t="s">
        <v>74</v>
      </c>
      <c r="AY6" s="16" t="s">
        <v>74</v>
      </c>
      <c r="AZ6" s="16" t="s">
        <v>74</v>
      </c>
      <c r="BA6" s="16" t="s">
        <v>74</v>
      </c>
      <c r="BB6" s="16" t="s">
        <v>74</v>
      </c>
      <c r="BC6" s="16" t="s">
        <v>74</v>
      </c>
      <c r="BD6" s="16">
        <v>1013228</v>
      </c>
      <c r="BE6" s="16" t="s">
        <v>3108</v>
      </c>
      <c r="BF6" s="16">
        <v>0</v>
      </c>
      <c r="BG6" s="16" t="s">
        <v>74</v>
      </c>
      <c r="BH6" s="16" t="s">
        <v>74</v>
      </c>
      <c r="BI6" s="16">
        <v>11</v>
      </c>
      <c r="BJ6" s="16" t="s">
        <v>1664</v>
      </c>
      <c r="BK6" s="16" t="s">
        <v>156</v>
      </c>
      <c r="BL6" s="16" t="s">
        <v>1665</v>
      </c>
      <c r="BM6" s="16" t="s">
        <v>3109</v>
      </c>
      <c r="BN6" s="16">
        <v>36211899</v>
      </c>
      <c r="BO6" s="16" t="s">
        <v>422</v>
      </c>
      <c r="BP6" s="16" t="s">
        <v>74</v>
      </c>
      <c r="BQ6" s="16" t="s">
        <v>74</v>
      </c>
      <c r="BR6" s="16" t="s">
        <v>12946</v>
      </c>
      <c r="BS6" s="16" t="s">
        <v>3110</v>
      </c>
      <c r="BT6" s="16">
        <v>0</v>
      </c>
    </row>
    <row r="7" spans="1:72" x14ac:dyDescent="0.25">
      <c r="A7" s="16" t="s">
        <v>72</v>
      </c>
      <c r="B7" s="16" t="s">
        <v>1773</v>
      </c>
      <c r="C7" s="16" t="s">
        <v>74</v>
      </c>
      <c r="D7" s="16" t="s">
        <v>74</v>
      </c>
      <c r="E7" s="16" t="s">
        <v>74</v>
      </c>
      <c r="F7" s="16" t="s">
        <v>1774</v>
      </c>
      <c r="G7" s="16" t="s">
        <v>74</v>
      </c>
      <c r="H7" s="16" t="s">
        <v>74</v>
      </c>
      <c r="I7" s="16" t="s">
        <v>1775</v>
      </c>
      <c r="J7" s="16" t="s">
        <v>1776</v>
      </c>
      <c r="K7" s="16" t="s">
        <v>74</v>
      </c>
      <c r="L7" s="16" t="s">
        <v>74</v>
      </c>
      <c r="M7" s="16" t="s">
        <v>78</v>
      </c>
      <c r="N7" s="16" t="s">
        <v>79</v>
      </c>
      <c r="O7" s="16" t="s">
        <v>74</v>
      </c>
      <c r="P7" s="16" t="s">
        <v>74</v>
      </c>
      <c r="Q7" s="16" t="s">
        <v>74</v>
      </c>
      <c r="R7" s="16" t="s">
        <v>74</v>
      </c>
      <c r="S7" s="16" t="s">
        <v>74</v>
      </c>
      <c r="T7" s="16" t="s">
        <v>1777</v>
      </c>
      <c r="U7" s="16" t="s">
        <v>74</v>
      </c>
      <c r="V7" s="16" t="s">
        <v>1778</v>
      </c>
      <c r="W7" s="16" t="s">
        <v>1779</v>
      </c>
      <c r="X7" s="16" t="s">
        <v>1780</v>
      </c>
      <c r="Y7" s="16" t="s">
        <v>1781</v>
      </c>
      <c r="Z7" s="16" t="s">
        <v>1782</v>
      </c>
      <c r="AA7" s="16" t="s">
        <v>13384</v>
      </c>
      <c r="AB7" s="16" t="s">
        <v>13385</v>
      </c>
      <c r="AC7" s="16" t="s">
        <v>74</v>
      </c>
      <c r="AD7" s="16" t="s">
        <v>74</v>
      </c>
      <c r="AE7" s="16" t="s">
        <v>74</v>
      </c>
      <c r="AF7" s="16" t="s">
        <v>74</v>
      </c>
      <c r="AG7" s="16">
        <v>13</v>
      </c>
      <c r="AH7" s="16">
        <v>1</v>
      </c>
      <c r="AI7" s="16">
        <v>1</v>
      </c>
      <c r="AJ7" s="16">
        <v>2</v>
      </c>
      <c r="AK7" s="16">
        <v>10</v>
      </c>
      <c r="AL7" s="16" t="s">
        <v>1784</v>
      </c>
      <c r="AM7" s="16" t="s">
        <v>693</v>
      </c>
      <c r="AN7" s="16" t="s">
        <v>1785</v>
      </c>
      <c r="AO7" s="16" t="s">
        <v>1786</v>
      </c>
      <c r="AP7" s="16" t="s">
        <v>1787</v>
      </c>
      <c r="AQ7" s="16" t="s">
        <v>74</v>
      </c>
      <c r="AR7" s="16" t="s">
        <v>1788</v>
      </c>
      <c r="AS7" s="16" t="s">
        <v>1789</v>
      </c>
      <c r="AT7" s="16" t="s">
        <v>13386</v>
      </c>
      <c r="AU7" s="16">
        <v>2023</v>
      </c>
      <c r="AV7" s="16">
        <v>21</v>
      </c>
      <c r="AW7" s="16">
        <v>1</v>
      </c>
      <c r="AX7" s="16" t="s">
        <v>74</v>
      </c>
      <c r="AY7" s="16" t="s">
        <v>74</v>
      </c>
      <c r="AZ7" s="16" t="s">
        <v>74</v>
      </c>
      <c r="BA7" s="16" t="s">
        <v>74</v>
      </c>
      <c r="BB7" s="16">
        <v>53</v>
      </c>
      <c r="BC7" s="16">
        <v>73</v>
      </c>
      <c r="BD7" s="16" t="s">
        <v>74</v>
      </c>
      <c r="BE7" s="16" t="s">
        <v>1791</v>
      </c>
      <c r="BF7" s="16">
        <v>0</v>
      </c>
      <c r="BG7" s="16" t="s">
        <v>74</v>
      </c>
      <c r="BH7" s="16" t="s">
        <v>1792</v>
      </c>
      <c r="BI7" s="16">
        <v>21</v>
      </c>
      <c r="BJ7" s="16" t="s">
        <v>1082</v>
      </c>
      <c r="BK7" s="16" t="s">
        <v>156</v>
      </c>
      <c r="BL7" s="16" t="s">
        <v>379</v>
      </c>
      <c r="BM7" s="16" t="s">
        <v>13387</v>
      </c>
      <c r="BN7" s="16" t="s">
        <v>74</v>
      </c>
      <c r="BO7" s="16" t="s">
        <v>105</v>
      </c>
      <c r="BP7" s="16" t="s">
        <v>74</v>
      </c>
      <c r="BQ7" s="16" t="s">
        <v>74</v>
      </c>
      <c r="BR7" s="16" t="s">
        <v>12946</v>
      </c>
      <c r="BS7" s="16" t="s">
        <v>1794</v>
      </c>
      <c r="BT7" s="16">
        <v>0</v>
      </c>
    </row>
    <row r="8" spans="1:72" x14ac:dyDescent="0.25">
      <c r="A8" s="16" t="s">
        <v>72</v>
      </c>
      <c r="B8" s="16" t="s">
        <v>6894</v>
      </c>
      <c r="C8" s="16" t="s">
        <v>74</v>
      </c>
      <c r="D8" s="16" t="s">
        <v>74</v>
      </c>
      <c r="E8" s="16" t="s">
        <v>74</v>
      </c>
      <c r="F8" s="16" t="s">
        <v>6895</v>
      </c>
      <c r="G8" s="16" t="s">
        <v>74</v>
      </c>
      <c r="H8" s="16" t="s">
        <v>74</v>
      </c>
      <c r="I8" s="16" t="s">
        <v>6896</v>
      </c>
      <c r="J8" s="16" t="s">
        <v>6897</v>
      </c>
      <c r="K8" s="16" t="s">
        <v>74</v>
      </c>
      <c r="L8" s="16" t="s">
        <v>74</v>
      </c>
      <c r="M8" s="16" t="s">
        <v>78</v>
      </c>
      <c r="N8" s="16" t="s">
        <v>79</v>
      </c>
      <c r="O8" s="16" t="s">
        <v>74</v>
      </c>
      <c r="P8" s="16" t="s">
        <v>74</v>
      </c>
      <c r="Q8" s="16" t="s">
        <v>74</v>
      </c>
      <c r="R8" s="16" t="s">
        <v>74</v>
      </c>
      <c r="S8" s="16" t="s">
        <v>74</v>
      </c>
      <c r="T8" s="16" t="s">
        <v>6898</v>
      </c>
      <c r="U8" s="16" t="s">
        <v>6899</v>
      </c>
      <c r="V8" s="16" t="s">
        <v>6900</v>
      </c>
      <c r="W8" s="16" t="s">
        <v>6901</v>
      </c>
      <c r="X8" s="16" t="s">
        <v>74</v>
      </c>
      <c r="Y8" s="16" t="s">
        <v>6902</v>
      </c>
      <c r="Z8" s="16" t="s">
        <v>6903</v>
      </c>
      <c r="AA8" s="16" t="s">
        <v>74</v>
      </c>
      <c r="AB8" s="16" t="s">
        <v>74</v>
      </c>
      <c r="AC8" s="16" t="s">
        <v>74</v>
      </c>
      <c r="AD8" s="16" t="s">
        <v>74</v>
      </c>
      <c r="AE8" s="16" t="s">
        <v>74</v>
      </c>
      <c r="AF8" s="16" t="s">
        <v>74</v>
      </c>
      <c r="AG8" s="16">
        <v>17</v>
      </c>
      <c r="AH8" s="16">
        <v>1</v>
      </c>
      <c r="AI8" s="16">
        <v>1</v>
      </c>
      <c r="AJ8" s="16">
        <v>0</v>
      </c>
      <c r="AK8" s="16">
        <v>2</v>
      </c>
      <c r="AL8" s="16" t="s">
        <v>492</v>
      </c>
      <c r="AM8" s="16" t="s">
        <v>493</v>
      </c>
      <c r="AN8" s="16" t="s">
        <v>494</v>
      </c>
      <c r="AO8" s="16" t="s">
        <v>6904</v>
      </c>
      <c r="AP8" s="16" t="s">
        <v>6905</v>
      </c>
      <c r="AQ8" s="16" t="s">
        <v>74</v>
      </c>
      <c r="AR8" s="16" t="s">
        <v>6906</v>
      </c>
      <c r="AS8" s="16" t="s">
        <v>6907</v>
      </c>
      <c r="AT8" s="16" t="s">
        <v>3505</v>
      </c>
      <c r="AU8" s="16">
        <v>2021</v>
      </c>
      <c r="AV8" s="16">
        <v>26</v>
      </c>
      <c r="AW8" s="16">
        <v>1</v>
      </c>
      <c r="AX8" s="16" t="s">
        <v>74</v>
      </c>
      <c r="AY8" s="16" t="s">
        <v>74</v>
      </c>
      <c r="AZ8" s="16" t="s">
        <v>74</v>
      </c>
      <c r="BA8" s="16" t="s">
        <v>74</v>
      </c>
      <c r="BB8" s="16">
        <v>38</v>
      </c>
      <c r="BC8" s="16">
        <v>58</v>
      </c>
      <c r="BD8" s="16" t="s">
        <v>74</v>
      </c>
      <c r="BE8" s="16" t="s">
        <v>6908</v>
      </c>
      <c r="BF8" s="16">
        <v>0</v>
      </c>
      <c r="BG8" s="16" t="s">
        <v>74</v>
      </c>
      <c r="BH8" s="16" t="s">
        <v>74</v>
      </c>
      <c r="BI8" s="16">
        <v>21</v>
      </c>
      <c r="BJ8" s="16" t="s">
        <v>1326</v>
      </c>
      <c r="BK8" s="16" t="s">
        <v>183</v>
      </c>
      <c r="BL8" s="16" t="s">
        <v>1326</v>
      </c>
      <c r="BM8" s="16" t="s">
        <v>6909</v>
      </c>
      <c r="BN8" s="16" t="s">
        <v>74</v>
      </c>
      <c r="BO8" s="16" t="s">
        <v>74</v>
      </c>
      <c r="BP8" s="16" t="s">
        <v>74</v>
      </c>
      <c r="BQ8" s="16" t="s">
        <v>74</v>
      </c>
      <c r="BR8" s="16" t="s">
        <v>12946</v>
      </c>
      <c r="BS8" s="16" t="s">
        <v>6910</v>
      </c>
      <c r="BT8" s="16">
        <v>0</v>
      </c>
    </row>
    <row r="9" spans="1:72" x14ac:dyDescent="0.25">
      <c r="A9" s="16" t="s">
        <v>72</v>
      </c>
      <c r="B9" s="16" t="s">
        <v>6982</v>
      </c>
      <c r="C9" s="16" t="s">
        <v>74</v>
      </c>
      <c r="D9" s="16" t="s">
        <v>74</v>
      </c>
      <c r="E9" s="16" t="s">
        <v>74</v>
      </c>
      <c r="F9" s="16" t="s">
        <v>6983</v>
      </c>
      <c r="G9" s="16" t="s">
        <v>74</v>
      </c>
      <c r="H9" s="16" t="s">
        <v>74</v>
      </c>
      <c r="I9" s="16" t="s">
        <v>6984</v>
      </c>
      <c r="J9" s="16" t="s">
        <v>1332</v>
      </c>
      <c r="K9" s="16" t="s">
        <v>74</v>
      </c>
      <c r="L9" s="16" t="s">
        <v>74</v>
      </c>
      <c r="M9" s="16" t="s">
        <v>78</v>
      </c>
      <c r="N9" s="16" t="s">
        <v>79</v>
      </c>
      <c r="O9" s="16" t="s">
        <v>74</v>
      </c>
      <c r="P9" s="16" t="s">
        <v>74</v>
      </c>
      <c r="Q9" s="16" t="s">
        <v>74</v>
      </c>
      <c r="R9" s="16" t="s">
        <v>74</v>
      </c>
      <c r="S9" s="16" t="s">
        <v>74</v>
      </c>
      <c r="T9" s="16" t="s">
        <v>6985</v>
      </c>
      <c r="U9" s="16" t="s">
        <v>74</v>
      </c>
      <c r="V9" s="16" t="s">
        <v>6986</v>
      </c>
      <c r="W9" s="16" t="s">
        <v>6987</v>
      </c>
      <c r="X9" s="16" t="s">
        <v>6070</v>
      </c>
      <c r="Y9" s="16" t="s">
        <v>6988</v>
      </c>
      <c r="Z9" s="16" t="s">
        <v>6989</v>
      </c>
      <c r="AA9" s="16" t="s">
        <v>74</v>
      </c>
      <c r="AB9" s="16" t="s">
        <v>74</v>
      </c>
      <c r="AC9" s="16" t="s">
        <v>74</v>
      </c>
      <c r="AD9" s="16" t="s">
        <v>74</v>
      </c>
      <c r="AE9" s="16" t="s">
        <v>74</v>
      </c>
      <c r="AF9" s="16" t="s">
        <v>74</v>
      </c>
      <c r="AG9" s="16">
        <v>31</v>
      </c>
      <c r="AH9" s="16">
        <v>1</v>
      </c>
      <c r="AI9" s="16">
        <v>1</v>
      </c>
      <c r="AJ9" s="16">
        <v>2</v>
      </c>
      <c r="AK9" s="16">
        <v>13</v>
      </c>
      <c r="AL9" s="16" t="s">
        <v>1341</v>
      </c>
      <c r="AM9" s="16" t="s">
        <v>1342</v>
      </c>
      <c r="AN9" s="16" t="s">
        <v>1343</v>
      </c>
      <c r="AO9" s="16" t="s">
        <v>1344</v>
      </c>
      <c r="AP9" s="16" t="s">
        <v>74</v>
      </c>
      <c r="AQ9" s="16" t="s">
        <v>74</v>
      </c>
      <c r="AR9" s="16" t="s">
        <v>1346</v>
      </c>
      <c r="AS9" s="16" t="s">
        <v>1347</v>
      </c>
      <c r="AT9" s="16" t="s">
        <v>6990</v>
      </c>
      <c r="AU9" s="16">
        <v>2021</v>
      </c>
      <c r="AV9" s="16">
        <v>12</v>
      </c>
      <c r="AW9" s="16">
        <v>32</v>
      </c>
      <c r="AX9" s="16" t="s">
        <v>74</v>
      </c>
      <c r="AY9" s="16" t="s">
        <v>74</v>
      </c>
      <c r="AZ9" s="16" t="s">
        <v>74</v>
      </c>
      <c r="BA9" s="16" t="s">
        <v>74</v>
      </c>
      <c r="BB9" s="16">
        <v>414</v>
      </c>
      <c r="BC9" s="16">
        <v>443</v>
      </c>
      <c r="BD9" s="16" t="s">
        <v>74</v>
      </c>
      <c r="BE9" s="16" t="s">
        <v>6991</v>
      </c>
      <c r="BF9" s="16">
        <v>0</v>
      </c>
      <c r="BG9" s="16" t="s">
        <v>74</v>
      </c>
      <c r="BH9" s="16" t="s">
        <v>74</v>
      </c>
      <c r="BI9" s="16">
        <v>30</v>
      </c>
      <c r="BJ9" s="16" t="s">
        <v>942</v>
      </c>
      <c r="BK9" s="16" t="s">
        <v>183</v>
      </c>
      <c r="BL9" s="16" t="s">
        <v>943</v>
      </c>
      <c r="BM9" s="16" t="s">
        <v>6992</v>
      </c>
      <c r="BN9" s="16" t="s">
        <v>74</v>
      </c>
      <c r="BO9" s="16" t="s">
        <v>791</v>
      </c>
      <c r="BP9" s="16" t="s">
        <v>74</v>
      </c>
      <c r="BQ9" s="16" t="s">
        <v>74</v>
      </c>
      <c r="BR9" s="16" t="s">
        <v>12946</v>
      </c>
      <c r="BS9" s="16" t="s">
        <v>6993</v>
      </c>
      <c r="BT9" s="16">
        <v>0</v>
      </c>
    </row>
    <row r="10" spans="1:72" x14ac:dyDescent="0.25">
      <c r="A10" s="16" t="s">
        <v>72</v>
      </c>
      <c r="B10" s="16" t="s">
        <v>4947</v>
      </c>
      <c r="C10" s="16" t="s">
        <v>74</v>
      </c>
      <c r="D10" s="16" t="s">
        <v>74</v>
      </c>
      <c r="E10" s="16" t="s">
        <v>74</v>
      </c>
      <c r="F10" s="16" t="s">
        <v>4948</v>
      </c>
      <c r="G10" s="16" t="s">
        <v>74</v>
      </c>
      <c r="H10" s="16" t="s">
        <v>74</v>
      </c>
      <c r="I10" s="16" t="s">
        <v>4949</v>
      </c>
      <c r="J10" s="16" t="s">
        <v>4950</v>
      </c>
      <c r="K10" s="16" t="s">
        <v>74</v>
      </c>
      <c r="L10" s="16" t="s">
        <v>74</v>
      </c>
      <c r="M10" s="16" t="s">
        <v>929</v>
      </c>
      <c r="N10" s="16" t="s">
        <v>79</v>
      </c>
      <c r="O10" s="16" t="s">
        <v>74</v>
      </c>
      <c r="P10" s="16" t="s">
        <v>74</v>
      </c>
      <c r="Q10" s="16" t="s">
        <v>74</v>
      </c>
      <c r="R10" s="16" t="s">
        <v>74</v>
      </c>
      <c r="S10" s="16" t="s">
        <v>74</v>
      </c>
      <c r="T10" s="16" t="s">
        <v>4951</v>
      </c>
      <c r="U10" s="16" t="s">
        <v>74</v>
      </c>
      <c r="V10" s="16" t="s">
        <v>4952</v>
      </c>
      <c r="W10" s="16" t="s">
        <v>4953</v>
      </c>
      <c r="X10" s="16" t="s">
        <v>74</v>
      </c>
      <c r="Y10" s="16" t="s">
        <v>4954</v>
      </c>
      <c r="Z10" s="16" t="s">
        <v>4955</v>
      </c>
      <c r="AA10" s="16" t="s">
        <v>74</v>
      </c>
      <c r="AB10" s="16" t="s">
        <v>74</v>
      </c>
      <c r="AC10" s="16" t="s">
        <v>74</v>
      </c>
      <c r="AD10" s="16" t="s">
        <v>74</v>
      </c>
      <c r="AE10" s="16" t="s">
        <v>74</v>
      </c>
      <c r="AF10" s="16" t="s">
        <v>74</v>
      </c>
      <c r="AG10" s="16">
        <v>25</v>
      </c>
      <c r="AH10" s="16">
        <v>0</v>
      </c>
      <c r="AI10" s="16">
        <v>0</v>
      </c>
      <c r="AJ10" s="16">
        <v>0</v>
      </c>
      <c r="AK10" s="16">
        <v>0</v>
      </c>
      <c r="AL10" s="16" t="s">
        <v>4956</v>
      </c>
      <c r="AM10" s="16" t="s">
        <v>4957</v>
      </c>
      <c r="AN10" s="16" t="s">
        <v>4958</v>
      </c>
      <c r="AO10" s="16" t="s">
        <v>4959</v>
      </c>
      <c r="AP10" s="16" t="s">
        <v>4960</v>
      </c>
      <c r="AQ10" s="16" t="s">
        <v>74</v>
      </c>
      <c r="AR10" s="16" t="s">
        <v>4950</v>
      </c>
      <c r="AS10" s="16" t="s">
        <v>4961</v>
      </c>
      <c r="AT10" s="16" t="s">
        <v>4962</v>
      </c>
      <c r="AU10" s="16">
        <v>2022</v>
      </c>
      <c r="AV10" s="16">
        <v>17</v>
      </c>
      <c r="AW10" s="16">
        <v>1</v>
      </c>
      <c r="AX10" s="16" t="s">
        <v>74</v>
      </c>
      <c r="AY10" s="16" t="s">
        <v>74</v>
      </c>
      <c r="AZ10" s="16" t="s">
        <v>74</v>
      </c>
      <c r="BA10" s="16" t="s">
        <v>74</v>
      </c>
      <c r="BB10" s="16">
        <v>129</v>
      </c>
      <c r="BC10" s="16">
        <v>143</v>
      </c>
      <c r="BD10" s="16" t="s">
        <v>74</v>
      </c>
      <c r="BE10" s="16" t="s">
        <v>4963</v>
      </c>
      <c r="BF10" s="16">
        <v>0</v>
      </c>
      <c r="BG10" s="16" t="s">
        <v>74</v>
      </c>
      <c r="BH10" s="16" t="s">
        <v>74</v>
      </c>
      <c r="BI10" s="16">
        <v>15</v>
      </c>
      <c r="BJ10" s="16" t="s">
        <v>1082</v>
      </c>
      <c r="BK10" s="16" t="s">
        <v>183</v>
      </c>
      <c r="BL10" s="16" t="s">
        <v>379</v>
      </c>
      <c r="BM10" s="16" t="s">
        <v>4964</v>
      </c>
      <c r="BN10" s="16" t="s">
        <v>74</v>
      </c>
      <c r="BO10" s="16" t="s">
        <v>105</v>
      </c>
      <c r="BP10" s="16" t="s">
        <v>74</v>
      </c>
      <c r="BQ10" s="16" t="s">
        <v>74</v>
      </c>
      <c r="BR10" s="16" t="s">
        <v>12946</v>
      </c>
      <c r="BS10" s="16" t="s">
        <v>4965</v>
      </c>
      <c r="BT10" s="16">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7"/>
  <sheetViews>
    <sheetView workbookViewId="0">
      <selection sqref="A1:BT7"/>
    </sheetView>
  </sheetViews>
  <sheetFormatPr baseColWidth="10" defaultColWidth="8.7265625" defaultRowHeight="12.5" x14ac:dyDescent="0.25"/>
  <sheetData>
    <row r="1" spans="1:72" x14ac:dyDescent="0.25">
      <c r="A1" s="17" t="s">
        <v>0</v>
      </c>
      <c r="B1" s="17" t="s">
        <v>1</v>
      </c>
      <c r="C1" s="17" t="s">
        <v>2</v>
      </c>
      <c r="D1" s="17" t="s">
        <v>3</v>
      </c>
      <c r="E1" s="17" t="s">
        <v>4</v>
      </c>
      <c r="F1" s="17" t="s">
        <v>5</v>
      </c>
      <c r="G1" s="17" t="s">
        <v>6</v>
      </c>
      <c r="H1" s="17" t="s">
        <v>7</v>
      </c>
      <c r="I1" s="17" t="s">
        <v>8</v>
      </c>
      <c r="J1" s="17" t="s">
        <v>9</v>
      </c>
      <c r="K1" s="17" t="s">
        <v>10</v>
      </c>
      <c r="L1" s="17" t="s">
        <v>11</v>
      </c>
      <c r="M1" s="17" t="s">
        <v>12</v>
      </c>
      <c r="N1" s="17" t="s">
        <v>13</v>
      </c>
      <c r="O1" s="17" t="s">
        <v>14</v>
      </c>
      <c r="P1" s="17" t="s">
        <v>15</v>
      </c>
      <c r="Q1" s="17" t="s">
        <v>16</v>
      </c>
      <c r="R1" s="17" t="s">
        <v>17</v>
      </c>
      <c r="S1" s="17" t="s">
        <v>18</v>
      </c>
      <c r="T1" s="17" t="s">
        <v>19</v>
      </c>
      <c r="U1" s="17" t="s">
        <v>20</v>
      </c>
      <c r="V1" s="17" t="s">
        <v>21</v>
      </c>
      <c r="W1" s="17" t="s">
        <v>22</v>
      </c>
      <c r="X1" s="17" t="s">
        <v>23</v>
      </c>
      <c r="Y1" s="17" t="s">
        <v>24</v>
      </c>
      <c r="Z1" s="17" t="s">
        <v>25</v>
      </c>
      <c r="AA1" s="17" t="s">
        <v>26</v>
      </c>
      <c r="AB1" s="17" t="s">
        <v>27</v>
      </c>
      <c r="AC1" s="17" t="s">
        <v>28</v>
      </c>
      <c r="AD1" s="17" t="s">
        <v>29</v>
      </c>
      <c r="AE1" s="17" t="s">
        <v>30</v>
      </c>
      <c r="AF1" s="17" t="s">
        <v>31</v>
      </c>
      <c r="AG1" s="17" t="s">
        <v>32</v>
      </c>
      <c r="AH1" s="17" t="s">
        <v>33</v>
      </c>
      <c r="AI1" s="17" t="s">
        <v>34</v>
      </c>
      <c r="AJ1" s="17" t="s">
        <v>35</v>
      </c>
      <c r="AK1" s="17" t="s">
        <v>36</v>
      </c>
      <c r="AL1" s="17" t="s">
        <v>37</v>
      </c>
      <c r="AM1" s="17" t="s">
        <v>38</v>
      </c>
      <c r="AN1" s="17" t="s">
        <v>39</v>
      </c>
      <c r="AO1" s="17" t="s">
        <v>40</v>
      </c>
      <c r="AP1" s="17" t="s">
        <v>41</v>
      </c>
      <c r="AQ1" s="17" t="s">
        <v>42</v>
      </c>
      <c r="AR1" s="17" t="s">
        <v>43</v>
      </c>
      <c r="AS1" s="17" t="s">
        <v>44</v>
      </c>
      <c r="AT1" s="17" t="s">
        <v>45</v>
      </c>
      <c r="AU1" s="17" t="s">
        <v>46</v>
      </c>
      <c r="AV1" s="17" t="s">
        <v>47</v>
      </c>
      <c r="AW1" s="17" t="s">
        <v>48</v>
      </c>
      <c r="AX1" s="17" t="s">
        <v>49</v>
      </c>
      <c r="AY1" s="17" t="s">
        <v>50</v>
      </c>
      <c r="AZ1" s="17" t="s">
        <v>51</v>
      </c>
      <c r="BA1" s="17" t="s">
        <v>52</v>
      </c>
      <c r="BB1" s="17" t="s">
        <v>53</v>
      </c>
      <c r="BC1" s="17" t="s">
        <v>54</v>
      </c>
      <c r="BD1" s="17" t="s">
        <v>55</v>
      </c>
      <c r="BE1" s="17" t="s">
        <v>56</v>
      </c>
      <c r="BF1" s="17" t="s">
        <v>57</v>
      </c>
      <c r="BG1" s="17" t="s">
        <v>58</v>
      </c>
      <c r="BH1" s="17" t="s">
        <v>59</v>
      </c>
      <c r="BI1" s="17" t="s">
        <v>60</v>
      </c>
      <c r="BJ1" s="17" t="s">
        <v>61</v>
      </c>
      <c r="BK1" s="17" t="s">
        <v>62</v>
      </c>
      <c r="BL1" s="17" t="s">
        <v>63</v>
      </c>
      <c r="BM1" s="17" t="s">
        <v>64</v>
      </c>
      <c r="BN1" s="17" t="s">
        <v>65</v>
      </c>
      <c r="BO1" s="17" t="s">
        <v>66</v>
      </c>
      <c r="BP1" s="17" t="s">
        <v>67</v>
      </c>
      <c r="BQ1" s="17" t="s">
        <v>68</v>
      </c>
      <c r="BR1" s="17" t="s">
        <v>69</v>
      </c>
      <c r="BS1" s="17" t="s">
        <v>70</v>
      </c>
      <c r="BT1" s="17" t="s">
        <v>71</v>
      </c>
    </row>
    <row r="2" spans="1:72" x14ac:dyDescent="0.25">
      <c r="A2" s="17" t="s">
        <v>72</v>
      </c>
      <c r="B2" s="17" t="s">
        <v>7523</v>
      </c>
      <c r="C2" s="17" t="s">
        <v>74</v>
      </c>
      <c r="D2" s="17" t="s">
        <v>74</v>
      </c>
      <c r="E2" s="17" t="s">
        <v>74</v>
      </c>
      <c r="F2" s="17" t="s">
        <v>7524</v>
      </c>
      <c r="G2" s="17" t="s">
        <v>74</v>
      </c>
      <c r="H2" s="17" t="s">
        <v>74</v>
      </c>
      <c r="I2" s="17" t="s">
        <v>7525</v>
      </c>
      <c r="J2" s="17" t="s">
        <v>7526</v>
      </c>
      <c r="K2" s="17" t="s">
        <v>74</v>
      </c>
      <c r="L2" s="17" t="s">
        <v>74</v>
      </c>
      <c r="M2" s="17" t="s">
        <v>78</v>
      </c>
      <c r="N2" s="17" t="s">
        <v>79</v>
      </c>
      <c r="O2" s="17" t="s">
        <v>74</v>
      </c>
      <c r="P2" s="17" t="s">
        <v>74</v>
      </c>
      <c r="Q2" s="17" t="s">
        <v>74</v>
      </c>
      <c r="R2" s="17" t="s">
        <v>74</v>
      </c>
      <c r="S2" s="17" t="s">
        <v>74</v>
      </c>
      <c r="T2" s="17" t="s">
        <v>7527</v>
      </c>
      <c r="U2" s="17" t="s">
        <v>74</v>
      </c>
      <c r="V2" s="17" t="s">
        <v>7528</v>
      </c>
      <c r="W2" s="17" t="s">
        <v>7529</v>
      </c>
      <c r="X2" s="17" t="s">
        <v>74</v>
      </c>
      <c r="Y2" s="17" t="s">
        <v>7530</v>
      </c>
      <c r="Z2" s="17" t="s">
        <v>7531</v>
      </c>
      <c r="AA2" s="17" t="s">
        <v>74</v>
      </c>
      <c r="AB2" s="17" t="s">
        <v>13158</v>
      </c>
      <c r="AC2" s="17" t="s">
        <v>7532</v>
      </c>
      <c r="AD2" s="17" t="s">
        <v>7532</v>
      </c>
      <c r="AE2" s="17" t="s">
        <v>7533</v>
      </c>
      <c r="AF2" s="17" t="s">
        <v>74</v>
      </c>
      <c r="AG2" s="17">
        <v>38</v>
      </c>
      <c r="AH2" s="17">
        <v>10</v>
      </c>
      <c r="AI2" s="17">
        <v>11</v>
      </c>
      <c r="AJ2" s="17">
        <v>2</v>
      </c>
      <c r="AK2" s="17">
        <v>16</v>
      </c>
      <c r="AL2" s="17" t="s">
        <v>1468</v>
      </c>
      <c r="AM2" s="17" t="s">
        <v>175</v>
      </c>
      <c r="AN2" s="17" t="s">
        <v>1469</v>
      </c>
      <c r="AO2" s="17" t="s">
        <v>7534</v>
      </c>
      <c r="AP2" s="17" t="s">
        <v>7535</v>
      </c>
      <c r="AQ2" s="17" t="s">
        <v>74</v>
      </c>
      <c r="AR2" s="17" t="s">
        <v>7536</v>
      </c>
      <c r="AS2" s="17" t="s">
        <v>7537</v>
      </c>
      <c r="AT2" s="17" t="s">
        <v>1138</v>
      </c>
      <c r="AU2" s="17">
        <v>2021</v>
      </c>
      <c r="AV2" s="17">
        <v>80</v>
      </c>
      <c r="AW2" s="17">
        <v>4</v>
      </c>
      <c r="AX2" s="17" t="s">
        <v>74</v>
      </c>
      <c r="AY2" s="17" t="s">
        <v>74</v>
      </c>
      <c r="AZ2" s="17" t="s">
        <v>74</v>
      </c>
      <c r="BA2" s="17" t="s">
        <v>74</v>
      </c>
      <c r="BB2" s="17">
        <v>413</v>
      </c>
      <c r="BC2" s="17">
        <v>424</v>
      </c>
      <c r="BD2" s="17">
        <v>17896920981122</v>
      </c>
      <c r="BE2" s="17" t="s">
        <v>7538</v>
      </c>
      <c r="BF2" s="17">
        <v>0</v>
      </c>
      <c r="BG2" s="17" t="s">
        <v>74</v>
      </c>
      <c r="BH2" s="17" t="s">
        <v>7520</v>
      </c>
      <c r="BI2" s="17">
        <v>12</v>
      </c>
      <c r="BJ2" s="17" t="s">
        <v>7539</v>
      </c>
      <c r="BK2" s="17" t="s">
        <v>156</v>
      </c>
      <c r="BL2" s="17" t="s">
        <v>7539</v>
      </c>
      <c r="BM2" s="17" t="s">
        <v>7540</v>
      </c>
      <c r="BN2" s="17" t="s">
        <v>74</v>
      </c>
      <c r="BO2" s="17" t="s">
        <v>74</v>
      </c>
      <c r="BP2" s="17" t="s">
        <v>74</v>
      </c>
      <c r="BQ2" s="17" t="s">
        <v>74</v>
      </c>
      <c r="BR2" s="17" t="s">
        <v>12946</v>
      </c>
      <c r="BS2" s="17" t="s">
        <v>7541</v>
      </c>
      <c r="BT2" s="17">
        <v>0</v>
      </c>
    </row>
    <row r="3" spans="1:72" x14ac:dyDescent="0.25">
      <c r="A3" s="17" t="s">
        <v>72</v>
      </c>
      <c r="B3" s="17" t="s">
        <v>6854</v>
      </c>
      <c r="C3" s="17" t="s">
        <v>74</v>
      </c>
      <c r="D3" s="17" t="s">
        <v>74</v>
      </c>
      <c r="E3" s="17" t="s">
        <v>74</v>
      </c>
      <c r="F3" s="17" t="s">
        <v>6855</v>
      </c>
      <c r="G3" s="17" t="s">
        <v>74</v>
      </c>
      <c r="H3" s="17" t="s">
        <v>74</v>
      </c>
      <c r="I3" s="17" t="s">
        <v>6856</v>
      </c>
      <c r="J3" s="17" t="s">
        <v>6857</v>
      </c>
      <c r="K3" s="17" t="s">
        <v>74</v>
      </c>
      <c r="L3" s="17" t="s">
        <v>74</v>
      </c>
      <c r="M3" s="17" t="s">
        <v>78</v>
      </c>
      <c r="N3" s="17" t="s">
        <v>79</v>
      </c>
      <c r="O3" s="17" t="s">
        <v>74</v>
      </c>
      <c r="P3" s="17" t="s">
        <v>74</v>
      </c>
      <c r="Q3" s="17" t="s">
        <v>74</v>
      </c>
      <c r="R3" s="17" t="s">
        <v>74</v>
      </c>
      <c r="S3" s="17" t="s">
        <v>74</v>
      </c>
      <c r="T3" s="17" t="s">
        <v>6858</v>
      </c>
      <c r="U3" s="17" t="s">
        <v>6859</v>
      </c>
      <c r="V3" s="17" t="s">
        <v>6860</v>
      </c>
      <c r="W3" s="17" t="s">
        <v>6861</v>
      </c>
      <c r="X3" s="17" t="s">
        <v>13166</v>
      </c>
      <c r="Y3" s="17" t="s">
        <v>6863</v>
      </c>
      <c r="Z3" s="17" t="s">
        <v>6864</v>
      </c>
      <c r="AA3" s="17" t="s">
        <v>13167</v>
      </c>
      <c r="AB3" s="17" t="s">
        <v>6865</v>
      </c>
      <c r="AC3" s="17" t="s">
        <v>6866</v>
      </c>
      <c r="AD3" s="17" t="s">
        <v>6867</v>
      </c>
      <c r="AE3" s="17" t="s">
        <v>6868</v>
      </c>
      <c r="AF3" s="17" t="s">
        <v>74</v>
      </c>
      <c r="AG3" s="17">
        <v>56</v>
      </c>
      <c r="AH3" s="17">
        <v>8</v>
      </c>
      <c r="AI3" s="17">
        <v>8</v>
      </c>
      <c r="AJ3" s="17">
        <v>4</v>
      </c>
      <c r="AK3" s="17">
        <v>30</v>
      </c>
      <c r="AL3" s="17" t="s">
        <v>4079</v>
      </c>
      <c r="AM3" s="17" t="s">
        <v>4080</v>
      </c>
      <c r="AN3" s="17" t="s">
        <v>4081</v>
      </c>
      <c r="AO3" s="17" t="s">
        <v>6869</v>
      </c>
      <c r="AP3" s="17" t="s">
        <v>74</v>
      </c>
      <c r="AQ3" s="17" t="s">
        <v>74</v>
      </c>
      <c r="AR3" s="17" t="s">
        <v>6870</v>
      </c>
      <c r="AS3" s="17" t="s">
        <v>6871</v>
      </c>
      <c r="AT3" s="17" t="s">
        <v>1683</v>
      </c>
      <c r="AU3" s="17">
        <v>2021</v>
      </c>
      <c r="AV3" s="17">
        <v>26</v>
      </c>
      <c r="AW3" s="17">
        <v>2</v>
      </c>
      <c r="AX3" s="17" t="s">
        <v>74</v>
      </c>
      <c r="AY3" s="17" t="s">
        <v>74</v>
      </c>
      <c r="AZ3" s="17" t="s">
        <v>74</v>
      </c>
      <c r="BA3" s="17" t="s">
        <v>74</v>
      </c>
      <c r="BB3" s="17">
        <v>55</v>
      </c>
      <c r="BC3" s="17">
        <v>71</v>
      </c>
      <c r="BD3" s="17" t="s">
        <v>74</v>
      </c>
      <c r="BE3" s="17" t="s">
        <v>6872</v>
      </c>
      <c r="BF3" s="17">
        <v>0</v>
      </c>
      <c r="BG3" s="17" t="s">
        <v>74</v>
      </c>
      <c r="BH3" s="17" t="s">
        <v>6817</v>
      </c>
      <c r="BI3" s="17">
        <v>17</v>
      </c>
      <c r="BJ3" s="17" t="s">
        <v>6873</v>
      </c>
      <c r="BK3" s="17" t="s">
        <v>156</v>
      </c>
      <c r="BL3" s="17" t="s">
        <v>6873</v>
      </c>
      <c r="BM3" s="17" t="s">
        <v>6874</v>
      </c>
      <c r="BN3" s="17" t="s">
        <v>74</v>
      </c>
      <c r="BO3" s="17" t="s">
        <v>74</v>
      </c>
      <c r="BP3" s="17" t="s">
        <v>74</v>
      </c>
      <c r="BQ3" s="17" t="s">
        <v>74</v>
      </c>
      <c r="BR3" s="17" t="s">
        <v>12946</v>
      </c>
      <c r="BS3" s="17" t="s">
        <v>6875</v>
      </c>
      <c r="BT3" s="17">
        <v>0</v>
      </c>
    </row>
    <row r="4" spans="1:72" x14ac:dyDescent="0.25">
      <c r="A4" s="17" t="s">
        <v>72</v>
      </c>
      <c r="B4" s="17" t="s">
        <v>5223</v>
      </c>
      <c r="C4" s="17" t="s">
        <v>74</v>
      </c>
      <c r="D4" s="17" t="s">
        <v>74</v>
      </c>
      <c r="E4" s="17" t="s">
        <v>74</v>
      </c>
      <c r="F4" s="17" t="s">
        <v>5224</v>
      </c>
      <c r="G4" s="17" t="s">
        <v>74</v>
      </c>
      <c r="H4" s="17" t="s">
        <v>74</v>
      </c>
      <c r="I4" s="17" t="s">
        <v>5225</v>
      </c>
      <c r="J4" s="17" t="s">
        <v>5226</v>
      </c>
      <c r="K4" s="17" t="s">
        <v>74</v>
      </c>
      <c r="L4" s="17" t="s">
        <v>74</v>
      </c>
      <c r="M4" s="17" t="s">
        <v>929</v>
      </c>
      <c r="N4" s="17" t="s">
        <v>79</v>
      </c>
      <c r="O4" s="17" t="s">
        <v>74</v>
      </c>
      <c r="P4" s="17" t="s">
        <v>74</v>
      </c>
      <c r="Q4" s="17" t="s">
        <v>74</v>
      </c>
      <c r="R4" s="17" t="s">
        <v>74</v>
      </c>
      <c r="S4" s="17" t="s">
        <v>74</v>
      </c>
      <c r="T4" s="17" t="s">
        <v>5227</v>
      </c>
      <c r="U4" s="17" t="s">
        <v>5228</v>
      </c>
      <c r="V4" s="17" t="s">
        <v>5229</v>
      </c>
      <c r="W4" s="17" t="s">
        <v>5230</v>
      </c>
      <c r="X4" s="17" t="s">
        <v>5231</v>
      </c>
      <c r="Y4" s="17" t="s">
        <v>5232</v>
      </c>
      <c r="Z4" s="17" t="s">
        <v>5233</v>
      </c>
      <c r="AA4" s="17" t="s">
        <v>5234</v>
      </c>
      <c r="AB4" s="17" t="s">
        <v>74</v>
      </c>
      <c r="AC4" s="17" t="s">
        <v>74</v>
      </c>
      <c r="AD4" s="17" t="s">
        <v>74</v>
      </c>
      <c r="AE4" s="17" t="s">
        <v>74</v>
      </c>
      <c r="AF4" s="17" t="s">
        <v>74</v>
      </c>
      <c r="AG4" s="17">
        <v>32</v>
      </c>
      <c r="AH4" s="17">
        <v>3</v>
      </c>
      <c r="AI4" s="17">
        <v>3</v>
      </c>
      <c r="AJ4" s="17">
        <v>2</v>
      </c>
      <c r="AK4" s="17">
        <v>10</v>
      </c>
      <c r="AL4" s="17" t="s">
        <v>5235</v>
      </c>
      <c r="AM4" s="17" t="s">
        <v>5236</v>
      </c>
      <c r="AN4" s="17" t="s">
        <v>5237</v>
      </c>
      <c r="AO4" s="17" t="s">
        <v>5238</v>
      </c>
      <c r="AP4" s="17" t="s">
        <v>5239</v>
      </c>
      <c r="AQ4" s="17" t="s">
        <v>74</v>
      </c>
      <c r="AR4" s="17" t="s">
        <v>5240</v>
      </c>
      <c r="AS4" s="17" t="s">
        <v>5241</v>
      </c>
      <c r="AT4" s="17" t="s">
        <v>74</v>
      </c>
      <c r="AU4" s="17">
        <v>2022</v>
      </c>
      <c r="AV4" s="17">
        <v>49</v>
      </c>
      <c r="AW4" s="17">
        <v>90</v>
      </c>
      <c r="AX4" s="17" t="s">
        <v>74</v>
      </c>
      <c r="AY4" s="17" t="s">
        <v>74</v>
      </c>
      <c r="AZ4" s="17" t="s">
        <v>74</v>
      </c>
      <c r="BA4" s="17" t="s">
        <v>74</v>
      </c>
      <c r="BB4" s="17">
        <v>53</v>
      </c>
      <c r="BC4" s="17">
        <v>80</v>
      </c>
      <c r="BD4" s="17" t="s">
        <v>74</v>
      </c>
      <c r="BE4" s="17" t="s">
        <v>5242</v>
      </c>
      <c r="BF4" s="17">
        <v>0</v>
      </c>
      <c r="BG4" s="17" t="s">
        <v>74</v>
      </c>
      <c r="BH4" s="17" t="s">
        <v>74</v>
      </c>
      <c r="BI4" s="17">
        <v>28</v>
      </c>
      <c r="BJ4" s="17" t="s">
        <v>942</v>
      </c>
      <c r="BK4" s="17" t="s">
        <v>183</v>
      </c>
      <c r="BL4" s="17" t="s">
        <v>943</v>
      </c>
      <c r="BM4" s="17" t="s">
        <v>5243</v>
      </c>
      <c r="BN4" s="17" t="s">
        <v>74</v>
      </c>
      <c r="BO4" s="17" t="s">
        <v>2162</v>
      </c>
      <c r="BP4" s="17" t="s">
        <v>74</v>
      </c>
      <c r="BQ4" s="17" t="s">
        <v>74</v>
      </c>
      <c r="BR4" s="17" t="s">
        <v>12946</v>
      </c>
      <c r="BS4" s="17" t="s">
        <v>5244</v>
      </c>
      <c r="BT4" s="17">
        <v>0</v>
      </c>
    </row>
    <row r="5" spans="1:72" x14ac:dyDescent="0.25">
      <c r="A5" s="17" t="s">
        <v>72</v>
      </c>
      <c r="B5" s="17" t="s">
        <v>6584</v>
      </c>
      <c r="C5" s="17" t="s">
        <v>74</v>
      </c>
      <c r="D5" s="17" t="s">
        <v>74</v>
      </c>
      <c r="E5" s="17" t="s">
        <v>74</v>
      </c>
      <c r="F5" s="17" t="s">
        <v>6585</v>
      </c>
      <c r="G5" s="17" t="s">
        <v>74</v>
      </c>
      <c r="H5" s="17" t="s">
        <v>74</v>
      </c>
      <c r="I5" s="17" t="s">
        <v>6586</v>
      </c>
      <c r="J5" s="17" t="s">
        <v>6587</v>
      </c>
      <c r="K5" s="17" t="s">
        <v>74</v>
      </c>
      <c r="L5" s="17" t="s">
        <v>74</v>
      </c>
      <c r="M5" s="17" t="s">
        <v>78</v>
      </c>
      <c r="N5" s="17" t="s">
        <v>79</v>
      </c>
      <c r="O5" s="17" t="s">
        <v>74</v>
      </c>
      <c r="P5" s="17" t="s">
        <v>74</v>
      </c>
      <c r="Q5" s="17" t="s">
        <v>74</v>
      </c>
      <c r="R5" s="17" t="s">
        <v>74</v>
      </c>
      <c r="S5" s="17" t="s">
        <v>74</v>
      </c>
      <c r="T5" s="17" t="s">
        <v>6588</v>
      </c>
      <c r="U5" s="17" t="s">
        <v>6589</v>
      </c>
      <c r="V5" s="17" t="s">
        <v>6590</v>
      </c>
      <c r="W5" s="17" t="s">
        <v>6591</v>
      </c>
      <c r="X5" s="17" t="s">
        <v>6592</v>
      </c>
      <c r="Y5" s="17" t="s">
        <v>6593</v>
      </c>
      <c r="Z5" s="17" t="s">
        <v>6594</v>
      </c>
      <c r="AA5" s="17" t="s">
        <v>74</v>
      </c>
      <c r="AB5" s="17" t="s">
        <v>13200</v>
      </c>
      <c r="AC5" s="17" t="s">
        <v>74</v>
      </c>
      <c r="AD5" s="17" t="s">
        <v>74</v>
      </c>
      <c r="AE5" s="17" t="s">
        <v>74</v>
      </c>
      <c r="AF5" s="17" t="s">
        <v>74</v>
      </c>
      <c r="AG5" s="17">
        <v>22</v>
      </c>
      <c r="AH5" s="17">
        <v>3</v>
      </c>
      <c r="AI5" s="17">
        <v>4</v>
      </c>
      <c r="AJ5" s="17">
        <v>1</v>
      </c>
      <c r="AK5" s="17">
        <v>2</v>
      </c>
      <c r="AL5" s="17" t="s">
        <v>2128</v>
      </c>
      <c r="AM5" s="17" t="s">
        <v>2129</v>
      </c>
      <c r="AN5" s="17" t="s">
        <v>3823</v>
      </c>
      <c r="AO5" s="17" t="s">
        <v>6596</v>
      </c>
      <c r="AP5" s="17" t="s">
        <v>74</v>
      </c>
      <c r="AQ5" s="17" t="s">
        <v>74</v>
      </c>
      <c r="AR5" s="17" t="s">
        <v>6597</v>
      </c>
      <c r="AS5" s="17" t="s">
        <v>6598</v>
      </c>
      <c r="AT5" s="17" t="s">
        <v>4456</v>
      </c>
      <c r="AU5" s="17">
        <v>2021</v>
      </c>
      <c r="AV5" s="17">
        <v>4</v>
      </c>
      <c r="AW5" s="17">
        <v>2</v>
      </c>
      <c r="AX5" s="17" t="s">
        <v>74</v>
      </c>
      <c r="AY5" s="17" t="s">
        <v>74</v>
      </c>
      <c r="AZ5" s="17" t="s">
        <v>74</v>
      </c>
      <c r="BA5" s="17" t="s">
        <v>74</v>
      </c>
      <c r="BB5" s="17" t="s">
        <v>74</v>
      </c>
      <c r="BC5" s="17" t="s">
        <v>74</v>
      </c>
      <c r="BD5" s="17" t="s">
        <v>6599</v>
      </c>
      <c r="BE5" s="17" t="s">
        <v>6600</v>
      </c>
      <c r="BF5" s="17">
        <v>0</v>
      </c>
      <c r="BG5" s="17" t="s">
        <v>74</v>
      </c>
      <c r="BH5" s="17" t="s">
        <v>74</v>
      </c>
      <c r="BI5" s="17">
        <v>15</v>
      </c>
      <c r="BJ5" s="17" t="s">
        <v>6601</v>
      </c>
      <c r="BK5" s="17" t="s">
        <v>183</v>
      </c>
      <c r="BL5" s="17" t="s">
        <v>6601</v>
      </c>
      <c r="BM5" s="17" t="s">
        <v>6602</v>
      </c>
      <c r="BN5" s="17">
        <v>33904826</v>
      </c>
      <c r="BO5" s="17" t="s">
        <v>614</v>
      </c>
      <c r="BP5" s="17" t="s">
        <v>74</v>
      </c>
      <c r="BQ5" s="17" t="s">
        <v>74</v>
      </c>
      <c r="BR5" s="17" t="s">
        <v>12946</v>
      </c>
      <c r="BS5" s="17" t="s">
        <v>6603</v>
      </c>
      <c r="BT5" s="17">
        <v>0</v>
      </c>
    </row>
    <row r="6" spans="1:72" x14ac:dyDescent="0.25">
      <c r="A6" s="17" t="s">
        <v>72</v>
      </c>
      <c r="B6" s="17" t="s">
        <v>11560</v>
      </c>
      <c r="C6" s="17" t="s">
        <v>74</v>
      </c>
      <c r="D6" s="17" t="s">
        <v>74</v>
      </c>
      <c r="E6" s="17" t="s">
        <v>74</v>
      </c>
      <c r="F6" s="17" t="s">
        <v>11561</v>
      </c>
      <c r="G6" s="17" t="s">
        <v>74</v>
      </c>
      <c r="H6" s="17" t="s">
        <v>74</v>
      </c>
      <c r="I6" s="17" t="s">
        <v>11562</v>
      </c>
      <c r="J6" s="17" t="s">
        <v>9531</v>
      </c>
      <c r="K6" s="17" t="s">
        <v>74</v>
      </c>
      <c r="L6" s="17" t="s">
        <v>74</v>
      </c>
      <c r="M6" s="17" t="s">
        <v>78</v>
      </c>
      <c r="N6" s="17" t="s">
        <v>79</v>
      </c>
      <c r="O6" s="17" t="s">
        <v>74</v>
      </c>
      <c r="P6" s="17" t="s">
        <v>74</v>
      </c>
      <c r="Q6" s="17" t="s">
        <v>74</v>
      </c>
      <c r="R6" s="17" t="s">
        <v>74</v>
      </c>
      <c r="S6" s="17" t="s">
        <v>74</v>
      </c>
      <c r="T6" s="17" t="s">
        <v>74</v>
      </c>
      <c r="U6" s="17" t="s">
        <v>74</v>
      </c>
      <c r="V6" s="17" t="s">
        <v>11563</v>
      </c>
      <c r="W6" s="17" t="s">
        <v>11564</v>
      </c>
      <c r="X6" s="17" t="s">
        <v>11565</v>
      </c>
      <c r="Y6" s="17" t="s">
        <v>11566</v>
      </c>
      <c r="Z6" s="17" t="s">
        <v>11567</v>
      </c>
      <c r="AA6" s="17" t="s">
        <v>74</v>
      </c>
      <c r="AB6" s="17" t="s">
        <v>74</v>
      </c>
      <c r="AC6" s="17" t="s">
        <v>74</v>
      </c>
      <c r="AD6" s="17" t="s">
        <v>74</v>
      </c>
      <c r="AE6" s="17" t="s">
        <v>74</v>
      </c>
      <c r="AF6" s="17" t="s">
        <v>74</v>
      </c>
      <c r="AG6" s="17">
        <v>46</v>
      </c>
      <c r="AH6" s="17">
        <v>2</v>
      </c>
      <c r="AI6" s="17">
        <v>2</v>
      </c>
      <c r="AJ6" s="17">
        <v>0</v>
      </c>
      <c r="AK6" s="17">
        <v>1</v>
      </c>
      <c r="AL6" s="17" t="s">
        <v>9536</v>
      </c>
      <c r="AM6" s="17" t="s">
        <v>9537</v>
      </c>
      <c r="AN6" s="17" t="s">
        <v>9538</v>
      </c>
      <c r="AO6" s="17" t="s">
        <v>9539</v>
      </c>
      <c r="AP6" s="17" t="s">
        <v>9540</v>
      </c>
      <c r="AQ6" s="17" t="s">
        <v>74</v>
      </c>
      <c r="AR6" s="17" t="s">
        <v>9541</v>
      </c>
      <c r="AS6" s="17" t="s">
        <v>9542</v>
      </c>
      <c r="AT6" s="17" t="s">
        <v>74</v>
      </c>
      <c r="AU6" s="17">
        <v>2015</v>
      </c>
      <c r="AV6" s="17">
        <v>26</v>
      </c>
      <c r="AW6" s="17" t="s">
        <v>74</v>
      </c>
      <c r="AX6" s="17" t="s">
        <v>74</v>
      </c>
      <c r="AY6" s="17" t="s">
        <v>74</v>
      </c>
      <c r="AZ6" s="17" t="s">
        <v>74</v>
      </c>
      <c r="BA6" s="17" t="s">
        <v>74</v>
      </c>
      <c r="BB6" s="17">
        <v>95</v>
      </c>
      <c r="BC6" s="17">
        <v>114</v>
      </c>
      <c r="BD6" s="17" t="s">
        <v>74</v>
      </c>
      <c r="BE6" s="17" t="s">
        <v>74</v>
      </c>
      <c r="BF6" s="17" t="s">
        <v>74</v>
      </c>
      <c r="BG6" s="17" t="s">
        <v>74</v>
      </c>
      <c r="BH6" s="17" t="s">
        <v>74</v>
      </c>
      <c r="BI6" s="17">
        <v>20</v>
      </c>
      <c r="BJ6" s="17" t="s">
        <v>8769</v>
      </c>
      <c r="BK6" s="17" t="s">
        <v>183</v>
      </c>
      <c r="BL6" s="17" t="s">
        <v>8769</v>
      </c>
      <c r="BM6" s="17" t="s">
        <v>11568</v>
      </c>
      <c r="BN6" s="17" t="s">
        <v>74</v>
      </c>
      <c r="BO6" s="17" t="s">
        <v>74</v>
      </c>
      <c r="BP6" s="17" t="s">
        <v>74</v>
      </c>
      <c r="BQ6" s="17" t="s">
        <v>74</v>
      </c>
      <c r="BR6" s="17" t="s">
        <v>12946</v>
      </c>
      <c r="BS6" s="17" t="s">
        <v>11569</v>
      </c>
      <c r="BT6" s="17">
        <v>0</v>
      </c>
    </row>
    <row r="7" spans="1:72" x14ac:dyDescent="0.25">
      <c r="A7" s="17" t="s">
        <v>72</v>
      </c>
      <c r="B7" s="17" t="s">
        <v>5792</v>
      </c>
      <c r="C7" s="17" t="s">
        <v>74</v>
      </c>
      <c r="D7" s="17" t="s">
        <v>74</v>
      </c>
      <c r="E7" s="17" t="s">
        <v>74</v>
      </c>
      <c r="F7" s="17" t="s">
        <v>5793</v>
      </c>
      <c r="G7" s="17" t="s">
        <v>74</v>
      </c>
      <c r="H7" s="17" t="s">
        <v>74</v>
      </c>
      <c r="I7" s="17" t="s">
        <v>5794</v>
      </c>
      <c r="J7" s="17" t="s">
        <v>5795</v>
      </c>
      <c r="K7" s="17" t="s">
        <v>74</v>
      </c>
      <c r="L7" s="17" t="s">
        <v>74</v>
      </c>
      <c r="M7" s="17" t="s">
        <v>78</v>
      </c>
      <c r="N7" s="17" t="s">
        <v>79</v>
      </c>
      <c r="O7" s="17" t="s">
        <v>74</v>
      </c>
      <c r="P7" s="17" t="s">
        <v>74</v>
      </c>
      <c r="Q7" s="17" t="s">
        <v>74</v>
      </c>
      <c r="R7" s="17" t="s">
        <v>74</v>
      </c>
      <c r="S7" s="17" t="s">
        <v>74</v>
      </c>
      <c r="T7" s="17" t="s">
        <v>5796</v>
      </c>
      <c r="U7" s="17" t="s">
        <v>74</v>
      </c>
      <c r="V7" s="17" t="s">
        <v>5797</v>
      </c>
      <c r="W7" s="17" t="s">
        <v>5798</v>
      </c>
      <c r="X7" s="17" t="s">
        <v>5799</v>
      </c>
      <c r="Y7" s="17" t="s">
        <v>5800</v>
      </c>
      <c r="Z7" s="17" t="s">
        <v>5801</v>
      </c>
      <c r="AA7" s="17" t="s">
        <v>74</v>
      </c>
      <c r="AB7" s="17" t="s">
        <v>5802</v>
      </c>
      <c r="AC7" s="17" t="s">
        <v>74</v>
      </c>
      <c r="AD7" s="17" t="s">
        <v>74</v>
      </c>
      <c r="AE7" s="17" t="s">
        <v>74</v>
      </c>
      <c r="AF7" s="17" t="s">
        <v>74</v>
      </c>
      <c r="AG7" s="17">
        <v>61</v>
      </c>
      <c r="AH7" s="17">
        <v>0</v>
      </c>
      <c r="AI7" s="17">
        <v>0</v>
      </c>
      <c r="AJ7" s="17">
        <v>0</v>
      </c>
      <c r="AK7" s="17">
        <v>3</v>
      </c>
      <c r="AL7" s="17" t="s">
        <v>492</v>
      </c>
      <c r="AM7" s="17" t="s">
        <v>493</v>
      </c>
      <c r="AN7" s="17" t="s">
        <v>494</v>
      </c>
      <c r="AO7" s="17" t="s">
        <v>5803</v>
      </c>
      <c r="AP7" s="17" t="s">
        <v>5804</v>
      </c>
      <c r="AQ7" s="17" t="s">
        <v>74</v>
      </c>
      <c r="AR7" s="17" t="s">
        <v>5805</v>
      </c>
      <c r="AS7" s="17" t="s">
        <v>5806</v>
      </c>
      <c r="AT7" s="17" t="s">
        <v>3237</v>
      </c>
      <c r="AU7" s="17">
        <v>2021</v>
      </c>
      <c r="AV7" s="17">
        <v>18</v>
      </c>
      <c r="AW7" s="17">
        <v>3</v>
      </c>
      <c r="AX7" s="17" t="s">
        <v>74</v>
      </c>
      <c r="AY7" s="17" t="s">
        <v>74</v>
      </c>
      <c r="AZ7" s="17" t="s">
        <v>1020</v>
      </c>
      <c r="BA7" s="17" t="s">
        <v>74</v>
      </c>
      <c r="BB7" s="17">
        <v>195</v>
      </c>
      <c r="BC7" s="17">
        <v>211</v>
      </c>
      <c r="BD7" s="17" t="s">
        <v>74</v>
      </c>
      <c r="BE7" s="17" t="s">
        <v>5807</v>
      </c>
      <c r="BF7" s="17">
        <v>0</v>
      </c>
      <c r="BG7" s="17" t="s">
        <v>74</v>
      </c>
      <c r="BH7" s="17" t="s">
        <v>5683</v>
      </c>
      <c r="BI7" s="17">
        <v>17</v>
      </c>
      <c r="BJ7" s="17" t="s">
        <v>5808</v>
      </c>
      <c r="BK7" s="17" t="s">
        <v>183</v>
      </c>
      <c r="BL7" s="17" t="s">
        <v>5809</v>
      </c>
      <c r="BM7" s="17" t="s">
        <v>5810</v>
      </c>
      <c r="BN7" s="17" t="s">
        <v>74</v>
      </c>
      <c r="BO7" s="17" t="s">
        <v>74</v>
      </c>
      <c r="BP7" s="17" t="s">
        <v>74</v>
      </c>
      <c r="BQ7" s="17" t="s">
        <v>74</v>
      </c>
      <c r="BR7" s="17" t="s">
        <v>12946</v>
      </c>
      <c r="BS7" s="17" t="s">
        <v>5811</v>
      </c>
      <c r="BT7" s="17">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7"/>
  <sheetViews>
    <sheetView workbookViewId="0">
      <selection sqref="A1:BT7"/>
    </sheetView>
  </sheetViews>
  <sheetFormatPr baseColWidth="10" defaultColWidth="8.7265625" defaultRowHeight="12.5" x14ac:dyDescent="0.25"/>
  <sheetData>
    <row r="1" spans="1:72" x14ac:dyDescent="0.25">
      <c r="A1" s="18" t="s">
        <v>0</v>
      </c>
      <c r="B1" s="18" t="s">
        <v>1</v>
      </c>
      <c r="C1" s="18" t="s">
        <v>2</v>
      </c>
      <c r="D1" s="18" t="s">
        <v>3</v>
      </c>
      <c r="E1" s="18" t="s">
        <v>4</v>
      </c>
      <c r="F1" s="18" t="s">
        <v>5</v>
      </c>
      <c r="G1" s="18" t="s">
        <v>6</v>
      </c>
      <c r="H1" s="18" t="s">
        <v>7</v>
      </c>
      <c r="I1" s="18" t="s">
        <v>8</v>
      </c>
      <c r="J1" s="18" t="s">
        <v>9</v>
      </c>
      <c r="K1" s="18" t="s">
        <v>10</v>
      </c>
      <c r="L1" s="18" t="s">
        <v>11</v>
      </c>
      <c r="M1" s="18" t="s">
        <v>12</v>
      </c>
      <c r="N1" s="18" t="s">
        <v>13</v>
      </c>
      <c r="O1" s="18" t="s">
        <v>14</v>
      </c>
      <c r="P1" s="18" t="s">
        <v>15</v>
      </c>
      <c r="Q1" s="18" t="s">
        <v>16</v>
      </c>
      <c r="R1" s="18" t="s">
        <v>17</v>
      </c>
      <c r="S1" s="18" t="s">
        <v>18</v>
      </c>
      <c r="T1" s="18" t="s">
        <v>19</v>
      </c>
      <c r="U1" s="18" t="s">
        <v>20</v>
      </c>
      <c r="V1" s="18" t="s">
        <v>21</v>
      </c>
      <c r="W1" s="18" t="s">
        <v>22</v>
      </c>
      <c r="X1" s="18" t="s">
        <v>23</v>
      </c>
      <c r="Y1" s="18" t="s">
        <v>24</v>
      </c>
      <c r="Z1" s="18" t="s">
        <v>25</v>
      </c>
      <c r="AA1" s="18" t="s">
        <v>26</v>
      </c>
      <c r="AB1" s="18" t="s">
        <v>27</v>
      </c>
      <c r="AC1" s="18" t="s">
        <v>28</v>
      </c>
      <c r="AD1" s="18" t="s">
        <v>29</v>
      </c>
      <c r="AE1" s="18" t="s">
        <v>30</v>
      </c>
      <c r="AF1" s="18" t="s">
        <v>31</v>
      </c>
      <c r="AG1" s="18" t="s">
        <v>32</v>
      </c>
      <c r="AH1" s="18" t="s">
        <v>33</v>
      </c>
      <c r="AI1" s="18" t="s">
        <v>34</v>
      </c>
      <c r="AJ1" s="18" t="s">
        <v>35</v>
      </c>
      <c r="AK1" s="18" t="s">
        <v>36</v>
      </c>
      <c r="AL1" s="18" t="s">
        <v>37</v>
      </c>
      <c r="AM1" s="18" t="s">
        <v>38</v>
      </c>
      <c r="AN1" s="18" t="s">
        <v>39</v>
      </c>
      <c r="AO1" s="18" t="s">
        <v>40</v>
      </c>
      <c r="AP1" s="18" t="s">
        <v>41</v>
      </c>
      <c r="AQ1" s="18" t="s">
        <v>42</v>
      </c>
      <c r="AR1" s="18" t="s">
        <v>43</v>
      </c>
      <c r="AS1" s="18" t="s">
        <v>44</v>
      </c>
      <c r="AT1" s="18" t="s">
        <v>45</v>
      </c>
      <c r="AU1" s="18" t="s">
        <v>46</v>
      </c>
      <c r="AV1" s="18" t="s">
        <v>47</v>
      </c>
      <c r="AW1" s="18" t="s">
        <v>48</v>
      </c>
      <c r="AX1" s="18" t="s">
        <v>49</v>
      </c>
      <c r="AY1" s="18" t="s">
        <v>50</v>
      </c>
      <c r="AZ1" s="18" t="s">
        <v>51</v>
      </c>
      <c r="BA1" s="18" t="s">
        <v>52</v>
      </c>
      <c r="BB1" s="18" t="s">
        <v>53</v>
      </c>
      <c r="BC1" s="18" t="s">
        <v>54</v>
      </c>
      <c r="BD1" s="18" t="s">
        <v>55</v>
      </c>
      <c r="BE1" s="18" t="s">
        <v>56</v>
      </c>
      <c r="BF1" s="18" t="s">
        <v>57</v>
      </c>
      <c r="BG1" s="18" t="s">
        <v>58</v>
      </c>
      <c r="BH1" s="18" t="s">
        <v>59</v>
      </c>
      <c r="BI1" s="18" t="s">
        <v>60</v>
      </c>
      <c r="BJ1" s="18" t="s">
        <v>61</v>
      </c>
      <c r="BK1" s="18" t="s">
        <v>62</v>
      </c>
      <c r="BL1" s="18" t="s">
        <v>63</v>
      </c>
      <c r="BM1" s="18" t="s">
        <v>64</v>
      </c>
      <c r="BN1" s="18" t="s">
        <v>65</v>
      </c>
      <c r="BO1" s="18" t="s">
        <v>66</v>
      </c>
      <c r="BP1" s="18" t="s">
        <v>67</v>
      </c>
      <c r="BQ1" s="18" t="s">
        <v>68</v>
      </c>
      <c r="BR1" s="18" t="s">
        <v>69</v>
      </c>
      <c r="BS1" s="18" t="s">
        <v>70</v>
      </c>
      <c r="BT1" s="18" t="s">
        <v>71</v>
      </c>
    </row>
    <row r="2" spans="1:72" x14ac:dyDescent="0.25">
      <c r="A2" s="18" t="s">
        <v>72</v>
      </c>
      <c r="B2" s="18" t="s">
        <v>8393</v>
      </c>
      <c r="C2" s="18" t="s">
        <v>74</v>
      </c>
      <c r="D2" s="18" t="s">
        <v>74</v>
      </c>
      <c r="E2" s="18" t="s">
        <v>74</v>
      </c>
      <c r="F2" s="18" t="s">
        <v>8394</v>
      </c>
      <c r="G2" s="18" t="s">
        <v>74</v>
      </c>
      <c r="H2" s="18" t="s">
        <v>74</v>
      </c>
      <c r="I2" s="18" t="s">
        <v>8395</v>
      </c>
      <c r="J2" s="18" t="s">
        <v>4969</v>
      </c>
      <c r="K2" s="18" t="s">
        <v>74</v>
      </c>
      <c r="L2" s="18" t="s">
        <v>74</v>
      </c>
      <c r="M2" s="18" t="s">
        <v>78</v>
      </c>
      <c r="N2" s="18" t="s">
        <v>79</v>
      </c>
      <c r="O2" s="18" t="s">
        <v>74</v>
      </c>
      <c r="P2" s="18" t="s">
        <v>74</v>
      </c>
      <c r="Q2" s="18" t="s">
        <v>74</v>
      </c>
      <c r="R2" s="18" t="s">
        <v>74</v>
      </c>
      <c r="S2" s="18" t="s">
        <v>74</v>
      </c>
      <c r="T2" s="18" t="s">
        <v>8396</v>
      </c>
      <c r="U2" s="18" t="s">
        <v>74</v>
      </c>
      <c r="V2" s="18" t="s">
        <v>8397</v>
      </c>
      <c r="W2" s="18" t="s">
        <v>8398</v>
      </c>
      <c r="X2" s="18" t="s">
        <v>8399</v>
      </c>
      <c r="Y2" s="18" t="s">
        <v>8400</v>
      </c>
      <c r="Z2" s="18" t="s">
        <v>8401</v>
      </c>
      <c r="AA2" s="18" t="s">
        <v>74</v>
      </c>
      <c r="AB2" s="18" t="s">
        <v>74</v>
      </c>
      <c r="AC2" s="18" t="s">
        <v>74</v>
      </c>
      <c r="AD2" s="18" t="s">
        <v>74</v>
      </c>
      <c r="AE2" s="18" t="s">
        <v>74</v>
      </c>
      <c r="AF2" s="18" t="s">
        <v>74</v>
      </c>
      <c r="AG2" s="18">
        <v>39</v>
      </c>
      <c r="AH2" s="18">
        <v>9</v>
      </c>
      <c r="AI2" s="18">
        <v>10</v>
      </c>
      <c r="AJ2" s="18">
        <v>0</v>
      </c>
      <c r="AK2" s="18">
        <v>9</v>
      </c>
      <c r="AL2" s="18" t="s">
        <v>4977</v>
      </c>
      <c r="AM2" s="18" t="s">
        <v>4978</v>
      </c>
      <c r="AN2" s="18" t="s">
        <v>4979</v>
      </c>
      <c r="AO2" s="18" t="s">
        <v>4980</v>
      </c>
      <c r="AP2" s="18" t="s">
        <v>74</v>
      </c>
      <c r="AQ2" s="18" t="s">
        <v>74</v>
      </c>
      <c r="AR2" s="18" t="s">
        <v>4981</v>
      </c>
      <c r="AS2" s="18" t="s">
        <v>4982</v>
      </c>
      <c r="AT2" s="18" t="s">
        <v>74</v>
      </c>
      <c r="AU2" s="18">
        <v>2020</v>
      </c>
      <c r="AV2" s="18">
        <v>14</v>
      </c>
      <c r="AW2" s="18" t="s">
        <v>74</v>
      </c>
      <c r="AX2" s="18" t="s">
        <v>74</v>
      </c>
      <c r="AY2" s="18" t="s">
        <v>74</v>
      </c>
      <c r="AZ2" s="18" t="s">
        <v>74</v>
      </c>
      <c r="BA2" s="18" t="s">
        <v>74</v>
      </c>
      <c r="BB2" s="18">
        <v>1888</v>
      </c>
      <c r="BC2" s="18">
        <v>1910</v>
      </c>
      <c r="BD2" s="18" t="s">
        <v>74</v>
      </c>
      <c r="BE2" s="18" t="s">
        <v>74</v>
      </c>
      <c r="BF2" s="18" t="s">
        <v>74</v>
      </c>
      <c r="BG2" s="18" t="s">
        <v>74</v>
      </c>
      <c r="BH2" s="18" t="s">
        <v>74</v>
      </c>
      <c r="BI2" s="18">
        <v>23</v>
      </c>
      <c r="BJ2" s="18" t="s">
        <v>2218</v>
      </c>
      <c r="BK2" s="18" t="s">
        <v>156</v>
      </c>
      <c r="BL2" s="18" t="s">
        <v>2218</v>
      </c>
      <c r="BM2" s="18" t="s">
        <v>8402</v>
      </c>
      <c r="BN2" s="18" t="s">
        <v>74</v>
      </c>
      <c r="BO2" s="18" t="s">
        <v>74</v>
      </c>
      <c r="BP2" s="18" t="s">
        <v>74</v>
      </c>
      <c r="BQ2" s="18" t="s">
        <v>74</v>
      </c>
      <c r="BR2" s="18" t="s">
        <v>12946</v>
      </c>
      <c r="BS2" s="18" t="s">
        <v>8403</v>
      </c>
      <c r="BT2" s="18">
        <v>0</v>
      </c>
    </row>
    <row r="3" spans="1:72" x14ac:dyDescent="0.25">
      <c r="A3" s="18" t="s">
        <v>72</v>
      </c>
      <c r="B3" s="18" t="s">
        <v>4803</v>
      </c>
      <c r="C3" s="18" t="s">
        <v>74</v>
      </c>
      <c r="D3" s="18" t="s">
        <v>74</v>
      </c>
      <c r="E3" s="18" t="s">
        <v>74</v>
      </c>
      <c r="F3" s="18" t="s">
        <v>4804</v>
      </c>
      <c r="G3" s="18" t="s">
        <v>74</v>
      </c>
      <c r="H3" s="18" t="s">
        <v>74</v>
      </c>
      <c r="I3" s="18" t="s">
        <v>4805</v>
      </c>
      <c r="J3" s="18" t="s">
        <v>4806</v>
      </c>
      <c r="K3" s="18" t="s">
        <v>74</v>
      </c>
      <c r="L3" s="18" t="s">
        <v>74</v>
      </c>
      <c r="M3" s="18" t="s">
        <v>78</v>
      </c>
      <c r="N3" s="18" t="s">
        <v>79</v>
      </c>
      <c r="O3" s="18" t="s">
        <v>74</v>
      </c>
      <c r="P3" s="18" t="s">
        <v>74</v>
      </c>
      <c r="Q3" s="18" t="s">
        <v>74</v>
      </c>
      <c r="R3" s="18" t="s">
        <v>74</v>
      </c>
      <c r="S3" s="18" t="s">
        <v>74</v>
      </c>
      <c r="T3" s="18" t="s">
        <v>4807</v>
      </c>
      <c r="U3" s="18" t="s">
        <v>4808</v>
      </c>
      <c r="V3" s="18" t="s">
        <v>4809</v>
      </c>
      <c r="W3" s="18" t="s">
        <v>4810</v>
      </c>
      <c r="X3" s="18" t="s">
        <v>4811</v>
      </c>
      <c r="Y3" s="18" t="s">
        <v>4812</v>
      </c>
      <c r="Z3" s="18" t="s">
        <v>4813</v>
      </c>
      <c r="AA3" s="18" t="s">
        <v>13388</v>
      </c>
      <c r="AB3" s="18" t="s">
        <v>74</v>
      </c>
      <c r="AC3" s="18" t="s">
        <v>74</v>
      </c>
      <c r="AD3" s="18" t="s">
        <v>74</v>
      </c>
      <c r="AE3" s="18" t="s">
        <v>74</v>
      </c>
      <c r="AF3" s="18" t="s">
        <v>74</v>
      </c>
      <c r="AG3" s="18">
        <v>62</v>
      </c>
      <c r="AH3" s="18">
        <v>5</v>
      </c>
      <c r="AI3" s="18">
        <v>6</v>
      </c>
      <c r="AJ3" s="18">
        <v>3</v>
      </c>
      <c r="AK3" s="18">
        <v>7</v>
      </c>
      <c r="AL3" s="18" t="s">
        <v>492</v>
      </c>
      <c r="AM3" s="18" t="s">
        <v>493</v>
      </c>
      <c r="AN3" s="18" t="s">
        <v>494</v>
      </c>
      <c r="AO3" s="18" t="s">
        <v>4814</v>
      </c>
      <c r="AP3" s="18" t="s">
        <v>4815</v>
      </c>
      <c r="AQ3" s="18" t="s">
        <v>74</v>
      </c>
      <c r="AR3" s="18" t="s">
        <v>4816</v>
      </c>
      <c r="AS3" s="18" t="s">
        <v>4817</v>
      </c>
      <c r="AT3" s="18" t="s">
        <v>3505</v>
      </c>
      <c r="AU3" s="18">
        <v>2023</v>
      </c>
      <c r="AV3" s="18">
        <v>22</v>
      </c>
      <c r="AW3" s="18">
        <v>1</v>
      </c>
      <c r="AX3" s="18" t="s">
        <v>74</v>
      </c>
      <c r="AY3" s="18" t="s">
        <v>74</v>
      </c>
      <c r="AZ3" s="18" t="s">
        <v>74</v>
      </c>
      <c r="BA3" s="18" t="s">
        <v>74</v>
      </c>
      <c r="BB3" s="18">
        <v>62</v>
      </c>
      <c r="BC3" s="18">
        <v>83</v>
      </c>
      <c r="BD3" s="18" t="s">
        <v>74</v>
      </c>
      <c r="BE3" s="18" t="s">
        <v>4819</v>
      </c>
      <c r="BF3" s="18">
        <v>0</v>
      </c>
      <c r="BG3" s="18" t="s">
        <v>74</v>
      </c>
      <c r="BH3" s="18" t="s">
        <v>4783</v>
      </c>
      <c r="BI3" s="18">
        <v>22</v>
      </c>
      <c r="BJ3" s="18" t="s">
        <v>2192</v>
      </c>
      <c r="BK3" s="18" t="s">
        <v>183</v>
      </c>
      <c r="BL3" s="18" t="s">
        <v>2193</v>
      </c>
      <c r="BM3" s="18" t="s">
        <v>13389</v>
      </c>
      <c r="BN3" s="18" t="s">
        <v>74</v>
      </c>
      <c r="BO3" s="18" t="s">
        <v>74</v>
      </c>
      <c r="BP3" s="18" t="s">
        <v>74</v>
      </c>
      <c r="BQ3" s="18" t="s">
        <v>74</v>
      </c>
      <c r="BR3" s="18" t="s">
        <v>12946</v>
      </c>
      <c r="BS3" s="18" t="s">
        <v>4821</v>
      </c>
      <c r="BT3" s="18">
        <v>0</v>
      </c>
    </row>
    <row r="4" spans="1:72" x14ac:dyDescent="0.25">
      <c r="A4" s="18" t="s">
        <v>72</v>
      </c>
      <c r="B4" s="18" t="s">
        <v>5223</v>
      </c>
      <c r="C4" s="18" t="s">
        <v>74</v>
      </c>
      <c r="D4" s="18" t="s">
        <v>74</v>
      </c>
      <c r="E4" s="18" t="s">
        <v>74</v>
      </c>
      <c r="F4" s="18" t="s">
        <v>5224</v>
      </c>
      <c r="G4" s="18" t="s">
        <v>74</v>
      </c>
      <c r="H4" s="18" t="s">
        <v>74</v>
      </c>
      <c r="I4" s="18" t="s">
        <v>5225</v>
      </c>
      <c r="J4" s="18" t="s">
        <v>5226</v>
      </c>
      <c r="K4" s="18" t="s">
        <v>74</v>
      </c>
      <c r="L4" s="18" t="s">
        <v>74</v>
      </c>
      <c r="M4" s="18" t="s">
        <v>929</v>
      </c>
      <c r="N4" s="18" t="s">
        <v>79</v>
      </c>
      <c r="O4" s="18" t="s">
        <v>74</v>
      </c>
      <c r="P4" s="18" t="s">
        <v>74</v>
      </c>
      <c r="Q4" s="18" t="s">
        <v>74</v>
      </c>
      <c r="R4" s="18" t="s">
        <v>74</v>
      </c>
      <c r="S4" s="18" t="s">
        <v>74</v>
      </c>
      <c r="T4" s="18" t="s">
        <v>5227</v>
      </c>
      <c r="U4" s="18" t="s">
        <v>5228</v>
      </c>
      <c r="V4" s="18" t="s">
        <v>5229</v>
      </c>
      <c r="W4" s="18" t="s">
        <v>5230</v>
      </c>
      <c r="X4" s="18" t="s">
        <v>5231</v>
      </c>
      <c r="Y4" s="18" t="s">
        <v>5232</v>
      </c>
      <c r="Z4" s="18" t="s">
        <v>5233</v>
      </c>
      <c r="AA4" s="18" t="s">
        <v>5234</v>
      </c>
      <c r="AB4" s="18" t="s">
        <v>74</v>
      </c>
      <c r="AC4" s="18" t="s">
        <v>74</v>
      </c>
      <c r="AD4" s="18" t="s">
        <v>74</v>
      </c>
      <c r="AE4" s="18" t="s">
        <v>74</v>
      </c>
      <c r="AF4" s="18" t="s">
        <v>74</v>
      </c>
      <c r="AG4" s="18">
        <v>32</v>
      </c>
      <c r="AH4" s="18">
        <v>3</v>
      </c>
      <c r="AI4" s="18">
        <v>3</v>
      </c>
      <c r="AJ4" s="18">
        <v>2</v>
      </c>
      <c r="AK4" s="18">
        <v>10</v>
      </c>
      <c r="AL4" s="18" t="s">
        <v>5235</v>
      </c>
      <c r="AM4" s="18" t="s">
        <v>5236</v>
      </c>
      <c r="AN4" s="18" t="s">
        <v>5237</v>
      </c>
      <c r="AO4" s="18" t="s">
        <v>5238</v>
      </c>
      <c r="AP4" s="18" t="s">
        <v>5239</v>
      </c>
      <c r="AQ4" s="18" t="s">
        <v>74</v>
      </c>
      <c r="AR4" s="18" t="s">
        <v>5240</v>
      </c>
      <c r="AS4" s="18" t="s">
        <v>5241</v>
      </c>
      <c r="AT4" s="18" t="s">
        <v>74</v>
      </c>
      <c r="AU4" s="18">
        <v>2022</v>
      </c>
      <c r="AV4" s="18">
        <v>49</v>
      </c>
      <c r="AW4" s="18">
        <v>90</v>
      </c>
      <c r="AX4" s="18" t="s">
        <v>74</v>
      </c>
      <c r="AY4" s="18" t="s">
        <v>74</v>
      </c>
      <c r="AZ4" s="18" t="s">
        <v>74</v>
      </c>
      <c r="BA4" s="18" t="s">
        <v>74</v>
      </c>
      <c r="BB4" s="18">
        <v>53</v>
      </c>
      <c r="BC4" s="18">
        <v>80</v>
      </c>
      <c r="BD4" s="18" t="s">
        <v>74</v>
      </c>
      <c r="BE4" s="18" t="s">
        <v>5242</v>
      </c>
      <c r="BF4" s="18">
        <v>0</v>
      </c>
      <c r="BG4" s="18" t="s">
        <v>74</v>
      </c>
      <c r="BH4" s="18" t="s">
        <v>74</v>
      </c>
      <c r="BI4" s="18">
        <v>28</v>
      </c>
      <c r="BJ4" s="18" t="s">
        <v>942</v>
      </c>
      <c r="BK4" s="18" t="s">
        <v>183</v>
      </c>
      <c r="BL4" s="18" t="s">
        <v>943</v>
      </c>
      <c r="BM4" s="18" t="s">
        <v>5243</v>
      </c>
      <c r="BN4" s="18" t="s">
        <v>74</v>
      </c>
      <c r="BO4" s="18" t="s">
        <v>2162</v>
      </c>
      <c r="BP4" s="18" t="s">
        <v>74</v>
      </c>
      <c r="BQ4" s="18" t="s">
        <v>74</v>
      </c>
      <c r="BR4" s="18" t="s">
        <v>12946</v>
      </c>
      <c r="BS4" s="18" t="s">
        <v>5244</v>
      </c>
      <c r="BT4" s="18">
        <v>0</v>
      </c>
    </row>
    <row r="5" spans="1:72" x14ac:dyDescent="0.25">
      <c r="A5" s="18" t="s">
        <v>72</v>
      </c>
      <c r="B5" s="18" t="s">
        <v>2510</v>
      </c>
      <c r="C5" s="18" t="s">
        <v>74</v>
      </c>
      <c r="D5" s="18" t="s">
        <v>74</v>
      </c>
      <c r="E5" s="18" t="s">
        <v>74</v>
      </c>
      <c r="F5" s="18" t="s">
        <v>2511</v>
      </c>
      <c r="G5" s="18" t="s">
        <v>74</v>
      </c>
      <c r="H5" s="18" t="s">
        <v>74</v>
      </c>
      <c r="I5" s="18" t="s">
        <v>2512</v>
      </c>
      <c r="J5" s="18" t="s">
        <v>2513</v>
      </c>
      <c r="K5" s="18" t="s">
        <v>74</v>
      </c>
      <c r="L5" s="18" t="s">
        <v>74</v>
      </c>
      <c r="M5" s="18" t="s">
        <v>78</v>
      </c>
      <c r="N5" s="18" t="s">
        <v>79</v>
      </c>
      <c r="O5" s="18" t="s">
        <v>74</v>
      </c>
      <c r="P5" s="18" t="s">
        <v>74</v>
      </c>
      <c r="Q5" s="18" t="s">
        <v>74</v>
      </c>
      <c r="R5" s="18" t="s">
        <v>74</v>
      </c>
      <c r="S5" s="18" t="s">
        <v>74</v>
      </c>
      <c r="T5" s="18" t="s">
        <v>2514</v>
      </c>
      <c r="U5" s="18" t="s">
        <v>2515</v>
      </c>
      <c r="V5" s="18" t="s">
        <v>2516</v>
      </c>
      <c r="W5" s="18" t="s">
        <v>2517</v>
      </c>
      <c r="X5" s="18" t="s">
        <v>2518</v>
      </c>
      <c r="Y5" s="18" t="s">
        <v>2519</v>
      </c>
      <c r="Z5" s="18" t="s">
        <v>2520</v>
      </c>
      <c r="AA5" s="18" t="s">
        <v>74</v>
      </c>
      <c r="AB5" s="18" t="s">
        <v>74</v>
      </c>
      <c r="AC5" s="18" t="s">
        <v>74</v>
      </c>
      <c r="AD5" s="18" t="s">
        <v>74</v>
      </c>
      <c r="AE5" s="18" t="s">
        <v>74</v>
      </c>
      <c r="AF5" s="18" t="s">
        <v>74</v>
      </c>
      <c r="AG5" s="18">
        <v>67</v>
      </c>
      <c r="AH5" s="18">
        <v>1</v>
      </c>
      <c r="AI5" s="18">
        <v>1</v>
      </c>
      <c r="AJ5" s="18">
        <v>14</v>
      </c>
      <c r="AK5" s="18">
        <v>55</v>
      </c>
      <c r="AL5" s="18" t="s">
        <v>969</v>
      </c>
      <c r="AM5" s="18" t="s">
        <v>970</v>
      </c>
      <c r="AN5" s="18" t="s">
        <v>971</v>
      </c>
      <c r="AO5" s="18" t="s">
        <v>2521</v>
      </c>
      <c r="AP5" s="18" t="s">
        <v>2522</v>
      </c>
      <c r="AQ5" s="18" t="s">
        <v>74</v>
      </c>
      <c r="AR5" s="18" t="s">
        <v>2523</v>
      </c>
      <c r="AS5" s="18" t="s">
        <v>2524</v>
      </c>
      <c r="AT5" s="18" t="s">
        <v>476</v>
      </c>
      <c r="AU5" s="18">
        <v>2022</v>
      </c>
      <c r="AV5" s="18">
        <v>56</v>
      </c>
      <c r="AW5" s="18">
        <v>6</v>
      </c>
      <c r="AX5" s="18" t="s">
        <v>74</v>
      </c>
      <c r="AY5" s="18" t="s">
        <v>74</v>
      </c>
      <c r="AZ5" s="18" t="s">
        <v>74</v>
      </c>
      <c r="BA5" s="18" t="s">
        <v>74</v>
      </c>
      <c r="BB5" s="18">
        <v>915</v>
      </c>
      <c r="BC5" s="18">
        <v>938</v>
      </c>
      <c r="BD5" s="18" t="s">
        <v>74</v>
      </c>
      <c r="BE5" s="18" t="s">
        <v>74</v>
      </c>
      <c r="BF5" s="18" t="s">
        <v>74</v>
      </c>
      <c r="BG5" s="18" t="s">
        <v>74</v>
      </c>
      <c r="BH5" s="18" t="s">
        <v>74</v>
      </c>
      <c r="BI5" s="18">
        <v>24</v>
      </c>
      <c r="BJ5" s="18" t="s">
        <v>2525</v>
      </c>
      <c r="BK5" s="18" t="s">
        <v>156</v>
      </c>
      <c r="BL5" s="18" t="s">
        <v>2526</v>
      </c>
      <c r="BM5" s="18" t="s">
        <v>2527</v>
      </c>
      <c r="BN5" s="18" t="s">
        <v>74</v>
      </c>
      <c r="BO5" s="18" t="s">
        <v>74</v>
      </c>
      <c r="BP5" s="18" t="s">
        <v>74</v>
      </c>
      <c r="BQ5" s="18" t="s">
        <v>74</v>
      </c>
      <c r="BR5" s="18" t="s">
        <v>12946</v>
      </c>
      <c r="BS5" s="18" t="s">
        <v>2528</v>
      </c>
      <c r="BT5" s="18">
        <v>0</v>
      </c>
    </row>
    <row r="6" spans="1:72" x14ac:dyDescent="0.25">
      <c r="A6" s="18" t="s">
        <v>72</v>
      </c>
      <c r="B6" s="18" t="s">
        <v>7290</v>
      </c>
      <c r="C6" s="18" t="s">
        <v>74</v>
      </c>
      <c r="D6" s="18" t="s">
        <v>74</v>
      </c>
      <c r="E6" s="18" t="s">
        <v>74</v>
      </c>
      <c r="F6" s="18" t="s">
        <v>7290</v>
      </c>
      <c r="G6" s="18" t="s">
        <v>74</v>
      </c>
      <c r="H6" s="18" t="s">
        <v>74</v>
      </c>
      <c r="I6" s="18" t="s">
        <v>7291</v>
      </c>
      <c r="J6" s="18" t="s">
        <v>7292</v>
      </c>
      <c r="K6" s="18" t="s">
        <v>74</v>
      </c>
      <c r="L6" s="18" t="s">
        <v>74</v>
      </c>
      <c r="M6" s="18" t="s">
        <v>78</v>
      </c>
      <c r="N6" s="18" t="s">
        <v>79</v>
      </c>
      <c r="O6" s="18" t="s">
        <v>74</v>
      </c>
      <c r="P6" s="18" t="s">
        <v>74</v>
      </c>
      <c r="Q6" s="18" t="s">
        <v>74</v>
      </c>
      <c r="R6" s="18" t="s">
        <v>74</v>
      </c>
      <c r="S6" s="18" t="s">
        <v>74</v>
      </c>
      <c r="T6" s="18" t="s">
        <v>7293</v>
      </c>
      <c r="U6" s="18" t="s">
        <v>74</v>
      </c>
      <c r="V6" s="18" t="s">
        <v>7294</v>
      </c>
      <c r="W6" s="18" t="s">
        <v>7295</v>
      </c>
      <c r="X6" s="18" t="s">
        <v>7296</v>
      </c>
      <c r="Y6" s="18" t="s">
        <v>7297</v>
      </c>
      <c r="Z6" s="18" t="s">
        <v>7298</v>
      </c>
      <c r="AA6" s="18" t="s">
        <v>7299</v>
      </c>
      <c r="AB6" s="18" t="s">
        <v>7300</v>
      </c>
      <c r="AC6" s="18" t="s">
        <v>74</v>
      </c>
      <c r="AD6" s="18" t="s">
        <v>74</v>
      </c>
      <c r="AE6" s="18" t="s">
        <v>74</v>
      </c>
      <c r="AF6" s="18" t="s">
        <v>74</v>
      </c>
      <c r="AG6" s="18">
        <v>25</v>
      </c>
      <c r="AH6" s="18">
        <v>1</v>
      </c>
      <c r="AI6" s="18">
        <v>1</v>
      </c>
      <c r="AJ6" s="18">
        <v>0</v>
      </c>
      <c r="AK6" s="18">
        <v>4</v>
      </c>
      <c r="AL6" s="18" t="s">
        <v>7301</v>
      </c>
      <c r="AM6" s="18" t="s">
        <v>2764</v>
      </c>
      <c r="AN6" s="18" t="s">
        <v>7302</v>
      </c>
      <c r="AO6" s="18" t="s">
        <v>7303</v>
      </c>
      <c r="AP6" s="18" t="s">
        <v>74</v>
      </c>
      <c r="AQ6" s="18" t="s">
        <v>74</v>
      </c>
      <c r="AR6" s="18" t="s">
        <v>7304</v>
      </c>
      <c r="AS6" s="18" t="s">
        <v>7305</v>
      </c>
      <c r="AT6" s="18" t="s">
        <v>74</v>
      </c>
      <c r="AU6" s="18">
        <v>2021</v>
      </c>
      <c r="AV6" s="18">
        <v>16</v>
      </c>
      <c r="AW6" s="18">
        <v>1</v>
      </c>
      <c r="AX6" s="18" t="s">
        <v>74</v>
      </c>
      <c r="AY6" s="18" t="s">
        <v>74</v>
      </c>
      <c r="AZ6" s="18" t="s">
        <v>74</v>
      </c>
      <c r="BA6" s="18" t="s">
        <v>74</v>
      </c>
      <c r="BB6" s="18">
        <v>96</v>
      </c>
      <c r="BC6" s="18">
        <v>109</v>
      </c>
      <c r="BD6" s="18" t="s">
        <v>74</v>
      </c>
      <c r="BE6" s="18" t="s">
        <v>7306</v>
      </c>
      <c r="BF6" s="18">
        <v>0</v>
      </c>
      <c r="BG6" s="18" t="s">
        <v>74</v>
      </c>
      <c r="BH6" s="18" t="s">
        <v>74</v>
      </c>
      <c r="BI6" s="18">
        <v>14</v>
      </c>
      <c r="BJ6" s="18" t="s">
        <v>977</v>
      </c>
      <c r="BK6" s="18" t="s">
        <v>183</v>
      </c>
      <c r="BL6" s="18" t="s">
        <v>977</v>
      </c>
      <c r="BM6" s="18" t="s">
        <v>7307</v>
      </c>
      <c r="BN6" s="18" t="s">
        <v>74</v>
      </c>
      <c r="BO6" s="18" t="s">
        <v>791</v>
      </c>
      <c r="BP6" s="18" t="s">
        <v>74</v>
      </c>
      <c r="BQ6" s="18" t="s">
        <v>74</v>
      </c>
      <c r="BR6" s="18" t="s">
        <v>12946</v>
      </c>
      <c r="BS6" s="18" t="s">
        <v>7308</v>
      </c>
      <c r="BT6" s="18">
        <v>0</v>
      </c>
    </row>
    <row r="7" spans="1:72" x14ac:dyDescent="0.25">
      <c r="A7" s="18" t="s">
        <v>72</v>
      </c>
      <c r="B7" s="18" t="s">
        <v>11178</v>
      </c>
      <c r="C7" s="18" t="s">
        <v>74</v>
      </c>
      <c r="D7" s="18" t="s">
        <v>74</v>
      </c>
      <c r="E7" s="18" t="s">
        <v>74</v>
      </c>
      <c r="F7" s="18" t="s">
        <v>11179</v>
      </c>
      <c r="G7" s="18" t="s">
        <v>74</v>
      </c>
      <c r="H7" s="18" t="s">
        <v>74</v>
      </c>
      <c r="I7" s="18" t="s">
        <v>11180</v>
      </c>
      <c r="J7" s="18" t="s">
        <v>11181</v>
      </c>
      <c r="K7" s="18" t="s">
        <v>74</v>
      </c>
      <c r="L7" s="18" t="s">
        <v>74</v>
      </c>
      <c r="M7" s="18" t="s">
        <v>929</v>
      </c>
      <c r="N7" s="18" t="s">
        <v>79</v>
      </c>
      <c r="O7" s="18" t="s">
        <v>74</v>
      </c>
      <c r="P7" s="18" t="s">
        <v>74</v>
      </c>
      <c r="Q7" s="18" t="s">
        <v>74</v>
      </c>
      <c r="R7" s="18" t="s">
        <v>74</v>
      </c>
      <c r="S7" s="18" t="s">
        <v>74</v>
      </c>
      <c r="T7" s="18" t="s">
        <v>11182</v>
      </c>
      <c r="U7" s="18" t="s">
        <v>74</v>
      </c>
      <c r="V7" s="18" t="s">
        <v>11183</v>
      </c>
      <c r="W7" s="18" t="s">
        <v>11184</v>
      </c>
      <c r="X7" s="18" t="s">
        <v>11185</v>
      </c>
      <c r="Y7" s="18" t="s">
        <v>11186</v>
      </c>
      <c r="Z7" s="18" t="s">
        <v>11187</v>
      </c>
      <c r="AA7" s="18" t="s">
        <v>74</v>
      </c>
      <c r="AB7" s="18" t="s">
        <v>74</v>
      </c>
      <c r="AC7" s="18" t="s">
        <v>74</v>
      </c>
      <c r="AD7" s="18" t="s">
        <v>74</v>
      </c>
      <c r="AE7" s="18" t="s">
        <v>74</v>
      </c>
      <c r="AF7" s="18" t="s">
        <v>74</v>
      </c>
      <c r="AG7" s="18">
        <v>24</v>
      </c>
      <c r="AH7" s="18">
        <v>0</v>
      </c>
      <c r="AI7" s="18">
        <v>0</v>
      </c>
      <c r="AJ7" s="18">
        <v>0</v>
      </c>
      <c r="AK7" s="18">
        <v>6</v>
      </c>
      <c r="AL7" s="18" t="s">
        <v>11188</v>
      </c>
      <c r="AM7" s="18" t="s">
        <v>11189</v>
      </c>
      <c r="AN7" s="18" t="s">
        <v>11190</v>
      </c>
      <c r="AO7" s="18" t="s">
        <v>11191</v>
      </c>
      <c r="AP7" s="18" t="s">
        <v>11192</v>
      </c>
      <c r="AQ7" s="18" t="s">
        <v>74</v>
      </c>
      <c r="AR7" s="18" t="s">
        <v>11193</v>
      </c>
      <c r="AS7" s="18" t="s">
        <v>11194</v>
      </c>
      <c r="AT7" s="18" t="s">
        <v>1138</v>
      </c>
      <c r="AU7" s="18">
        <v>2016</v>
      </c>
      <c r="AV7" s="18" t="s">
        <v>74</v>
      </c>
      <c r="AW7" s="18">
        <v>18</v>
      </c>
      <c r="AX7" s="18" t="s">
        <v>74</v>
      </c>
      <c r="AY7" s="18" t="s">
        <v>74</v>
      </c>
      <c r="AZ7" s="18" t="s">
        <v>74</v>
      </c>
      <c r="BA7" s="18" t="s">
        <v>74</v>
      </c>
      <c r="BB7" s="18">
        <v>90</v>
      </c>
      <c r="BC7" s="18">
        <v>103</v>
      </c>
      <c r="BD7" s="18" t="s">
        <v>74</v>
      </c>
      <c r="BE7" s="18" t="s">
        <v>11195</v>
      </c>
      <c r="BF7" s="18">
        <v>0</v>
      </c>
      <c r="BG7" s="18" t="s">
        <v>74</v>
      </c>
      <c r="BH7" s="18" t="s">
        <v>74</v>
      </c>
      <c r="BI7" s="18">
        <v>14</v>
      </c>
      <c r="BJ7" s="18" t="s">
        <v>1082</v>
      </c>
      <c r="BK7" s="18" t="s">
        <v>183</v>
      </c>
      <c r="BL7" s="18" t="s">
        <v>379</v>
      </c>
      <c r="BM7" s="18" t="s">
        <v>11196</v>
      </c>
      <c r="BN7" s="18" t="s">
        <v>74</v>
      </c>
      <c r="BO7" s="18" t="s">
        <v>4460</v>
      </c>
      <c r="BP7" s="18" t="s">
        <v>74</v>
      </c>
      <c r="BQ7" s="18" t="s">
        <v>74</v>
      </c>
      <c r="BR7" s="18" t="s">
        <v>12946</v>
      </c>
      <c r="BS7" s="18" t="s">
        <v>11197</v>
      </c>
      <c r="BT7" s="18">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6"/>
  <sheetViews>
    <sheetView workbookViewId="0">
      <selection sqref="A1:BT6"/>
    </sheetView>
  </sheetViews>
  <sheetFormatPr baseColWidth="10" defaultColWidth="8.7265625" defaultRowHeight="12.5" x14ac:dyDescent="0.25"/>
  <sheetData>
    <row r="1" spans="1:72" x14ac:dyDescent="0.25">
      <c r="A1" s="19" t="s">
        <v>0</v>
      </c>
      <c r="B1" s="19" t="s">
        <v>1</v>
      </c>
      <c r="C1" s="19" t="s">
        <v>2</v>
      </c>
      <c r="D1" s="19" t="s">
        <v>3</v>
      </c>
      <c r="E1" s="19" t="s">
        <v>4</v>
      </c>
      <c r="F1" s="19" t="s">
        <v>5</v>
      </c>
      <c r="G1" s="19" t="s">
        <v>6</v>
      </c>
      <c r="H1" s="19" t="s">
        <v>7</v>
      </c>
      <c r="I1" s="19" t="s">
        <v>8</v>
      </c>
      <c r="J1" s="19" t="s">
        <v>9</v>
      </c>
      <c r="K1" s="19" t="s">
        <v>10</v>
      </c>
      <c r="L1" s="19" t="s">
        <v>11</v>
      </c>
      <c r="M1" s="19" t="s">
        <v>12</v>
      </c>
      <c r="N1" s="19" t="s">
        <v>13</v>
      </c>
      <c r="O1" s="19" t="s">
        <v>14</v>
      </c>
      <c r="P1" s="19" t="s">
        <v>15</v>
      </c>
      <c r="Q1" s="19" t="s">
        <v>16</v>
      </c>
      <c r="R1" s="19" t="s">
        <v>17</v>
      </c>
      <c r="S1" s="19" t="s">
        <v>18</v>
      </c>
      <c r="T1" s="19" t="s">
        <v>19</v>
      </c>
      <c r="U1" s="19" t="s">
        <v>20</v>
      </c>
      <c r="V1" s="19" t="s">
        <v>21</v>
      </c>
      <c r="W1" s="19" t="s">
        <v>22</v>
      </c>
      <c r="X1" s="19" t="s">
        <v>23</v>
      </c>
      <c r="Y1" s="19" t="s">
        <v>24</v>
      </c>
      <c r="Z1" s="19" t="s">
        <v>25</v>
      </c>
      <c r="AA1" s="19" t="s">
        <v>26</v>
      </c>
      <c r="AB1" s="19" t="s">
        <v>27</v>
      </c>
      <c r="AC1" s="19" t="s">
        <v>28</v>
      </c>
      <c r="AD1" s="19" t="s">
        <v>29</v>
      </c>
      <c r="AE1" s="19" t="s">
        <v>30</v>
      </c>
      <c r="AF1" s="19" t="s">
        <v>31</v>
      </c>
      <c r="AG1" s="19" t="s">
        <v>32</v>
      </c>
      <c r="AH1" s="19" t="s">
        <v>33</v>
      </c>
      <c r="AI1" s="19" t="s">
        <v>34</v>
      </c>
      <c r="AJ1" s="19" t="s">
        <v>35</v>
      </c>
      <c r="AK1" s="19" t="s">
        <v>36</v>
      </c>
      <c r="AL1" s="19" t="s">
        <v>37</v>
      </c>
      <c r="AM1" s="19" t="s">
        <v>38</v>
      </c>
      <c r="AN1" s="19" t="s">
        <v>39</v>
      </c>
      <c r="AO1" s="19" t="s">
        <v>40</v>
      </c>
      <c r="AP1" s="19" t="s">
        <v>41</v>
      </c>
      <c r="AQ1" s="19" t="s">
        <v>42</v>
      </c>
      <c r="AR1" s="19" t="s">
        <v>43</v>
      </c>
      <c r="AS1" s="19" t="s">
        <v>44</v>
      </c>
      <c r="AT1" s="19" t="s">
        <v>45</v>
      </c>
      <c r="AU1" s="19" t="s">
        <v>46</v>
      </c>
      <c r="AV1" s="19" t="s">
        <v>47</v>
      </c>
      <c r="AW1" s="19" t="s">
        <v>48</v>
      </c>
      <c r="AX1" s="19" t="s">
        <v>49</v>
      </c>
      <c r="AY1" s="19" t="s">
        <v>50</v>
      </c>
      <c r="AZ1" s="19" t="s">
        <v>51</v>
      </c>
      <c r="BA1" s="19" t="s">
        <v>52</v>
      </c>
      <c r="BB1" s="19" t="s">
        <v>53</v>
      </c>
      <c r="BC1" s="19" t="s">
        <v>54</v>
      </c>
      <c r="BD1" s="19" t="s">
        <v>55</v>
      </c>
      <c r="BE1" s="19" t="s">
        <v>56</v>
      </c>
      <c r="BF1" s="19" t="s">
        <v>57</v>
      </c>
      <c r="BG1" s="19" t="s">
        <v>58</v>
      </c>
      <c r="BH1" s="19" t="s">
        <v>59</v>
      </c>
      <c r="BI1" s="19" t="s">
        <v>60</v>
      </c>
      <c r="BJ1" s="19" t="s">
        <v>61</v>
      </c>
      <c r="BK1" s="19" t="s">
        <v>62</v>
      </c>
      <c r="BL1" s="19" t="s">
        <v>63</v>
      </c>
      <c r="BM1" s="19" t="s">
        <v>64</v>
      </c>
      <c r="BN1" s="19" t="s">
        <v>65</v>
      </c>
      <c r="BO1" s="19" t="s">
        <v>66</v>
      </c>
      <c r="BP1" s="19" t="s">
        <v>67</v>
      </c>
      <c r="BQ1" s="19" t="s">
        <v>68</v>
      </c>
      <c r="BR1" s="19" t="s">
        <v>69</v>
      </c>
      <c r="BS1" s="19" t="s">
        <v>70</v>
      </c>
      <c r="BT1" s="19" t="s">
        <v>71</v>
      </c>
    </row>
    <row r="2" spans="1:72" x14ac:dyDescent="0.25">
      <c r="A2" s="19" t="s">
        <v>72</v>
      </c>
      <c r="B2" s="19" t="s">
        <v>4746</v>
      </c>
      <c r="C2" s="19" t="s">
        <v>74</v>
      </c>
      <c r="D2" s="19" t="s">
        <v>74</v>
      </c>
      <c r="E2" s="19" t="s">
        <v>74</v>
      </c>
      <c r="F2" s="19" t="s">
        <v>4747</v>
      </c>
      <c r="G2" s="19" t="s">
        <v>74</v>
      </c>
      <c r="H2" s="19" t="s">
        <v>74</v>
      </c>
      <c r="I2" s="19" t="s">
        <v>4748</v>
      </c>
      <c r="J2" s="19" t="s">
        <v>2052</v>
      </c>
      <c r="K2" s="19" t="s">
        <v>74</v>
      </c>
      <c r="L2" s="19" t="s">
        <v>74</v>
      </c>
      <c r="M2" s="19" t="s">
        <v>78</v>
      </c>
      <c r="N2" s="19" t="s">
        <v>79</v>
      </c>
      <c r="O2" s="19" t="s">
        <v>74</v>
      </c>
      <c r="P2" s="19" t="s">
        <v>74</v>
      </c>
      <c r="Q2" s="19" t="s">
        <v>74</v>
      </c>
      <c r="R2" s="19" t="s">
        <v>74</v>
      </c>
      <c r="S2" s="19" t="s">
        <v>74</v>
      </c>
      <c r="T2" s="19" t="s">
        <v>4749</v>
      </c>
      <c r="U2" s="19" t="s">
        <v>4750</v>
      </c>
      <c r="V2" s="19" t="s">
        <v>4751</v>
      </c>
      <c r="W2" s="19" t="s">
        <v>4752</v>
      </c>
      <c r="X2" s="19" t="s">
        <v>4753</v>
      </c>
      <c r="Y2" s="19" t="s">
        <v>4754</v>
      </c>
      <c r="Z2" s="19" t="s">
        <v>4755</v>
      </c>
      <c r="AA2" s="19" t="s">
        <v>13172</v>
      </c>
      <c r="AB2" s="19" t="s">
        <v>13173</v>
      </c>
      <c r="AC2" s="19" t="s">
        <v>4758</v>
      </c>
      <c r="AD2" s="19" t="s">
        <v>4758</v>
      </c>
      <c r="AE2" s="19" t="s">
        <v>4759</v>
      </c>
      <c r="AF2" s="19" t="s">
        <v>74</v>
      </c>
      <c r="AG2" s="19">
        <v>71</v>
      </c>
      <c r="AH2" s="19">
        <v>7</v>
      </c>
      <c r="AI2" s="19">
        <v>7</v>
      </c>
      <c r="AJ2" s="19">
        <v>2</v>
      </c>
      <c r="AK2" s="19">
        <v>7</v>
      </c>
      <c r="AL2" s="19" t="s">
        <v>202</v>
      </c>
      <c r="AM2" s="19" t="s">
        <v>203</v>
      </c>
      <c r="AN2" s="19" t="s">
        <v>204</v>
      </c>
      <c r="AO2" s="19" t="s">
        <v>74</v>
      </c>
      <c r="AP2" s="19" t="s">
        <v>2065</v>
      </c>
      <c r="AQ2" s="19" t="s">
        <v>74</v>
      </c>
      <c r="AR2" s="19" t="s">
        <v>2066</v>
      </c>
      <c r="AS2" s="19" t="s">
        <v>2067</v>
      </c>
      <c r="AT2" s="19" t="s">
        <v>1904</v>
      </c>
      <c r="AU2" s="19">
        <v>2022</v>
      </c>
      <c r="AV2" s="19">
        <v>19</v>
      </c>
      <c r="AW2" s="19">
        <v>3</v>
      </c>
      <c r="AX2" s="19" t="s">
        <v>74</v>
      </c>
      <c r="AY2" s="19" t="s">
        <v>74</v>
      </c>
      <c r="AZ2" s="19" t="s">
        <v>74</v>
      </c>
      <c r="BA2" s="19" t="s">
        <v>74</v>
      </c>
      <c r="BB2" s="19" t="s">
        <v>74</v>
      </c>
      <c r="BC2" s="19" t="s">
        <v>74</v>
      </c>
      <c r="BD2" s="19">
        <v>1328</v>
      </c>
      <c r="BE2" s="19" t="s">
        <v>4760</v>
      </c>
      <c r="BF2" s="19">
        <v>0</v>
      </c>
      <c r="BG2" s="19" t="s">
        <v>74</v>
      </c>
      <c r="BH2" s="19" t="s">
        <v>74</v>
      </c>
      <c r="BI2" s="19">
        <v>20</v>
      </c>
      <c r="BJ2" s="19" t="s">
        <v>2070</v>
      </c>
      <c r="BK2" s="19" t="s">
        <v>211</v>
      </c>
      <c r="BL2" s="19" t="s">
        <v>2071</v>
      </c>
      <c r="BM2" s="19" t="s">
        <v>4761</v>
      </c>
      <c r="BN2" s="19">
        <v>35162351</v>
      </c>
      <c r="BO2" s="19" t="s">
        <v>614</v>
      </c>
      <c r="BP2" s="19" t="s">
        <v>74</v>
      </c>
      <c r="BQ2" s="19" t="s">
        <v>74</v>
      </c>
      <c r="BR2" s="19" t="s">
        <v>12946</v>
      </c>
      <c r="BS2" s="19" t="s">
        <v>4762</v>
      </c>
      <c r="BT2" s="19">
        <v>0</v>
      </c>
    </row>
    <row r="3" spans="1:72" x14ac:dyDescent="0.25">
      <c r="A3" s="19" t="s">
        <v>72</v>
      </c>
      <c r="B3" s="19" t="s">
        <v>4654</v>
      </c>
      <c r="C3" s="19" t="s">
        <v>74</v>
      </c>
      <c r="D3" s="19" t="s">
        <v>74</v>
      </c>
      <c r="E3" s="19" t="s">
        <v>74</v>
      </c>
      <c r="F3" s="19" t="s">
        <v>4655</v>
      </c>
      <c r="G3" s="19" t="s">
        <v>74</v>
      </c>
      <c r="H3" s="19" t="s">
        <v>74</v>
      </c>
      <c r="I3" s="19" t="s">
        <v>4656</v>
      </c>
      <c r="J3" s="19" t="s">
        <v>4657</v>
      </c>
      <c r="K3" s="19" t="s">
        <v>74</v>
      </c>
      <c r="L3" s="19" t="s">
        <v>74</v>
      </c>
      <c r="M3" s="19" t="s">
        <v>78</v>
      </c>
      <c r="N3" s="19" t="s">
        <v>79</v>
      </c>
      <c r="O3" s="19" t="s">
        <v>74</v>
      </c>
      <c r="P3" s="19" t="s">
        <v>74</v>
      </c>
      <c r="Q3" s="19" t="s">
        <v>74</v>
      </c>
      <c r="R3" s="19" t="s">
        <v>74</v>
      </c>
      <c r="S3" s="19" t="s">
        <v>74</v>
      </c>
      <c r="T3" s="19" t="s">
        <v>4658</v>
      </c>
      <c r="U3" s="19" t="s">
        <v>4659</v>
      </c>
      <c r="V3" s="19" t="s">
        <v>4660</v>
      </c>
      <c r="W3" s="19" t="s">
        <v>4661</v>
      </c>
      <c r="X3" s="19" t="s">
        <v>4662</v>
      </c>
      <c r="Y3" s="19" t="s">
        <v>4663</v>
      </c>
      <c r="Z3" s="19" t="s">
        <v>4664</v>
      </c>
      <c r="AA3" s="19" t="s">
        <v>13390</v>
      </c>
      <c r="AB3" s="19" t="s">
        <v>13391</v>
      </c>
      <c r="AC3" s="19" t="s">
        <v>4666</v>
      </c>
      <c r="AD3" s="19" t="s">
        <v>4667</v>
      </c>
      <c r="AE3" s="19" t="s">
        <v>4668</v>
      </c>
      <c r="AF3" s="19" t="s">
        <v>74</v>
      </c>
      <c r="AG3" s="19">
        <v>49</v>
      </c>
      <c r="AH3" s="19">
        <v>5</v>
      </c>
      <c r="AI3" s="19">
        <v>5</v>
      </c>
      <c r="AJ3" s="19">
        <v>2</v>
      </c>
      <c r="AK3" s="19">
        <v>9</v>
      </c>
      <c r="AL3" s="19" t="s">
        <v>1468</v>
      </c>
      <c r="AM3" s="19" t="s">
        <v>175</v>
      </c>
      <c r="AN3" s="19" t="s">
        <v>1469</v>
      </c>
      <c r="AO3" s="19" t="s">
        <v>4669</v>
      </c>
      <c r="AP3" s="19" t="s">
        <v>4670</v>
      </c>
      <c r="AQ3" s="19" t="s">
        <v>74</v>
      </c>
      <c r="AR3" s="19" t="s">
        <v>4671</v>
      </c>
      <c r="AS3" s="19" t="s">
        <v>4672</v>
      </c>
      <c r="AT3" s="19" t="s">
        <v>99</v>
      </c>
      <c r="AU3" s="19">
        <v>2021</v>
      </c>
      <c r="AV3" s="19">
        <v>36</v>
      </c>
      <c r="AW3" s="19" t="s">
        <v>976</v>
      </c>
      <c r="AX3" s="19" t="s">
        <v>74</v>
      </c>
      <c r="AY3" s="19" t="s">
        <v>74</v>
      </c>
      <c r="AZ3" s="19" t="s">
        <v>1020</v>
      </c>
      <c r="BA3" s="19" t="s">
        <v>74</v>
      </c>
      <c r="BB3" s="19">
        <v>650</v>
      </c>
      <c r="BC3" s="19">
        <v>668</v>
      </c>
      <c r="BD3" s="19">
        <v>2690942221077120</v>
      </c>
      <c r="BE3" s="19" t="s">
        <v>4673</v>
      </c>
      <c r="BF3" s="19">
        <v>0</v>
      </c>
      <c r="BG3" s="19" t="s">
        <v>74</v>
      </c>
      <c r="BH3" s="19" t="s">
        <v>4674</v>
      </c>
      <c r="BI3" s="19">
        <v>19</v>
      </c>
      <c r="BJ3" s="19" t="s">
        <v>521</v>
      </c>
      <c r="BK3" s="19" t="s">
        <v>183</v>
      </c>
      <c r="BL3" s="19" t="s">
        <v>265</v>
      </c>
      <c r="BM3" s="19" t="s">
        <v>4675</v>
      </c>
      <c r="BN3" s="19" t="s">
        <v>74</v>
      </c>
      <c r="BO3" s="19" t="s">
        <v>3068</v>
      </c>
      <c r="BP3" s="19" t="s">
        <v>74</v>
      </c>
      <c r="BQ3" s="19" t="s">
        <v>74</v>
      </c>
      <c r="BR3" s="19" t="s">
        <v>12946</v>
      </c>
      <c r="BS3" s="19" t="s">
        <v>4676</v>
      </c>
      <c r="BT3" s="19">
        <v>0</v>
      </c>
    </row>
    <row r="4" spans="1:72" x14ac:dyDescent="0.25">
      <c r="A4" s="19" t="s">
        <v>72</v>
      </c>
      <c r="B4" s="19" t="s">
        <v>3290</v>
      </c>
      <c r="C4" s="19" t="s">
        <v>74</v>
      </c>
      <c r="D4" s="19" t="s">
        <v>74</v>
      </c>
      <c r="E4" s="19" t="s">
        <v>74</v>
      </c>
      <c r="F4" s="19" t="s">
        <v>3291</v>
      </c>
      <c r="G4" s="19" t="s">
        <v>74</v>
      </c>
      <c r="H4" s="19" t="s">
        <v>74</v>
      </c>
      <c r="I4" s="19" t="s">
        <v>3292</v>
      </c>
      <c r="J4" s="19" t="s">
        <v>3293</v>
      </c>
      <c r="K4" s="19" t="s">
        <v>74</v>
      </c>
      <c r="L4" s="19" t="s">
        <v>74</v>
      </c>
      <c r="M4" s="19" t="s">
        <v>78</v>
      </c>
      <c r="N4" s="19" t="s">
        <v>79</v>
      </c>
      <c r="O4" s="19" t="s">
        <v>74</v>
      </c>
      <c r="P4" s="19" t="s">
        <v>74</v>
      </c>
      <c r="Q4" s="19" t="s">
        <v>74</v>
      </c>
      <c r="R4" s="19" t="s">
        <v>74</v>
      </c>
      <c r="S4" s="19" t="s">
        <v>74</v>
      </c>
      <c r="T4" s="19" t="s">
        <v>3294</v>
      </c>
      <c r="U4" s="19" t="s">
        <v>3295</v>
      </c>
      <c r="V4" s="19" t="s">
        <v>3296</v>
      </c>
      <c r="W4" s="19" t="s">
        <v>3297</v>
      </c>
      <c r="X4" s="19" t="s">
        <v>13392</v>
      </c>
      <c r="Y4" s="19" t="s">
        <v>3299</v>
      </c>
      <c r="Z4" s="19" t="s">
        <v>3300</v>
      </c>
      <c r="AA4" s="19" t="s">
        <v>13393</v>
      </c>
      <c r="AB4" s="19" t="s">
        <v>13394</v>
      </c>
      <c r="AC4" s="19" t="s">
        <v>3302</v>
      </c>
      <c r="AD4" s="19" t="s">
        <v>3303</v>
      </c>
      <c r="AE4" s="19" t="s">
        <v>3304</v>
      </c>
      <c r="AF4" s="19" t="s">
        <v>74</v>
      </c>
      <c r="AG4" s="19">
        <v>90</v>
      </c>
      <c r="AH4" s="19">
        <v>4</v>
      </c>
      <c r="AI4" s="19">
        <v>5</v>
      </c>
      <c r="AJ4" s="19">
        <v>4</v>
      </c>
      <c r="AK4" s="19">
        <v>19</v>
      </c>
      <c r="AL4" s="19" t="s">
        <v>202</v>
      </c>
      <c r="AM4" s="19" t="s">
        <v>203</v>
      </c>
      <c r="AN4" s="19" t="s">
        <v>204</v>
      </c>
      <c r="AO4" s="19" t="s">
        <v>74</v>
      </c>
      <c r="AP4" s="19" t="s">
        <v>3305</v>
      </c>
      <c r="AQ4" s="19" t="s">
        <v>74</v>
      </c>
      <c r="AR4" s="19" t="s">
        <v>3293</v>
      </c>
      <c r="AS4" s="19" t="s">
        <v>3306</v>
      </c>
      <c r="AT4" s="19" t="s">
        <v>356</v>
      </c>
      <c r="AU4" s="19">
        <v>2022</v>
      </c>
      <c r="AV4" s="19">
        <v>12</v>
      </c>
      <c r="AW4" s="19">
        <v>9</v>
      </c>
      <c r="AX4" s="19" t="s">
        <v>74</v>
      </c>
      <c r="AY4" s="19" t="s">
        <v>74</v>
      </c>
      <c r="AZ4" s="19" t="s">
        <v>74</v>
      </c>
      <c r="BA4" s="19" t="s">
        <v>74</v>
      </c>
      <c r="BB4" s="19" t="s">
        <v>74</v>
      </c>
      <c r="BC4" s="19" t="s">
        <v>74</v>
      </c>
      <c r="BD4" s="19">
        <v>2084</v>
      </c>
      <c r="BE4" s="19" t="s">
        <v>3307</v>
      </c>
      <c r="BF4" s="19">
        <v>0</v>
      </c>
      <c r="BG4" s="19" t="s">
        <v>74</v>
      </c>
      <c r="BH4" s="19" t="s">
        <v>74</v>
      </c>
      <c r="BI4" s="19">
        <v>20</v>
      </c>
      <c r="BJ4" s="19" t="s">
        <v>3308</v>
      </c>
      <c r="BK4" s="19" t="s">
        <v>102</v>
      </c>
      <c r="BL4" s="19" t="s">
        <v>3309</v>
      </c>
      <c r="BM4" s="19" t="s">
        <v>3310</v>
      </c>
      <c r="BN4" s="19" t="s">
        <v>74</v>
      </c>
      <c r="BO4" s="19" t="s">
        <v>2946</v>
      </c>
      <c r="BP4" s="19" t="s">
        <v>74</v>
      </c>
      <c r="BQ4" s="19" t="s">
        <v>74</v>
      </c>
      <c r="BR4" s="19" t="s">
        <v>12946</v>
      </c>
      <c r="BS4" s="19" t="s">
        <v>3311</v>
      </c>
      <c r="BT4" s="19">
        <v>0</v>
      </c>
    </row>
    <row r="5" spans="1:72" x14ac:dyDescent="0.25">
      <c r="A5" s="19" t="s">
        <v>72</v>
      </c>
      <c r="B5" s="19" t="s">
        <v>1221</v>
      </c>
      <c r="C5" s="19" t="s">
        <v>74</v>
      </c>
      <c r="D5" s="19" t="s">
        <v>74</v>
      </c>
      <c r="E5" s="19" t="s">
        <v>74</v>
      </c>
      <c r="F5" s="19" t="s">
        <v>1222</v>
      </c>
      <c r="G5" s="19" t="s">
        <v>74</v>
      </c>
      <c r="H5" s="19" t="s">
        <v>74</v>
      </c>
      <c r="I5" s="19" t="s">
        <v>1223</v>
      </c>
      <c r="J5" s="19" t="s">
        <v>1224</v>
      </c>
      <c r="K5" s="19" t="s">
        <v>74</v>
      </c>
      <c r="L5" s="19" t="s">
        <v>74</v>
      </c>
      <c r="M5" s="19" t="s">
        <v>78</v>
      </c>
      <c r="N5" s="19" t="s">
        <v>79</v>
      </c>
      <c r="O5" s="19" t="s">
        <v>74</v>
      </c>
      <c r="P5" s="19" t="s">
        <v>74</v>
      </c>
      <c r="Q5" s="19" t="s">
        <v>74</v>
      </c>
      <c r="R5" s="19" t="s">
        <v>74</v>
      </c>
      <c r="S5" s="19" t="s">
        <v>74</v>
      </c>
      <c r="T5" s="19" t="s">
        <v>1225</v>
      </c>
      <c r="U5" s="19" t="s">
        <v>1226</v>
      </c>
      <c r="V5" s="19" t="s">
        <v>1227</v>
      </c>
      <c r="W5" s="19" t="s">
        <v>1228</v>
      </c>
      <c r="X5" s="19" t="s">
        <v>1229</v>
      </c>
      <c r="Y5" s="19" t="s">
        <v>1230</v>
      </c>
      <c r="Z5" s="19" t="s">
        <v>1231</v>
      </c>
      <c r="AA5" s="19" t="s">
        <v>1232</v>
      </c>
      <c r="AB5" s="19" t="s">
        <v>1233</v>
      </c>
      <c r="AC5" s="19" t="s">
        <v>74</v>
      </c>
      <c r="AD5" s="19" t="s">
        <v>74</v>
      </c>
      <c r="AE5" s="19" t="s">
        <v>74</v>
      </c>
      <c r="AF5" s="19" t="s">
        <v>74</v>
      </c>
      <c r="AG5" s="19">
        <v>130</v>
      </c>
      <c r="AH5" s="19">
        <v>3</v>
      </c>
      <c r="AI5" s="19">
        <v>3</v>
      </c>
      <c r="AJ5" s="19">
        <v>3</v>
      </c>
      <c r="AK5" s="19">
        <v>13</v>
      </c>
      <c r="AL5" s="19" t="s">
        <v>202</v>
      </c>
      <c r="AM5" s="19" t="s">
        <v>203</v>
      </c>
      <c r="AN5" s="19" t="s">
        <v>204</v>
      </c>
      <c r="AO5" s="19" t="s">
        <v>74</v>
      </c>
      <c r="AP5" s="19" t="s">
        <v>1234</v>
      </c>
      <c r="AQ5" s="19" t="s">
        <v>74</v>
      </c>
      <c r="AR5" s="19" t="s">
        <v>1224</v>
      </c>
      <c r="AS5" s="19" t="s">
        <v>1235</v>
      </c>
      <c r="AT5" s="19" t="s">
        <v>1236</v>
      </c>
      <c r="AU5" s="19">
        <v>2023</v>
      </c>
      <c r="AV5" s="19">
        <v>9</v>
      </c>
      <c r="AW5" s="19">
        <v>5</v>
      </c>
      <c r="AX5" s="19" t="s">
        <v>74</v>
      </c>
      <c r="AY5" s="19" t="s">
        <v>74</v>
      </c>
      <c r="AZ5" s="19" t="s">
        <v>74</v>
      </c>
      <c r="BA5" s="19" t="s">
        <v>74</v>
      </c>
      <c r="BB5" s="19" t="s">
        <v>74</v>
      </c>
      <c r="BC5" s="19" t="s">
        <v>74</v>
      </c>
      <c r="BD5" s="19">
        <v>549</v>
      </c>
      <c r="BE5" s="19" t="s">
        <v>1237</v>
      </c>
      <c r="BF5" s="19">
        <v>0</v>
      </c>
      <c r="BG5" s="19" t="s">
        <v>74</v>
      </c>
      <c r="BH5" s="19" t="s">
        <v>74</v>
      </c>
      <c r="BI5" s="19">
        <v>18</v>
      </c>
      <c r="BJ5" s="19" t="s">
        <v>1238</v>
      </c>
      <c r="BK5" s="19" t="s">
        <v>102</v>
      </c>
      <c r="BL5" s="19" t="s">
        <v>1239</v>
      </c>
      <c r="BM5" s="19" t="s">
        <v>1240</v>
      </c>
      <c r="BN5" s="19" t="s">
        <v>74</v>
      </c>
      <c r="BO5" s="19" t="s">
        <v>614</v>
      </c>
      <c r="BP5" s="19" t="s">
        <v>74</v>
      </c>
      <c r="BQ5" s="19" t="s">
        <v>74</v>
      </c>
      <c r="BR5" s="19" t="s">
        <v>12946</v>
      </c>
      <c r="BS5" s="19" t="s">
        <v>1241</v>
      </c>
      <c r="BT5" s="19">
        <v>0</v>
      </c>
    </row>
    <row r="6" spans="1:72" x14ac:dyDescent="0.25">
      <c r="A6" s="19" t="s">
        <v>72</v>
      </c>
      <c r="B6" s="19" t="s">
        <v>8506</v>
      </c>
      <c r="C6" s="19" t="s">
        <v>74</v>
      </c>
      <c r="D6" s="19" t="s">
        <v>74</v>
      </c>
      <c r="E6" s="19" t="s">
        <v>74</v>
      </c>
      <c r="F6" s="19" t="s">
        <v>8507</v>
      </c>
      <c r="G6" s="19" t="s">
        <v>74</v>
      </c>
      <c r="H6" s="19" t="s">
        <v>74</v>
      </c>
      <c r="I6" s="19" t="s">
        <v>8508</v>
      </c>
      <c r="J6" s="19" t="s">
        <v>4309</v>
      </c>
      <c r="K6" s="19" t="s">
        <v>74</v>
      </c>
      <c r="L6" s="19" t="s">
        <v>74</v>
      </c>
      <c r="M6" s="19" t="s">
        <v>78</v>
      </c>
      <c r="N6" s="19" t="s">
        <v>79</v>
      </c>
      <c r="O6" s="19" t="s">
        <v>74</v>
      </c>
      <c r="P6" s="19" t="s">
        <v>74</v>
      </c>
      <c r="Q6" s="19" t="s">
        <v>74</v>
      </c>
      <c r="R6" s="19" t="s">
        <v>74</v>
      </c>
      <c r="S6" s="19" t="s">
        <v>74</v>
      </c>
      <c r="T6" s="19" t="s">
        <v>8509</v>
      </c>
      <c r="U6" s="19" t="s">
        <v>74</v>
      </c>
      <c r="V6" s="19" t="s">
        <v>8510</v>
      </c>
      <c r="W6" s="19" t="s">
        <v>8511</v>
      </c>
      <c r="X6" s="19" t="s">
        <v>74</v>
      </c>
      <c r="Y6" s="19" t="s">
        <v>8512</v>
      </c>
      <c r="Z6" s="19" t="s">
        <v>8513</v>
      </c>
      <c r="AA6" s="19" t="s">
        <v>74</v>
      </c>
      <c r="AB6" s="19" t="s">
        <v>74</v>
      </c>
      <c r="AC6" s="19" t="s">
        <v>74</v>
      </c>
      <c r="AD6" s="19" t="s">
        <v>74</v>
      </c>
      <c r="AE6" s="19" t="s">
        <v>74</v>
      </c>
      <c r="AF6" s="19" t="s">
        <v>74</v>
      </c>
      <c r="AG6" s="19">
        <v>20</v>
      </c>
      <c r="AH6" s="19">
        <v>0</v>
      </c>
      <c r="AI6" s="19">
        <v>0</v>
      </c>
      <c r="AJ6" s="19">
        <v>0</v>
      </c>
      <c r="AK6" s="19">
        <v>10</v>
      </c>
      <c r="AL6" s="19" t="s">
        <v>4315</v>
      </c>
      <c r="AM6" s="19" t="s">
        <v>4316</v>
      </c>
      <c r="AN6" s="19" t="s">
        <v>4317</v>
      </c>
      <c r="AO6" s="19" t="s">
        <v>4318</v>
      </c>
      <c r="AP6" s="19" t="s">
        <v>74</v>
      </c>
      <c r="AQ6" s="19" t="s">
        <v>74</v>
      </c>
      <c r="AR6" s="19" t="s">
        <v>4319</v>
      </c>
      <c r="AS6" s="19" t="s">
        <v>4320</v>
      </c>
      <c r="AT6" s="19" t="s">
        <v>6990</v>
      </c>
      <c r="AU6" s="19">
        <v>2020</v>
      </c>
      <c r="AV6" s="19">
        <v>8</v>
      </c>
      <c r="AW6" s="19">
        <v>1</v>
      </c>
      <c r="AX6" s="19" t="s">
        <v>74</v>
      </c>
      <c r="AY6" s="19" t="s">
        <v>74</v>
      </c>
      <c r="AZ6" s="19" t="s">
        <v>74</v>
      </c>
      <c r="BA6" s="19" t="s">
        <v>74</v>
      </c>
      <c r="BB6" s="19">
        <v>33</v>
      </c>
      <c r="BC6" s="19">
        <v>44</v>
      </c>
      <c r="BD6" s="19" t="s">
        <v>74</v>
      </c>
      <c r="BE6" s="19" t="s">
        <v>74</v>
      </c>
      <c r="BF6" s="19" t="s">
        <v>74</v>
      </c>
      <c r="BG6" s="19" t="s">
        <v>74</v>
      </c>
      <c r="BH6" s="19" t="s">
        <v>74</v>
      </c>
      <c r="BI6" s="19">
        <v>12</v>
      </c>
      <c r="BJ6" s="19" t="s">
        <v>4321</v>
      </c>
      <c r="BK6" s="19" t="s">
        <v>183</v>
      </c>
      <c r="BL6" s="19" t="s">
        <v>4321</v>
      </c>
      <c r="BM6" s="19" t="s">
        <v>8514</v>
      </c>
      <c r="BN6" s="19" t="s">
        <v>74</v>
      </c>
      <c r="BO6" s="19" t="s">
        <v>74</v>
      </c>
      <c r="BP6" s="19" t="s">
        <v>74</v>
      </c>
      <c r="BQ6" s="19" t="s">
        <v>74</v>
      </c>
      <c r="BR6" s="19" t="s">
        <v>12946</v>
      </c>
      <c r="BS6" s="19" t="s">
        <v>8515</v>
      </c>
      <c r="BT6" s="19">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6"/>
  <sheetViews>
    <sheetView workbookViewId="0">
      <selection sqref="A1:BT6"/>
    </sheetView>
  </sheetViews>
  <sheetFormatPr baseColWidth="10" defaultColWidth="8.7265625" defaultRowHeight="12.5" x14ac:dyDescent="0.25"/>
  <sheetData>
    <row r="1" spans="1:72" x14ac:dyDescent="0.25">
      <c r="A1" s="20" t="s">
        <v>0</v>
      </c>
      <c r="B1" s="20" t="s">
        <v>1</v>
      </c>
      <c r="C1" s="20" t="s">
        <v>2</v>
      </c>
      <c r="D1" s="20" t="s">
        <v>3</v>
      </c>
      <c r="E1" s="20" t="s">
        <v>4</v>
      </c>
      <c r="F1" s="20" t="s">
        <v>5</v>
      </c>
      <c r="G1" s="20" t="s">
        <v>6</v>
      </c>
      <c r="H1" s="20" t="s">
        <v>7</v>
      </c>
      <c r="I1" s="20" t="s">
        <v>8</v>
      </c>
      <c r="J1" s="20" t="s">
        <v>9</v>
      </c>
      <c r="K1" s="20" t="s">
        <v>10</v>
      </c>
      <c r="L1" s="20" t="s">
        <v>11</v>
      </c>
      <c r="M1" s="20" t="s">
        <v>12</v>
      </c>
      <c r="N1" s="20" t="s">
        <v>13</v>
      </c>
      <c r="O1" s="20" t="s">
        <v>14</v>
      </c>
      <c r="P1" s="20" t="s">
        <v>15</v>
      </c>
      <c r="Q1" s="20" t="s">
        <v>16</v>
      </c>
      <c r="R1" s="20" t="s">
        <v>17</v>
      </c>
      <c r="S1" s="20" t="s">
        <v>18</v>
      </c>
      <c r="T1" s="20" t="s">
        <v>19</v>
      </c>
      <c r="U1" s="20" t="s">
        <v>20</v>
      </c>
      <c r="V1" s="20" t="s">
        <v>21</v>
      </c>
      <c r="W1" s="20" t="s">
        <v>22</v>
      </c>
      <c r="X1" s="20" t="s">
        <v>23</v>
      </c>
      <c r="Y1" s="20" t="s">
        <v>24</v>
      </c>
      <c r="Z1" s="20" t="s">
        <v>25</v>
      </c>
      <c r="AA1" s="20" t="s">
        <v>26</v>
      </c>
      <c r="AB1" s="20" t="s">
        <v>27</v>
      </c>
      <c r="AC1" s="20" t="s">
        <v>28</v>
      </c>
      <c r="AD1" s="20" t="s">
        <v>29</v>
      </c>
      <c r="AE1" s="20" t="s">
        <v>30</v>
      </c>
      <c r="AF1" s="20" t="s">
        <v>31</v>
      </c>
      <c r="AG1" s="20" t="s">
        <v>32</v>
      </c>
      <c r="AH1" s="20" t="s">
        <v>33</v>
      </c>
      <c r="AI1" s="20" t="s">
        <v>34</v>
      </c>
      <c r="AJ1" s="20" t="s">
        <v>35</v>
      </c>
      <c r="AK1" s="20" t="s">
        <v>36</v>
      </c>
      <c r="AL1" s="20" t="s">
        <v>37</v>
      </c>
      <c r="AM1" s="20" t="s">
        <v>38</v>
      </c>
      <c r="AN1" s="20" t="s">
        <v>39</v>
      </c>
      <c r="AO1" s="20" t="s">
        <v>40</v>
      </c>
      <c r="AP1" s="20" t="s">
        <v>41</v>
      </c>
      <c r="AQ1" s="20" t="s">
        <v>42</v>
      </c>
      <c r="AR1" s="20" t="s">
        <v>43</v>
      </c>
      <c r="AS1" s="20" t="s">
        <v>44</v>
      </c>
      <c r="AT1" s="20" t="s">
        <v>45</v>
      </c>
      <c r="AU1" s="20" t="s">
        <v>46</v>
      </c>
      <c r="AV1" s="20" t="s">
        <v>47</v>
      </c>
      <c r="AW1" s="20" t="s">
        <v>48</v>
      </c>
      <c r="AX1" s="20" t="s">
        <v>49</v>
      </c>
      <c r="AY1" s="20" t="s">
        <v>50</v>
      </c>
      <c r="AZ1" s="20" t="s">
        <v>51</v>
      </c>
      <c r="BA1" s="20" t="s">
        <v>52</v>
      </c>
      <c r="BB1" s="20" t="s">
        <v>53</v>
      </c>
      <c r="BC1" s="20" t="s">
        <v>54</v>
      </c>
      <c r="BD1" s="20" t="s">
        <v>55</v>
      </c>
      <c r="BE1" s="20" t="s">
        <v>56</v>
      </c>
      <c r="BF1" s="20" t="s">
        <v>57</v>
      </c>
      <c r="BG1" s="20" t="s">
        <v>58</v>
      </c>
      <c r="BH1" s="20" t="s">
        <v>59</v>
      </c>
      <c r="BI1" s="20" t="s">
        <v>60</v>
      </c>
      <c r="BJ1" s="20" t="s">
        <v>61</v>
      </c>
      <c r="BK1" s="20" t="s">
        <v>62</v>
      </c>
      <c r="BL1" s="20" t="s">
        <v>63</v>
      </c>
      <c r="BM1" s="20" t="s">
        <v>64</v>
      </c>
      <c r="BN1" s="20" t="s">
        <v>65</v>
      </c>
      <c r="BO1" s="20" t="s">
        <v>66</v>
      </c>
      <c r="BP1" s="20" t="s">
        <v>67</v>
      </c>
      <c r="BQ1" s="20" t="s">
        <v>68</v>
      </c>
      <c r="BR1" s="20" t="s">
        <v>69</v>
      </c>
      <c r="BS1" s="20" t="s">
        <v>70</v>
      </c>
      <c r="BT1" s="20" t="s">
        <v>71</v>
      </c>
    </row>
    <row r="2" spans="1:72" x14ac:dyDescent="0.25">
      <c r="A2" s="20" t="s">
        <v>72</v>
      </c>
      <c r="B2" s="20" t="s">
        <v>12894</v>
      </c>
      <c r="C2" s="20" t="s">
        <v>74</v>
      </c>
      <c r="D2" s="20" t="s">
        <v>74</v>
      </c>
      <c r="E2" s="20" t="s">
        <v>74</v>
      </c>
      <c r="F2" s="20" t="s">
        <v>12894</v>
      </c>
      <c r="G2" s="20" t="s">
        <v>74</v>
      </c>
      <c r="H2" s="20" t="s">
        <v>74</v>
      </c>
      <c r="I2" s="20" t="s">
        <v>12895</v>
      </c>
      <c r="J2" s="20" t="s">
        <v>12896</v>
      </c>
      <c r="K2" s="20" t="s">
        <v>74</v>
      </c>
      <c r="L2" s="20" t="s">
        <v>74</v>
      </c>
      <c r="M2" s="20" t="s">
        <v>78</v>
      </c>
      <c r="N2" s="20" t="s">
        <v>79</v>
      </c>
      <c r="O2" s="20" t="s">
        <v>74</v>
      </c>
      <c r="P2" s="20" t="s">
        <v>74</v>
      </c>
      <c r="Q2" s="20" t="s">
        <v>74</v>
      </c>
      <c r="R2" s="20" t="s">
        <v>74</v>
      </c>
      <c r="S2" s="20" t="s">
        <v>74</v>
      </c>
      <c r="T2" s="20" t="s">
        <v>12897</v>
      </c>
      <c r="U2" s="20" t="s">
        <v>12898</v>
      </c>
      <c r="V2" s="20" t="s">
        <v>12899</v>
      </c>
      <c r="W2" s="20" t="s">
        <v>12900</v>
      </c>
      <c r="X2" s="20" t="s">
        <v>13395</v>
      </c>
      <c r="Y2" s="20" t="s">
        <v>12902</v>
      </c>
      <c r="Z2" s="20" t="s">
        <v>74</v>
      </c>
      <c r="AA2" s="20" t="s">
        <v>74</v>
      </c>
      <c r="AB2" s="20" t="s">
        <v>74</v>
      </c>
      <c r="AC2" s="20" t="s">
        <v>74</v>
      </c>
      <c r="AD2" s="20" t="s">
        <v>74</v>
      </c>
      <c r="AE2" s="20" t="s">
        <v>74</v>
      </c>
      <c r="AF2" s="20" t="s">
        <v>74</v>
      </c>
      <c r="AG2" s="20">
        <v>26</v>
      </c>
      <c r="AH2" s="20">
        <v>37</v>
      </c>
      <c r="AI2" s="20">
        <v>37</v>
      </c>
      <c r="AJ2" s="20">
        <v>0</v>
      </c>
      <c r="AK2" s="20">
        <v>0</v>
      </c>
      <c r="AL2" s="20" t="s">
        <v>12903</v>
      </c>
      <c r="AM2" s="20" t="s">
        <v>12904</v>
      </c>
      <c r="AN2" s="20" t="s">
        <v>12905</v>
      </c>
      <c r="AO2" s="20" t="s">
        <v>12906</v>
      </c>
      <c r="AP2" s="20" t="s">
        <v>74</v>
      </c>
      <c r="AQ2" s="20" t="s">
        <v>74</v>
      </c>
      <c r="AR2" s="20" t="s">
        <v>12907</v>
      </c>
      <c r="AS2" s="20" t="s">
        <v>12908</v>
      </c>
      <c r="AT2" s="20" t="s">
        <v>1138</v>
      </c>
      <c r="AU2" s="20">
        <v>1995</v>
      </c>
      <c r="AV2" s="20">
        <v>3</v>
      </c>
      <c r="AW2" s="20">
        <v>2</v>
      </c>
      <c r="AX2" s="20" t="s">
        <v>74</v>
      </c>
      <c r="AY2" s="20" t="s">
        <v>74</v>
      </c>
      <c r="AZ2" s="20" t="s">
        <v>74</v>
      </c>
      <c r="BA2" s="20" t="s">
        <v>74</v>
      </c>
      <c r="BB2" s="20">
        <v>95</v>
      </c>
      <c r="BC2" s="20">
        <v>108</v>
      </c>
      <c r="BD2" s="20" t="s">
        <v>74</v>
      </c>
      <c r="BE2" s="20" t="s">
        <v>74</v>
      </c>
      <c r="BF2" s="20" t="s">
        <v>74</v>
      </c>
      <c r="BG2" s="20" t="s">
        <v>74</v>
      </c>
      <c r="BH2" s="20" t="s">
        <v>74</v>
      </c>
      <c r="BI2" s="20">
        <v>14</v>
      </c>
      <c r="BJ2" s="20" t="s">
        <v>12909</v>
      </c>
      <c r="BK2" s="20" t="s">
        <v>102</v>
      </c>
      <c r="BL2" s="20" t="s">
        <v>103</v>
      </c>
      <c r="BM2" s="20" t="s">
        <v>12910</v>
      </c>
      <c r="BN2" s="20" t="s">
        <v>74</v>
      </c>
      <c r="BO2" s="20" t="s">
        <v>74</v>
      </c>
      <c r="BP2" s="20" t="s">
        <v>74</v>
      </c>
      <c r="BQ2" s="20" t="s">
        <v>74</v>
      </c>
      <c r="BR2" s="20" t="s">
        <v>12946</v>
      </c>
      <c r="BS2" s="20" t="s">
        <v>12911</v>
      </c>
      <c r="BT2" s="20">
        <v>0</v>
      </c>
    </row>
    <row r="3" spans="1:72" x14ac:dyDescent="0.25">
      <c r="A3" s="20" t="s">
        <v>72</v>
      </c>
      <c r="B3" s="20" t="s">
        <v>10812</v>
      </c>
      <c r="C3" s="20" t="s">
        <v>74</v>
      </c>
      <c r="D3" s="20" t="s">
        <v>74</v>
      </c>
      <c r="E3" s="20" t="s">
        <v>74</v>
      </c>
      <c r="F3" s="20" t="s">
        <v>10813</v>
      </c>
      <c r="G3" s="20" t="s">
        <v>74</v>
      </c>
      <c r="H3" s="20" t="s">
        <v>74</v>
      </c>
      <c r="I3" s="20" t="s">
        <v>10814</v>
      </c>
      <c r="J3" s="20" t="s">
        <v>7292</v>
      </c>
      <c r="K3" s="20" t="s">
        <v>74</v>
      </c>
      <c r="L3" s="20" t="s">
        <v>74</v>
      </c>
      <c r="M3" s="20" t="s">
        <v>2751</v>
      </c>
      <c r="N3" s="20" t="s">
        <v>79</v>
      </c>
      <c r="O3" s="20" t="s">
        <v>74</v>
      </c>
      <c r="P3" s="20" t="s">
        <v>74</v>
      </c>
      <c r="Q3" s="20" t="s">
        <v>74</v>
      </c>
      <c r="R3" s="20" t="s">
        <v>74</v>
      </c>
      <c r="S3" s="20" t="s">
        <v>74</v>
      </c>
      <c r="T3" s="20" t="s">
        <v>10815</v>
      </c>
      <c r="U3" s="20" t="s">
        <v>74</v>
      </c>
      <c r="V3" s="20" t="s">
        <v>10816</v>
      </c>
      <c r="W3" s="20" t="s">
        <v>10817</v>
      </c>
      <c r="X3" s="20" t="s">
        <v>10818</v>
      </c>
      <c r="Y3" s="20" t="s">
        <v>10819</v>
      </c>
      <c r="Z3" s="20" t="s">
        <v>10820</v>
      </c>
      <c r="AA3" s="20" t="s">
        <v>10821</v>
      </c>
      <c r="AB3" s="20" t="s">
        <v>74</v>
      </c>
      <c r="AC3" s="20" t="s">
        <v>74</v>
      </c>
      <c r="AD3" s="20" t="s">
        <v>74</v>
      </c>
      <c r="AE3" s="20" t="s">
        <v>74</v>
      </c>
      <c r="AF3" s="20" t="s">
        <v>74</v>
      </c>
      <c r="AG3" s="20">
        <v>26</v>
      </c>
      <c r="AH3" s="20">
        <v>9</v>
      </c>
      <c r="AI3" s="20">
        <v>9</v>
      </c>
      <c r="AJ3" s="20">
        <v>0</v>
      </c>
      <c r="AK3" s="20">
        <v>29</v>
      </c>
      <c r="AL3" s="20" t="s">
        <v>7301</v>
      </c>
      <c r="AM3" s="20" t="s">
        <v>2764</v>
      </c>
      <c r="AN3" s="20" t="s">
        <v>7302</v>
      </c>
      <c r="AO3" s="20" t="s">
        <v>7303</v>
      </c>
      <c r="AP3" s="20" t="s">
        <v>74</v>
      </c>
      <c r="AQ3" s="20" t="s">
        <v>74</v>
      </c>
      <c r="AR3" s="20" t="s">
        <v>7304</v>
      </c>
      <c r="AS3" s="20" t="s">
        <v>7305</v>
      </c>
      <c r="AT3" s="20" t="s">
        <v>74</v>
      </c>
      <c r="AU3" s="20">
        <v>2017</v>
      </c>
      <c r="AV3" s="20">
        <v>12</v>
      </c>
      <c r="AW3" s="20">
        <v>4</v>
      </c>
      <c r="AX3" s="20" t="s">
        <v>74</v>
      </c>
      <c r="AY3" s="20" t="s">
        <v>74</v>
      </c>
      <c r="AZ3" s="20" t="s">
        <v>74</v>
      </c>
      <c r="BA3" s="20" t="s">
        <v>74</v>
      </c>
      <c r="BB3" s="20">
        <v>169</v>
      </c>
      <c r="BC3" s="20">
        <v>184</v>
      </c>
      <c r="BD3" s="20" t="s">
        <v>74</v>
      </c>
      <c r="BE3" s="20" t="s">
        <v>74</v>
      </c>
      <c r="BF3" s="20" t="s">
        <v>74</v>
      </c>
      <c r="BG3" s="20" t="s">
        <v>74</v>
      </c>
      <c r="BH3" s="20" t="s">
        <v>74</v>
      </c>
      <c r="BI3" s="20">
        <v>16</v>
      </c>
      <c r="BJ3" s="20" t="s">
        <v>977</v>
      </c>
      <c r="BK3" s="20" t="s">
        <v>183</v>
      </c>
      <c r="BL3" s="20" t="s">
        <v>977</v>
      </c>
      <c r="BM3" s="20" t="s">
        <v>10822</v>
      </c>
      <c r="BN3" s="20" t="s">
        <v>74</v>
      </c>
      <c r="BO3" s="20" t="s">
        <v>74</v>
      </c>
      <c r="BP3" s="20" t="s">
        <v>74</v>
      </c>
      <c r="BQ3" s="20" t="s">
        <v>74</v>
      </c>
      <c r="BR3" s="20" t="s">
        <v>12946</v>
      </c>
      <c r="BS3" s="20" t="s">
        <v>10823</v>
      </c>
      <c r="BT3" s="20">
        <v>0</v>
      </c>
    </row>
    <row r="4" spans="1:72" x14ac:dyDescent="0.25">
      <c r="A4" s="20" t="s">
        <v>72</v>
      </c>
      <c r="B4" s="20" t="s">
        <v>8154</v>
      </c>
      <c r="C4" s="20" t="s">
        <v>74</v>
      </c>
      <c r="D4" s="20" t="s">
        <v>74</v>
      </c>
      <c r="E4" s="20" t="s">
        <v>74</v>
      </c>
      <c r="F4" s="20" t="s">
        <v>8155</v>
      </c>
      <c r="G4" s="20" t="s">
        <v>74</v>
      </c>
      <c r="H4" s="20" t="s">
        <v>74</v>
      </c>
      <c r="I4" s="20" t="s">
        <v>8156</v>
      </c>
      <c r="J4" s="20" t="s">
        <v>8157</v>
      </c>
      <c r="K4" s="20" t="s">
        <v>74</v>
      </c>
      <c r="L4" s="20" t="s">
        <v>74</v>
      </c>
      <c r="M4" s="20" t="s">
        <v>78</v>
      </c>
      <c r="N4" s="20" t="s">
        <v>79</v>
      </c>
      <c r="O4" s="20" t="s">
        <v>74</v>
      </c>
      <c r="P4" s="20" t="s">
        <v>74</v>
      </c>
      <c r="Q4" s="20" t="s">
        <v>74</v>
      </c>
      <c r="R4" s="20" t="s">
        <v>74</v>
      </c>
      <c r="S4" s="20" t="s">
        <v>74</v>
      </c>
      <c r="T4" s="20" t="s">
        <v>8158</v>
      </c>
      <c r="U4" s="20" t="s">
        <v>8159</v>
      </c>
      <c r="V4" s="20" t="s">
        <v>8160</v>
      </c>
      <c r="W4" s="20" t="s">
        <v>8161</v>
      </c>
      <c r="X4" s="20" t="s">
        <v>8162</v>
      </c>
      <c r="Y4" s="20" t="s">
        <v>8163</v>
      </c>
      <c r="Z4" s="20" t="s">
        <v>8164</v>
      </c>
      <c r="AA4" s="20" t="s">
        <v>13396</v>
      </c>
      <c r="AB4" s="20" t="s">
        <v>13397</v>
      </c>
      <c r="AC4" s="20" t="s">
        <v>8167</v>
      </c>
      <c r="AD4" s="20" t="s">
        <v>8168</v>
      </c>
      <c r="AE4" s="20" t="s">
        <v>8169</v>
      </c>
      <c r="AF4" s="20" t="s">
        <v>74</v>
      </c>
      <c r="AG4" s="20">
        <v>36</v>
      </c>
      <c r="AH4" s="20">
        <v>7</v>
      </c>
      <c r="AI4" s="20">
        <v>7</v>
      </c>
      <c r="AJ4" s="20">
        <v>1</v>
      </c>
      <c r="AK4" s="20">
        <v>11</v>
      </c>
      <c r="AL4" s="20" t="s">
        <v>8170</v>
      </c>
      <c r="AM4" s="20" t="s">
        <v>1383</v>
      </c>
      <c r="AN4" s="20" t="s">
        <v>8171</v>
      </c>
      <c r="AO4" s="20" t="s">
        <v>8172</v>
      </c>
      <c r="AP4" s="20" t="s">
        <v>8173</v>
      </c>
      <c r="AQ4" s="20" t="s">
        <v>74</v>
      </c>
      <c r="AR4" s="20" t="s">
        <v>8174</v>
      </c>
      <c r="AS4" s="20" t="s">
        <v>8175</v>
      </c>
      <c r="AT4" s="20" t="s">
        <v>1683</v>
      </c>
      <c r="AU4" s="20">
        <v>2020</v>
      </c>
      <c r="AV4" s="20">
        <v>180</v>
      </c>
      <c r="AW4" s="20" t="s">
        <v>74</v>
      </c>
      <c r="AX4" s="20" t="s">
        <v>74</v>
      </c>
      <c r="AY4" s="20" t="s">
        <v>74</v>
      </c>
      <c r="AZ4" s="20" t="s">
        <v>74</v>
      </c>
      <c r="BA4" s="20" t="s">
        <v>74</v>
      </c>
      <c r="BB4" s="20" t="s">
        <v>74</v>
      </c>
      <c r="BC4" s="20" t="s">
        <v>74</v>
      </c>
      <c r="BD4" s="20">
        <v>106121</v>
      </c>
      <c r="BE4" s="20" t="s">
        <v>8176</v>
      </c>
      <c r="BF4" s="20">
        <v>0</v>
      </c>
      <c r="BG4" s="20" t="s">
        <v>74</v>
      </c>
      <c r="BH4" s="20" t="s">
        <v>74</v>
      </c>
      <c r="BI4" s="20">
        <v>13</v>
      </c>
      <c r="BJ4" s="20" t="s">
        <v>7483</v>
      </c>
      <c r="BK4" s="20" t="s">
        <v>102</v>
      </c>
      <c r="BL4" s="20" t="s">
        <v>1685</v>
      </c>
      <c r="BM4" s="20" t="s">
        <v>8177</v>
      </c>
      <c r="BN4" s="20" t="s">
        <v>74</v>
      </c>
      <c r="BO4" s="20" t="s">
        <v>74</v>
      </c>
      <c r="BP4" s="20" t="s">
        <v>74</v>
      </c>
      <c r="BQ4" s="20" t="s">
        <v>74</v>
      </c>
      <c r="BR4" s="20" t="s">
        <v>12946</v>
      </c>
      <c r="BS4" s="20" t="s">
        <v>8178</v>
      </c>
      <c r="BT4" s="20">
        <v>0</v>
      </c>
    </row>
    <row r="5" spans="1:72" x14ac:dyDescent="0.25">
      <c r="A5" s="20" t="s">
        <v>72</v>
      </c>
      <c r="B5" s="20" t="s">
        <v>12631</v>
      </c>
      <c r="C5" s="20" t="s">
        <v>74</v>
      </c>
      <c r="D5" s="20" t="s">
        <v>74</v>
      </c>
      <c r="E5" s="20" t="s">
        <v>74</v>
      </c>
      <c r="F5" s="20" t="s">
        <v>12632</v>
      </c>
      <c r="G5" s="20" t="s">
        <v>74</v>
      </c>
      <c r="H5" s="20" t="s">
        <v>74</v>
      </c>
      <c r="I5" s="20" t="s">
        <v>12633</v>
      </c>
      <c r="J5" s="20" t="s">
        <v>12634</v>
      </c>
      <c r="K5" s="20" t="s">
        <v>74</v>
      </c>
      <c r="L5" s="20" t="s">
        <v>74</v>
      </c>
      <c r="M5" s="20" t="s">
        <v>78</v>
      </c>
      <c r="N5" s="20" t="s">
        <v>79</v>
      </c>
      <c r="O5" s="20" t="s">
        <v>74</v>
      </c>
      <c r="P5" s="20" t="s">
        <v>74</v>
      </c>
      <c r="Q5" s="20" t="s">
        <v>74</v>
      </c>
      <c r="R5" s="20" t="s">
        <v>74</v>
      </c>
      <c r="S5" s="20" t="s">
        <v>74</v>
      </c>
      <c r="T5" s="20" t="s">
        <v>12635</v>
      </c>
      <c r="U5" s="20" t="s">
        <v>74</v>
      </c>
      <c r="V5" s="20" t="s">
        <v>12636</v>
      </c>
      <c r="W5" s="20" t="s">
        <v>12637</v>
      </c>
      <c r="X5" s="20" t="s">
        <v>12638</v>
      </c>
      <c r="Y5" s="20" t="s">
        <v>12639</v>
      </c>
      <c r="Z5" s="20" t="s">
        <v>12640</v>
      </c>
      <c r="AA5" s="20" t="s">
        <v>74</v>
      </c>
      <c r="AB5" s="20" t="s">
        <v>12641</v>
      </c>
      <c r="AC5" s="20" t="s">
        <v>12642</v>
      </c>
      <c r="AD5" s="20" t="s">
        <v>12643</v>
      </c>
      <c r="AE5" s="20" t="s">
        <v>12644</v>
      </c>
      <c r="AF5" s="20" t="s">
        <v>74</v>
      </c>
      <c r="AG5" s="20">
        <v>9</v>
      </c>
      <c r="AH5" s="20">
        <v>2</v>
      </c>
      <c r="AI5" s="20">
        <v>2</v>
      </c>
      <c r="AJ5" s="20">
        <v>0</v>
      </c>
      <c r="AK5" s="20">
        <v>3</v>
      </c>
      <c r="AL5" s="20" t="s">
        <v>254</v>
      </c>
      <c r="AM5" s="20" t="s">
        <v>255</v>
      </c>
      <c r="AN5" s="20" t="s">
        <v>256</v>
      </c>
      <c r="AO5" s="20" t="s">
        <v>12645</v>
      </c>
      <c r="AP5" s="20" t="s">
        <v>12646</v>
      </c>
      <c r="AQ5" s="20" t="s">
        <v>74</v>
      </c>
      <c r="AR5" s="20" t="s">
        <v>12647</v>
      </c>
      <c r="AS5" s="20" t="s">
        <v>12648</v>
      </c>
      <c r="AT5" s="20" t="s">
        <v>12649</v>
      </c>
      <c r="AU5" s="20">
        <v>2008</v>
      </c>
      <c r="AV5" s="20">
        <v>8</v>
      </c>
      <c r="AW5" s="20">
        <v>4</v>
      </c>
      <c r="AX5" s="20" t="s">
        <v>74</v>
      </c>
      <c r="AY5" s="20" t="s">
        <v>74</v>
      </c>
      <c r="AZ5" s="20" t="s">
        <v>74</v>
      </c>
      <c r="BA5" s="20" t="s">
        <v>74</v>
      </c>
      <c r="BB5" s="20">
        <v>363</v>
      </c>
      <c r="BC5" s="20">
        <v>370</v>
      </c>
      <c r="BD5" s="20" t="s">
        <v>74</v>
      </c>
      <c r="BE5" s="20" t="s">
        <v>74</v>
      </c>
      <c r="BF5" s="20" t="s">
        <v>74</v>
      </c>
      <c r="BG5" s="20" t="s">
        <v>74</v>
      </c>
      <c r="BH5" s="20" t="s">
        <v>74</v>
      </c>
      <c r="BI5" s="20">
        <v>8</v>
      </c>
      <c r="BJ5" s="20" t="s">
        <v>7483</v>
      </c>
      <c r="BK5" s="20" t="s">
        <v>102</v>
      </c>
      <c r="BL5" s="20" t="s">
        <v>1685</v>
      </c>
      <c r="BM5" s="20" t="s">
        <v>12650</v>
      </c>
      <c r="BN5" s="20" t="s">
        <v>74</v>
      </c>
      <c r="BO5" s="20" t="s">
        <v>74</v>
      </c>
      <c r="BP5" s="20" t="s">
        <v>74</v>
      </c>
      <c r="BQ5" s="20" t="s">
        <v>74</v>
      </c>
      <c r="BR5" s="20" t="s">
        <v>12946</v>
      </c>
      <c r="BS5" s="20" t="s">
        <v>12651</v>
      </c>
      <c r="BT5" s="20">
        <v>0</v>
      </c>
    </row>
    <row r="6" spans="1:72" x14ac:dyDescent="0.25">
      <c r="A6" s="20" t="s">
        <v>72</v>
      </c>
      <c r="B6" s="20" t="s">
        <v>4306</v>
      </c>
      <c r="C6" s="20" t="s">
        <v>74</v>
      </c>
      <c r="D6" s="20" t="s">
        <v>74</v>
      </c>
      <c r="E6" s="20" t="s">
        <v>74</v>
      </c>
      <c r="F6" s="20" t="s">
        <v>4307</v>
      </c>
      <c r="G6" s="20" t="s">
        <v>74</v>
      </c>
      <c r="H6" s="20" t="s">
        <v>74</v>
      </c>
      <c r="I6" s="20" t="s">
        <v>4308</v>
      </c>
      <c r="J6" s="20" t="s">
        <v>4309</v>
      </c>
      <c r="K6" s="20" t="s">
        <v>74</v>
      </c>
      <c r="L6" s="20" t="s">
        <v>74</v>
      </c>
      <c r="M6" s="20" t="s">
        <v>78</v>
      </c>
      <c r="N6" s="20" t="s">
        <v>79</v>
      </c>
      <c r="O6" s="20" t="s">
        <v>74</v>
      </c>
      <c r="P6" s="20" t="s">
        <v>74</v>
      </c>
      <c r="Q6" s="20" t="s">
        <v>74</v>
      </c>
      <c r="R6" s="20" t="s">
        <v>74</v>
      </c>
      <c r="S6" s="20" t="s">
        <v>74</v>
      </c>
      <c r="T6" s="20" t="s">
        <v>4310</v>
      </c>
      <c r="U6" s="20" t="s">
        <v>74</v>
      </c>
      <c r="V6" s="20" t="s">
        <v>4311</v>
      </c>
      <c r="W6" s="20" t="s">
        <v>4312</v>
      </c>
      <c r="X6" s="20" t="s">
        <v>74</v>
      </c>
      <c r="Y6" s="20" t="s">
        <v>4313</v>
      </c>
      <c r="Z6" s="20" t="s">
        <v>4314</v>
      </c>
      <c r="AA6" s="20" t="s">
        <v>74</v>
      </c>
      <c r="AB6" s="20" t="s">
        <v>74</v>
      </c>
      <c r="AC6" s="20" t="s">
        <v>74</v>
      </c>
      <c r="AD6" s="20" t="s">
        <v>74</v>
      </c>
      <c r="AE6" s="20" t="s">
        <v>74</v>
      </c>
      <c r="AF6" s="20" t="s">
        <v>74</v>
      </c>
      <c r="AG6" s="20">
        <v>20</v>
      </c>
      <c r="AH6" s="20">
        <v>1</v>
      </c>
      <c r="AI6" s="20">
        <v>1</v>
      </c>
      <c r="AJ6" s="20">
        <v>0</v>
      </c>
      <c r="AK6" s="20">
        <v>4</v>
      </c>
      <c r="AL6" s="20" t="s">
        <v>4315</v>
      </c>
      <c r="AM6" s="20" t="s">
        <v>4316</v>
      </c>
      <c r="AN6" s="20" t="s">
        <v>4317</v>
      </c>
      <c r="AO6" s="20" t="s">
        <v>4318</v>
      </c>
      <c r="AP6" s="20" t="s">
        <v>74</v>
      </c>
      <c r="AQ6" s="20" t="s">
        <v>74</v>
      </c>
      <c r="AR6" s="20" t="s">
        <v>4319</v>
      </c>
      <c r="AS6" s="20" t="s">
        <v>4320</v>
      </c>
      <c r="AT6" s="20" t="s">
        <v>1348</v>
      </c>
      <c r="AU6" s="20">
        <v>2022</v>
      </c>
      <c r="AV6" s="20">
        <v>10</v>
      </c>
      <c r="AW6" s="20">
        <v>2</v>
      </c>
      <c r="AX6" s="20" t="s">
        <v>74</v>
      </c>
      <c r="AY6" s="20" t="s">
        <v>74</v>
      </c>
      <c r="AZ6" s="20" t="s">
        <v>74</v>
      </c>
      <c r="BA6" s="20" t="s">
        <v>74</v>
      </c>
      <c r="BB6" s="20">
        <v>407</v>
      </c>
      <c r="BC6" s="20">
        <v>429</v>
      </c>
      <c r="BD6" s="20" t="s">
        <v>74</v>
      </c>
      <c r="BE6" s="20" t="s">
        <v>74</v>
      </c>
      <c r="BF6" s="20" t="s">
        <v>74</v>
      </c>
      <c r="BG6" s="20" t="s">
        <v>74</v>
      </c>
      <c r="BH6" s="20" t="s">
        <v>74</v>
      </c>
      <c r="BI6" s="20">
        <v>22</v>
      </c>
      <c r="BJ6" s="20" t="s">
        <v>4321</v>
      </c>
      <c r="BK6" s="20" t="s">
        <v>183</v>
      </c>
      <c r="BL6" s="20" t="s">
        <v>4321</v>
      </c>
      <c r="BM6" s="20" t="s">
        <v>4322</v>
      </c>
      <c r="BN6" s="20" t="s">
        <v>74</v>
      </c>
      <c r="BO6" s="20" t="s">
        <v>74</v>
      </c>
      <c r="BP6" s="20" t="s">
        <v>74</v>
      </c>
      <c r="BQ6" s="20" t="s">
        <v>74</v>
      </c>
      <c r="BR6" s="20" t="s">
        <v>12946</v>
      </c>
      <c r="BS6" s="20" t="s">
        <v>4323</v>
      </c>
      <c r="BT6" s="20">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T5"/>
  <sheetViews>
    <sheetView workbookViewId="0">
      <selection sqref="A1:BT5"/>
    </sheetView>
  </sheetViews>
  <sheetFormatPr baseColWidth="10" defaultColWidth="8.7265625" defaultRowHeight="12.5" x14ac:dyDescent="0.25"/>
  <sheetData>
    <row r="1" spans="1:72" x14ac:dyDescent="0.25">
      <c r="A1" s="21" t="s">
        <v>0</v>
      </c>
      <c r="B1" s="21" t="s">
        <v>1</v>
      </c>
      <c r="C1" s="21" t="s">
        <v>2</v>
      </c>
      <c r="D1" s="21" t="s">
        <v>3</v>
      </c>
      <c r="E1" s="21" t="s">
        <v>4</v>
      </c>
      <c r="F1" s="21" t="s">
        <v>5</v>
      </c>
      <c r="G1" s="21" t="s">
        <v>6</v>
      </c>
      <c r="H1" s="21" t="s">
        <v>7</v>
      </c>
      <c r="I1" s="21" t="s">
        <v>8</v>
      </c>
      <c r="J1" s="21" t="s">
        <v>9</v>
      </c>
      <c r="K1" s="21" t="s">
        <v>10</v>
      </c>
      <c r="L1" s="21" t="s">
        <v>11</v>
      </c>
      <c r="M1" s="21" t="s">
        <v>12</v>
      </c>
      <c r="N1" s="21" t="s">
        <v>13</v>
      </c>
      <c r="O1" s="21" t="s">
        <v>14</v>
      </c>
      <c r="P1" s="21" t="s">
        <v>15</v>
      </c>
      <c r="Q1" s="21" t="s">
        <v>16</v>
      </c>
      <c r="R1" s="21" t="s">
        <v>17</v>
      </c>
      <c r="S1" s="21" t="s">
        <v>18</v>
      </c>
      <c r="T1" s="21" t="s">
        <v>19</v>
      </c>
      <c r="U1" s="21" t="s">
        <v>20</v>
      </c>
      <c r="V1" s="21" t="s">
        <v>21</v>
      </c>
      <c r="W1" s="21" t="s">
        <v>22</v>
      </c>
      <c r="X1" s="21" t="s">
        <v>23</v>
      </c>
      <c r="Y1" s="21" t="s">
        <v>24</v>
      </c>
      <c r="Z1" s="21" t="s">
        <v>25</v>
      </c>
      <c r="AA1" s="21" t="s">
        <v>26</v>
      </c>
      <c r="AB1" s="21" t="s">
        <v>27</v>
      </c>
      <c r="AC1" s="21" t="s">
        <v>28</v>
      </c>
      <c r="AD1" s="21" t="s">
        <v>29</v>
      </c>
      <c r="AE1" s="21" t="s">
        <v>30</v>
      </c>
      <c r="AF1" s="21" t="s">
        <v>31</v>
      </c>
      <c r="AG1" s="21" t="s">
        <v>32</v>
      </c>
      <c r="AH1" s="21" t="s">
        <v>33</v>
      </c>
      <c r="AI1" s="21" t="s">
        <v>34</v>
      </c>
      <c r="AJ1" s="21" t="s">
        <v>35</v>
      </c>
      <c r="AK1" s="21" t="s">
        <v>36</v>
      </c>
      <c r="AL1" s="21" t="s">
        <v>37</v>
      </c>
      <c r="AM1" s="21" t="s">
        <v>38</v>
      </c>
      <c r="AN1" s="21" t="s">
        <v>39</v>
      </c>
      <c r="AO1" s="21" t="s">
        <v>40</v>
      </c>
      <c r="AP1" s="21" t="s">
        <v>41</v>
      </c>
      <c r="AQ1" s="21" t="s">
        <v>42</v>
      </c>
      <c r="AR1" s="21" t="s">
        <v>43</v>
      </c>
      <c r="AS1" s="21" t="s">
        <v>44</v>
      </c>
      <c r="AT1" s="21" t="s">
        <v>45</v>
      </c>
      <c r="AU1" s="21" t="s">
        <v>46</v>
      </c>
      <c r="AV1" s="21" t="s">
        <v>47</v>
      </c>
      <c r="AW1" s="21" t="s">
        <v>48</v>
      </c>
      <c r="AX1" s="21" t="s">
        <v>49</v>
      </c>
      <c r="AY1" s="21" t="s">
        <v>50</v>
      </c>
      <c r="AZ1" s="21" t="s">
        <v>51</v>
      </c>
      <c r="BA1" s="21" t="s">
        <v>52</v>
      </c>
      <c r="BB1" s="21" t="s">
        <v>53</v>
      </c>
      <c r="BC1" s="21" t="s">
        <v>54</v>
      </c>
      <c r="BD1" s="21" t="s">
        <v>55</v>
      </c>
      <c r="BE1" s="21" t="s">
        <v>56</v>
      </c>
      <c r="BF1" s="21" t="s">
        <v>57</v>
      </c>
      <c r="BG1" s="21" t="s">
        <v>58</v>
      </c>
      <c r="BH1" s="21" t="s">
        <v>59</v>
      </c>
      <c r="BI1" s="21" t="s">
        <v>60</v>
      </c>
      <c r="BJ1" s="21" t="s">
        <v>61</v>
      </c>
      <c r="BK1" s="21" t="s">
        <v>62</v>
      </c>
      <c r="BL1" s="21" t="s">
        <v>63</v>
      </c>
      <c r="BM1" s="21" t="s">
        <v>64</v>
      </c>
      <c r="BN1" s="21" t="s">
        <v>65</v>
      </c>
      <c r="BO1" s="21" t="s">
        <v>66</v>
      </c>
      <c r="BP1" s="21" t="s">
        <v>67</v>
      </c>
      <c r="BQ1" s="21" t="s">
        <v>68</v>
      </c>
      <c r="BR1" s="21" t="s">
        <v>69</v>
      </c>
      <c r="BS1" s="21" t="s">
        <v>70</v>
      </c>
      <c r="BT1" s="21" t="s">
        <v>71</v>
      </c>
    </row>
    <row r="2" spans="1:72" x14ac:dyDescent="0.25">
      <c r="A2" s="21" t="s">
        <v>72</v>
      </c>
      <c r="B2" s="21" t="s">
        <v>10620</v>
      </c>
      <c r="C2" s="21" t="s">
        <v>74</v>
      </c>
      <c r="D2" s="21" t="s">
        <v>74</v>
      </c>
      <c r="E2" s="21" t="s">
        <v>74</v>
      </c>
      <c r="F2" s="21" t="s">
        <v>10621</v>
      </c>
      <c r="G2" s="21" t="s">
        <v>74</v>
      </c>
      <c r="H2" s="21" t="s">
        <v>74</v>
      </c>
      <c r="I2" s="21" t="s">
        <v>10622</v>
      </c>
      <c r="J2" s="21" t="s">
        <v>10623</v>
      </c>
      <c r="K2" s="21" t="s">
        <v>74</v>
      </c>
      <c r="L2" s="21" t="s">
        <v>74</v>
      </c>
      <c r="M2" s="21" t="s">
        <v>78</v>
      </c>
      <c r="N2" s="21" t="s">
        <v>79</v>
      </c>
      <c r="O2" s="21" t="s">
        <v>74</v>
      </c>
      <c r="P2" s="21" t="s">
        <v>74</v>
      </c>
      <c r="Q2" s="21" t="s">
        <v>74</v>
      </c>
      <c r="R2" s="21" t="s">
        <v>74</v>
      </c>
      <c r="S2" s="21" t="s">
        <v>74</v>
      </c>
      <c r="T2" s="21" t="s">
        <v>10624</v>
      </c>
      <c r="U2" s="21" t="s">
        <v>10625</v>
      </c>
      <c r="V2" s="21" t="s">
        <v>10626</v>
      </c>
      <c r="W2" s="21" t="s">
        <v>10627</v>
      </c>
      <c r="X2" s="21" t="s">
        <v>10628</v>
      </c>
      <c r="Y2" s="21" t="s">
        <v>10629</v>
      </c>
      <c r="Z2" s="21" t="s">
        <v>10630</v>
      </c>
      <c r="AA2" s="21" t="s">
        <v>74</v>
      </c>
      <c r="AB2" s="21" t="s">
        <v>74</v>
      </c>
      <c r="AC2" s="21" t="s">
        <v>13398</v>
      </c>
      <c r="AD2" s="21" t="s">
        <v>10632</v>
      </c>
      <c r="AE2" s="21" t="s">
        <v>10633</v>
      </c>
      <c r="AF2" s="21" t="s">
        <v>74</v>
      </c>
      <c r="AG2" s="21">
        <v>57</v>
      </c>
      <c r="AH2" s="21">
        <v>6</v>
      </c>
      <c r="AI2" s="21">
        <v>6</v>
      </c>
      <c r="AJ2" s="21">
        <v>0</v>
      </c>
      <c r="AK2" s="21">
        <v>15</v>
      </c>
      <c r="AL2" s="21" t="s">
        <v>10634</v>
      </c>
      <c r="AM2" s="21" t="s">
        <v>10635</v>
      </c>
      <c r="AN2" s="21" t="s">
        <v>10636</v>
      </c>
      <c r="AO2" s="21" t="s">
        <v>10637</v>
      </c>
      <c r="AP2" s="21" t="s">
        <v>74</v>
      </c>
      <c r="AQ2" s="21" t="s">
        <v>74</v>
      </c>
      <c r="AR2" s="21" t="s">
        <v>10638</v>
      </c>
      <c r="AS2" s="21" t="s">
        <v>10639</v>
      </c>
      <c r="AT2" s="21" t="s">
        <v>10640</v>
      </c>
      <c r="AU2" s="21">
        <v>2017</v>
      </c>
      <c r="AV2" s="21" t="s">
        <v>74</v>
      </c>
      <c r="AW2" s="21">
        <v>53</v>
      </c>
      <c r="AX2" s="21" t="s">
        <v>74</v>
      </c>
      <c r="AY2" s="21" t="s">
        <v>74</v>
      </c>
      <c r="AZ2" s="21" t="s">
        <v>74</v>
      </c>
      <c r="BA2" s="21" t="s">
        <v>74</v>
      </c>
      <c r="BB2" s="21" t="s">
        <v>74</v>
      </c>
      <c r="BC2" s="21" t="s">
        <v>74</v>
      </c>
      <c r="BD2" s="21">
        <v>1</v>
      </c>
      <c r="BE2" s="21" t="s">
        <v>10641</v>
      </c>
      <c r="BF2" s="21">
        <v>0</v>
      </c>
      <c r="BG2" s="21" t="s">
        <v>74</v>
      </c>
      <c r="BH2" s="21" t="s">
        <v>74</v>
      </c>
      <c r="BI2" s="21">
        <v>22</v>
      </c>
      <c r="BJ2" s="21" t="s">
        <v>1326</v>
      </c>
      <c r="BK2" s="21" t="s">
        <v>183</v>
      </c>
      <c r="BL2" s="21" t="s">
        <v>1326</v>
      </c>
      <c r="BM2" s="21" t="s">
        <v>10642</v>
      </c>
      <c r="BN2" s="21" t="s">
        <v>74</v>
      </c>
      <c r="BO2" s="21" t="s">
        <v>4460</v>
      </c>
      <c r="BP2" s="21" t="s">
        <v>74</v>
      </c>
      <c r="BQ2" s="21" t="s">
        <v>74</v>
      </c>
      <c r="BR2" s="21" t="s">
        <v>12946</v>
      </c>
      <c r="BS2" s="21" t="s">
        <v>10643</v>
      </c>
      <c r="BT2" s="21">
        <v>0</v>
      </c>
    </row>
    <row r="3" spans="1:72" x14ac:dyDescent="0.25">
      <c r="A3" s="21" t="s">
        <v>72</v>
      </c>
      <c r="B3" s="21" t="s">
        <v>424</v>
      </c>
      <c r="C3" s="21" t="s">
        <v>74</v>
      </c>
      <c r="D3" s="21" t="s">
        <v>74</v>
      </c>
      <c r="E3" s="21" t="s">
        <v>74</v>
      </c>
      <c r="F3" s="21" t="s">
        <v>425</v>
      </c>
      <c r="G3" s="21" t="s">
        <v>74</v>
      </c>
      <c r="H3" s="21" t="s">
        <v>74</v>
      </c>
      <c r="I3" s="21" t="s">
        <v>426</v>
      </c>
      <c r="J3" s="21" t="s">
        <v>427</v>
      </c>
      <c r="K3" s="21" t="s">
        <v>74</v>
      </c>
      <c r="L3" s="21" t="s">
        <v>74</v>
      </c>
      <c r="M3" s="21" t="s">
        <v>78</v>
      </c>
      <c r="N3" s="21" t="s">
        <v>79</v>
      </c>
      <c r="O3" s="21" t="s">
        <v>74</v>
      </c>
      <c r="P3" s="21" t="s">
        <v>74</v>
      </c>
      <c r="Q3" s="21" t="s">
        <v>74</v>
      </c>
      <c r="R3" s="21" t="s">
        <v>74</v>
      </c>
      <c r="S3" s="21" t="s">
        <v>74</v>
      </c>
      <c r="T3" s="21" t="s">
        <v>428</v>
      </c>
      <c r="U3" s="21" t="s">
        <v>429</v>
      </c>
      <c r="V3" s="21" t="s">
        <v>430</v>
      </c>
      <c r="W3" s="21" t="s">
        <v>431</v>
      </c>
      <c r="X3" s="21" t="s">
        <v>432</v>
      </c>
      <c r="Y3" s="21" t="s">
        <v>433</v>
      </c>
      <c r="Z3" s="21" t="s">
        <v>434</v>
      </c>
      <c r="AA3" s="21" t="s">
        <v>13399</v>
      </c>
      <c r="AB3" s="21" t="s">
        <v>13400</v>
      </c>
      <c r="AC3" s="21" t="s">
        <v>435</v>
      </c>
      <c r="AD3" s="21" t="s">
        <v>436</v>
      </c>
      <c r="AE3" s="21" t="s">
        <v>437</v>
      </c>
      <c r="AF3" s="21" t="s">
        <v>74</v>
      </c>
      <c r="AG3" s="21">
        <v>46</v>
      </c>
      <c r="AH3" s="21">
        <v>4</v>
      </c>
      <c r="AI3" s="21">
        <v>4</v>
      </c>
      <c r="AJ3" s="21">
        <v>25</v>
      </c>
      <c r="AK3" s="21">
        <v>46</v>
      </c>
      <c r="AL3" s="21" t="s">
        <v>202</v>
      </c>
      <c r="AM3" s="21" t="s">
        <v>203</v>
      </c>
      <c r="AN3" s="21" t="s">
        <v>204</v>
      </c>
      <c r="AO3" s="21" t="s">
        <v>74</v>
      </c>
      <c r="AP3" s="21" t="s">
        <v>438</v>
      </c>
      <c r="AQ3" s="21" t="s">
        <v>74</v>
      </c>
      <c r="AR3" s="21" t="s">
        <v>439</v>
      </c>
      <c r="AS3" s="21" t="s">
        <v>440</v>
      </c>
      <c r="AT3" s="21" t="s">
        <v>356</v>
      </c>
      <c r="AU3" s="21">
        <v>2023</v>
      </c>
      <c r="AV3" s="21">
        <v>7</v>
      </c>
      <c r="AW3" s="21">
        <v>9</v>
      </c>
      <c r="AX3" s="21" t="s">
        <v>74</v>
      </c>
      <c r="AY3" s="21" t="s">
        <v>74</v>
      </c>
      <c r="AZ3" s="21" t="s">
        <v>74</v>
      </c>
      <c r="BA3" s="21" t="s">
        <v>74</v>
      </c>
      <c r="BB3" s="21" t="s">
        <v>74</v>
      </c>
      <c r="BC3" s="21" t="s">
        <v>74</v>
      </c>
      <c r="BD3" s="21">
        <v>576</v>
      </c>
      <c r="BE3" s="21" t="s">
        <v>441</v>
      </c>
      <c r="BF3" s="21">
        <v>0</v>
      </c>
      <c r="BG3" s="21" t="s">
        <v>74</v>
      </c>
      <c r="BH3" s="21" t="s">
        <v>74</v>
      </c>
      <c r="BI3" s="21">
        <v>23</v>
      </c>
      <c r="BJ3" s="21" t="s">
        <v>442</v>
      </c>
      <c r="BK3" s="21" t="s">
        <v>102</v>
      </c>
      <c r="BL3" s="21" t="s">
        <v>442</v>
      </c>
      <c r="BM3" s="21" t="s">
        <v>443</v>
      </c>
      <c r="BN3" s="21" t="s">
        <v>74</v>
      </c>
      <c r="BO3" s="21" t="s">
        <v>186</v>
      </c>
      <c r="BP3" s="21" t="s">
        <v>74</v>
      </c>
      <c r="BQ3" s="21" t="s">
        <v>74</v>
      </c>
      <c r="BR3" s="21" t="s">
        <v>12946</v>
      </c>
      <c r="BS3" s="21" t="s">
        <v>444</v>
      </c>
      <c r="BT3" s="21">
        <v>0</v>
      </c>
    </row>
    <row r="4" spans="1:72" x14ac:dyDescent="0.25">
      <c r="A4" s="21" t="s">
        <v>72</v>
      </c>
      <c r="B4" s="21" t="s">
        <v>7798</v>
      </c>
      <c r="C4" s="21" t="s">
        <v>74</v>
      </c>
      <c r="D4" s="21" t="s">
        <v>74</v>
      </c>
      <c r="E4" s="21" t="s">
        <v>74</v>
      </c>
      <c r="F4" s="21" t="s">
        <v>7799</v>
      </c>
      <c r="G4" s="21" t="s">
        <v>74</v>
      </c>
      <c r="H4" s="21" t="s">
        <v>74</v>
      </c>
      <c r="I4" s="21" t="s">
        <v>7800</v>
      </c>
      <c r="J4" s="21" t="s">
        <v>1416</v>
      </c>
      <c r="K4" s="21" t="s">
        <v>74</v>
      </c>
      <c r="L4" s="21" t="s">
        <v>74</v>
      </c>
      <c r="M4" s="21" t="s">
        <v>78</v>
      </c>
      <c r="N4" s="21" t="s">
        <v>79</v>
      </c>
      <c r="O4" s="21" t="s">
        <v>74</v>
      </c>
      <c r="P4" s="21" t="s">
        <v>74</v>
      </c>
      <c r="Q4" s="21" t="s">
        <v>74</v>
      </c>
      <c r="R4" s="21" t="s">
        <v>74</v>
      </c>
      <c r="S4" s="21" t="s">
        <v>74</v>
      </c>
      <c r="T4" s="21" t="s">
        <v>7801</v>
      </c>
      <c r="U4" s="21" t="s">
        <v>74</v>
      </c>
      <c r="V4" s="21" t="s">
        <v>7802</v>
      </c>
      <c r="W4" s="21" t="s">
        <v>7803</v>
      </c>
      <c r="X4" s="21" t="s">
        <v>1421</v>
      </c>
      <c r="Y4" s="21" t="s">
        <v>7804</v>
      </c>
      <c r="Z4" s="21" t="s">
        <v>74</v>
      </c>
      <c r="AA4" s="21" t="s">
        <v>13401</v>
      </c>
      <c r="AB4" s="21" t="s">
        <v>13402</v>
      </c>
      <c r="AC4" s="21" t="s">
        <v>74</v>
      </c>
      <c r="AD4" s="21" t="s">
        <v>74</v>
      </c>
      <c r="AE4" s="21" t="s">
        <v>74</v>
      </c>
      <c r="AF4" s="21" t="s">
        <v>74</v>
      </c>
      <c r="AG4" s="21">
        <v>11</v>
      </c>
      <c r="AH4" s="21">
        <v>3</v>
      </c>
      <c r="AI4" s="21">
        <v>3</v>
      </c>
      <c r="AJ4" s="21">
        <v>2</v>
      </c>
      <c r="AK4" s="21">
        <v>14</v>
      </c>
      <c r="AL4" s="21" t="s">
        <v>1423</v>
      </c>
      <c r="AM4" s="21" t="s">
        <v>1424</v>
      </c>
      <c r="AN4" s="21" t="s">
        <v>1425</v>
      </c>
      <c r="AO4" s="21" t="s">
        <v>1426</v>
      </c>
      <c r="AP4" s="21" t="s">
        <v>1427</v>
      </c>
      <c r="AQ4" s="21" t="s">
        <v>74</v>
      </c>
      <c r="AR4" s="21" t="s">
        <v>1428</v>
      </c>
      <c r="AS4" s="21" t="s">
        <v>1429</v>
      </c>
      <c r="AT4" s="21" t="s">
        <v>626</v>
      </c>
      <c r="AU4" s="21">
        <v>2020</v>
      </c>
      <c r="AV4" s="21">
        <v>15</v>
      </c>
      <c r="AW4" s="21">
        <v>2</v>
      </c>
      <c r="AX4" s="21" t="s">
        <v>74</v>
      </c>
      <c r="AY4" s="21" t="s">
        <v>74</v>
      </c>
      <c r="AZ4" s="21" t="s">
        <v>74</v>
      </c>
      <c r="BA4" s="21" t="s">
        <v>74</v>
      </c>
      <c r="BB4" s="21">
        <v>270</v>
      </c>
      <c r="BC4" s="21">
        <v>281</v>
      </c>
      <c r="BD4" s="21" t="s">
        <v>74</v>
      </c>
      <c r="BE4" s="21" t="s">
        <v>7807</v>
      </c>
      <c r="BF4" s="21">
        <v>0</v>
      </c>
      <c r="BG4" s="21" t="s">
        <v>74</v>
      </c>
      <c r="BH4" s="21" t="s">
        <v>74</v>
      </c>
      <c r="BI4" s="21">
        <v>12</v>
      </c>
      <c r="BJ4" s="21" t="s">
        <v>521</v>
      </c>
      <c r="BK4" s="21" t="s">
        <v>183</v>
      </c>
      <c r="BL4" s="21" t="s">
        <v>265</v>
      </c>
      <c r="BM4" s="21" t="s">
        <v>7808</v>
      </c>
      <c r="BN4" s="21" t="s">
        <v>74</v>
      </c>
      <c r="BO4" s="21" t="s">
        <v>186</v>
      </c>
      <c r="BP4" s="21" t="s">
        <v>74</v>
      </c>
      <c r="BQ4" s="21" t="s">
        <v>74</v>
      </c>
      <c r="BR4" s="21" t="s">
        <v>12946</v>
      </c>
      <c r="BS4" s="21" t="s">
        <v>7809</v>
      </c>
      <c r="BT4" s="21">
        <v>0</v>
      </c>
    </row>
    <row r="5" spans="1:72" x14ac:dyDescent="0.25">
      <c r="A5" s="21" t="s">
        <v>72</v>
      </c>
      <c r="B5" s="21" t="s">
        <v>5143</v>
      </c>
      <c r="C5" s="21" t="s">
        <v>74</v>
      </c>
      <c r="D5" s="21" t="s">
        <v>74</v>
      </c>
      <c r="E5" s="21" t="s">
        <v>74</v>
      </c>
      <c r="F5" s="21" t="s">
        <v>5144</v>
      </c>
      <c r="G5" s="21" t="s">
        <v>74</v>
      </c>
      <c r="H5" s="21" t="s">
        <v>74</v>
      </c>
      <c r="I5" s="21" t="s">
        <v>5145</v>
      </c>
      <c r="J5" s="21" t="s">
        <v>5146</v>
      </c>
      <c r="K5" s="21" t="s">
        <v>74</v>
      </c>
      <c r="L5" s="21" t="s">
        <v>74</v>
      </c>
      <c r="M5" s="21" t="s">
        <v>5147</v>
      </c>
      <c r="N5" s="21" t="s">
        <v>79</v>
      </c>
      <c r="O5" s="21" t="s">
        <v>74</v>
      </c>
      <c r="P5" s="21" t="s">
        <v>74</v>
      </c>
      <c r="Q5" s="21" t="s">
        <v>74</v>
      </c>
      <c r="R5" s="21" t="s">
        <v>74</v>
      </c>
      <c r="S5" s="21" t="s">
        <v>74</v>
      </c>
      <c r="T5" s="21" t="s">
        <v>5148</v>
      </c>
      <c r="U5" s="21" t="s">
        <v>74</v>
      </c>
      <c r="V5" s="21" t="s">
        <v>5149</v>
      </c>
      <c r="W5" s="21" t="s">
        <v>5150</v>
      </c>
      <c r="X5" s="21" t="s">
        <v>5151</v>
      </c>
      <c r="Y5" s="21" t="s">
        <v>5152</v>
      </c>
      <c r="Z5" s="21" t="s">
        <v>74</v>
      </c>
      <c r="AA5" s="21" t="s">
        <v>5153</v>
      </c>
      <c r="AB5" s="21" t="s">
        <v>74</v>
      </c>
      <c r="AC5" s="21" t="s">
        <v>74</v>
      </c>
      <c r="AD5" s="21" t="s">
        <v>74</v>
      </c>
      <c r="AE5" s="21" t="s">
        <v>74</v>
      </c>
      <c r="AF5" s="21" t="s">
        <v>74</v>
      </c>
      <c r="AG5" s="21">
        <v>18</v>
      </c>
      <c r="AH5" s="21">
        <v>1</v>
      </c>
      <c r="AI5" s="21">
        <v>1</v>
      </c>
      <c r="AJ5" s="21">
        <v>2</v>
      </c>
      <c r="AK5" s="21">
        <v>6</v>
      </c>
      <c r="AL5" s="21" t="s">
        <v>5155</v>
      </c>
      <c r="AM5" s="21" t="s">
        <v>5156</v>
      </c>
      <c r="AN5" s="21" t="s">
        <v>5157</v>
      </c>
      <c r="AO5" s="21" t="s">
        <v>5158</v>
      </c>
      <c r="AP5" s="21" t="s">
        <v>74</v>
      </c>
      <c r="AQ5" s="21" t="s">
        <v>74</v>
      </c>
      <c r="AR5" s="21" t="s">
        <v>5159</v>
      </c>
      <c r="AS5" s="21" t="s">
        <v>5160</v>
      </c>
      <c r="AT5" s="21" t="s">
        <v>74</v>
      </c>
      <c r="AU5" s="21">
        <v>2022</v>
      </c>
      <c r="AV5" s="21" t="s">
        <v>74</v>
      </c>
      <c r="AW5" s="21">
        <v>177</v>
      </c>
      <c r="AX5" s="21" t="s">
        <v>74</v>
      </c>
      <c r="AY5" s="21" t="s">
        <v>74</v>
      </c>
      <c r="AZ5" s="21" t="s">
        <v>74</v>
      </c>
      <c r="BA5" s="21" t="s">
        <v>74</v>
      </c>
      <c r="BB5" s="21">
        <v>1</v>
      </c>
      <c r="BC5" s="21">
        <v>22</v>
      </c>
      <c r="BD5" s="21" t="s">
        <v>74</v>
      </c>
      <c r="BE5" s="21" t="s">
        <v>5161</v>
      </c>
      <c r="BF5" s="21">
        <v>0</v>
      </c>
      <c r="BG5" s="21" t="s">
        <v>74</v>
      </c>
      <c r="BH5" s="21" t="s">
        <v>74</v>
      </c>
      <c r="BI5" s="21">
        <v>22</v>
      </c>
      <c r="BJ5" s="21" t="s">
        <v>5162</v>
      </c>
      <c r="BK5" s="21" t="s">
        <v>183</v>
      </c>
      <c r="BL5" s="21" t="s">
        <v>5162</v>
      </c>
      <c r="BM5" s="21" t="s">
        <v>5163</v>
      </c>
      <c r="BN5" s="21" t="s">
        <v>74</v>
      </c>
      <c r="BO5" s="21" t="s">
        <v>74</v>
      </c>
      <c r="BP5" s="21" t="s">
        <v>74</v>
      </c>
      <c r="BQ5" s="21" t="s">
        <v>74</v>
      </c>
      <c r="BR5" s="21" t="s">
        <v>12946</v>
      </c>
      <c r="BS5" s="21" t="s">
        <v>5164</v>
      </c>
      <c r="BT5" s="21">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T4"/>
  <sheetViews>
    <sheetView workbookViewId="0">
      <selection sqref="A1:BT4"/>
    </sheetView>
  </sheetViews>
  <sheetFormatPr baseColWidth="10" defaultColWidth="8.7265625" defaultRowHeight="12.5" x14ac:dyDescent="0.25"/>
  <sheetData>
    <row r="1" spans="1:72" x14ac:dyDescent="0.25">
      <c r="A1" s="22" t="s">
        <v>0</v>
      </c>
      <c r="B1" s="22" t="s">
        <v>1</v>
      </c>
      <c r="C1" s="22" t="s">
        <v>2</v>
      </c>
      <c r="D1" s="22" t="s">
        <v>3</v>
      </c>
      <c r="E1" s="22" t="s">
        <v>4</v>
      </c>
      <c r="F1" s="22" t="s">
        <v>5</v>
      </c>
      <c r="G1" s="22" t="s">
        <v>6</v>
      </c>
      <c r="H1" s="22" t="s">
        <v>7</v>
      </c>
      <c r="I1" s="22" t="s">
        <v>8</v>
      </c>
      <c r="J1" s="22" t="s">
        <v>9</v>
      </c>
      <c r="K1" s="22" t="s">
        <v>10</v>
      </c>
      <c r="L1" s="22" t="s">
        <v>11</v>
      </c>
      <c r="M1" s="22" t="s">
        <v>12</v>
      </c>
      <c r="N1" s="22" t="s">
        <v>13</v>
      </c>
      <c r="O1" s="22" t="s">
        <v>14</v>
      </c>
      <c r="P1" s="22" t="s">
        <v>15</v>
      </c>
      <c r="Q1" s="22" t="s">
        <v>16</v>
      </c>
      <c r="R1" s="22" t="s">
        <v>17</v>
      </c>
      <c r="S1" s="22" t="s">
        <v>18</v>
      </c>
      <c r="T1" s="22" t="s">
        <v>19</v>
      </c>
      <c r="U1" s="22" t="s">
        <v>20</v>
      </c>
      <c r="V1" s="22" t="s">
        <v>21</v>
      </c>
      <c r="W1" s="22" t="s">
        <v>22</v>
      </c>
      <c r="X1" s="22" t="s">
        <v>23</v>
      </c>
      <c r="Y1" s="22" t="s">
        <v>24</v>
      </c>
      <c r="Z1" s="22" t="s">
        <v>25</v>
      </c>
      <c r="AA1" s="22" t="s">
        <v>26</v>
      </c>
      <c r="AB1" s="22" t="s">
        <v>27</v>
      </c>
      <c r="AC1" s="22" t="s">
        <v>28</v>
      </c>
      <c r="AD1" s="22" t="s">
        <v>29</v>
      </c>
      <c r="AE1" s="22" t="s">
        <v>30</v>
      </c>
      <c r="AF1" s="22" t="s">
        <v>31</v>
      </c>
      <c r="AG1" s="22" t="s">
        <v>32</v>
      </c>
      <c r="AH1" s="22" t="s">
        <v>33</v>
      </c>
      <c r="AI1" s="22" t="s">
        <v>34</v>
      </c>
      <c r="AJ1" s="22" t="s">
        <v>35</v>
      </c>
      <c r="AK1" s="22" t="s">
        <v>36</v>
      </c>
      <c r="AL1" s="22" t="s">
        <v>37</v>
      </c>
      <c r="AM1" s="22" t="s">
        <v>38</v>
      </c>
      <c r="AN1" s="22" t="s">
        <v>39</v>
      </c>
      <c r="AO1" s="22" t="s">
        <v>40</v>
      </c>
      <c r="AP1" s="22" t="s">
        <v>41</v>
      </c>
      <c r="AQ1" s="22" t="s">
        <v>42</v>
      </c>
      <c r="AR1" s="22" t="s">
        <v>43</v>
      </c>
      <c r="AS1" s="22" t="s">
        <v>44</v>
      </c>
      <c r="AT1" s="22" t="s">
        <v>45</v>
      </c>
      <c r="AU1" s="22" t="s">
        <v>46</v>
      </c>
      <c r="AV1" s="22" t="s">
        <v>47</v>
      </c>
      <c r="AW1" s="22" t="s">
        <v>48</v>
      </c>
      <c r="AX1" s="22" t="s">
        <v>49</v>
      </c>
      <c r="AY1" s="22" t="s">
        <v>50</v>
      </c>
      <c r="AZ1" s="22" t="s">
        <v>51</v>
      </c>
      <c r="BA1" s="22" t="s">
        <v>52</v>
      </c>
      <c r="BB1" s="22" t="s">
        <v>53</v>
      </c>
      <c r="BC1" s="22" t="s">
        <v>54</v>
      </c>
      <c r="BD1" s="22" t="s">
        <v>55</v>
      </c>
      <c r="BE1" s="22" t="s">
        <v>56</v>
      </c>
      <c r="BF1" s="22" t="s">
        <v>57</v>
      </c>
      <c r="BG1" s="22" t="s">
        <v>58</v>
      </c>
      <c r="BH1" s="22" t="s">
        <v>59</v>
      </c>
      <c r="BI1" s="22" t="s">
        <v>60</v>
      </c>
      <c r="BJ1" s="22" t="s">
        <v>61</v>
      </c>
      <c r="BK1" s="22" t="s">
        <v>62</v>
      </c>
      <c r="BL1" s="22" t="s">
        <v>63</v>
      </c>
      <c r="BM1" s="22" t="s">
        <v>64</v>
      </c>
      <c r="BN1" s="22" t="s">
        <v>65</v>
      </c>
      <c r="BO1" s="22" t="s">
        <v>66</v>
      </c>
      <c r="BP1" s="22" t="s">
        <v>67</v>
      </c>
      <c r="BQ1" s="22" t="s">
        <v>68</v>
      </c>
      <c r="BR1" s="22" t="s">
        <v>69</v>
      </c>
      <c r="BS1" s="22" t="s">
        <v>70</v>
      </c>
      <c r="BT1" s="22" t="s">
        <v>71</v>
      </c>
    </row>
    <row r="2" spans="1:72" x14ac:dyDescent="0.25">
      <c r="A2" s="22" t="s">
        <v>72</v>
      </c>
      <c r="B2" s="22" t="s">
        <v>1221</v>
      </c>
      <c r="C2" s="22" t="s">
        <v>74</v>
      </c>
      <c r="D2" s="22" t="s">
        <v>74</v>
      </c>
      <c r="E2" s="22" t="s">
        <v>74</v>
      </c>
      <c r="F2" s="22" t="s">
        <v>1222</v>
      </c>
      <c r="G2" s="22" t="s">
        <v>74</v>
      </c>
      <c r="H2" s="22" t="s">
        <v>74</v>
      </c>
      <c r="I2" s="22" t="s">
        <v>1223</v>
      </c>
      <c r="J2" s="22" t="s">
        <v>1224</v>
      </c>
      <c r="K2" s="22" t="s">
        <v>74</v>
      </c>
      <c r="L2" s="22" t="s">
        <v>74</v>
      </c>
      <c r="M2" s="22" t="s">
        <v>78</v>
      </c>
      <c r="N2" s="22" t="s">
        <v>79</v>
      </c>
      <c r="O2" s="22" t="s">
        <v>74</v>
      </c>
      <c r="P2" s="22" t="s">
        <v>74</v>
      </c>
      <c r="Q2" s="22" t="s">
        <v>74</v>
      </c>
      <c r="R2" s="22" t="s">
        <v>74</v>
      </c>
      <c r="S2" s="22" t="s">
        <v>74</v>
      </c>
      <c r="T2" s="22" t="s">
        <v>1225</v>
      </c>
      <c r="U2" s="22" t="s">
        <v>1226</v>
      </c>
      <c r="V2" s="22" t="s">
        <v>1227</v>
      </c>
      <c r="W2" s="22" t="s">
        <v>1228</v>
      </c>
      <c r="X2" s="22" t="s">
        <v>1229</v>
      </c>
      <c r="Y2" s="22" t="s">
        <v>1230</v>
      </c>
      <c r="Z2" s="22" t="s">
        <v>1231</v>
      </c>
      <c r="AA2" s="22" t="s">
        <v>1232</v>
      </c>
      <c r="AB2" s="22" t="s">
        <v>1233</v>
      </c>
      <c r="AC2" s="22" t="s">
        <v>74</v>
      </c>
      <c r="AD2" s="22" t="s">
        <v>74</v>
      </c>
      <c r="AE2" s="22" t="s">
        <v>74</v>
      </c>
      <c r="AF2" s="22" t="s">
        <v>74</v>
      </c>
      <c r="AG2" s="22">
        <v>130</v>
      </c>
      <c r="AH2" s="22">
        <v>3</v>
      </c>
      <c r="AI2" s="22">
        <v>3</v>
      </c>
      <c r="AJ2" s="22">
        <v>3</v>
      </c>
      <c r="AK2" s="22">
        <v>13</v>
      </c>
      <c r="AL2" s="22" t="s">
        <v>202</v>
      </c>
      <c r="AM2" s="22" t="s">
        <v>203</v>
      </c>
      <c r="AN2" s="22" t="s">
        <v>204</v>
      </c>
      <c r="AO2" s="22" t="s">
        <v>74</v>
      </c>
      <c r="AP2" s="22" t="s">
        <v>1234</v>
      </c>
      <c r="AQ2" s="22" t="s">
        <v>74</v>
      </c>
      <c r="AR2" s="22" t="s">
        <v>1224</v>
      </c>
      <c r="AS2" s="22" t="s">
        <v>1235</v>
      </c>
      <c r="AT2" s="22" t="s">
        <v>1236</v>
      </c>
      <c r="AU2" s="22">
        <v>2023</v>
      </c>
      <c r="AV2" s="22">
        <v>9</v>
      </c>
      <c r="AW2" s="22">
        <v>5</v>
      </c>
      <c r="AX2" s="22" t="s">
        <v>74</v>
      </c>
      <c r="AY2" s="22" t="s">
        <v>74</v>
      </c>
      <c r="AZ2" s="22" t="s">
        <v>74</v>
      </c>
      <c r="BA2" s="22" t="s">
        <v>74</v>
      </c>
      <c r="BB2" s="22" t="s">
        <v>74</v>
      </c>
      <c r="BC2" s="22" t="s">
        <v>74</v>
      </c>
      <c r="BD2" s="22">
        <v>549</v>
      </c>
      <c r="BE2" s="22" t="s">
        <v>1237</v>
      </c>
      <c r="BF2" s="22">
        <v>0</v>
      </c>
      <c r="BG2" s="22" t="s">
        <v>74</v>
      </c>
      <c r="BH2" s="22" t="s">
        <v>74</v>
      </c>
      <c r="BI2" s="22">
        <v>18</v>
      </c>
      <c r="BJ2" s="22" t="s">
        <v>1238</v>
      </c>
      <c r="BK2" s="22" t="s">
        <v>102</v>
      </c>
      <c r="BL2" s="22" t="s">
        <v>1239</v>
      </c>
      <c r="BM2" s="22" t="s">
        <v>1240</v>
      </c>
      <c r="BN2" s="22" t="s">
        <v>74</v>
      </c>
      <c r="BO2" s="22" t="s">
        <v>614</v>
      </c>
      <c r="BP2" s="22" t="s">
        <v>74</v>
      </c>
      <c r="BQ2" s="22" t="s">
        <v>74</v>
      </c>
      <c r="BR2" s="22" t="s">
        <v>12946</v>
      </c>
      <c r="BS2" s="22" t="s">
        <v>1241</v>
      </c>
      <c r="BT2" s="22">
        <v>0</v>
      </c>
    </row>
    <row r="3" spans="1:72" x14ac:dyDescent="0.25">
      <c r="A3" s="22" t="s">
        <v>72</v>
      </c>
      <c r="B3" s="22" t="s">
        <v>8750</v>
      </c>
      <c r="C3" s="22" t="s">
        <v>74</v>
      </c>
      <c r="D3" s="22" t="s">
        <v>74</v>
      </c>
      <c r="E3" s="22" t="s">
        <v>74</v>
      </c>
      <c r="F3" s="22" t="s">
        <v>8751</v>
      </c>
      <c r="G3" s="22" t="s">
        <v>74</v>
      </c>
      <c r="H3" s="22" t="s">
        <v>74</v>
      </c>
      <c r="I3" s="22" t="s">
        <v>8752</v>
      </c>
      <c r="J3" s="22" t="s">
        <v>8753</v>
      </c>
      <c r="K3" s="22" t="s">
        <v>74</v>
      </c>
      <c r="L3" s="22" t="s">
        <v>74</v>
      </c>
      <c r="M3" s="22" t="s">
        <v>78</v>
      </c>
      <c r="N3" s="22" t="s">
        <v>79</v>
      </c>
      <c r="O3" s="22" t="s">
        <v>74</v>
      </c>
      <c r="P3" s="22" t="s">
        <v>74</v>
      </c>
      <c r="Q3" s="22" t="s">
        <v>74</v>
      </c>
      <c r="R3" s="22" t="s">
        <v>74</v>
      </c>
      <c r="S3" s="22" t="s">
        <v>74</v>
      </c>
      <c r="T3" s="22" t="s">
        <v>8754</v>
      </c>
      <c r="U3" s="22" t="s">
        <v>74</v>
      </c>
      <c r="V3" s="22" t="s">
        <v>8755</v>
      </c>
      <c r="W3" s="22" t="s">
        <v>8756</v>
      </c>
      <c r="X3" s="22" t="s">
        <v>8757</v>
      </c>
      <c r="Y3" s="22" t="s">
        <v>8758</v>
      </c>
      <c r="Z3" s="22" t="s">
        <v>8759</v>
      </c>
      <c r="AA3" s="22" t="s">
        <v>74</v>
      </c>
      <c r="AB3" s="22" t="s">
        <v>74</v>
      </c>
      <c r="AC3" s="22" t="s">
        <v>8760</v>
      </c>
      <c r="AD3" s="22" t="s">
        <v>8760</v>
      </c>
      <c r="AE3" s="22" t="s">
        <v>8761</v>
      </c>
      <c r="AF3" s="22" t="s">
        <v>74</v>
      </c>
      <c r="AG3" s="22">
        <v>39</v>
      </c>
      <c r="AH3" s="22">
        <v>2</v>
      </c>
      <c r="AI3" s="22">
        <v>2</v>
      </c>
      <c r="AJ3" s="22">
        <v>0</v>
      </c>
      <c r="AK3" s="22">
        <v>3</v>
      </c>
      <c r="AL3" s="22" t="s">
        <v>8762</v>
      </c>
      <c r="AM3" s="22" t="s">
        <v>1424</v>
      </c>
      <c r="AN3" s="22" t="s">
        <v>8763</v>
      </c>
      <c r="AO3" s="22" t="s">
        <v>8764</v>
      </c>
      <c r="AP3" s="22" t="s">
        <v>74</v>
      </c>
      <c r="AQ3" s="22" t="s">
        <v>74</v>
      </c>
      <c r="AR3" s="22" t="s">
        <v>8765</v>
      </c>
      <c r="AS3" s="22" t="s">
        <v>8766</v>
      </c>
      <c r="AT3" s="22" t="s">
        <v>8767</v>
      </c>
      <c r="AU3" s="22">
        <v>2019</v>
      </c>
      <c r="AV3" s="22">
        <v>5</v>
      </c>
      <c r="AW3" s="22">
        <v>1</v>
      </c>
      <c r="AX3" s="22" t="s">
        <v>74</v>
      </c>
      <c r="AY3" s="22" t="s">
        <v>74</v>
      </c>
      <c r="AZ3" s="22" t="s">
        <v>74</v>
      </c>
      <c r="BA3" s="22" t="s">
        <v>74</v>
      </c>
      <c r="BB3" s="22">
        <v>416</v>
      </c>
      <c r="BC3" s="22">
        <v>433</v>
      </c>
      <c r="BD3" s="22" t="s">
        <v>74</v>
      </c>
      <c r="BE3" s="22" t="s">
        <v>8768</v>
      </c>
      <c r="BF3" s="22">
        <v>0</v>
      </c>
      <c r="BG3" s="22" t="s">
        <v>74</v>
      </c>
      <c r="BH3" s="22" t="s">
        <v>74</v>
      </c>
      <c r="BI3" s="22">
        <v>18</v>
      </c>
      <c r="BJ3" s="22" t="s">
        <v>8769</v>
      </c>
      <c r="BK3" s="22" t="s">
        <v>3239</v>
      </c>
      <c r="BL3" s="22" t="s">
        <v>8769</v>
      </c>
      <c r="BM3" s="22" t="s">
        <v>8770</v>
      </c>
      <c r="BN3" s="22" t="s">
        <v>74</v>
      </c>
      <c r="BO3" s="22" t="s">
        <v>186</v>
      </c>
      <c r="BP3" s="22" t="s">
        <v>74</v>
      </c>
      <c r="BQ3" s="22" t="s">
        <v>74</v>
      </c>
      <c r="BR3" s="22" t="s">
        <v>12946</v>
      </c>
      <c r="BS3" s="22" t="s">
        <v>8771</v>
      </c>
      <c r="BT3" s="22">
        <v>0</v>
      </c>
    </row>
    <row r="4" spans="1:72" x14ac:dyDescent="0.25">
      <c r="A4" s="22" t="s">
        <v>72</v>
      </c>
      <c r="B4" s="22" t="s">
        <v>2092</v>
      </c>
      <c r="C4" s="22" t="s">
        <v>74</v>
      </c>
      <c r="D4" s="22" t="s">
        <v>74</v>
      </c>
      <c r="E4" s="22" t="s">
        <v>74</v>
      </c>
      <c r="F4" s="22" t="s">
        <v>2093</v>
      </c>
      <c r="G4" s="22" t="s">
        <v>74</v>
      </c>
      <c r="H4" s="22" t="s">
        <v>74</v>
      </c>
      <c r="I4" s="22" t="s">
        <v>2094</v>
      </c>
      <c r="J4" s="22" t="s">
        <v>2095</v>
      </c>
      <c r="K4" s="22" t="s">
        <v>74</v>
      </c>
      <c r="L4" s="22" t="s">
        <v>74</v>
      </c>
      <c r="M4" s="22" t="s">
        <v>78</v>
      </c>
      <c r="N4" s="22" t="s">
        <v>79</v>
      </c>
      <c r="O4" s="22" t="s">
        <v>74</v>
      </c>
      <c r="P4" s="22" t="s">
        <v>74</v>
      </c>
      <c r="Q4" s="22" t="s">
        <v>74</v>
      </c>
      <c r="R4" s="22" t="s">
        <v>74</v>
      </c>
      <c r="S4" s="22" t="s">
        <v>74</v>
      </c>
      <c r="T4" s="22" t="s">
        <v>2096</v>
      </c>
      <c r="U4" s="22" t="s">
        <v>2097</v>
      </c>
      <c r="V4" s="22" t="s">
        <v>2098</v>
      </c>
      <c r="W4" s="22" t="s">
        <v>2099</v>
      </c>
      <c r="X4" s="22" t="s">
        <v>2100</v>
      </c>
      <c r="Y4" s="22" t="s">
        <v>2101</v>
      </c>
      <c r="Z4" s="22" t="s">
        <v>2102</v>
      </c>
      <c r="AA4" s="22" t="s">
        <v>13403</v>
      </c>
      <c r="AB4" s="22" t="s">
        <v>2104</v>
      </c>
      <c r="AC4" s="22" t="s">
        <v>74</v>
      </c>
      <c r="AD4" s="22" t="s">
        <v>74</v>
      </c>
      <c r="AE4" s="22" t="s">
        <v>74</v>
      </c>
      <c r="AF4" s="22" t="s">
        <v>74</v>
      </c>
      <c r="AG4" s="22">
        <v>38</v>
      </c>
      <c r="AH4" s="22">
        <v>0</v>
      </c>
      <c r="AI4" s="22">
        <v>0</v>
      </c>
      <c r="AJ4" s="22">
        <v>2</v>
      </c>
      <c r="AK4" s="22">
        <v>2</v>
      </c>
      <c r="AL4" s="22" t="s">
        <v>2105</v>
      </c>
      <c r="AM4" s="22" t="s">
        <v>2106</v>
      </c>
      <c r="AN4" s="22" t="s">
        <v>2107</v>
      </c>
      <c r="AO4" s="22" t="s">
        <v>2108</v>
      </c>
      <c r="AP4" s="22" t="s">
        <v>2109</v>
      </c>
      <c r="AQ4" s="22" t="s">
        <v>74</v>
      </c>
      <c r="AR4" s="22" t="s">
        <v>2110</v>
      </c>
      <c r="AS4" s="22" t="s">
        <v>2111</v>
      </c>
      <c r="AT4" s="22" t="s">
        <v>74</v>
      </c>
      <c r="AU4" s="22">
        <v>2023</v>
      </c>
      <c r="AV4" s="22">
        <v>63</v>
      </c>
      <c r="AW4" s="22">
        <v>2</v>
      </c>
      <c r="AX4" s="22" t="s">
        <v>74</v>
      </c>
      <c r="AY4" s="22" t="s">
        <v>74</v>
      </c>
      <c r="AZ4" s="22" t="s">
        <v>74</v>
      </c>
      <c r="BA4" s="22" t="s">
        <v>74</v>
      </c>
      <c r="BB4" s="22">
        <v>111</v>
      </c>
      <c r="BC4" s="22">
        <v>122</v>
      </c>
      <c r="BD4" s="22" t="s">
        <v>74</v>
      </c>
      <c r="BE4" s="22" t="s">
        <v>2112</v>
      </c>
      <c r="BF4" s="22">
        <v>0</v>
      </c>
      <c r="BG4" s="22" t="s">
        <v>74</v>
      </c>
      <c r="BH4" s="22" t="s">
        <v>74</v>
      </c>
      <c r="BI4" s="22">
        <v>12</v>
      </c>
      <c r="BJ4" s="22" t="s">
        <v>2113</v>
      </c>
      <c r="BK4" s="22" t="s">
        <v>183</v>
      </c>
      <c r="BL4" s="22" t="s">
        <v>1685</v>
      </c>
      <c r="BM4" s="22" t="s">
        <v>2114</v>
      </c>
      <c r="BN4" s="22" t="s">
        <v>74</v>
      </c>
      <c r="BO4" s="22" t="s">
        <v>2162</v>
      </c>
      <c r="BP4" s="22" t="s">
        <v>74</v>
      </c>
      <c r="BQ4" s="22" t="s">
        <v>74</v>
      </c>
      <c r="BR4" s="22" t="s">
        <v>12946</v>
      </c>
      <c r="BS4" s="22" t="s">
        <v>2115</v>
      </c>
      <c r="BT4" s="2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T3"/>
  <sheetViews>
    <sheetView workbookViewId="0">
      <selection sqref="A1:BT3"/>
    </sheetView>
  </sheetViews>
  <sheetFormatPr baseColWidth="10" defaultColWidth="8.7265625" defaultRowHeight="12.5" x14ac:dyDescent="0.25"/>
  <sheetData>
    <row r="1" spans="1:72" x14ac:dyDescent="0.25">
      <c r="A1" s="23" t="s">
        <v>0</v>
      </c>
      <c r="B1" s="23" t="s">
        <v>1</v>
      </c>
      <c r="C1" s="23" t="s">
        <v>2</v>
      </c>
      <c r="D1" s="23" t="s">
        <v>3</v>
      </c>
      <c r="E1" s="23" t="s">
        <v>4</v>
      </c>
      <c r="F1" s="23" t="s">
        <v>5</v>
      </c>
      <c r="G1" s="23" t="s">
        <v>6</v>
      </c>
      <c r="H1" s="23" t="s">
        <v>7</v>
      </c>
      <c r="I1" s="23" t="s">
        <v>8</v>
      </c>
      <c r="J1" s="23" t="s">
        <v>9</v>
      </c>
      <c r="K1" s="23" t="s">
        <v>10</v>
      </c>
      <c r="L1" s="23" t="s">
        <v>11</v>
      </c>
      <c r="M1" s="23" t="s">
        <v>12</v>
      </c>
      <c r="N1" s="23" t="s">
        <v>13</v>
      </c>
      <c r="O1" s="23" t="s">
        <v>14</v>
      </c>
      <c r="P1" s="23" t="s">
        <v>15</v>
      </c>
      <c r="Q1" s="23" t="s">
        <v>16</v>
      </c>
      <c r="R1" s="23" t="s">
        <v>17</v>
      </c>
      <c r="S1" s="23" t="s">
        <v>18</v>
      </c>
      <c r="T1" s="23" t="s">
        <v>19</v>
      </c>
      <c r="U1" s="23" t="s">
        <v>20</v>
      </c>
      <c r="V1" s="23" t="s">
        <v>21</v>
      </c>
      <c r="W1" s="23" t="s">
        <v>22</v>
      </c>
      <c r="X1" s="23" t="s">
        <v>23</v>
      </c>
      <c r="Y1" s="23" t="s">
        <v>24</v>
      </c>
      <c r="Z1" s="23" t="s">
        <v>25</v>
      </c>
      <c r="AA1" s="23" t="s">
        <v>26</v>
      </c>
      <c r="AB1" s="23" t="s">
        <v>27</v>
      </c>
      <c r="AC1" s="23" t="s">
        <v>28</v>
      </c>
      <c r="AD1" s="23" t="s">
        <v>29</v>
      </c>
      <c r="AE1" s="23" t="s">
        <v>30</v>
      </c>
      <c r="AF1" s="23" t="s">
        <v>31</v>
      </c>
      <c r="AG1" s="23" t="s">
        <v>32</v>
      </c>
      <c r="AH1" s="23" t="s">
        <v>33</v>
      </c>
      <c r="AI1" s="23" t="s">
        <v>34</v>
      </c>
      <c r="AJ1" s="23" t="s">
        <v>35</v>
      </c>
      <c r="AK1" s="23" t="s">
        <v>36</v>
      </c>
      <c r="AL1" s="23" t="s">
        <v>37</v>
      </c>
      <c r="AM1" s="23" t="s">
        <v>38</v>
      </c>
      <c r="AN1" s="23" t="s">
        <v>39</v>
      </c>
      <c r="AO1" s="23" t="s">
        <v>40</v>
      </c>
      <c r="AP1" s="23" t="s">
        <v>41</v>
      </c>
      <c r="AQ1" s="23" t="s">
        <v>42</v>
      </c>
      <c r="AR1" s="23" t="s">
        <v>43</v>
      </c>
      <c r="AS1" s="23" t="s">
        <v>44</v>
      </c>
      <c r="AT1" s="23" t="s">
        <v>45</v>
      </c>
      <c r="AU1" s="23" t="s">
        <v>46</v>
      </c>
      <c r="AV1" s="23" t="s">
        <v>47</v>
      </c>
      <c r="AW1" s="23" t="s">
        <v>48</v>
      </c>
      <c r="AX1" s="23" t="s">
        <v>49</v>
      </c>
      <c r="AY1" s="23" t="s">
        <v>50</v>
      </c>
      <c r="AZ1" s="23" t="s">
        <v>51</v>
      </c>
      <c r="BA1" s="23" t="s">
        <v>52</v>
      </c>
      <c r="BB1" s="23" t="s">
        <v>53</v>
      </c>
      <c r="BC1" s="23" t="s">
        <v>54</v>
      </c>
      <c r="BD1" s="23" t="s">
        <v>55</v>
      </c>
      <c r="BE1" s="23" t="s">
        <v>56</v>
      </c>
      <c r="BF1" s="23" t="s">
        <v>57</v>
      </c>
      <c r="BG1" s="23" t="s">
        <v>58</v>
      </c>
      <c r="BH1" s="23" t="s">
        <v>59</v>
      </c>
      <c r="BI1" s="23" t="s">
        <v>60</v>
      </c>
      <c r="BJ1" s="23" t="s">
        <v>61</v>
      </c>
      <c r="BK1" s="23" t="s">
        <v>62</v>
      </c>
      <c r="BL1" s="23" t="s">
        <v>63</v>
      </c>
      <c r="BM1" s="23" t="s">
        <v>64</v>
      </c>
      <c r="BN1" s="23" t="s">
        <v>65</v>
      </c>
      <c r="BO1" s="23" t="s">
        <v>66</v>
      </c>
      <c r="BP1" s="23" t="s">
        <v>67</v>
      </c>
      <c r="BQ1" s="23" t="s">
        <v>68</v>
      </c>
      <c r="BR1" s="23" t="s">
        <v>69</v>
      </c>
      <c r="BS1" s="23" t="s">
        <v>70</v>
      </c>
      <c r="BT1" s="23" t="s">
        <v>71</v>
      </c>
    </row>
    <row r="2" spans="1:72" x14ac:dyDescent="0.25">
      <c r="A2" s="23" t="s">
        <v>72</v>
      </c>
      <c r="B2" s="23" t="s">
        <v>2649</v>
      </c>
      <c r="C2" s="23" t="s">
        <v>74</v>
      </c>
      <c r="D2" s="23" t="s">
        <v>74</v>
      </c>
      <c r="E2" s="23" t="s">
        <v>74</v>
      </c>
      <c r="F2" s="23" t="s">
        <v>2650</v>
      </c>
      <c r="G2" s="23" t="s">
        <v>74</v>
      </c>
      <c r="H2" s="23" t="s">
        <v>74</v>
      </c>
      <c r="I2" s="23" t="s">
        <v>2651</v>
      </c>
      <c r="J2" s="23" t="s">
        <v>2652</v>
      </c>
      <c r="K2" s="23" t="s">
        <v>74</v>
      </c>
      <c r="L2" s="23" t="s">
        <v>74</v>
      </c>
      <c r="M2" s="23" t="s">
        <v>78</v>
      </c>
      <c r="N2" s="23" t="s">
        <v>79</v>
      </c>
      <c r="O2" s="23" t="s">
        <v>74</v>
      </c>
      <c r="P2" s="23" t="s">
        <v>74</v>
      </c>
      <c r="Q2" s="23" t="s">
        <v>74</v>
      </c>
      <c r="R2" s="23" t="s">
        <v>74</v>
      </c>
      <c r="S2" s="23" t="s">
        <v>74</v>
      </c>
      <c r="T2" s="23" t="s">
        <v>2653</v>
      </c>
      <c r="U2" s="23" t="s">
        <v>2654</v>
      </c>
      <c r="V2" s="23" t="s">
        <v>2655</v>
      </c>
      <c r="W2" s="23" t="s">
        <v>2656</v>
      </c>
      <c r="X2" s="23" t="s">
        <v>2657</v>
      </c>
      <c r="Y2" s="23" t="s">
        <v>2658</v>
      </c>
      <c r="Z2" s="23" t="s">
        <v>2659</v>
      </c>
      <c r="AA2" s="23" t="s">
        <v>13404</v>
      </c>
      <c r="AB2" s="23" t="s">
        <v>13405</v>
      </c>
      <c r="AC2" s="23" t="s">
        <v>2662</v>
      </c>
      <c r="AD2" s="23" t="s">
        <v>2663</v>
      </c>
      <c r="AE2" s="23" t="s">
        <v>2664</v>
      </c>
      <c r="AF2" s="23" t="s">
        <v>74</v>
      </c>
      <c r="AG2" s="23">
        <v>71</v>
      </c>
      <c r="AH2" s="23">
        <v>5</v>
      </c>
      <c r="AI2" s="23">
        <v>5</v>
      </c>
      <c r="AJ2" s="23">
        <v>2</v>
      </c>
      <c r="AK2" s="23">
        <v>8</v>
      </c>
      <c r="AL2" s="23" t="s">
        <v>92</v>
      </c>
      <c r="AM2" s="23" t="s">
        <v>93</v>
      </c>
      <c r="AN2" s="23" t="s">
        <v>94</v>
      </c>
      <c r="AO2" s="23" t="s">
        <v>2665</v>
      </c>
      <c r="AP2" s="23" t="s">
        <v>2666</v>
      </c>
      <c r="AQ2" s="23" t="s">
        <v>74</v>
      </c>
      <c r="AR2" s="23" t="s">
        <v>2667</v>
      </c>
      <c r="AS2" s="23" t="s">
        <v>2668</v>
      </c>
      <c r="AT2" s="23" t="s">
        <v>476</v>
      </c>
      <c r="AU2" s="23">
        <v>2022</v>
      </c>
      <c r="AV2" s="23">
        <v>170</v>
      </c>
      <c r="AW2" s="23" t="s">
        <v>74</v>
      </c>
      <c r="AX2" s="23" t="s">
        <v>74</v>
      </c>
      <c r="AY2" s="23" t="s">
        <v>74</v>
      </c>
      <c r="AZ2" s="23" t="s">
        <v>74</v>
      </c>
      <c r="BA2" s="23" t="s">
        <v>74</v>
      </c>
      <c r="BB2" s="23" t="s">
        <v>74</v>
      </c>
      <c r="BC2" s="23" t="s">
        <v>74</v>
      </c>
      <c r="BD2" s="23">
        <v>107610</v>
      </c>
      <c r="BE2" s="23" t="s">
        <v>2669</v>
      </c>
      <c r="BF2" s="23">
        <v>0</v>
      </c>
      <c r="BG2" s="23" t="s">
        <v>74</v>
      </c>
      <c r="BH2" s="23" t="s">
        <v>2620</v>
      </c>
      <c r="BI2" s="23">
        <v>14</v>
      </c>
      <c r="BJ2" s="23" t="s">
        <v>545</v>
      </c>
      <c r="BK2" s="23" t="s">
        <v>102</v>
      </c>
      <c r="BL2" s="23" t="s">
        <v>546</v>
      </c>
      <c r="BM2" s="23" t="s">
        <v>2670</v>
      </c>
      <c r="BN2" s="23">
        <v>36356553</v>
      </c>
      <c r="BO2" s="23" t="s">
        <v>422</v>
      </c>
      <c r="BP2" s="23" t="s">
        <v>74</v>
      </c>
      <c r="BQ2" s="23" t="s">
        <v>74</v>
      </c>
      <c r="BR2" s="23" t="s">
        <v>12946</v>
      </c>
      <c r="BS2" s="23" t="s">
        <v>2671</v>
      </c>
      <c r="BT2" s="23">
        <v>0</v>
      </c>
    </row>
    <row r="3" spans="1:72" x14ac:dyDescent="0.25">
      <c r="A3" s="23" t="s">
        <v>72</v>
      </c>
      <c r="B3" s="23" t="s">
        <v>5729</v>
      </c>
      <c r="C3" s="23" t="s">
        <v>74</v>
      </c>
      <c r="D3" s="23" t="s">
        <v>74</v>
      </c>
      <c r="E3" s="23" t="s">
        <v>74</v>
      </c>
      <c r="F3" s="23" t="s">
        <v>5730</v>
      </c>
      <c r="G3" s="23" t="s">
        <v>74</v>
      </c>
      <c r="H3" s="23" t="s">
        <v>74</v>
      </c>
      <c r="I3" s="23" t="s">
        <v>5731</v>
      </c>
      <c r="J3" s="23" t="s">
        <v>5732</v>
      </c>
      <c r="K3" s="23" t="s">
        <v>74</v>
      </c>
      <c r="L3" s="23" t="s">
        <v>74</v>
      </c>
      <c r="M3" s="23" t="s">
        <v>78</v>
      </c>
      <c r="N3" s="23" t="s">
        <v>79</v>
      </c>
      <c r="O3" s="23" t="s">
        <v>74</v>
      </c>
      <c r="P3" s="23" t="s">
        <v>74</v>
      </c>
      <c r="Q3" s="23" t="s">
        <v>74</v>
      </c>
      <c r="R3" s="23" t="s">
        <v>74</v>
      </c>
      <c r="S3" s="23" t="s">
        <v>74</v>
      </c>
      <c r="T3" s="23" t="s">
        <v>74</v>
      </c>
      <c r="U3" s="23" t="s">
        <v>5733</v>
      </c>
      <c r="V3" s="23" t="s">
        <v>5734</v>
      </c>
      <c r="W3" s="23" t="s">
        <v>5735</v>
      </c>
      <c r="X3" s="23" t="s">
        <v>5736</v>
      </c>
      <c r="Y3" s="23" t="s">
        <v>5737</v>
      </c>
      <c r="Z3" s="23" t="s">
        <v>5738</v>
      </c>
      <c r="AA3" s="23" t="s">
        <v>5739</v>
      </c>
      <c r="AB3" s="23" t="s">
        <v>5740</v>
      </c>
      <c r="AC3" s="23" t="s">
        <v>5741</v>
      </c>
      <c r="AD3" s="23" t="s">
        <v>5742</v>
      </c>
      <c r="AE3" s="23" t="s">
        <v>5743</v>
      </c>
      <c r="AF3" s="23" t="s">
        <v>74</v>
      </c>
      <c r="AG3" s="23">
        <v>81</v>
      </c>
      <c r="AH3" s="23">
        <v>3</v>
      </c>
      <c r="AI3" s="23">
        <v>3</v>
      </c>
      <c r="AJ3" s="23">
        <v>0</v>
      </c>
      <c r="AK3" s="23">
        <v>5</v>
      </c>
      <c r="AL3" s="23" t="s">
        <v>5744</v>
      </c>
      <c r="AM3" s="23" t="s">
        <v>5745</v>
      </c>
      <c r="AN3" s="23" t="s">
        <v>5746</v>
      </c>
      <c r="AO3" s="23" t="s">
        <v>5747</v>
      </c>
      <c r="AP3" s="23" t="s">
        <v>5748</v>
      </c>
      <c r="AQ3" s="23" t="s">
        <v>74</v>
      </c>
      <c r="AR3" s="23" t="s">
        <v>5749</v>
      </c>
      <c r="AS3" s="23" t="s">
        <v>5750</v>
      </c>
      <c r="AT3" s="23" t="s">
        <v>5751</v>
      </c>
      <c r="AU3" s="23">
        <v>2021</v>
      </c>
      <c r="AV3" s="23">
        <v>155</v>
      </c>
      <c r="AW3" s="23">
        <v>11</v>
      </c>
      <c r="AX3" s="23" t="s">
        <v>74</v>
      </c>
      <c r="AY3" s="23" t="s">
        <v>74</v>
      </c>
      <c r="AZ3" s="23" t="s">
        <v>74</v>
      </c>
      <c r="BA3" s="23" t="s">
        <v>74</v>
      </c>
      <c r="BB3" s="23" t="s">
        <v>74</v>
      </c>
      <c r="BC3" s="23" t="s">
        <v>74</v>
      </c>
      <c r="BD3" s="23">
        <v>114903</v>
      </c>
      <c r="BE3" s="23" t="s">
        <v>5752</v>
      </c>
      <c r="BF3" s="23">
        <v>0</v>
      </c>
      <c r="BG3" s="23" t="s">
        <v>74</v>
      </c>
      <c r="BH3" s="23" t="s">
        <v>74</v>
      </c>
      <c r="BI3" s="23">
        <v>20</v>
      </c>
      <c r="BJ3" s="23" t="s">
        <v>5753</v>
      </c>
      <c r="BK3" s="23" t="s">
        <v>102</v>
      </c>
      <c r="BL3" s="23" t="s">
        <v>5754</v>
      </c>
      <c r="BM3" s="23" t="s">
        <v>5755</v>
      </c>
      <c r="BN3" s="23">
        <v>34551548</v>
      </c>
      <c r="BO3" s="23" t="s">
        <v>4521</v>
      </c>
      <c r="BP3" s="23" t="s">
        <v>74</v>
      </c>
      <c r="BQ3" s="23" t="s">
        <v>74</v>
      </c>
      <c r="BR3" s="23" t="s">
        <v>12946</v>
      </c>
      <c r="BS3" s="23" t="s">
        <v>5756</v>
      </c>
      <c r="BT3" s="23">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2152"/>
  <sheetViews>
    <sheetView zoomScale="85" zoomScaleNormal="85" workbookViewId="0">
      <selection activeCell="AC20" sqref="AC20"/>
    </sheetView>
  </sheetViews>
  <sheetFormatPr baseColWidth="10" defaultRowHeight="12.5" x14ac:dyDescent="0.25"/>
  <cols>
    <col min="1" max="1" width="10.90625" style="12"/>
    <col min="2" max="2" width="22.1796875" style="12" bestFit="1" customWidth="1"/>
    <col min="3" max="4" width="22.1796875" style="12" customWidth="1"/>
    <col min="5" max="5" width="21.54296875" style="12" bestFit="1" customWidth="1"/>
    <col min="6" max="6" width="19.81640625" style="12" bestFit="1" customWidth="1"/>
    <col min="7" max="7" width="11" style="12" customWidth="1"/>
    <col min="8" max="8" width="10.453125" style="12" customWidth="1"/>
    <col min="9" max="9" width="23.453125" style="12" customWidth="1"/>
    <col min="10" max="10" width="9.453125" style="12" customWidth="1"/>
    <col min="11" max="11" width="11.54296875" style="12" bestFit="1" customWidth="1"/>
    <col min="12" max="12" width="12.26953125" style="12" bestFit="1" customWidth="1"/>
    <col min="13" max="13" width="11.54296875" style="12" bestFit="1" customWidth="1"/>
    <col min="14" max="14" width="14" style="12" bestFit="1" customWidth="1"/>
    <col min="15" max="15" width="10.26953125" style="12" customWidth="1"/>
    <col min="16" max="16" width="7.81640625" style="12" customWidth="1"/>
    <col min="17" max="17" width="12.7265625" style="12" bestFit="1" customWidth="1"/>
    <col min="18" max="18" width="10.81640625" style="12" customWidth="1"/>
    <col min="19" max="19" width="14.81640625" style="12" bestFit="1" customWidth="1"/>
    <col min="20" max="20" width="29.81640625" style="12" bestFit="1" customWidth="1"/>
    <col min="21" max="21" width="7.36328125" style="12" bestFit="1" customWidth="1"/>
    <col min="22" max="22" width="54.81640625" style="12" bestFit="1" customWidth="1"/>
    <col min="23" max="23" width="8.36328125" style="12" bestFit="1" customWidth="1"/>
    <col min="24" max="24" width="9.26953125" style="12" customWidth="1"/>
    <col min="25" max="25" width="32" style="12" bestFit="1" customWidth="1"/>
    <col min="26" max="26" width="27.54296875" style="12" bestFit="1" customWidth="1"/>
    <col min="27" max="27" width="10.6328125" style="12" customWidth="1"/>
    <col min="28" max="28" width="6.26953125" style="12" customWidth="1"/>
    <col min="29" max="29" width="81.7265625" style="12" bestFit="1" customWidth="1"/>
    <col min="30" max="30" width="23.54296875" style="12" bestFit="1" customWidth="1"/>
    <col min="31" max="32" width="10.453125" style="12" customWidth="1"/>
    <col min="33" max="33" width="11.81640625" style="12" bestFit="1" customWidth="1"/>
    <col min="34" max="34" width="10.7265625" style="12" customWidth="1"/>
    <col min="35" max="35" width="11.81640625" style="12" bestFit="1" customWidth="1"/>
    <col min="36" max="36" width="13.453125" style="12" bestFit="1" customWidth="1"/>
    <col min="37" max="37" width="11.26953125" style="12" customWidth="1"/>
    <col min="38" max="38" width="16.81640625" style="12" bestFit="1" customWidth="1"/>
    <col min="39" max="39" width="7.54296875" style="12" customWidth="1"/>
    <col min="40" max="40" width="14" style="12" bestFit="1" customWidth="1"/>
    <col min="41" max="41" width="11.1796875" style="12" customWidth="1"/>
    <col min="42" max="42" width="11" style="12" customWidth="1"/>
    <col min="43" max="43" width="10.453125" style="12" customWidth="1"/>
    <col min="44" max="44" width="12.7265625" style="12" bestFit="1" customWidth="1"/>
    <col min="45" max="45" width="10.54296875" style="12" customWidth="1"/>
    <col min="46" max="46" width="9.453125" style="12" customWidth="1"/>
    <col min="47" max="47" width="11" style="12" customWidth="1"/>
    <col min="48" max="48" width="12.54296875" style="12" bestFit="1" customWidth="1"/>
    <col min="49" max="49" width="13.7265625" style="12" bestFit="1" customWidth="1"/>
    <col min="50" max="50" width="11.54296875" style="12" bestFit="1" customWidth="1"/>
    <col min="51" max="51" width="12.26953125" style="12" bestFit="1" customWidth="1"/>
    <col min="52" max="52" width="10.54296875" style="12" customWidth="1"/>
    <col min="53" max="53" width="10.26953125" style="12" customWidth="1"/>
    <col min="54" max="54" width="13" style="12" bestFit="1" customWidth="1"/>
    <col min="55" max="55" width="16.1796875" style="12" bestFit="1" customWidth="1"/>
    <col min="56" max="56" width="13" style="12" bestFit="1" customWidth="1"/>
    <col min="57" max="57" width="13.7265625" style="12" bestFit="1" customWidth="1"/>
    <col min="58" max="58" width="14.1796875" style="12" bestFit="1" customWidth="1"/>
    <col min="59" max="59" width="12.54296875" style="12" bestFit="1" customWidth="1"/>
    <col min="60" max="60" width="11" style="12" customWidth="1"/>
    <col min="61" max="61" width="8.26953125" style="12" customWidth="1"/>
    <col min="62" max="62" width="10" style="12" customWidth="1"/>
    <col min="63" max="63" width="10.7265625" style="12" customWidth="1"/>
    <col min="64" max="64" width="8.26953125" style="12" customWidth="1"/>
    <col min="65" max="65" width="11.54296875" style="12" bestFit="1" customWidth="1"/>
    <col min="66" max="66" width="18.7265625" style="12" bestFit="1" customWidth="1"/>
    <col min="67" max="67" width="9" style="12" customWidth="1"/>
    <col min="68" max="68" width="11.1796875" style="12" customWidth="1"/>
    <col min="69" max="69" width="12" style="12" bestFit="1" customWidth="1"/>
    <col min="70" max="70" width="14.453125" style="12" bestFit="1" customWidth="1"/>
    <col min="71" max="71" width="14.1796875" style="12" bestFit="1" customWidth="1"/>
    <col min="72" max="72" width="12.453125" style="12" bestFit="1" customWidth="1"/>
    <col min="73" max="73" width="9.453125" style="12" customWidth="1"/>
    <col min="74" max="74" width="14" style="12" bestFit="1" customWidth="1"/>
    <col min="75" max="75" width="16.26953125" style="12" bestFit="1" customWidth="1"/>
    <col min="76" max="76" width="13.7265625" style="12" bestFit="1" customWidth="1"/>
    <col min="77" max="77" width="18.453125" style="12" bestFit="1" customWidth="1"/>
    <col min="78" max="78" width="9" style="12" customWidth="1"/>
    <col min="79" max="79" width="15" style="12" bestFit="1" customWidth="1"/>
    <col min="80" max="80" width="10.90625" style="12"/>
    <col min="81" max="81" width="8" style="12" customWidth="1"/>
    <col min="82" max="82" width="13.453125" style="12" bestFit="1" customWidth="1"/>
    <col min="83" max="83" width="11.54296875" style="12" bestFit="1" customWidth="1"/>
    <col min="84" max="84" width="15" style="12" bestFit="1" customWidth="1"/>
    <col min="85" max="85" width="10.7265625" style="12" customWidth="1"/>
    <col min="86" max="86" width="10.90625" style="12"/>
    <col min="87" max="87" width="9.7265625" style="12" customWidth="1"/>
    <col min="88" max="88" width="19.81640625" style="12" bestFit="1" customWidth="1"/>
    <col min="89" max="89" width="13.7265625" style="12" bestFit="1" customWidth="1"/>
    <col min="90" max="90" width="9.26953125" style="12" customWidth="1"/>
    <col min="91" max="91" width="10.90625" style="12"/>
    <col min="92" max="92" width="10.26953125" style="12" customWidth="1"/>
    <col min="93" max="94" width="11.26953125" style="12" customWidth="1"/>
    <col min="95" max="95" width="9.453125" style="12" customWidth="1"/>
    <col min="96" max="96" width="23.54296875" style="12" bestFit="1" customWidth="1"/>
    <col min="97" max="97" width="9.7265625" style="12" customWidth="1"/>
    <col min="98" max="98" width="11.26953125" style="12" customWidth="1"/>
    <col min="99" max="99" width="11" style="12" customWidth="1"/>
    <col min="100" max="100" width="16.1796875" style="12" bestFit="1" customWidth="1"/>
    <col min="101" max="101" width="12.26953125" style="12" bestFit="1" customWidth="1"/>
    <col min="102" max="102" width="15.54296875" style="12" bestFit="1" customWidth="1"/>
    <col min="103" max="103" width="11.26953125" style="12" customWidth="1"/>
    <col min="104" max="104" width="9.1796875" style="12" customWidth="1"/>
    <col min="105" max="105" width="12.54296875" style="12" bestFit="1" customWidth="1"/>
    <col min="106" max="106" width="13" style="12" bestFit="1" customWidth="1"/>
    <col min="107" max="107" width="9.7265625" style="12" customWidth="1"/>
    <col min="108" max="108" width="10.453125" style="12" customWidth="1"/>
    <col min="109" max="109" width="11" style="12" customWidth="1"/>
    <col min="110" max="110" width="10.54296875" style="12" customWidth="1"/>
    <col min="111" max="111" width="10.26953125" style="12" customWidth="1"/>
    <col min="112" max="112" width="11.7265625" style="12" bestFit="1" customWidth="1"/>
    <col min="113" max="113" width="11.81640625" style="12" bestFit="1" customWidth="1"/>
    <col min="114" max="114" width="11.1796875" style="12" customWidth="1"/>
    <col min="115" max="115" width="6.54296875" style="12" customWidth="1"/>
    <col min="116" max="116" width="12.1796875" style="12" bestFit="1" customWidth="1"/>
    <col min="117" max="117" width="10.1796875" style="12" customWidth="1"/>
    <col min="118" max="118" width="13.1796875" style="12" bestFit="1" customWidth="1"/>
    <col min="119" max="119" width="8.453125" style="12" customWidth="1"/>
    <col min="120" max="120" width="13.1796875" style="12" bestFit="1" customWidth="1"/>
    <col min="121" max="121" width="12.1796875" style="12" bestFit="1" customWidth="1"/>
    <col min="122" max="122" width="9.7265625" style="12" customWidth="1"/>
    <col min="123" max="123" width="10.1796875" style="12" customWidth="1"/>
    <col min="124" max="124" width="10.7265625" style="12" customWidth="1"/>
    <col min="125" max="125" width="11.81640625" style="12" bestFit="1" customWidth="1"/>
    <col min="126" max="126" width="10.7265625" style="12" customWidth="1"/>
    <col min="127" max="127" width="9" style="12" customWidth="1"/>
    <col min="128" max="128" width="10.54296875" style="12" customWidth="1"/>
    <col min="129" max="129" width="12.453125" style="12" bestFit="1" customWidth="1"/>
    <col min="130" max="130" width="8.54296875" style="12" customWidth="1"/>
    <col min="131" max="131" width="10" style="12" customWidth="1"/>
    <col min="132" max="132" width="11.1796875" style="12" customWidth="1"/>
    <col min="133" max="133" width="12.7265625" style="12" bestFit="1" customWidth="1"/>
    <col min="134" max="134" width="10.7265625" style="12" customWidth="1"/>
    <col min="135" max="135" width="10.81640625" style="12" customWidth="1"/>
    <col min="136" max="136" width="12.26953125" style="12" bestFit="1" customWidth="1"/>
    <col min="137" max="137" width="13.81640625" style="12" bestFit="1" customWidth="1"/>
    <col min="138" max="138" width="18" style="12" bestFit="1" customWidth="1"/>
    <col min="139" max="139" width="10.90625" style="12"/>
    <col min="140" max="140" width="11" style="12" customWidth="1"/>
    <col min="141" max="141" width="11.7265625" style="12" bestFit="1" customWidth="1"/>
    <col min="142" max="142" width="13.7265625" style="12" bestFit="1" customWidth="1"/>
    <col min="143" max="143" width="11.1796875" style="12" customWidth="1"/>
    <col min="144" max="144" width="12.54296875" style="12" bestFit="1" customWidth="1"/>
    <col min="145" max="145" width="20.453125" style="12" bestFit="1" customWidth="1"/>
    <col min="146" max="146" width="10.1796875" style="12" customWidth="1"/>
    <col min="147" max="147" width="9.7265625" style="12" customWidth="1"/>
    <col min="148" max="148" width="11.1796875" style="12" customWidth="1"/>
    <col min="149" max="149" width="19.26953125" style="12" bestFit="1" customWidth="1"/>
    <col min="150" max="150" width="11.7265625" style="12" bestFit="1" customWidth="1"/>
    <col min="151" max="151" width="19.7265625" style="12" bestFit="1" customWidth="1"/>
    <col min="152" max="152" width="10.7265625" style="12" customWidth="1"/>
    <col min="153" max="153" width="12" style="12" bestFit="1" customWidth="1"/>
    <col min="154" max="154" width="13.54296875" style="12" bestFit="1" customWidth="1"/>
    <col min="155" max="155" width="22.26953125" style="12" bestFit="1" customWidth="1"/>
    <col min="156" max="156" width="13.453125" style="12" bestFit="1" customWidth="1"/>
    <col min="157" max="157" width="10.90625" style="12"/>
    <col min="158" max="158" width="12.26953125" style="12" bestFit="1" customWidth="1"/>
    <col min="159" max="159" width="11.1796875" style="12" customWidth="1"/>
    <col min="160" max="160" width="9.7265625" style="12" customWidth="1"/>
    <col min="161" max="161" width="10.81640625" style="12" customWidth="1"/>
    <col min="162" max="162" width="10" style="12" customWidth="1"/>
    <col min="163" max="163" width="10.1796875" style="12" customWidth="1"/>
    <col min="164" max="164" width="17.81640625" style="12" bestFit="1" customWidth="1"/>
    <col min="165" max="165" width="9" style="12" customWidth="1"/>
    <col min="166" max="166" width="8.1796875" style="12" customWidth="1"/>
    <col min="167" max="167" width="15.1796875" style="12" bestFit="1" customWidth="1"/>
    <col min="168" max="168" width="8.7265625" style="12" customWidth="1"/>
    <col min="169" max="169" width="12.26953125" style="12" bestFit="1" customWidth="1"/>
    <col min="170" max="170" width="10.453125" style="12" customWidth="1"/>
    <col min="171" max="171" width="18.453125" style="12" bestFit="1" customWidth="1"/>
    <col min="172" max="172" width="8.7265625" style="12" customWidth="1"/>
    <col min="173" max="173" width="10.7265625" style="12" customWidth="1"/>
    <col min="174" max="174" width="10.81640625" style="12" customWidth="1"/>
    <col min="175" max="175" width="8.7265625" style="12" customWidth="1"/>
    <col min="176" max="176" width="7.7265625" style="12" customWidth="1"/>
    <col min="177" max="177" width="11.1796875" style="12" customWidth="1"/>
    <col min="178" max="178" width="9.26953125" style="12" customWidth="1"/>
    <col min="179" max="179" width="15.453125" style="12" bestFit="1" customWidth="1"/>
    <col min="180" max="180" width="16.26953125" style="12" bestFit="1" customWidth="1"/>
    <col min="181" max="182" width="12.453125" style="12" bestFit="1" customWidth="1"/>
    <col min="183" max="183" width="13.7265625" style="12" bestFit="1" customWidth="1"/>
    <col min="184" max="184" width="13.26953125" style="12" bestFit="1" customWidth="1"/>
    <col min="185" max="185" width="14.1796875" style="12" bestFit="1" customWidth="1"/>
    <col min="186" max="186" width="10.90625" style="12"/>
    <col min="187" max="187" width="14.1796875" style="12" bestFit="1" customWidth="1"/>
    <col min="188" max="188" width="12.453125" style="12" bestFit="1" customWidth="1"/>
    <col min="189" max="190" width="18.54296875" style="12" bestFit="1" customWidth="1"/>
    <col min="191" max="191" width="12.7265625" style="12" bestFit="1" customWidth="1"/>
    <col min="192" max="192" width="15.54296875" style="12" bestFit="1" customWidth="1"/>
    <col min="193" max="193" width="9.453125" style="12" customWidth="1"/>
    <col min="194" max="194" width="15.1796875" style="12" bestFit="1" customWidth="1"/>
    <col min="195" max="195" width="8" style="12" customWidth="1"/>
    <col min="196" max="196" width="9.453125" style="12" customWidth="1"/>
    <col min="197" max="197" width="11.7265625" style="12" bestFit="1" customWidth="1"/>
    <col min="198" max="198" width="10.7265625" style="12" customWidth="1"/>
    <col min="199" max="199" width="11.7265625" style="12" bestFit="1" customWidth="1"/>
    <col min="200" max="200" width="10.1796875" style="12" customWidth="1"/>
    <col min="201" max="201" width="12.453125" style="12" bestFit="1" customWidth="1"/>
    <col min="202" max="202" width="14.81640625" style="12" bestFit="1" customWidth="1"/>
    <col min="203" max="203" width="14.1796875" style="12" bestFit="1" customWidth="1"/>
    <col min="204" max="204" width="10.7265625" style="12" customWidth="1"/>
    <col min="205" max="205" width="11.81640625" style="12" bestFit="1" customWidth="1"/>
    <col min="206" max="206" width="10.90625" style="12"/>
    <col min="207" max="207" width="13.1796875" style="12" bestFit="1" customWidth="1"/>
    <col min="208" max="208" width="13.7265625" style="12" bestFit="1" customWidth="1"/>
    <col min="209" max="209" width="13.81640625" style="12" bestFit="1" customWidth="1"/>
    <col min="210" max="210" width="14.26953125" style="12" bestFit="1" customWidth="1"/>
    <col min="211" max="211" width="13.26953125" style="12" bestFit="1" customWidth="1"/>
    <col min="212" max="212" width="15.26953125" style="12" bestFit="1" customWidth="1"/>
    <col min="213" max="213" width="14" style="12" bestFit="1" customWidth="1"/>
    <col min="214" max="214" width="9.81640625" style="12" customWidth="1"/>
    <col min="215" max="215" width="8.26953125" style="12" customWidth="1"/>
    <col min="216" max="216" width="10" style="12" customWidth="1"/>
    <col min="217" max="217" width="13.1796875" style="12" bestFit="1" customWidth="1"/>
    <col min="218" max="218" width="13.81640625" style="12" bestFit="1" customWidth="1"/>
    <col min="219" max="219" width="13.7265625" style="12" bestFit="1" customWidth="1"/>
    <col min="220" max="220" width="11.7265625" style="12" bestFit="1" customWidth="1"/>
    <col min="221" max="221" width="13.54296875" style="12" bestFit="1" customWidth="1"/>
    <col min="222" max="223" width="9.81640625" style="12" customWidth="1"/>
    <col min="224" max="224" width="17.26953125" style="12" bestFit="1" customWidth="1"/>
    <col min="225" max="225" width="16.7265625" style="12" bestFit="1" customWidth="1"/>
    <col min="226" max="226" width="12.54296875" style="12" bestFit="1" customWidth="1"/>
    <col min="227" max="227" width="13.1796875" style="12" bestFit="1" customWidth="1"/>
    <col min="228" max="228" width="14.1796875" style="12" bestFit="1" customWidth="1"/>
    <col min="229" max="229" width="11.26953125" style="12" customWidth="1"/>
    <col min="230" max="230" width="13.1796875" style="12" bestFit="1" customWidth="1"/>
    <col min="231" max="231" width="12.26953125" style="12" bestFit="1" customWidth="1"/>
    <col min="232" max="232" width="11.7265625" style="12" bestFit="1" customWidth="1"/>
    <col min="233" max="233" width="15.26953125" style="12" bestFit="1" customWidth="1"/>
    <col min="234" max="234" width="15.81640625" style="12" bestFit="1" customWidth="1"/>
    <col min="235" max="235" width="16.54296875" style="12" bestFit="1" customWidth="1"/>
    <col min="236" max="236" width="12.7265625" style="12" bestFit="1" customWidth="1"/>
    <col min="237" max="237" width="13.7265625" style="12" bestFit="1" customWidth="1"/>
    <col min="238" max="238" width="15.1796875" style="12" bestFit="1" customWidth="1"/>
    <col min="239" max="239" width="15.453125" style="12" bestFit="1" customWidth="1"/>
    <col min="240" max="240" width="20.1796875" style="12" bestFit="1" customWidth="1"/>
    <col min="241" max="241" width="11.1796875" style="12" customWidth="1"/>
    <col min="242" max="242" width="14" style="12" bestFit="1" customWidth="1"/>
    <col min="243" max="243" width="12.81640625" style="12" bestFit="1" customWidth="1"/>
    <col min="244" max="244" width="14.81640625" style="12" bestFit="1" customWidth="1"/>
    <col min="245" max="246" width="10.453125" style="12" customWidth="1"/>
    <col min="247" max="247" width="14.81640625" style="12" bestFit="1" customWidth="1"/>
    <col min="248" max="248" width="11.1796875" style="12" customWidth="1"/>
    <col min="249" max="249" width="18.81640625" style="12" bestFit="1" customWidth="1"/>
    <col min="250" max="250" width="14" style="12" bestFit="1" customWidth="1"/>
    <col min="251" max="251" width="9.1796875" style="12" customWidth="1"/>
    <col min="252" max="252" width="9" style="12" customWidth="1"/>
    <col min="253" max="254" width="9.453125" style="12" customWidth="1"/>
    <col min="255" max="255" width="10.90625" style="12"/>
    <col min="256" max="256" width="9" style="12" customWidth="1"/>
    <col min="257" max="257" width="10.453125" style="12" customWidth="1"/>
    <col min="258" max="258" width="7.81640625" style="12" customWidth="1"/>
    <col min="259" max="259" width="7.7265625" style="12" customWidth="1"/>
    <col min="260" max="260" width="13" style="12" bestFit="1" customWidth="1"/>
    <col min="261" max="261" width="19.81640625" style="12" bestFit="1" customWidth="1"/>
    <col min="262" max="262" width="9.453125" style="12" customWidth="1"/>
    <col min="263" max="263" width="8.7265625" style="12" customWidth="1"/>
    <col min="264" max="264" width="9.7265625" style="12" customWidth="1"/>
    <col min="265" max="265" width="13.7265625" style="12" bestFit="1" customWidth="1"/>
    <col min="266" max="266" width="9.1796875" style="12" customWidth="1"/>
    <col min="267" max="267" width="7.54296875" style="12" customWidth="1"/>
    <col min="268" max="268" width="15.7265625" style="12" bestFit="1" customWidth="1"/>
    <col min="269" max="269" width="16.1796875" style="12" bestFit="1" customWidth="1"/>
    <col min="270" max="270" width="13.26953125" style="12" bestFit="1" customWidth="1"/>
    <col min="271" max="271" width="8.54296875" style="12" customWidth="1"/>
    <col min="272" max="273" width="15.7265625" style="12" bestFit="1" customWidth="1"/>
    <col min="274" max="274" width="9" style="12" customWidth="1"/>
    <col min="275" max="275" width="6.54296875" style="12" customWidth="1"/>
    <col min="276" max="276" width="10.1796875" style="12" customWidth="1"/>
    <col min="277" max="277" width="10.453125" style="12" customWidth="1"/>
    <col min="278" max="278" width="8.7265625" style="12" customWidth="1"/>
    <col min="279" max="279" width="8.81640625" style="12" customWidth="1"/>
    <col min="280" max="280" width="10.81640625" style="12" customWidth="1"/>
    <col min="281" max="281" width="10.1796875" style="12" customWidth="1"/>
    <col min="282" max="282" width="10.453125" style="12" customWidth="1"/>
    <col min="283" max="283" width="8.81640625" style="12" customWidth="1"/>
    <col min="284" max="284" width="10.90625" style="12"/>
    <col min="285" max="285" width="9.26953125" style="12" customWidth="1"/>
    <col min="286" max="286" width="10.54296875" style="12" customWidth="1"/>
    <col min="287" max="287" width="8" style="12" customWidth="1"/>
    <col min="288" max="288" width="12.81640625" style="12" bestFit="1" customWidth="1"/>
    <col min="289" max="289" width="12.26953125" style="12" bestFit="1" customWidth="1"/>
    <col min="290" max="290" width="11.7265625" style="12" bestFit="1" customWidth="1"/>
    <col min="291" max="291" width="13" style="12" bestFit="1" customWidth="1"/>
    <col min="292" max="292" width="8.7265625" style="12" customWidth="1"/>
    <col min="293" max="293" width="12.7265625" style="12" bestFit="1" customWidth="1"/>
    <col min="294" max="294" width="13.26953125" style="12" bestFit="1" customWidth="1"/>
    <col min="295" max="295" width="12.7265625" style="12" bestFit="1" customWidth="1"/>
    <col min="296" max="296" width="8.81640625" style="12" customWidth="1"/>
    <col min="297" max="297" width="9.453125" style="12" customWidth="1"/>
    <col min="298" max="298" width="9.1796875" style="12" customWidth="1"/>
    <col min="299" max="299" width="12" style="12" bestFit="1" customWidth="1"/>
    <col min="300" max="300" width="10.453125" style="12" customWidth="1"/>
    <col min="301" max="301" width="9.7265625" style="12" customWidth="1"/>
    <col min="302" max="302" width="15.54296875" style="12" bestFit="1" customWidth="1"/>
    <col min="303" max="303" width="10.90625" style="12"/>
    <col min="304" max="304" width="15.1796875" style="12" bestFit="1" customWidth="1"/>
    <col min="305" max="305" width="11.81640625" style="12" bestFit="1" customWidth="1"/>
    <col min="306" max="306" width="9.54296875" style="12" customWidth="1"/>
    <col min="307" max="307" width="11" style="12" customWidth="1"/>
    <col min="308" max="308" width="11.81640625" style="12" bestFit="1" customWidth="1"/>
    <col min="309" max="309" width="9.54296875" style="12" customWidth="1"/>
    <col min="310" max="310" width="11.26953125" style="12" customWidth="1"/>
    <col min="311" max="311" width="9.81640625" style="12" customWidth="1"/>
    <col min="312" max="312" width="7.7265625" style="12" customWidth="1"/>
    <col min="313" max="313" width="7.54296875" style="12" customWidth="1"/>
    <col min="314" max="314" width="12.81640625" style="12" bestFit="1" customWidth="1"/>
    <col min="315" max="316" width="10.7265625" style="12" customWidth="1"/>
    <col min="317" max="317" width="11.7265625" style="12" bestFit="1" customWidth="1"/>
    <col min="318" max="318" width="9.26953125" style="12" customWidth="1"/>
    <col min="319" max="319" width="11.1796875" style="12" customWidth="1"/>
    <col min="320" max="320" width="9.26953125" style="12" customWidth="1"/>
    <col min="321" max="321" width="12.54296875" style="12" bestFit="1" customWidth="1"/>
    <col min="322" max="322" width="15" style="12" bestFit="1" customWidth="1"/>
    <col min="323" max="323" width="15.1796875" style="12" bestFit="1" customWidth="1"/>
    <col min="324" max="324" width="13.7265625" style="12" bestFit="1" customWidth="1"/>
    <col min="325" max="325" width="16.7265625" style="12" bestFit="1" customWidth="1"/>
    <col min="326" max="326" width="11.54296875" style="12" bestFit="1" customWidth="1"/>
    <col min="327" max="327" width="15.26953125" style="12" bestFit="1" customWidth="1"/>
    <col min="328" max="328" width="12.26953125" style="12" bestFit="1" customWidth="1"/>
    <col min="329" max="329" width="8.81640625" style="12" customWidth="1"/>
    <col min="330" max="330" width="13" style="12" bestFit="1" customWidth="1"/>
    <col min="331" max="331" width="15.1796875" style="12" bestFit="1" customWidth="1"/>
    <col min="332" max="332" width="10" style="12" customWidth="1"/>
    <col min="333" max="333" width="8.453125" style="12" customWidth="1"/>
    <col min="334" max="334" width="9.1796875" style="12" customWidth="1"/>
    <col min="335" max="335" width="10.54296875" style="12" customWidth="1"/>
    <col min="336" max="336" width="11" style="12" customWidth="1"/>
    <col min="337" max="337" width="13.81640625" style="12" bestFit="1" customWidth="1"/>
    <col min="338" max="338" width="12.1796875" style="12" bestFit="1" customWidth="1"/>
    <col min="339" max="339" width="11.81640625" style="12" bestFit="1" customWidth="1"/>
    <col min="340" max="340" width="11.54296875" style="12" bestFit="1" customWidth="1"/>
    <col min="341" max="341" width="9.81640625" style="12" customWidth="1"/>
    <col min="342" max="342" width="10.7265625" style="12" customWidth="1"/>
    <col min="343" max="343" width="11" style="12" customWidth="1"/>
    <col min="344" max="344" width="9" style="12" customWidth="1"/>
    <col min="345" max="345" width="9.453125" style="12" customWidth="1"/>
    <col min="346" max="346" width="8.1796875" style="12" customWidth="1"/>
    <col min="347" max="347" width="11.1796875" style="12" customWidth="1"/>
    <col min="348" max="348" width="10.26953125" style="12" customWidth="1"/>
    <col min="349" max="349" width="9" style="12" customWidth="1"/>
    <col min="350" max="350" width="16" style="12" bestFit="1" customWidth="1"/>
    <col min="351" max="351" width="12.81640625" style="12" bestFit="1" customWidth="1"/>
    <col min="352" max="352" width="12.54296875" style="12" bestFit="1" customWidth="1"/>
    <col min="353" max="353" width="9.81640625" style="12" customWidth="1"/>
    <col min="354" max="354" width="13.26953125" style="12" bestFit="1" customWidth="1"/>
    <col min="355" max="355" width="8.7265625" style="12" customWidth="1"/>
    <col min="356" max="356" width="10.54296875" style="12" customWidth="1"/>
    <col min="357" max="357" width="11" style="12" customWidth="1"/>
    <col min="358" max="358" width="8" style="12" customWidth="1"/>
    <col min="359" max="359" width="10.26953125" style="12" customWidth="1"/>
    <col min="360" max="360" width="8.1796875" style="12" customWidth="1"/>
    <col min="361" max="361" width="12.453125" style="12" bestFit="1" customWidth="1"/>
    <col min="362" max="363" width="10.90625" style="12"/>
    <col min="364" max="364" width="13.453125" style="12" bestFit="1" customWidth="1"/>
    <col min="365" max="365" width="21.54296875" style="12" bestFit="1" customWidth="1"/>
    <col min="366" max="366" width="14" style="12" bestFit="1" customWidth="1"/>
    <col min="367" max="367" width="17" style="12" bestFit="1" customWidth="1"/>
    <col min="368" max="368" width="12.81640625" style="12" bestFit="1" customWidth="1"/>
    <col min="369" max="369" width="19.54296875" style="12" bestFit="1" customWidth="1"/>
    <col min="370" max="370" width="11.1796875" style="12" customWidth="1"/>
    <col min="371" max="371" width="10.26953125" style="12" customWidth="1"/>
    <col min="372" max="372" width="11" style="12" customWidth="1"/>
    <col min="373" max="373" width="10.26953125" style="12" customWidth="1"/>
    <col min="374" max="374" width="11.7265625" style="12" bestFit="1" customWidth="1"/>
    <col min="375" max="375" width="18" style="12" bestFit="1" customWidth="1"/>
    <col min="376" max="376" width="18.81640625" style="12" bestFit="1" customWidth="1"/>
    <col min="377" max="377" width="8.26953125" style="12" customWidth="1"/>
    <col min="378" max="378" width="11.81640625" style="12" bestFit="1" customWidth="1"/>
    <col min="379" max="379" width="10.54296875" style="12" customWidth="1"/>
    <col min="380" max="380" width="9.453125" style="12" customWidth="1"/>
    <col min="381" max="381" width="11.7265625" style="12" bestFit="1" customWidth="1"/>
    <col min="382" max="382" width="13.54296875" style="12" bestFit="1" customWidth="1"/>
    <col min="383" max="383" width="13.81640625" style="12" bestFit="1" customWidth="1"/>
    <col min="384" max="384" width="10.26953125" style="12" customWidth="1"/>
    <col min="385" max="385" width="11.1796875" style="12" customWidth="1"/>
    <col min="386" max="386" width="15.453125" style="12" bestFit="1" customWidth="1"/>
    <col min="387" max="387" width="13.7265625" style="12" bestFit="1" customWidth="1"/>
    <col min="388" max="388" width="12.453125" style="12" bestFit="1" customWidth="1"/>
    <col min="389" max="389" width="8.81640625" style="12" customWidth="1"/>
    <col min="390" max="390" width="13.81640625" style="12" bestFit="1" customWidth="1"/>
    <col min="391" max="391" width="19" style="12" bestFit="1" customWidth="1"/>
    <col min="392" max="392" width="20.26953125" style="12" bestFit="1" customWidth="1"/>
    <col min="393" max="394" width="14.1796875" style="12" bestFit="1" customWidth="1"/>
    <col min="395" max="395" width="11.26953125" style="12" customWidth="1"/>
    <col min="396" max="396" width="11.7265625" style="12" bestFit="1" customWidth="1"/>
    <col min="397" max="397" width="11.1796875" style="12" customWidth="1"/>
    <col min="398" max="398" width="11.54296875" style="12" bestFit="1" customWidth="1"/>
    <col min="399" max="399" width="13.1796875" style="12" bestFit="1" customWidth="1"/>
    <col min="400" max="400" width="9.453125" style="12" customWidth="1"/>
    <col min="401" max="402" width="10.54296875" style="12" customWidth="1"/>
    <col min="403" max="403" width="12.1796875" style="12" bestFit="1" customWidth="1"/>
    <col min="404" max="404" width="10.54296875" style="12" customWidth="1"/>
    <col min="405" max="405" width="14.7265625" style="12" bestFit="1" customWidth="1"/>
    <col min="406" max="406" width="21.7265625" style="12" bestFit="1" customWidth="1"/>
    <col min="407" max="407" width="8.7265625" style="12" customWidth="1"/>
    <col min="408" max="408" width="10.453125" style="12" customWidth="1"/>
    <col min="409" max="409" width="12.81640625" style="12" bestFit="1" customWidth="1"/>
    <col min="410" max="410" width="19.7265625" style="12" bestFit="1" customWidth="1"/>
    <col min="411" max="411" width="13.7265625" style="12" bestFit="1" customWidth="1"/>
    <col min="412" max="412" width="12.453125" style="12" bestFit="1" customWidth="1"/>
    <col min="413" max="413" width="14" style="12" bestFit="1" customWidth="1"/>
    <col min="414" max="414" width="12.54296875" style="12" bestFit="1" customWidth="1"/>
    <col min="415" max="415" width="14.26953125" style="12" bestFit="1" customWidth="1"/>
    <col min="416" max="416" width="14.7265625" style="12" bestFit="1" customWidth="1"/>
    <col min="417" max="417" width="9.26953125" style="12" customWidth="1"/>
    <col min="418" max="418" width="13.1796875" style="12" bestFit="1" customWidth="1"/>
    <col min="419" max="419" width="13" style="12" bestFit="1" customWidth="1"/>
    <col min="420" max="420" width="10.81640625" style="12" customWidth="1"/>
    <col min="421" max="421" width="10.90625" style="12"/>
    <col min="422" max="423" width="10.26953125" style="12" customWidth="1"/>
    <col min="424" max="424" width="7.81640625" style="12" customWidth="1"/>
    <col min="425" max="425" width="10" style="12" customWidth="1"/>
    <col min="426" max="426" width="10.54296875" style="12" customWidth="1"/>
    <col min="427" max="427" width="10.453125" style="12" customWidth="1"/>
    <col min="428" max="428" width="11" style="12" customWidth="1"/>
    <col min="429" max="429" width="15" style="12" bestFit="1" customWidth="1"/>
    <col min="430" max="430" width="9.1796875" style="12" customWidth="1"/>
    <col min="431" max="431" width="9.453125" style="12" customWidth="1"/>
    <col min="432" max="432" width="9.7265625" style="12" customWidth="1"/>
    <col min="433" max="433" width="9.26953125" style="12" customWidth="1"/>
    <col min="434" max="434" width="14" style="12" bestFit="1" customWidth="1"/>
    <col min="435" max="435" width="10.90625" style="12"/>
    <col min="436" max="436" width="9.54296875" style="12" customWidth="1"/>
    <col min="437" max="437" width="12.1796875" style="12" bestFit="1" customWidth="1"/>
    <col min="438" max="438" width="11" style="12" customWidth="1"/>
    <col min="439" max="439" width="9" style="12" customWidth="1"/>
    <col min="440" max="440" width="12.1796875" style="12" bestFit="1" customWidth="1"/>
    <col min="441" max="441" width="9.26953125" style="12" customWidth="1"/>
    <col min="442" max="442" width="7.26953125" style="12" customWidth="1"/>
    <col min="443" max="443" width="8.7265625" style="12" customWidth="1"/>
    <col min="444" max="444" width="8.81640625" style="12" customWidth="1"/>
    <col min="445" max="445" width="9.81640625" style="12" customWidth="1"/>
    <col min="446" max="446" width="19.26953125" style="12" bestFit="1" customWidth="1"/>
    <col min="447" max="447" width="10.81640625" style="12" customWidth="1"/>
    <col min="448" max="448" width="11.7265625" style="12" bestFit="1" customWidth="1"/>
    <col min="449" max="449" width="10.54296875" style="12" customWidth="1"/>
    <col min="450" max="450" width="9.54296875" style="12" customWidth="1"/>
    <col min="451" max="451" width="10.453125" style="12" customWidth="1"/>
    <col min="452" max="452" width="7.453125" style="12" customWidth="1"/>
    <col min="453" max="453" width="9.1796875" style="12" customWidth="1"/>
    <col min="454" max="454" width="14.453125" style="12" bestFit="1" customWidth="1"/>
    <col min="455" max="455" width="15.26953125" style="12" bestFit="1" customWidth="1"/>
    <col min="456" max="456" width="12.26953125" style="12" bestFit="1" customWidth="1"/>
    <col min="457" max="457" width="10.26953125" style="12" customWidth="1"/>
    <col min="458" max="458" width="15.26953125" style="12" bestFit="1" customWidth="1"/>
    <col min="459" max="459" width="16.54296875" style="12" bestFit="1" customWidth="1"/>
    <col min="460" max="460" width="10.54296875" style="12" customWidth="1"/>
    <col min="461" max="461" width="12.7265625" style="12" bestFit="1" customWidth="1"/>
    <col min="462" max="462" width="21.54296875" style="12" bestFit="1" customWidth="1"/>
    <col min="463" max="463" width="8.453125" style="12" customWidth="1"/>
    <col min="464" max="464" width="10.453125" style="12" customWidth="1"/>
    <col min="465" max="465" width="12.7265625" style="12" bestFit="1" customWidth="1"/>
    <col min="466" max="466" width="13" style="12" bestFit="1" customWidth="1"/>
    <col min="467" max="467" width="8.26953125" style="12" customWidth="1"/>
    <col min="468" max="468" width="11" style="12" customWidth="1"/>
    <col min="469" max="469" width="17.26953125" style="12" bestFit="1" customWidth="1"/>
    <col min="470" max="470" width="11.1796875" style="12" customWidth="1"/>
    <col min="471" max="471" width="12.26953125" style="12" bestFit="1" customWidth="1"/>
    <col min="472" max="472" width="9.81640625" style="12" customWidth="1"/>
    <col min="473" max="473" width="16.26953125" style="12" bestFit="1" customWidth="1"/>
    <col min="474" max="474" width="10.1796875" style="12" customWidth="1"/>
    <col min="475" max="475" width="11.7265625" style="12" bestFit="1" customWidth="1"/>
    <col min="476" max="476" width="13.26953125" style="12" bestFit="1" customWidth="1"/>
    <col min="477" max="477" width="12.453125" style="12" bestFit="1" customWidth="1"/>
    <col min="478" max="478" width="9.81640625" style="12" customWidth="1"/>
    <col min="479" max="479" width="12.1796875" style="12" bestFit="1" customWidth="1"/>
    <col min="480" max="480" width="11.1796875" style="12" customWidth="1"/>
    <col min="481" max="481" width="8.54296875" style="12" customWidth="1"/>
    <col min="482" max="482" width="7.54296875" style="12" customWidth="1"/>
    <col min="483" max="483" width="9.1796875" style="12" customWidth="1"/>
    <col min="484" max="484" width="10.81640625" style="12" customWidth="1"/>
    <col min="485" max="486" width="11" style="12" customWidth="1"/>
    <col min="487" max="487" width="12.26953125" style="12" bestFit="1" customWidth="1"/>
    <col min="488" max="488" width="11.26953125" style="12" customWidth="1"/>
    <col min="489" max="489" width="10.26953125" style="12" customWidth="1"/>
    <col min="490" max="490" width="11.26953125" style="12" customWidth="1"/>
    <col min="491" max="491" width="9.81640625" style="12" customWidth="1"/>
    <col min="492" max="492" width="13.1796875" style="12" bestFit="1" customWidth="1"/>
    <col min="493" max="493" width="15" style="12" bestFit="1" customWidth="1"/>
    <col min="494" max="494" width="12.7265625" style="12" bestFit="1" customWidth="1"/>
    <col min="495" max="495" width="20.81640625" style="12" bestFit="1" customWidth="1"/>
    <col min="496" max="496" width="9.54296875" style="12" customWidth="1"/>
    <col min="497" max="497" width="10.453125" style="12" customWidth="1"/>
    <col min="498" max="498" width="9.453125" style="12" customWidth="1"/>
    <col min="499" max="499" width="10" style="12" customWidth="1"/>
    <col min="500" max="500" width="10.1796875" style="12" customWidth="1"/>
    <col min="501" max="501" width="15.1796875" style="12" bestFit="1" customWidth="1"/>
    <col min="502" max="502" width="9.1796875" style="12" customWidth="1"/>
    <col min="503" max="503" width="12" style="12" bestFit="1" customWidth="1"/>
    <col min="504" max="504" width="7.81640625" style="12" customWidth="1"/>
    <col min="505" max="505" width="9" style="12" customWidth="1"/>
    <col min="506" max="506" width="23.54296875" style="12" bestFit="1" customWidth="1"/>
    <col min="507" max="508" width="10" style="12" customWidth="1"/>
    <col min="509" max="509" width="11.26953125" style="12" customWidth="1"/>
    <col min="510" max="510" width="7.1796875" style="12" customWidth="1"/>
    <col min="511" max="511" width="11.1796875" style="12" customWidth="1"/>
    <col min="512" max="512" width="10.26953125" style="12" customWidth="1"/>
    <col min="513" max="513" width="11.81640625" style="12" bestFit="1" customWidth="1"/>
    <col min="514" max="514" width="10.81640625" style="12" customWidth="1"/>
    <col min="515" max="515" width="11.7265625" style="12" bestFit="1" customWidth="1"/>
    <col min="516" max="516" width="10.81640625" style="12" customWidth="1"/>
    <col min="517" max="517" width="9.453125" style="12" customWidth="1"/>
    <col min="518" max="518" width="8" style="12" customWidth="1"/>
    <col min="519" max="519" width="9.1796875" style="12" customWidth="1"/>
    <col min="520" max="520" width="13" style="12" bestFit="1" customWidth="1"/>
    <col min="521" max="521" width="8" style="12" customWidth="1"/>
    <col min="522" max="522" width="7.7265625" style="12" customWidth="1"/>
    <col min="523" max="523" width="7.81640625" style="12" customWidth="1"/>
    <col min="524" max="524" width="9.81640625" style="12" customWidth="1"/>
    <col min="525" max="525" width="13.81640625" style="12" bestFit="1" customWidth="1"/>
    <col min="526" max="526" width="10.90625" style="12"/>
    <col min="527" max="527" width="11.7265625" style="12" bestFit="1" customWidth="1"/>
    <col min="528" max="528" width="9.1796875" style="12" customWidth="1"/>
    <col min="529" max="529" width="9.453125" style="12" customWidth="1"/>
    <col min="530" max="530" width="10.7265625" style="12" customWidth="1"/>
    <col min="531" max="531" width="13.1796875" style="12" bestFit="1" customWidth="1"/>
    <col min="532" max="532" width="12.54296875" style="12" bestFit="1" customWidth="1"/>
    <col min="533" max="533" width="10.7265625" style="12" customWidth="1"/>
    <col min="534" max="534" width="8.453125" style="12" customWidth="1"/>
    <col min="535" max="535" width="13.26953125" style="12" bestFit="1" customWidth="1"/>
    <col min="536" max="536" width="14.453125" style="12" bestFit="1" customWidth="1"/>
    <col min="537" max="538" width="9.81640625" style="12" customWidth="1"/>
    <col min="539" max="539" width="12.26953125" style="12" bestFit="1" customWidth="1"/>
    <col min="540" max="540" width="20" style="12" bestFit="1" customWidth="1"/>
    <col min="541" max="541" width="15.26953125" style="12" bestFit="1" customWidth="1"/>
    <col min="542" max="542" width="13" style="12" bestFit="1" customWidth="1"/>
    <col min="543" max="543" width="10" style="12" customWidth="1"/>
    <col min="544" max="544" width="12" style="12" bestFit="1" customWidth="1"/>
    <col min="545" max="545" width="10.453125" style="12" customWidth="1"/>
    <col min="546" max="546" width="11" style="12" customWidth="1"/>
    <col min="547" max="547" width="15.453125" style="12" bestFit="1" customWidth="1"/>
    <col min="548" max="548" width="13.1796875" style="12" bestFit="1" customWidth="1"/>
    <col min="549" max="549" width="8.81640625" style="12" customWidth="1"/>
    <col min="550" max="550" width="12.453125" style="12" bestFit="1" customWidth="1"/>
    <col min="551" max="551" width="9.7265625" style="12" customWidth="1"/>
    <col min="552" max="552" width="9.453125" style="12" customWidth="1"/>
    <col min="553" max="553" width="12.1796875" style="12" bestFit="1" customWidth="1"/>
    <col min="554" max="554" width="17.81640625" style="12" bestFit="1" customWidth="1"/>
    <col min="555" max="555" width="8.453125" style="12" customWidth="1"/>
    <col min="556" max="556" width="10.453125" style="12" customWidth="1"/>
    <col min="557" max="557" width="12.1796875" style="12" bestFit="1" customWidth="1"/>
    <col min="558" max="558" width="11.1796875" style="12" customWidth="1"/>
    <col min="559" max="559" width="8.7265625" style="12" customWidth="1"/>
    <col min="560" max="560" width="10.54296875" style="12" customWidth="1"/>
    <col min="561" max="561" width="14.1796875" style="12" bestFit="1" customWidth="1"/>
    <col min="562" max="562" width="8" style="12" customWidth="1"/>
    <col min="563" max="563" width="7.54296875" style="12" customWidth="1"/>
    <col min="564" max="564" width="9" style="12" customWidth="1"/>
    <col min="565" max="565" width="7.453125" style="12" customWidth="1"/>
    <col min="566" max="566" width="8.1796875" style="12" customWidth="1"/>
    <col min="567" max="567" width="13.1796875" style="12" bestFit="1" customWidth="1"/>
    <col min="568" max="568" width="10" style="12" customWidth="1"/>
    <col min="569" max="569" width="9.453125" style="12" customWidth="1"/>
    <col min="570" max="570" width="9" style="12" customWidth="1"/>
    <col min="571" max="571" width="19" style="12" bestFit="1" customWidth="1"/>
    <col min="572" max="572" width="13.1796875" style="12" bestFit="1" customWidth="1"/>
    <col min="573" max="573" width="14.26953125" style="12" bestFit="1" customWidth="1"/>
    <col min="574" max="574" width="14.453125" style="12" bestFit="1" customWidth="1"/>
    <col min="575" max="575" width="9.453125" style="12" customWidth="1"/>
    <col min="576" max="576" width="12.26953125" style="12" bestFit="1" customWidth="1"/>
    <col min="577" max="577" width="19.453125" style="12" bestFit="1" customWidth="1"/>
    <col min="578" max="578" width="10.7265625" style="12" customWidth="1"/>
    <col min="579" max="579" width="10.453125" style="12" customWidth="1"/>
    <col min="580" max="580" width="8.453125" style="12" customWidth="1"/>
    <col min="581" max="581" width="9.26953125" style="12" customWidth="1"/>
    <col min="582" max="582" width="14.54296875" style="12" bestFit="1" customWidth="1"/>
    <col min="583" max="583" width="18.54296875" style="12" bestFit="1" customWidth="1"/>
    <col min="584" max="584" width="12.54296875" style="12" bestFit="1" customWidth="1"/>
    <col min="585" max="585" width="10.26953125" style="12" customWidth="1"/>
    <col min="586" max="586" width="10" style="12" customWidth="1"/>
    <col min="587" max="587" width="13.26953125" style="12" bestFit="1" customWidth="1"/>
    <col min="588" max="588" width="8.1796875" style="12" customWidth="1"/>
    <col min="589" max="589" width="10.54296875" style="12" customWidth="1"/>
    <col min="590" max="590" width="19.26953125" style="12" bestFit="1" customWidth="1"/>
    <col min="591" max="591" width="14.54296875" style="12" bestFit="1" customWidth="1"/>
    <col min="592" max="592" width="10.81640625" style="12" customWidth="1"/>
    <col min="593" max="593" width="20.453125" style="12" bestFit="1" customWidth="1"/>
    <col min="594" max="594" width="14.1796875" style="12" bestFit="1" customWidth="1"/>
    <col min="595" max="595" width="13.81640625" style="12" bestFit="1" customWidth="1"/>
    <col min="596" max="596" width="11" style="12" customWidth="1"/>
    <col min="597" max="597" width="11.26953125" style="12" customWidth="1"/>
    <col min="598" max="598" width="8.54296875" style="12" customWidth="1"/>
    <col min="599" max="599" width="6.81640625" style="12" customWidth="1"/>
    <col min="600" max="600" width="12" style="12" bestFit="1" customWidth="1"/>
    <col min="601" max="601" width="19.81640625" style="12" bestFit="1" customWidth="1"/>
    <col min="602" max="602" width="12" style="12" bestFit="1" customWidth="1"/>
    <col min="603" max="603" width="12.1796875" style="12" bestFit="1" customWidth="1"/>
    <col min="604" max="604" width="8.1796875" style="12" customWidth="1"/>
    <col min="605" max="605" width="9.1796875" style="12" customWidth="1"/>
    <col min="606" max="606" width="9.453125" style="12" customWidth="1"/>
    <col min="607" max="607" width="11.26953125" style="12" customWidth="1"/>
    <col min="608" max="609" width="7.453125" style="12" customWidth="1"/>
    <col min="610" max="611" width="9.453125" style="12" customWidth="1"/>
    <col min="612" max="612" width="8.7265625" style="12" customWidth="1"/>
    <col min="613" max="613" width="7.453125" style="12" customWidth="1"/>
    <col min="614" max="614" width="8.81640625" style="12" customWidth="1"/>
    <col min="615" max="615" width="8.453125" style="12" customWidth="1"/>
    <col min="616" max="616" width="8.54296875" style="12" customWidth="1"/>
    <col min="617" max="617" width="12.54296875" style="12" bestFit="1" customWidth="1"/>
    <col min="618" max="618" width="14.26953125" style="12" bestFit="1" customWidth="1"/>
    <col min="619" max="619" width="13.26953125" style="12" bestFit="1" customWidth="1"/>
    <col min="620" max="620" width="11.54296875" style="12" bestFit="1" customWidth="1"/>
    <col min="621" max="621" width="12" style="12" bestFit="1" customWidth="1"/>
    <col min="622" max="622" width="12.7265625" style="12" bestFit="1" customWidth="1"/>
    <col min="623" max="623" width="10.7265625" style="12" customWidth="1"/>
    <col min="624" max="624" width="12.1796875" style="12" bestFit="1" customWidth="1"/>
    <col min="625" max="625" width="9" style="12" customWidth="1"/>
    <col min="626" max="626" width="9.26953125" style="12" customWidth="1"/>
    <col min="627" max="627" width="7.1796875" style="12" customWidth="1"/>
    <col min="628" max="628" width="6.7265625" style="12" customWidth="1"/>
    <col min="629" max="629" width="5.54296875" style="12" customWidth="1"/>
    <col min="630" max="630" width="6.81640625" style="12" customWidth="1"/>
    <col min="631" max="631" width="7.26953125" style="12" customWidth="1"/>
    <col min="632" max="632" width="6.81640625" style="12" customWidth="1"/>
    <col min="633" max="633" width="5.7265625" style="12" customWidth="1"/>
    <col min="634" max="634" width="5.453125" style="12" customWidth="1"/>
    <col min="635" max="635" width="10.1796875" style="12" customWidth="1"/>
    <col min="636" max="636" width="9.26953125" style="12" customWidth="1"/>
    <col min="637" max="638" width="9" style="12" customWidth="1"/>
    <col min="639" max="639" width="8.7265625" style="12" customWidth="1"/>
    <col min="640" max="640" width="9" style="12" customWidth="1"/>
    <col min="641" max="641" width="9.81640625" style="12" customWidth="1"/>
    <col min="642" max="642" width="8.1796875" style="12" customWidth="1"/>
    <col min="643" max="643" width="8" style="12" customWidth="1"/>
    <col min="644" max="644" width="8.1796875" style="12" customWidth="1"/>
    <col min="645" max="645" width="7.81640625" style="12" customWidth="1"/>
    <col min="646" max="646" width="12.26953125" style="12" bestFit="1" customWidth="1"/>
    <col min="647" max="647" width="10.54296875" style="12" customWidth="1"/>
    <col min="648" max="648" width="12" style="12" bestFit="1" customWidth="1"/>
    <col min="649" max="649" width="9.81640625" style="12" customWidth="1"/>
    <col min="650" max="650" width="8" style="12" customWidth="1"/>
    <col min="651" max="651" width="6.81640625" style="12" customWidth="1"/>
    <col min="652" max="654" width="8.1796875" style="12" customWidth="1"/>
    <col min="655" max="655" width="6.7265625" style="12" customWidth="1"/>
    <col min="656" max="656" width="8.1796875" style="12" customWidth="1"/>
    <col min="657" max="657" width="12.1796875" style="12" bestFit="1" customWidth="1"/>
    <col min="658" max="658" width="9.1796875" style="12" customWidth="1"/>
    <col min="659" max="659" width="10.1796875" style="12" customWidth="1"/>
    <col min="660" max="660" width="10" style="12" customWidth="1"/>
    <col min="661" max="661" width="9.54296875" style="12" customWidth="1"/>
    <col min="662" max="662" width="9.26953125" style="12" customWidth="1"/>
    <col min="663" max="663" width="15.1796875" style="12" bestFit="1" customWidth="1"/>
    <col min="664" max="664" width="8.26953125" style="12" customWidth="1"/>
    <col min="665" max="665" width="9.54296875" style="12" customWidth="1"/>
    <col min="666" max="666" width="20.54296875" style="12" bestFit="1" customWidth="1"/>
    <col min="667" max="667" width="18" style="12" bestFit="1" customWidth="1"/>
    <col min="668" max="668" width="16.26953125" style="12" bestFit="1" customWidth="1"/>
    <col min="669" max="669" width="14.54296875" style="12" bestFit="1" customWidth="1"/>
    <col min="670" max="670" width="12.1796875" style="12" bestFit="1" customWidth="1"/>
    <col min="671" max="671" width="11.1796875" style="12" customWidth="1"/>
    <col min="672" max="672" width="9.54296875" style="12" customWidth="1"/>
    <col min="673" max="674" width="10.7265625" style="12" customWidth="1"/>
    <col min="675" max="675" width="8.26953125" style="12" customWidth="1"/>
    <col min="676" max="676" width="7.26953125" style="12" customWidth="1"/>
    <col min="677" max="677" width="7.1796875" style="12" customWidth="1"/>
    <col min="678" max="678" width="16.1796875" style="12" bestFit="1" customWidth="1"/>
    <col min="679" max="679" width="15.7265625" style="12" bestFit="1" customWidth="1"/>
    <col min="680" max="680" width="7.1796875" style="12" customWidth="1"/>
    <col min="681" max="681" width="8.54296875" style="12" customWidth="1"/>
    <col min="682" max="682" width="8.7265625" style="12" customWidth="1"/>
    <col min="683" max="683" width="13.26953125" style="12" bestFit="1" customWidth="1"/>
    <col min="684" max="684" width="9.26953125" style="12" customWidth="1"/>
    <col min="685" max="685" width="11.7265625" style="12" bestFit="1" customWidth="1"/>
    <col min="686" max="686" width="6.453125" style="12" customWidth="1"/>
    <col min="687" max="687" width="6.54296875" style="12" customWidth="1"/>
    <col min="688" max="688" width="8.1796875" style="12" customWidth="1"/>
    <col min="689" max="689" width="7.26953125" style="12" customWidth="1"/>
    <col min="690" max="690" width="13.7265625" style="12" bestFit="1" customWidth="1"/>
    <col min="691" max="691" width="12.54296875" style="12" bestFit="1" customWidth="1"/>
    <col min="692" max="692" width="10.81640625" style="12" customWidth="1"/>
    <col min="693" max="693" width="10.453125" style="12" customWidth="1"/>
    <col min="694" max="694" width="12.81640625" style="12" bestFit="1" customWidth="1"/>
    <col min="695" max="695" width="13.81640625" style="12" bestFit="1" customWidth="1"/>
    <col min="696" max="696" width="11.54296875" style="12" bestFit="1" customWidth="1"/>
    <col min="697" max="697" width="9.453125" style="12" customWidth="1"/>
    <col min="698" max="698" width="17.7265625" style="12" bestFit="1" customWidth="1"/>
    <col min="699" max="699" width="11.7265625" style="12" bestFit="1" customWidth="1"/>
    <col min="700" max="700" width="15.1796875" style="12" bestFit="1" customWidth="1"/>
    <col min="701" max="701" width="14.1796875" style="12" bestFit="1" customWidth="1"/>
    <col min="702" max="702" width="10.7265625" style="12" customWidth="1"/>
    <col min="703" max="703" width="14" style="12" bestFit="1" customWidth="1"/>
    <col min="704" max="704" width="12.54296875" style="12" bestFit="1" customWidth="1"/>
    <col min="705" max="705" width="13.7265625" style="12" bestFit="1" customWidth="1"/>
    <col min="706" max="706" width="21.26953125" style="12" bestFit="1" customWidth="1"/>
    <col min="707" max="707" width="13" style="12" bestFit="1" customWidth="1"/>
    <col min="708" max="708" width="11.81640625" style="12" bestFit="1" customWidth="1"/>
    <col min="709" max="709" width="13.26953125" style="12" bestFit="1" customWidth="1"/>
    <col min="710" max="710" width="11.1796875" style="12" customWidth="1"/>
    <col min="711" max="711" width="17.1796875" style="12" bestFit="1" customWidth="1"/>
    <col min="712" max="712" width="10.7265625" style="12" customWidth="1"/>
    <col min="713" max="714" width="11.7265625" style="12" bestFit="1" customWidth="1"/>
    <col min="715" max="715" width="9.453125" style="12" customWidth="1"/>
    <col min="716" max="716" width="11" style="12" customWidth="1"/>
    <col min="717" max="717" width="11.81640625" style="12" bestFit="1" customWidth="1"/>
    <col min="718" max="718" width="19.81640625" style="12" bestFit="1" customWidth="1"/>
    <col min="719" max="719" width="17.54296875" style="12" bestFit="1" customWidth="1"/>
    <col min="720" max="720" width="19.7265625" style="12" bestFit="1" customWidth="1"/>
    <col min="721" max="721" width="15.54296875" style="12" bestFit="1" customWidth="1"/>
    <col min="722" max="722" width="13" style="12" bestFit="1" customWidth="1"/>
    <col min="723" max="723" width="14.1796875" style="12" bestFit="1" customWidth="1"/>
    <col min="724" max="724" width="20.81640625" style="12" bestFit="1" customWidth="1"/>
    <col min="725" max="725" width="13.54296875" style="12" bestFit="1" customWidth="1"/>
    <col min="726" max="726" width="13.7265625" style="12" bestFit="1" customWidth="1"/>
    <col min="727" max="727" width="10.453125" style="12" customWidth="1"/>
    <col min="728" max="728" width="20" style="12" bestFit="1" customWidth="1"/>
    <col min="729" max="729" width="12.54296875" style="12" bestFit="1" customWidth="1"/>
    <col min="730" max="730" width="13" style="12" bestFit="1" customWidth="1"/>
    <col min="731" max="731" width="19.453125" style="12" bestFit="1" customWidth="1"/>
    <col min="732" max="732" width="10.26953125" style="12" customWidth="1"/>
    <col min="733" max="733" width="12.26953125" style="12" bestFit="1" customWidth="1"/>
    <col min="734" max="735" width="9.54296875" style="12" customWidth="1"/>
    <col min="736" max="736" width="11.26953125" style="12" customWidth="1"/>
    <col min="737" max="737" width="18" style="12" bestFit="1" customWidth="1"/>
    <col min="738" max="738" width="9.7265625" style="12" customWidth="1"/>
    <col min="739" max="739" width="13.7265625" style="12" bestFit="1" customWidth="1"/>
    <col min="740" max="740" width="14.54296875" style="12" bestFit="1" customWidth="1"/>
    <col min="741" max="741" width="13" style="12" bestFit="1" customWidth="1"/>
    <col min="742" max="743" width="12.7265625" style="12" bestFit="1" customWidth="1"/>
    <col min="744" max="744" width="12.1796875" style="12" bestFit="1" customWidth="1"/>
    <col min="745" max="745" width="10.54296875" style="12" customWidth="1"/>
    <col min="746" max="746" width="9.54296875" style="12" customWidth="1"/>
    <col min="747" max="747" width="11.81640625" style="12" bestFit="1" customWidth="1"/>
    <col min="748" max="748" width="10.54296875" style="12" customWidth="1"/>
    <col min="749" max="749" width="10" style="12" customWidth="1"/>
    <col min="750" max="751" width="8.453125" style="12" customWidth="1"/>
    <col min="752" max="752" width="12.453125" style="12" bestFit="1" customWidth="1"/>
    <col min="753" max="753" width="14.1796875" style="12" bestFit="1" customWidth="1"/>
    <col min="754" max="754" width="13.54296875" style="12" bestFit="1" customWidth="1"/>
    <col min="755" max="755" width="14.26953125" style="12" bestFit="1" customWidth="1"/>
    <col min="756" max="756" width="9.54296875" style="12" customWidth="1"/>
    <col min="757" max="757" width="7.54296875" style="12" customWidth="1"/>
    <col min="758" max="758" width="9.453125" style="12" customWidth="1"/>
    <col min="759" max="759" width="8.453125" style="12" customWidth="1"/>
    <col min="760" max="760" width="11.26953125" style="12" customWidth="1"/>
    <col min="761" max="761" width="9.54296875" style="12" customWidth="1"/>
    <col min="762" max="762" width="11.7265625" style="12" bestFit="1" customWidth="1"/>
    <col min="763" max="763" width="9" style="12" customWidth="1"/>
    <col min="764" max="764" width="12.453125" style="12" bestFit="1" customWidth="1"/>
    <col min="765" max="765" width="18.7265625" style="12" bestFit="1" customWidth="1"/>
    <col min="766" max="766" width="9.7265625" style="12" customWidth="1"/>
    <col min="767" max="767" width="8.81640625" style="12" customWidth="1"/>
    <col min="768" max="768" width="9.1796875" style="12" customWidth="1"/>
    <col min="769" max="769" width="10.453125" style="12" customWidth="1"/>
    <col min="770" max="770" width="10.81640625" style="12" customWidth="1"/>
    <col min="771" max="771" width="8.7265625" style="12" customWidth="1"/>
    <col min="772" max="772" width="8.81640625" style="12" customWidth="1"/>
    <col min="773" max="773" width="11.7265625" style="12" bestFit="1" customWidth="1"/>
    <col min="774" max="774" width="8.81640625" style="12" customWidth="1"/>
    <col min="775" max="775" width="11" style="12" customWidth="1"/>
    <col min="776" max="776" width="8.81640625" style="12" customWidth="1"/>
    <col min="777" max="777" width="14.54296875" style="12" bestFit="1" customWidth="1"/>
    <col min="778" max="778" width="11.81640625" style="12" bestFit="1" customWidth="1"/>
    <col min="779" max="779" width="13.26953125" style="12" bestFit="1" customWidth="1"/>
    <col min="780" max="781" width="11.7265625" style="12" bestFit="1" customWidth="1"/>
    <col min="782" max="782" width="13.54296875" style="12" bestFit="1" customWidth="1"/>
    <col min="783" max="783" width="12.26953125" style="12" bestFit="1" customWidth="1"/>
    <col min="784" max="784" width="12.453125" style="12" bestFit="1" customWidth="1"/>
    <col min="785" max="785" width="15.7265625" style="12" bestFit="1" customWidth="1"/>
    <col min="786" max="786" width="16.81640625" style="12" bestFit="1" customWidth="1"/>
    <col min="787" max="787" width="11.7265625" style="12" bestFit="1" customWidth="1"/>
    <col min="788" max="788" width="9" style="12" customWidth="1"/>
    <col min="789" max="789" width="9.81640625" style="12" customWidth="1"/>
    <col min="790" max="790" width="13.54296875" style="12" bestFit="1" customWidth="1"/>
    <col min="791" max="791" width="10.26953125" style="12" customWidth="1"/>
    <col min="792" max="792" width="10.90625" style="12"/>
    <col min="793" max="793" width="10.26953125" style="12" customWidth="1"/>
    <col min="794" max="794" width="11" style="12" customWidth="1"/>
    <col min="795" max="795" width="9.81640625" style="12" customWidth="1"/>
    <col min="796" max="796" width="10.1796875" style="12" customWidth="1"/>
    <col min="797" max="797" width="11.1796875" style="12" customWidth="1"/>
    <col min="798" max="798" width="18" style="12" bestFit="1" customWidth="1"/>
    <col min="799" max="799" width="13.1796875" style="12" bestFit="1" customWidth="1"/>
    <col min="800" max="800" width="10" style="12" customWidth="1"/>
    <col min="801" max="801" width="11.7265625" style="12" bestFit="1" customWidth="1"/>
    <col min="802" max="802" width="9.54296875" style="12" customWidth="1"/>
    <col min="803" max="803" width="9.81640625" style="12" customWidth="1"/>
    <col min="804" max="804" width="12" style="12" bestFit="1" customWidth="1"/>
    <col min="805" max="805" width="11.1796875" style="12" customWidth="1"/>
    <col min="806" max="806" width="13.26953125" style="12" bestFit="1" customWidth="1"/>
    <col min="807" max="807" width="10.90625" style="12"/>
    <col min="808" max="808" width="6.453125" style="12" customWidth="1"/>
    <col min="809" max="810" width="8.26953125" style="12" customWidth="1"/>
    <col min="811" max="811" width="13.7265625" style="12" bestFit="1" customWidth="1"/>
    <col min="812" max="812" width="9" style="12" customWidth="1"/>
    <col min="813" max="813" width="12.54296875" style="12" bestFit="1" customWidth="1"/>
    <col min="814" max="814" width="9.26953125" style="12" customWidth="1"/>
    <col min="815" max="815" width="12.7265625" style="12" bestFit="1" customWidth="1"/>
    <col min="816" max="816" width="16.81640625" style="12" bestFit="1" customWidth="1"/>
    <col min="817" max="817" width="9.453125" style="12" customWidth="1"/>
    <col min="818" max="818" width="14.1796875" style="12" bestFit="1" customWidth="1"/>
    <col min="819" max="819" width="16.453125" style="12" bestFit="1" customWidth="1"/>
    <col min="820" max="820" width="9.26953125" style="12" customWidth="1"/>
    <col min="821" max="821" width="10.90625" style="12"/>
    <col min="822" max="822" width="10.7265625" style="12" customWidth="1"/>
    <col min="823" max="823" width="13" style="12" bestFit="1" customWidth="1"/>
    <col min="824" max="824" width="14.453125" style="12" bestFit="1" customWidth="1"/>
    <col min="825" max="825" width="11.81640625" style="12" bestFit="1" customWidth="1"/>
    <col min="826" max="826" width="9.26953125" style="12" customWidth="1"/>
    <col min="827" max="827" width="7.7265625" style="12" customWidth="1"/>
    <col min="828" max="828" width="10.81640625" style="12" customWidth="1"/>
    <col min="829" max="829" width="11" style="12" customWidth="1"/>
    <col min="830" max="830" width="10.26953125" style="12" customWidth="1"/>
    <col min="831" max="831" width="12.26953125" style="12" bestFit="1" customWidth="1"/>
    <col min="832" max="832" width="12.54296875" style="12" bestFit="1" customWidth="1"/>
    <col min="833" max="833" width="12.453125" style="12" bestFit="1" customWidth="1"/>
    <col min="834" max="834" width="8" style="12" customWidth="1"/>
    <col min="835" max="835" width="12" style="12" bestFit="1" customWidth="1"/>
    <col min="836" max="836" width="9" style="12" customWidth="1"/>
    <col min="837" max="837" width="18.26953125" style="12" bestFit="1" customWidth="1"/>
    <col min="838" max="838" width="16.54296875" style="12" bestFit="1" customWidth="1"/>
    <col min="839" max="839" width="9.81640625" style="12" customWidth="1"/>
    <col min="840" max="840" width="10.54296875" style="12" customWidth="1"/>
    <col min="841" max="841" width="8" style="12" customWidth="1"/>
    <col min="842" max="842" width="16.1796875" style="12" bestFit="1" customWidth="1"/>
    <col min="843" max="843" width="10.81640625" style="12" customWidth="1"/>
    <col min="844" max="844" width="18.54296875" style="12" bestFit="1" customWidth="1"/>
    <col min="845" max="845" width="10.81640625" style="12" customWidth="1"/>
    <col min="846" max="846" width="13.7265625" style="12" bestFit="1" customWidth="1"/>
    <col min="847" max="847" width="9.54296875" style="12" customWidth="1"/>
    <col min="848" max="848" width="11.1796875" style="12" customWidth="1"/>
    <col min="849" max="849" width="15.1796875" style="12" bestFit="1" customWidth="1"/>
    <col min="850" max="850" width="7.1796875" style="12" customWidth="1"/>
    <col min="851" max="851" width="10.1796875" style="12" customWidth="1"/>
    <col min="852" max="852" width="13.7265625" style="12" bestFit="1" customWidth="1"/>
    <col min="853" max="853" width="10.81640625" style="12" customWidth="1"/>
    <col min="854" max="854" width="12.7265625" style="12" bestFit="1" customWidth="1"/>
    <col min="855" max="855" width="10.26953125" style="12" customWidth="1"/>
    <col min="856" max="856" width="11.81640625" style="12" bestFit="1" customWidth="1"/>
    <col min="857" max="857" width="12" style="12" bestFit="1" customWidth="1"/>
    <col min="858" max="858" width="11" style="12" customWidth="1"/>
    <col min="859" max="859" width="11.81640625" style="12" bestFit="1" customWidth="1"/>
    <col min="860" max="860" width="11.54296875" style="12" bestFit="1" customWidth="1"/>
    <col min="861" max="861" width="14" style="12" bestFit="1" customWidth="1"/>
    <col min="862" max="862" width="20.54296875" style="12" bestFit="1" customWidth="1"/>
    <col min="863" max="863" width="10.90625" style="12"/>
    <col min="864" max="864" width="13.453125" style="12" bestFit="1" customWidth="1"/>
    <col min="865" max="865" width="8.26953125" style="12" customWidth="1"/>
    <col min="866" max="866" width="10" style="12" customWidth="1"/>
    <col min="867" max="867" width="11" style="12" customWidth="1"/>
    <col min="868" max="868" width="12" style="12" bestFit="1" customWidth="1"/>
    <col min="869" max="869" width="9.7265625" style="12" customWidth="1"/>
    <col min="870" max="870" width="10.90625" style="12"/>
    <col min="871" max="871" width="11" style="12" customWidth="1"/>
    <col min="872" max="872" width="14.1796875" style="12" bestFit="1" customWidth="1"/>
    <col min="873" max="873" width="12" style="12" bestFit="1" customWidth="1"/>
    <col min="874" max="874" width="20.453125" style="12" bestFit="1" customWidth="1"/>
    <col min="875" max="875" width="12.54296875" style="12" bestFit="1" customWidth="1"/>
    <col min="876" max="876" width="10.81640625" style="12" customWidth="1"/>
    <col min="877" max="877" width="13.26953125" style="12" bestFit="1" customWidth="1"/>
    <col min="878" max="878" width="17.54296875" style="12" bestFit="1" customWidth="1"/>
    <col min="879" max="879" width="19" style="12" bestFit="1" customWidth="1"/>
    <col min="880" max="880" width="10.90625" style="12"/>
    <col min="881" max="881" width="12.453125" style="12" bestFit="1" customWidth="1"/>
    <col min="882" max="882" width="9.1796875" style="12" customWidth="1"/>
    <col min="883" max="883" width="11.7265625" style="12" bestFit="1" customWidth="1"/>
    <col min="884" max="884" width="14.7265625" style="12" bestFit="1" customWidth="1"/>
    <col min="885" max="885" width="12" style="12" bestFit="1" customWidth="1"/>
    <col min="886" max="886" width="11" style="12" customWidth="1"/>
    <col min="887" max="887" width="11.26953125" style="12" customWidth="1"/>
    <col min="888" max="888" width="10" style="12" customWidth="1"/>
    <col min="889" max="889" width="9.26953125" style="12" customWidth="1"/>
    <col min="890" max="890" width="11.54296875" style="12" bestFit="1" customWidth="1"/>
    <col min="891" max="891" width="8" style="12" customWidth="1"/>
    <col min="892" max="892" width="11.54296875" style="12" bestFit="1" customWidth="1"/>
    <col min="893" max="893" width="10.54296875" style="12" customWidth="1"/>
    <col min="894" max="894" width="13.26953125" style="12" bestFit="1" customWidth="1"/>
    <col min="895" max="895" width="8.26953125" style="12" customWidth="1"/>
    <col min="896" max="896" width="11.81640625" style="12" bestFit="1" customWidth="1"/>
    <col min="897" max="897" width="12.26953125" style="12" bestFit="1" customWidth="1"/>
    <col min="898" max="899" width="15.54296875" style="12" bestFit="1" customWidth="1"/>
    <col min="900" max="900" width="18" style="12" bestFit="1" customWidth="1"/>
    <col min="901" max="901" width="10.26953125" style="12" customWidth="1"/>
    <col min="902" max="902" width="8.453125" style="12" customWidth="1"/>
    <col min="903" max="903" width="11.81640625" style="12" bestFit="1" customWidth="1"/>
    <col min="904" max="904" width="11.1796875" style="12" customWidth="1"/>
    <col min="905" max="905" width="9.453125" style="12" customWidth="1"/>
    <col min="906" max="906" width="10.26953125" style="12" customWidth="1"/>
    <col min="907" max="907" width="10.81640625" style="12" customWidth="1"/>
    <col min="908" max="908" width="15.26953125" style="12" bestFit="1" customWidth="1"/>
    <col min="909" max="909" width="10.7265625" style="12" customWidth="1"/>
    <col min="910" max="910" width="15.1796875" style="12" bestFit="1" customWidth="1"/>
    <col min="911" max="911" width="14.81640625" style="12" bestFit="1" customWidth="1"/>
    <col min="912" max="912" width="10.54296875" style="12" customWidth="1"/>
    <col min="913" max="913" width="12" style="12" bestFit="1" customWidth="1"/>
    <col min="914" max="914" width="18" style="12" bestFit="1" customWidth="1"/>
    <col min="915" max="915" width="9.453125" style="12" customWidth="1"/>
    <col min="916" max="916" width="15" style="12" bestFit="1" customWidth="1"/>
    <col min="917" max="917" width="12.81640625" style="12" bestFit="1" customWidth="1"/>
    <col min="918" max="918" width="10" style="12" customWidth="1"/>
    <col min="919" max="919" width="9.1796875" style="12" customWidth="1"/>
    <col min="920" max="920" width="10.54296875" style="12" customWidth="1"/>
    <col min="921" max="921" width="11" style="12" customWidth="1"/>
    <col min="922" max="922" width="10.453125" style="12" customWidth="1"/>
    <col min="923" max="923" width="14.81640625" style="12" bestFit="1" customWidth="1"/>
    <col min="924" max="924" width="15.453125" style="12" bestFit="1" customWidth="1"/>
    <col min="925" max="925" width="12" style="12" bestFit="1" customWidth="1"/>
    <col min="926" max="926" width="14.54296875" style="12" bestFit="1" customWidth="1"/>
    <col min="927" max="927" width="10.81640625" style="12" customWidth="1"/>
    <col min="928" max="928" width="11" style="12" customWidth="1"/>
    <col min="929" max="929" width="12.26953125" style="12" bestFit="1" customWidth="1"/>
    <col min="930" max="930" width="13.453125" style="12" bestFit="1" customWidth="1"/>
    <col min="931" max="931" width="9.7265625" style="12" customWidth="1"/>
    <col min="932" max="932" width="18.453125" style="12" bestFit="1" customWidth="1"/>
    <col min="933" max="933" width="18" style="12" bestFit="1" customWidth="1"/>
    <col min="934" max="934" width="12.26953125" style="12" bestFit="1" customWidth="1"/>
    <col min="935" max="935" width="9.26953125" style="12" customWidth="1"/>
    <col min="936" max="936" width="11.1796875" style="12" customWidth="1"/>
    <col min="937" max="937" width="10.90625" style="12"/>
    <col min="938" max="938" width="9.7265625" style="12" customWidth="1"/>
    <col min="939" max="939" width="9.54296875" style="12" customWidth="1"/>
    <col min="940" max="940" width="10" style="12" customWidth="1"/>
    <col min="941" max="941" width="10.26953125" style="12" customWidth="1"/>
    <col min="942" max="942" width="9.1796875" style="12" customWidth="1"/>
    <col min="943" max="943" width="13.1796875" style="12" bestFit="1" customWidth="1"/>
    <col min="944" max="944" width="12.7265625" style="12" bestFit="1" customWidth="1"/>
    <col min="945" max="945" width="21.7265625" style="12" bestFit="1" customWidth="1"/>
    <col min="946" max="946" width="13.7265625" style="12" bestFit="1" customWidth="1"/>
    <col min="947" max="947" width="10.453125" style="12" customWidth="1"/>
    <col min="948" max="948" width="10.90625" style="12"/>
    <col min="949" max="949" width="20" style="12" bestFit="1" customWidth="1"/>
    <col min="950" max="950" width="10" style="12" customWidth="1"/>
    <col min="951" max="951" width="10.81640625" style="12" customWidth="1"/>
    <col min="952" max="952" width="9.26953125" style="12" customWidth="1"/>
    <col min="953" max="953" width="10.1796875" style="12" customWidth="1"/>
    <col min="954" max="954" width="9" style="12" customWidth="1"/>
    <col min="955" max="955" width="9.81640625" style="12" customWidth="1"/>
    <col min="956" max="956" width="13.453125" style="12" bestFit="1" customWidth="1"/>
    <col min="957" max="957" width="8.54296875" style="12" customWidth="1"/>
    <col min="958" max="959" width="11" style="12" customWidth="1"/>
    <col min="960" max="960" width="9.54296875" style="12" customWidth="1"/>
    <col min="961" max="961" width="10.1796875" style="12" customWidth="1"/>
    <col min="962" max="962" width="13.26953125" style="12" bestFit="1" customWidth="1"/>
    <col min="963" max="963" width="15" style="12" bestFit="1" customWidth="1"/>
    <col min="964" max="964" width="14" style="12" bestFit="1" customWidth="1"/>
    <col min="965" max="965" width="12.81640625" style="12" bestFit="1" customWidth="1"/>
    <col min="966" max="967" width="12.1796875" style="12" bestFit="1" customWidth="1"/>
    <col min="968" max="968" width="12" style="12" bestFit="1" customWidth="1"/>
    <col min="969" max="969" width="7.54296875" style="12" customWidth="1"/>
    <col min="970" max="970" width="11" style="12" customWidth="1"/>
    <col min="971" max="972" width="12.453125" style="12" bestFit="1" customWidth="1"/>
    <col min="973" max="973" width="8.26953125" style="12" customWidth="1"/>
    <col min="974" max="974" width="10.7265625" style="12" customWidth="1"/>
    <col min="975" max="975" width="19.81640625" style="12" bestFit="1" customWidth="1"/>
    <col min="976" max="976" width="10.81640625" style="12" customWidth="1"/>
    <col min="977" max="977" width="13.54296875" style="12" bestFit="1" customWidth="1"/>
    <col min="978" max="978" width="9.1796875" style="12" customWidth="1"/>
    <col min="979" max="979" width="12.453125" style="12" bestFit="1" customWidth="1"/>
    <col min="980" max="980" width="20.54296875" style="12" bestFit="1" customWidth="1"/>
    <col min="981" max="981" width="18.54296875" style="12" bestFit="1" customWidth="1"/>
    <col min="982" max="982" width="12.54296875" style="12" bestFit="1" customWidth="1"/>
    <col min="983" max="983" width="11.26953125" style="12" customWidth="1"/>
    <col min="984" max="984" width="9.7265625" style="12" customWidth="1"/>
    <col min="985" max="985" width="8.26953125" style="12" customWidth="1"/>
    <col min="986" max="986" width="9.54296875" style="12" customWidth="1"/>
    <col min="987" max="987" width="11.7265625" style="12" bestFit="1" customWidth="1"/>
    <col min="988" max="988" width="9.81640625" style="12" customWidth="1"/>
    <col min="989" max="989" width="13.26953125" style="12" bestFit="1" customWidth="1"/>
    <col min="990" max="990" width="13.1796875" style="12" bestFit="1" customWidth="1"/>
    <col min="991" max="991" width="16.453125" style="12" bestFit="1" customWidth="1"/>
    <col min="992" max="992" width="22.1796875" style="12" bestFit="1" customWidth="1"/>
    <col min="993" max="993" width="20.453125" style="12" bestFit="1" customWidth="1"/>
    <col min="994" max="994" width="11.7265625" style="12" bestFit="1" customWidth="1"/>
    <col min="995" max="995" width="9.26953125" style="12" customWidth="1"/>
    <col min="996" max="996" width="14" style="12" bestFit="1" customWidth="1"/>
    <col min="997" max="997" width="16.54296875" style="12" bestFit="1" customWidth="1"/>
    <col min="998" max="998" width="13" style="12" bestFit="1" customWidth="1"/>
    <col min="999" max="999" width="14.1796875" style="12" bestFit="1" customWidth="1"/>
    <col min="1000" max="1000" width="11.1796875" style="12" customWidth="1"/>
    <col min="1001" max="1001" width="13.81640625" style="12" bestFit="1" customWidth="1"/>
    <col min="1002" max="1002" width="15.453125" style="12" bestFit="1" customWidth="1"/>
    <col min="1003" max="1003" width="22.1796875" style="12" bestFit="1" customWidth="1"/>
    <col min="1004" max="1004" width="10.1796875" style="12" customWidth="1"/>
    <col min="1005" max="1005" width="9.81640625" style="12" customWidth="1"/>
    <col min="1006" max="1006" width="8.81640625" style="12" customWidth="1"/>
    <col min="1007" max="1007" width="13.7265625" style="12" bestFit="1" customWidth="1"/>
    <col min="1008" max="1008" width="11.26953125" style="12" customWidth="1"/>
    <col min="1009" max="1009" width="10.81640625" style="12" customWidth="1"/>
    <col min="1010" max="1010" width="7.7265625" style="12" customWidth="1"/>
    <col min="1011" max="1011" width="11.81640625" style="12" bestFit="1" customWidth="1"/>
    <col min="1012" max="1012" width="10.7265625" style="12" customWidth="1"/>
    <col min="1013" max="1013" width="9.7265625" style="12" customWidth="1"/>
    <col min="1014" max="1014" width="12.54296875" style="12" bestFit="1" customWidth="1"/>
    <col min="1015" max="1015" width="11.1796875" style="12" customWidth="1"/>
    <col min="1016" max="1016" width="9.81640625" style="12" customWidth="1"/>
    <col min="1017" max="1017" width="8.26953125" style="12" customWidth="1"/>
    <col min="1018" max="1018" width="13.453125" style="12" bestFit="1" customWidth="1"/>
    <col min="1019" max="1019" width="12.54296875" style="12" bestFit="1" customWidth="1"/>
    <col min="1020" max="1020" width="16.7265625" style="12" bestFit="1" customWidth="1"/>
    <col min="1021" max="1021" width="12.54296875" style="12" bestFit="1" customWidth="1"/>
    <col min="1022" max="1022" width="9.54296875" style="12" customWidth="1"/>
    <col min="1023" max="1023" width="8.54296875" style="12" customWidth="1"/>
    <col min="1024" max="1024" width="11" style="12" customWidth="1"/>
    <col min="1025" max="1025" width="9.81640625" style="12" customWidth="1"/>
    <col min="1026" max="1026" width="10.90625" style="12"/>
    <col min="1027" max="1027" width="17.1796875" style="12" bestFit="1" customWidth="1"/>
    <col min="1028" max="1028" width="17.81640625" style="12" bestFit="1" customWidth="1"/>
    <col min="1029" max="1029" width="12.1796875" style="12" bestFit="1" customWidth="1"/>
    <col min="1030" max="1030" width="11.26953125" style="12" customWidth="1"/>
    <col min="1031" max="1031" width="11.81640625" style="12" bestFit="1" customWidth="1"/>
    <col min="1032" max="1032" width="19" style="12" bestFit="1" customWidth="1"/>
    <col min="1033" max="1033" width="11.81640625" style="12" bestFit="1" customWidth="1"/>
    <col min="1034" max="1034" width="9.26953125" style="12" customWidth="1"/>
    <col min="1035" max="1035" width="15.1796875" style="12" bestFit="1" customWidth="1"/>
    <col min="1036" max="1036" width="14.54296875" style="12" bestFit="1" customWidth="1"/>
    <col min="1037" max="1037" width="10.453125" style="12" customWidth="1"/>
    <col min="1038" max="1038" width="11.7265625" style="12" bestFit="1" customWidth="1"/>
    <col min="1039" max="1039" width="10.90625" style="12"/>
    <col min="1040" max="1040" width="9.54296875" style="12" customWidth="1"/>
    <col min="1041" max="1041" width="15.81640625" style="12" bestFit="1" customWidth="1"/>
    <col min="1042" max="1042" width="9.26953125" style="12" customWidth="1"/>
    <col min="1043" max="1043" width="17.7265625" style="12" bestFit="1" customWidth="1"/>
    <col min="1044" max="1044" width="20.81640625" style="12" bestFit="1" customWidth="1"/>
    <col min="1045" max="1045" width="11.26953125" style="12" customWidth="1"/>
    <col min="1046" max="1046" width="9.81640625" style="12" customWidth="1"/>
    <col min="1047" max="1047" width="12.26953125" style="12" bestFit="1" customWidth="1"/>
    <col min="1048" max="1048" width="12.1796875" style="12" bestFit="1" customWidth="1"/>
    <col min="1049" max="1049" width="10.453125" style="12" customWidth="1"/>
    <col min="1050" max="1050" width="12.54296875" style="12" bestFit="1" customWidth="1"/>
    <col min="1051" max="1051" width="17" style="12" bestFit="1" customWidth="1"/>
    <col min="1052" max="1053" width="12.26953125" style="12" bestFit="1" customWidth="1"/>
    <col min="1054" max="1054" width="14.1796875" style="12" bestFit="1" customWidth="1"/>
    <col min="1055" max="1055" width="10.26953125" style="12" customWidth="1"/>
    <col min="1056" max="1056" width="12.1796875" style="12" bestFit="1" customWidth="1"/>
    <col min="1057" max="1057" width="10.81640625" style="12" customWidth="1"/>
    <col min="1058" max="1058" width="12.54296875" style="12" bestFit="1" customWidth="1"/>
    <col min="1059" max="1059" width="13.7265625" style="12" bestFit="1" customWidth="1"/>
    <col min="1060" max="1060" width="13.26953125" style="12" bestFit="1" customWidth="1"/>
    <col min="1061" max="1061" width="19.453125" style="12" bestFit="1" customWidth="1"/>
    <col min="1062" max="1062" width="9.81640625" style="12" customWidth="1"/>
    <col min="1063" max="1063" width="14.7265625" style="12" bestFit="1" customWidth="1"/>
    <col min="1064" max="1064" width="15.26953125" style="12" bestFit="1" customWidth="1"/>
    <col min="1065" max="1065" width="18.26953125" style="12" bestFit="1" customWidth="1"/>
    <col min="1066" max="1066" width="14.54296875" style="12" bestFit="1" customWidth="1"/>
    <col min="1067" max="1067" width="12.26953125" style="12" bestFit="1" customWidth="1"/>
    <col min="1068" max="1068" width="8.54296875" style="12" customWidth="1"/>
    <col min="1069" max="1069" width="8.7265625" style="12" customWidth="1"/>
    <col min="1070" max="1070" width="13.81640625" style="12" bestFit="1" customWidth="1"/>
    <col min="1071" max="1071" width="12.26953125" style="12" bestFit="1" customWidth="1"/>
    <col min="1072" max="1072" width="10.54296875" style="12" customWidth="1"/>
    <col min="1073" max="1073" width="16.453125" style="12" bestFit="1" customWidth="1"/>
    <col min="1074" max="1074" width="9.26953125" style="12" customWidth="1"/>
    <col min="1075" max="1075" width="10.453125" style="12" customWidth="1"/>
    <col min="1076" max="1076" width="12.453125" style="12" bestFit="1" customWidth="1"/>
    <col min="1077" max="1077" width="15.1796875" style="12" bestFit="1" customWidth="1"/>
    <col min="1078" max="1078" width="10.81640625" style="12" customWidth="1"/>
    <col min="1079" max="1079" width="12" style="12" bestFit="1" customWidth="1"/>
    <col min="1080" max="1080" width="11" style="12" customWidth="1"/>
    <col min="1081" max="1081" width="11.81640625" style="12" bestFit="1" customWidth="1"/>
    <col min="1082" max="1082" width="13" style="12" bestFit="1" customWidth="1"/>
    <col min="1083" max="1083" width="10.26953125" style="12" customWidth="1"/>
    <col min="1084" max="1084" width="15.54296875" style="12" bestFit="1" customWidth="1"/>
    <col min="1085" max="1085" width="10.26953125" style="12" customWidth="1"/>
    <col min="1086" max="1086" width="8.7265625" style="12" customWidth="1"/>
    <col min="1087" max="1087" width="11.1796875" style="12" customWidth="1"/>
    <col min="1088" max="1088" width="12.453125" style="12" bestFit="1" customWidth="1"/>
    <col min="1089" max="1089" width="12" style="12" bestFit="1" customWidth="1"/>
    <col min="1090" max="1090" width="8" style="12" customWidth="1"/>
    <col min="1091" max="1091" width="14.26953125" style="12" bestFit="1" customWidth="1"/>
    <col min="1092" max="1092" width="11.26953125" style="12" customWidth="1"/>
    <col min="1093" max="1093" width="9.81640625" style="12" customWidth="1"/>
    <col min="1094" max="1094" width="10" style="12" customWidth="1"/>
    <col min="1095" max="1095" width="12.54296875" style="12" bestFit="1" customWidth="1"/>
    <col min="1096" max="1096" width="8.81640625" style="12" customWidth="1"/>
    <col min="1097" max="1097" width="10.1796875" style="12" customWidth="1"/>
    <col min="1098" max="1098" width="9.81640625" style="12" customWidth="1"/>
    <col min="1099" max="1099" width="10.453125" style="12" customWidth="1"/>
    <col min="1100" max="1100" width="15.26953125" style="12" bestFit="1" customWidth="1"/>
    <col min="1101" max="1101" width="13.7265625" style="12" bestFit="1" customWidth="1"/>
    <col min="1102" max="1102" width="9.26953125" style="12" customWidth="1"/>
    <col min="1103" max="1103" width="10.7265625" style="12" customWidth="1"/>
    <col min="1104" max="1104" width="9.26953125" style="12" customWidth="1"/>
    <col min="1105" max="1105" width="10.54296875" style="12" customWidth="1"/>
    <col min="1106" max="1106" width="9.26953125" style="12" customWidth="1"/>
    <col min="1107" max="1107" width="12.453125" style="12" bestFit="1" customWidth="1"/>
    <col min="1108" max="1108" width="9.54296875" style="12" customWidth="1"/>
    <col min="1109" max="1109" width="9.81640625" style="12" customWidth="1"/>
    <col min="1110" max="1110" width="8.1796875" style="12" customWidth="1"/>
    <col min="1111" max="1111" width="13.81640625" style="12" bestFit="1" customWidth="1"/>
    <col min="1112" max="1112" width="13.54296875" style="12" bestFit="1" customWidth="1"/>
    <col min="1113" max="1113" width="12.81640625" style="12" bestFit="1" customWidth="1"/>
    <col min="1114" max="1114" width="11.81640625" style="12" bestFit="1" customWidth="1"/>
    <col min="1115" max="1115" width="9.26953125" style="12" customWidth="1"/>
    <col min="1116" max="1116" width="13.26953125" style="12" bestFit="1" customWidth="1"/>
    <col min="1117" max="1117" width="9.1796875" style="12" customWidth="1"/>
    <col min="1118" max="1118" width="18.1796875" style="12" bestFit="1" customWidth="1"/>
    <col min="1119" max="1119" width="10.453125" style="12" customWidth="1"/>
    <col min="1120" max="1120" width="13.453125" style="12" bestFit="1" customWidth="1"/>
    <col min="1121" max="1121" width="11.81640625" style="12" bestFit="1" customWidth="1"/>
    <col min="1122" max="1122" width="7.54296875" style="12" customWidth="1"/>
    <col min="1123" max="1123" width="15" style="12" bestFit="1" customWidth="1"/>
    <col min="1124" max="1124" width="9.1796875" style="12" customWidth="1"/>
    <col min="1125" max="1125" width="10.54296875" style="12" customWidth="1"/>
    <col min="1126" max="1126" width="19.26953125" style="12" bestFit="1" customWidth="1"/>
    <col min="1127" max="1127" width="14" style="12" bestFit="1" customWidth="1"/>
    <col min="1128" max="1128" width="8.453125" style="12" customWidth="1"/>
    <col min="1129" max="1129" width="11" style="12" customWidth="1"/>
    <col min="1130" max="1130" width="9.26953125" style="12" customWidth="1"/>
    <col min="1131" max="1131" width="11.7265625" style="12" bestFit="1" customWidth="1"/>
    <col min="1132" max="1132" width="8.54296875" style="12" customWidth="1"/>
    <col min="1133" max="1133" width="12.7265625" style="12" bestFit="1" customWidth="1"/>
    <col min="1134" max="1134" width="9.54296875" style="12" customWidth="1"/>
    <col min="1135" max="1135" width="11.54296875" style="12" bestFit="1" customWidth="1"/>
    <col min="1136" max="1136" width="11" style="12" customWidth="1"/>
    <col min="1137" max="1137" width="10" style="12" customWidth="1"/>
    <col min="1138" max="1138" width="12.1796875" style="12" bestFit="1" customWidth="1"/>
    <col min="1139" max="1139" width="10.453125" style="12" customWidth="1"/>
    <col min="1140" max="1140" width="13.54296875" style="12" bestFit="1" customWidth="1"/>
    <col min="1141" max="1141" width="11.1796875" style="12" customWidth="1"/>
    <col min="1142" max="1142" width="8.7265625" style="12" customWidth="1"/>
    <col min="1143" max="1143" width="13" style="12" bestFit="1" customWidth="1"/>
    <col min="1144" max="1144" width="9.81640625" style="12" customWidth="1"/>
    <col min="1145" max="1145" width="12.26953125" style="12" bestFit="1" customWidth="1"/>
    <col min="1146" max="1146" width="10.90625" style="12"/>
    <col min="1147" max="1147" width="10.453125" style="12" customWidth="1"/>
    <col min="1148" max="1148" width="15.54296875" style="12" bestFit="1" customWidth="1"/>
    <col min="1149" max="1149" width="10.81640625" style="12" customWidth="1"/>
    <col min="1150" max="1150" width="19.26953125" style="12" bestFit="1" customWidth="1"/>
    <col min="1151" max="1151" width="10.90625" style="12"/>
    <col min="1152" max="1152" width="11" style="12" customWidth="1"/>
    <col min="1153" max="1153" width="11.81640625" style="12" bestFit="1" customWidth="1"/>
    <col min="1154" max="1154" width="11" style="12" customWidth="1"/>
    <col min="1155" max="1155" width="11.1796875" style="12" customWidth="1"/>
    <col min="1156" max="1156" width="16.7265625" style="12" bestFit="1" customWidth="1"/>
    <col min="1157" max="1157" width="9.81640625" style="12" customWidth="1"/>
    <col min="1158" max="1158" width="15.81640625" style="12" bestFit="1" customWidth="1"/>
    <col min="1159" max="1159" width="9.7265625" style="12" customWidth="1"/>
    <col min="1160" max="1160" width="10.26953125" style="12" customWidth="1"/>
    <col min="1161" max="1161" width="8.7265625" style="12" customWidth="1"/>
    <col min="1162" max="1162" width="16.453125" style="12" bestFit="1" customWidth="1"/>
    <col min="1163" max="1163" width="10.90625" style="12"/>
    <col min="1164" max="1164" width="14.453125" style="12" bestFit="1" customWidth="1"/>
    <col min="1165" max="1165" width="10.7265625" style="12" customWidth="1"/>
    <col min="1166" max="1166" width="9.453125" style="12" customWidth="1"/>
    <col min="1167" max="1167" width="9.7265625" style="12" customWidth="1"/>
    <col min="1168" max="1168" width="12.1796875" style="12" bestFit="1" customWidth="1"/>
    <col min="1169" max="1169" width="14.26953125" style="12" bestFit="1" customWidth="1"/>
    <col min="1170" max="1170" width="8" style="12" customWidth="1"/>
    <col min="1171" max="1171" width="8.54296875" style="12" customWidth="1"/>
    <col min="1172" max="1172" width="10.1796875" style="12" customWidth="1"/>
    <col min="1173" max="1173" width="11" style="12" customWidth="1"/>
    <col min="1174" max="1174" width="10.81640625" style="12" customWidth="1"/>
    <col min="1175" max="1175" width="8.54296875" style="12" customWidth="1"/>
    <col min="1176" max="1176" width="7.26953125" style="12" customWidth="1"/>
    <col min="1177" max="1177" width="10.7265625" style="12" customWidth="1"/>
    <col min="1178" max="1178" width="13.453125" style="12" bestFit="1" customWidth="1"/>
    <col min="1179" max="1179" width="9.54296875" style="12" customWidth="1"/>
    <col min="1180" max="1180" width="10.7265625" style="12" customWidth="1"/>
    <col min="1181" max="1181" width="10.453125" style="12" customWidth="1"/>
    <col min="1182" max="1182" width="16.26953125" style="12" bestFit="1" customWidth="1"/>
    <col min="1183" max="1183" width="11.81640625" style="12" bestFit="1" customWidth="1"/>
    <col min="1184" max="1184" width="8.453125" style="12" customWidth="1"/>
    <col min="1185" max="1185" width="13.26953125" style="12" bestFit="1" customWidth="1"/>
    <col min="1186" max="1186" width="10.453125" style="12" customWidth="1"/>
    <col min="1187" max="1188" width="8.54296875" style="12" customWidth="1"/>
    <col min="1189" max="1189" width="10.81640625" style="12" customWidth="1"/>
    <col min="1190" max="1190" width="10.90625" style="12"/>
    <col min="1191" max="1191" width="13.453125" style="12" bestFit="1" customWidth="1"/>
    <col min="1192" max="1192" width="12" style="12" bestFit="1" customWidth="1"/>
    <col min="1193" max="1193" width="9" style="12" customWidth="1"/>
    <col min="1194" max="1194" width="7.7265625" style="12" customWidth="1"/>
    <col min="1195" max="1195" width="10.81640625" style="12" customWidth="1"/>
    <col min="1196" max="1196" width="15.81640625" style="12" bestFit="1" customWidth="1"/>
    <col min="1197" max="1197" width="10.453125" style="12" customWidth="1"/>
    <col min="1198" max="1198" width="15.1796875" style="12" bestFit="1" customWidth="1"/>
    <col min="1199" max="1199" width="12.81640625" style="12" bestFit="1" customWidth="1"/>
    <col min="1200" max="1200" width="8.54296875" style="12" customWidth="1"/>
    <col min="1201" max="1201" width="11.81640625" style="12" bestFit="1" customWidth="1"/>
    <col min="1202" max="1202" width="10.90625" style="12"/>
    <col min="1203" max="1203" width="9.54296875" style="12" customWidth="1"/>
    <col min="1204" max="1204" width="16.453125" style="12" bestFit="1" customWidth="1"/>
    <col min="1205" max="1205" width="12.453125" style="12" bestFit="1" customWidth="1"/>
    <col min="1206" max="1206" width="10" style="12" customWidth="1"/>
    <col min="1207" max="1207" width="17.26953125" style="12" bestFit="1" customWidth="1"/>
    <col min="1208" max="1208" width="17.453125" style="12" bestFit="1" customWidth="1"/>
    <col min="1209" max="1209" width="14" style="12" bestFit="1" customWidth="1"/>
    <col min="1210" max="1210" width="11.1796875" style="12" customWidth="1"/>
    <col min="1211" max="1211" width="11.26953125" style="12" customWidth="1"/>
    <col min="1212" max="1212" width="11.54296875" style="12" bestFit="1" customWidth="1"/>
    <col min="1213" max="1213" width="13.26953125" style="12" bestFit="1" customWidth="1"/>
    <col min="1214" max="1214" width="10.90625" style="12"/>
    <col min="1215" max="1215" width="11.26953125" style="12" customWidth="1"/>
    <col min="1216" max="1216" width="8.26953125" style="12" customWidth="1"/>
    <col min="1217" max="1217" width="12.26953125" style="12" bestFit="1" customWidth="1"/>
    <col min="1218" max="1218" width="10.1796875" style="12" customWidth="1"/>
    <col min="1219" max="1219" width="13.54296875" style="12" bestFit="1" customWidth="1"/>
    <col min="1220" max="1220" width="19.453125" style="12" bestFit="1" customWidth="1"/>
    <col min="1221" max="1221" width="19.54296875" style="12" bestFit="1" customWidth="1"/>
    <col min="1222" max="1222" width="13" style="12" bestFit="1" customWidth="1"/>
    <col min="1223" max="1223" width="14.26953125" style="12" bestFit="1" customWidth="1"/>
    <col min="1224" max="1224" width="12.26953125" style="12" bestFit="1" customWidth="1"/>
    <col min="1225" max="1225" width="15" style="12" bestFit="1" customWidth="1"/>
    <col min="1226" max="1226" width="11.7265625" style="12" bestFit="1" customWidth="1"/>
    <col min="1227" max="1228" width="12.453125" style="12" bestFit="1" customWidth="1"/>
    <col min="1229" max="1229" width="9.453125" style="12" customWidth="1"/>
    <col min="1230" max="1230" width="13.81640625" style="12" bestFit="1" customWidth="1"/>
    <col min="1231" max="1231" width="11.54296875" style="12" bestFit="1" customWidth="1"/>
    <col min="1232" max="1232" width="13.54296875" style="12" bestFit="1" customWidth="1"/>
    <col min="1233" max="1233" width="19.453125" style="12" bestFit="1" customWidth="1"/>
    <col min="1234" max="1234" width="10.1796875" style="12" customWidth="1"/>
    <col min="1235" max="1235" width="16.54296875" style="12" bestFit="1" customWidth="1"/>
    <col min="1236" max="1236" width="16.26953125" style="12" bestFit="1" customWidth="1"/>
    <col min="1237" max="1237" width="11" style="12" customWidth="1"/>
    <col min="1238" max="1238" width="13" style="12" bestFit="1" customWidth="1"/>
    <col min="1239" max="1239" width="10.7265625" style="12" customWidth="1"/>
    <col min="1240" max="1240" width="15" style="12" bestFit="1" customWidth="1"/>
    <col min="1241" max="1241" width="11.26953125" style="12" customWidth="1"/>
    <col min="1242" max="1242" width="10.1796875" style="12" customWidth="1"/>
    <col min="1243" max="1243" width="11" style="12" customWidth="1"/>
    <col min="1244" max="1244" width="9.81640625" style="12" customWidth="1"/>
    <col min="1245" max="1245" width="8.81640625" style="12" customWidth="1"/>
    <col min="1246" max="1246" width="13.54296875" style="12" bestFit="1" customWidth="1"/>
    <col min="1247" max="1247" width="16.26953125" style="12" bestFit="1" customWidth="1"/>
    <col min="1248" max="1248" width="13.7265625" style="12" bestFit="1" customWidth="1"/>
    <col min="1249" max="1249" width="10.81640625" style="12" customWidth="1"/>
    <col min="1250" max="1250" width="8" style="12" customWidth="1"/>
    <col min="1251" max="1251" width="14.54296875" style="12" bestFit="1" customWidth="1"/>
    <col min="1252" max="1252" width="12" style="12" bestFit="1" customWidth="1"/>
    <col min="1253" max="1253" width="13.453125" style="12" bestFit="1" customWidth="1"/>
    <col min="1254" max="1254" width="12.54296875" style="12" bestFit="1" customWidth="1"/>
    <col min="1255" max="1255" width="13.7265625" style="12" bestFit="1" customWidth="1"/>
    <col min="1256" max="1256" width="12.54296875" style="12" bestFit="1" customWidth="1"/>
    <col min="1257" max="1257" width="6.453125" style="12" customWidth="1"/>
    <col min="1258" max="1259" width="11.1796875" style="12" customWidth="1"/>
    <col min="1260" max="1260" width="14.1796875" style="12" bestFit="1" customWidth="1"/>
    <col min="1261" max="1261" width="9.54296875" style="12" customWidth="1"/>
    <col min="1262" max="1262" width="11.81640625" style="12" bestFit="1" customWidth="1"/>
    <col min="1263" max="1263" width="10" style="12" customWidth="1"/>
    <col min="1264" max="1264" width="9.453125" style="12" customWidth="1"/>
    <col min="1265" max="1265" width="10.81640625" style="12" customWidth="1"/>
    <col min="1266" max="1266" width="10.54296875" style="12" customWidth="1"/>
    <col min="1267" max="1267" width="9.1796875" style="12" customWidth="1"/>
    <col min="1268" max="1268" width="10.26953125" style="12" customWidth="1"/>
    <col min="1269" max="1269" width="10.453125" style="12" customWidth="1"/>
    <col min="1270" max="1270" width="9.453125" style="12" customWidth="1"/>
    <col min="1271" max="1271" width="9.26953125" style="12" customWidth="1"/>
    <col min="1272" max="1272" width="10.54296875" style="12" customWidth="1"/>
    <col min="1273" max="1273" width="11" style="12" customWidth="1"/>
    <col min="1274" max="1274" width="10.54296875" style="12" customWidth="1"/>
    <col min="1275" max="1276" width="10.453125" style="12" customWidth="1"/>
    <col min="1277" max="1277" width="12" style="12" bestFit="1" customWidth="1"/>
    <col min="1278" max="1278" width="10.453125" style="12" customWidth="1"/>
    <col min="1279" max="1279" width="10.7265625" style="12" customWidth="1"/>
    <col min="1280" max="1280" width="9.81640625" style="12" customWidth="1"/>
    <col min="1281" max="1282" width="10.81640625" style="12" customWidth="1"/>
    <col min="1283" max="1283" width="10" style="12" customWidth="1"/>
    <col min="1284" max="1284" width="8.1796875" style="12" customWidth="1"/>
    <col min="1285" max="1285" width="10.7265625" style="12" customWidth="1"/>
    <col min="1286" max="1286" width="12.54296875" style="12" bestFit="1" customWidth="1"/>
    <col min="1287" max="1287" width="14.26953125" style="12" bestFit="1" customWidth="1"/>
    <col min="1288" max="1288" width="17.26953125" style="12" bestFit="1" customWidth="1"/>
    <col min="1289" max="1289" width="10.81640625" style="12" customWidth="1"/>
    <col min="1290" max="1290" width="13.26953125" style="12" bestFit="1" customWidth="1"/>
    <col min="1291" max="1291" width="11.26953125" style="12" customWidth="1"/>
    <col min="1292" max="1292" width="17.1796875" style="12" bestFit="1" customWidth="1"/>
    <col min="1293" max="1293" width="10.54296875" style="12" customWidth="1"/>
    <col min="1294" max="1294" width="14.7265625" style="12" bestFit="1" customWidth="1"/>
    <col min="1295" max="1295" width="11.81640625" style="12" bestFit="1" customWidth="1"/>
    <col min="1296" max="1296" width="13.7265625" style="12" bestFit="1" customWidth="1"/>
    <col min="1297" max="1297" width="14" style="12" bestFit="1" customWidth="1"/>
    <col min="1298" max="1298" width="13.1796875" style="12" bestFit="1" customWidth="1"/>
    <col min="1299" max="1299" width="12.81640625" style="12" bestFit="1" customWidth="1"/>
    <col min="1300" max="1300" width="11.81640625" style="12" bestFit="1" customWidth="1"/>
    <col min="1301" max="1301" width="11.54296875" style="12" bestFit="1" customWidth="1"/>
    <col min="1302" max="1302" width="8.7265625" style="12" customWidth="1"/>
    <col min="1303" max="1303" width="9.54296875" style="12" customWidth="1"/>
    <col min="1304" max="1305" width="10.90625" style="12"/>
    <col min="1306" max="1306" width="9.453125" style="12" customWidth="1"/>
    <col min="1307" max="1307" width="10.1796875" style="12" customWidth="1"/>
    <col min="1308" max="1308" width="11" style="12" customWidth="1"/>
    <col min="1309" max="1309" width="10" style="12" customWidth="1"/>
    <col min="1310" max="1310" width="11" style="12" customWidth="1"/>
    <col min="1311" max="1312" width="8" style="12" customWidth="1"/>
    <col min="1313" max="1313" width="8.1796875" style="12" customWidth="1"/>
    <col min="1314" max="1314" width="7.26953125" style="12" customWidth="1"/>
    <col min="1315" max="1315" width="6.81640625" style="12" customWidth="1"/>
    <col min="1316" max="1316" width="12.26953125" style="12" bestFit="1" customWidth="1"/>
    <col min="1317" max="1317" width="9.453125" style="12" customWidth="1"/>
    <col min="1318" max="1318" width="8.1796875" style="12" customWidth="1"/>
    <col min="1319" max="1319" width="9" style="12" customWidth="1"/>
    <col min="1320" max="1320" width="6.453125" style="12" customWidth="1"/>
    <col min="1321" max="1321" width="7.54296875" style="12" customWidth="1"/>
    <col min="1322" max="1322" width="8" style="12" customWidth="1"/>
    <col min="1323" max="1323" width="7.7265625" style="12" customWidth="1"/>
    <col min="1324" max="1324" width="6.26953125" style="12" customWidth="1"/>
    <col min="1325" max="1325" width="9.81640625" style="12" customWidth="1"/>
    <col min="1326" max="1326" width="9.7265625" style="12" customWidth="1"/>
    <col min="1327" max="1328" width="8.26953125" style="12" customWidth="1"/>
    <col min="1329" max="1329" width="7.453125" style="12" customWidth="1"/>
    <col min="1330" max="1330" width="8.1796875" style="12" customWidth="1"/>
    <col min="1331" max="1331" width="10.26953125" style="12" customWidth="1"/>
    <col min="1332" max="1332" width="15.54296875" style="12" bestFit="1" customWidth="1"/>
    <col min="1333" max="1333" width="10" style="12" customWidth="1"/>
    <col min="1334" max="1336" width="7.7265625" style="12" customWidth="1"/>
    <col min="1337" max="1337" width="6.26953125" style="12" customWidth="1"/>
    <col min="1338" max="1338" width="7.7265625" style="12" customWidth="1"/>
    <col min="1339" max="1339" width="13.54296875" style="12" bestFit="1" customWidth="1"/>
    <col min="1340" max="1340" width="12.453125" style="12" bestFit="1" customWidth="1"/>
    <col min="1341" max="1341" width="9.7265625" style="12" customWidth="1"/>
    <col min="1342" max="1342" width="10.81640625" style="12" customWidth="1"/>
    <col min="1343" max="1343" width="10.7265625" style="12" customWidth="1"/>
    <col min="1344" max="1344" width="17.54296875" style="12" bestFit="1" customWidth="1"/>
    <col min="1345" max="1345" width="10.26953125" style="12" customWidth="1"/>
    <col min="1346" max="1346" width="13.26953125" style="12" bestFit="1" customWidth="1"/>
    <col min="1347" max="1347" width="14.81640625" style="12" bestFit="1" customWidth="1"/>
    <col min="1348" max="1348" width="13.1796875" style="12" bestFit="1" customWidth="1"/>
    <col min="1349" max="1349" width="11.81640625" style="12" bestFit="1" customWidth="1"/>
    <col min="1350" max="1350" width="10.81640625" style="12" customWidth="1"/>
    <col min="1351" max="1351" width="10.453125" style="12" customWidth="1"/>
    <col min="1352" max="1352" width="11.1796875" style="12" customWidth="1"/>
    <col min="1353" max="1353" width="9.54296875" style="12" customWidth="1"/>
    <col min="1354" max="1354" width="10.54296875" style="12" customWidth="1"/>
    <col min="1355" max="1355" width="10.26953125" style="12" customWidth="1"/>
    <col min="1356" max="1356" width="10.90625" style="12"/>
    <col min="1357" max="1357" width="9.81640625" style="12" customWidth="1"/>
    <col min="1358" max="1358" width="10.7265625" style="12" customWidth="1"/>
    <col min="1359" max="1359" width="10.81640625" style="12" customWidth="1"/>
    <col min="1360" max="1360" width="10.1796875" style="12" customWidth="1"/>
    <col min="1361" max="1361" width="10.81640625" style="12" customWidth="1"/>
    <col min="1362" max="1362" width="9.453125" style="12" customWidth="1"/>
    <col min="1363" max="1363" width="10.7265625" style="12" customWidth="1"/>
    <col min="1364" max="1364" width="10.54296875" style="12" customWidth="1"/>
    <col min="1365" max="1365" width="8.1796875" style="12" customWidth="1"/>
    <col min="1366" max="1366" width="9.7265625" style="12" customWidth="1"/>
    <col min="1367" max="1367" width="8.1796875" style="12" customWidth="1"/>
    <col min="1368" max="1368" width="9.453125" style="12" customWidth="1"/>
    <col min="1369" max="1369" width="7.1796875" style="12" customWidth="1"/>
    <col min="1370" max="1370" width="8.26953125" style="12" customWidth="1"/>
    <col min="1371" max="1371" width="8.54296875" style="12" customWidth="1"/>
    <col min="1372" max="1372" width="7.7265625" style="12" customWidth="1"/>
    <col min="1373" max="1373" width="8.453125" style="12" customWidth="1"/>
    <col min="1374" max="1374" width="9" style="12" customWidth="1"/>
    <col min="1375" max="1375" width="9.7265625" style="12" customWidth="1"/>
    <col min="1376" max="1376" width="10.453125" style="12" customWidth="1"/>
    <col min="1377" max="1377" width="10.54296875" style="12" customWidth="1"/>
    <col min="1378" max="1378" width="9.7265625" style="12" customWidth="1"/>
    <col min="1379" max="1379" width="10.90625" style="12"/>
    <col min="1380" max="1380" width="14.54296875" style="12" bestFit="1" customWidth="1"/>
    <col min="1381" max="1381" width="9" style="12" customWidth="1"/>
    <col min="1382" max="1382" width="8.81640625" style="12" customWidth="1"/>
    <col min="1383" max="1383" width="11" style="12" customWidth="1"/>
    <col min="1384" max="1384" width="10.7265625" style="12" customWidth="1"/>
    <col min="1385" max="1385" width="8.54296875" style="12" customWidth="1"/>
    <col min="1386" max="1386" width="12.81640625" style="12" bestFit="1" customWidth="1"/>
    <col min="1387" max="1387" width="7" style="12" customWidth="1"/>
    <col min="1388" max="1388" width="5.54296875" style="12" customWidth="1"/>
    <col min="1389" max="1389" width="11.26953125" style="12" customWidth="1"/>
    <col min="1390" max="1390" width="12.453125" style="12" bestFit="1" customWidth="1"/>
    <col min="1391" max="1391" width="11" style="12" customWidth="1"/>
    <col min="1392" max="1392" width="13" style="12" bestFit="1" customWidth="1"/>
    <col min="1393" max="1393" width="12.453125" style="12" bestFit="1" customWidth="1"/>
    <col min="1394" max="1394" width="11.7265625" style="12" bestFit="1" customWidth="1"/>
    <col min="1395" max="1395" width="12.1796875" style="12" bestFit="1" customWidth="1"/>
    <col min="1396" max="1396" width="13.7265625" style="12" bestFit="1" customWidth="1"/>
    <col min="1397" max="1397" width="7" style="12" customWidth="1"/>
    <col min="1398" max="1398" width="12.81640625" style="12" bestFit="1" customWidth="1"/>
    <col min="1399" max="1399" width="12.1796875" style="12" bestFit="1" customWidth="1"/>
    <col min="1400" max="1400" width="11.26953125" style="12" customWidth="1"/>
    <col min="1401" max="1401" width="12.26953125" style="12" bestFit="1" customWidth="1"/>
    <col min="1402" max="1402" width="11.26953125" style="12" customWidth="1"/>
    <col min="1403" max="1403" width="9.7265625" style="12" customWidth="1"/>
    <col min="1404" max="1404" width="11.26953125" style="12" customWidth="1"/>
    <col min="1405" max="1405" width="10.26953125" style="12" customWidth="1"/>
    <col min="1406" max="1406" width="8.81640625" style="12" customWidth="1"/>
    <col min="1407" max="1407" width="10.81640625" style="12" customWidth="1"/>
    <col min="1408" max="1408" width="10.453125" style="12" customWidth="1"/>
    <col min="1409" max="1409" width="8.1796875" style="12" customWidth="1"/>
    <col min="1410" max="1410" width="12.1796875" style="12" bestFit="1" customWidth="1"/>
    <col min="1411" max="1411" width="9.7265625" style="12" customWidth="1"/>
    <col min="1412" max="1412" width="14.453125" style="12" bestFit="1" customWidth="1"/>
    <col min="1413" max="1413" width="13" style="12" bestFit="1" customWidth="1"/>
    <col min="1414" max="1414" width="11.7265625" style="12" bestFit="1" customWidth="1"/>
    <col min="1415" max="1415" width="14.7265625" style="12" bestFit="1" customWidth="1"/>
    <col min="1416" max="1416" width="8.81640625" style="12" customWidth="1"/>
    <col min="1417" max="1417" width="8.7265625" style="12" customWidth="1"/>
    <col min="1418" max="1418" width="10.1796875" style="12" customWidth="1"/>
    <col min="1419" max="1419" width="12.54296875" style="12" bestFit="1" customWidth="1"/>
    <col min="1420" max="1420" width="7.1796875" style="12" customWidth="1"/>
    <col min="1421" max="1421" width="9.1796875" style="12" customWidth="1"/>
    <col min="1422" max="1422" width="13.453125" style="12" bestFit="1" customWidth="1"/>
    <col min="1423" max="1423" width="10.26953125" style="12" customWidth="1"/>
    <col min="1424" max="1424" width="12.81640625" style="12" bestFit="1" customWidth="1"/>
    <col min="1425" max="1425" width="12.453125" style="12" bestFit="1" customWidth="1"/>
    <col min="1426" max="1427" width="10.453125" style="12" customWidth="1"/>
    <col min="1428" max="1428" width="10.81640625" style="12" customWidth="1"/>
    <col min="1429" max="1429" width="13.26953125" style="12" bestFit="1" customWidth="1"/>
    <col min="1430" max="1430" width="13.7265625" style="12" bestFit="1" customWidth="1"/>
    <col min="1431" max="1431" width="18.54296875" style="12" bestFit="1" customWidth="1"/>
    <col min="1432" max="1432" width="16.81640625" style="12" bestFit="1" customWidth="1"/>
    <col min="1433" max="1433" width="11.26953125" style="12" customWidth="1"/>
    <col min="1434" max="1435" width="11" style="12" customWidth="1"/>
    <col min="1436" max="1436" width="12.26953125" style="12" bestFit="1" customWidth="1"/>
    <col min="1437" max="1437" width="13.54296875" style="12" bestFit="1" customWidth="1"/>
    <col min="1438" max="1438" width="11.7265625" style="12" bestFit="1" customWidth="1"/>
    <col min="1439" max="1439" width="11.81640625" style="12" bestFit="1" customWidth="1"/>
    <col min="1440" max="1440" width="9.26953125" style="12" customWidth="1"/>
    <col min="1441" max="1441" width="12.1796875" style="12" bestFit="1" customWidth="1"/>
    <col min="1442" max="1442" width="21" style="12" bestFit="1" customWidth="1"/>
    <col min="1443" max="1443" width="7.81640625" style="12" customWidth="1"/>
    <col min="1444" max="1444" width="9.54296875" style="12" customWidth="1"/>
    <col min="1445" max="1445" width="9.7265625" style="12" customWidth="1"/>
    <col min="1446" max="1446" width="8.453125" style="12" customWidth="1"/>
    <col min="1447" max="1447" width="9.26953125" style="12" customWidth="1"/>
    <col min="1448" max="1448" width="8.81640625" style="12" customWidth="1"/>
    <col min="1449" max="1449" width="9.26953125" style="12" customWidth="1"/>
    <col min="1450" max="1450" width="14.7265625" style="12" bestFit="1" customWidth="1"/>
    <col min="1451" max="1451" width="12.26953125" style="12" bestFit="1" customWidth="1"/>
    <col min="1452" max="1452" width="9.7265625" style="12" customWidth="1"/>
    <col min="1453" max="1454" width="16.1796875" style="12" bestFit="1" customWidth="1"/>
    <col min="1455" max="1455" width="12" style="12" bestFit="1" customWidth="1"/>
    <col min="1456" max="1456" width="11.54296875" style="12" bestFit="1" customWidth="1"/>
    <col min="1457" max="1457" width="10.81640625" style="12" customWidth="1"/>
    <col min="1458" max="1458" width="8.81640625" style="12" customWidth="1"/>
    <col min="1459" max="1459" width="14.81640625" style="12" bestFit="1" customWidth="1"/>
    <col min="1460" max="1460" width="11" style="12" customWidth="1"/>
    <col min="1461" max="1461" width="10.90625" style="12"/>
    <col min="1462" max="1462" width="14.81640625" style="12" bestFit="1" customWidth="1"/>
    <col min="1463" max="1463" width="12.81640625" style="12" bestFit="1" customWidth="1"/>
    <col min="1464" max="1464" width="12.1796875" style="12" bestFit="1" customWidth="1"/>
    <col min="1465" max="1465" width="11.81640625" style="12" bestFit="1" customWidth="1"/>
    <col min="1466" max="1466" width="12.7265625" style="12" bestFit="1" customWidth="1"/>
    <col min="1467" max="1467" width="8.1796875" style="12" customWidth="1"/>
    <col min="1468" max="1468" width="7" style="12" customWidth="1"/>
    <col min="1469" max="1469" width="10.7265625" style="12" customWidth="1"/>
    <col min="1470" max="1470" width="11.81640625" style="12" bestFit="1" customWidth="1"/>
    <col min="1471" max="1471" width="11.54296875" style="12" bestFit="1" customWidth="1"/>
    <col min="1472" max="1472" width="9.1796875" style="12" customWidth="1"/>
    <col min="1473" max="1473" width="10.1796875" style="12" customWidth="1"/>
    <col min="1474" max="1474" width="9.26953125" style="12" customWidth="1"/>
    <col min="1475" max="1475" width="10.453125" style="12" customWidth="1"/>
    <col min="1476" max="1476" width="7.54296875" style="12" customWidth="1"/>
    <col min="1477" max="1477" width="12.54296875" style="12" bestFit="1" customWidth="1"/>
    <col min="1478" max="1478" width="17" style="12" bestFit="1" customWidth="1"/>
    <col min="1479" max="1479" width="8.453125" style="12" customWidth="1"/>
    <col min="1480" max="1481" width="10.7265625" style="12" customWidth="1"/>
    <col min="1482" max="1482" width="7.54296875" style="12" customWidth="1"/>
    <col min="1483" max="1483" width="9.453125" style="12" customWidth="1"/>
    <col min="1484" max="1484" width="8.1796875" style="12" customWidth="1"/>
    <col min="1485" max="1486" width="12.453125" style="12" bestFit="1" customWidth="1"/>
    <col min="1487" max="1487" width="14.54296875" style="12" bestFit="1" customWidth="1"/>
    <col min="1488" max="1488" width="12.26953125" style="12" bestFit="1" customWidth="1"/>
    <col min="1489" max="1489" width="11.26953125" style="12" customWidth="1"/>
    <col min="1490" max="1490" width="12.453125" style="12" bestFit="1" customWidth="1"/>
    <col min="1491" max="1491" width="10.1796875" style="12" customWidth="1"/>
    <col min="1492" max="1492" width="9.26953125" style="12" customWidth="1"/>
    <col min="1493" max="1493" width="15" style="12" bestFit="1" customWidth="1"/>
    <col min="1494" max="1494" width="13.26953125" style="12" bestFit="1" customWidth="1"/>
    <col min="1495" max="1495" width="12.453125" style="12" bestFit="1" customWidth="1"/>
    <col min="1496" max="1496" width="13.26953125" style="12" bestFit="1" customWidth="1"/>
    <col min="1497" max="1497" width="9.453125" style="12" customWidth="1"/>
    <col min="1498" max="1498" width="11.26953125" style="12" customWidth="1"/>
    <col min="1499" max="1499" width="16.1796875" style="12" bestFit="1" customWidth="1"/>
    <col min="1500" max="1500" width="17.1796875" style="12" bestFit="1" customWidth="1"/>
    <col min="1501" max="1501" width="9.453125" style="12" customWidth="1"/>
    <col min="1502" max="1502" width="16.7265625" style="12" bestFit="1" customWidth="1"/>
    <col min="1503" max="1503" width="14.54296875" style="12" bestFit="1" customWidth="1"/>
    <col min="1504" max="1504" width="13.7265625" style="12" bestFit="1" customWidth="1"/>
    <col min="1505" max="1505" width="15" style="12" bestFit="1" customWidth="1"/>
    <col min="1506" max="1506" width="14.453125" style="12" bestFit="1" customWidth="1"/>
    <col min="1507" max="1507" width="17.1796875" style="12" bestFit="1" customWidth="1"/>
    <col min="1508" max="1508" width="16.54296875" style="12" bestFit="1" customWidth="1"/>
    <col min="1509" max="1509" width="16.453125" style="12" bestFit="1" customWidth="1"/>
    <col min="1510" max="1510" width="23.453125" style="12" bestFit="1" customWidth="1"/>
    <col min="1511" max="1511" width="13" style="12" bestFit="1" customWidth="1"/>
    <col min="1512" max="1512" width="11.1796875" style="12" customWidth="1"/>
    <col min="1513" max="1513" width="10.81640625" style="12" customWidth="1"/>
    <col min="1514" max="1514" width="11.26953125" style="12" customWidth="1"/>
    <col min="1515" max="1515" width="9.453125" style="12" customWidth="1"/>
    <col min="1516" max="1516" width="11" style="12" customWidth="1"/>
    <col min="1517" max="1517" width="10" style="12" customWidth="1"/>
    <col min="1518" max="1518" width="8.7265625" style="12" customWidth="1"/>
    <col min="1519" max="1519" width="8.453125" style="12" customWidth="1"/>
    <col min="1520" max="1520" width="9" style="12" customWidth="1"/>
    <col min="1521" max="1521" width="7.453125" style="12" customWidth="1"/>
    <col min="1522" max="1523" width="8.81640625" style="12" customWidth="1"/>
    <col min="1524" max="1524" width="13.26953125" style="12" bestFit="1" customWidth="1"/>
    <col min="1525" max="1525" width="9.81640625" style="12" customWidth="1"/>
    <col min="1526" max="1526" width="16.26953125" style="12" bestFit="1" customWidth="1"/>
    <col min="1527" max="1527" width="11.81640625" style="12" bestFit="1" customWidth="1"/>
    <col min="1528" max="1528" width="7.453125" style="12" customWidth="1"/>
    <col min="1529" max="1529" width="14.54296875" style="12" bestFit="1" customWidth="1"/>
    <col min="1530" max="1530" width="9.81640625" style="12" customWidth="1"/>
    <col min="1531" max="1531" width="13.26953125" style="12" bestFit="1" customWidth="1"/>
    <col min="1532" max="1532" width="10.90625" style="12"/>
    <col min="1533" max="1533" width="8.453125" style="12" customWidth="1"/>
    <col min="1534" max="1534" width="12.1796875" style="12" bestFit="1" customWidth="1"/>
    <col min="1535" max="1535" width="12.54296875" style="12" bestFit="1" customWidth="1"/>
    <col min="1536" max="1536" width="13.81640625" style="12" bestFit="1" customWidth="1"/>
    <col min="1537" max="1537" width="11.26953125" style="12" customWidth="1"/>
    <col min="1538" max="1538" width="13" style="12" bestFit="1" customWidth="1"/>
    <col min="1539" max="1539" width="9.81640625" style="12" customWidth="1"/>
    <col min="1540" max="1540" width="7.7265625" style="12" customWidth="1"/>
    <col min="1541" max="1541" width="10.81640625" style="12" customWidth="1"/>
    <col min="1542" max="1542" width="11.81640625" style="12" bestFit="1" customWidth="1"/>
    <col min="1543" max="1543" width="10" style="12" customWidth="1"/>
    <col min="1544" max="1544" width="11.7265625" style="12" bestFit="1" customWidth="1"/>
    <col min="1545" max="1545" width="10.81640625" style="12" customWidth="1"/>
    <col min="1546" max="1546" width="10.453125" style="12" customWidth="1"/>
    <col min="1547" max="1547" width="9.1796875" style="12" customWidth="1"/>
    <col min="1548" max="1548" width="9" style="12" customWidth="1"/>
    <col min="1549" max="1549" width="8" style="12" customWidth="1"/>
    <col min="1550" max="1550" width="11.7265625" style="12" bestFit="1" customWidth="1"/>
    <col min="1551" max="1551" width="8.81640625" style="12" customWidth="1"/>
    <col min="1552" max="1552" width="9.81640625" style="12" customWidth="1"/>
    <col min="1553" max="1553" width="13.26953125" style="12" bestFit="1" customWidth="1"/>
    <col min="1554" max="1554" width="14.453125" style="12" bestFit="1" customWidth="1"/>
    <col min="1555" max="1555" width="18.54296875" style="12" bestFit="1" customWidth="1"/>
    <col min="1556" max="1556" width="18.26953125" style="12" bestFit="1" customWidth="1"/>
    <col min="1557" max="1557" width="10" style="12" customWidth="1"/>
    <col min="1558" max="1558" width="10.26953125" style="12" customWidth="1"/>
    <col min="1559" max="1559" width="8.453125" style="12" customWidth="1"/>
    <col min="1560" max="1560" width="7.7265625" style="12" customWidth="1"/>
    <col min="1561" max="1561" width="10.7265625" style="12" customWidth="1"/>
    <col min="1562" max="1562" width="15.81640625" style="12" bestFit="1" customWidth="1"/>
    <col min="1563" max="1563" width="13.7265625" style="12" bestFit="1" customWidth="1"/>
    <col min="1564" max="1564" width="8" style="12" customWidth="1"/>
    <col min="1565" max="1565" width="11" style="12" customWidth="1"/>
    <col min="1566" max="1566" width="9.453125" style="12" customWidth="1"/>
    <col min="1567" max="1567" width="10.7265625" style="12" customWidth="1"/>
    <col min="1568" max="1568" width="14" style="12" bestFit="1" customWidth="1"/>
    <col min="1569" max="1569" width="15.54296875" style="12" bestFit="1" customWidth="1"/>
    <col min="1570" max="1570" width="7.7265625" style="12" customWidth="1"/>
    <col min="1571" max="1571" width="10.7265625" style="12" customWidth="1"/>
    <col min="1572" max="1572" width="10.26953125" style="12" customWidth="1"/>
    <col min="1573" max="1573" width="18.453125" style="12" bestFit="1" customWidth="1"/>
    <col min="1574" max="1574" width="12.1796875" style="12" bestFit="1" customWidth="1"/>
    <col min="1575" max="1575" width="10.7265625" style="12" customWidth="1"/>
    <col min="1576" max="1576" width="9.453125" style="12" customWidth="1"/>
    <col min="1577" max="1577" width="17.1796875" style="12" bestFit="1" customWidth="1"/>
    <col min="1578" max="1578" width="15" style="12" bestFit="1" customWidth="1"/>
    <col min="1579" max="1579" width="10.1796875" style="12" customWidth="1"/>
    <col min="1580" max="1580" width="8" style="12" customWidth="1"/>
    <col min="1581" max="1581" width="11.81640625" style="12" bestFit="1" customWidth="1"/>
    <col min="1582" max="1582" width="15" style="12" bestFit="1" customWidth="1"/>
    <col min="1583" max="1583" width="10.54296875" style="12" customWidth="1"/>
    <col min="1584" max="1584" width="9.453125" style="12" customWidth="1"/>
    <col min="1585" max="1585" width="11" style="12" customWidth="1"/>
    <col min="1586" max="1586" width="16.453125" style="12" bestFit="1" customWidth="1"/>
    <col min="1587" max="1587" width="11.81640625" style="12" bestFit="1" customWidth="1"/>
    <col min="1588" max="1588" width="16.7265625" style="12" bestFit="1" customWidth="1"/>
    <col min="1589" max="1589" width="12.26953125" style="12" bestFit="1" customWidth="1"/>
    <col min="1590" max="1590" width="7.54296875" style="12" customWidth="1"/>
    <col min="1591" max="1591" width="17.54296875" style="12" bestFit="1" customWidth="1"/>
    <col min="1592" max="1592" width="14.81640625" style="12" bestFit="1" customWidth="1"/>
    <col min="1593" max="1593" width="9.26953125" style="12" customWidth="1"/>
    <col min="1594" max="1594" width="10.26953125" style="12" customWidth="1"/>
    <col min="1595" max="1595" width="11.26953125" style="12" customWidth="1"/>
    <col min="1596" max="1596" width="7.453125" style="12" customWidth="1"/>
    <col min="1597" max="1597" width="8.81640625" style="12" customWidth="1"/>
    <col min="1598" max="1600" width="7.1796875" style="12" customWidth="1"/>
    <col min="1601" max="1601" width="10.26953125" style="12" customWidth="1"/>
    <col min="1602" max="1602" width="22.1796875" style="12" bestFit="1" customWidth="1"/>
    <col min="1603" max="1603" width="12.1796875" style="12" bestFit="1" customWidth="1"/>
    <col min="1604" max="1604" width="9.453125" style="12" customWidth="1"/>
    <col min="1605" max="1605" width="19.1796875" style="12" bestFit="1" customWidth="1"/>
    <col min="1606" max="1606" width="6.81640625" style="12" customWidth="1"/>
    <col min="1607" max="1607" width="7" style="12" customWidth="1"/>
    <col min="1608" max="1608" width="8.453125" style="12" customWidth="1"/>
    <col min="1609" max="1609" width="12.453125" style="12" bestFit="1" customWidth="1"/>
    <col min="1610" max="1610" width="12.26953125" style="12" bestFit="1" customWidth="1"/>
    <col min="1611" max="1611" width="9.7265625" style="12" customWidth="1"/>
    <col min="1612" max="1612" width="6.81640625" style="12" customWidth="1"/>
    <col min="1613" max="1613" width="9.453125" style="12" customWidth="1"/>
    <col min="1614" max="1614" width="11.26953125" style="12" customWidth="1"/>
    <col min="1615" max="1615" width="11.7265625" style="12" bestFit="1" customWidth="1"/>
    <col min="1616" max="1616" width="7.7265625" style="12" customWidth="1"/>
    <col min="1617" max="1617" width="9.453125" style="12" customWidth="1"/>
    <col min="1618" max="1618" width="10.90625" style="12"/>
    <col min="1619" max="1619" width="9.453125" style="12" customWidth="1"/>
    <col min="1620" max="1620" width="10.81640625" style="12" customWidth="1"/>
    <col min="1621" max="1621" width="7.81640625" style="12" customWidth="1"/>
    <col min="1622" max="1622" width="6.81640625" style="12" customWidth="1"/>
    <col min="1623" max="1623" width="8.453125" style="12" customWidth="1"/>
    <col min="1624" max="1624" width="19" style="12" bestFit="1" customWidth="1"/>
    <col min="1625" max="1625" width="13.54296875" style="12" bestFit="1" customWidth="1"/>
    <col min="1626" max="1626" width="6.7265625" style="12" customWidth="1"/>
    <col min="1627" max="1627" width="12.1796875" style="12" bestFit="1" customWidth="1"/>
    <col min="1628" max="1628" width="10.81640625" style="12" customWidth="1"/>
    <col min="1629" max="1629" width="9.81640625" style="12" customWidth="1"/>
    <col min="1630" max="1630" width="10.7265625" style="12" customWidth="1"/>
    <col min="1631" max="1631" width="7.26953125" style="12" customWidth="1"/>
    <col min="1632" max="1632" width="11.1796875" style="12" customWidth="1"/>
    <col min="1633" max="1633" width="10.54296875" style="12" customWidth="1"/>
    <col min="1634" max="1634" width="11.7265625" style="12" bestFit="1" customWidth="1"/>
    <col min="1635" max="1635" width="9.453125" style="12" customWidth="1"/>
    <col min="1636" max="1636" width="8.54296875" style="12" customWidth="1"/>
    <col min="1637" max="1637" width="23.54296875" style="12" bestFit="1" customWidth="1"/>
    <col min="1638" max="1638" width="5.81640625" style="12" customWidth="1"/>
    <col min="1639" max="1639" width="9.54296875" style="12" customWidth="1"/>
    <col min="1640" max="1640" width="8.26953125" style="12" customWidth="1"/>
    <col min="1641" max="1641" width="14.26953125" style="12" bestFit="1" customWidth="1"/>
    <col min="1642" max="1642" width="11.1796875" style="12" customWidth="1"/>
    <col min="1643" max="1643" width="10.7265625" style="12" customWidth="1"/>
    <col min="1644" max="1644" width="12.1796875" style="12" bestFit="1" customWidth="1"/>
    <col min="1645" max="1645" width="7.453125" style="12" customWidth="1"/>
    <col min="1646" max="1646" width="6.54296875" style="12" customWidth="1"/>
    <col min="1647" max="1647" width="10" style="12" customWidth="1"/>
    <col min="1648" max="1648" width="9.7265625" style="12" customWidth="1"/>
    <col min="1649" max="1649" width="16.7265625" style="12" bestFit="1" customWidth="1"/>
    <col min="1650" max="1650" width="8.7265625" style="12" customWidth="1"/>
    <col min="1651" max="1651" width="8.1796875" style="12" customWidth="1"/>
    <col min="1652" max="1652" width="10.54296875" style="12" customWidth="1"/>
    <col min="1653" max="1653" width="11.26953125" style="12" customWidth="1"/>
    <col min="1654" max="1654" width="7" style="12" customWidth="1"/>
    <col min="1655" max="1655" width="8.26953125" style="12" customWidth="1"/>
    <col min="1656" max="1656" width="7" style="12" customWidth="1"/>
    <col min="1657" max="1657" width="10.26953125" style="12" customWidth="1"/>
    <col min="1658" max="1658" width="8.1796875" style="12" customWidth="1"/>
    <col min="1659" max="1659" width="13" style="12" bestFit="1" customWidth="1"/>
    <col min="1660" max="1660" width="5.81640625" style="12" customWidth="1"/>
    <col min="1661" max="1661" width="8.1796875" style="12" customWidth="1"/>
    <col min="1662" max="1662" width="10" style="12" customWidth="1"/>
    <col min="1663" max="1663" width="12.54296875" style="12" bestFit="1" customWidth="1"/>
    <col min="1664" max="1664" width="16.1796875" style="12" bestFit="1" customWidth="1"/>
    <col min="1665" max="1665" width="10.1796875" style="12" customWidth="1"/>
    <col min="1666" max="1666" width="13.26953125" style="12" bestFit="1" customWidth="1"/>
    <col min="1667" max="1667" width="9.1796875" style="12" customWidth="1"/>
    <col min="1668" max="1668" width="9" style="12" customWidth="1"/>
    <col min="1669" max="1669" width="11" style="12" customWidth="1"/>
    <col min="1670" max="1670" width="10.90625" style="12"/>
    <col min="1671" max="1671" width="12" style="12" bestFit="1" customWidth="1"/>
    <col min="1672" max="1672" width="8.7265625" style="12" customWidth="1"/>
    <col min="1673" max="1673" width="9.453125" style="12" customWidth="1"/>
    <col min="1674" max="1674" width="13.1796875" style="12" bestFit="1" customWidth="1"/>
    <col min="1675" max="1675" width="9.26953125" style="12" customWidth="1"/>
    <col min="1676" max="1676" width="10.26953125" style="12" customWidth="1"/>
    <col min="1677" max="1677" width="7.7265625" style="12" customWidth="1"/>
    <col min="1678" max="1678" width="18" style="12" bestFit="1" customWidth="1"/>
    <col min="1679" max="1679" width="8" style="12" customWidth="1"/>
    <col min="1680" max="1680" width="11" style="12" customWidth="1"/>
    <col min="1681" max="1681" width="7.26953125" style="12" customWidth="1"/>
    <col min="1682" max="1682" width="8" style="12" customWidth="1"/>
    <col min="1683" max="1683" width="12" style="12" bestFit="1" customWidth="1"/>
    <col min="1684" max="1684" width="9.81640625" style="12" customWidth="1"/>
    <col min="1685" max="1685" width="9.1796875" style="12" customWidth="1"/>
    <col min="1686" max="1686" width="11.26953125" style="12" customWidth="1"/>
    <col min="1687" max="1687" width="10" style="12" customWidth="1"/>
    <col min="1688" max="1688" width="9.7265625" style="12" customWidth="1"/>
    <col min="1689" max="1689" width="8.81640625" style="12" customWidth="1"/>
    <col min="1690" max="1690" width="6.1796875" style="12" customWidth="1"/>
    <col min="1691" max="1691" width="5" style="12" customWidth="1"/>
    <col min="1692" max="1692" width="6.26953125" style="12" customWidth="1"/>
    <col min="1693" max="1693" width="6.453125" style="12" customWidth="1"/>
    <col min="1694" max="1694" width="5.1796875" style="12" customWidth="1"/>
    <col min="1695" max="1695" width="8.1796875" style="12" customWidth="1"/>
    <col min="1696" max="1696" width="10.81640625" style="12" customWidth="1"/>
    <col min="1697" max="1697" width="8.1796875" style="12" customWidth="1"/>
    <col min="1698" max="1698" width="7.1796875" style="12" customWidth="1"/>
    <col min="1699" max="1699" width="7.81640625" style="12" customWidth="1"/>
    <col min="1700" max="1700" width="7.26953125" style="12" customWidth="1"/>
    <col min="1701" max="1701" width="11.54296875" style="12" bestFit="1" customWidth="1"/>
    <col min="1702" max="1702" width="10.81640625" style="12" customWidth="1"/>
    <col min="1703" max="1703" width="15.1796875" style="12" bestFit="1" customWidth="1"/>
    <col min="1704" max="1704" width="18.81640625" style="12" bestFit="1" customWidth="1"/>
    <col min="1705" max="1705" width="19.1796875" style="12" bestFit="1" customWidth="1"/>
    <col min="1706" max="1706" width="10.26953125" style="12" customWidth="1"/>
    <col min="1707" max="1707" width="15.453125" style="12" bestFit="1" customWidth="1"/>
    <col min="1708" max="1708" width="10.7265625" style="12" customWidth="1"/>
    <col min="1709" max="1709" width="8.453125" style="12" customWidth="1"/>
    <col min="1710" max="1710" width="10.54296875" style="12" customWidth="1"/>
    <col min="1711" max="1711" width="10.7265625" style="12" customWidth="1"/>
    <col min="1712" max="1712" width="6.7265625" style="12" customWidth="1"/>
    <col min="1713" max="1713" width="8.7265625" style="12" customWidth="1"/>
    <col min="1714" max="1714" width="10.7265625" style="12" customWidth="1"/>
    <col min="1715" max="1715" width="20.7265625" style="12" bestFit="1" customWidth="1"/>
    <col min="1716" max="1716" width="16" style="12" bestFit="1" customWidth="1"/>
    <col min="1717" max="1717" width="10" style="12" customWidth="1"/>
    <col min="1718" max="1718" width="15.453125" style="12" bestFit="1" customWidth="1"/>
    <col min="1719" max="1719" width="10.54296875" style="12" customWidth="1"/>
    <col min="1720" max="1720" width="9.54296875" style="12" customWidth="1"/>
    <col min="1721" max="1721" width="12.26953125" style="12" bestFit="1" customWidth="1"/>
    <col min="1722" max="1722" width="10" style="12" customWidth="1"/>
    <col min="1723" max="1723" width="18.54296875" style="12" bestFit="1" customWidth="1"/>
    <col min="1724" max="1724" width="12.26953125" style="12" bestFit="1" customWidth="1"/>
    <col min="1725" max="1725" width="13.26953125" style="12" bestFit="1" customWidth="1"/>
    <col min="1726" max="1726" width="10.81640625" style="12" customWidth="1"/>
    <col min="1727" max="1727" width="13.26953125" style="12" bestFit="1" customWidth="1"/>
    <col min="1728" max="1728" width="11.7265625" style="12" bestFit="1" customWidth="1"/>
    <col min="1729" max="1729" width="13" style="12" bestFit="1" customWidth="1"/>
    <col min="1730" max="1730" width="9.54296875" style="12" customWidth="1"/>
    <col min="1731" max="1731" width="10.7265625" style="12" customWidth="1"/>
    <col min="1732" max="1732" width="9" style="12" customWidth="1"/>
    <col min="1733" max="1733" width="11" style="12" customWidth="1"/>
    <col min="1734" max="1734" width="16.7265625" style="12" bestFit="1" customWidth="1"/>
    <col min="1735" max="1735" width="9.26953125" style="12" customWidth="1"/>
    <col min="1736" max="1736" width="12.54296875" style="12" bestFit="1" customWidth="1"/>
    <col min="1737" max="1738" width="12.453125" style="12" bestFit="1" customWidth="1"/>
    <col min="1739" max="1739" width="14.81640625" style="12" bestFit="1" customWidth="1"/>
    <col min="1740" max="1740" width="12.7265625" style="12" bestFit="1" customWidth="1"/>
    <col min="1741" max="1741" width="12" style="12" bestFit="1" customWidth="1"/>
    <col min="1742" max="1742" width="13.26953125" style="12" bestFit="1" customWidth="1"/>
    <col min="1743" max="1743" width="14.26953125" style="12" bestFit="1" customWidth="1"/>
    <col min="1744" max="1744" width="10" style="12" customWidth="1"/>
    <col min="1745" max="1745" width="13.453125" style="12" bestFit="1" customWidth="1"/>
    <col min="1746" max="1746" width="11.26953125" style="12" customWidth="1"/>
    <col min="1747" max="1747" width="12.54296875" style="12" bestFit="1" customWidth="1"/>
    <col min="1748" max="1748" width="10.7265625" style="12" customWidth="1"/>
    <col min="1749" max="1749" width="11.1796875" style="12" customWidth="1"/>
    <col min="1750" max="1750" width="9.453125" style="12" customWidth="1"/>
    <col min="1751" max="1751" width="11.81640625" style="12" bestFit="1" customWidth="1"/>
    <col min="1752" max="1752" width="17.453125" style="12" bestFit="1" customWidth="1"/>
    <col min="1753" max="1753" width="13.7265625" style="12" bestFit="1" customWidth="1"/>
    <col min="1754" max="1754" width="12.81640625" style="12" bestFit="1" customWidth="1"/>
    <col min="1755" max="1755" width="14.453125" style="12" bestFit="1" customWidth="1"/>
    <col min="1756" max="1756" width="12" style="12" bestFit="1" customWidth="1"/>
    <col min="1757" max="1757" width="8" style="12" customWidth="1"/>
    <col min="1758" max="1758" width="10" style="12" customWidth="1"/>
    <col min="1759" max="1759" width="11" style="12" customWidth="1"/>
    <col min="1760" max="1760" width="8.54296875" style="12" customWidth="1"/>
    <col min="1761" max="1761" width="13.81640625" style="12" bestFit="1" customWidth="1"/>
    <col min="1762" max="1762" width="9.453125" style="12" customWidth="1"/>
    <col min="1763" max="1763" width="13.54296875" style="12" bestFit="1" customWidth="1"/>
    <col min="1764" max="1764" width="9.54296875" style="12" customWidth="1"/>
    <col min="1765" max="1765" width="13.7265625" style="12" bestFit="1" customWidth="1"/>
    <col min="1766" max="1766" width="13.453125" style="12" bestFit="1" customWidth="1"/>
    <col min="1767" max="1767" width="18.7265625" style="12" bestFit="1" customWidth="1"/>
    <col min="1768" max="1768" width="11.26953125" style="12" customWidth="1"/>
    <col min="1769" max="1769" width="9.453125" style="12" customWidth="1"/>
    <col min="1770" max="1770" width="10.90625" style="12"/>
    <col min="1771" max="1771" width="14.26953125" style="12" bestFit="1" customWidth="1"/>
    <col min="1772" max="1772" width="9.1796875" style="12" customWidth="1"/>
    <col min="1773" max="1773" width="12.1796875" style="12" bestFit="1" customWidth="1"/>
    <col min="1774" max="1774" width="9.54296875" style="12" customWidth="1"/>
    <col min="1775" max="1775" width="13.26953125" style="12" bestFit="1" customWidth="1"/>
    <col min="1776" max="1776" width="12.7265625" style="12" bestFit="1" customWidth="1"/>
    <col min="1777" max="1777" width="14" style="12" bestFit="1" customWidth="1"/>
    <col min="1778" max="1778" width="12" style="12" bestFit="1" customWidth="1"/>
    <col min="1779" max="1779" width="6.7265625" style="12" customWidth="1"/>
    <col min="1780" max="1780" width="11.7265625" style="12" bestFit="1" customWidth="1"/>
    <col min="1781" max="1781" width="9" style="12" customWidth="1"/>
    <col min="1782" max="1782" width="10.81640625" style="12" customWidth="1"/>
    <col min="1783" max="1783" width="11.54296875" style="12" bestFit="1" customWidth="1"/>
    <col min="1784" max="1784" width="9.81640625" style="12" customWidth="1"/>
    <col min="1785" max="1785" width="14.453125" style="12" bestFit="1" customWidth="1"/>
    <col min="1786" max="1786" width="7.26953125" style="12" customWidth="1"/>
    <col min="1787" max="1787" width="10.26953125" style="12" customWidth="1"/>
    <col min="1788" max="1788" width="11.81640625" style="12" bestFit="1" customWidth="1"/>
    <col min="1789" max="1789" width="14.1796875" style="12" bestFit="1" customWidth="1"/>
    <col min="1790" max="1790" width="7.54296875" style="12" customWidth="1"/>
    <col min="1791" max="1791" width="13.26953125" style="12" bestFit="1" customWidth="1"/>
    <col min="1792" max="1792" width="8.7265625" style="12" customWidth="1"/>
    <col min="1793" max="1793" width="10.81640625" style="12" customWidth="1"/>
    <col min="1794" max="1794" width="8.81640625" style="12" customWidth="1"/>
    <col min="1795" max="1795" width="10.26953125" style="12" customWidth="1"/>
    <col min="1796" max="1796" width="9.81640625" style="12" customWidth="1"/>
    <col min="1797" max="1797" width="9.54296875" style="12" customWidth="1"/>
    <col min="1798" max="1798" width="9" style="12" customWidth="1"/>
    <col min="1799" max="1799" width="10.1796875" style="12" customWidth="1"/>
    <col min="1800" max="1800" width="14.54296875" style="12" bestFit="1" customWidth="1"/>
    <col min="1801" max="1801" width="8.54296875" style="12" customWidth="1"/>
    <col min="1802" max="1802" width="12.1796875" style="12" bestFit="1" customWidth="1"/>
    <col min="1803" max="1803" width="12.26953125" style="12" bestFit="1" customWidth="1"/>
    <col min="1804" max="1804" width="9.81640625" style="12" customWidth="1"/>
    <col min="1805" max="1805" width="10.453125" style="12" customWidth="1"/>
    <col min="1806" max="1806" width="12.453125" style="12" bestFit="1" customWidth="1"/>
    <col min="1807" max="1807" width="14.54296875" style="12" bestFit="1" customWidth="1"/>
    <col min="1808" max="1808" width="12.453125" style="12" bestFit="1" customWidth="1"/>
    <col min="1809" max="1809" width="13.26953125" style="12" bestFit="1" customWidth="1"/>
    <col min="1810" max="1810" width="9.7265625" style="12" customWidth="1"/>
    <col min="1811" max="1811" width="8.7265625" style="12" customWidth="1"/>
    <col min="1812" max="1812" width="16" style="12" bestFit="1" customWidth="1"/>
    <col min="1813" max="1813" width="12.1796875" style="12" bestFit="1" customWidth="1"/>
    <col min="1814" max="1814" width="10.1796875" style="12" customWidth="1"/>
    <col min="1815" max="1815" width="11.1796875" style="12" customWidth="1"/>
    <col min="1816" max="1816" width="10.90625" style="12"/>
    <col min="1817" max="1817" width="13.7265625" style="12" bestFit="1" customWidth="1"/>
    <col min="1818" max="1818" width="10.26953125" style="12" customWidth="1"/>
    <col min="1819" max="1819" width="9.1796875" style="12" customWidth="1"/>
    <col min="1820" max="1820" width="8.26953125" style="12" customWidth="1"/>
    <col min="1821" max="1821" width="10.1796875" style="12" customWidth="1"/>
    <col min="1822" max="1822" width="13.54296875" style="12" bestFit="1" customWidth="1"/>
    <col min="1823" max="1823" width="11.26953125" style="12" customWidth="1"/>
    <col min="1824" max="1824" width="9.7265625" style="12" customWidth="1"/>
    <col min="1825" max="1825" width="9.26953125" style="12" customWidth="1"/>
    <col min="1826" max="1826" width="11.54296875" style="12" bestFit="1" customWidth="1"/>
    <col min="1827" max="1827" width="10.453125" style="12" customWidth="1"/>
    <col min="1828" max="1828" width="9.453125" style="12" customWidth="1"/>
    <col min="1829" max="1829" width="7.7265625" style="12" customWidth="1"/>
    <col min="1830" max="1830" width="13.1796875" style="12" bestFit="1" customWidth="1"/>
    <col min="1831" max="1831" width="16.453125" style="12" bestFit="1" customWidth="1"/>
    <col min="1832" max="1832" width="11.54296875" style="12" bestFit="1" customWidth="1"/>
    <col min="1833" max="1834" width="9.7265625" style="12" customWidth="1"/>
    <col min="1835" max="1835" width="9.54296875" style="12" customWidth="1"/>
    <col min="1836" max="1836" width="11.1796875" style="12" customWidth="1"/>
    <col min="1837" max="1837" width="15.7265625" style="12" bestFit="1" customWidth="1"/>
    <col min="1838" max="1838" width="10.54296875" style="12" customWidth="1"/>
    <col min="1839" max="1839" width="10.90625" style="12"/>
    <col min="1840" max="1840" width="8.7265625" style="12" customWidth="1"/>
    <col min="1841" max="1841" width="10" style="12" customWidth="1"/>
    <col min="1842" max="1842" width="12.26953125" style="12" bestFit="1" customWidth="1"/>
    <col min="1843" max="1843" width="10.81640625" style="12" customWidth="1"/>
    <col min="1844" max="1844" width="9.54296875" style="12" customWidth="1"/>
    <col min="1845" max="1846" width="6.7265625" style="12" customWidth="1"/>
    <col min="1847" max="1847" width="10.1796875" style="12" customWidth="1"/>
    <col min="1848" max="1848" width="12.54296875" style="12" bestFit="1" customWidth="1"/>
    <col min="1849" max="1849" width="12.7265625" style="12" bestFit="1" customWidth="1"/>
    <col min="1850" max="1850" width="6.453125" style="12" customWidth="1"/>
    <col min="1851" max="1851" width="7.81640625" style="12" customWidth="1"/>
    <col min="1852" max="1852" width="11.81640625" style="12" bestFit="1" customWidth="1"/>
    <col min="1853" max="1853" width="9.453125" style="12" customWidth="1"/>
    <col min="1854" max="1854" width="10.90625" style="12"/>
    <col min="1855" max="1855" width="8.54296875" style="12" customWidth="1"/>
    <col min="1856" max="1856" width="11.1796875" style="12" customWidth="1"/>
    <col min="1857" max="1857" width="8.81640625" style="12" customWidth="1"/>
    <col min="1858" max="1858" width="8.7265625" style="12" customWidth="1"/>
    <col min="1859" max="1859" width="7" style="12" customWidth="1"/>
    <col min="1860" max="1860" width="12.1796875" style="12" bestFit="1" customWidth="1"/>
    <col min="1861" max="1861" width="13" style="12" bestFit="1" customWidth="1"/>
    <col min="1862" max="1862" width="12.81640625" style="12" bestFit="1" customWidth="1"/>
    <col min="1863" max="1863" width="13" style="12" bestFit="1" customWidth="1"/>
    <col min="1864" max="1864" width="11.26953125" style="12" customWidth="1"/>
    <col min="1865" max="1865" width="20.1796875" style="12" bestFit="1" customWidth="1"/>
    <col min="1866" max="1866" width="7.453125" style="12" customWidth="1"/>
    <col min="1867" max="1867" width="11.26953125" style="12" customWidth="1"/>
    <col min="1868" max="1868" width="8.7265625" style="12" customWidth="1"/>
    <col min="1869" max="1869" width="11.1796875" style="12" customWidth="1"/>
    <col min="1870" max="1870" width="14.453125" style="12" bestFit="1" customWidth="1"/>
    <col min="1871" max="1871" width="20.26953125" style="12" bestFit="1" customWidth="1"/>
    <col min="1872" max="1872" width="21.26953125" style="12" bestFit="1" customWidth="1"/>
    <col min="1873" max="1873" width="11.81640625" style="12" bestFit="1" customWidth="1"/>
    <col min="1874" max="1874" width="9.453125" style="12" customWidth="1"/>
    <col min="1875" max="1875" width="14.81640625" style="12" bestFit="1" customWidth="1"/>
    <col min="1876" max="1876" width="5.54296875" style="12" customWidth="1"/>
    <col min="1877" max="1877" width="13" style="12" bestFit="1" customWidth="1"/>
    <col min="1878" max="1878" width="10" style="12" customWidth="1"/>
    <col min="1879" max="1879" width="9.54296875" style="12" customWidth="1"/>
    <col min="1880" max="1880" width="9.81640625" style="12" customWidth="1"/>
    <col min="1881" max="1881" width="21.453125" style="12" bestFit="1" customWidth="1"/>
    <col min="1882" max="1882" width="7" style="12" customWidth="1"/>
    <col min="1883" max="1883" width="8.1796875" style="12" customWidth="1"/>
    <col min="1884" max="1884" width="10.1796875" style="12" customWidth="1"/>
    <col min="1885" max="1885" width="9.7265625" style="12" customWidth="1"/>
    <col min="1886" max="1886" width="10.90625" style="12"/>
    <col min="1887" max="1887" width="15.1796875" style="12" bestFit="1" customWidth="1"/>
    <col min="1888" max="1888" width="12.81640625" style="12" bestFit="1" customWidth="1"/>
    <col min="1889" max="1889" width="10" style="12" customWidth="1"/>
    <col min="1890" max="1890" width="20.7265625" style="12" bestFit="1" customWidth="1"/>
    <col min="1891" max="1891" width="9.1796875" style="12" customWidth="1"/>
    <col min="1892" max="1892" width="12.1796875" style="12" bestFit="1" customWidth="1"/>
    <col min="1893" max="1893" width="9.453125" style="12" customWidth="1"/>
    <col min="1894" max="1894" width="9.81640625" style="12" customWidth="1"/>
    <col min="1895" max="1895" width="13.81640625" style="12" bestFit="1" customWidth="1"/>
    <col min="1896" max="1896" width="12" style="12" bestFit="1" customWidth="1"/>
    <col min="1897" max="1897" width="13.453125" style="12" bestFit="1" customWidth="1"/>
    <col min="1898" max="1898" width="17.26953125" style="12" bestFit="1" customWidth="1"/>
    <col min="1899" max="1899" width="12" style="12" bestFit="1" customWidth="1"/>
    <col min="1900" max="1900" width="16.81640625" style="12" bestFit="1" customWidth="1"/>
    <col min="1901" max="1901" width="10.1796875" style="12" customWidth="1"/>
    <col min="1902" max="1902" width="10.81640625" style="12" customWidth="1"/>
    <col min="1903" max="1903" width="13.26953125" style="12" bestFit="1" customWidth="1"/>
    <col min="1904" max="1904" width="9.26953125" style="12" customWidth="1"/>
    <col min="1905" max="1905" width="10.54296875" style="12" customWidth="1"/>
    <col min="1906" max="1906" width="7" style="12" customWidth="1"/>
    <col min="1907" max="1907" width="8.7265625" style="12" customWidth="1"/>
    <col min="1908" max="1908" width="9.54296875" style="12" customWidth="1"/>
    <col min="1909" max="1909" width="9.81640625" style="12" customWidth="1"/>
    <col min="1910" max="1910" width="12.26953125" style="12" bestFit="1" customWidth="1"/>
    <col min="1911" max="1911" width="11.7265625" style="12" bestFit="1" customWidth="1"/>
    <col min="1912" max="1912" width="9.453125" style="12" customWidth="1"/>
    <col min="1913" max="1913" width="10.26953125" style="12" customWidth="1"/>
    <col min="1914" max="1914" width="8" style="12" customWidth="1"/>
    <col min="1915" max="1915" width="10.81640625" style="12" customWidth="1"/>
    <col min="1916" max="1916" width="9.54296875" style="12" customWidth="1"/>
    <col min="1917" max="1917" width="9.7265625" style="12" customWidth="1"/>
    <col min="1918" max="1918" width="8.7265625" style="12" customWidth="1"/>
    <col min="1919" max="1919" width="9.81640625" style="12" customWidth="1"/>
    <col min="1920" max="1920" width="9.7265625" style="12" customWidth="1"/>
    <col min="1921" max="1921" width="11.26953125" style="12" customWidth="1"/>
    <col min="1922" max="1922" width="12.26953125" style="12" bestFit="1" customWidth="1"/>
    <col min="1923" max="1923" width="12" style="12" bestFit="1" customWidth="1"/>
    <col min="1924" max="1924" width="8.81640625" style="12" customWidth="1"/>
    <col min="1925" max="1925" width="13.26953125" style="12" bestFit="1" customWidth="1"/>
    <col min="1926" max="1926" width="11.7265625" style="12" bestFit="1" customWidth="1"/>
    <col min="1927" max="1928" width="10.453125" style="12" customWidth="1"/>
    <col min="1929" max="1929" width="10.90625" style="12"/>
    <col min="1930" max="1930" width="9.1796875" style="12" customWidth="1"/>
    <col min="1931" max="1931" width="10.1796875" style="12" customWidth="1"/>
    <col min="1932" max="1932" width="18.1796875" style="12" bestFit="1" customWidth="1"/>
    <col min="1933" max="1933" width="17.7265625" style="12" bestFit="1" customWidth="1"/>
    <col min="1934" max="1934" width="8.7265625" style="12" customWidth="1"/>
    <col min="1935" max="1935" width="9.1796875" style="12" customWidth="1"/>
    <col min="1936" max="1936" width="14" style="12" bestFit="1" customWidth="1"/>
    <col min="1937" max="1937" width="8.1796875" style="12" customWidth="1"/>
    <col min="1938" max="1938" width="14" style="12" bestFit="1" customWidth="1"/>
    <col min="1939" max="1939" width="12.7265625" style="12" bestFit="1" customWidth="1"/>
    <col min="1940" max="1941" width="10.54296875" style="12" customWidth="1"/>
    <col min="1942" max="1942" width="13" style="12" bestFit="1" customWidth="1"/>
    <col min="1943" max="1943" width="11.54296875" style="12" bestFit="1" customWidth="1"/>
    <col min="1944" max="1944" width="10.453125" style="12" customWidth="1"/>
    <col min="1945" max="1945" width="9.453125" style="12" customWidth="1"/>
    <col min="1946" max="1946" width="10" style="12" customWidth="1"/>
    <col min="1947" max="1947" width="12.81640625" style="12" bestFit="1" customWidth="1"/>
    <col min="1948" max="1948" width="10.81640625" style="12" customWidth="1"/>
    <col min="1949" max="1949" width="12.81640625" style="12" bestFit="1" customWidth="1"/>
    <col min="1950" max="1950" width="18.54296875" style="12" bestFit="1" customWidth="1"/>
    <col min="1951" max="1951" width="12.26953125" style="12" bestFit="1" customWidth="1"/>
    <col min="1952" max="1952" width="10.7265625" style="12" customWidth="1"/>
    <col min="1953" max="1953" width="8.26953125" style="12" customWidth="1"/>
    <col min="1954" max="1954" width="8.54296875" style="12" customWidth="1"/>
    <col min="1955" max="1955" width="7.7265625" style="12" customWidth="1"/>
    <col min="1956" max="1956" width="10.1796875" style="12" customWidth="1"/>
    <col min="1957" max="1957" width="10.7265625" style="12" customWidth="1"/>
    <col min="1958" max="1958" width="12.26953125" style="12" bestFit="1" customWidth="1"/>
    <col min="1959" max="1959" width="14.54296875" style="12" bestFit="1" customWidth="1"/>
    <col min="1960" max="1960" width="17.81640625" style="12" bestFit="1" customWidth="1"/>
    <col min="1961" max="1961" width="14" style="12" bestFit="1" customWidth="1"/>
    <col min="1962" max="1962" width="17.1796875" style="12" bestFit="1" customWidth="1"/>
    <col min="1963" max="1963" width="7.81640625" style="12" customWidth="1"/>
    <col min="1964" max="1964" width="10.1796875" style="12" customWidth="1"/>
    <col min="1965" max="1965" width="18.81640625" style="12" bestFit="1" customWidth="1"/>
    <col min="1966" max="1966" width="22.1796875" style="12" bestFit="1" customWidth="1"/>
    <col min="1967" max="1967" width="9.81640625" style="12" customWidth="1"/>
    <col min="1968" max="1968" width="9.7265625" style="12" customWidth="1"/>
    <col min="1969" max="1969" width="12.26953125" style="12" bestFit="1" customWidth="1"/>
    <col min="1970" max="1970" width="10.1796875" style="12" customWidth="1"/>
    <col min="1971" max="1971" width="8.1796875" style="12" customWidth="1"/>
    <col min="1972" max="1972" width="8.7265625" style="12" customWidth="1"/>
    <col min="1973" max="1973" width="13.54296875" style="12" bestFit="1" customWidth="1"/>
    <col min="1974" max="1974" width="22.26953125" style="12" bestFit="1" customWidth="1"/>
    <col min="1975" max="1975" width="10" style="12" customWidth="1"/>
    <col min="1976" max="1976" width="9.7265625" style="12" customWidth="1"/>
    <col min="1977" max="1977" width="10.26953125" style="12" customWidth="1"/>
    <col min="1978" max="1978" width="10" style="12" customWidth="1"/>
    <col min="1979" max="1979" width="9.81640625" style="12" customWidth="1"/>
    <col min="1980" max="1981" width="9.7265625" style="12" customWidth="1"/>
    <col min="1982" max="1982" width="18.81640625" style="12" bestFit="1" customWidth="1"/>
    <col min="1983" max="1983" width="12.54296875" style="12" bestFit="1" customWidth="1"/>
    <col min="1984" max="1984" width="10.26953125" style="12" customWidth="1"/>
    <col min="1985" max="1985" width="10.1796875" style="12" customWidth="1"/>
    <col min="1986" max="1986" width="8.7265625" style="12" customWidth="1"/>
    <col min="1987" max="1987" width="9.453125" style="12" customWidth="1"/>
    <col min="1988" max="1988" width="7.7265625" style="12" customWidth="1"/>
    <col min="1989" max="1989" width="8.54296875" style="12" customWidth="1"/>
    <col min="1990" max="1990" width="8" style="12" customWidth="1"/>
    <col min="1991" max="1991" width="7.453125" style="12" customWidth="1"/>
    <col min="1992" max="1992" width="7" style="12" customWidth="1"/>
    <col min="1993" max="1993" width="8.54296875" style="12" customWidth="1"/>
    <col min="1994" max="1994" width="7" style="12" customWidth="1"/>
    <col min="1995" max="1995" width="9.26953125" style="12" customWidth="1"/>
    <col min="1996" max="1996" width="8.453125" style="12" customWidth="1"/>
    <col min="1997" max="1997" width="16.1796875" style="12" bestFit="1" customWidth="1"/>
    <col min="1998" max="1999" width="8" style="12" customWidth="1"/>
    <col min="2000" max="2000" width="11.1796875" style="12" customWidth="1"/>
    <col min="2001" max="2001" width="7" style="12" customWidth="1"/>
    <col min="2002" max="2002" width="6.7265625" style="12" customWidth="1"/>
    <col min="2003" max="2003" width="14" style="12" bestFit="1" customWidth="1"/>
    <col min="2004" max="2004" width="7" style="12" customWidth="1"/>
    <col min="2005" max="2005" width="9.81640625" style="12" customWidth="1"/>
    <col min="2006" max="2006" width="12" style="12" bestFit="1" customWidth="1"/>
    <col min="2007" max="2007" width="8.81640625" style="12" customWidth="1"/>
    <col min="2008" max="2008" width="7.81640625" style="12" customWidth="1"/>
    <col min="2009" max="2009" width="9.1796875" style="12" customWidth="1"/>
    <col min="2010" max="2010" width="11.1796875" style="12" customWidth="1"/>
    <col min="2011" max="2011" width="8" style="12" customWidth="1"/>
    <col min="2012" max="2012" width="7.81640625" style="12" customWidth="1"/>
    <col min="2013" max="2013" width="8.26953125" style="12" customWidth="1"/>
    <col min="2014" max="2014" width="13.26953125" style="12" bestFit="1" customWidth="1"/>
    <col min="2015" max="2015" width="12" style="12" bestFit="1" customWidth="1"/>
    <col min="2016" max="2016" width="18" style="12" bestFit="1" customWidth="1"/>
    <col min="2017" max="2017" width="15.26953125" style="12" bestFit="1" customWidth="1"/>
    <col min="2018" max="2018" width="11.1796875" style="12" customWidth="1"/>
    <col min="2019" max="2019" width="13.1796875" style="12" bestFit="1" customWidth="1"/>
    <col min="2020" max="16384" width="10.90625" style="12"/>
  </cols>
  <sheetData>
    <row r="1" spans="2:30" ht="14.5" thickBot="1" x14ac:dyDescent="0.35">
      <c r="B1" s="24" t="s">
        <v>13433</v>
      </c>
      <c r="C1" s="24"/>
      <c r="D1" s="24"/>
      <c r="E1" s="12" t="s">
        <v>13434</v>
      </c>
      <c r="F1" s="12" t="s">
        <v>13435</v>
      </c>
      <c r="I1" s="70" t="s">
        <v>13436</v>
      </c>
      <c r="J1" s="70" t="s">
        <v>1</v>
      </c>
      <c r="T1" s="73" t="s">
        <v>15359</v>
      </c>
      <c r="U1" s="73" t="s">
        <v>15360</v>
      </c>
      <c r="V1" s="73" t="s">
        <v>13438</v>
      </c>
      <c r="W1" s="73" t="s">
        <v>13439</v>
      </c>
      <c r="X1" s="26"/>
      <c r="Y1" s="73" t="s">
        <v>15400</v>
      </c>
      <c r="Z1" s="73" t="s">
        <v>15401</v>
      </c>
      <c r="AA1" s="73" t="s">
        <v>15402</v>
      </c>
      <c r="AB1" s="73" t="s">
        <v>15403</v>
      </c>
      <c r="AC1" s="73" t="s">
        <v>15404</v>
      </c>
      <c r="AD1" s="73" t="s">
        <v>15405</v>
      </c>
    </row>
    <row r="2" spans="2:30" ht="14" x14ac:dyDescent="0.25">
      <c r="B2" s="12" t="s">
        <v>13440</v>
      </c>
      <c r="E2" s="27" t="s">
        <v>2241</v>
      </c>
      <c r="F2" s="12">
        <v>12</v>
      </c>
      <c r="I2" s="28">
        <v>14</v>
      </c>
      <c r="J2" s="28">
        <v>1</v>
      </c>
      <c r="T2" s="71" t="s">
        <v>2242</v>
      </c>
      <c r="U2" s="71" t="s">
        <v>13437</v>
      </c>
      <c r="V2" s="71" t="s">
        <v>2249</v>
      </c>
      <c r="W2" s="71" t="s">
        <v>15361</v>
      </c>
      <c r="Y2" s="71" t="s">
        <v>15406</v>
      </c>
      <c r="Z2" s="71" t="s">
        <v>4865</v>
      </c>
      <c r="AA2" s="71">
        <v>1231</v>
      </c>
      <c r="AB2" s="71">
        <v>2010</v>
      </c>
      <c r="AC2" s="71" t="s">
        <v>3601</v>
      </c>
      <c r="AD2" s="71" t="s">
        <v>15407</v>
      </c>
    </row>
    <row r="3" spans="2:30" ht="14" x14ac:dyDescent="0.25">
      <c r="B3" s="12" t="s">
        <v>13441</v>
      </c>
      <c r="E3" s="27" t="s">
        <v>13442</v>
      </c>
      <c r="F3" s="12">
        <v>4</v>
      </c>
      <c r="I3" s="28">
        <v>4</v>
      </c>
      <c r="J3" s="28">
        <v>4</v>
      </c>
      <c r="T3" s="71" t="s">
        <v>13443</v>
      </c>
      <c r="U3" s="71" t="s">
        <v>13437</v>
      </c>
      <c r="V3" s="71" t="s">
        <v>15362</v>
      </c>
      <c r="W3" s="71" t="s">
        <v>15361</v>
      </c>
      <c r="Y3" s="71" t="s">
        <v>15408</v>
      </c>
      <c r="Z3" s="71" t="s">
        <v>2600</v>
      </c>
      <c r="AA3" s="71">
        <v>1212</v>
      </c>
      <c r="AB3" s="71">
        <v>2013</v>
      </c>
      <c r="AC3" s="71" t="s">
        <v>2581</v>
      </c>
      <c r="AD3" s="71" t="s">
        <v>15409</v>
      </c>
    </row>
    <row r="4" spans="2:30" ht="14" x14ac:dyDescent="0.25">
      <c r="B4" s="12" t="s">
        <v>13444</v>
      </c>
      <c r="E4" s="27" t="s">
        <v>13445</v>
      </c>
      <c r="F4" s="12">
        <v>4</v>
      </c>
      <c r="I4" s="28">
        <v>3</v>
      </c>
      <c r="J4" s="28">
        <v>1</v>
      </c>
      <c r="T4" s="71" t="s">
        <v>8637</v>
      </c>
      <c r="U4" s="71" t="s">
        <v>13437</v>
      </c>
      <c r="V4" s="71" t="s">
        <v>13446</v>
      </c>
      <c r="W4" s="71" t="s">
        <v>15361</v>
      </c>
      <c r="Y4" s="71" t="s">
        <v>15410</v>
      </c>
      <c r="Z4" s="71" t="s">
        <v>337</v>
      </c>
      <c r="AA4" s="71">
        <v>435</v>
      </c>
      <c r="AB4" s="71">
        <v>2019</v>
      </c>
      <c r="AC4" s="71" t="s">
        <v>339</v>
      </c>
      <c r="AD4" s="71" t="s">
        <v>15407</v>
      </c>
    </row>
    <row r="5" spans="2:30" ht="14" x14ac:dyDescent="0.25">
      <c r="B5" s="12" t="s">
        <v>13447</v>
      </c>
      <c r="E5" s="27" t="s">
        <v>13448</v>
      </c>
      <c r="F5" s="12">
        <v>4</v>
      </c>
      <c r="I5" s="28">
        <v>2</v>
      </c>
      <c r="J5" s="28">
        <v>75</v>
      </c>
      <c r="T5" s="71" t="s">
        <v>13449</v>
      </c>
      <c r="U5" s="71" t="s">
        <v>13437</v>
      </c>
      <c r="V5" s="71" t="s">
        <v>2249</v>
      </c>
      <c r="W5" s="71" t="s">
        <v>15361</v>
      </c>
      <c r="Y5" s="71" t="s">
        <v>15411</v>
      </c>
      <c r="Z5" s="71" t="s">
        <v>4557</v>
      </c>
      <c r="AA5" s="71">
        <v>372</v>
      </c>
      <c r="AB5" s="71">
        <v>2020</v>
      </c>
      <c r="AC5" s="71" t="s">
        <v>3050</v>
      </c>
      <c r="AD5" s="71" t="s">
        <v>15407</v>
      </c>
    </row>
    <row r="6" spans="2:30" ht="14" x14ac:dyDescent="0.25">
      <c r="B6" s="12" t="s">
        <v>13450</v>
      </c>
      <c r="E6" s="27" t="s">
        <v>13451</v>
      </c>
      <c r="F6" s="12">
        <v>4</v>
      </c>
      <c r="I6" s="28">
        <v>1</v>
      </c>
      <c r="J6" s="28">
        <v>2039</v>
      </c>
      <c r="T6" s="71" t="s">
        <v>13452</v>
      </c>
      <c r="U6" s="71" t="s">
        <v>13437</v>
      </c>
      <c r="V6" s="71" t="s">
        <v>13453</v>
      </c>
      <c r="W6" s="71" t="s">
        <v>15361</v>
      </c>
      <c r="Y6" s="71" t="s">
        <v>15412</v>
      </c>
      <c r="Z6" s="71" t="s">
        <v>237</v>
      </c>
      <c r="AA6" s="71">
        <v>349</v>
      </c>
      <c r="AB6" s="71">
        <v>2020</v>
      </c>
      <c r="AC6" s="71" t="s">
        <v>239</v>
      </c>
      <c r="AD6" s="71" t="s">
        <v>15409</v>
      </c>
    </row>
    <row r="7" spans="2:30" ht="14.5" thickBot="1" x14ac:dyDescent="0.35">
      <c r="B7" s="12" t="s">
        <v>13454</v>
      </c>
      <c r="E7" s="27" t="s">
        <v>10664</v>
      </c>
      <c r="F7" s="12">
        <v>3</v>
      </c>
      <c r="I7" s="29" t="s">
        <v>13455</v>
      </c>
      <c r="J7" s="28">
        <f>SUM(J2:J6)</f>
        <v>2120</v>
      </c>
      <c r="T7" s="72" t="s">
        <v>15363</v>
      </c>
      <c r="U7" s="72" t="s">
        <v>13437</v>
      </c>
      <c r="V7" s="72" t="s">
        <v>2249</v>
      </c>
      <c r="W7" s="72" t="s">
        <v>15361</v>
      </c>
      <c r="Y7" s="71" t="s">
        <v>15413</v>
      </c>
      <c r="Z7" s="71" t="s">
        <v>9856</v>
      </c>
      <c r="AA7" s="71">
        <v>335</v>
      </c>
      <c r="AB7" s="71">
        <v>2017</v>
      </c>
      <c r="AC7" s="71" t="s">
        <v>3601</v>
      </c>
      <c r="AD7" s="71" t="s">
        <v>15407</v>
      </c>
    </row>
    <row r="8" spans="2:30" ht="14" x14ac:dyDescent="0.25">
      <c r="B8" s="12" t="s">
        <v>13456</v>
      </c>
      <c r="E8" s="27" t="s">
        <v>13457</v>
      </c>
      <c r="F8" s="12">
        <v>3</v>
      </c>
      <c r="T8" s="71" t="s">
        <v>15364</v>
      </c>
      <c r="U8" s="71" t="s">
        <v>15365</v>
      </c>
      <c r="V8" s="71" t="s">
        <v>15366</v>
      </c>
      <c r="W8" s="71" t="s">
        <v>15367</v>
      </c>
      <c r="Y8" s="71" t="s">
        <v>15414</v>
      </c>
      <c r="Z8" s="71" t="s">
        <v>3047</v>
      </c>
      <c r="AA8" s="71">
        <v>241</v>
      </c>
      <c r="AB8" s="71">
        <v>2009</v>
      </c>
      <c r="AC8" s="71" t="s">
        <v>3050</v>
      </c>
      <c r="AD8" s="71" t="s">
        <v>15407</v>
      </c>
    </row>
    <row r="9" spans="2:30" ht="14" x14ac:dyDescent="0.25">
      <c r="B9" s="12" t="s">
        <v>13458</v>
      </c>
      <c r="E9" s="27" t="s">
        <v>3798</v>
      </c>
      <c r="F9" s="12">
        <v>3</v>
      </c>
      <c r="T9" s="71" t="s">
        <v>15368</v>
      </c>
      <c r="U9" s="71" t="s">
        <v>15365</v>
      </c>
      <c r="V9" s="71" t="s">
        <v>15369</v>
      </c>
      <c r="W9" s="71" t="s">
        <v>15370</v>
      </c>
      <c r="Y9" s="71" t="s">
        <v>15424</v>
      </c>
      <c r="Z9" s="71" t="s">
        <v>6010</v>
      </c>
      <c r="AA9" s="71">
        <v>238</v>
      </c>
      <c r="AB9" s="71">
        <v>2018</v>
      </c>
      <c r="AC9" s="71" t="s">
        <v>2581</v>
      </c>
      <c r="AD9" s="71" t="s">
        <v>15409</v>
      </c>
    </row>
    <row r="10" spans="2:30" ht="14" x14ac:dyDescent="0.25">
      <c r="B10" s="12" t="s">
        <v>13459</v>
      </c>
      <c r="E10" s="27" t="s">
        <v>13460</v>
      </c>
      <c r="F10" s="12">
        <v>3</v>
      </c>
      <c r="T10" s="71" t="s">
        <v>15371</v>
      </c>
      <c r="U10" s="71" t="s">
        <v>15365</v>
      </c>
      <c r="V10" s="71" t="s">
        <v>15372</v>
      </c>
      <c r="W10" s="71" t="s">
        <v>15370</v>
      </c>
      <c r="Y10" s="71" t="s">
        <v>15415</v>
      </c>
      <c r="Z10" s="71" t="s">
        <v>2157</v>
      </c>
      <c r="AA10" s="71">
        <v>235</v>
      </c>
      <c r="AB10" s="71">
        <v>2018</v>
      </c>
      <c r="AC10" s="71" t="s">
        <v>2159</v>
      </c>
      <c r="AD10" s="71" t="s">
        <v>15416</v>
      </c>
    </row>
    <row r="11" spans="2:30" ht="14" x14ac:dyDescent="0.25">
      <c r="B11" s="12" t="s">
        <v>13461</v>
      </c>
      <c r="E11" s="27" t="s">
        <v>13462</v>
      </c>
      <c r="F11" s="12">
        <v>2</v>
      </c>
      <c r="T11" s="71" t="s">
        <v>15373</v>
      </c>
      <c r="U11" s="71" t="s">
        <v>15365</v>
      </c>
      <c r="V11" s="71" t="s">
        <v>15372</v>
      </c>
      <c r="W11" s="71" t="s">
        <v>15370</v>
      </c>
      <c r="Y11" s="71" t="s">
        <v>15417</v>
      </c>
      <c r="Z11" s="71" t="s">
        <v>9817</v>
      </c>
      <c r="AA11" s="71">
        <v>213</v>
      </c>
      <c r="AB11" s="71">
        <v>2018</v>
      </c>
      <c r="AC11" s="71" t="s">
        <v>2218</v>
      </c>
      <c r="AD11" s="71" t="s">
        <v>15407</v>
      </c>
    </row>
    <row r="12" spans="2:30" ht="14.5" thickBot="1" x14ac:dyDescent="0.3">
      <c r="B12" s="12" t="s">
        <v>13463</v>
      </c>
      <c r="E12" s="27" t="s">
        <v>13464</v>
      </c>
      <c r="F12" s="12">
        <v>2</v>
      </c>
      <c r="T12" s="72" t="s">
        <v>15374</v>
      </c>
      <c r="U12" s="72" t="s">
        <v>15365</v>
      </c>
      <c r="V12" s="72" t="s">
        <v>11646</v>
      </c>
      <c r="W12" s="72" t="s">
        <v>15370</v>
      </c>
      <c r="Y12" s="71" t="s">
        <v>15418</v>
      </c>
      <c r="Z12" s="71" t="s">
        <v>6010</v>
      </c>
      <c r="AA12" s="71">
        <v>209</v>
      </c>
      <c r="AB12" s="71">
        <v>2019</v>
      </c>
      <c r="AC12" s="71" t="s">
        <v>2581</v>
      </c>
      <c r="AD12" s="71" t="s">
        <v>15409</v>
      </c>
    </row>
    <row r="13" spans="2:30" ht="14" x14ac:dyDescent="0.25">
      <c r="B13" s="12" t="s">
        <v>13465</v>
      </c>
      <c r="E13" s="27" t="s">
        <v>13466</v>
      </c>
      <c r="F13" s="12">
        <v>2</v>
      </c>
      <c r="T13" s="71" t="s">
        <v>15375</v>
      </c>
      <c r="U13" s="71" t="s">
        <v>15376</v>
      </c>
      <c r="V13" s="71" t="s">
        <v>15377</v>
      </c>
      <c r="W13" s="71" t="s">
        <v>15378</v>
      </c>
      <c r="Y13" s="71" t="s">
        <v>15419</v>
      </c>
      <c r="Z13" s="71" t="s">
        <v>2600</v>
      </c>
      <c r="AA13" s="71">
        <v>197</v>
      </c>
      <c r="AB13" s="71">
        <v>2013</v>
      </c>
      <c r="AC13" s="71" t="s">
        <v>2581</v>
      </c>
      <c r="AD13" s="71" t="s">
        <v>15409</v>
      </c>
    </row>
    <row r="14" spans="2:30" ht="14" x14ac:dyDescent="0.25">
      <c r="B14" s="12" t="s">
        <v>13467</v>
      </c>
      <c r="E14" s="27" t="s">
        <v>13468</v>
      </c>
      <c r="F14" s="12">
        <v>2</v>
      </c>
      <c r="T14" s="71" t="s">
        <v>15379</v>
      </c>
      <c r="U14" s="71" t="s">
        <v>15376</v>
      </c>
      <c r="V14" s="71" t="s">
        <v>15380</v>
      </c>
      <c r="W14" s="71" t="s">
        <v>15378</v>
      </c>
      <c r="Y14" s="71" t="s">
        <v>15420</v>
      </c>
      <c r="Z14" s="71" t="s">
        <v>7824</v>
      </c>
      <c r="AA14" s="71">
        <v>171</v>
      </c>
      <c r="AB14" s="71">
        <v>2020</v>
      </c>
      <c r="AC14" s="71" t="s">
        <v>264</v>
      </c>
      <c r="AD14" s="71" t="s">
        <v>15407</v>
      </c>
    </row>
    <row r="15" spans="2:30" ht="14" x14ac:dyDescent="0.25">
      <c r="B15" s="12" t="s">
        <v>13467</v>
      </c>
      <c r="E15" s="27" t="s">
        <v>13469</v>
      </c>
      <c r="F15" s="12">
        <v>2</v>
      </c>
      <c r="T15" s="71" t="s">
        <v>15381</v>
      </c>
      <c r="U15" s="71" t="s">
        <v>15376</v>
      </c>
      <c r="V15" s="71" t="s">
        <v>15382</v>
      </c>
      <c r="W15" s="71" t="s">
        <v>15378</v>
      </c>
      <c r="Y15" s="71" t="s">
        <v>15421</v>
      </c>
      <c r="Z15" s="71" t="s">
        <v>3764</v>
      </c>
      <c r="AA15" s="71">
        <v>166</v>
      </c>
      <c r="AB15" s="71">
        <v>2020</v>
      </c>
      <c r="AC15" s="71" t="s">
        <v>1023</v>
      </c>
      <c r="AD15" s="71" t="s">
        <v>15407</v>
      </c>
    </row>
    <row r="16" spans="2:30" ht="14" x14ac:dyDescent="0.25">
      <c r="B16" s="12" t="s">
        <v>13470</v>
      </c>
      <c r="E16" s="27" t="s">
        <v>13471</v>
      </c>
      <c r="F16" s="12">
        <v>2</v>
      </c>
      <c r="T16" s="71" t="s">
        <v>15383</v>
      </c>
      <c r="U16" s="71" t="s">
        <v>15376</v>
      </c>
      <c r="V16" s="71" t="s">
        <v>15384</v>
      </c>
      <c r="W16" s="71" t="s">
        <v>15378</v>
      </c>
      <c r="Y16" s="71" t="s">
        <v>15422</v>
      </c>
      <c r="Z16" s="71" t="s">
        <v>10197</v>
      </c>
      <c r="AA16" s="71">
        <v>131</v>
      </c>
      <c r="AB16" s="71">
        <v>2018</v>
      </c>
      <c r="AC16" s="71" t="s">
        <v>10199</v>
      </c>
      <c r="AD16" s="71" t="s">
        <v>15407</v>
      </c>
    </row>
    <row r="17" spans="2:30" ht="14.5" thickBot="1" x14ac:dyDescent="0.3">
      <c r="B17" s="12" t="s">
        <v>13472</v>
      </c>
      <c r="E17" s="27" t="s">
        <v>13473</v>
      </c>
      <c r="F17" s="12">
        <v>2</v>
      </c>
      <c r="T17" s="72" t="s">
        <v>15385</v>
      </c>
      <c r="U17" s="72" t="s">
        <v>15376</v>
      </c>
      <c r="V17" s="72" t="s">
        <v>15384</v>
      </c>
      <c r="W17" s="72" t="s">
        <v>15378</v>
      </c>
      <c r="Y17" s="72" t="s">
        <v>15423</v>
      </c>
      <c r="Z17" s="72" t="s">
        <v>4865</v>
      </c>
      <c r="AA17" s="72">
        <v>117</v>
      </c>
      <c r="AB17" s="72">
        <v>2016</v>
      </c>
      <c r="AC17" s="72" t="s">
        <v>3601</v>
      </c>
      <c r="AD17" s="72" t="s">
        <v>15407</v>
      </c>
    </row>
    <row r="18" spans="2:30" ht="14" x14ac:dyDescent="0.25">
      <c r="B18" s="12" t="s">
        <v>13474</v>
      </c>
      <c r="E18" s="27" t="s">
        <v>13475</v>
      </c>
      <c r="F18" s="12">
        <v>2</v>
      </c>
      <c r="T18" s="71" t="s">
        <v>15386</v>
      </c>
      <c r="U18" s="71" t="s">
        <v>15387</v>
      </c>
      <c r="V18" s="71" t="s">
        <v>2992</v>
      </c>
      <c r="W18" s="71" t="s">
        <v>15388</v>
      </c>
    </row>
    <row r="19" spans="2:30" ht="14" x14ac:dyDescent="0.25">
      <c r="B19" s="12" t="s">
        <v>13476</v>
      </c>
      <c r="E19" s="27" t="s">
        <v>13477</v>
      </c>
      <c r="F19" s="12">
        <v>2</v>
      </c>
      <c r="T19" s="71" t="s">
        <v>15389</v>
      </c>
      <c r="U19" s="71" t="s">
        <v>15387</v>
      </c>
      <c r="V19" s="71" t="s">
        <v>2992</v>
      </c>
      <c r="W19" s="71" t="s">
        <v>15388</v>
      </c>
    </row>
    <row r="20" spans="2:30" ht="14" x14ac:dyDescent="0.25">
      <c r="B20" s="12" t="s">
        <v>13478</v>
      </c>
      <c r="E20" s="27" t="s">
        <v>13479</v>
      </c>
      <c r="F20" s="12">
        <v>2</v>
      </c>
      <c r="T20" s="71" t="s">
        <v>15390</v>
      </c>
      <c r="U20" s="71" t="s">
        <v>15387</v>
      </c>
      <c r="V20" s="71" t="s">
        <v>2992</v>
      </c>
      <c r="W20" s="71" t="s">
        <v>15388</v>
      </c>
    </row>
    <row r="21" spans="2:30" ht="14.5" thickBot="1" x14ac:dyDescent="0.3">
      <c r="B21" s="12" t="s">
        <v>13480</v>
      </c>
      <c r="E21" s="27" t="s">
        <v>13481</v>
      </c>
      <c r="F21" s="12">
        <v>2</v>
      </c>
      <c r="T21" s="72" t="s">
        <v>15391</v>
      </c>
      <c r="U21" s="72" t="s">
        <v>15387</v>
      </c>
      <c r="V21" s="72" t="s">
        <v>2992</v>
      </c>
      <c r="W21" s="72" t="s">
        <v>15388</v>
      </c>
    </row>
    <row r="22" spans="2:30" ht="14" x14ac:dyDescent="0.25">
      <c r="B22" s="12" t="s">
        <v>13482</v>
      </c>
      <c r="E22" s="27" t="s">
        <v>13483</v>
      </c>
      <c r="F22" s="12">
        <v>2</v>
      </c>
      <c r="T22" s="71" t="s">
        <v>15392</v>
      </c>
      <c r="U22" s="71" t="s">
        <v>15393</v>
      </c>
      <c r="V22" s="71" t="s">
        <v>15394</v>
      </c>
      <c r="W22" s="71" t="s">
        <v>15395</v>
      </c>
    </row>
    <row r="23" spans="2:30" ht="14" x14ac:dyDescent="0.25">
      <c r="B23" s="12" t="s">
        <v>13484</v>
      </c>
      <c r="E23" s="27" t="s">
        <v>13485</v>
      </c>
      <c r="F23" s="12">
        <v>2</v>
      </c>
      <c r="T23" s="71" t="s">
        <v>15396</v>
      </c>
      <c r="U23" s="71" t="s">
        <v>15393</v>
      </c>
      <c r="V23" s="71" t="s">
        <v>3927</v>
      </c>
      <c r="W23" s="71" t="s">
        <v>15395</v>
      </c>
    </row>
    <row r="24" spans="2:30" ht="14" x14ac:dyDescent="0.25">
      <c r="B24" s="12" t="s">
        <v>13486</v>
      </c>
      <c r="E24" s="27" t="s">
        <v>13487</v>
      </c>
      <c r="F24" s="12">
        <v>2</v>
      </c>
      <c r="T24" s="71" t="s">
        <v>15397</v>
      </c>
      <c r="U24" s="71" t="s">
        <v>15393</v>
      </c>
      <c r="V24" s="71" t="s">
        <v>15398</v>
      </c>
      <c r="W24" s="71" t="s">
        <v>15395</v>
      </c>
    </row>
    <row r="25" spans="2:30" ht="14.5" thickBot="1" x14ac:dyDescent="0.3">
      <c r="B25" s="12" t="s">
        <v>13488</v>
      </c>
      <c r="E25" s="27" t="s">
        <v>8636</v>
      </c>
      <c r="F25" s="12">
        <v>2</v>
      </c>
      <c r="T25" s="72" t="s">
        <v>15399</v>
      </c>
      <c r="U25" s="72" t="s">
        <v>15393</v>
      </c>
      <c r="V25" s="72" t="s">
        <v>15398</v>
      </c>
      <c r="W25" s="72" t="s">
        <v>15395</v>
      </c>
    </row>
    <row r="26" spans="2:30" x14ac:dyDescent="0.25">
      <c r="B26" s="12" t="s">
        <v>13489</v>
      </c>
      <c r="E26" s="27" t="s">
        <v>13490</v>
      </c>
      <c r="F26" s="12">
        <v>2</v>
      </c>
    </row>
    <row r="27" spans="2:30" x14ac:dyDescent="0.25">
      <c r="B27" s="12" t="s">
        <v>13491</v>
      </c>
      <c r="E27" s="27" t="s">
        <v>13492</v>
      </c>
      <c r="F27" s="12">
        <v>2</v>
      </c>
    </row>
    <row r="28" spans="2:30" x14ac:dyDescent="0.25">
      <c r="B28" s="12" t="s">
        <v>13493</v>
      </c>
      <c r="E28" s="27" t="s">
        <v>13494</v>
      </c>
      <c r="F28" s="12">
        <v>2</v>
      </c>
    </row>
    <row r="29" spans="2:30" x14ac:dyDescent="0.25">
      <c r="B29" s="12" t="s">
        <v>13495</v>
      </c>
      <c r="E29" s="27" t="s">
        <v>13496</v>
      </c>
      <c r="F29" s="12">
        <v>2</v>
      </c>
    </row>
    <row r="30" spans="2:30" ht="13" x14ac:dyDescent="0.3">
      <c r="B30" s="12" t="s">
        <v>13497</v>
      </c>
      <c r="E30" s="27" t="s">
        <v>13498</v>
      </c>
      <c r="F30" s="12">
        <v>2</v>
      </c>
      <c r="H30" s="25" t="s">
        <v>13436</v>
      </c>
      <c r="I30" s="25" t="s">
        <v>1</v>
      </c>
    </row>
    <row r="31" spans="2:30" x14ac:dyDescent="0.25">
      <c r="B31" s="12" t="s">
        <v>13499</v>
      </c>
      <c r="E31" s="27" t="s">
        <v>13500</v>
      </c>
      <c r="F31" s="12">
        <v>2</v>
      </c>
      <c r="H31" s="28">
        <v>2039</v>
      </c>
      <c r="I31" s="28">
        <v>2039</v>
      </c>
      <c r="J31" s="12">
        <v>1</v>
      </c>
      <c r="K31" s="12">
        <v>14</v>
      </c>
    </row>
    <row r="32" spans="2:30" x14ac:dyDescent="0.25">
      <c r="B32" s="12" t="s">
        <v>13501</v>
      </c>
      <c r="E32" s="27" t="s">
        <v>13502</v>
      </c>
      <c r="F32" s="12">
        <v>2</v>
      </c>
      <c r="H32" s="28">
        <v>75</v>
      </c>
      <c r="I32" s="28">
        <v>75</v>
      </c>
      <c r="J32" s="12">
        <v>2</v>
      </c>
      <c r="K32" s="12">
        <v>4</v>
      </c>
    </row>
    <row r="33" spans="2:11" x14ac:dyDescent="0.25">
      <c r="B33" s="12" t="s">
        <v>13503</v>
      </c>
      <c r="E33" s="27" t="s">
        <v>13504</v>
      </c>
      <c r="F33" s="12">
        <v>2</v>
      </c>
      <c r="H33" s="28">
        <v>3</v>
      </c>
      <c r="I33" s="28">
        <v>1</v>
      </c>
      <c r="J33" s="12">
        <v>3</v>
      </c>
      <c r="K33" s="12">
        <v>1</v>
      </c>
    </row>
    <row r="34" spans="2:11" x14ac:dyDescent="0.25">
      <c r="B34" s="12" t="s">
        <v>13505</v>
      </c>
      <c r="E34" s="27" t="s">
        <v>13506</v>
      </c>
      <c r="F34" s="12">
        <v>2</v>
      </c>
      <c r="H34" s="28">
        <v>4</v>
      </c>
      <c r="I34" s="28">
        <v>4</v>
      </c>
      <c r="J34" s="12">
        <v>4</v>
      </c>
      <c r="K34" s="12">
        <v>2</v>
      </c>
    </row>
    <row r="35" spans="2:11" x14ac:dyDescent="0.25">
      <c r="B35" s="12" t="s">
        <v>13507</v>
      </c>
      <c r="E35" s="27" t="s">
        <v>13508</v>
      </c>
      <c r="F35" s="12">
        <v>2</v>
      </c>
      <c r="H35" s="28">
        <v>1</v>
      </c>
      <c r="I35" s="28">
        <v>1</v>
      </c>
      <c r="J35" s="12">
        <v>14</v>
      </c>
      <c r="K35" s="12">
        <v>1</v>
      </c>
    </row>
    <row r="36" spans="2:11" ht="13" x14ac:dyDescent="0.3">
      <c r="B36" s="12" t="s">
        <v>13509</v>
      </c>
      <c r="E36" s="27" t="s">
        <v>13510</v>
      </c>
      <c r="F36" s="12">
        <v>2</v>
      </c>
      <c r="H36" s="29" t="s">
        <v>13455</v>
      </c>
      <c r="I36" s="28">
        <f>SUM(I31:I35)</f>
        <v>2120</v>
      </c>
    </row>
    <row r="37" spans="2:11" x14ac:dyDescent="0.25">
      <c r="B37" s="12" t="s">
        <v>13511</v>
      </c>
      <c r="E37" s="27" t="s">
        <v>13512</v>
      </c>
      <c r="F37" s="12">
        <v>2</v>
      </c>
    </row>
    <row r="38" spans="2:11" x14ac:dyDescent="0.25">
      <c r="B38" s="12" t="s">
        <v>13513</v>
      </c>
      <c r="E38" s="27" t="s">
        <v>13514</v>
      </c>
      <c r="F38" s="12">
        <v>2</v>
      </c>
    </row>
    <row r="39" spans="2:11" x14ac:dyDescent="0.25">
      <c r="B39" s="12" t="s">
        <v>13515</v>
      </c>
      <c r="E39" s="27" t="s">
        <v>13516</v>
      </c>
      <c r="F39" s="12">
        <v>2</v>
      </c>
    </row>
    <row r="40" spans="2:11" x14ac:dyDescent="0.25">
      <c r="B40" s="12" t="s">
        <v>13517</v>
      </c>
      <c r="E40" s="27" t="s">
        <v>13518</v>
      </c>
      <c r="F40" s="12">
        <v>2</v>
      </c>
    </row>
    <row r="41" spans="2:11" x14ac:dyDescent="0.25">
      <c r="B41" s="12" t="s">
        <v>13519</v>
      </c>
      <c r="E41" s="27" t="s">
        <v>13520</v>
      </c>
      <c r="F41" s="12">
        <v>2</v>
      </c>
    </row>
    <row r="42" spans="2:11" x14ac:dyDescent="0.25">
      <c r="B42" s="12" t="s">
        <v>13521</v>
      </c>
      <c r="E42" s="27" t="s">
        <v>13522</v>
      </c>
      <c r="F42" s="12">
        <v>2</v>
      </c>
    </row>
    <row r="43" spans="2:11" x14ac:dyDescent="0.25">
      <c r="B43" s="12" t="s">
        <v>13523</v>
      </c>
      <c r="E43" s="27" t="s">
        <v>13524</v>
      </c>
      <c r="F43" s="12">
        <v>2</v>
      </c>
    </row>
    <row r="44" spans="2:11" x14ac:dyDescent="0.25">
      <c r="B44" s="12" t="s">
        <v>13525</v>
      </c>
      <c r="E44" s="27" t="s">
        <v>13526</v>
      </c>
      <c r="F44" s="12">
        <v>2</v>
      </c>
    </row>
    <row r="45" spans="2:11" x14ac:dyDescent="0.25">
      <c r="B45" s="12" t="s">
        <v>13527</v>
      </c>
      <c r="E45" s="27" t="s">
        <v>13528</v>
      </c>
      <c r="F45" s="12">
        <v>2</v>
      </c>
    </row>
    <row r="46" spans="2:11" x14ac:dyDescent="0.25">
      <c r="B46" s="12" t="s">
        <v>13529</v>
      </c>
      <c r="E46" s="27" t="s">
        <v>13530</v>
      </c>
      <c r="F46" s="12">
        <v>2</v>
      </c>
    </row>
    <row r="47" spans="2:11" x14ac:dyDescent="0.25">
      <c r="B47" s="12" t="s">
        <v>13529</v>
      </c>
      <c r="E47" s="27" t="s">
        <v>13531</v>
      </c>
      <c r="F47" s="12">
        <v>2</v>
      </c>
    </row>
    <row r="48" spans="2:11" x14ac:dyDescent="0.25">
      <c r="B48" s="12" t="s">
        <v>13532</v>
      </c>
      <c r="E48" s="27" t="s">
        <v>13533</v>
      </c>
      <c r="F48" s="12">
        <v>2</v>
      </c>
    </row>
    <row r="49" spans="2:6" x14ac:dyDescent="0.25">
      <c r="B49" s="12" t="s">
        <v>13534</v>
      </c>
      <c r="E49" s="27" t="s">
        <v>13535</v>
      </c>
      <c r="F49" s="12">
        <v>2</v>
      </c>
    </row>
    <row r="50" spans="2:6" x14ac:dyDescent="0.25">
      <c r="B50" s="12" t="s">
        <v>13536</v>
      </c>
      <c r="E50" s="27" t="s">
        <v>11350</v>
      </c>
      <c r="F50" s="12">
        <v>2</v>
      </c>
    </row>
    <row r="51" spans="2:6" x14ac:dyDescent="0.25">
      <c r="B51" s="12" t="s">
        <v>13537</v>
      </c>
      <c r="E51" s="27" t="s">
        <v>13538</v>
      </c>
      <c r="F51" s="12">
        <v>2</v>
      </c>
    </row>
    <row r="52" spans="2:6" x14ac:dyDescent="0.25">
      <c r="B52" s="12" t="s">
        <v>13539</v>
      </c>
      <c r="E52" s="27" t="s">
        <v>13540</v>
      </c>
      <c r="F52" s="12">
        <v>2</v>
      </c>
    </row>
    <row r="53" spans="2:6" x14ac:dyDescent="0.25">
      <c r="B53" s="12" t="s">
        <v>13541</v>
      </c>
      <c r="E53" s="27" t="s">
        <v>13542</v>
      </c>
      <c r="F53" s="12">
        <v>2</v>
      </c>
    </row>
    <row r="54" spans="2:6" x14ac:dyDescent="0.25">
      <c r="B54" s="12" t="s">
        <v>13543</v>
      </c>
      <c r="E54" s="27" t="s">
        <v>13544</v>
      </c>
      <c r="F54" s="12">
        <v>2</v>
      </c>
    </row>
    <row r="55" spans="2:6" x14ac:dyDescent="0.25">
      <c r="B55" s="12" t="s">
        <v>13545</v>
      </c>
      <c r="E55" s="27" t="s">
        <v>7598</v>
      </c>
      <c r="F55" s="12">
        <v>2</v>
      </c>
    </row>
    <row r="56" spans="2:6" x14ac:dyDescent="0.25">
      <c r="B56" s="12" t="s">
        <v>13546</v>
      </c>
      <c r="E56" s="27" t="s">
        <v>13547</v>
      </c>
      <c r="F56" s="12">
        <v>2</v>
      </c>
    </row>
    <row r="57" spans="2:6" x14ac:dyDescent="0.25">
      <c r="B57" s="12" t="s">
        <v>13548</v>
      </c>
      <c r="E57" s="27" t="s">
        <v>13549</v>
      </c>
      <c r="F57" s="12">
        <v>2</v>
      </c>
    </row>
    <row r="58" spans="2:6" x14ac:dyDescent="0.25">
      <c r="B58" s="12" t="s">
        <v>13550</v>
      </c>
      <c r="E58" s="27" t="s">
        <v>4362</v>
      </c>
      <c r="F58" s="12">
        <v>2</v>
      </c>
    </row>
    <row r="59" spans="2:6" x14ac:dyDescent="0.25">
      <c r="B59" s="12" t="s">
        <v>13551</v>
      </c>
      <c r="E59" s="27" t="s">
        <v>13552</v>
      </c>
      <c r="F59" s="12">
        <v>2</v>
      </c>
    </row>
    <row r="60" spans="2:6" x14ac:dyDescent="0.25">
      <c r="B60" s="12" t="s">
        <v>13553</v>
      </c>
      <c r="E60" s="27" t="s">
        <v>13554</v>
      </c>
      <c r="F60" s="12">
        <v>2</v>
      </c>
    </row>
    <row r="61" spans="2:6" x14ac:dyDescent="0.25">
      <c r="B61" s="12" t="s">
        <v>13555</v>
      </c>
      <c r="E61" s="27" t="s">
        <v>13556</v>
      </c>
      <c r="F61" s="12">
        <v>2</v>
      </c>
    </row>
    <row r="62" spans="2:6" x14ac:dyDescent="0.25">
      <c r="B62" s="12" t="s">
        <v>13557</v>
      </c>
      <c r="E62" s="27" t="s">
        <v>13558</v>
      </c>
      <c r="F62" s="12">
        <v>2</v>
      </c>
    </row>
    <row r="63" spans="2:6" x14ac:dyDescent="0.25">
      <c r="B63" s="12" t="s">
        <v>13559</v>
      </c>
      <c r="E63" s="27" t="s">
        <v>13560</v>
      </c>
      <c r="F63" s="12">
        <v>2</v>
      </c>
    </row>
    <row r="64" spans="2:6" x14ac:dyDescent="0.25">
      <c r="B64" s="12" t="s">
        <v>13561</v>
      </c>
      <c r="E64" s="27" t="s">
        <v>13562</v>
      </c>
      <c r="F64" s="12">
        <v>2</v>
      </c>
    </row>
    <row r="65" spans="2:6" x14ac:dyDescent="0.25">
      <c r="B65" s="12" t="s">
        <v>13563</v>
      </c>
      <c r="E65" s="27" t="s">
        <v>13564</v>
      </c>
      <c r="F65" s="12">
        <v>2</v>
      </c>
    </row>
    <row r="66" spans="2:6" x14ac:dyDescent="0.25">
      <c r="B66" s="12" t="s">
        <v>13565</v>
      </c>
      <c r="E66" s="27" t="s">
        <v>13566</v>
      </c>
      <c r="F66" s="12">
        <v>2</v>
      </c>
    </row>
    <row r="67" spans="2:6" x14ac:dyDescent="0.25">
      <c r="B67" s="12" t="s">
        <v>13567</v>
      </c>
      <c r="E67" s="27" t="s">
        <v>13568</v>
      </c>
      <c r="F67" s="12">
        <v>2</v>
      </c>
    </row>
    <row r="68" spans="2:6" x14ac:dyDescent="0.25">
      <c r="B68" s="12" t="s">
        <v>13569</v>
      </c>
      <c r="E68" s="27" t="s">
        <v>12787</v>
      </c>
      <c r="F68" s="12">
        <v>2</v>
      </c>
    </row>
    <row r="69" spans="2:6" x14ac:dyDescent="0.25">
      <c r="B69" s="12" t="s">
        <v>13570</v>
      </c>
      <c r="E69" s="27" t="s">
        <v>13571</v>
      </c>
      <c r="F69" s="12">
        <v>2</v>
      </c>
    </row>
    <row r="70" spans="2:6" x14ac:dyDescent="0.25">
      <c r="B70" s="12" t="s">
        <v>13572</v>
      </c>
      <c r="E70" s="27" t="s">
        <v>13573</v>
      </c>
      <c r="F70" s="12">
        <v>2</v>
      </c>
    </row>
    <row r="71" spans="2:6" x14ac:dyDescent="0.25">
      <c r="B71" s="12" t="s">
        <v>13574</v>
      </c>
      <c r="E71" s="27" t="s">
        <v>13575</v>
      </c>
      <c r="F71" s="12">
        <v>2</v>
      </c>
    </row>
    <row r="72" spans="2:6" x14ac:dyDescent="0.25">
      <c r="B72" s="12" t="s">
        <v>13576</v>
      </c>
      <c r="E72" s="27" t="s">
        <v>13577</v>
      </c>
      <c r="F72" s="12">
        <v>2</v>
      </c>
    </row>
    <row r="73" spans="2:6" x14ac:dyDescent="0.25">
      <c r="B73" s="12" t="s">
        <v>13578</v>
      </c>
      <c r="E73" s="27" t="s">
        <v>13579</v>
      </c>
      <c r="F73" s="12">
        <v>2</v>
      </c>
    </row>
    <row r="74" spans="2:6" x14ac:dyDescent="0.25">
      <c r="B74" s="12" t="s">
        <v>13580</v>
      </c>
      <c r="E74" s="27" t="s">
        <v>13581</v>
      </c>
      <c r="F74" s="12">
        <v>2</v>
      </c>
    </row>
    <row r="75" spans="2:6" x14ac:dyDescent="0.25">
      <c r="B75" s="12" t="s">
        <v>13582</v>
      </c>
      <c r="E75" s="27" t="s">
        <v>11297</v>
      </c>
      <c r="F75" s="12">
        <v>2</v>
      </c>
    </row>
    <row r="76" spans="2:6" x14ac:dyDescent="0.25">
      <c r="B76" s="12" t="s">
        <v>13583</v>
      </c>
      <c r="E76" s="27" t="s">
        <v>13584</v>
      </c>
      <c r="F76" s="12">
        <v>2</v>
      </c>
    </row>
    <row r="77" spans="2:6" x14ac:dyDescent="0.25">
      <c r="B77" s="12" t="s">
        <v>13585</v>
      </c>
      <c r="E77" s="27" t="s">
        <v>13467</v>
      </c>
      <c r="F77" s="12">
        <v>2</v>
      </c>
    </row>
    <row r="78" spans="2:6" x14ac:dyDescent="0.25">
      <c r="B78" s="12" t="s">
        <v>13586</v>
      </c>
      <c r="E78" s="27" t="s">
        <v>13587</v>
      </c>
      <c r="F78" s="12">
        <v>2</v>
      </c>
    </row>
    <row r="79" spans="2:6" x14ac:dyDescent="0.25">
      <c r="B79" s="12" t="s">
        <v>13588</v>
      </c>
      <c r="E79" s="27" t="s">
        <v>10644</v>
      </c>
      <c r="F79" s="12">
        <v>2</v>
      </c>
    </row>
    <row r="80" spans="2:6" x14ac:dyDescent="0.25">
      <c r="B80" s="12" t="s">
        <v>13589</v>
      </c>
      <c r="E80" s="27" t="s">
        <v>13590</v>
      </c>
      <c r="F80" s="12">
        <v>2</v>
      </c>
    </row>
    <row r="81" spans="2:6" x14ac:dyDescent="0.25">
      <c r="B81" s="12" t="s">
        <v>13591</v>
      </c>
      <c r="E81" s="27" t="s">
        <v>13529</v>
      </c>
      <c r="F81" s="12">
        <v>2</v>
      </c>
    </row>
    <row r="82" spans="2:6" x14ac:dyDescent="0.25">
      <c r="B82" s="12" t="s">
        <v>13592</v>
      </c>
      <c r="E82" s="27" t="s">
        <v>13593</v>
      </c>
      <c r="F82" s="12">
        <v>2</v>
      </c>
    </row>
    <row r="83" spans="2:6" x14ac:dyDescent="0.25">
      <c r="B83" s="12" t="s">
        <v>13594</v>
      </c>
      <c r="E83" s="27" t="s">
        <v>13595</v>
      </c>
      <c r="F83" s="12">
        <v>2</v>
      </c>
    </row>
    <row r="84" spans="2:6" x14ac:dyDescent="0.25">
      <c r="B84" s="12" t="s">
        <v>13587</v>
      </c>
      <c r="E84" s="27" t="s">
        <v>13596</v>
      </c>
      <c r="F84" s="12">
        <v>2</v>
      </c>
    </row>
    <row r="85" spans="2:6" x14ac:dyDescent="0.25">
      <c r="B85" s="12" t="s">
        <v>13597</v>
      </c>
      <c r="E85" s="27" t="s">
        <v>13598</v>
      </c>
      <c r="F85" s="12">
        <v>1</v>
      </c>
    </row>
    <row r="86" spans="2:6" x14ac:dyDescent="0.25">
      <c r="B86" s="12" t="s">
        <v>13599</v>
      </c>
      <c r="E86" s="27" t="s">
        <v>13600</v>
      </c>
      <c r="F86" s="12">
        <v>1</v>
      </c>
    </row>
    <row r="87" spans="2:6" x14ac:dyDescent="0.25">
      <c r="B87" s="12" t="s">
        <v>13584</v>
      </c>
      <c r="E87" s="27" t="s">
        <v>13601</v>
      </c>
      <c r="F87" s="12">
        <v>1</v>
      </c>
    </row>
    <row r="88" spans="2:6" x14ac:dyDescent="0.25">
      <c r="B88" s="12" t="s">
        <v>13584</v>
      </c>
      <c r="E88" s="27" t="s">
        <v>13602</v>
      </c>
      <c r="F88" s="12">
        <v>1</v>
      </c>
    </row>
    <row r="89" spans="2:6" x14ac:dyDescent="0.25">
      <c r="B89" s="12" t="s">
        <v>13603</v>
      </c>
      <c r="E89" s="27" t="s">
        <v>13604</v>
      </c>
      <c r="F89" s="12">
        <v>1</v>
      </c>
    </row>
    <row r="90" spans="2:6" x14ac:dyDescent="0.25">
      <c r="B90" s="12" t="s">
        <v>13596</v>
      </c>
      <c r="E90" s="27" t="s">
        <v>13605</v>
      </c>
      <c r="F90" s="12">
        <v>1</v>
      </c>
    </row>
    <row r="91" spans="2:6" x14ac:dyDescent="0.25">
      <c r="B91" s="12" t="s">
        <v>13596</v>
      </c>
      <c r="E91" s="27" t="s">
        <v>13606</v>
      </c>
      <c r="F91" s="12">
        <v>1</v>
      </c>
    </row>
    <row r="92" spans="2:6" x14ac:dyDescent="0.25">
      <c r="B92" s="12" t="s">
        <v>13607</v>
      </c>
      <c r="E92" s="27" t="s">
        <v>13608</v>
      </c>
      <c r="F92" s="12">
        <v>1</v>
      </c>
    </row>
    <row r="93" spans="2:6" x14ac:dyDescent="0.25">
      <c r="B93" s="12" t="s">
        <v>13609</v>
      </c>
      <c r="E93" s="27" t="s">
        <v>13610</v>
      </c>
      <c r="F93" s="12">
        <v>1</v>
      </c>
    </row>
    <row r="94" spans="2:6" x14ac:dyDescent="0.25">
      <c r="B94" s="12" t="s">
        <v>13611</v>
      </c>
      <c r="E94" s="27" t="s">
        <v>13612</v>
      </c>
      <c r="F94" s="12">
        <v>1</v>
      </c>
    </row>
    <row r="95" spans="2:6" x14ac:dyDescent="0.25">
      <c r="B95" s="12" t="s">
        <v>13613</v>
      </c>
      <c r="E95" s="27" t="s">
        <v>13614</v>
      </c>
      <c r="F95" s="12">
        <v>1</v>
      </c>
    </row>
    <row r="96" spans="2:6" x14ac:dyDescent="0.25">
      <c r="B96" s="12" t="s">
        <v>13615</v>
      </c>
      <c r="E96" s="27" t="s">
        <v>13616</v>
      </c>
      <c r="F96" s="12">
        <v>1</v>
      </c>
    </row>
    <row r="97" spans="2:6" x14ac:dyDescent="0.25">
      <c r="B97" s="12" t="s">
        <v>13617</v>
      </c>
      <c r="E97" s="27" t="s">
        <v>13618</v>
      </c>
      <c r="F97" s="12">
        <v>1</v>
      </c>
    </row>
    <row r="98" spans="2:6" x14ac:dyDescent="0.25">
      <c r="B98" s="12" t="s">
        <v>13619</v>
      </c>
      <c r="E98" s="27" t="s">
        <v>13620</v>
      </c>
      <c r="F98" s="12">
        <v>1</v>
      </c>
    </row>
    <row r="99" spans="2:6" x14ac:dyDescent="0.25">
      <c r="B99" s="12" t="s">
        <v>13621</v>
      </c>
      <c r="E99" s="27" t="s">
        <v>3605</v>
      </c>
      <c r="F99" s="12">
        <v>1</v>
      </c>
    </row>
    <row r="100" spans="2:6" x14ac:dyDescent="0.25">
      <c r="B100" s="12" t="s">
        <v>13622</v>
      </c>
      <c r="E100" s="27" t="s">
        <v>13623</v>
      </c>
      <c r="F100" s="12">
        <v>1</v>
      </c>
    </row>
    <row r="101" spans="2:6" x14ac:dyDescent="0.25">
      <c r="B101" s="12" t="s">
        <v>13624</v>
      </c>
      <c r="E101" s="27" t="s">
        <v>13625</v>
      </c>
      <c r="F101" s="12">
        <v>1</v>
      </c>
    </row>
    <row r="102" spans="2:6" x14ac:dyDescent="0.25">
      <c r="B102" s="12" t="s">
        <v>13626</v>
      </c>
      <c r="E102" s="27" t="s">
        <v>13627</v>
      </c>
      <c r="F102" s="12">
        <v>1</v>
      </c>
    </row>
    <row r="103" spans="2:6" x14ac:dyDescent="0.25">
      <c r="B103" s="12" t="s">
        <v>13628</v>
      </c>
      <c r="E103" s="27" t="s">
        <v>13629</v>
      </c>
      <c r="F103" s="12">
        <v>1</v>
      </c>
    </row>
    <row r="104" spans="2:6" x14ac:dyDescent="0.25">
      <c r="B104" s="12" t="s">
        <v>13630</v>
      </c>
      <c r="E104" s="27" t="s">
        <v>13631</v>
      </c>
      <c r="F104" s="12">
        <v>1</v>
      </c>
    </row>
    <row r="105" spans="2:6" x14ac:dyDescent="0.25">
      <c r="B105" s="12" t="s">
        <v>13632</v>
      </c>
      <c r="E105" s="27" t="s">
        <v>13633</v>
      </c>
      <c r="F105" s="12">
        <v>1</v>
      </c>
    </row>
    <row r="106" spans="2:6" x14ac:dyDescent="0.25">
      <c r="B106" s="12" t="s">
        <v>13634</v>
      </c>
      <c r="E106" s="27" t="s">
        <v>7880</v>
      </c>
      <c r="F106" s="12">
        <v>1</v>
      </c>
    </row>
    <row r="107" spans="2:6" x14ac:dyDescent="0.25">
      <c r="B107" s="12" t="s">
        <v>13635</v>
      </c>
      <c r="E107" s="27" t="s">
        <v>13636</v>
      </c>
      <c r="F107" s="12">
        <v>1</v>
      </c>
    </row>
    <row r="108" spans="2:6" x14ac:dyDescent="0.25">
      <c r="B108" s="12" t="s">
        <v>13637</v>
      </c>
      <c r="E108" s="27" t="s">
        <v>12127</v>
      </c>
      <c r="F108" s="12">
        <v>1</v>
      </c>
    </row>
    <row r="109" spans="2:6" x14ac:dyDescent="0.25">
      <c r="B109" s="12" t="s">
        <v>13638</v>
      </c>
      <c r="E109" s="27" t="s">
        <v>13639</v>
      </c>
      <c r="F109" s="12">
        <v>1</v>
      </c>
    </row>
    <row r="110" spans="2:6" x14ac:dyDescent="0.25">
      <c r="B110" s="12" t="s">
        <v>13640</v>
      </c>
      <c r="E110" s="27" t="s">
        <v>13641</v>
      </c>
      <c r="F110" s="12">
        <v>1</v>
      </c>
    </row>
    <row r="111" spans="2:6" x14ac:dyDescent="0.25">
      <c r="B111" s="12" t="s">
        <v>13642</v>
      </c>
      <c r="E111" s="27" t="s">
        <v>13643</v>
      </c>
      <c r="F111" s="12">
        <v>1</v>
      </c>
    </row>
    <row r="112" spans="2:6" x14ac:dyDescent="0.25">
      <c r="B112" s="12" t="s">
        <v>13644</v>
      </c>
      <c r="E112" s="27" t="s">
        <v>13645</v>
      </c>
      <c r="F112" s="12">
        <v>1</v>
      </c>
    </row>
    <row r="113" spans="2:6" x14ac:dyDescent="0.25">
      <c r="B113" s="12" t="s">
        <v>13646</v>
      </c>
      <c r="E113" s="27" t="s">
        <v>13647</v>
      </c>
      <c r="F113" s="12">
        <v>1</v>
      </c>
    </row>
    <row r="114" spans="2:6" x14ac:dyDescent="0.25">
      <c r="B114" s="12" t="s">
        <v>13648</v>
      </c>
      <c r="E114" s="27" t="s">
        <v>13649</v>
      </c>
      <c r="F114" s="12">
        <v>1</v>
      </c>
    </row>
    <row r="115" spans="2:6" x14ac:dyDescent="0.25">
      <c r="B115" s="12" t="s">
        <v>13650</v>
      </c>
      <c r="E115" s="27" t="s">
        <v>13651</v>
      </c>
      <c r="F115" s="12">
        <v>1</v>
      </c>
    </row>
    <row r="116" spans="2:6" x14ac:dyDescent="0.25">
      <c r="B116" s="12" t="s">
        <v>13652</v>
      </c>
      <c r="E116" s="27" t="s">
        <v>11827</v>
      </c>
      <c r="F116" s="12">
        <v>1</v>
      </c>
    </row>
    <row r="117" spans="2:6" x14ac:dyDescent="0.25">
      <c r="B117" s="12" t="s">
        <v>13653</v>
      </c>
      <c r="E117" s="27" t="s">
        <v>13654</v>
      </c>
      <c r="F117" s="12">
        <v>1</v>
      </c>
    </row>
    <row r="118" spans="2:6" x14ac:dyDescent="0.25">
      <c r="B118" s="12" t="s">
        <v>13655</v>
      </c>
      <c r="E118" s="27" t="s">
        <v>13656</v>
      </c>
      <c r="F118" s="12">
        <v>1</v>
      </c>
    </row>
    <row r="119" spans="2:6" x14ac:dyDescent="0.25">
      <c r="B119" s="12" t="s">
        <v>13657</v>
      </c>
      <c r="E119" s="27" t="s">
        <v>13658</v>
      </c>
      <c r="F119" s="12">
        <v>1</v>
      </c>
    </row>
    <row r="120" spans="2:6" x14ac:dyDescent="0.25">
      <c r="B120" s="12" t="s">
        <v>13659</v>
      </c>
      <c r="E120" s="27" t="s">
        <v>13660</v>
      </c>
      <c r="F120" s="12">
        <v>1</v>
      </c>
    </row>
    <row r="121" spans="2:6" x14ac:dyDescent="0.25">
      <c r="B121" s="12" t="s">
        <v>13661</v>
      </c>
      <c r="E121" s="27" t="s">
        <v>13662</v>
      </c>
      <c r="F121" s="12">
        <v>1</v>
      </c>
    </row>
    <row r="122" spans="2:6" x14ac:dyDescent="0.25">
      <c r="B122" s="12" t="s">
        <v>13663</v>
      </c>
      <c r="E122" s="27" t="s">
        <v>13664</v>
      </c>
      <c r="F122" s="12">
        <v>1</v>
      </c>
    </row>
    <row r="123" spans="2:6" x14ac:dyDescent="0.25">
      <c r="B123" s="12" t="s">
        <v>13665</v>
      </c>
      <c r="E123" s="27" t="s">
        <v>13666</v>
      </c>
      <c r="F123" s="12">
        <v>1</v>
      </c>
    </row>
    <row r="124" spans="2:6" x14ac:dyDescent="0.25">
      <c r="B124" s="12" t="s">
        <v>13667</v>
      </c>
      <c r="E124" s="27" t="s">
        <v>13668</v>
      </c>
      <c r="F124" s="12">
        <v>1</v>
      </c>
    </row>
    <row r="125" spans="2:6" x14ac:dyDescent="0.25">
      <c r="B125" s="12" t="s">
        <v>13669</v>
      </c>
      <c r="E125" s="27" t="s">
        <v>13670</v>
      </c>
      <c r="F125" s="12">
        <v>1</v>
      </c>
    </row>
    <row r="126" spans="2:6" x14ac:dyDescent="0.25">
      <c r="B126" s="12" t="s">
        <v>13671</v>
      </c>
      <c r="E126" s="27" t="s">
        <v>13672</v>
      </c>
      <c r="F126" s="12">
        <v>1</v>
      </c>
    </row>
    <row r="127" spans="2:6" x14ac:dyDescent="0.25">
      <c r="B127" s="12" t="s">
        <v>13673</v>
      </c>
      <c r="E127" s="27" t="s">
        <v>13674</v>
      </c>
      <c r="F127" s="12">
        <v>1</v>
      </c>
    </row>
    <row r="128" spans="2:6" x14ac:dyDescent="0.25">
      <c r="B128" s="12" t="s">
        <v>13675</v>
      </c>
      <c r="E128" s="27" t="s">
        <v>13676</v>
      </c>
      <c r="F128" s="12">
        <v>1</v>
      </c>
    </row>
    <row r="129" spans="2:6" x14ac:dyDescent="0.25">
      <c r="B129" s="12" t="s">
        <v>13677</v>
      </c>
      <c r="E129" s="27" t="s">
        <v>8685</v>
      </c>
      <c r="F129" s="12">
        <v>1</v>
      </c>
    </row>
    <row r="130" spans="2:6" x14ac:dyDescent="0.25">
      <c r="B130" s="12" t="s">
        <v>13678</v>
      </c>
      <c r="E130" s="27" t="s">
        <v>13679</v>
      </c>
      <c r="F130" s="12">
        <v>1</v>
      </c>
    </row>
    <row r="131" spans="2:6" x14ac:dyDescent="0.25">
      <c r="B131" s="12" t="s">
        <v>13680</v>
      </c>
      <c r="E131" s="27" t="s">
        <v>13681</v>
      </c>
      <c r="F131" s="12">
        <v>1</v>
      </c>
    </row>
    <row r="132" spans="2:6" x14ac:dyDescent="0.25">
      <c r="B132" s="12" t="s">
        <v>13682</v>
      </c>
      <c r="E132" s="27" t="s">
        <v>13683</v>
      </c>
      <c r="F132" s="12">
        <v>1</v>
      </c>
    </row>
    <row r="133" spans="2:6" x14ac:dyDescent="0.25">
      <c r="B133" s="12" t="s">
        <v>13684</v>
      </c>
      <c r="E133" s="27" t="s">
        <v>13685</v>
      </c>
      <c r="F133" s="12">
        <v>1</v>
      </c>
    </row>
    <row r="134" spans="2:6" x14ac:dyDescent="0.25">
      <c r="B134" s="12" t="s">
        <v>13686</v>
      </c>
      <c r="E134" s="27" t="s">
        <v>13687</v>
      </c>
      <c r="F134" s="12">
        <v>1</v>
      </c>
    </row>
    <row r="135" spans="2:6" x14ac:dyDescent="0.25">
      <c r="B135" s="12" t="s">
        <v>13688</v>
      </c>
      <c r="E135" s="27" t="s">
        <v>3158</v>
      </c>
      <c r="F135" s="12">
        <v>1</v>
      </c>
    </row>
    <row r="136" spans="2:6" x14ac:dyDescent="0.25">
      <c r="B136" s="12" t="s">
        <v>13689</v>
      </c>
      <c r="E136" s="27" t="s">
        <v>13690</v>
      </c>
      <c r="F136" s="12">
        <v>1</v>
      </c>
    </row>
    <row r="137" spans="2:6" x14ac:dyDescent="0.25">
      <c r="B137" s="12" t="s">
        <v>13691</v>
      </c>
      <c r="E137" s="27" t="s">
        <v>13692</v>
      </c>
      <c r="F137" s="12">
        <v>1</v>
      </c>
    </row>
    <row r="138" spans="2:6" x14ac:dyDescent="0.25">
      <c r="B138" s="12" t="s">
        <v>13693</v>
      </c>
      <c r="E138" s="27" t="s">
        <v>13694</v>
      </c>
      <c r="F138" s="12">
        <v>1</v>
      </c>
    </row>
    <row r="139" spans="2:6" x14ac:dyDescent="0.25">
      <c r="B139" s="12" t="s">
        <v>13695</v>
      </c>
      <c r="E139" s="27" t="s">
        <v>13696</v>
      </c>
      <c r="F139" s="12">
        <v>1</v>
      </c>
    </row>
    <row r="140" spans="2:6" x14ac:dyDescent="0.25">
      <c r="B140" s="12" t="s">
        <v>13697</v>
      </c>
      <c r="E140" s="27" t="s">
        <v>11985</v>
      </c>
      <c r="F140" s="12">
        <v>1</v>
      </c>
    </row>
    <row r="141" spans="2:6" x14ac:dyDescent="0.25">
      <c r="B141" s="12" t="s">
        <v>13698</v>
      </c>
      <c r="E141" s="27" t="s">
        <v>13699</v>
      </c>
      <c r="F141" s="12">
        <v>1</v>
      </c>
    </row>
    <row r="142" spans="2:6" x14ac:dyDescent="0.25">
      <c r="B142" s="12" t="s">
        <v>13700</v>
      </c>
      <c r="E142" s="27" t="s">
        <v>7408</v>
      </c>
      <c r="F142" s="12">
        <v>1</v>
      </c>
    </row>
    <row r="143" spans="2:6" x14ac:dyDescent="0.25">
      <c r="B143" s="12" t="s">
        <v>13701</v>
      </c>
      <c r="E143" s="27" t="s">
        <v>13702</v>
      </c>
      <c r="F143" s="12">
        <v>1</v>
      </c>
    </row>
    <row r="144" spans="2:6" x14ac:dyDescent="0.25">
      <c r="B144" s="12" t="s">
        <v>13703</v>
      </c>
      <c r="E144" s="27" t="s">
        <v>13704</v>
      </c>
      <c r="F144" s="12">
        <v>1</v>
      </c>
    </row>
    <row r="145" spans="2:6" x14ac:dyDescent="0.25">
      <c r="B145" s="12" t="s">
        <v>13705</v>
      </c>
      <c r="E145" s="27" t="s">
        <v>13706</v>
      </c>
      <c r="F145" s="12">
        <v>1</v>
      </c>
    </row>
    <row r="146" spans="2:6" x14ac:dyDescent="0.25">
      <c r="B146" s="12" t="s">
        <v>13707</v>
      </c>
      <c r="E146" s="27" t="s">
        <v>10307</v>
      </c>
      <c r="F146" s="12">
        <v>1</v>
      </c>
    </row>
    <row r="147" spans="2:6" x14ac:dyDescent="0.25">
      <c r="B147" s="12" t="s">
        <v>13708</v>
      </c>
      <c r="E147" s="27" t="s">
        <v>13709</v>
      </c>
      <c r="F147" s="12">
        <v>1</v>
      </c>
    </row>
    <row r="148" spans="2:6" x14ac:dyDescent="0.25">
      <c r="B148" s="12" t="s">
        <v>13710</v>
      </c>
      <c r="E148" s="27" t="s">
        <v>13711</v>
      </c>
      <c r="F148" s="12">
        <v>1</v>
      </c>
    </row>
    <row r="149" spans="2:6" x14ac:dyDescent="0.25">
      <c r="B149" s="12" t="s">
        <v>13712</v>
      </c>
      <c r="E149" s="27" t="s">
        <v>13713</v>
      </c>
      <c r="F149" s="12">
        <v>1</v>
      </c>
    </row>
    <row r="150" spans="2:6" x14ac:dyDescent="0.25">
      <c r="B150" s="12" t="s">
        <v>13714</v>
      </c>
      <c r="E150" s="27" t="s">
        <v>13715</v>
      </c>
      <c r="F150" s="12">
        <v>1</v>
      </c>
    </row>
    <row r="151" spans="2:6" x14ac:dyDescent="0.25">
      <c r="B151" s="12" t="s">
        <v>13716</v>
      </c>
      <c r="E151" s="27" t="s">
        <v>13717</v>
      </c>
      <c r="F151" s="12">
        <v>1</v>
      </c>
    </row>
    <row r="152" spans="2:6" x14ac:dyDescent="0.25">
      <c r="B152" s="12" t="s">
        <v>13718</v>
      </c>
      <c r="E152" s="27" t="s">
        <v>13719</v>
      </c>
      <c r="F152" s="12">
        <v>1</v>
      </c>
    </row>
    <row r="153" spans="2:6" x14ac:dyDescent="0.25">
      <c r="B153" s="12" t="s">
        <v>13720</v>
      </c>
      <c r="E153" s="27" t="s">
        <v>13721</v>
      </c>
      <c r="F153" s="12">
        <v>1</v>
      </c>
    </row>
    <row r="154" spans="2:6" x14ac:dyDescent="0.25">
      <c r="B154" s="12" t="s">
        <v>13722</v>
      </c>
      <c r="E154" s="27" t="s">
        <v>10606</v>
      </c>
      <c r="F154" s="12">
        <v>1</v>
      </c>
    </row>
    <row r="155" spans="2:6" x14ac:dyDescent="0.25">
      <c r="B155" s="12" t="s">
        <v>13723</v>
      </c>
      <c r="E155" s="27" t="s">
        <v>13724</v>
      </c>
      <c r="F155" s="12">
        <v>1</v>
      </c>
    </row>
    <row r="156" spans="2:6" x14ac:dyDescent="0.25">
      <c r="B156" s="12" t="s">
        <v>13725</v>
      </c>
      <c r="E156" s="27" t="s">
        <v>9974</v>
      </c>
      <c r="F156" s="12">
        <v>1</v>
      </c>
    </row>
    <row r="157" spans="2:6" x14ac:dyDescent="0.25">
      <c r="B157" s="12" t="s">
        <v>13726</v>
      </c>
      <c r="E157" s="27" t="s">
        <v>13727</v>
      </c>
      <c r="F157" s="12">
        <v>1</v>
      </c>
    </row>
    <row r="158" spans="2:6" x14ac:dyDescent="0.25">
      <c r="B158" s="12" t="s">
        <v>13728</v>
      </c>
      <c r="E158" s="27" t="s">
        <v>13729</v>
      </c>
      <c r="F158" s="12">
        <v>1</v>
      </c>
    </row>
    <row r="159" spans="2:6" x14ac:dyDescent="0.25">
      <c r="B159" s="12" t="s">
        <v>13730</v>
      </c>
      <c r="E159" s="27" t="s">
        <v>13731</v>
      </c>
      <c r="F159" s="12">
        <v>1</v>
      </c>
    </row>
    <row r="160" spans="2:6" x14ac:dyDescent="0.25">
      <c r="B160" s="12" t="s">
        <v>13732</v>
      </c>
      <c r="E160" s="27" t="s">
        <v>13733</v>
      </c>
      <c r="F160" s="12">
        <v>1</v>
      </c>
    </row>
    <row r="161" spans="2:6" x14ac:dyDescent="0.25">
      <c r="B161" s="12" t="s">
        <v>13734</v>
      </c>
      <c r="E161" s="27" t="s">
        <v>10351</v>
      </c>
      <c r="F161" s="12">
        <v>1</v>
      </c>
    </row>
    <row r="162" spans="2:6" x14ac:dyDescent="0.25">
      <c r="B162" s="12" t="s">
        <v>13735</v>
      </c>
      <c r="E162" s="27" t="s">
        <v>13736</v>
      </c>
      <c r="F162" s="12">
        <v>1</v>
      </c>
    </row>
    <row r="163" spans="2:6" x14ac:dyDescent="0.25">
      <c r="B163" s="12" t="s">
        <v>13737</v>
      </c>
      <c r="E163" s="27" t="s">
        <v>13738</v>
      </c>
      <c r="F163" s="12">
        <v>1</v>
      </c>
    </row>
    <row r="164" spans="2:6" x14ac:dyDescent="0.25">
      <c r="B164" s="12" t="s">
        <v>13739</v>
      </c>
      <c r="E164" s="27" t="s">
        <v>13740</v>
      </c>
      <c r="F164" s="12">
        <v>1</v>
      </c>
    </row>
    <row r="165" spans="2:6" x14ac:dyDescent="0.25">
      <c r="B165" s="12" t="s">
        <v>13741</v>
      </c>
      <c r="E165" s="27" t="s">
        <v>13742</v>
      </c>
      <c r="F165" s="12">
        <v>1</v>
      </c>
    </row>
    <row r="166" spans="2:6" x14ac:dyDescent="0.25">
      <c r="B166" s="12" t="s">
        <v>13743</v>
      </c>
      <c r="E166" s="27" t="s">
        <v>13744</v>
      </c>
      <c r="F166" s="12">
        <v>1</v>
      </c>
    </row>
    <row r="167" spans="2:6" x14ac:dyDescent="0.25">
      <c r="B167" s="12" t="s">
        <v>13745</v>
      </c>
      <c r="E167" s="27" t="s">
        <v>13746</v>
      </c>
      <c r="F167" s="12">
        <v>1</v>
      </c>
    </row>
    <row r="168" spans="2:6" x14ac:dyDescent="0.25">
      <c r="B168" s="12" t="s">
        <v>13747</v>
      </c>
      <c r="E168" s="27" t="s">
        <v>13748</v>
      </c>
      <c r="F168" s="12">
        <v>1</v>
      </c>
    </row>
    <row r="169" spans="2:6" x14ac:dyDescent="0.25">
      <c r="B169" s="12" t="s">
        <v>13749</v>
      </c>
      <c r="E169" s="27" t="s">
        <v>13750</v>
      </c>
      <c r="F169" s="12">
        <v>1</v>
      </c>
    </row>
    <row r="170" spans="2:6" x14ac:dyDescent="0.25">
      <c r="B170" s="12" t="s">
        <v>13751</v>
      </c>
      <c r="E170" s="27" t="s">
        <v>13752</v>
      </c>
      <c r="F170" s="12">
        <v>1</v>
      </c>
    </row>
    <row r="171" spans="2:6" x14ac:dyDescent="0.25">
      <c r="B171" s="12" t="s">
        <v>13753</v>
      </c>
      <c r="E171" s="27" t="s">
        <v>13754</v>
      </c>
      <c r="F171" s="12">
        <v>1</v>
      </c>
    </row>
    <row r="172" spans="2:6" x14ac:dyDescent="0.25">
      <c r="B172" s="12" t="s">
        <v>13755</v>
      </c>
      <c r="E172" s="27" t="s">
        <v>12264</v>
      </c>
      <c r="F172" s="12">
        <v>1</v>
      </c>
    </row>
    <row r="173" spans="2:6" x14ac:dyDescent="0.25">
      <c r="B173" s="12" t="s">
        <v>13756</v>
      </c>
      <c r="E173" s="27" t="s">
        <v>13757</v>
      </c>
      <c r="F173" s="12">
        <v>1</v>
      </c>
    </row>
    <row r="174" spans="2:6" x14ac:dyDescent="0.25">
      <c r="B174" s="12" t="s">
        <v>13593</v>
      </c>
      <c r="E174" s="27" t="s">
        <v>13758</v>
      </c>
      <c r="F174" s="12">
        <v>1</v>
      </c>
    </row>
    <row r="175" spans="2:6" x14ac:dyDescent="0.25">
      <c r="B175" s="12" t="s">
        <v>13593</v>
      </c>
      <c r="E175" s="27" t="s">
        <v>13759</v>
      </c>
      <c r="F175" s="12">
        <v>1</v>
      </c>
    </row>
    <row r="176" spans="2:6" x14ac:dyDescent="0.25">
      <c r="B176" s="12" t="s">
        <v>13760</v>
      </c>
      <c r="E176" s="27" t="s">
        <v>13761</v>
      </c>
      <c r="F176" s="12">
        <v>1</v>
      </c>
    </row>
    <row r="177" spans="2:6" x14ac:dyDescent="0.25">
      <c r="B177" s="12" t="s">
        <v>13762</v>
      </c>
      <c r="E177" s="27" t="s">
        <v>13763</v>
      </c>
      <c r="F177" s="12">
        <v>1</v>
      </c>
    </row>
    <row r="178" spans="2:6" x14ac:dyDescent="0.25">
      <c r="B178" s="12" t="s">
        <v>13764</v>
      </c>
      <c r="E178" s="27" t="s">
        <v>13765</v>
      </c>
      <c r="F178" s="12">
        <v>1</v>
      </c>
    </row>
    <row r="179" spans="2:6" x14ac:dyDescent="0.25">
      <c r="B179" s="12" t="s">
        <v>13766</v>
      </c>
      <c r="E179" s="27" t="s">
        <v>13767</v>
      </c>
      <c r="F179" s="12">
        <v>1</v>
      </c>
    </row>
    <row r="180" spans="2:6" x14ac:dyDescent="0.25">
      <c r="B180" s="12" t="s">
        <v>13768</v>
      </c>
      <c r="E180" s="27" t="s">
        <v>13769</v>
      </c>
      <c r="F180" s="12">
        <v>1</v>
      </c>
    </row>
    <row r="181" spans="2:6" x14ac:dyDescent="0.25">
      <c r="B181" s="12" t="s">
        <v>13770</v>
      </c>
      <c r="E181" s="27" t="s">
        <v>13771</v>
      </c>
      <c r="F181" s="12">
        <v>1</v>
      </c>
    </row>
    <row r="182" spans="2:6" x14ac:dyDescent="0.25">
      <c r="B182" s="12" t="s">
        <v>13772</v>
      </c>
      <c r="E182" s="27" t="s">
        <v>13773</v>
      </c>
      <c r="F182" s="12">
        <v>1</v>
      </c>
    </row>
    <row r="183" spans="2:6" x14ac:dyDescent="0.25">
      <c r="B183" s="12" t="s">
        <v>13774</v>
      </c>
      <c r="E183" s="27" t="s">
        <v>13775</v>
      </c>
      <c r="F183" s="12">
        <v>1</v>
      </c>
    </row>
    <row r="184" spans="2:6" x14ac:dyDescent="0.25">
      <c r="B184" s="12" t="s">
        <v>13776</v>
      </c>
      <c r="E184" s="27" t="s">
        <v>13777</v>
      </c>
      <c r="F184" s="12">
        <v>1</v>
      </c>
    </row>
    <row r="185" spans="2:6" x14ac:dyDescent="0.25">
      <c r="B185" s="12" t="s">
        <v>13778</v>
      </c>
      <c r="E185" s="27" t="s">
        <v>13779</v>
      </c>
      <c r="F185" s="12">
        <v>1</v>
      </c>
    </row>
    <row r="186" spans="2:6" x14ac:dyDescent="0.25">
      <c r="B186" s="12" t="s">
        <v>13590</v>
      </c>
      <c r="E186" s="27" t="s">
        <v>2035</v>
      </c>
      <c r="F186" s="12">
        <v>1</v>
      </c>
    </row>
    <row r="187" spans="2:6" x14ac:dyDescent="0.25">
      <c r="B187" s="12" t="s">
        <v>13590</v>
      </c>
      <c r="E187" s="27" t="s">
        <v>13780</v>
      </c>
      <c r="F187" s="12">
        <v>1</v>
      </c>
    </row>
    <row r="188" spans="2:6" x14ac:dyDescent="0.25">
      <c r="B188" s="12" t="s">
        <v>13781</v>
      </c>
      <c r="E188" s="27" t="s">
        <v>13782</v>
      </c>
      <c r="F188" s="12">
        <v>1</v>
      </c>
    </row>
    <row r="189" spans="2:6" x14ac:dyDescent="0.25">
      <c r="B189" s="12" t="s">
        <v>13783</v>
      </c>
      <c r="E189" s="27" t="s">
        <v>13784</v>
      </c>
      <c r="F189" s="12">
        <v>1</v>
      </c>
    </row>
    <row r="190" spans="2:6" x14ac:dyDescent="0.25">
      <c r="B190" s="12" t="s">
        <v>13785</v>
      </c>
      <c r="E190" s="27" t="s">
        <v>13786</v>
      </c>
      <c r="F190" s="12">
        <v>1</v>
      </c>
    </row>
    <row r="191" spans="2:6" x14ac:dyDescent="0.25">
      <c r="B191" s="12" t="s">
        <v>13787</v>
      </c>
      <c r="E191" s="27" t="s">
        <v>13788</v>
      </c>
      <c r="F191" s="12">
        <v>1</v>
      </c>
    </row>
    <row r="192" spans="2:6" x14ac:dyDescent="0.25">
      <c r="B192" s="12" t="s">
        <v>13789</v>
      </c>
      <c r="E192" s="27" t="s">
        <v>13790</v>
      </c>
      <c r="F192" s="12">
        <v>1</v>
      </c>
    </row>
    <row r="193" spans="2:6" x14ac:dyDescent="0.25">
      <c r="B193" s="12" t="s">
        <v>13791</v>
      </c>
      <c r="E193" s="27" t="s">
        <v>13792</v>
      </c>
      <c r="F193" s="12">
        <v>1</v>
      </c>
    </row>
    <row r="194" spans="2:6" x14ac:dyDescent="0.25">
      <c r="B194" s="12" t="s">
        <v>13793</v>
      </c>
      <c r="E194" s="27" t="s">
        <v>13794</v>
      </c>
      <c r="F194" s="12">
        <v>1</v>
      </c>
    </row>
    <row r="195" spans="2:6" x14ac:dyDescent="0.25">
      <c r="B195" s="12" t="s">
        <v>13795</v>
      </c>
      <c r="E195" s="27" t="s">
        <v>13796</v>
      </c>
      <c r="F195" s="12">
        <v>1</v>
      </c>
    </row>
    <row r="196" spans="2:6" x14ac:dyDescent="0.25">
      <c r="B196" s="12" t="s">
        <v>13797</v>
      </c>
      <c r="E196" s="27" t="s">
        <v>13798</v>
      </c>
      <c r="F196" s="12">
        <v>1</v>
      </c>
    </row>
    <row r="197" spans="2:6" x14ac:dyDescent="0.25">
      <c r="B197" s="12" t="s">
        <v>13799</v>
      </c>
      <c r="E197" s="27" t="s">
        <v>13800</v>
      </c>
      <c r="F197" s="12">
        <v>1</v>
      </c>
    </row>
    <row r="198" spans="2:6" x14ac:dyDescent="0.25">
      <c r="B198" s="12" t="s">
        <v>13801</v>
      </c>
      <c r="E198" s="27" t="s">
        <v>13802</v>
      </c>
      <c r="F198" s="12">
        <v>1</v>
      </c>
    </row>
    <row r="199" spans="2:6" x14ac:dyDescent="0.25">
      <c r="B199" s="12" t="s">
        <v>13803</v>
      </c>
      <c r="E199" s="27" t="s">
        <v>13804</v>
      </c>
      <c r="F199" s="12">
        <v>1</v>
      </c>
    </row>
    <row r="200" spans="2:6" x14ac:dyDescent="0.25">
      <c r="B200" s="12" t="s">
        <v>13805</v>
      </c>
      <c r="E200" s="27" t="s">
        <v>13806</v>
      </c>
      <c r="F200" s="12">
        <v>1</v>
      </c>
    </row>
    <row r="201" spans="2:6" x14ac:dyDescent="0.25">
      <c r="B201" s="12" t="s">
        <v>13807</v>
      </c>
      <c r="E201" s="27" t="s">
        <v>13808</v>
      </c>
      <c r="F201" s="12">
        <v>1</v>
      </c>
    </row>
    <row r="202" spans="2:6" x14ac:dyDescent="0.25">
      <c r="B202" s="12" t="s">
        <v>13809</v>
      </c>
      <c r="E202" s="27" t="s">
        <v>13810</v>
      </c>
      <c r="F202" s="12">
        <v>1</v>
      </c>
    </row>
    <row r="203" spans="2:6" x14ac:dyDescent="0.25">
      <c r="B203" s="12" t="s">
        <v>13811</v>
      </c>
      <c r="E203" s="27" t="s">
        <v>13812</v>
      </c>
      <c r="F203" s="12">
        <v>1</v>
      </c>
    </row>
    <row r="204" spans="2:6" x14ac:dyDescent="0.25">
      <c r="B204" s="12" t="s">
        <v>13813</v>
      </c>
      <c r="E204" s="27" t="s">
        <v>13814</v>
      </c>
      <c r="F204" s="12">
        <v>1</v>
      </c>
    </row>
    <row r="205" spans="2:6" x14ac:dyDescent="0.25">
      <c r="B205" s="12" t="s">
        <v>13815</v>
      </c>
      <c r="E205" s="27" t="s">
        <v>13816</v>
      </c>
      <c r="F205" s="12">
        <v>1</v>
      </c>
    </row>
    <row r="206" spans="2:6" x14ac:dyDescent="0.25">
      <c r="B206" s="12" t="s">
        <v>13817</v>
      </c>
      <c r="E206" s="27" t="s">
        <v>13818</v>
      </c>
      <c r="F206" s="12">
        <v>1</v>
      </c>
    </row>
    <row r="207" spans="2:6" x14ac:dyDescent="0.25">
      <c r="B207" s="12" t="s">
        <v>13819</v>
      </c>
      <c r="E207" s="27" t="s">
        <v>13820</v>
      </c>
      <c r="F207" s="12">
        <v>1</v>
      </c>
    </row>
    <row r="208" spans="2:6" x14ac:dyDescent="0.25">
      <c r="B208" s="12" t="s">
        <v>13821</v>
      </c>
      <c r="E208" s="27" t="s">
        <v>13822</v>
      </c>
      <c r="F208" s="12">
        <v>1</v>
      </c>
    </row>
    <row r="209" spans="2:6" x14ac:dyDescent="0.25">
      <c r="B209" s="12" t="s">
        <v>13823</v>
      </c>
      <c r="E209" s="27" t="s">
        <v>13824</v>
      </c>
      <c r="F209" s="12">
        <v>1</v>
      </c>
    </row>
    <row r="210" spans="2:6" x14ac:dyDescent="0.25">
      <c r="B210" s="12" t="s">
        <v>13825</v>
      </c>
      <c r="E210" s="27" t="s">
        <v>13826</v>
      </c>
      <c r="F210" s="12">
        <v>1</v>
      </c>
    </row>
    <row r="211" spans="2:6" x14ac:dyDescent="0.25">
      <c r="B211" s="12" t="s">
        <v>13827</v>
      </c>
      <c r="E211" s="27" t="s">
        <v>13828</v>
      </c>
      <c r="F211" s="12">
        <v>1</v>
      </c>
    </row>
    <row r="212" spans="2:6" x14ac:dyDescent="0.25">
      <c r="B212" s="12" t="s">
        <v>13829</v>
      </c>
      <c r="E212" s="27" t="s">
        <v>13830</v>
      </c>
      <c r="F212" s="12">
        <v>1</v>
      </c>
    </row>
    <row r="213" spans="2:6" x14ac:dyDescent="0.25">
      <c r="B213" s="12" t="s">
        <v>13831</v>
      </c>
      <c r="E213" s="27" t="s">
        <v>13832</v>
      </c>
      <c r="F213" s="12">
        <v>1</v>
      </c>
    </row>
    <row r="214" spans="2:6" x14ac:dyDescent="0.25">
      <c r="B214" s="12" t="s">
        <v>13833</v>
      </c>
      <c r="E214" s="27" t="s">
        <v>13834</v>
      </c>
      <c r="F214" s="12">
        <v>1</v>
      </c>
    </row>
    <row r="215" spans="2:6" x14ac:dyDescent="0.25">
      <c r="B215" s="12" t="s">
        <v>13835</v>
      </c>
      <c r="E215" s="27" t="s">
        <v>13836</v>
      </c>
      <c r="F215" s="12">
        <v>1</v>
      </c>
    </row>
    <row r="216" spans="2:6" x14ac:dyDescent="0.25">
      <c r="B216" s="12" t="s">
        <v>13837</v>
      </c>
      <c r="E216" s="27" t="s">
        <v>13838</v>
      </c>
      <c r="F216" s="12">
        <v>1</v>
      </c>
    </row>
    <row r="217" spans="2:6" x14ac:dyDescent="0.25">
      <c r="B217" s="12" t="s">
        <v>13839</v>
      </c>
      <c r="E217" s="27" t="s">
        <v>13840</v>
      </c>
      <c r="F217" s="12">
        <v>1</v>
      </c>
    </row>
    <row r="218" spans="2:6" x14ac:dyDescent="0.25">
      <c r="B218" s="12" t="s">
        <v>13841</v>
      </c>
      <c r="E218" s="27" t="s">
        <v>13842</v>
      </c>
      <c r="F218" s="12">
        <v>1</v>
      </c>
    </row>
    <row r="219" spans="2:6" x14ac:dyDescent="0.25">
      <c r="B219" s="12" t="s">
        <v>13843</v>
      </c>
      <c r="E219" s="27" t="s">
        <v>13844</v>
      </c>
      <c r="F219" s="12">
        <v>1</v>
      </c>
    </row>
    <row r="220" spans="2:6" x14ac:dyDescent="0.25">
      <c r="B220" s="12" t="s">
        <v>13845</v>
      </c>
      <c r="E220" s="27" t="s">
        <v>13846</v>
      </c>
      <c r="F220" s="12">
        <v>1</v>
      </c>
    </row>
    <row r="221" spans="2:6" x14ac:dyDescent="0.25">
      <c r="B221" s="12" t="s">
        <v>13847</v>
      </c>
      <c r="E221" s="27" t="s">
        <v>13848</v>
      </c>
      <c r="F221" s="12">
        <v>1</v>
      </c>
    </row>
    <row r="222" spans="2:6" x14ac:dyDescent="0.25">
      <c r="B222" s="12" t="s">
        <v>13849</v>
      </c>
      <c r="E222" s="27" t="s">
        <v>13850</v>
      </c>
      <c r="F222" s="12">
        <v>1</v>
      </c>
    </row>
    <row r="223" spans="2:6" x14ac:dyDescent="0.25">
      <c r="B223" s="12" t="s">
        <v>13851</v>
      </c>
      <c r="E223" s="27" t="s">
        <v>13852</v>
      </c>
      <c r="F223" s="12">
        <v>1</v>
      </c>
    </row>
    <row r="224" spans="2:6" x14ac:dyDescent="0.25">
      <c r="B224" s="12" t="s">
        <v>13853</v>
      </c>
      <c r="E224" s="27" t="s">
        <v>13854</v>
      </c>
      <c r="F224" s="12">
        <v>1</v>
      </c>
    </row>
    <row r="225" spans="2:6" x14ac:dyDescent="0.25">
      <c r="B225" s="12" t="s">
        <v>13855</v>
      </c>
      <c r="E225" s="27" t="s">
        <v>13856</v>
      </c>
      <c r="F225" s="12">
        <v>1</v>
      </c>
    </row>
    <row r="226" spans="2:6" x14ac:dyDescent="0.25">
      <c r="B226" s="12" t="s">
        <v>13857</v>
      </c>
      <c r="E226" s="27" t="s">
        <v>13858</v>
      </c>
      <c r="F226" s="12">
        <v>1</v>
      </c>
    </row>
    <row r="227" spans="2:6" x14ac:dyDescent="0.25">
      <c r="B227" s="12" t="s">
        <v>13859</v>
      </c>
      <c r="E227" s="27" t="s">
        <v>13860</v>
      </c>
      <c r="F227" s="12">
        <v>1</v>
      </c>
    </row>
    <row r="228" spans="2:6" x14ac:dyDescent="0.25">
      <c r="B228" s="12" t="s">
        <v>13861</v>
      </c>
      <c r="E228" s="27" t="s">
        <v>13862</v>
      </c>
      <c r="F228" s="12">
        <v>1</v>
      </c>
    </row>
    <row r="229" spans="2:6" x14ac:dyDescent="0.25">
      <c r="B229" s="12" t="s">
        <v>13863</v>
      </c>
      <c r="E229" s="27" t="s">
        <v>13864</v>
      </c>
      <c r="F229" s="12">
        <v>1</v>
      </c>
    </row>
    <row r="230" spans="2:6" x14ac:dyDescent="0.25">
      <c r="B230" s="12" t="s">
        <v>13865</v>
      </c>
      <c r="E230" s="27" t="s">
        <v>13866</v>
      </c>
      <c r="F230" s="12">
        <v>1</v>
      </c>
    </row>
    <row r="231" spans="2:6" x14ac:dyDescent="0.25">
      <c r="B231" s="12" t="s">
        <v>13867</v>
      </c>
      <c r="E231" s="27" t="s">
        <v>13868</v>
      </c>
      <c r="F231" s="12">
        <v>1</v>
      </c>
    </row>
    <row r="232" spans="2:6" x14ac:dyDescent="0.25">
      <c r="B232" s="12" t="s">
        <v>13869</v>
      </c>
      <c r="E232" s="27" t="s">
        <v>13870</v>
      </c>
      <c r="F232" s="12">
        <v>1</v>
      </c>
    </row>
    <row r="233" spans="2:6" x14ac:dyDescent="0.25">
      <c r="B233" s="12" t="s">
        <v>13871</v>
      </c>
      <c r="E233" s="27" t="s">
        <v>13872</v>
      </c>
      <c r="F233" s="12">
        <v>1</v>
      </c>
    </row>
    <row r="234" spans="2:6" x14ac:dyDescent="0.25">
      <c r="B234" s="12" t="s">
        <v>13873</v>
      </c>
      <c r="E234" s="27" t="s">
        <v>13874</v>
      </c>
      <c r="F234" s="12">
        <v>1</v>
      </c>
    </row>
    <row r="235" spans="2:6" x14ac:dyDescent="0.25">
      <c r="B235" s="12" t="s">
        <v>13875</v>
      </c>
      <c r="E235" s="27" t="s">
        <v>13876</v>
      </c>
      <c r="F235" s="12">
        <v>1</v>
      </c>
    </row>
    <row r="236" spans="2:6" x14ac:dyDescent="0.25">
      <c r="B236" s="12" t="s">
        <v>13877</v>
      </c>
      <c r="E236" s="27" t="s">
        <v>13878</v>
      </c>
      <c r="F236" s="12">
        <v>1</v>
      </c>
    </row>
    <row r="237" spans="2:6" x14ac:dyDescent="0.25">
      <c r="B237" s="12" t="s">
        <v>13879</v>
      </c>
      <c r="E237" s="27" t="s">
        <v>13880</v>
      </c>
      <c r="F237" s="12">
        <v>1</v>
      </c>
    </row>
    <row r="238" spans="2:6" x14ac:dyDescent="0.25">
      <c r="B238" s="12" t="s">
        <v>13881</v>
      </c>
      <c r="E238" s="27" t="s">
        <v>13882</v>
      </c>
      <c r="F238" s="12">
        <v>1</v>
      </c>
    </row>
    <row r="239" spans="2:6" x14ac:dyDescent="0.25">
      <c r="B239" s="12" t="s">
        <v>13883</v>
      </c>
      <c r="E239" s="27" t="s">
        <v>13884</v>
      </c>
      <c r="F239" s="12">
        <v>1</v>
      </c>
    </row>
    <row r="240" spans="2:6" x14ac:dyDescent="0.25">
      <c r="B240" s="12" t="s">
        <v>13885</v>
      </c>
      <c r="E240" s="27" t="s">
        <v>13886</v>
      </c>
      <c r="F240" s="12">
        <v>1</v>
      </c>
    </row>
    <row r="241" spans="2:6" x14ac:dyDescent="0.25">
      <c r="B241" s="12" t="s">
        <v>13887</v>
      </c>
      <c r="E241" s="27" t="s">
        <v>13888</v>
      </c>
      <c r="F241" s="12">
        <v>1</v>
      </c>
    </row>
    <row r="242" spans="2:6" x14ac:dyDescent="0.25">
      <c r="B242" s="12" t="s">
        <v>13889</v>
      </c>
      <c r="E242" s="27" t="s">
        <v>13890</v>
      </c>
      <c r="F242" s="12">
        <v>1</v>
      </c>
    </row>
    <row r="243" spans="2:6" x14ac:dyDescent="0.25">
      <c r="B243" s="12" t="s">
        <v>13891</v>
      </c>
      <c r="E243" s="27" t="s">
        <v>13892</v>
      </c>
      <c r="F243" s="12">
        <v>1</v>
      </c>
    </row>
    <row r="244" spans="2:6" x14ac:dyDescent="0.25">
      <c r="B244" s="12" t="s">
        <v>13893</v>
      </c>
      <c r="E244" s="27" t="s">
        <v>13894</v>
      </c>
      <c r="F244" s="12">
        <v>1</v>
      </c>
    </row>
    <row r="245" spans="2:6" x14ac:dyDescent="0.25">
      <c r="B245" s="12" t="s">
        <v>13895</v>
      </c>
      <c r="E245" s="27" t="s">
        <v>13896</v>
      </c>
      <c r="F245" s="12">
        <v>1</v>
      </c>
    </row>
    <row r="246" spans="2:6" x14ac:dyDescent="0.25">
      <c r="B246" s="12" t="s">
        <v>13897</v>
      </c>
      <c r="E246" s="27" t="s">
        <v>13898</v>
      </c>
      <c r="F246" s="12">
        <v>1</v>
      </c>
    </row>
    <row r="247" spans="2:6" x14ac:dyDescent="0.25">
      <c r="B247" s="12" t="s">
        <v>13899</v>
      </c>
      <c r="E247" s="27" t="s">
        <v>13900</v>
      </c>
      <c r="F247" s="12">
        <v>1</v>
      </c>
    </row>
    <row r="248" spans="2:6" x14ac:dyDescent="0.25">
      <c r="B248" s="12" t="s">
        <v>13901</v>
      </c>
      <c r="E248" s="27" t="s">
        <v>13902</v>
      </c>
      <c r="F248" s="12">
        <v>1</v>
      </c>
    </row>
    <row r="249" spans="2:6" x14ac:dyDescent="0.25">
      <c r="B249" s="12" t="s">
        <v>13903</v>
      </c>
      <c r="E249" s="27" t="s">
        <v>13904</v>
      </c>
      <c r="F249" s="12">
        <v>1</v>
      </c>
    </row>
    <row r="250" spans="2:6" x14ac:dyDescent="0.25">
      <c r="B250" s="12" t="s">
        <v>13905</v>
      </c>
      <c r="E250" s="27" t="s">
        <v>13906</v>
      </c>
      <c r="F250" s="12">
        <v>1</v>
      </c>
    </row>
    <row r="251" spans="2:6" x14ac:dyDescent="0.25">
      <c r="B251" s="12" t="s">
        <v>13571</v>
      </c>
      <c r="E251" s="27" t="s">
        <v>13907</v>
      </c>
      <c r="F251" s="12">
        <v>1</v>
      </c>
    </row>
    <row r="252" spans="2:6" x14ac:dyDescent="0.25">
      <c r="B252" s="12" t="s">
        <v>13571</v>
      </c>
      <c r="E252" s="27" t="s">
        <v>13908</v>
      </c>
      <c r="F252" s="12">
        <v>1</v>
      </c>
    </row>
    <row r="253" spans="2:6" x14ac:dyDescent="0.25">
      <c r="B253" s="12" t="s">
        <v>13909</v>
      </c>
      <c r="E253" s="27" t="s">
        <v>13910</v>
      </c>
      <c r="F253" s="12">
        <v>1</v>
      </c>
    </row>
    <row r="254" spans="2:6" x14ac:dyDescent="0.25">
      <c r="B254" s="12" t="s">
        <v>13911</v>
      </c>
      <c r="E254" s="27" t="s">
        <v>13912</v>
      </c>
      <c r="F254" s="12">
        <v>1</v>
      </c>
    </row>
    <row r="255" spans="2:6" x14ac:dyDescent="0.25">
      <c r="B255" s="12" t="s">
        <v>13913</v>
      </c>
      <c r="E255" s="27" t="s">
        <v>13914</v>
      </c>
      <c r="F255" s="12">
        <v>1</v>
      </c>
    </row>
    <row r="256" spans="2:6" x14ac:dyDescent="0.25">
      <c r="B256" s="12" t="s">
        <v>13915</v>
      </c>
      <c r="E256" s="27" t="s">
        <v>13916</v>
      </c>
      <c r="F256" s="12">
        <v>1</v>
      </c>
    </row>
    <row r="257" spans="2:6" x14ac:dyDescent="0.25">
      <c r="B257" s="12" t="s">
        <v>13917</v>
      </c>
      <c r="E257" s="27" t="s">
        <v>13918</v>
      </c>
      <c r="F257" s="12">
        <v>1</v>
      </c>
    </row>
    <row r="258" spans="2:6" x14ac:dyDescent="0.25">
      <c r="B258" s="12" t="s">
        <v>13919</v>
      </c>
      <c r="E258" s="27" t="s">
        <v>13920</v>
      </c>
      <c r="F258" s="12">
        <v>1</v>
      </c>
    </row>
    <row r="259" spans="2:6" x14ac:dyDescent="0.25">
      <c r="B259" s="12" t="s">
        <v>13921</v>
      </c>
      <c r="E259" s="27" t="s">
        <v>13922</v>
      </c>
      <c r="F259" s="12">
        <v>1</v>
      </c>
    </row>
    <row r="260" spans="2:6" x14ac:dyDescent="0.25">
      <c r="B260" s="12" t="s">
        <v>13923</v>
      </c>
      <c r="E260" s="27" t="s">
        <v>13924</v>
      </c>
      <c r="F260" s="12">
        <v>1</v>
      </c>
    </row>
    <row r="261" spans="2:6" x14ac:dyDescent="0.25">
      <c r="B261" s="12" t="s">
        <v>13925</v>
      </c>
      <c r="E261" s="27" t="s">
        <v>13926</v>
      </c>
      <c r="F261" s="12">
        <v>1</v>
      </c>
    </row>
    <row r="262" spans="2:6" x14ac:dyDescent="0.25">
      <c r="B262" s="12" t="s">
        <v>13927</v>
      </c>
      <c r="E262" s="27" t="s">
        <v>13928</v>
      </c>
      <c r="F262" s="12">
        <v>1</v>
      </c>
    </row>
    <row r="263" spans="2:6" x14ac:dyDescent="0.25">
      <c r="B263" s="12" t="s">
        <v>13929</v>
      </c>
      <c r="E263" s="27" t="s">
        <v>13930</v>
      </c>
      <c r="F263" s="12">
        <v>1</v>
      </c>
    </row>
    <row r="264" spans="2:6" x14ac:dyDescent="0.25">
      <c r="B264" s="12" t="s">
        <v>13931</v>
      </c>
      <c r="E264" s="27" t="s">
        <v>13932</v>
      </c>
      <c r="F264" s="12">
        <v>1</v>
      </c>
    </row>
    <row r="265" spans="2:6" x14ac:dyDescent="0.25">
      <c r="B265" s="12" t="s">
        <v>13933</v>
      </c>
      <c r="E265" s="27" t="s">
        <v>13934</v>
      </c>
      <c r="F265" s="12">
        <v>1</v>
      </c>
    </row>
    <row r="266" spans="2:6" x14ac:dyDescent="0.25">
      <c r="B266" s="12" t="s">
        <v>13935</v>
      </c>
      <c r="E266" s="27" t="s">
        <v>13936</v>
      </c>
      <c r="F266" s="12">
        <v>1</v>
      </c>
    </row>
    <row r="267" spans="2:6" x14ac:dyDescent="0.25">
      <c r="B267" s="12" t="s">
        <v>13937</v>
      </c>
      <c r="E267" s="27" t="s">
        <v>13938</v>
      </c>
      <c r="F267" s="12">
        <v>1</v>
      </c>
    </row>
    <row r="268" spans="2:6" x14ac:dyDescent="0.25">
      <c r="B268" s="12" t="s">
        <v>13939</v>
      </c>
      <c r="E268" s="27" t="s">
        <v>13940</v>
      </c>
      <c r="F268" s="12">
        <v>1</v>
      </c>
    </row>
    <row r="269" spans="2:6" x14ac:dyDescent="0.25">
      <c r="B269" s="12" t="s">
        <v>13941</v>
      </c>
      <c r="E269" s="27" t="s">
        <v>13942</v>
      </c>
      <c r="F269" s="12">
        <v>1</v>
      </c>
    </row>
    <row r="270" spans="2:6" x14ac:dyDescent="0.25">
      <c r="B270" s="12" t="s">
        <v>13943</v>
      </c>
      <c r="E270" s="27" t="s">
        <v>13944</v>
      </c>
      <c r="F270" s="12">
        <v>1</v>
      </c>
    </row>
    <row r="271" spans="2:6" x14ac:dyDescent="0.25">
      <c r="B271" s="12" t="s">
        <v>13945</v>
      </c>
      <c r="E271" s="27" t="s">
        <v>13946</v>
      </c>
      <c r="F271" s="12">
        <v>1</v>
      </c>
    </row>
    <row r="272" spans="2:6" x14ac:dyDescent="0.25">
      <c r="B272" s="12" t="s">
        <v>13947</v>
      </c>
      <c r="E272" s="27" t="s">
        <v>13948</v>
      </c>
      <c r="F272" s="12">
        <v>1</v>
      </c>
    </row>
    <row r="273" spans="2:6" x14ac:dyDescent="0.25">
      <c r="B273" s="12" t="s">
        <v>13949</v>
      </c>
      <c r="E273" s="27" t="s">
        <v>13950</v>
      </c>
      <c r="F273" s="12">
        <v>1</v>
      </c>
    </row>
    <row r="274" spans="2:6" x14ac:dyDescent="0.25">
      <c r="B274" s="12" t="s">
        <v>13951</v>
      </c>
      <c r="E274" s="27" t="s">
        <v>13952</v>
      </c>
      <c r="F274" s="12">
        <v>1</v>
      </c>
    </row>
    <row r="275" spans="2:6" x14ac:dyDescent="0.25">
      <c r="B275" s="12" t="s">
        <v>13953</v>
      </c>
      <c r="E275" s="27" t="s">
        <v>13954</v>
      </c>
      <c r="F275" s="12">
        <v>1</v>
      </c>
    </row>
    <row r="276" spans="2:6" x14ac:dyDescent="0.25">
      <c r="B276" s="12" t="s">
        <v>13955</v>
      </c>
      <c r="E276" s="27" t="s">
        <v>13956</v>
      </c>
      <c r="F276" s="12">
        <v>1</v>
      </c>
    </row>
    <row r="277" spans="2:6" x14ac:dyDescent="0.25">
      <c r="B277" s="12" t="s">
        <v>13957</v>
      </c>
      <c r="E277" s="27" t="s">
        <v>13958</v>
      </c>
      <c r="F277" s="12">
        <v>1</v>
      </c>
    </row>
    <row r="278" spans="2:6" x14ac:dyDescent="0.25">
      <c r="B278" s="12" t="s">
        <v>13959</v>
      </c>
      <c r="E278" s="27" t="s">
        <v>13960</v>
      </c>
      <c r="F278" s="12">
        <v>1</v>
      </c>
    </row>
    <row r="279" spans="2:6" x14ac:dyDescent="0.25">
      <c r="B279" s="12" t="s">
        <v>13451</v>
      </c>
      <c r="E279" s="27" t="s">
        <v>13961</v>
      </c>
      <c r="F279" s="12">
        <v>1</v>
      </c>
    </row>
    <row r="280" spans="2:6" x14ac:dyDescent="0.25">
      <c r="B280" s="12" t="s">
        <v>13451</v>
      </c>
      <c r="E280" s="27" t="s">
        <v>13962</v>
      </c>
      <c r="F280" s="12">
        <v>1</v>
      </c>
    </row>
    <row r="281" spans="2:6" x14ac:dyDescent="0.25">
      <c r="B281" s="12" t="s">
        <v>13451</v>
      </c>
      <c r="E281" s="27" t="s">
        <v>13963</v>
      </c>
      <c r="F281" s="12">
        <v>1</v>
      </c>
    </row>
    <row r="282" spans="2:6" x14ac:dyDescent="0.25">
      <c r="B282" s="12" t="s">
        <v>13964</v>
      </c>
      <c r="E282" s="27" t="s">
        <v>13965</v>
      </c>
      <c r="F282" s="12">
        <v>1</v>
      </c>
    </row>
    <row r="283" spans="2:6" x14ac:dyDescent="0.25">
      <c r="B283" s="12" t="s">
        <v>13966</v>
      </c>
      <c r="E283" s="27" t="s">
        <v>13967</v>
      </c>
      <c r="F283" s="12">
        <v>1</v>
      </c>
    </row>
    <row r="284" spans="2:6" x14ac:dyDescent="0.25">
      <c r="B284" s="12" t="s">
        <v>13968</v>
      </c>
      <c r="E284" s="27" t="s">
        <v>13969</v>
      </c>
      <c r="F284" s="12">
        <v>1</v>
      </c>
    </row>
    <row r="285" spans="2:6" x14ac:dyDescent="0.25">
      <c r="B285" s="12" t="s">
        <v>13970</v>
      </c>
      <c r="E285" s="27" t="s">
        <v>13971</v>
      </c>
      <c r="F285" s="12">
        <v>1</v>
      </c>
    </row>
    <row r="286" spans="2:6" x14ac:dyDescent="0.25">
      <c r="B286" s="12" t="s">
        <v>13972</v>
      </c>
      <c r="E286" s="27" t="s">
        <v>13973</v>
      </c>
      <c r="F286" s="12">
        <v>1</v>
      </c>
    </row>
    <row r="287" spans="2:6" x14ac:dyDescent="0.25">
      <c r="B287" s="12" t="s">
        <v>13974</v>
      </c>
      <c r="E287" s="27" t="s">
        <v>13975</v>
      </c>
      <c r="F287" s="12">
        <v>1</v>
      </c>
    </row>
    <row r="288" spans="2:6" x14ac:dyDescent="0.25">
      <c r="B288" s="12" t="s">
        <v>13976</v>
      </c>
      <c r="E288" s="27" t="s">
        <v>13977</v>
      </c>
      <c r="F288" s="12">
        <v>1</v>
      </c>
    </row>
    <row r="289" spans="2:6" x14ac:dyDescent="0.25">
      <c r="B289" s="12" t="s">
        <v>13978</v>
      </c>
      <c r="E289" s="27" t="s">
        <v>13979</v>
      </c>
      <c r="F289" s="12">
        <v>1</v>
      </c>
    </row>
    <row r="290" spans="2:6" x14ac:dyDescent="0.25">
      <c r="B290" s="12" t="s">
        <v>13980</v>
      </c>
      <c r="E290" s="27" t="s">
        <v>13981</v>
      </c>
      <c r="F290" s="12">
        <v>1</v>
      </c>
    </row>
    <row r="291" spans="2:6" x14ac:dyDescent="0.25">
      <c r="B291" s="12" t="s">
        <v>13982</v>
      </c>
      <c r="E291" s="27" t="s">
        <v>13983</v>
      </c>
      <c r="F291" s="12">
        <v>1</v>
      </c>
    </row>
    <row r="292" spans="2:6" x14ac:dyDescent="0.25">
      <c r="B292" s="12" t="s">
        <v>13984</v>
      </c>
      <c r="E292" s="27" t="s">
        <v>13985</v>
      </c>
      <c r="F292" s="12">
        <v>1</v>
      </c>
    </row>
    <row r="293" spans="2:6" x14ac:dyDescent="0.25">
      <c r="B293" s="12" t="s">
        <v>13986</v>
      </c>
      <c r="E293" s="27" t="s">
        <v>2747</v>
      </c>
      <c r="F293" s="12">
        <v>1</v>
      </c>
    </row>
    <row r="294" spans="2:6" x14ac:dyDescent="0.25">
      <c r="B294" s="12" t="s">
        <v>13987</v>
      </c>
      <c r="E294" s="27" t="s">
        <v>13988</v>
      </c>
      <c r="F294" s="12">
        <v>1</v>
      </c>
    </row>
    <row r="295" spans="2:6" x14ac:dyDescent="0.25">
      <c r="B295" s="12" t="s">
        <v>13989</v>
      </c>
      <c r="E295" s="27" t="s">
        <v>13990</v>
      </c>
      <c r="F295" s="12">
        <v>1</v>
      </c>
    </row>
    <row r="296" spans="2:6" x14ac:dyDescent="0.25">
      <c r="B296" s="12" t="s">
        <v>13991</v>
      </c>
      <c r="E296" s="27" t="s">
        <v>13992</v>
      </c>
      <c r="F296" s="12">
        <v>1</v>
      </c>
    </row>
    <row r="297" spans="2:6" x14ac:dyDescent="0.25">
      <c r="B297" s="12" t="s">
        <v>13993</v>
      </c>
      <c r="E297" s="27" t="s">
        <v>13994</v>
      </c>
      <c r="F297" s="12">
        <v>1</v>
      </c>
    </row>
    <row r="298" spans="2:6" x14ac:dyDescent="0.25">
      <c r="B298" s="12" t="s">
        <v>13995</v>
      </c>
      <c r="E298" s="27" t="s">
        <v>13996</v>
      </c>
      <c r="F298" s="12">
        <v>1</v>
      </c>
    </row>
    <row r="299" spans="2:6" x14ac:dyDescent="0.25">
      <c r="B299" s="12" t="s">
        <v>13997</v>
      </c>
      <c r="E299" s="27" t="s">
        <v>13998</v>
      </c>
      <c r="F299" s="12">
        <v>1</v>
      </c>
    </row>
    <row r="300" spans="2:6" x14ac:dyDescent="0.25">
      <c r="B300" s="12" t="s">
        <v>13999</v>
      </c>
      <c r="E300" s="27" t="s">
        <v>14000</v>
      </c>
      <c r="F300" s="12">
        <v>1</v>
      </c>
    </row>
    <row r="301" spans="2:6" x14ac:dyDescent="0.25">
      <c r="B301" s="12" t="s">
        <v>14001</v>
      </c>
      <c r="E301" s="27" t="s">
        <v>14002</v>
      </c>
      <c r="F301" s="12">
        <v>1</v>
      </c>
    </row>
    <row r="302" spans="2:6" x14ac:dyDescent="0.25">
      <c r="B302" s="12" t="s">
        <v>13579</v>
      </c>
      <c r="E302" s="27" t="s">
        <v>14003</v>
      </c>
      <c r="F302" s="12">
        <v>1</v>
      </c>
    </row>
    <row r="303" spans="2:6" x14ac:dyDescent="0.25">
      <c r="B303" s="12" t="s">
        <v>13579</v>
      </c>
      <c r="E303" s="27" t="s">
        <v>14004</v>
      </c>
      <c r="F303" s="12">
        <v>1</v>
      </c>
    </row>
    <row r="304" spans="2:6" x14ac:dyDescent="0.25">
      <c r="B304" s="12" t="s">
        <v>14005</v>
      </c>
      <c r="E304" s="27" t="s">
        <v>14006</v>
      </c>
      <c r="F304" s="12">
        <v>1</v>
      </c>
    </row>
    <row r="305" spans="2:6" x14ac:dyDescent="0.25">
      <c r="B305" s="12" t="s">
        <v>14007</v>
      </c>
      <c r="E305" s="27" t="s">
        <v>2350</v>
      </c>
      <c r="F305" s="12">
        <v>1</v>
      </c>
    </row>
    <row r="306" spans="2:6" x14ac:dyDescent="0.25">
      <c r="B306" s="12" t="s">
        <v>14008</v>
      </c>
      <c r="E306" s="27" t="s">
        <v>14009</v>
      </c>
      <c r="F306" s="12">
        <v>1</v>
      </c>
    </row>
    <row r="307" spans="2:6" x14ac:dyDescent="0.25">
      <c r="B307" s="12" t="s">
        <v>14010</v>
      </c>
      <c r="E307" s="27" t="s">
        <v>14011</v>
      </c>
      <c r="F307" s="12">
        <v>1</v>
      </c>
    </row>
    <row r="308" spans="2:6" x14ac:dyDescent="0.25">
      <c r="B308" s="12" t="s">
        <v>14012</v>
      </c>
      <c r="E308" s="27" t="s">
        <v>14013</v>
      </c>
      <c r="F308" s="12">
        <v>1</v>
      </c>
    </row>
    <row r="309" spans="2:6" x14ac:dyDescent="0.25">
      <c r="B309" s="12" t="s">
        <v>14014</v>
      </c>
      <c r="E309" s="27" t="s">
        <v>14015</v>
      </c>
      <c r="F309" s="12">
        <v>1</v>
      </c>
    </row>
    <row r="310" spans="2:6" x14ac:dyDescent="0.25">
      <c r="B310" s="12" t="s">
        <v>14016</v>
      </c>
      <c r="E310" s="27" t="s">
        <v>14017</v>
      </c>
      <c r="F310" s="12">
        <v>1</v>
      </c>
    </row>
    <row r="311" spans="2:6" x14ac:dyDescent="0.25">
      <c r="B311" s="12" t="s">
        <v>14018</v>
      </c>
      <c r="E311" s="27" t="s">
        <v>5058</v>
      </c>
      <c r="F311" s="12">
        <v>1</v>
      </c>
    </row>
    <row r="312" spans="2:6" x14ac:dyDescent="0.25">
      <c r="B312" s="12" t="s">
        <v>14019</v>
      </c>
      <c r="E312" s="27" t="s">
        <v>14020</v>
      </c>
      <c r="F312" s="12">
        <v>1</v>
      </c>
    </row>
    <row r="313" spans="2:6" x14ac:dyDescent="0.25">
      <c r="B313" s="12" t="s">
        <v>14021</v>
      </c>
      <c r="E313" s="27" t="s">
        <v>14022</v>
      </c>
      <c r="F313" s="12">
        <v>1</v>
      </c>
    </row>
    <row r="314" spans="2:6" x14ac:dyDescent="0.25">
      <c r="B314" s="12" t="s">
        <v>14023</v>
      </c>
      <c r="E314" s="27" t="s">
        <v>14024</v>
      </c>
      <c r="F314" s="12">
        <v>1</v>
      </c>
    </row>
    <row r="315" spans="2:6" x14ac:dyDescent="0.25">
      <c r="B315" s="12" t="s">
        <v>14025</v>
      </c>
      <c r="E315" s="27" t="s">
        <v>14026</v>
      </c>
      <c r="F315" s="12">
        <v>1</v>
      </c>
    </row>
    <row r="316" spans="2:6" x14ac:dyDescent="0.25">
      <c r="B316" s="12" t="s">
        <v>14027</v>
      </c>
      <c r="E316" s="27" t="s">
        <v>14028</v>
      </c>
      <c r="F316" s="12">
        <v>1</v>
      </c>
    </row>
    <row r="317" spans="2:6" x14ac:dyDescent="0.25">
      <c r="B317" s="12" t="s">
        <v>14029</v>
      </c>
      <c r="E317" s="27" t="s">
        <v>14030</v>
      </c>
      <c r="F317" s="12">
        <v>1</v>
      </c>
    </row>
    <row r="318" spans="2:6" x14ac:dyDescent="0.25">
      <c r="B318" s="12" t="s">
        <v>14031</v>
      </c>
      <c r="E318" s="27" t="s">
        <v>14032</v>
      </c>
      <c r="F318" s="12">
        <v>1</v>
      </c>
    </row>
    <row r="319" spans="2:6" x14ac:dyDescent="0.25">
      <c r="B319" s="12" t="s">
        <v>14033</v>
      </c>
      <c r="E319" s="27" t="s">
        <v>14034</v>
      </c>
      <c r="F319" s="12">
        <v>1</v>
      </c>
    </row>
    <row r="320" spans="2:6" x14ac:dyDescent="0.25">
      <c r="B320" s="12" t="s">
        <v>14035</v>
      </c>
      <c r="E320" s="27" t="s">
        <v>14036</v>
      </c>
      <c r="F320" s="12">
        <v>1</v>
      </c>
    </row>
    <row r="321" spans="2:6" x14ac:dyDescent="0.25">
      <c r="B321" s="12" t="s">
        <v>14037</v>
      </c>
      <c r="E321" s="27" t="s">
        <v>14038</v>
      </c>
      <c r="F321" s="12">
        <v>1</v>
      </c>
    </row>
    <row r="322" spans="2:6" x14ac:dyDescent="0.25">
      <c r="B322" s="12" t="s">
        <v>14039</v>
      </c>
      <c r="E322" s="27" t="s">
        <v>14040</v>
      </c>
      <c r="F322" s="12">
        <v>1</v>
      </c>
    </row>
    <row r="323" spans="2:6" x14ac:dyDescent="0.25">
      <c r="B323" s="12" t="s">
        <v>14041</v>
      </c>
      <c r="E323" s="27" t="s">
        <v>14042</v>
      </c>
      <c r="F323" s="12">
        <v>1</v>
      </c>
    </row>
    <row r="324" spans="2:6" x14ac:dyDescent="0.25">
      <c r="B324" s="12" t="s">
        <v>14043</v>
      </c>
      <c r="E324" s="27" t="s">
        <v>14044</v>
      </c>
      <c r="F324" s="12">
        <v>1</v>
      </c>
    </row>
    <row r="325" spans="2:6" x14ac:dyDescent="0.25">
      <c r="B325" s="12" t="s">
        <v>14045</v>
      </c>
      <c r="E325" s="27" t="s">
        <v>14046</v>
      </c>
      <c r="F325" s="12">
        <v>1</v>
      </c>
    </row>
    <row r="326" spans="2:6" x14ac:dyDescent="0.25">
      <c r="B326" s="12" t="s">
        <v>14047</v>
      </c>
      <c r="E326" s="27" t="s">
        <v>14048</v>
      </c>
      <c r="F326" s="12">
        <v>1</v>
      </c>
    </row>
    <row r="327" spans="2:6" x14ac:dyDescent="0.25">
      <c r="B327" s="12" t="s">
        <v>14049</v>
      </c>
      <c r="E327" s="27" t="s">
        <v>14050</v>
      </c>
      <c r="F327" s="12">
        <v>1</v>
      </c>
    </row>
    <row r="328" spans="2:6" x14ac:dyDescent="0.25">
      <c r="B328" s="12" t="s">
        <v>14051</v>
      </c>
      <c r="E328" s="27" t="s">
        <v>14052</v>
      </c>
      <c r="F328" s="12">
        <v>1</v>
      </c>
    </row>
    <row r="329" spans="2:6" x14ac:dyDescent="0.25">
      <c r="B329" s="12" t="s">
        <v>14053</v>
      </c>
      <c r="E329" s="27" t="s">
        <v>14054</v>
      </c>
      <c r="F329" s="12">
        <v>1</v>
      </c>
    </row>
    <row r="330" spans="2:6" x14ac:dyDescent="0.25">
      <c r="B330" s="12" t="s">
        <v>14055</v>
      </c>
      <c r="E330" s="27" t="s">
        <v>14056</v>
      </c>
      <c r="F330" s="12">
        <v>1</v>
      </c>
    </row>
    <row r="331" spans="2:6" x14ac:dyDescent="0.25">
      <c r="B331" s="12" t="s">
        <v>14057</v>
      </c>
      <c r="E331" s="27" t="s">
        <v>14058</v>
      </c>
      <c r="F331" s="12">
        <v>1</v>
      </c>
    </row>
    <row r="332" spans="2:6" x14ac:dyDescent="0.25">
      <c r="B332" s="12" t="s">
        <v>14059</v>
      </c>
      <c r="E332" s="27" t="s">
        <v>14060</v>
      </c>
      <c r="F332" s="12">
        <v>1</v>
      </c>
    </row>
    <row r="333" spans="2:6" x14ac:dyDescent="0.25">
      <c r="B333" s="12" t="s">
        <v>14061</v>
      </c>
      <c r="E333" s="27" t="s">
        <v>14062</v>
      </c>
      <c r="F333" s="12">
        <v>1</v>
      </c>
    </row>
    <row r="334" spans="2:6" x14ac:dyDescent="0.25">
      <c r="B334" s="12" t="s">
        <v>14063</v>
      </c>
      <c r="E334" s="27" t="s">
        <v>14064</v>
      </c>
      <c r="F334" s="12">
        <v>1</v>
      </c>
    </row>
    <row r="335" spans="2:6" x14ac:dyDescent="0.25">
      <c r="B335" s="12" t="s">
        <v>14065</v>
      </c>
      <c r="E335" s="27" t="s">
        <v>14066</v>
      </c>
      <c r="F335" s="12">
        <v>1</v>
      </c>
    </row>
    <row r="336" spans="2:6" x14ac:dyDescent="0.25">
      <c r="B336" s="12" t="s">
        <v>14067</v>
      </c>
      <c r="E336" s="27" t="s">
        <v>14068</v>
      </c>
      <c r="F336" s="12">
        <v>1</v>
      </c>
    </row>
    <row r="337" spans="2:6" x14ac:dyDescent="0.25">
      <c r="B337" s="12" t="s">
        <v>14069</v>
      </c>
      <c r="E337" s="27" t="s">
        <v>7778</v>
      </c>
      <c r="F337" s="12">
        <v>1</v>
      </c>
    </row>
    <row r="338" spans="2:6" x14ac:dyDescent="0.25">
      <c r="B338" s="12" t="s">
        <v>14070</v>
      </c>
      <c r="E338" s="27" t="s">
        <v>14071</v>
      </c>
      <c r="F338" s="12">
        <v>1</v>
      </c>
    </row>
    <row r="339" spans="2:6" x14ac:dyDescent="0.25">
      <c r="B339" s="12" t="s">
        <v>14072</v>
      </c>
      <c r="E339" s="27" t="s">
        <v>14073</v>
      </c>
      <c r="F339" s="12">
        <v>1</v>
      </c>
    </row>
    <row r="340" spans="2:6" x14ac:dyDescent="0.25">
      <c r="B340" s="12" t="s">
        <v>14074</v>
      </c>
      <c r="E340" s="27" t="s">
        <v>14075</v>
      </c>
      <c r="F340" s="12">
        <v>1</v>
      </c>
    </row>
    <row r="341" spans="2:6" x14ac:dyDescent="0.25">
      <c r="B341" s="12" t="s">
        <v>14076</v>
      </c>
      <c r="E341" s="27" t="s">
        <v>14077</v>
      </c>
      <c r="F341" s="12">
        <v>1</v>
      </c>
    </row>
    <row r="342" spans="2:6" x14ac:dyDescent="0.25">
      <c r="B342" s="12" t="s">
        <v>14078</v>
      </c>
      <c r="E342" s="27" t="s">
        <v>14079</v>
      </c>
      <c r="F342" s="12">
        <v>1</v>
      </c>
    </row>
    <row r="343" spans="2:6" x14ac:dyDescent="0.25">
      <c r="B343" s="12" t="s">
        <v>14080</v>
      </c>
      <c r="E343" s="27" t="s">
        <v>14081</v>
      </c>
      <c r="F343" s="12">
        <v>1</v>
      </c>
    </row>
    <row r="344" spans="2:6" x14ac:dyDescent="0.25">
      <c r="B344" s="12" t="s">
        <v>14082</v>
      </c>
      <c r="E344" s="27" t="s">
        <v>14083</v>
      </c>
      <c r="F344" s="12">
        <v>1</v>
      </c>
    </row>
    <row r="345" spans="2:6" x14ac:dyDescent="0.25">
      <c r="B345" s="12" t="s">
        <v>14084</v>
      </c>
      <c r="E345" s="27" t="s">
        <v>14085</v>
      </c>
      <c r="F345" s="12">
        <v>1</v>
      </c>
    </row>
    <row r="346" spans="2:6" x14ac:dyDescent="0.25">
      <c r="B346" s="12" t="s">
        <v>14086</v>
      </c>
      <c r="E346" s="27" t="s">
        <v>14087</v>
      </c>
      <c r="F346" s="12">
        <v>1</v>
      </c>
    </row>
    <row r="347" spans="2:6" x14ac:dyDescent="0.25">
      <c r="B347" s="12" t="s">
        <v>14088</v>
      </c>
      <c r="E347" s="27" t="s">
        <v>14089</v>
      </c>
      <c r="F347" s="12">
        <v>1</v>
      </c>
    </row>
    <row r="348" spans="2:6" x14ac:dyDescent="0.25">
      <c r="B348" s="12" t="s">
        <v>14090</v>
      </c>
      <c r="E348" s="27" t="s">
        <v>14091</v>
      </c>
      <c r="F348" s="12">
        <v>1</v>
      </c>
    </row>
    <row r="349" spans="2:6" x14ac:dyDescent="0.25">
      <c r="B349" s="12" t="s">
        <v>14092</v>
      </c>
      <c r="E349" s="27" t="s">
        <v>14093</v>
      </c>
      <c r="F349" s="12">
        <v>1</v>
      </c>
    </row>
    <row r="350" spans="2:6" x14ac:dyDescent="0.25">
      <c r="B350" s="12" t="s">
        <v>14094</v>
      </c>
      <c r="E350" s="27" t="s">
        <v>14095</v>
      </c>
      <c r="F350" s="12">
        <v>1</v>
      </c>
    </row>
    <row r="351" spans="2:6" x14ac:dyDescent="0.25">
      <c r="B351" s="12" t="s">
        <v>14096</v>
      </c>
      <c r="E351" s="27" t="s">
        <v>14097</v>
      </c>
      <c r="F351" s="12">
        <v>1</v>
      </c>
    </row>
    <row r="352" spans="2:6" x14ac:dyDescent="0.25">
      <c r="B352" s="12" t="s">
        <v>14098</v>
      </c>
      <c r="E352" s="27" t="s">
        <v>14099</v>
      </c>
      <c r="F352" s="12">
        <v>1</v>
      </c>
    </row>
    <row r="353" spans="2:6" x14ac:dyDescent="0.25">
      <c r="B353" s="12" t="s">
        <v>14100</v>
      </c>
      <c r="E353" s="27" t="s">
        <v>14101</v>
      </c>
      <c r="F353" s="12">
        <v>1</v>
      </c>
    </row>
    <row r="354" spans="2:6" x14ac:dyDescent="0.25">
      <c r="B354" s="12" t="s">
        <v>14102</v>
      </c>
      <c r="E354" s="27" t="s">
        <v>14103</v>
      </c>
      <c r="F354" s="12">
        <v>1</v>
      </c>
    </row>
    <row r="355" spans="2:6" x14ac:dyDescent="0.25">
      <c r="B355" s="12" t="s">
        <v>14104</v>
      </c>
      <c r="E355" s="27" t="s">
        <v>14105</v>
      </c>
      <c r="F355" s="12">
        <v>1</v>
      </c>
    </row>
    <row r="356" spans="2:6" x14ac:dyDescent="0.25">
      <c r="B356" s="12" t="s">
        <v>14106</v>
      </c>
      <c r="E356" s="27" t="s">
        <v>14107</v>
      </c>
      <c r="F356" s="12">
        <v>1</v>
      </c>
    </row>
    <row r="357" spans="2:6" x14ac:dyDescent="0.25">
      <c r="B357" s="12" t="s">
        <v>14108</v>
      </c>
      <c r="E357" s="27" t="s">
        <v>14109</v>
      </c>
      <c r="F357" s="12">
        <v>1</v>
      </c>
    </row>
    <row r="358" spans="2:6" x14ac:dyDescent="0.25">
      <c r="B358" s="12" t="s">
        <v>14110</v>
      </c>
      <c r="E358" s="27" t="s">
        <v>14111</v>
      </c>
      <c r="F358" s="12">
        <v>1</v>
      </c>
    </row>
    <row r="359" spans="2:6" x14ac:dyDescent="0.25">
      <c r="B359" s="12" t="s">
        <v>14112</v>
      </c>
      <c r="E359" s="27" t="s">
        <v>14113</v>
      </c>
      <c r="F359" s="12">
        <v>1</v>
      </c>
    </row>
    <row r="360" spans="2:6" x14ac:dyDescent="0.25">
      <c r="B360" s="12" t="s">
        <v>14114</v>
      </c>
      <c r="E360" s="27" t="s">
        <v>14115</v>
      </c>
      <c r="F360" s="12">
        <v>1</v>
      </c>
    </row>
    <row r="361" spans="2:6" x14ac:dyDescent="0.25">
      <c r="B361" s="12" t="s">
        <v>14116</v>
      </c>
      <c r="E361" s="27" t="s">
        <v>14117</v>
      </c>
      <c r="F361" s="12">
        <v>1</v>
      </c>
    </row>
    <row r="362" spans="2:6" x14ac:dyDescent="0.25">
      <c r="B362" s="12" t="s">
        <v>14118</v>
      </c>
      <c r="E362" s="27" t="s">
        <v>14119</v>
      </c>
      <c r="F362" s="12">
        <v>1</v>
      </c>
    </row>
    <row r="363" spans="2:6" x14ac:dyDescent="0.25">
      <c r="B363" s="12" t="s">
        <v>14120</v>
      </c>
      <c r="E363" s="27" t="s">
        <v>14121</v>
      </c>
      <c r="F363" s="12">
        <v>1</v>
      </c>
    </row>
    <row r="364" spans="2:6" x14ac:dyDescent="0.25">
      <c r="B364" s="12" t="s">
        <v>14122</v>
      </c>
      <c r="E364" s="27" t="s">
        <v>14123</v>
      </c>
      <c r="F364" s="12">
        <v>1</v>
      </c>
    </row>
    <row r="365" spans="2:6" x14ac:dyDescent="0.25">
      <c r="B365" s="12" t="s">
        <v>14124</v>
      </c>
      <c r="E365" s="27" t="s">
        <v>14125</v>
      </c>
      <c r="F365" s="12">
        <v>1</v>
      </c>
    </row>
    <row r="366" spans="2:6" x14ac:dyDescent="0.25">
      <c r="B366" s="12" t="s">
        <v>14126</v>
      </c>
      <c r="E366" s="27" t="s">
        <v>14127</v>
      </c>
      <c r="F366" s="12">
        <v>1</v>
      </c>
    </row>
    <row r="367" spans="2:6" x14ac:dyDescent="0.25">
      <c r="B367" s="12" t="s">
        <v>14128</v>
      </c>
      <c r="E367" s="27" t="s">
        <v>14129</v>
      </c>
      <c r="F367" s="12">
        <v>1</v>
      </c>
    </row>
    <row r="368" spans="2:6" x14ac:dyDescent="0.25">
      <c r="B368" s="12" t="s">
        <v>14130</v>
      </c>
      <c r="E368" s="27" t="s">
        <v>14131</v>
      </c>
      <c r="F368" s="12">
        <v>1</v>
      </c>
    </row>
    <row r="369" spans="2:6" x14ac:dyDescent="0.25">
      <c r="B369" s="12" t="s">
        <v>14132</v>
      </c>
      <c r="E369" s="27" t="s">
        <v>14133</v>
      </c>
      <c r="F369" s="12">
        <v>1</v>
      </c>
    </row>
    <row r="370" spans="2:6" x14ac:dyDescent="0.25">
      <c r="B370" s="12" t="s">
        <v>14134</v>
      </c>
      <c r="E370" s="27" t="s">
        <v>14135</v>
      </c>
      <c r="F370" s="12">
        <v>1</v>
      </c>
    </row>
    <row r="371" spans="2:6" x14ac:dyDescent="0.25">
      <c r="B371" s="12" t="s">
        <v>14136</v>
      </c>
      <c r="E371" s="27" t="s">
        <v>14137</v>
      </c>
      <c r="F371" s="12">
        <v>1</v>
      </c>
    </row>
    <row r="372" spans="2:6" x14ac:dyDescent="0.25">
      <c r="B372" s="12" t="s">
        <v>14138</v>
      </c>
      <c r="E372" s="27" t="s">
        <v>14139</v>
      </c>
      <c r="F372" s="12">
        <v>1</v>
      </c>
    </row>
    <row r="373" spans="2:6" x14ac:dyDescent="0.25">
      <c r="B373" s="12" t="s">
        <v>14140</v>
      </c>
      <c r="E373" s="27" t="s">
        <v>14141</v>
      </c>
      <c r="F373" s="12">
        <v>1</v>
      </c>
    </row>
    <row r="374" spans="2:6" x14ac:dyDescent="0.25">
      <c r="B374" s="12" t="s">
        <v>14142</v>
      </c>
      <c r="E374" s="27" t="s">
        <v>12085</v>
      </c>
      <c r="F374" s="12">
        <v>1</v>
      </c>
    </row>
    <row r="375" spans="2:6" x14ac:dyDescent="0.25">
      <c r="B375" s="12" t="s">
        <v>14143</v>
      </c>
      <c r="E375" s="27" t="s">
        <v>14144</v>
      </c>
      <c r="F375" s="12">
        <v>1</v>
      </c>
    </row>
    <row r="376" spans="2:6" x14ac:dyDescent="0.25">
      <c r="B376" s="12" t="s">
        <v>14145</v>
      </c>
      <c r="E376" s="27" t="s">
        <v>14146</v>
      </c>
      <c r="F376" s="12">
        <v>1</v>
      </c>
    </row>
    <row r="377" spans="2:6" x14ac:dyDescent="0.25">
      <c r="B377" s="12" t="s">
        <v>14147</v>
      </c>
      <c r="E377" s="27" t="s">
        <v>14148</v>
      </c>
      <c r="F377" s="12">
        <v>1</v>
      </c>
    </row>
    <row r="378" spans="2:6" x14ac:dyDescent="0.25">
      <c r="B378" s="12" t="s">
        <v>14149</v>
      </c>
      <c r="E378" s="27" t="s">
        <v>14150</v>
      </c>
      <c r="F378" s="12">
        <v>1</v>
      </c>
    </row>
    <row r="379" spans="2:6" x14ac:dyDescent="0.25">
      <c r="B379" s="12" t="s">
        <v>14151</v>
      </c>
      <c r="E379" s="27" t="s">
        <v>14152</v>
      </c>
      <c r="F379" s="12">
        <v>1</v>
      </c>
    </row>
    <row r="380" spans="2:6" x14ac:dyDescent="0.25">
      <c r="B380" s="12" t="s">
        <v>13573</v>
      </c>
      <c r="E380" s="27" t="s">
        <v>14153</v>
      </c>
      <c r="F380" s="12">
        <v>1</v>
      </c>
    </row>
    <row r="381" spans="2:6" x14ac:dyDescent="0.25">
      <c r="B381" s="12" t="s">
        <v>14154</v>
      </c>
      <c r="E381" s="27" t="s">
        <v>14155</v>
      </c>
      <c r="F381" s="12">
        <v>1</v>
      </c>
    </row>
    <row r="382" spans="2:6" x14ac:dyDescent="0.25">
      <c r="B382" s="12" t="s">
        <v>14156</v>
      </c>
      <c r="E382" s="27" t="s">
        <v>14157</v>
      </c>
      <c r="F382" s="12">
        <v>1</v>
      </c>
    </row>
    <row r="383" spans="2:6" x14ac:dyDescent="0.25">
      <c r="B383" s="12" t="s">
        <v>14158</v>
      </c>
      <c r="E383" s="27" t="s">
        <v>14159</v>
      </c>
      <c r="F383" s="12">
        <v>1</v>
      </c>
    </row>
    <row r="384" spans="2:6" x14ac:dyDescent="0.25">
      <c r="B384" s="12" t="s">
        <v>14160</v>
      </c>
      <c r="E384" s="27" t="s">
        <v>11263</v>
      </c>
      <c r="F384" s="12">
        <v>1</v>
      </c>
    </row>
    <row r="385" spans="2:6" x14ac:dyDescent="0.25">
      <c r="B385" s="12" t="s">
        <v>14161</v>
      </c>
      <c r="E385" s="27" t="s">
        <v>14162</v>
      </c>
      <c r="F385" s="12">
        <v>1</v>
      </c>
    </row>
    <row r="386" spans="2:6" x14ac:dyDescent="0.25">
      <c r="B386" s="12" t="s">
        <v>14163</v>
      </c>
      <c r="E386" s="27" t="s">
        <v>14164</v>
      </c>
      <c r="F386" s="12">
        <v>1</v>
      </c>
    </row>
    <row r="387" spans="2:6" x14ac:dyDescent="0.25">
      <c r="B387" s="12" t="s">
        <v>14165</v>
      </c>
      <c r="E387" s="27" t="s">
        <v>14166</v>
      </c>
      <c r="F387" s="12">
        <v>1</v>
      </c>
    </row>
    <row r="388" spans="2:6" x14ac:dyDescent="0.25">
      <c r="B388" s="12" t="s">
        <v>14167</v>
      </c>
      <c r="E388" s="27" t="s">
        <v>14168</v>
      </c>
      <c r="F388" s="12">
        <v>1</v>
      </c>
    </row>
    <row r="389" spans="2:6" x14ac:dyDescent="0.25">
      <c r="B389" s="12" t="s">
        <v>13577</v>
      </c>
      <c r="E389" s="27" t="s">
        <v>14169</v>
      </c>
      <c r="F389" s="12">
        <v>1</v>
      </c>
    </row>
    <row r="390" spans="2:6" x14ac:dyDescent="0.25">
      <c r="B390" s="12" t="s">
        <v>13577</v>
      </c>
      <c r="E390" s="27" t="s">
        <v>14170</v>
      </c>
      <c r="F390" s="12">
        <v>1</v>
      </c>
    </row>
    <row r="391" spans="2:6" x14ac:dyDescent="0.25">
      <c r="B391" s="12" t="s">
        <v>14171</v>
      </c>
      <c r="E391" s="27" t="s">
        <v>14172</v>
      </c>
      <c r="F391" s="12">
        <v>1</v>
      </c>
    </row>
    <row r="392" spans="2:6" x14ac:dyDescent="0.25">
      <c r="B392" s="12" t="s">
        <v>14173</v>
      </c>
      <c r="E392" s="27" t="s">
        <v>14174</v>
      </c>
      <c r="F392" s="12">
        <v>1</v>
      </c>
    </row>
    <row r="393" spans="2:6" x14ac:dyDescent="0.25">
      <c r="B393" s="12" t="s">
        <v>14175</v>
      </c>
      <c r="E393" s="27" t="s">
        <v>14176</v>
      </c>
      <c r="F393" s="12">
        <v>1</v>
      </c>
    </row>
    <row r="394" spans="2:6" x14ac:dyDescent="0.25">
      <c r="B394" s="12" t="s">
        <v>14177</v>
      </c>
      <c r="E394" s="27" t="s">
        <v>14178</v>
      </c>
      <c r="F394" s="12">
        <v>1</v>
      </c>
    </row>
    <row r="395" spans="2:6" x14ac:dyDescent="0.25">
      <c r="B395" s="12" t="s">
        <v>14179</v>
      </c>
      <c r="E395" s="27" t="s">
        <v>14180</v>
      </c>
      <c r="F395" s="12">
        <v>1</v>
      </c>
    </row>
    <row r="396" spans="2:6" x14ac:dyDescent="0.25">
      <c r="B396" s="12" t="s">
        <v>14181</v>
      </c>
      <c r="E396" s="27" t="s">
        <v>14182</v>
      </c>
      <c r="F396" s="12">
        <v>1</v>
      </c>
    </row>
    <row r="397" spans="2:6" x14ac:dyDescent="0.25">
      <c r="B397" s="12" t="s">
        <v>14183</v>
      </c>
      <c r="E397" s="27" t="s">
        <v>14184</v>
      </c>
      <c r="F397" s="12">
        <v>1</v>
      </c>
    </row>
    <row r="398" spans="2:6" x14ac:dyDescent="0.25">
      <c r="B398" s="12" t="s">
        <v>14185</v>
      </c>
      <c r="E398" s="27" t="s">
        <v>14186</v>
      </c>
      <c r="F398" s="12">
        <v>1</v>
      </c>
    </row>
    <row r="399" spans="2:6" x14ac:dyDescent="0.25">
      <c r="B399" s="12" t="s">
        <v>14187</v>
      </c>
      <c r="E399" s="27" t="s">
        <v>14188</v>
      </c>
      <c r="F399" s="12">
        <v>1</v>
      </c>
    </row>
    <row r="400" spans="2:6" x14ac:dyDescent="0.25">
      <c r="B400" s="12" t="s">
        <v>14189</v>
      </c>
      <c r="E400" s="27" t="s">
        <v>14190</v>
      </c>
      <c r="F400" s="12">
        <v>1</v>
      </c>
    </row>
    <row r="401" spans="2:6" x14ac:dyDescent="0.25">
      <c r="B401" s="12" t="s">
        <v>14191</v>
      </c>
      <c r="E401" s="27" t="s">
        <v>14192</v>
      </c>
      <c r="F401" s="12">
        <v>1</v>
      </c>
    </row>
    <row r="402" spans="2:6" x14ac:dyDescent="0.25">
      <c r="B402" s="12" t="s">
        <v>14193</v>
      </c>
      <c r="E402" s="27" t="s">
        <v>14194</v>
      </c>
      <c r="F402" s="12">
        <v>1</v>
      </c>
    </row>
    <row r="403" spans="2:6" x14ac:dyDescent="0.25">
      <c r="B403" s="12" t="s">
        <v>14195</v>
      </c>
      <c r="E403" s="27" t="s">
        <v>14196</v>
      </c>
      <c r="F403" s="12">
        <v>1</v>
      </c>
    </row>
    <row r="404" spans="2:6" x14ac:dyDescent="0.25">
      <c r="B404" s="12" t="s">
        <v>14197</v>
      </c>
      <c r="E404" s="27" t="s">
        <v>14198</v>
      </c>
      <c r="F404" s="12">
        <v>1</v>
      </c>
    </row>
    <row r="405" spans="2:6" x14ac:dyDescent="0.25">
      <c r="B405" s="12" t="s">
        <v>14199</v>
      </c>
      <c r="E405" s="27" t="s">
        <v>14200</v>
      </c>
      <c r="F405" s="12">
        <v>1</v>
      </c>
    </row>
    <row r="406" spans="2:6" x14ac:dyDescent="0.25">
      <c r="B406" s="12" t="s">
        <v>14201</v>
      </c>
      <c r="E406" s="27" t="s">
        <v>14202</v>
      </c>
      <c r="F406" s="12">
        <v>1</v>
      </c>
    </row>
    <row r="407" spans="2:6" x14ac:dyDescent="0.25">
      <c r="B407" s="12" t="s">
        <v>14203</v>
      </c>
      <c r="E407" s="27" t="s">
        <v>14204</v>
      </c>
      <c r="F407" s="12">
        <v>1</v>
      </c>
    </row>
    <row r="408" spans="2:6" x14ac:dyDescent="0.25">
      <c r="B408" s="12" t="s">
        <v>14205</v>
      </c>
      <c r="E408" s="27" t="s">
        <v>14206</v>
      </c>
      <c r="F408" s="12">
        <v>1</v>
      </c>
    </row>
    <row r="409" spans="2:6" x14ac:dyDescent="0.25">
      <c r="B409" s="12" t="s">
        <v>14207</v>
      </c>
      <c r="E409" s="27" t="s">
        <v>14208</v>
      </c>
      <c r="F409" s="12">
        <v>1</v>
      </c>
    </row>
    <row r="410" spans="2:6" x14ac:dyDescent="0.25">
      <c r="B410" s="12" t="s">
        <v>14209</v>
      </c>
      <c r="E410" s="27" t="s">
        <v>14210</v>
      </c>
      <c r="F410" s="12">
        <v>1</v>
      </c>
    </row>
    <row r="411" spans="2:6" x14ac:dyDescent="0.25">
      <c r="B411" s="12" t="s">
        <v>14211</v>
      </c>
      <c r="E411" s="27" t="s">
        <v>14212</v>
      </c>
      <c r="F411" s="12">
        <v>1</v>
      </c>
    </row>
    <row r="412" spans="2:6" x14ac:dyDescent="0.25">
      <c r="B412" s="12" t="s">
        <v>14213</v>
      </c>
      <c r="E412" s="27" t="s">
        <v>14214</v>
      </c>
      <c r="F412" s="12">
        <v>1</v>
      </c>
    </row>
    <row r="413" spans="2:6" x14ac:dyDescent="0.25">
      <c r="B413" s="12" t="s">
        <v>14215</v>
      </c>
      <c r="E413" s="27" t="s">
        <v>14216</v>
      </c>
      <c r="F413" s="12">
        <v>1</v>
      </c>
    </row>
    <row r="414" spans="2:6" x14ac:dyDescent="0.25">
      <c r="B414" s="12" t="s">
        <v>14217</v>
      </c>
      <c r="E414" s="27" t="s">
        <v>11625</v>
      </c>
      <c r="F414" s="12">
        <v>1</v>
      </c>
    </row>
    <row r="415" spans="2:6" x14ac:dyDescent="0.25">
      <c r="B415" s="12" t="s">
        <v>14218</v>
      </c>
      <c r="E415" s="27" t="s">
        <v>14219</v>
      </c>
      <c r="F415" s="12">
        <v>1</v>
      </c>
    </row>
    <row r="416" spans="2:6" x14ac:dyDescent="0.25">
      <c r="B416" s="12" t="s">
        <v>14220</v>
      </c>
      <c r="E416" s="27" t="s">
        <v>14221</v>
      </c>
      <c r="F416" s="12">
        <v>1</v>
      </c>
    </row>
    <row r="417" spans="2:6" x14ac:dyDescent="0.25">
      <c r="B417" s="12" t="s">
        <v>14222</v>
      </c>
      <c r="E417" s="27" t="s">
        <v>14223</v>
      </c>
      <c r="F417" s="12">
        <v>1</v>
      </c>
    </row>
    <row r="418" spans="2:6" x14ac:dyDescent="0.25">
      <c r="B418" s="12" t="s">
        <v>14224</v>
      </c>
      <c r="E418" s="27" t="s">
        <v>14225</v>
      </c>
      <c r="F418" s="12">
        <v>1</v>
      </c>
    </row>
    <row r="419" spans="2:6" x14ac:dyDescent="0.25">
      <c r="B419" s="12" t="s">
        <v>14226</v>
      </c>
      <c r="E419" s="27" t="s">
        <v>14227</v>
      </c>
      <c r="F419" s="12">
        <v>1</v>
      </c>
    </row>
    <row r="420" spans="2:6" x14ac:dyDescent="0.25">
      <c r="B420" s="12" t="s">
        <v>14228</v>
      </c>
      <c r="E420" s="27" t="s">
        <v>14229</v>
      </c>
      <c r="F420" s="12">
        <v>1</v>
      </c>
    </row>
    <row r="421" spans="2:6" x14ac:dyDescent="0.25">
      <c r="B421" s="12" t="s">
        <v>14230</v>
      </c>
      <c r="E421" s="27" t="s">
        <v>14231</v>
      </c>
      <c r="F421" s="12">
        <v>1</v>
      </c>
    </row>
    <row r="422" spans="2:6" x14ac:dyDescent="0.25">
      <c r="B422" s="12" t="s">
        <v>14232</v>
      </c>
      <c r="E422" s="27" t="s">
        <v>14233</v>
      </c>
      <c r="F422" s="12">
        <v>1</v>
      </c>
    </row>
    <row r="423" spans="2:6" x14ac:dyDescent="0.25">
      <c r="B423" s="12" t="s">
        <v>14234</v>
      </c>
      <c r="E423" s="27" t="s">
        <v>14235</v>
      </c>
      <c r="F423" s="12">
        <v>1</v>
      </c>
    </row>
    <row r="424" spans="2:6" x14ac:dyDescent="0.25">
      <c r="B424" s="12" t="s">
        <v>14236</v>
      </c>
      <c r="E424" s="27" t="s">
        <v>9744</v>
      </c>
      <c r="F424" s="12">
        <v>1</v>
      </c>
    </row>
    <row r="425" spans="2:6" x14ac:dyDescent="0.25">
      <c r="B425" s="12" t="s">
        <v>14237</v>
      </c>
      <c r="E425" s="27" t="s">
        <v>14238</v>
      </c>
      <c r="F425" s="12">
        <v>1</v>
      </c>
    </row>
    <row r="426" spans="2:6" x14ac:dyDescent="0.25">
      <c r="B426" s="12" t="s">
        <v>14239</v>
      </c>
      <c r="E426" s="27" t="s">
        <v>14240</v>
      </c>
      <c r="F426" s="12">
        <v>1</v>
      </c>
    </row>
    <row r="427" spans="2:6" x14ac:dyDescent="0.25">
      <c r="B427" s="12" t="s">
        <v>14241</v>
      </c>
      <c r="E427" s="27" t="s">
        <v>14242</v>
      </c>
      <c r="F427" s="12">
        <v>1</v>
      </c>
    </row>
    <row r="428" spans="2:6" x14ac:dyDescent="0.25">
      <c r="B428" s="12" t="s">
        <v>14243</v>
      </c>
      <c r="E428" s="27" t="s">
        <v>14244</v>
      </c>
      <c r="F428" s="12">
        <v>1</v>
      </c>
    </row>
    <row r="429" spans="2:6" x14ac:dyDescent="0.25">
      <c r="B429" s="12" t="s">
        <v>14245</v>
      </c>
      <c r="E429" s="27" t="s">
        <v>14246</v>
      </c>
      <c r="F429" s="12">
        <v>1</v>
      </c>
    </row>
    <row r="430" spans="2:6" x14ac:dyDescent="0.25">
      <c r="B430" s="12" t="s">
        <v>14247</v>
      </c>
      <c r="E430" s="27" t="s">
        <v>14248</v>
      </c>
      <c r="F430" s="12">
        <v>1</v>
      </c>
    </row>
    <row r="431" spans="2:6" x14ac:dyDescent="0.25">
      <c r="B431" s="12" t="s">
        <v>14249</v>
      </c>
      <c r="E431" s="27" t="s">
        <v>14250</v>
      </c>
      <c r="F431" s="12">
        <v>1</v>
      </c>
    </row>
    <row r="432" spans="2:6" x14ac:dyDescent="0.25">
      <c r="B432" s="12" t="s">
        <v>14251</v>
      </c>
      <c r="E432" s="27" t="s">
        <v>14252</v>
      </c>
      <c r="F432" s="12">
        <v>1</v>
      </c>
    </row>
    <row r="433" spans="2:6" x14ac:dyDescent="0.25">
      <c r="B433" s="12" t="s">
        <v>14253</v>
      </c>
      <c r="E433" s="27" t="s">
        <v>14254</v>
      </c>
      <c r="F433" s="12">
        <v>1</v>
      </c>
    </row>
    <row r="434" spans="2:6" x14ac:dyDescent="0.25">
      <c r="B434" s="12" t="s">
        <v>14255</v>
      </c>
      <c r="E434" s="27" t="s">
        <v>14256</v>
      </c>
      <c r="F434" s="12">
        <v>1</v>
      </c>
    </row>
    <row r="435" spans="2:6" x14ac:dyDescent="0.25">
      <c r="B435" s="12" t="s">
        <v>14257</v>
      </c>
      <c r="E435" s="27" t="s">
        <v>14258</v>
      </c>
      <c r="F435" s="12">
        <v>1</v>
      </c>
    </row>
    <row r="436" spans="2:6" x14ac:dyDescent="0.25">
      <c r="B436" s="12" t="s">
        <v>14259</v>
      </c>
      <c r="E436" s="27" t="s">
        <v>14260</v>
      </c>
      <c r="F436" s="12">
        <v>1</v>
      </c>
    </row>
    <row r="437" spans="2:6" x14ac:dyDescent="0.25">
      <c r="B437" s="12" t="s">
        <v>14261</v>
      </c>
      <c r="E437" s="27" t="s">
        <v>14262</v>
      </c>
      <c r="F437" s="12">
        <v>1</v>
      </c>
    </row>
    <row r="438" spans="2:6" x14ac:dyDescent="0.25">
      <c r="B438" s="12" t="s">
        <v>14263</v>
      </c>
      <c r="E438" s="27" t="s">
        <v>14264</v>
      </c>
      <c r="F438" s="12">
        <v>1</v>
      </c>
    </row>
    <row r="439" spans="2:6" x14ac:dyDescent="0.25">
      <c r="B439" s="12" t="s">
        <v>13564</v>
      </c>
      <c r="E439" s="27" t="s">
        <v>12531</v>
      </c>
      <c r="F439" s="12">
        <v>1</v>
      </c>
    </row>
    <row r="440" spans="2:6" x14ac:dyDescent="0.25">
      <c r="B440" s="12" t="s">
        <v>13564</v>
      </c>
      <c r="E440" s="27" t="s">
        <v>14265</v>
      </c>
      <c r="F440" s="12">
        <v>1</v>
      </c>
    </row>
    <row r="441" spans="2:6" x14ac:dyDescent="0.25">
      <c r="B441" s="12" t="s">
        <v>14266</v>
      </c>
      <c r="E441" s="27" t="s">
        <v>14267</v>
      </c>
      <c r="F441" s="12">
        <v>1</v>
      </c>
    </row>
    <row r="442" spans="2:6" x14ac:dyDescent="0.25">
      <c r="B442" s="12" t="s">
        <v>14268</v>
      </c>
      <c r="E442" s="27" t="s">
        <v>14269</v>
      </c>
      <c r="F442" s="12">
        <v>1</v>
      </c>
    </row>
    <row r="443" spans="2:6" x14ac:dyDescent="0.25">
      <c r="B443" s="12" t="s">
        <v>14270</v>
      </c>
      <c r="E443" s="27" t="s">
        <v>14271</v>
      </c>
      <c r="F443" s="12">
        <v>1</v>
      </c>
    </row>
    <row r="444" spans="2:6" x14ac:dyDescent="0.25">
      <c r="B444" s="12" t="s">
        <v>14272</v>
      </c>
      <c r="E444" s="27" t="s">
        <v>14273</v>
      </c>
      <c r="F444" s="12">
        <v>1</v>
      </c>
    </row>
    <row r="445" spans="2:6" x14ac:dyDescent="0.25">
      <c r="B445" s="12" t="s">
        <v>14274</v>
      </c>
      <c r="E445" s="27" t="s">
        <v>14275</v>
      </c>
      <c r="F445" s="12">
        <v>1</v>
      </c>
    </row>
    <row r="446" spans="2:6" x14ac:dyDescent="0.25">
      <c r="B446" s="12" t="s">
        <v>14276</v>
      </c>
      <c r="E446" s="27" t="s">
        <v>14277</v>
      </c>
      <c r="F446" s="12">
        <v>1</v>
      </c>
    </row>
    <row r="447" spans="2:6" x14ac:dyDescent="0.25">
      <c r="B447" s="12" t="s">
        <v>14278</v>
      </c>
      <c r="E447" s="27" t="s">
        <v>14279</v>
      </c>
      <c r="F447" s="12">
        <v>1</v>
      </c>
    </row>
    <row r="448" spans="2:6" x14ac:dyDescent="0.25">
      <c r="B448" s="12" t="s">
        <v>14280</v>
      </c>
      <c r="E448" s="27" t="s">
        <v>14281</v>
      </c>
      <c r="F448" s="12">
        <v>1</v>
      </c>
    </row>
    <row r="449" spans="2:6" x14ac:dyDescent="0.25">
      <c r="B449" s="12" t="s">
        <v>14282</v>
      </c>
      <c r="E449" s="27" t="s">
        <v>14283</v>
      </c>
      <c r="F449" s="12">
        <v>1</v>
      </c>
    </row>
    <row r="450" spans="2:6" x14ac:dyDescent="0.25">
      <c r="B450" s="12" t="s">
        <v>14284</v>
      </c>
      <c r="E450" s="27" t="s">
        <v>14285</v>
      </c>
      <c r="F450" s="12">
        <v>1</v>
      </c>
    </row>
    <row r="451" spans="2:6" x14ac:dyDescent="0.25">
      <c r="B451" s="12" t="s">
        <v>14286</v>
      </c>
      <c r="E451" s="27" t="s">
        <v>14287</v>
      </c>
      <c r="F451" s="12">
        <v>1</v>
      </c>
    </row>
    <row r="452" spans="2:6" x14ac:dyDescent="0.25">
      <c r="B452" s="12" t="s">
        <v>13448</v>
      </c>
      <c r="E452" s="27" t="s">
        <v>14288</v>
      </c>
      <c r="F452" s="12">
        <v>1</v>
      </c>
    </row>
    <row r="453" spans="2:6" x14ac:dyDescent="0.25">
      <c r="B453" s="12" t="s">
        <v>13448</v>
      </c>
      <c r="E453" s="27" t="s">
        <v>14289</v>
      </c>
      <c r="F453" s="12">
        <v>1</v>
      </c>
    </row>
    <row r="454" spans="2:6" x14ac:dyDescent="0.25">
      <c r="B454" s="12" t="s">
        <v>13448</v>
      </c>
      <c r="E454" s="27" t="s">
        <v>14290</v>
      </c>
      <c r="F454" s="12">
        <v>1</v>
      </c>
    </row>
    <row r="455" spans="2:6" x14ac:dyDescent="0.25">
      <c r="B455" s="12" t="s">
        <v>13448</v>
      </c>
      <c r="E455" s="27" t="s">
        <v>14291</v>
      </c>
      <c r="F455" s="12">
        <v>1</v>
      </c>
    </row>
    <row r="456" spans="2:6" x14ac:dyDescent="0.25">
      <c r="B456" s="12" t="s">
        <v>14292</v>
      </c>
      <c r="E456" s="27" t="s">
        <v>14293</v>
      </c>
      <c r="F456" s="12">
        <v>1</v>
      </c>
    </row>
    <row r="457" spans="2:6" x14ac:dyDescent="0.25">
      <c r="B457" s="12" t="s">
        <v>14294</v>
      </c>
      <c r="E457" s="27" t="s">
        <v>14295</v>
      </c>
      <c r="F457" s="12">
        <v>1</v>
      </c>
    </row>
    <row r="458" spans="2:6" x14ac:dyDescent="0.25">
      <c r="B458" s="12" t="s">
        <v>14296</v>
      </c>
      <c r="E458" s="27" t="s">
        <v>14297</v>
      </c>
      <c r="F458" s="12">
        <v>1</v>
      </c>
    </row>
    <row r="459" spans="2:6" x14ac:dyDescent="0.25">
      <c r="B459" s="12" t="s">
        <v>14298</v>
      </c>
      <c r="E459" s="27" t="s">
        <v>14299</v>
      </c>
      <c r="F459" s="12">
        <v>1</v>
      </c>
    </row>
    <row r="460" spans="2:6" x14ac:dyDescent="0.25">
      <c r="B460" s="12" t="s">
        <v>14300</v>
      </c>
      <c r="E460" s="27" t="s">
        <v>14301</v>
      </c>
      <c r="F460" s="12">
        <v>1</v>
      </c>
    </row>
    <row r="461" spans="2:6" x14ac:dyDescent="0.25">
      <c r="B461" s="12" t="s">
        <v>14302</v>
      </c>
      <c r="E461" s="27" t="s">
        <v>14303</v>
      </c>
      <c r="F461" s="12">
        <v>1</v>
      </c>
    </row>
    <row r="462" spans="2:6" x14ac:dyDescent="0.25">
      <c r="B462" s="12" t="s">
        <v>14304</v>
      </c>
      <c r="E462" s="27" t="s">
        <v>14305</v>
      </c>
      <c r="F462" s="12">
        <v>1</v>
      </c>
    </row>
    <row r="463" spans="2:6" x14ac:dyDescent="0.25">
      <c r="B463" s="12" t="s">
        <v>14306</v>
      </c>
      <c r="E463" s="27" t="s">
        <v>14307</v>
      </c>
      <c r="F463" s="12">
        <v>1</v>
      </c>
    </row>
    <row r="464" spans="2:6" x14ac:dyDescent="0.25">
      <c r="B464" s="12" t="s">
        <v>14308</v>
      </c>
      <c r="E464" s="27" t="s">
        <v>10546</v>
      </c>
      <c r="F464" s="12">
        <v>1</v>
      </c>
    </row>
    <row r="465" spans="2:6" x14ac:dyDescent="0.25">
      <c r="B465" s="12" t="s">
        <v>14309</v>
      </c>
      <c r="E465" s="27" t="s">
        <v>14310</v>
      </c>
      <c r="F465" s="12">
        <v>1</v>
      </c>
    </row>
    <row r="466" spans="2:6" x14ac:dyDescent="0.25">
      <c r="B466" s="12" t="s">
        <v>14311</v>
      </c>
      <c r="E466" s="27" t="s">
        <v>14312</v>
      </c>
      <c r="F466" s="12">
        <v>1</v>
      </c>
    </row>
    <row r="467" spans="2:6" x14ac:dyDescent="0.25">
      <c r="B467" s="12" t="s">
        <v>14313</v>
      </c>
      <c r="E467" s="27" t="s">
        <v>14314</v>
      </c>
      <c r="F467" s="12">
        <v>1</v>
      </c>
    </row>
    <row r="468" spans="2:6" x14ac:dyDescent="0.25">
      <c r="B468" s="12" t="s">
        <v>14315</v>
      </c>
      <c r="E468" s="27" t="s">
        <v>14316</v>
      </c>
      <c r="F468" s="12">
        <v>1</v>
      </c>
    </row>
    <row r="469" spans="2:6" x14ac:dyDescent="0.25">
      <c r="B469" s="12" t="s">
        <v>14317</v>
      </c>
      <c r="E469" s="27" t="s">
        <v>14318</v>
      </c>
      <c r="F469" s="12">
        <v>1</v>
      </c>
    </row>
    <row r="470" spans="2:6" x14ac:dyDescent="0.25">
      <c r="B470" s="12" t="s">
        <v>14319</v>
      </c>
      <c r="E470" s="27" t="s">
        <v>14320</v>
      </c>
      <c r="F470" s="12">
        <v>1</v>
      </c>
    </row>
    <row r="471" spans="2:6" x14ac:dyDescent="0.25">
      <c r="B471" s="12" t="s">
        <v>14321</v>
      </c>
      <c r="E471" s="27" t="s">
        <v>14322</v>
      </c>
      <c r="F471" s="12">
        <v>1</v>
      </c>
    </row>
    <row r="472" spans="2:6" x14ac:dyDescent="0.25">
      <c r="B472" s="12" t="s">
        <v>14323</v>
      </c>
      <c r="E472" s="27" t="s">
        <v>14324</v>
      </c>
      <c r="F472" s="12">
        <v>1</v>
      </c>
    </row>
    <row r="473" spans="2:6" x14ac:dyDescent="0.25">
      <c r="B473" s="12" t="s">
        <v>14325</v>
      </c>
      <c r="E473" s="27" t="s">
        <v>14326</v>
      </c>
      <c r="F473" s="12">
        <v>1</v>
      </c>
    </row>
    <row r="474" spans="2:6" x14ac:dyDescent="0.25">
      <c r="B474" s="12" t="s">
        <v>14327</v>
      </c>
      <c r="E474" s="27" t="s">
        <v>14328</v>
      </c>
      <c r="F474" s="12">
        <v>1</v>
      </c>
    </row>
    <row r="475" spans="2:6" x14ac:dyDescent="0.25">
      <c r="B475" s="12" t="s">
        <v>14329</v>
      </c>
      <c r="E475" s="27" t="s">
        <v>14330</v>
      </c>
      <c r="F475" s="12">
        <v>1</v>
      </c>
    </row>
    <row r="476" spans="2:6" x14ac:dyDescent="0.25">
      <c r="B476" s="12" t="s">
        <v>14331</v>
      </c>
      <c r="E476" s="27" t="s">
        <v>14332</v>
      </c>
      <c r="F476" s="12">
        <v>1</v>
      </c>
    </row>
    <row r="477" spans="2:6" x14ac:dyDescent="0.25">
      <c r="B477" s="12" t="s">
        <v>13566</v>
      </c>
      <c r="E477" s="27" t="s">
        <v>14333</v>
      </c>
      <c r="F477" s="12">
        <v>1</v>
      </c>
    </row>
    <row r="478" spans="2:6" x14ac:dyDescent="0.25">
      <c r="B478" s="12" t="s">
        <v>13566</v>
      </c>
      <c r="E478" s="27" t="s">
        <v>14334</v>
      </c>
      <c r="F478" s="12">
        <v>1</v>
      </c>
    </row>
    <row r="479" spans="2:6" x14ac:dyDescent="0.25">
      <c r="B479" s="12" t="s">
        <v>14335</v>
      </c>
      <c r="E479" s="27" t="s">
        <v>14336</v>
      </c>
      <c r="F479" s="12">
        <v>1</v>
      </c>
    </row>
    <row r="480" spans="2:6" x14ac:dyDescent="0.25">
      <c r="B480" s="12" t="s">
        <v>14337</v>
      </c>
      <c r="E480" s="27" t="s">
        <v>14338</v>
      </c>
      <c r="F480" s="12">
        <v>1</v>
      </c>
    </row>
    <row r="481" spans="2:6" x14ac:dyDescent="0.25">
      <c r="B481" s="12" t="s">
        <v>14339</v>
      </c>
      <c r="E481" s="27" t="s">
        <v>3177</v>
      </c>
      <c r="F481" s="12">
        <v>1</v>
      </c>
    </row>
    <row r="482" spans="2:6" x14ac:dyDescent="0.25">
      <c r="B482" s="12" t="s">
        <v>14340</v>
      </c>
      <c r="E482" s="27" t="s">
        <v>14341</v>
      </c>
      <c r="F482" s="12">
        <v>1</v>
      </c>
    </row>
    <row r="483" spans="2:6" x14ac:dyDescent="0.25">
      <c r="B483" s="12" t="s">
        <v>14342</v>
      </c>
      <c r="E483" s="27" t="s">
        <v>14343</v>
      </c>
      <c r="F483" s="12">
        <v>1</v>
      </c>
    </row>
    <row r="484" spans="2:6" x14ac:dyDescent="0.25">
      <c r="B484" s="12" t="s">
        <v>14344</v>
      </c>
      <c r="E484" s="27" t="s">
        <v>14345</v>
      </c>
      <c r="F484" s="12">
        <v>1</v>
      </c>
    </row>
    <row r="485" spans="2:6" x14ac:dyDescent="0.25">
      <c r="B485" s="12" t="s">
        <v>14346</v>
      </c>
      <c r="E485" s="27" t="s">
        <v>14347</v>
      </c>
      <c r="F485" s="12">
        <v>1</v>
      </c>
    </row>
    <row r="486" spans="2:6" x14ac:dyDescent="0.25">
      <c r="B486" s="12" t="s">
        <v>14348</v>
      </c>
      <c r="E486" s="27" t="s">
        <v>14349</v>
      </c>
      <c r="F486" s="12">
        <v>1</v>
      </c>
    </row>
    <row r="487" spans="2:6" x14ac:dyDescent="0.25">
      <c r="B487" s="12" t="s">
        <v>14350</v>
      </c>
      <c r="E487" s="27" t="s">
        <v>14351</v>
      </c>
      <c r="F487" s="12">
        <v>1</v>
      </c>
    </row>
    <row r="488" spans="2:6" x14ac:dyDescent="0.25">
      <c r="B488" s="12" t="s">
        <v>14352</v>
      </c>
      <c r="E488" s="27" t="s">
        <v>14353</v>
      </c>
      <c r="F488" s="12">
        <v>1</v>
      </c>
    </row>
    <row r="489" spans="2:6" x14ac:dyDescent="0.25">
      <c r="B489" s="12" t="s">
        <v>14354</v>
      </c>
      <c r="E489" s="27" t="s">
        <v>14355</v>
      </c>
      <c r="F489" s="12">
        <v>1</v>
      </c>
    </row>
    <row r="490" spans="2:6" x14ac:dyDescent="0.25">
      <c r="B490" s="12" t="s">
        <v>14356</v>
      </c>
      <c r="E490" s="27" t="s">
        <v>14357</v>
      </c>
      <c r="F490" s="12">
        <v>1</v>
      </c>
    </row>
    <row r="491" spans="2:6" x14ac:dyDescent="0.25">
      <c r="B491" s="12" t="s">
        <v>14358</v>
      </c>
      <c r="E491" s="27" t="s">
        <v>14359</v>
      </c>
      <c r="F491" s="12">
        <v>1</v>
      </c>
    </row>
    <row r="492" spans="2:6" x14ac:dyDescent="0.25">
      <c r="B492" s="12" t="s">
        <v>14360</v>
      </c>
      <c r="E492" s="27" t="s">
        <v>14361</v>
      </c>
      <c r="F492" s="12">
        <v>1</v>
      </c>
    </row>
    <row r="493" spans="2:6" x14ac:dyDescent="0.25">
      <c r="B493" s="12" t="s">
        <v>14362</v>
      </c>
      <c r="E493" s="27" t="s">
        <v>14363</v>
      </c>
      <c r="F493" s="12">
        <v>1</v>
      </c>
    </row>
    <row r="494" spans="2:6" x14ac:dyDescent="0.25">
      <c r="B494" s="12" t="s">
        <v>14364</v>
      </c>
      <c r="E494" s="27" t="s">
        <v>14365</v>
      </c>
      <c r="F494" s="12">
        <v>1</v>
      </c>
    </row>
    <row r="495" spans="2:6" x14ac:dyDescent="0.25">
      <c r="B495" s="12" t="s">
        <v>14366</v>
      </c>
      <c r="E495" s="27" t="s">
        <v>14367</v>
      </c>
      <c r="F495" s="12">
        <v>1</v>
      </c>
    </row>
    <row r="496" spans="2:6" x14ac:dyDescent="0.25">
      <c r="B496" s="12" t="s">
        <v>14368</v>
      </c>
      <c r="E496" s="27" t="s">
        <v>14369</v>
      </c>
      <c r="F496" s="12">
        <v>1</v>
      </c>
    </row>
    <row r="497" spans="2:6" x14ac:dyDescent="0.25">
      <c r="B497" s="12" t="s">
        <v>14370</v>
      </c>
      <c r="E497" s="27" t="s">
        <v>14371</v>
      </c>
      <c r="F497" s="12">
        <v>1</v>
      </c>
    </row>
    <row r="498" spans="2:6" x14ac:dyDescent="0.25">
      <c r="B498" s="12" t="s">
        <v>14372</v>
      </c>
      <c r="E498" s="27" t="s">
        <v>14373</v>
      </c>
      <c r="F498" s="12">
        <v>1</v>
      </c>
    </row>
    <row r="499" spans="2:6" x14ac:dyDescent="0.25">
      <c r="B499" s="12" t="s">
        <v>14374</v>
      </c>
      <c r="E499" s="27" t="s">
        <v>14375</v>
      </c>
      <c r="F499" s="12">
        <v>1</v>
      </c>
    </row>
    <row r="500" spans="2:6" x14ac:dyDescent="0.25">
      <c r="B500" s="12" t="s">
        <v>14376</v>
      </c>
      <c r="E500" s="27" t="s">
        <v>14377</v>
      </c>
      <c r="F500" s="12">
        <v>1</v>
      </c>
    </row>
    <row r="501" spans="2:6" x14ac:dyDescent="0.25">
      <c r="B501" s="12" t="s">
        <v>14378</v>
      </c>
      <c r="E501" s="27" t="s">
        <v>14379</v>
      </c>
      <c r="F501" s="12">
        <v>1</v>
      </c>
    </row>
    <row r="502" spans="2:6" x14ac:dyDescent="0.25">
      <c r="B502" s="12" t="s">
        <v>14380</v>
      </c>
      <c r="E502" s="27" t="s">
        <v>11178</v>
      </c>
      <c r="F502" s="12">
        <v>1</v>
      </c>
    </row>
    <row r="503" spans="2:6" x14ac:dyDescent="0.25">
      <c r="B503" s="12" t="s">
        <v>14381</v>
      </c>
      <c r="E503" s="27" t="s">
        <v>14382</v>
      </c>
      <c r="F503" s="12">
        <v>1</v>
      </c>
    </row>
    <row r="504" spans="2:6" x14ac:dyDescent="0.25">
      <c r="B504" s="12" t="s">
        <v>14383</v>
      </c>
      <c r="E504" s="27" t="s">
        <v>14384</v>
      </c>
      <c r="F504" s="12">
        <v>1</v>
      </c>
    </row>
    <row r="505" spans="2:6" x14ac:dyDescent="0.25">
      <c r="B505" s="12" t="s">
        <v>14385</v>
      </c>
      <c r="E505" s="27" t="s">
        <v>14386</v>
      </c>
      <c r="F505" s="12">
        <v>1</v>
      </c>
    </row>
    <row r="506" spans="2:6" x14ac:dyDescent="0.25">
      <c r="B506" s="12" t="s">
        <v>14387</v>
      </c>
      <c r="E506" s="27" t="s">
        <v>14388</v>
      </c>
      <c r="F506" s="12">
        <v>1</v>
      </c>
    </row>
    <row r="507" spans="2:6" x14ac:dyDescent="0.25">
      <c r="B507" s="12" t="s">
        <v>14389</v>
      </c>
      <c r="E507" s="27" t="s">
        <v>14390</v>
      </c>
      <c r="F507" s="12">
        <v>1</v>
      </c>
    </row>
    <row r="508" spans="2:6" x14ac:dyDescent="0.25">
      <c r="B508" s="12" t="s">
        <v>14391</v>
      </c>
      <c r="E508" s="27" t="s">
        <v>14392</v>
      </c>
      <c r="F508" s="12">
        <v>1</v>
      </c>
    </row>
    <row r="509" spans="2:6" x14ac:dyDescent="0.25">
      <c r="B509" s="12" t="s">
        <v>14393</v>
      </c>
      <c r="E509" s="27" t="s">
        <v>7353</v>
      </c>
      <c r="F509" s="12">
        <v>1</v>
      </c>
    </row>
    <row r="510" spans="2:6" x14ac:dyDescent="0.25">
      <c r="B510" s="12" t="s">
        <v>14394</v>
      </c>
      <c r="E510" s="27" t="s">
        <v>14395</v>
      </c>
      <c r="F510" s="12">
        <v>1</v>
      </c>
    </row>
    <row r="511" spans="2:6" x14ac:dyDescent="0.25">
      <c r="B511" s="12" t="s">
        <v>14396</v>
      </c>
      <c r="E511" s="27" t="s">
        <v>14397</v>
      </c>
      <c r="F511" s="12">
        <v>1</v>
      </c>
    </row>
    <row r="512" spans="2:6" x14ac:dyDescent="0.25">
      <c r="B512" s="12" t="s">
        <v>14398</v>
      </c>
      <c r="E512" s="27" t="s">
        <v>14399</v>
      </c>
      <c r="F512" s="12">
        <v>1</v>
      </c>
    </row>
    <row r="513" spans="2:6" x14ac:dyDescent="0.25">
      <c r="B513" s="12" t="s">
        <v>14400</v>
      </c>
      <c r="E513" s="27" t="s">
        <v>14401</v>
      </c>
      <c r="F513" s="12">
        <v>1</v>
      </c>
    </row>
    <row r="514" spans="2:6" x14ac:dyDescent="0.25">
      <c r="B514" s="12" t="s">
        <v>14402</v>
      </c>
      <c r="E514" s="27" t="s">
        <v>14403</v>
      </c>
      <c r="F514" s="12">
        <v>1</v>
      </c>
    </row>
    <row r="515" spans="2:6" x14ac:dyDescent="0.25">
      <c r="B515" s="12" t="s">
        <v>14404</v>
      </c>
      <c r="E515" s="27" t="s">
        <v>14405</v>
      </c>
      <c r="F515" s="12">
        <v>1</v>
      </c>
    </row>
    <row r="516" spans="2:6" x14ac:dyDescent="0.25">
      <c r="B516" s="12" t="s">
        <v>14406</v>
      </c>
      <c r="E516" s="27" t="s">
        <v>14407</v>
      </c>
      <c r="F516" s="12">
        <v>1</v>
      </c>
    </row>
    <row r="517" spans="2:6" x14ac:dyDescent="0.25">
      <c r="B517" s="12" t="s">
        <v>14408</v>
      </c>
      <c r="E517" s="27" t="s">
        <v>14409</v>
      </c>
      <c r="F517" s="12">
        <v>1</v>
      </c>
    </row>
    <row r="518" spans="2:6" x14ac:dyDescent="0.25">
      <c r="B518" s="12" t="s">
        <v>14410</v>
      </c>
      <c r="E518" s="27" t="s">
        <v>14411</v>
      </c>
      <c r="F518" s="12">
        <v>1</v>
      </c>
    </row>
    <row r="519" spans="2:6" x14ac:dyDescent="0.25">
      <c r="B519" s="12" t="s">
        <v>14412</v>
      </c>
      <c r="E519" s="27" t="s">
        <v>14413</v>
      </c>
      <c r="F519" s="12">
        <v>1</v>
      </c>
    </row>
    <row r="520" spans="2:6" x14ac:dyDescent="0.25">
      <c r="B520" s="12" t="s">
        <v>14414</v>
      </c>
      <c r="E520" s="27" t="s">
        <v>14415</v>
      </c>
      <c r="F520" s="12">
        <v>1</v>
      </c>
    </row>
    <row r="521" spans="2:6" x14ac:dyDescent="0.25">
      <c r="B521" s="12" t="s">
        <v>14416</v>
      </c>
      <c r="E521" s="27" t="s">
        <v>14417</v>
      </c>
      <c r="F521" s="12">
        <v>1</v>
      </c>
    </row>
    <row r="522" spans="2:6" x14ac:dyDescent="0.25">
      <c r="B522" s="12" t="s">
        <v>14418</v>
      </c>
      <c r="E522" s="27" t="s">
        <v>14419</v>
      </c>
      <c r="F522" s="12">
        <v>1</v>
      </c>
    </row>
    <row r="523" spans="2:6" x14ac:dyDescent="0.25">
      <c r="B523" s="12" t="s">
        <v>14420</v>
      </c>
      <c r="E523" s="27" t="s">
        <v>14421</v>
      </c>
      <c r="F523" s="12">
        <v>1</v>
      </c>
    </row>
    <row r="524" spans="2:6" x14ac:dyDescent="0.25">
      <c r="B524" s="12" t="s">
        <v>14422</v>
      </c>
      <c r="E524" s="27" t="s">
        <v>14423</v>
      </c>
      <c r="F524" s="12">
        <v>1</v>
      </c>
    </row>
    <row r="525" spans="2:6" x14ac:dyDescent="0.25">
      <c r="B525" s="12" t="s">
        <v>14424</v>
      </c>
      <c r="E525" s="27" t="s">
        <v>14425</v>
      </c>
      <c r="F525" s="12">
        <v>1</v>
      </c>
    </row>
    <row r="526" spans="2:6" x14ac:dyDescent="0.25">
      <c r="B526" s="12" t="s">
        <v>14426</v>
      </c>
      <c r="E526" s="27" t="s">
        <v>14427</v>
      </c>
      <c r="F526" s="12">
        <v>1</v>
      </c>
    </row>
    <row r="527" spans="2:6" x14ac:dyDescent="0.25">
      <c r="B527" s="12" t="s">
        <v>14428</v>
      </c>
      <c r="E527" s="27" t="s">
        <v>14429</v>
      </c>
      <c r="F527" s="12">
        <v>1</v>
      </c>
    </row>
    <row r="528" spans="2:6" x14ac:dyDescent="0.25">
      <c r="B528" s="12" t="s">
        <v>14430</v>
      </c>
      <c r="E528" s="27" t="s">
        <v>14431</v>
      </c>
      <c r="F528" s="12">
        <v>1</v>
      </c>
    </row>
    <row r="529" spans="2:6" x14ac:dyDescent="0.25">
      <c r="B529" s="12" t="s">
        <v>14432</v>
      </c>
      <c r="E529" s="27" t="s">
        <v>14433</v>
      </c>
      <c r="F529" s="12">
        <v>1</v>
      </c>
    </row>
    <row r="530" spans="2:6" x14ac:dyDescent="0.25">
      <c r="B530" s="12" t="s">
        <v>14434</v>
      </c>
      <c r="E530" s="27" t="s">
        <v>14435</v>
      </c>
      <c r="F530" s="12">
        <v>1</v>
      </c>
    </row>
    <row r="531" spans="2:6" x14ac:dyDescent="0.25">
      <c r="B531" s="12" t="s">
        <v>14436</v>
      </c>
      <c r="E531" s="27" t="s">
        <v>9579</v>
      </c>
      <c r="F531" s="12">
        <v>1</v>
      </c>
    </row>
    <row r="532" spans="2:6" x14ac:dyDescent="0.25">
      <c r="B532" s="12" t="s">
        <v>14437</v>
      </c>
      <c r="E532" s="27" t="s">
        <v>14438</v>
      </c>
      <c r="F532" s="12">
        <v>1</v>
      </c>
    </row>
    <row r="533" spans="2:6" x14ac:dyDescent="0.25">
      <c r="B533" s="12" t="s">
        <v>14439</v>
      </c>
      <c r="E533" s="27" t="s">
        <v>5607</v>
      </c>
      <c r="F533" s="12">
        <v>1</v>
      </c>
    </row>
    <row r="534" spans="2:6" x14ac:dyDescent="0.25">
      <c r="B534" s="12" t="s">
        <v>14440</v>
      </c>
      <c r="E534" s="27" t="s">
        <v>14441</v>
      </c>
      <c r="F534" s="12">
        <v>1</v>
      </c>
    </row>
    <row r="535" spans="2:6" x14ac:dyDescent="0.25">
      <c r="B535" s="12" t="s">
        <v>14442</v>
      </c>
      <c r="E535" s="27" t="s">
        <v>14443</v>
      </c>
      <c r="F535" s="12">
        <v>1</v>
      </c>
    </row>
    <row r="536" spans="2:6" x14ac:dyDescent="0.25">
      <c r="B536" s="12" t="s">
        <v>14444</v>
      </c>
      <c r="E536" s="27" t="s">
        <v>14445</v>
      </c>
      <c r="F536" s="12">
        <v>1</v>
      </c>
    </row>
    <row r="537" spans="2:6" x14ac:dyDescent="0.25">
      <c r="B537" s="12" t="s">
        <v>14446</v>
      </c>
      <c r="E537" s="27" t="s">
        <v>14447</v>
      </c>
      <c r="F537" s="12">
        <v>1</v>
      </c>
    </row>
    <row r="538" spans="2:6" x14ac:dyDescent="0.25">
      <c r="B538" s="12" t="s">
        <v>14448</v>
      </c>
      <c r="E538" s="27" t="s">
        <v>14449</v>
      </c>
      <c r="F538" s="12">
        <v>1</v>
      </c>
    </row>
    <row r="539" spans="2:6" x14ac:dyDescent="0.25">
      <c r="B539" s="12" t="s">
        <v>14450</v>
      </c>
      <c r="E539" s="27" t="s">
        <v>14451</v>
      </c>
      <c r="F539" s="12">
        <v>1</v>
      </c>
    </row>
    <row r="540" spans="2:6" x14ac:dyDescent="0.25">
      <c r="B540" s="12" t="s">
        <v>14452</v>
      </c>
      <c r="E540" s="27" t="s">
        <v>14453</v>
      </c>
      <c r="F540" s="12">
        <v>1</v>
      </c>
    </row>
    <row r="541" spans="2:6" x14ac:dyDescent="0.25">
      <c r="B541" s="12" t="s">
        <v>14454</v>
      </c>
      <c r="E541" s="27" t="s">
        <v>14455</v>
      </c>
      <c r="F541" s="12">
        <v>1</v>
      </c>
    </row>
    <row r="542" spans="2:6" x14ac:dyDescent="0.25">
      <c r="B542" s="12" t="s">
        <v>14456</v>
      </c>
      <c r="E542" s="27" t="s">
        <v>14457</v>
      </c>
      <c r="F542" s="12">
        <v>1</v>
      </c>
    </row>
    <row r="543" spans="2:6" x14ac:dyDescent="0.25">
      <c r="B543" s="12" t="s">
        <v>14458</v>
      </c>
      <c r="E543" s="27" t="s">
        <v>14459</v>
      </c>
      <c r="F543" s="12">
        <v>1</v>
      </c>
    </row>
    <row r="544" spans="2:6" x14ac:dyDescent="0.25">
      <c r="B544" s="12" t="s">
        <v>14460</v>
      </c>
      <c r="E544" s="27" t="s">
        <v>14461</v>
      </c>
      <c r="F544" s="12">
        <v>1</v>
      </c>
    </row>
    <row r="545" spans="2:6" x14ac:dyDescent="0.25">
      <c r="B545" s="12" t="s">
        <v>14462</v>
      </c>
      <c r="E545" s="27" t="s">
        <v>14463</v>
      </c>
      <c r="F545" s="12">
        <v>1</v>
      </c>
    </row>
    <row r="546" spans="2:6" x14ac:dyDescent="0.25">
      <c r="B546" s="12" t="s">
        <v>14464</v>
      </c>
      <c r="E546" s="27" t="s">
        <v>14465</v>
      </c>
      <c r="F546" s="12">
        <v>1</v>
      </c>
    </row>
    <row r="547" spans="2:6" x14ac:dyDescent="0.25">
      <c r="B547" s="12" t="s">
        <v>14466</v>
      </c>
      <c r="E547" s="27" t="s">
        <v>14467</v>
      </c>
      <c r="F547" s="12">
        <v>1</v>
      </c>
    </row>
    <row r="548" spans="2:6" x14ac:dyDescent="0.25">
      <c r="B548" s="12" t="s">
        <v>14468</v>
      </c>
      <c r="E548" s="27" t="s">
        <v>3407</v>
      </c>
      <c r="F548" s="12">
        <v>1</v>
      </c>
    </row>
    <row r="549" spans="2:6" x14ac:dyDescent="0.25">
      <c r="B549" s="12" t="s">
        <v>14469</v>
      </c>
      <c r="E549" s="27" t="s">
        <v>14470</v>
      </c>
      <c r="F549" s="12">
        <v>1</v>
      </c>
    </row>
    <row r="550" spans="2:6" x14ac:dyDescent="0.25">
      <c r="B550" s="12" t="s">
        <v>14471</v>
      </c>
      <c r="E550" s="27" t="s">
        <v>14472</v>
      </c>
      <c r="F550" s="12">
        <v>1</v>
      </c>
    </row>
    <row r="551" spans="2:6" x14ac:dyDescent="0.25">
      <c r="B551" s="12" t="s">
        <v>14473</v>
      </c>
      <c r="E551" s="27" t="s">
        <v>14474</v>
      </c>
      <c r="F551" s="12">
        <v>1</v>
      </c>
    </row>
    <row r="552" spans="2:6" x14ac:dyDescent="0.25">
      <c r="B552" s="12" t="s">
        <v>14475</v>
      </c>
      <c r="E552" s="27" t="s">
        <v>14476</v>
      </c>
      <c r="F552" s="12">
        <v>1</v>
      </c>
    </row>
    <row r="553" spans="2:6" x14ac:dyDescent="0.25">
      <c r="B553" s="12" t="s">
        <v>14477</v>
      </c>
      <c r="E553" s="27" t="s">
        <v>14478</v>
      </c>
      <c r="F553" s="12">
        <v>1</v>
      </c>
    </row>
    <row r="554" spans="2:6" x14ac:dyDescent="0.25">
      <c r="B554" s="12" t="s">
        <v>14479</v>
      </c>
      <c r="E554" s="27" t="s">
        <v>14480</v>
      </c>
      <c r="F554" s="12">
        <v>1</v>
      </c>
    </row>
    <row r="555" spans="2:6" x14ac:dyDescent="0.25">
      <c r="B555" s="12" t="s">
        <v>14481</v>
      </c>
      <c r="E555" s="27" t="s">
        <v>11674</v>
      </c>
      <c r="F555" s="12">
        <v>1</v>
      </c>
    </row>
    <row r="556" spans="2:6" x14ac:dyDescent="0.25">
      <c r="B556" s="12" t="s">
        <v>14482</v>
      </c>
      <c r="E556" s="27" t="s">
        <v>14483</v>
      </c>
      <c r="F556" s="12">
        <v>1</v>
      </c>
    </row>
    <row r="557" spans="2:6" x14ac:dyDescent="0.25">
      <c r="B557" s="12" t="s">
        <v>14484</v>
      </c>
      <c r="E557" s="27" t="s">
        <v>14485</v>
      </c>
      <c r="F557" s="12">
        <v>1</v>
      </c>
    </row>
    <row r="558" spans="2:6" x14ac:dyDescent="0.25">
      <c r="B558" s="12" t="s">
        <v>14486</v>
      </c>
      <c r="E558" s="27" t="s">
        <v>14487</v>
      </c>
      <c r="F558" s="12">
        <v>1</v>
      </c>
    </row>
    <row r="559" spans="2:6" x14ac:dyDescent="0.25">
      <c r="B559" s="12" t="s">
        <v>14488</v>
      </c>
      <c r="E559" s="27" t="s">
        <v>14489</v>
      </c>
      <c r="F559" s="12">
        <v>1</v>
      </c>
    </row>
    <row r="560" spans="2:6" x14ac:dyDescent="0.25">
      <c r="B560" s="12" t="s">
        <v>14490</v>
      </c>
      <c r="E560" s="27" t="s">
        <v>14491</v>
      </c>
      <c r="F560" s="12">
        <v>1</v>
      </c>
    </row>
    <row r="561" spans="2:6" x14ac:dyDescent="0.25">
      <c r="B561" s="12" t="s">
        <v>13560</v>
      </c>
      <c r="E561" s="27" t="s">
        <v>14492</v>
      </c>
      <c r="F561" s="12">
        <v>1</v>
      </c>
    </row>
    <row r="562" spans="2:6" x14ac:dyDescent="0.25">
      <c r="B562" s="12" t="s">
        <v>14493</v>
      </c>
      <c r="E562" s="27" t="s">
        <v>14494</v>
      </c>
      <c r="F562" s="12">
        <v>1</v>
      </c>
    </row>
    <row r="563" spans="2:6" x14ac:dyDescent="0.25">
      <c r="B563" s="12" t="s">
        <v>14495</v>
      </c>
      <c r="E563" s="27" t="s">
        <v>14496</v>
      </c>
      <c r="F563" s="12">
        <v>1</v>
      </c>
    </row>
    <row r="564" spans="2:6" x14ac:dyDescent="0.25">
      <c r="B564" s="12" t="s">
        <v>14497</v>
      </c>
      <c r="E564" s="27" t="s">
        <v>14498</v>
      </c>
      <c r="F564" s="12">
        <v>1</v>
      </c>
    </row>
    <row r="565" spans="2:6" x14ac:dyDescent="0.25">
      <c r="B565" s="12" t="s">
        <v>14499</v>
      </c>
      <c r="E565" s="27" t="s">
        <v>14500</v>
      </c>
      <c r="F565" s="12">
        <v>1</v>
      </c>
    </row>
    <row r="566" spans="2:6" x14ac:dyDescent="0.25">
      <c r="B566" s="12" t="s">
        <v>14501</v>
      </c>
      <c r="E566" s="27" t="s">
        <v>14502</v>
      </c>
      <c r="F566" s="12">
        <v>1</v>
      </c>
    </row>
    <row r="567" spans="2:6" x14ac:dyDescent="0.25">
      <c r="B567" s="12" t="s">
        <v>14503</v>
      </c>
      <c r="E567" s="27" t="s">
        <v>14504</v>
      </c>
      <c r="F567" s="12">
        <v>1</v>
      </c>
    </row>
    <row r="568" spans="2:6" x14ac:dyDescent="0.25">
      <c r="B568" s="12" t="s">
        <v>14505</v>
      </c>
      <c r="E568" s="27" t="s">
        <v>14506</v>
      </c>
      <c r="F568" s="12">
        <v>1</v>
      </c>
    </row>
    <row r="569" spans="2:6" x14ac:dyDescent="0.25">
      <c r="B569" s="12" t="s">
        <v>14507</v>
      </c>
      <c r="E569" s="27" t="s">
        <v>11684</v>
      </c>
      <c r="F569" s="12">
        <v>1</v>
      </c>
    </row>
    <row r="570" spans="2:6" x14ac:dyDescent="0.25">
      <c r="B570" s="12" t="s">
        <v>14508</v>
      </c>
      <c r="E570" s="27" t="s">
        <v>14509</v>
      </c>
      <c r="F570" s="12">
        <v>1</v>
      </c>
    </row>
    <row r="571" spans="2:6" x14ac:dyDescent="0.25">
      <c r="B571" s="12" t="s">
        <v>14510</v>
      </c>
      <c r="E571" s="27" t="s">
        <v>14511</v>
      </c>
      <c r="F571" s="12">
        <v>1</v>
      </c>
    </row>
    <row r="572" spans="2:6" x14ac:dyDescent="0.25">
      <c r="B572" s="12" t="s">
        <v>14512</v>
      </c>
      <c r="E572" s="27" t="s">
        <v>14513</v>
      </c>
      <c r="F572" s="12">
        <v>1</v>
      </c>
    </row>
    <row r="573" spans="2:6" x14ac:dyDescent="0.25">
      <c r="B573" s="12" t="s">
        <v>14514</v>
      </c>
      <c r="E573" s="27" t="s">
        <v>10981</v>
      </c>
      <c r="F573" s="12">
        <v>1</v>
      </c>
    </row>
    <row r="574" spans="2:6" x14ac:dyDescent="0.25">
      <c r="B574" s="12" t="s">
        <v>14515</v>
      </c>
      <c r="E574" s="27" t="s">
        <v>14516</v>
      </c>
      <c r="F574" s="12">
        <v>1</v>
      </c>
    </row>
    <row r="575" spans="2:6" x14ac:dyDescent="0.25">
      <c r="B575" s="12" t="s">
        <v>14517</v>
      </c>
      <c r="E575" s="27" t="s">
        <v>14518</v>
      </c>
      <c r="F575" s="12">
        <v>1</v>
      </c>
    </row>
    <row r="576" spans="2:6" x14ac:dyDescent="0.25">
      <c r="B576" s="12" t="s">
        <v>14519</v>
      </c>
      <c r="E576" s="27" t="s">
        <v>14520</v>
      </c>
      <c r="F576" s="12">
        <v>1</v>
      </c>
    </row>
    <row r="577" spans="2:6" x14ac:dyDescent="0.25">
      <c r="B577" s="12" t="s">
        <v>14521</v>
      </c>
      <c r="E577" s="27" t="s">
        <v>14522</v>
      </c>
      <c r="F577" s="12">
        <v>1</v>
      </c>
    </row>
    <row r="578" spans="2:6" x14ac:dyDescent="0.25">
      <c r="B578" s="12" t="s">
        <v>14523</v>
      </c>
      <c r="E578" s="27" t="s">
        <v>14524</v>
      </c>
      <c r="F578" s="12">
        <v>1</v>
      </c>
    </row>
    <row r="579" spans="2:6" x14ac:dyDescent="0.25">
      <c r="B579" s="12" t="s">
        <v>14525</v>
      </c>
      <c r="E579" s="27" t="s">
        <v>14526</v>
      </c>
      <c r="F579" s="12">
        <v>1</v>
      </c>
    </row>
    <row r="580" spans="2:6" x14ac:dyDescent="0.25">
      <c r="B580" s="12" t="s">
        <v>14527</v>
      </c>
      <c r="E580" s="27" t="s">
        <v>14528</v>
      </c>
      <c r="F580" s="12">
        <v>1</v>
      </c>
    </row>
    <row r="581" spans="2:6" x14ac:dyDescent="0.25">
      <c r="B581" s="12" t="s">
        <v>14529</v>
      </c>
      <c r="E581" s="27" t="s">
        <v>14530</v>
      </c>
      <c r="F581" s="12">
        <v>1</v>
      </c>
    </row>
    <row r="582" spans="2:6" x14ac:dyDescent="0.25">
      <c r="B582" s="12" t="s">
        <v>14531</v>
      </c>
      <c r="E582" s="27" t="s">
        <v>14532</v>
      </c>
      <c r="F582" s="12">
        <v>1</v>
      </c>
    </row>
    <row r="583" spans="2:6" x14ac:dyDescent="0.25">
      <c r="B583" s="12" t="s">
        <v>14533</v>
      </c>
      <c r="E583" s="27" t="s">
        <v>14534</v>
      </c>
      <c r="F583" s="12">
        <v>1</v>
      </c>
    </row>
    <row r="584" spans="2:6" x14ac:dyDescent="0.25">
      <c r="B584" s="12" t="s">
        <v>14535</v>
      </c>
      <c r="E584" s="27" t="s">
        <v>14536</v>
      </c>
      <c r="F584" s="12">
        <v>1</v>
      </c>
    </row>
    <row r="585" spans="2:6" x14ac:dyDescent="0.25">
      <c r="B585" s="12" t="s">
        <v>14537</v>
      </c>
      <c r="E585" s="27" t="s">
        <v>14538</v>
      </c>
      <c r="F585" s="12">
        <v>1</v>
      </c>
    </row>
    <row r="586" spans="2:6" x14ac:dyDescent="0.25">
      <c r="B586" s="12" t="s">
        <v>14539</v>
      </c>
      <c r="E586" s="27" t="s">
        <v>14540</v>
      </c>
      <c r="F586" s="12">
        <v>1</v>
      </c>
    </row>
    <row r="587" spans="2:6" x14ac:dyDescent="0.25">
      <c r="B587" s="12" t="s">
        <v>14541</v>
      </c>
      <c r="E587" s="27" t="s">
        <v>14542</v>
      </c>
      <c r="F587" s="12">
        <v>1</v>
      </c>
    </row>
    <row r="588" spans="2:6" x14ac:dyDescent="0.25">
      <c r="B588" s="12" t="s">
        <v>14543</v>
      </c>
      <c r="E588" s="27" t="s">
        <v>14544</v>
      </c>
      <c r="F588" s="12">
        <v>1</v>
      </c>
    </row>
    <row r="589" spans="2:6" x14ac:dyDescent="0.25">
      <c r="B589" s="12" t="s">
        <v>14545</v>
      </c>
      <c r="E589" s="27" t="s">
        <v>14546</v>
      </c>
      <c r="F589" s="12">
        <v>1</v>
      </c>
    </row>
    <row r="590" spans="2:6" x14ac:dyDescent="0.25">
      <c r="B590" s="12" t="s">
        <v>14547</v>
      </c>
      <c r="E590" s="27" t="s">
        <v>1434</v>
      </c>
      <c r="F590" s="12">
        <v>1</v>
      </c>
    </row>
    <row r="591" spans="2:6" x14ac:dyDescent="0.25">
      <c r="B591" s="12" t="s">
        <v>14548</v>
      </c>
      <c r="E591" s="27" t="s">
        <v>14549</v>
      </c>
      <c r="F591" s="12">
        <v>1</v>
      </c>
    </row>
    <row r="592" spans="2:6" x14ac:dyDescent="0.25">
      <c r="B592" s="12" t="s">
        <v>14550</v>
      </c>
      <c r="E592" s="27" t="s">
        <v>14551</v>
      </c>
      <c r="F592" s="12">
        <v>1</v>
      </c>
    </row>
    <row r="593" spans="2:6" x14ac:dyDescent="0.25">
      <c r="B593" s="12" t="s">
        <v>14552</v>
      </c>
      <c r="E593" s="27" t="s">
        <v>14553</v>
      </c>
      <c r="F593" s="12">
        <v>1</v>
      </c>
    </row>
    <row r="594" spans="2:6" x14ac:dyDescent="0.25">
      <c r="B594" s="12" t="s">
        <v>13558</v>
      </c>
      <c r="E594" s="27" t="s">
        <v>14554</v>
      </c>
      <c r="F594" s="12">
        <v>1</v>
      </c>
    </row>
    <row r="595" spans="2:6" x14ac:dyDescent="0.25">
      <c r="B595" s="12" t="s">
        <v>13558</v>
      </c>
      <c r="E595" s="27" t="s">
        <v>14555</v>
      </c>
      <c r="F595" s="12">
        <v>1</v>
      </c>
    </row>
    <row r="596" spans="2:6" x14ac:dyDescent="0.25">
      <c r="B596" s="12" t="s">
        <v>14556</v>
      </c>
      <c r="E596" s="27" t="s">
        <v>14557</v>
      </c>
      <c r="F596" s="12">
        <v>1</v>
      </c>
    </row>
    <row r="597" spans="2:6" x14ac:dyDescent="0.25">
      <c r="B597" s="12" t="s">
        <v>14558</v>
      </c>
      <c r="E597" s="27" t="s">
        <v>14559</v>
      </c>
      <c r="F597" s="12">
        <v>1</v>
      </c>
    </row>
    <row r="598" spans="2:6" x14ac:dyDescent="0.25">
      <c r="B598" s="12" t="s">
        <v>14560</v>
      </c>
      <c r="E598" s="27" t="s">
        <v>14561</v>
      </c>
      <c r="F598" s="12">
        <v>1</v>
      </c>
    </row>
    <row r="599" spans="2:6" x14ac:dyDescent="0.25">
      <c r="B599" s="12" t="s">
        <v>14562</v>
      </c>
      <c r="E599" s="27" t="s">
        <v>14563</v>
      </c>
      <c r="F599" s="12">
        <v>1</v>
      </c>
    </row>
    <row r="600" spans="2:6" x14ac:dyDescent="0.25">
      <c r="B600" s="12" t="s">
        <v>14564</v>
      </c>
      <c r="E600" s="27" t="s">
        <v>14565</v>
      </c>
      <c r="F600" s="12">
        <v>1</v>
      </c>
    </row>
    <row r="601" spans="2:6" x14ac:dyDescent="0.25">
      <c r="B601" s="12" t="s">
        <v>14566</v>
      </c>
      <c r="E601" s="27" t="s">
        <v>14567</v>
      </c>
      <c r="F601" s="12">
        <v>1</v>
      </c>
    </row>
    <row r="602" spans="2:6" x14ac:dyDescent="0.25">
      <c r="B602" s="12" t="s">
        <v>14568</v>
      </c>
      <c r="E602" s="27" t="s">
        <v>14569</v>
      </c>
      <c r="F602" s="12">
        <v>1</v>
      </c>
    </row>
    <row r="603" spans="2:6" x14ac:dyDescent="0.25">
      <c r="B603" s="12" t="s">
        <v>14570</v>
      </c>
      <c r="E603" s="27" t="s">
        <v>14571</v>
      </c>
      <c r="F603" s="12">
        <v>1</v>
      </c>
    </row>
    <row r="604" spans="2:6" x14ac:dyDescent="0.25">
      <c r="B604" s="12" t="s">
        <v>14572</v>
      </c>
      <c r="E604" s="27" t="s">
        <v>14573</v>
      </c>
      <c r="F604" s="12">
        <v>1</v>
      </c>
    </row>
    <row r="605" spans="2:6" x14ac:dyDescent="0.25">
      <c r="B605" s="12" t="s">
        <v>14574</v>
      </c>
      <c r="E605" s="27" t="s">
        <v>14575</v>
      </c>
      <c r="F605" s="12">
        <v>1</v>
      </c>
    </row>
    <row r="606" spans="2:6" x14ac:dyDescent="0.25">
      <c r="B606" s="12" t="s">
        <v>14576</v>
      </c>
      <c r="E606" s="27" t="s">
        <v>14577</v>
      </c>
      <c r="F606" s="12">
        <v>1</v>
      </c>
    </row>
    <row r="607" spans="2:6" x14ac:dyDescent="0.25">
      <c r="B607" s="12" t="s">
        <v>14578</v>
      </c>
      <c r="E607" s="27" t="s">
        <v>14579</v>
      </c>
      <c r="F607" s="12">
        <v>1</v>
      </c>
    </row>
    <row r="608" spans="2:6" x14ac:dyDescent="0.25">
      <c r="B608" s="12" t="s">
        <v>14580</v>
      </c>
      <c r="E608" s="27" t="s">
        <v>14581</v>
      </c>
      <c r="F608" s="12">
        <v>1</v>
      </c>
    </row>
    <row r="609" spans="2:6" x14ac:dyDescent="0.25">
      <c r="B609" s="12" t="s">
        <v>13445</v>
      </c>
      <c r="E609" s="27" t="s">
        <v>14582</v>
      </c>
      <c r="F609" s="12">
        <v>1</v>
      </c>
    </row>
    <row r="610" spans="2:6" x14ac:dyDescent="0.25">
      <c r="B610" s="12" t="s">
        <v>13445</v>
      </c>
      <c r="E610" s="27" t="s">
        <v>14583</v>
      </c>
      <c r="F610" s="12">
        <v>1</v>
      </c>
    </row>
    <row r="611" spans="2:6" x14ac:dyDescent="0.25">
      <c r="B611" s="12" t="s">
        <v>13445</v>
      </c>
      <c r="E611" s="27" t="s">
        <v>14584</v>
      </c>
      <c r="F611" s="12">
        <v>1</v>
      </c>
    </row>
    <row r="612" spans="2:6" x14ac:dyDescent="0.25">
      <c r="B612" s="12" t="s">
        <v>13445</v>
      </c>
      <c r="E612" s="27" t="s">
        <v>14585</v>
      </c>
      <c r="F612" s="12">
        <v>1</v>
      </c>
    </row>
    <row r="613" spans="2:6" x14ac:dyDescent="0.25">
      <c r="B613" s="12" t="s">
        <v>14586</v>
      </c>
      <c r="E613" s="27" t="s">
        <v>14587</v>
      </c>
      <c r="F613" s="12">
        <v>1</v>
      </c>
    </row>
    <row r="614" spans="2:6" x14ac:dyDescent="0.25">
      <c r="B614" s="12" t="s">
        <v>14588</v>
      </c>
      <c r="E614" s="27" t="s">
        <v>14589</v>
      </c>
      <c r="F614" s="12">
        <v>1</v>
      </c>
    </row>
    <row r="615" spans="2:6" x14ac:dyDescent="0.25">
      <c r="B615" s="12" t="s">
        <v>14590</v>
      </c>
      <c r="E615" s="27" t="s">
        <v>14591</v>
      </c>
      <c r="F615" s="12">
        <v>1</v>
      </c>
    </row>
    <row r="616" spans="2:6" x14ac:dyDescent="0.25">
      <c r="B616" s="12" t="s">
        <v>14592</v>
      </c>
      <c r="E616" s="27" t="s">
        <v>14593</v>
      </c>
      <c r="F616" s="12">
        <v>1</v>
      </c>
    </row>
    <row r="617" spans="2:6" x14ac:dyDescent="0.25">
      <c r="B617" s="12" t="s">
        <v>14594</v>
      </c>
      <c r="E617" s="27" t="s">
        <v>14595</v>
      </c>
      <c r="F617" s="12">
        <v>1</v>
      </c>
    </row>
    <row r="618" spans="2:6" x14ac:dyDescent="0.25">
      <c r="B618" s="12" t="s">
        <v>14596</v>
      </c>
      <c r="E618" s="27" t="s">
        <v>9228</v>
      </c>
      <c r="F618" s="12">
        <v>1</v>
      </c>
    </row>
    <row r="619" spans="2:6" x14ac:dyDescent="0.25">
      <c r="B619" s="12" t="s">
        <v>14597</v>
      </c>
      <c r="E619" s="27" t="s">
        <v>14598</v>
      </c>
      <c r="F619" s="12">
        <v>1</v>
      </c>
    </row>
    <row r="620" spans="2:6" x14ac:dyDescent="0.25">
      <c r="B620" s="12" t="s">
        <v>14599</v>
      </c>
      <c r="E620" s="27" t="s">
        <v>14600</v>
      </c>
      <c r="F620" s="12">
        <v>1</v>
      </c>
    </row>
    <row r="621" spans="2:6" x14ac:dyDescent="0.25">
      <c r="B621" s="12" t="s">
        <v>14601</v>
      </c>
      <c r="E621" s="27" t="s">
        <v>14602</v>
      </c>
      <c r="F621" s="12">
        <v>1</v>
      </c>
    </row>
    <row r="622" spans="2:6" x14ac:dyDescent="0.25">
      <c r="B622" s="12" t="s">
        <v>14603</v>
      </c>
      <c r="E622" s="27" t="s">
        <v>14604</v>
      </c>
      <c r="F622" s="12">
        <v>1</v>
      </c>
    </row>
    <row r="623" spans="2:6" x14ac:dyDescent="0.25">
      <c r="B623" s="12" t="s">
        <v>14605</v>
      </c>
      <c r="E623" s="27" t="s">
        <v>10965</v>
      </c>
      <c r="F623" s="12">
        <v>1</v>
      </c>
    </row>
    <row r="624" spans="2:6" x14ac:dyDescent="0.25">
      <c r="B624" s="12" t="s">
        <v>14606</v>
      </c>
      <c r="E624" s="27" t="s">
        <v>14607</v>
      </c>
      <c r="F624" s="12">
        <v>1</v>
      </c>
    </row>
    <row r="625" spans="2:6" x14ac:dyDescent="0.25">
      <c r="B625" s="12" t="s">
        <v>14608</v>
      </c>
      <c r="E625" s="27" t="s">
        <v>14609</v>
      </c>
      <c r="F625" s="12">
        <v>1</v>
      </c>
    </row>
    <row r="626" spans="2:6" x14ac:dyDescent="0.25">
      <c r="B626" s="12" t="s">
        <v>14610</v>
      </c>
      <c r="E626" s="27" t="s">
        <v>14611</v>
      </c>
      <c r="F626" s="12">
        <v>1</v>
      </c>
    </row>
    <row r="627" spans="2:6" x14ac:dyDescent="0.25">
      <c r="B627" s="12" t="s">
        <v>13556</v>
      </c>
      <c r="E627" s="27" t="s">
        <v>14612</v>
      </c>
      <c r="F627" s="12">
        <v>1</v>
      </c>
    </row>
    <row r="628" spans="2:6" x14ac:dyDescent="0.25">
      <c r="B628" s="12" t="s">
        <v>14613</v>
      </c>
      <c r="E628" s="27" t="s">
        <v>14614</v>
      </c>
      <c r="F628" s="12">
        <v>1</v>
      </c>
    </row>
    <row r="629" spans="2:6" x14ac:dyDescent="0.25">
      <c r="B629" s="12" t="s">
        <v>14615</v>
      </c>
      <c r="E629" s="27" t="s">
        <v>14616</v>
      </c>
      <c r="F629" s="12">
        <v>1</v>
      </c>
    </row>
    <row r="630" spans="2:6" x14ac:dyDescent="0.25">
      <c r="B630" s="12" t="s">
        <v>14617</v>
      </c>
      <c r="E630" s="27" t="s">
        <v>14618</v>
      </c>
      <c r="F630" s="12">
        <v>1</v>
      </c>
    </row>
    <row r="631" spans="2:6" x14ac:dyDescent="0.25">
      <c r="B631" s="12" t="s">
        <v>14619</v>
      </c>
      <c r="E631" s="27" t="s">
        <v>14620</v>
      </c>
      <c r="F631" s="12">
        <v>1</v>
      </c>
    </row>
    <row r="632" spans="2:6" x14ac:dyDescent="0.25">
      <c r="B632" s="12" t="s">
        <v>14621</v>
      </c>
      <c r="E632" s="27" t="s">
        <v>14622</v>
      </c>
      <c r="F632" s="12">
        <v>1</v>
      </c>
    </row>
    <row r="633" spans="2:6" x14ac:dyDescent="0.25">
      <c r="B633" s="12" t="s">
        <v>14623</v>
      </c>
      <c r="E633" s="27" t="s">
        <v>14624</v>
      </c>
      <c r="F633" s="12">
        <v>1</v>
      </c>
    </row>
    <row r="634" spans="2:6" x14ac:dyDescent="0.25">
      <c r="B634" s="12" t="s">
        <v>14625</v>
      </c>
      <c r="E634" s="27" t="s">
        <v>14626</v>
      </c>
      <c r="F634" s="12">
        <v>1</v>
      </c>
    </row>
    <row r="635" spans="2:6" x14ac:dyDescent="0.25">
      <c r="B635" s="12" t="s">
        <v>14627</v>
      </c>
      <c r="E635" s="27" t="s">
        <v>14628</v>
      </c>
      <c r="F635" s="12">
        <v>1</v>
      </c>
    </row>
    <row r="636" spans="2:6" x14ac:dyDescent="0.25">
      <c r="B636" s="12" t="s">
        <v>14629</v>
      </c>
      <c r="E636" s="27" t="s">
        <v>14630</v>
      </c>
      <c r="F636" s="12">
        <v>1</v>
      </c>
    </row>
    <row r="637" spans="2:6" x14ac:dyDescent="0.25">
      <c r="B637" s="12" t="s">
        <v>14631</v>
      </c>
      <c r="E637" s="27" t="s">
        <v>14632</v>
      </c>
      <c r="F637" s="12">
        <v>1</v>
      </c>
    </row>
    <row r="638" spans="2:6" x14ac:dyDescent="0.25">
      <c r="B638" s="12" t="s">
        <v>14633</v>
      </c>
      <c r="E638" s="27" t="s">
        <v>14634</v>
      </c>
      <c r="F638" s="12">
        <v>1</v>
      </c>
    </row>
    <row r="639" spans="2:6" x14ac:dyDescent="0.25">
      <c r="B639" s="12" t="s">
        <v>14635</v>
      </c>
      <c r="E639" s="27" t="s">
        <v>14636</v>
      </c>
      <c r="F639" s="12">
        <v>1</v>
      </c>
    </row>
    <row r="640" spans="2:6" x14ac:dyDescent="0.25">
      <c r="B640" s="12" t="s">
        <v>11350</v>
      </c>
      <c r="E640" s="27" t="s">
        <v>4803</v>
      </c>
      <c r="F640" s="12">
        <v>1</v>
      </c>
    </row>
    <row r="641" spans="2:6" x14ac:dyDescent="0.25">
      <c r="B641" s="12" t="s">
        <v>14637</v>
      </c>
      <c r="E641" s="27" t="s">
        <v>14638</v>
      </c>
      <c r="F641" s="12">
        <v>1</v>
      </c>
    </row>
    <row r="642" spans="2:6" x14ac:dyDescent="0.25">
      <c r="B642" s="12" t="s">
        <v>14639</v>
      </c>
      <c r="E642" s="27" t="s">
        <v>14640</v>
      </c>
      <c r="F642" s="12">
        <v>1</v>
      </c>
    </row>
    <row r="643" spans="2:6" x14ac:dyDescent="0.25">
      <c r="B643" s="12" t="s">
        <v>14641</v>
      </c>
      <c r="E643" s="27" t="s">
        <v>14642</v>
      </c>
      <c r="F643" s="12">
        <v>1</v>
      </c>
    </row>
    <row r="644" spans="2:6" x14ac:dyDescent="0.25">
      <c r="B644" s="12" t="s">
        <v>14643</v>
      </c>
      <c r="E644" s="27" t="s">
        <v>14644</v>
      </c>
      <c r="F644" s="12">
        <v>1</v>
      </c>
    </row>
    <row r="645" spans="2:6" x14ac:dyDescent="0.25">
      <c r="B645" s="12" t="s">
        <v>14645</v>
      </c>
      <c r="E645" s="27" t="s">
        <v>14646</v>
      </c>
      <c r="F645" s="12">
        <v>1</v>
      </c>
    </row>
    <row r="646" spans="2:6" x14ac:dyDescent="0.25">
      <c r="B646" s="12" t="s">
        <v>14647</v>
      </c>
      <c r="E646" s="27" t="s">
        <v>12245</v>
      </c>
      <c r="F646" s="12">
        <v>1</v>
      </c>
    </row>
    <row r="647" spans="2:6" x14ac:dyDescent="0.25">
      <c r="B647" s="12" t="s">
        <v>14648</v>
      </c>
      <c r="E647" s="27" t="s">
        <v>14649</v>
      </c>
      <c r="F647" s="12">
        <v>1</v>
      </c>
    </row>
    <row r="648" spans="2:6" x14ac:dyDescent="0.25">
      <c r="B648" s="12" t="s">
        <v>14650</v>
      </c>
      <c r="E648" s="27" t="s">
        <v>14651</v>
      </c>
      <c r="F648" s="12">
        <v>1</v>
      </c>
    </row>
    <row r="649" spans="2:6" x14ac:dyDescent="0.25">
      <c r="B649" s="12" t="s">
        <v>13538</v>
      </c>
      <c r="E649" s="27" t="s">
        <v>14652</v>
      </c>
      <c r="F649" s="12">
        <v>1</v>
      </c>
    </row>
    <row r="650" spans="2:6" x14ac:dyDescent="0.25">
      <c r="B650" s="12" t="s">
        <v>14653</v>
      </c>
      <c r="E650" s="27" t="s">
        <v>14654</v>
      </c>
      <c r="F650" s="12">
        <v>1</v>
      </c>
    </row>
    <row r="651" spans="2:6" x14ac:dyDescent="0.25">
      <c r="B651" s="12" t="s">
        <v>14655</v>
      </c>
      <c r="E651" s="27" t="s">
        <v>14656</v>
      </c>
      <c r="F651" s="12">
        <v>1</v>
      </c>
    </row>
    <row r="652" spans="2:6" x14ac:dyDescent="0.25">
      <c r="B652" s="12" t="s">
        <v>14657</v>
      </c>
      <c r="E652" s="27" t="s">
        <v>14658</v>
      </c>
      <c r="F652" s="12">
        <v>1</v>
      </c>
    </row>
    <row r="653" spans="2:6" x14ac:dyDescent="0.25">
      <c r="B653" s="12" t="s">
        <v>14659</v>
      </c>
      <c r="E653" s="27" t="s">
        <v>14660</v>
      </c>
      <c r="F653" s="12">
        <v>1</v>
      </c>
    </row>
    <row r="654" spans="2:6" x14ac:dyDescent="0.25">
      <c r="B654" s="12" t="s">
        <v>14661</v>
      </c>
      <c r="E654" s="27" t="s">
        <v>14662</v>
      </c>
      <c r="F654" s="12">
        <v>1</v>
      </c>
    </row>
    <row r="655" spans="2:6" x14ac:dyDescent="0.25">
      <c r="B655" s="12" t="s">
        <v>14663</v>
      </c>
      <c r="E655" s="27" t="s">
        <v>14664</v>
      </c>
      <c r="F655" s="12">
        <v>1</v>
      </c>
    </row>
    <row r="656" spans="2:6" x14ac:dyDescent="0.25">
      <c r="B656" s="12" t="s">
        <v>14665</v>
      </c>
      <c r="E656" s="27" t="s">
        <v>14666</v>
      </c>
      <c r="F656" s="12">
        <v>1</v>
      </c>
    </row>
    <row r="657" spans="2:6" x14ac:dyDescent="0.25">
      <c r="B657" s="12" t="s">
        <v>14667</v>
      </c>
      <c r="E657" s="27" t="s">
        <v>14668</v>
      </c>
      <c r="F657" s="12">
        <v>1</v>
      </c>
    </row>
    <row r="658" spans="2:6" x14ac:dyDescent="0.25">
      <c r="B658" s="12" t="s">
        <v>14669</v>
      </c>
      <c r="E658" s="27" t="s">
        <v>14670</v>
      </c>
      <c r="F658" s="12">
        <v>1</v>
      </c>
    </row>
    <row r="659" spans="2:6" x14ac:dyDescent="0.25">
      <c r="B659" s="12" t="s">
        <v>14671</v>
      </c>
      <c r="E659" s="27" t="s">
        <v>12620</v>
      </c>
      <c r="F659" s="12">
        <v>1</v>
      </c>
    </row>
    <row r="660" spans="2:6" x14ac:dyDescent="0.25">
      <c r="B660" s="12" t="s">
        <v>14672</v>
      </c>
      <c r="E660" s="27" t="s">
        <v>14673</v>
      </c>
      <c r="F660" s="12">
        <v>1</v>
      </c>
    </row>
    <row r="661" spans="2:6" x14ac:dyDescent="0.25">
      <c r="B661" s="12" t="s">
        <v>14674</v>
      </c>
      <c r="E661" s="27" t="s">
        <v>14675</v>
      </c>
      <c r="F661" s="12">
        <v>1</v>
      </c>
    </row>
    <row r="662" spans="2:6" x14ac:dyDescent="0.25">
      <c r="B662" s="12" t="s">
        <v>14676</v>
      </c>
      <c r="E662" s="27" t="s">
        <v>14677</v>
      </c>
      <c r="F662" s="12">
        <v>1</v>
      </c>
    </row>
    <row r="663" spans="2:6" x14ac:dyDescent="0.25">
      <c r="B663" s="12" t="s">
        <v>14678</v>
      </c>
      <c r="E663" s="27" t="s">
        <v>14679</v>
      </c>
      <c r="F663" s="12">
        <v>1</v>
      </c>
    </row>
    <row r="664" spans="2:6" x14ac:dyDescent="0.25">
      <c r="B664" s="12" t="s">
        <v>14680</v>
      </c>
      <c r="E664" s="27" t="s">
        <v>7904</v>
      </c>
      <c r="F664" s="12">
        <v>1</v>
      </c>
    </row>
    <row r="665" spans="2:6" x14ac:dyDescent="0.25">
      <c r="B665" s="12" t="s">
        <v>14681</v>
      </c>
      <c r="E665" s="27" t="s">
        <v>1908</v>
      </c>
      <c r="F665" s="12">
        <v>1</v>
      </c>
    </row>
    <row r="666" spans="2:6" x14ac:dyDescent="0.25">
      <c r="B666" s="12" t="s">
        <v>14682</v>
      </c>
      <c r="E666" s="27" t="s">
        <v>14683</v>
      </c>
      <c r="F666" s="12">
        <v>1</v>
      </c>
    </row>
    <row r="667" spans="2:6" x14ac:dyDescent="0.25">
      <c r="B667" s="12" t="s">
        <v>14684</v>
      </c>
      <c r="E667" s="27" t="s">
        <v>14685</v>
      </c>
      <c r="F667" s="12">
        <v>1</v>
      </c>
    </row>
    <row r="668" spans="2:6" x14ac:dyDescent="0.25">
      <c r="B668" s="12" t="s">
        <v>14686</v>
      </c>
      <c r="E668" s="27" t="s">
        <v>14687</v>
      </c>
      <c r="F668" s="12">
        <v>1</v>
      </c>
    </row>
    <row r="669" spans="2:6" x14ac:dyDescent="0.25">
      <c r="B669" s="12" t="s">
        <v>14688</v>
      </c>
      <c r="E669" s="27" t="s">
        <v>14689</v>
      </c>
      <c r="F669" s="12">
        <v>1</v>
      </c>
    </row>
    <row r="670" spans="2:6" x14ac:dyDescent="0.25">
      <c r="B670" s="12" t="s">
        <v>14690</v>
      </c>
      <c r="E670" s="27" t="s">
        <v>14691</v>
      </c>
      <c r="F670" s="12">
        <v>1</v>
      </c>
    </row>
    <row r="671" spans="2:6" x14ac:dyDescent="0.25">
      <c r="B671" s="12" t="s">
        <v>14692</v>
      </c>
      <c r="E671" s="27" t="s">
        <v>14693</v>
      </c>
      <c r="F671" s="12">
        <v>1</v>
      </c>
    </row>
    <row r="672" spans="2:6" x14ac:dyDescent="0.25">
      <c r="B672" s="12" t="s">
        <v>14694</v>
      </c>
      <c r="E672" s="27" t="s">
        <v>14695</v>
      </c>
      <c r="F672" s="12">
        <v>1</v>
      </c>
    </row>
    <row r="673" spans="2:6" x14ac:dyDescent="0.25">
      <c r="B673" s="12" t="s">
        <v>14696</v>
      </c>
      <c r="E673" s="27" t="s">
        <v>14697</v>
      </c>
      <c r="F673" s="12">
        <v>1</v>
      </c>
    </row>
    <row r="674" spans="2:6" x14ac:dyDescent="0.25">
      <c r="B674" s="12" t="s">
        <v>14698</v>
      </c>
      <c r="E674" s="27" t="s">
        <v>14699</v>
      </c>
      <c r="F674" s="12">
        <v>1</v>
      </c>
    </row>
    <row r="675" spans="2:6" x14ac:dyDescent="0.25">
      <c r="B675" s="12" t="s">
        <v>14700</v>
      </c>
      <c r="E675" s="27" t="s">
        <v>14701</v>
      </c>
      <c r="F675" s="12">
        <v>1</v>
      </c>
    </row>
    <row r="676" spans="2:6" x14ac:dyDescent="0.25">
      <c r="B676" s="12" t="s">
        <v>14702</v>
      </c>
      <c r="E676" s="27" t="s">
        <v>14703</v>
      </c>
      <c r="F676" s="12">
        <v>1</v>
      </c>
    </row>
    <row r="677" spans="2:6" x14ac:dyDescent="0.25">
      <c r="B677" s="12" t="s">
        <v>14704</v>
      </c>
      <c r="E677" s="27" t="s">
        <v>14705</v>
      </c>
      <c r="F677" s="12">
        <v>1</v>
      </c>
    </row>
    <row r="678" spans="2:6" x14ac:dyDescent="0.25">
      <c r="B678" s="12" t="s">
        <v>14706</v>
      </c>
      <c r="E678" s="27" t="s">
        <v>5128</v>
      </c>
      <c r="F678" s="12">
        <v>1</v>
      </c>
    </row>
    <row r="679" spans="2:6" x14ac:dyDescent="0.25">
      <c r="B679" s="12" t="s">
        <v>14707</v>
      </c>
      <c r="E679" s="27" t="s">
        <v>14708</v>
      </c>
      <c r="F679" s="12">
        <v>1</v>
      </c>
    </row>
    <row r="680" spans="2:6" x14ac:dyDescent="0.25">
      <c r="B680" s="12" t="s">
        <v>14709</v>
      </c>
      <c r="E680" s="27" t="s">
        <v>14710</v>
      </c>
      <c r="F680" s="12">
        <v>1</v>
      </c>
    </row>
    <row r="681" spans="2:6" x14ac:dyDescent="0.25">
      <c r="B681" s="12" t="s">
        <v>14711</v>
      </c>
      <c r="E681" s="27" t="s">
        <v>14712</v>
      </c>
      <c r="F681" s="12">
        <v>1</v>
      </c>
    </row>
    <row r="682" spans="2:6" x14ac:dyDescent="0.25">
      <c r="B682" s="12" t="s">
        <v>14713</v>
      </c>
      <c r="E682" s="27" t="s">
        <v>14714</v>
      </c>
      <c r="F682" s="12">
        <v>1</v>
      </c>
    </row>
    <row r="683" spans="2:6" x14ac:dyDescent="0.25">
      <c r="B683" s="12" t="s">
        <v>14715</v>
      </c>
      <c r="E683" s="27" t="s">
        <v>14716</v>
      </c>
      <c r="F683" s="12">
        <v>1</v>
      </c>
    </row>
    <row r="684" spans="2:6" x14ac:dyDescent="0.25">
      <c r="B684" s="12" t="s">
        <v>14717</v>
      </c>
      <c r="E684" s="27" t="s">
        <v>14718</v>
      </c>
      <c r="F684" s="12">
        <v>1</v>
      </c>
    </row>
    <row r="685" spans="2:6" x14ac:dyDescent="0.25">
      <c r="B685" s="12" t="s">
        <v>14719</v>
      </c>
      <c r="E685" s="27" t="s">
        <v>14720</v>
      </c>
      <c r="F685" s="12">
        <v>1</v>
      </c>
    </row>
    <row r="686" spans="2:6" x14ac:dyDescent="0.25">
      <c r="B686" s="12" t="s">
        <v>14721</v>
      </c>
      <c r="E686" s="27" t="s">
        <v>12324</v>
      </c>
      <c r="F686" s="12">
        <v>1</v>
      </c>
    </row>
    <row r="687" spans="2:6" x14ac:dyDescent="0.25">
      <c r="B687" s="12" t="s">
        <v>14722</v>
      </c>
      <c r="E687" s="27" t="s">
        <v>14723</v>
      </c>
      <c r="F687" s="12">
        <v>1</v>
      </c>
    </row>
    <row r="688" spans="2:6" x14ac:dyDescent="0.25">
      <c r="B688" s="12" t="s">
        <v>14724</v>
      </c>
      <c r="E688" s="27" t="s">
        <v>9528</v>
      </c>
      <c r="F688" s="12">
        <v>1</v>
      </c>
    </row>
    <row r="689" spans="2:6" x14ac:dyDescent="0.25">
      <c r="B689" s="12" t="s">
        <v>14725</v>
      </c>
      <c r="E689" s="27" t="s">
        <v>11386</v>
      </c>
      <c r="F689" s="12">
        <v>1</v>
      </c>
    </row>
    <row r="690" spans="2:6" x14ac:dyDescent="0.25">
      <c r="B690" s="12" t="s">
        <v>14726</v>
      </c>
      <c r="E690" s="27" t="s">
        <v>11080</v>
      </c>
      <c r="F690" s="12">
        <v>1</v>
      </c>
    </row>
    <row r="691" spans="2:6" x14ac:dyDescent="0.25">
      <c r="B691" s="12" t="s">
        <v>14727</v>
      </c>
      <c r="E691" s="27" t="s">
        <v>14728</v>
      </c>
      <c r="F691" s="12">
        <v>1</v>
      </c>
    </row>
    <row r="692" spans="2:6" x14ac:dyDescent="0.25">
      <c r="B692" s="12" t="s">
        <v>14729</v>
      </c>
      <c r="E692" s="27" t="s">
        <v>14730</v>
      </c>
      <c r="F692" s="12">
        <v>1</v>
      </c>
    </row>
    <row r="693" spans="2:6" x14ac:dyDescent="0.25">
      <c r="B693" s="12" t="s">
        <v>14731</v>
      </c>
      <c r="E693" s="27" t="s">
        <v>14732</v>
      </c>
      <c r="F693" s="12">
        <v>1</v>
      </c>
    </row>
    <row r="694" spans="2:6" x14ac:dyDescent="0.25">
      <c r="B694" s="12" t="s">
        <v>13542</v>
      </c>
      <c r="E694" s="27" t="s">
        <v>14733</v>
      </c>
      <c r="F694" s="12">
        <v>1</v>
      </c>
    </row>
    <row r="695" spans="2:6" x14ac:dyDescent="0.25">
      <c r="B695" s="12" t="s">
        <v>13542</v>
      </c>
      <c r="E695" s="27" t="s">
        <v>14734</v>
      </c>
      <c r="F695" s="12">
        <v>1</v>
      </c>
    </row>
    <row r="696" spans="2:6" x14ac:dyDescent="0.25">
      <c r="B696" s="12" t="s">
        <v>14735</v>
      </c>
      <c r="E696" s="27" t="s">
        <v>14736</v>
      </c>
      <c r="F696" s="12">
        <v>1</v>
      </c>
    </row>
    <row r="697" spans="2:6" x14ac:dyDescent="0.25">
      <c r="B697" s="12" t="s">
        <v>14737</v>
      </c>
      <c r="E697" s="27" t="s">
        <v>8051</v>
      </c>
      <c r="F697" s="12">
        <v>1</v>
      </c>
    </row>
    <row r="698" spans="2:6" x14ac:dyDescent="0.25">
      <c r="B698" s="12" t="s">
        <v>3798</v>
      </c>
      <c r="E698" s="27" t="s">
        <v>14738</v>
      </c>
      <c r="F698" s="12">
        <v>1</v>
      </c>
    </row>
    <row r="699" spans="2:6" x14ac:dyDescent="0.25">
      <c r="B699" s="12" t="s">
        <v>3798</v>
      </c>
      <c r="E699" s="27" t="s">
        <v>14739</v>
      </c>
      <c r="F699" s="12">
        <v>1</v>
      </c>
    </row>
    <row r="700" spans="2:6" x14ac:dyDescent="0.25">
      <c r="B700" s="12" t="s">
        <v>4362</v>
      </c>
      <c r="E700" s="27" t="s">
        <v>14740</v>
      </c>
      <c r="F700" s="12">
        <v>1</v>
      </c>
    </row>
    <row r="701" spans="2:6" x14ac:dyDescent="0.25">
      <c r="B701" s="12" t="s">
        <v>14741</v>
      </c>
      <c r="E701" s="27" t="s">
        <v>14742</v>
      </c>
      <c r="F701" s="12">
        <v>1</v>
      </c>
    </row>
    <row r="702" spans="2:6" x14ac:dyDescent="0.25">
      <c r="B702" s="12" t="s">
        <v>14743</v>
      </c>
      <c r="E702" s="27" t="s">
        <v>14744</v>
      </c>
      <c r="F702" s="12">
        <v>1</v>
      </c>
    </row>
    <row r="703" spans="2:6" x14ac:dyDescent="0.25">
      <c r="B703" s="12" t="s">
        <v>13552</v>
      </c>
      <c r="E703" s="27" t="s">
        <v>14745</v>
      </c>
      <c r="F703" s="12">
        <v>1</v>
      </c>
    </row>
    <row r="704" spans="2:6" x14ac:dyDescent="0.25">
      <c r="B704" s="12" t="s">
        <v>14746</v>
      </c>
      <c r="E704" s="27" t="s">
        <v>14747</v>
      </c>
      <c r="F704" s="12">
        <v>1</v>
      </c>
    </row>
    <row r="705" spans="2:6" x14ac:dyDescent="0.25">
      <c r="B705" s="12" t="s">
        <v>14748</v>
      </c>
      <c r="E705" s="27" t="s">
        <v>14749</v>
      </c>
      <c r="F705" s="12">
        <v>1</v>
      </c>
    </row>
    <row r="706" spans="2:6" x14ac:dyDescent="0.25">
      <c r="B706" s="12" t="s">
        <v>14750</v>
      </c>
      <c r="E706" s="27" t="s">
        <v>14751</v>
      </c>
      <c r="F706" s="12">
        <v>1</v>
      </c>
    </row>
    <row r="707" spans="2:6" x14ac:dyDescent="0.25">
      <c r="B707" s="12" t="s">
        <v>14752</v>
      </c>
      <c r="E707" s="27" t="s">
        <v>14753</v>
      </c>
      <c r="F707" s="12">
        <v>1</v>
      </c>
    </row>
    <row r="708" spans="2:6" x14ac:dyDescent="0.25">
      <c r="B708" s="12" t="s">
        <v>14754</v>
      </c>
      <c r="E708" s="27" t="s">
        <v>5666</v>
      </c>
      <c r="F708" s="12">
        <v>1</v>
      </c>
    </row>
    <row r="709" spans="2:6" x14ac:dyDescent="0.25">
      <c r="B709" s="12" t="s">
        <v>14755</v>
      </c>
      <c r="E709" s="27" t="s">
        <v>14756</v>
      </c>
      <c r="F709" s="12">
        <v>1</v>
      </c>
    </row>
    <row r="710" spans="2:6" x14ac:dyDescent="0.25">
      <c r="B710" s="12" t="s">
        <v>13540</v>
      </c>
      <c r="E710" s="27" t="s">
        <v>14757</v>
      </c>
      <c r="F710" s="12">
        <v>1</v>
      </c>
    </row>
    <row r="711" spans="2:6" x14ac:dyDescent="0.25">
      <c r="B711" s="12" t="s">
        <v>13540</v>
      </c>
      <c r="E711" s="27" t="s">
        <v>14758</v>
      </c>
      <c r="F711" s="12">
        <v>1</v>
      </c>
    </row>
    <row r="712" spans="2:6" x14ac:dyDescent="0.25">
      <c r="B712" s="12" t="s">
        <v>14759</v>
      </c>
      <c r="E712" s="27" t="s">
        <v>14760</v>
      </c>
      <c r="F712" s="12">
        <v>1</v>
      </c>
    </row>
    <row r="713" spans="2:6" x14ac:dyDescent="0.25">
      <c r="B713" s="12" t="s">
        <v>14761</v>
      </c>
      <c r="E713" s="27" t="s">
        <v>14762</v>
      </c>
      <c r="F713" s="12">
        <v>1</v>
      </c>
    </row>
    <row r="714" spans="2:6" x14ac:dyDescent="0.25">
      <c r="B714" s="12" t="s">
        <v>14763</v>
      </c>
      <c r="E714" s="27" t="s">
        <v>14764</v>
      </c>
      <c r="F714" s="12">
        <v>1</v>
      </c>
    </row>
    <row r="715" spans="2:6" x14ac:dyDescent="0.25">
      <c r="B715" s="12" t="s">
        <v>14765</v>
      </c>
      <c r="E715" s="27" t="s">
        <v>14766</v>
      </c>
      <c r="F715" s="12">
        <v>1</v>
      </c>
    </row>
    <row r="716" spans="2:6" x14ac:dyDescent="0.25">
      <c r="B716" s="12" t="s">
        <v>14767</v>
      </c>
      <c r="E716" s="27" t="s">
        <v>14768</v>
      </c>
      <c r="F716" s="12">
        <v>1</v>
      </c>
    </row>
    <row r="717" spans="2:6" x14ac:dyDescent="0.25">
      <c r="B717" s="12" t="s">
        <v>14769</v>
      </c>
      <c r="E717" s="27" t="s">
        <v>14770</v>
      </c>
      <c r="F717" s="12">
        <v>1</v>
      </c>
    </row>
    <row r="718" spans="2:6" x14ac:dyDescent="0.25">
      <c r="B718" s="12" t="s">
        <v>14771</v>
      </c>
      <c r="E718" s="27" t="s">
        <v>14772</v>
      </c>
      <c r="F718" s="12">
        <v>1</v>
      </c>
    </row>
    <row r="719" spans="2:6" x14ac:dyDescent="0.25">
      <c r="B719" s="12" t="s">
        <v>14773</v>
      </c>
      <c r="E719" s="27" t="s">
        <v>11950</v>
      </c>
      <c r="F719" s="12">
        <v>1</v>
      </c>
    </row>
    <row r="720" spans="2:6" x14ac:dyDescent="0.25">
      <c r="B720" s="12" t="s">
        <v>14774</v>
      </c>
      <c r="E720" s="27" t="s">
        <v>14775</v>
      </c>
      <c r="F720" s="12">
        <v>1</v>
      </c>
    </row>
    <row r="721" spans="2:6" x14ac:dyDescent="0.25">
      <c r="B721" s="12" t="s">
        <v>14776</v>
      </c>
      <c r="E721" s="27" t="s">
        <v>14777</v>
      </c>
      <c r="F721" s="12">
        <v>1</v>
      </c>
    </row>
    <row r="722" spans="2:6" x14ac:dyDescent="0.25">
      <c r="B722" s="12" t="s">
        <v>14778</v>
      </c>
      <c r="E722" s="27" t="s">
        <v>14779</v>
      </c>
      <c r="F722" s="12">
        <v>1</v>
      </c>
    </row>
    <row r="723" spans="2:6" x14ac:dyDescent="0.25">
      <c r="B723" s="12" t="s">
        <v>14780</v>
      </c>
      <c r="E723" s="27" t="s">
        <v>14781</v>
      </c>
      <c r="F723" s="12">
        <v>1</v>
      </c>
    </row>
    <row r="724" spans="2:6" x14ac:dyDescent="0.25">
      <c r="B724" s="12" t="s">
        <v>14782</v>
      </c>
      <c r="E724" s="27" t="s">
        <v>14783</v>
      </c>
      <c r="F724" s="12">
        <v>1</v>
      </c>
    </row>
    <row r="725" spans="2:6" x14ac:dyDescent="0.25">
      <c r="B725" s="12" t="s">
        <v>14784</v>
      </c>
      <c r="E725" s="27" t="s">
        <v>8201</v>
      </c>
      <c r="F725" s="12">
        <v>1</v>
      </c>
    </row>
    <row r="726" spans="2:6" x14ac:dyDescent="0.25">
      <c r="B726" s="12" t="s">
        <v>14785</v>
      </c>
      <c r="E726" s="27" t="s">
        <v>14786</v>
      </c>
      <c r="F726" s="12">
        <v>1</v>
      </c>
    </row>
    <row r="727" spans="2:6" x14ac:dyDescent="0.25">
      <c r="B727" s="12" t="s">
        <v>14787</v>
      </c>
      <c r="E727" s="27" t="s">
        <v>14788</v>
      </c>
      <c r="F727" s="12">
        <v>1</v>
      </c>
    </row>
    <row r="728" spans="2:6" x14ac:dyDescent="0.25">
      <c r="B728" s="12" t="s">
        <v>13533</v>
      </c>
      <c r="E728" s="27" t="s">
        <v>14789</v>
      </c>
      <c r="F728" s="12">
        <v>1</v>
      </c>
    </row>
    <row r="729" spans="2:6" x14ac:dyDescent="0.25">
      <c r="B729" s="12" t="s">
        <v>14790</v>
      </c>
      <c r="E729" s="27" t="s">
        <v>9958</v>
      </c>
      <c r="F729" s="12">
        <v>1</v>
      </c>
    </row>
    <row r="730" spans="2:6" x14ac:dyDescent="0.25">
      <c r="B730" s="12" t="s">
        <v>14791</v>
      </c>
      <c r="E730" s="27" t="s">
        <v>14792</v>
      </c>
      <c r="F730" s="12">
        <v>1</v>
      </c>
    </row>
    <row r="731" spans="2:6" x14ac:dyDescent="0.25">
      <c r="B731" s="12" t="s">
        <v>14793</v>
      </c>
      <c r="E731" s="27" t="s">
        <v>14794</v>
      </c>
      <c r="F731" s="12">
        <v>1</v>
      </c>
    </row>
    <row r="732" spans="2:6" x14ac:dyDescent="0.25">
      <c r="B732" s="12" t="s">
        <v>14795</v>
      </c>
      <c r="E732" s="27" t="s">
        <v>14796</v>
      </c>
      <c r="F732" s="12">
        <v>1</v>
      </c>
    </row>
    <row r="733" spans="2:6" x14ac:dyDescent="0.25">
      <c r="B733" s="12" t="s">
        <v>14797</v>
      </c>
      <c r="E733" s="27" t="s">
        <v>14798</v>
      </c>
      <c r="F733" s="12">
        <v>1</v>
      </c>
    </row>
    <row r="734" spans="2:6" x14ac:dyDescent="0.25">
      <c r="B734" s="12" t="s">
        <v>14799</v>
      </c>
      <c r="E734" s="27" t="s">
        <v>14800</v>
      </c>
      <c r="F734" s="12">
        <v>1</v>
      </c>
    </row>
    <row r="735" spans="2:6" x14ac:dyDescent="0.25">
      <c r="B735" s="12" t="s">
        <v>14801</v>
      </c>
      <c r="E735" s="27" t="s">
        <v>5071</v>
      </c>
      <c r="F735" s="12">
        <v>1</v>
      </c>
    </row>
    <row r="736" spans="2:6" x14ac:dyDescent="0.25">
      <c r="B736" s="12" t="s">
        <v>14802</v>
      </c>
      <c r="E736" s="27" t="s">
        <v>14803</v>
      </c>
      <c r="F736" s="12">
        <v>1</v>
      </c>
    </row>
    <row r="737" spans="2:6" x14ac:dyDescent="0.25">
      <c r="B737" s="12" t="s">
        <v>14804</v>
      </c>
      <c r="E737" s="27" t="s">
        <v>14805</v>
      </c>
      <c r="F737" s="12">
        <v>1</v>
      </c>
    </row>
    <row r="738" spans="2:6" x14ac:dyDescent="0.25">
      <c r="B738" s="12" t="s">
        <v>14806</v>
      </c>
      <c r="E738" s="27" t="s">
        <v>14807</v>
      </c>
      <c r="F738" s="12">
        <v>1</v>
      </c>
    </row>
    <row r="739" spans="2:6" x14ac:dyDescent="0.25">
      <c r="B739" s="12" t="s">
        <v>14808</v>
      </c>
      <c r="E739" s="27" t="s">
        <v>14809</v>
      </c>
      <c r="F739" s="12">
        <v>1</v>
      </c>
    </row>
    <row r="740" spans="2:6" x14ac:dyDescent="0.25">
      <c r="B740" s="12" t="s">
        <v>14810</v>
      </c>
      <c r="E740" s="27" t="s">
        <v>12335</v>
      </c>
      <c r="F740" s="12">
        <v>1</v>
      </c>
    </row>
    <row r="741" spans="2:6" x14ac:dyDescent="0.25">
      <c r="B741" s="12" t="s">
        <v>14811</v>
      </c>
      <c r="E741" s="27" t="s">
        <v>12454</v>
      </c>
      <c r="F741" s="12">
        <v>1</v>
      </c>
    </row>
    <row r="742" spans="2:6" x14ac:dyDescent="0.25">
      <c r="B742" s="12" t="s">
        <v>14812</v>
      </c>
      <c r="E742" s="27" t="s">
        <v>14813</v>
      </c>
      <c r="F742" s="12">
        <v>1</v>
      </c>
    </row>
    <row r="743" spans="2:6" x14ac:dyDescent="0.25">
      <c r="B743" s="12" t="s">
        <v>14814</v>
      </c>
      <c r="E743" s="27" t="s">
        <v>14815</v>
      </c>
      <c r="F743" s="12">
        <v>1</v>
      </c>
    </row>
    <row r="744" spans="2:6" x14ac:dyDescent="0.25">
      <c r="B744" s="12" t="s">
        <v>14816</v>
      </c>
      <c r="E744" s="27" t="s">
        <v>14817</v>
      </c>
      <c r="F744" s="12">
        <v>1</v>
      </c>
    </row>
    <row r="745" spans="2:6" x14ac:dyDescent="0.25">
      <c r="B745" s="12" t="s">
        <v>14818</v>
      </c>
      <c r="E745" s="27" t="s">
        <v>14819</v>
      </c>
      <c r="F745" s="12">
        <v>1</v>
      </c>
    </row>
    <row r="746" spans="2:6" x14ac:dyDescent="0.25">
      <c r="B746" s="12" t="s">
        <v>14820</v>
      </c>
      <c r="E746" s="27" t="s">
        <v>7290</v>
      </c>
      <c r="F746" s="12">
        <v>1</v>
      </c>
    </row>
    <row r="747" spans="2:6" x14ac:dyDescent="0.25">
      <c r="B747" s="12" t="s">
        <v>14821</v>
      </c>
      <c r="E747" s="27" t="s">
        <v>14822</v>
      </c>
      <c r="F747" s="12">
        <v>1</v>
      </c>
    </row>
    <row r="748" spans="2:6" x14ac:dyDescent="0.25">
      <c r="B748" s="12" t="s">
        <v>14823</v>
      </c>
      <c r="E748" s="27" t="s">
        <v>14824</v>
      </c>
      <c r="F748" s="12">
        <v>1</v>
      </c>
    </row>
    <row r="749" spans="2:6" x14ac:dyDescent="0.25">
      <c r="B749" s="12" t="s">
        <v>14825</v>
      </c>
      <c r="E749" s="27" t="s">
        <v>14826</v>
      </c>
      <c r="F749" s="12">
        <v>1</v>
      </c>
    </row>
    <row r="750" spans="2:6" x14ac:dyDescent="0.25">
      <c r="B750" s="12" t="s">
        <v>14827</v>
      </c>
      <c r="E750" s="27" t="s">
        <v>11608</v>
      </c>
      <c r="F750" s="12">
        <v>1</v>
      </c>
    </row>
    <row r="751" spans="2:6" x14ac:dyDescent="0.25">
      <c r="B751" s="12" t="s">
        <v>14828</v>
      </c>
      <c r="E751" s="27" t="s">
        <v>14829</v>
      </c>
      <c r="F751" s="12">
        <v>1</v>
      </c>
    </row>
    <row r="752" spans="2:6" x14ac:dyDescent="0.25">
      <c r="B752" s="12" t="s">
        <v>14830</v>
      </c>
      <c r="E752" s="27" t="s">
        <v>14831</v>
      </c>
      <c r="F752" s="12">
        <v>1</v>
      </c>
    </row>
    <row r="753" spans="2:6" x14ac:dyDescent="0.25">
      <c r="B753" s="12" t="s">
        <v>14832</v>
      </c>
      <c r="E753" s="27" t="s">
        <v>14833</v>
      </c>
      <c r="F753" s="12">
        <v>1</v>
      </c>
    </row>
    <row r="754" spans="2:6" x14ac:dyDescent="0.25">
      <c r="B754" s="12" t="s">
        <v>14834</v>
      </c>
      <c r="E754" s="27" t="s">
        <v>14835</v>
      </c>
      <c r="F754" s="12">
        <v>1</v>
      </c>
    </row>
    <row r="755" spans="2:6" x14ac:dyDescent="0.25">
      <c r="B755" s="12" t="s">
        <v>14836</v>
      </c>
      <c r="E755" s="27" t="s">
        <v>14837</v>
      </c>
      <c r="F755" s="12">
        <v>1</v>
      </c>
    </row>
    <row r="756" spans="2:6" x14ac:dyDescent="0.25">
      <c r="B756" s="12" t="s">
        <v>14838</v>
      </c>
      <c r="E756" s="27" t="s">
        <v>14839</v>
      </c>
      <c r="F756" s="12">
        <v>1</v>
      </c>
    </row>
    <row r="757" spans="2:6" x14ac:dyDescent="0.25">
      <c r="B757" s="12" t="s">
        <v>14840</v>
      </c>
      <c r="E757" s="27" t="s">
        <v>14841</v>
      </c>
      <c r="F757" s="12">
        <v>1</v>
      </c>
    </row>
    <row r="758" spans="2:6" x14ac:dyDescent="0.25">
      <c r="B758" s="12" t="s">
        <v>14842</v>
      </c>
      <c r="E758" s="27" t="s">
        <v>14843</v>
      </c>
      <c r="F758" s="12">
        <v>1</v>
      </c>
    </row>
    <row r="759" spans="2:6" x14ac:dyDescent="0.25">
      <c r="B759" s="12" t="s">
        <v>14844</v>
      </c>
      <c r="E759" s="27" t="s">
        <v>14845</v>
      </c>
      <c r="F759" s="12">
        <v>1</v>
      </c>
    </row>
    <row r="760" spans="2:6" x14ac:dyDescent="0.25">
      <c r="B760" s="12" t="s">
        <v>14846</v>
      </c>
      <c r="E760" s="27" t="s">
        <v>14847</v>
      </c>
      <c r="F760" s="12">
        <v>1</v>
      </c>
    </row>
    <row r="761" spans="2:6" x14ac:dyDescent="0.25">
      <c r="B761" s="12" t="s">
        <v>14848</v>
      </c>
      <c r="E761" s="27" t="s">
        <v>14849</v>
      </c>
      <c r="F761" s="12">
        <v>1</v>
      </c>
    </row>
    <row r="762" spans="2:6" x14ac:dyDescent="0.25">
      <c r="B762" s="12" t="s">
        <v>14850</v>
      </c>
      <c r="E762" s="27" t="s">
        <v>14851</v>
      </c>
      <c r="F762" s="12">
        <v>1</v>
      </c>
    </row>
    <row r="763" spans="2:6" x14ac:dyDescent="0.25">
      <c r="B763" s="12" t="s">
        <v>14852</v>
      </c>
      <c r="E763" s="27" t="s">
        <v>14853</v>
      </c>
      <c r="F763" s="12">
        <v>1</v>
      </c>
    </row>
    <row r="764" spans="2:6" x14ac:dyDescent="0.25">
      <c r="B764" s="12" t="s">
        <v>14854</v>
      </c>
      <c r="E764" s="27" t="s">
        <v>14855</v>
      </c>
      <c r="F764" s="12">
        <v>1</v>
      </c>
    </row>
    <row r="765" spans="2:6" x14ac:dyDescent="0.25">
      <c r="B765" s="12" t="s">
        <v>14856</v>
      </c>
      <c r="E765" s="27" t="s">
        <v>14857</v>
      </c>
      <c r="F765" s="12">
        <v>1</v>
      </c>
    </row>
    <row r="766" spans="2:6" x14ac:dyDescent="0.25">
      <c r="B766" s="12" t="s">
        <v>14858</v>
      </c>
      <c r="E766" s="27" t="s">
        <v>14859</v>
      </c>
      <c r="F766" s="12">
        <v>1</v>
      </c>
    </row>
    <row r="767" spans="2:6" x14ac:dyDescent="0.25">
      <c r="B767" s="12" t="s">
        <v>14860</v>
      </c>
      <c r="E767" s="27" t="s">
        <v>14861</v>
      </c>
      <c r="F767" s="12">
        <v>1</v>
      </c>
    </row>
    <row r="768" spans="2:6" x14ac:dyDescent="0.25">
      <c r="B768" s="12" t="s">
        <v>14862</v>
      </c>
      <c r="E768" s="27" t="s">
        <v>14863</v>
      </c>
      <c r="F768" s="12">
        <v>1</v>
      </c>
    </row>
    <row r="769" spans="2:6" x14ac:dyDescent="0.25">
      <c r="B769" s="12" t="s">
        <v>14864</v>
      </c>
      <c r="E769" s="27" t="s">
        <v>14865</v>
      </c>
      <c r="F769" s="12">
        <v>1</v>
      </c>
    </row>
    <row r="770" spans="2:6" x14ac:dyDescent="0.25">
      <c r="B770" s="12" t="s">
        <v>14866</v>
      </c>
      <c r="E770" s="27" t="s">
        <v>14867</v>
      </c>
      <c r="F770" s="12">
        <v>1</v>
      </c>
    </row>
    <row r="771" spans="2:6" x14ac:dyDescent="0.25">
      <c r="B771" s="12" t="s">
        <v>14868</v>
      </c>
      <c r="E771" s="27" t="s">
        <v>6800</v>
      </c>
      <c r="F771" s="12">
        <v>1</v>
      </c>
    </row>
    <row r="772" spans="2:6" x14ac:dyDescent="0.25">
      <c r="B772" s="12" t="s">
        <v>14869</v>
      </c>
      <c r="E772" s="27" t="s">
        <v>2966</v>
      </c>
      <c r="F772" s="12">
        <v>1</v>
      </c>
    </row>
    <row r="773" spans="2:6" x14ac:dyDescent="0.25">
      <c r="B773" s="12" t="s">
        <v>14870</v>
      </c>
      <c r="E773" s="27" t="s">
        <v>14871</v>
      </c>
      <c r="F773" s="12">
        <v>1</v>
      </c>
    </row>
    <row r="774" spans="2:6" x14ac:dyDescent="0.25">
      <c r="B774" s="12" t="s">
        <v>14872</v>
      </c>
      <c r="E774" s="27" t="s">
        <v>10863</v>
      </c>
      <c r="F774" s="12">
        <v>1</v>
      </c>
    </row>
    <row r="775" spans="2:6" x14ac:dyDescent="0.25">
      <c r="B775" s="12" t="s">
        <v>14873</v>
      </c>
      <c r="E775" s="27" t="s">
        <v>14874</v>
      </c>
      <c r="F775" s="12">
        <v>1</v>
      </c>
    </row>
    <row r="776" spans="2:6" x14ac:dyDescent="0.25">
      <c r="B776" s="12" t="s">
        <v>14875</v>
      </c>
      <c r="E776" s="27" t="s">
        <v>14876</v>
      </c>
      <c r="F776" s="12">
        <v>1</v>
      </c>
    </row>
    <row r="777" spans="2:6" x14ac:dyDescent="0.25">
      <c r="B777" s="12" t="s">
        <v>14877</v>
      </c>
      <c r="E777" s="27" t="s">
        <v>14878</v>
      </c>
      <c r="F777" s="12">
        <v>1</v>
      </c>
    </row>
    <row r="778" spans="2:6" x14ac:dyDescent="0.25">
      <c r="B778" s="12" t="s">
        <v>14879</v>
      </c>
      <c r="E778" s="27" t="s">
        <v>14880</v>
      </c>
      <c r="F778" s="12">
        <v>1</v>
      </c>
    </row>
    <row r="779" spans="2:6" x14ac:dyDescent="0.25">
      <c r="B779" s="12" t="s">
        <v>14881</v>
      </c>
      <c r="E779" s="27" t="s">
        <v>14882</v>
      </c>
      <c r="F779" s="12">
        <v>1</v>
      </c>
    </row>
    <row r="780" spans="2:6" x14ac:dyDescent="0.25">
      <c r="B780" s="12" t="s">
        <v>14883</v>
      </c>
      <c r="E780" s="27" t="s">
        <v>14884</v>
      </c>
      <c r="F780" s="12">
        <v>1</v>
      </c>
    </row>
    <row r="781" spans="2:6" x14ac:dyDescent="0.25">
      <c r="B781" s="12" t="s">
        <v>14885</v>
      </c>
      <c r="E781" s="27" t="s">
        <v>14886</v>
      </c>
      <c r="F781" s="12">
        <v>1</v>
      </c>
    </row>
    <row r="782" spans="2:6" x14ac:dyDescent="0.25">
      <c r="B782" s="12" t="s">
        <v>14887</v>
      </c>
      <c r="E782" s="27" t="s">
        <v>14888</v>
      </c>
      <c r="F782" s="12">
        <v>1</v>
      </c>
    </row>
    <row r="783" spans="2:6" x14ac:dyDescent="0.25">
      <c r="B783" s="12" t="s">
        <v>14889</v>
      </c>
      <c r="E783" s="27" t="s">
        <v>14890</v>
      </c>
      <c r="F783" s="12">
        <v>1</v>
      </c>
    </row>
    <row r="784" spans="2:6" x14ac:dyDescent="0.25">
      <c r="B784" s="12" t="s">
        <v>14891</v>
      </c>
      <c r="E784" s="27" t="s">
        <v>14892</v>
      </c>
      <c r="F784" s="12">
        <v>1</v>
      </c>
    </row>
    <row r="785" spans="2:6" x14ac:dyDescent="0.25">
      <c r="B785" s="12" t="s">
        <v>14893</v>
      </c>
      <c r="E785" s="27" t="s">
        <v>14894</v>
      </c>
      <c r="F785" s="12">
        <v>1</v>
      </c>
    </row>
    <row r="786" spans="2:6" x14ac:dyDescent="0.25">
      <c r="B786" s="12" t="s">
        <v>14895</v>
      </c>
      <c r="E786" s="27" t="s">
        <v>14896</v>
      </c>
      <c r="F786" s="12">
        <v>1</v>
      </c>
    </row>
    <row r="787" spans="2:6" x14ac:dyDescent="0.25">
      <c r="B787" s="12" t="s">
        <v>14897</v>
      </c>
      <c r="E787" s="27" t="s">
        <v>14898</v>
      </c>
      <c r="F787" s="12">
        <v>1</v>
      </c>
    </row>
    <row r="788" spans="2:6" x14ac:dyDescent="0.25">
      <c r="B788" s="12" t="s">
        <v>14899</v>
      </c>
      <c r="E788" s="27" t="s">
        <v>14900</v>
      </c>
      <c r="F788" s="12">
        <v>1</v>
      </c>
    </row>
    <row r="789" spans="2:6" x14ac:dyDescent="0.25">
      <c r="B789" s="12" t="s">
        <v>13535</v>
      </c>
      <c r="E789" s="27" t="s">
        <v>14901</v>
      </c>
      <c r="F789" s="12">
        <v>1</v>
      </c>
    </row>
    <row r="790" spans="2:6" x14ac:dyDescent="0.25">
      <c r="B790" s="12" t="s">
        <v>13535</v>
      </c>
      <c r="E790" s="27" t="s">
        <v>14902</v>
      </c>
      <c r="F790" s="12">
        <v>1</v>
      </c>
    </row>
    <row r="791" spans="2:6" x14ac:dyDescent="0.25">
      <c r="B791" s="12" t="s">
        <v>14903</v>
      </c>
      <c r="E791" s="27" t="s">
        <v>14904</v>
      </c>
      <c r="F791" s="12">
        <v>1</v>
      </c>
    </row>
    <row r="792" spans="2:6" x14ac:dyDescent="0.25">
      <c r="B792" s="12" t="s">
        <v>14905</v>
      </c>
      <c r="E792" s="27" t="s">
        <v>14906</v>
      </c>
      <c r="F792" s="12">
        <v>1</v>
      </c>
    </row>
    <row r="793" spans="2:6" x14ac:dyDescent="0.25">
      <c r="B793" s="12" t="s">
        <v>14907</v>
      </c>
      <c r="E793" s="27" t="s">
        <v>14908</v>
      </c>
      <c r="F793" s="12">
        <v>1</v>
      </c>
    </row>
    <row r="794" spans="2:6" x14ac:dyDescent="0.25">
      <c r="B794" s="12" t="s">
        <v>14909</v>
      </c>
      <c r="E794" s="27" t="s">
        <v>14910</v>
      </c>
      <c r="F794" s="12">
        <v>1</v>
      </c>
    </row>
    <row r="795" spans="2:6" x14ac:dyDescent="0.25">
      <c r="B795" s="12" t="s">
        <v>14911</v>
      </c>
      <c r="E795" s="27" t="s">
        <v>11970</v>
      </c>
      <c r="F795" s="12">
        <v>1</v>
      </c>
    </row>
    <row r="796" spans="2:6" x14ac:dyDescent="0.25">
      <c r="B796" s="12" t="s">
        <v>14912</v>
      </c>
      <c r="E796" s="27" t="s">
        <v>14913</v>
      </c>
      <c r="F796" s="12">
        <v>1</v>
      </c>
    </row>
    <row r="797" spans="2:6" x14ac:dyDescent="0.25">
      <c r="B797" s="12" t="s">
        <v>14914</v>
      </c>
      <c r="E797" s="27" t="s">
        <v>14915</v>
      </c>
      <c r="F797" s="12">
        <v>1</v>
      </c>
    </row>
    <row r="798" spans="2:6" x14ac:dyDescent="0.25">
      <c r="B798" s="12" t="s">
        <v>14916</v>
      </c>
      <c r="E798" s="27" t="s">
        <v>14917</v>
      </c>
      <c r="F798" s="12">
        <v>1</v>
      </c>
    </row>
    <row r="799" spans="2:6" x14ac:dyDescent="0.25">
      <c r="B799" s="12" t="s">
        <v>14918</v>
      </c>
      <c r="E799" s="27" t="s">
        <v>14919</v>
      </c>
      <c r="F799" s="12">
        <v>1</v>
      </c>
    </row>
    <row r="800" spans="2:6" x14ac:dyDescent="0.25">
      <c r="B800" s="12" t="s">
        <v>14920</v>
      </c>
      <c r="E800" s="27" t="s">
        <v>14921</v>
      </c>
      <c r="F800" s="12">
        <v>1</v>
      </c>
    </row>
    <row r="801" spans="2:6" x14ac:dyDescent="0.25">
      <c r="B801" s="12" t="s">
        <v>14922</v>
      </c>
      <c r="E801" s="27" t="s">
        <v>14923</v>
      </c>
      <c r="F801" s="12">
        <v>1</v>
      </c>
    </row>
    <row r="802" spans="2:6" x14ac:dyDescent="0.25">
      <c r="B802" s="12" t="s">
        <v>14924</v>
      </c>
      <c r="E802" s="27" t="s">
        <v>14925</v>
      </c>
      <c r="F802" s="12">
        <v>1</v>
      </c>
    </row>
    <row r="803" spans="2:6" x14ac:dyDescent="0.25">
      <c r="B803" s="12" t="s">
        <v>14926</v>
      </c>
      <c r="E803" s="27" t="s">
        <v>14927</v>
      </c>
      <c r="F803" s="12">
        <v>1</v>
      </c>
    </row>
    <row r="804" spans="2:6" x14ac:dyDescent="0.25">
      <c r="B804" s="12" t="s">
        <v>14928</v>
      </c>
      <c r="E804" s="27" t="s">
        <v>14929</v>
      </c>
      <c r="F804" s="12">
        <v>1</v>
      </c>
    </row>
    <row r="805" spans="2:6" x14ac:dyDescent="0.25">
      <c r="B805" s="12" t="s">
        <v>14930</v>
      </c>
      <c r="E805" s="27" t="s">
        <v>14931</v>
      </c>
      <c r="F805" s="12">
        <v>1</v>
      </c>
    </row>
    <row r="806" spans="2:6" x14ac:dyDescent="0.25">
      <c r="B806" s="12" t="s">
        <v>14932</v>
      </c>
      <c r="E806" s="27" t="s">
        <v>14933</v>
      </c>
      <c r="F806" s="12">
        <v>1</v>
      </c>
    </row>
    <row r="807" spans="2:6" x14ac:dyDescent="0.25">
      <c r="B807" s="12" t="s">
        <v>14934</v>
      </c>
      <c r="E807" s="27" t="s">
        <v>14935</v>
      </c>
      <c r="F807" s="12">
        <v>1</v>
      </c>
    </row>
    <row r="808" spans="2:6" x14ac:dyDescent="0.25">
      <c r="B808" s="12" t="s">
        <v>14936</v>
      </c>
      <c r="E808" s="27" t="s">
        <v>14937</v>
      </c>
      <c r="F808" s="12">
        <v>1</v>
      </c>
    </row>
    <row r="809" spans="2:6" x14ac:dyDescent="0.25">
      <c r="B809" s="12" t="s">
        <v>14938</v>
      </c>
      <c r="E809" s="27" t="s">
        <v>14939</v>
      </c>
      <c r="F809" s="12">
        <v>1</v>
      </c>
    </row>
    <row r="810" spans="2:6" x14ac:dyDescent="0.25">
      <c r="B810" s="12" t="s">
        <v>14940</v>
      </c>
      <c r="E810" s="27" t="s">
        <v>14941</v>
      </c>
      <c r="F810" s="12">
        <v>1</v>
      </c>
    </row>
    <row r="811" spans="2:6" x14ac:dyDescent="0.25">
      <c r="B811" s="12" t="s">
        <v>14942</v>
      </c>
      <c r="E811" s="27" t="s">
        <v>14943</v>
      </c>
      <c r="F811" s="12">
        <v>1</v>
      </c>
    </row>
    <row r="812" spans="2:6" x14ac:dyDescent="0.25">
      <c r="B812" s="12" t="s">
        <v>14944</v>
      </c>
      <c r="E812" s="27" t="s">
        <v>14945</v>
      </c>
      <c r="F812" s="12">
        <v>1</v>
      </c>
    </row>
    <row r="813" spans="2:6" x14ac:dyDescent="0.25">
      <c r="B813" s="12" t="s">
        <v>7071</v>
      </c>
      <c r="E813" s="27" t="s">
        <v>14946</v>
      </c>
      <c r="F813" s="12">
        <v>1</v>
      </c>
    </row>
    <row r="814" spans="2:6" x14ac:dyDescent="0.25">
      <c r="B814" s="12" t="s">
        <v>14947</v>
      </c>
      <c r="E814" s="27" t="s">
        <v>14948</v>
      </c>
      <c r="F814" s="12">
        <v>1</v>
      </c>
    </row>
    <row r="815" spans="2:6" x14ac:dyDescent="0.25">
      <c r="B815" s="12" t="s">
        <v>14949</v>
      </c>
      <c r="E815" s="27" t="s">
        <v>14950</v>
      </c>
      <c r="F815" s="12">
        <v>1</v>
      </c>
    </row>
    <row r="816" spans="2:6" x14ac:dyDescent="0.25">
      <c r="B816" s="12" t="s">
        <v>14951</v>
      </c>
      <c r="E816" s="27" t="s">
        <v>14952</v>
      </c>
      <c r="F816" s="12">
        <v>1</v>
      </c>
    </row>
    <row r="817" spans="2:6" x14ac:dyDescent="0.25">
      <c r="B817" s="12" t="s">
        <v>14953</v>
      </c>
      <c r="E817" s="27" t="s">
        <v>14954</v>
      </c>
      <c r="F817" s="12">
        <v>1</v>
      </c>
    </row>
    <row r="818" spans="2:6" x14ac:dyDescent="0.25">
      <c r="B818" s="12" t="s">
        <v>14955</v>
      </c>
      <c r="E818" s="27" t="s">
        <v>14956</v>
      </c>
      <c r="F818" s="12">
        <v>1</v>
      </c>
    </row>
    <row r="819" spans="2:6" x14ac:dyDescent="0.25">
      <c r="B819" s="12" t="s">
        <v>14957</v>
      </c>
      <c r="E819" s="27" t="s">
        <v>14958</v>
      </c>
      <c r="F819" s="12">
        <v>1</v>
      </c>
    </row>
    <row r="820" spans="2:6" x14ac:dyDescent="0.25">
      <c r="B820" s="12" t="s">
        <v>14959</v>
      </c>
      <c r="E820" s="27" t="s">
        <v>10120</v>
      </c>
      <c r="F820" s="12">
        <v>1</v>
      </c>
    </row>
    <row r="821" spans="2:6" x14ac:dyDescent="0.25">
      <c r="B821" s="12" t="s">
        <v>14960</v>
      </c>
      <c r="E821" s="27" t="s">
        <v>14961</v>
      </c>
      <c r="F821" s="12">
        <v>1</v>
      </c>
    </row>
    <row r="822" spans="2:6" x14ac:dyDescent="0.25">
      <c r="B822" s="12" t="s">
        <v>14962</v>
      </c>
      <c r="E822" s="27" t="s">
        <v>14963</v>
      </c>
      <c r="F822" s="12">
        <v>1</v>
      </c>
    </row>
    <row r="823" spans="2:6" x14ac:dyDescent="0.25">
      <c r="B823" s="12" t="s">
        <v>14964</v>
      </c>
      <c r="E823" s="27" t="s">
        <v>14965</v>
      </c>
      <c r="F823" s="12">
        <v>1</v>
      </c>
    </row>
    <row r="824" spans="2:6" x14ac:dyDescent="0.25">
      <c r="B824" s="12" t="s">
        <v>14966</v>
      </c>
      <c r="E824" s="27" t="s">
        <v>14967</v>
      </c>
      <c r="F824" s="12">
        <v>1</v>
      </c>
    </row>
    <row r="825" spans="2:6" x14ac:dyDescent="0.25">
      <c r="B825" s="12" t="s">
        <v>14968</v>
      </c>
      <c r="E825" s="27" t="s">
        <v>14969</v>
      </c>
      <c r="F825" s="12">
        <v>1</v>
      </c>
    </row>
    <row r="826" spans="2:6" x14ac:dyDescent="0.25">
      <c r="B826" s="12" t="s">
        <v>14970</v>
      </c>
      <c r="E826" s="27" t="s">
        <v>14971</v>
      </c>
      <c r="F826" s="12">
        <v>1</v>
      </c>
    </row>
    <row r="827" spans="2:6" x14ac:dyDescent="0.25">
      <c r="B827" s="12" t="s">
        <v>13544</v>
      </c>
      <c r="E827" s="27" t="s">
        <v>14972</v>
      </c>
      <c r="F827" s="12">
        <v>1</v>
      </c>
    </row>
    <row r="828" spans="2:6" x14ac:dyDescent="0.25">
      <c r="B828" s="12" t="s">
        <v>13554</v>
      </c>
      <c r="E828" s="27" t="s">
        <v>14973</v>
      </c>
      <c r="F828" s="12">
        <v>1</v>
      </c>
    </row>
    <row r="829" spans="2:6" x14ac:dyDescent="0.25">
      <c r="B829" s="12" t="s">
        <v>13554</v>
      </c>
      <c r="E829" s="27" t="s">
        <v>14974</v>
      </c>
      <c r="F829" s="12">
        <v>1</v>
      </c>
    </row>
    <row r="830" spans="2:6" x14ac:dyDescent="0.25">
      <c r="B830" s="12" t="s">
        <v>14975</v>
      </c>
      <c r="E830" s="27" t="s">
        <v>14976</v>
      </c>
      <c r="F830" s="12">
        <v>1</v>
      </c>
    </row>
    <row r="831" spans="2:6" x14ac:dyDescent="0.25">
      <c r="B831" s="12" t="s">
        <v>14977</v>
      </c>
      <c r="E831" s="27" t="s">
        <v>14978</v>
      </c>
      <c r="F831" s="12">
        <v>1</v>
      </c>
    </row>
    <row r="832" spans="2:6" x14ac:dyDescent="0.25">
      <c r="B832" s="12" t="s">
        <v>14979</v>
      </c>
      <c r="E832" s="27" t="s">
        <v>14980</v>
      </c>
      <c r="F832" s="12">
        <v>1</v>
      </c>
    </row>
    <row r="833" spans="2:6" x14ac:dyDescent="0.25">
      <c r="B833" s="12" t="s">
        <v>14981</v>
      </c>
      <c r="E833" s="27" t="s">
        <v>14982</v>
      </c>
      <c r="F833" s="12">
        <v>1</v>
      </c>
    </row>
    <row r="834" spans="2:6" x14ac:dyDescent="0.25">
      <c r="B834" s="12" t="s">
        <v>14740</v>
      </c>
      <c r="E834" s="27" t="s">
        <v>14983</v>
      </c>
      <c r="F834" s="12">
        <v>1</v>
      </c>
    </row>
    <row r="835" spans="2:6" x14ac:dyDescent="0.25">
      <c r="B835" s="12" t="s">
        <v>14829</v>
      </c>
      <c r="E835" s="27" t="s">
        <v>14984</v>
      </c>
      <c r="F835" s="12">
        <v>1</v>
      </c>
    </row>
    <row r="836" spans="2:6" x14ac:dyDescent="0.25">
      <c r="B836" s="12" t="s">
        <v>14900</v>
      </c>
      <c r="E836" s="27" t="s">
        <v>14985</v>
      </c>
      <c r="F836" s="12">
        <v>1</v>
      </c>
    </row>
    <row r="837" spans="2:6" x14ac:dyDescent="0.25">
      <c r="B837" s="12" t="s">
        <v>14772</v>
      </c>
      <c r="E837" s="27" t="s">
        <v>14986</v>
      </c>
      <c r="F837" s="12">
        <v>1</v>
      </c>
    </row>
    <row r="838" spans="2:6" x14ac:dyDescent="0.25">
      <c r="B838" s="12" t="s">
        <v>14831</v>
      </c>
      <c r="E838" s="27" t="s">
        <v>14987</v>
      </c>
      <c r="F838" s="12">
        <v>1</v>
      </c>
    </row>
    <row r="839" spans="2:6" x14ac:dyDescent="0.25">
      <c r="B839" s="12" t="s">
        <v>14651</v>
      </c>
      <c r="E839" s="27" t="s">
        <v>14988</v>
      </c>
      <c r="F839" s="12">
        <v>1</v>
      </c>
    </row>
    <row r="840" spans="2:6" x14ac:dyDescent="0.25">
      <c r="B840" s="12" t="s">
        <v>14632</v>
      </c>
      <c r="E840" s="27" t="s">
        <v>14989</v>
      </c>
      <c r="F840" s="12">
        <v>1</v>
      </c>
    </row>
    <row r="841" spans="2:6" x14ac:dyDescent="0.25">
      <c r="B841" s="12" t="s">
        <v>14636</v>
      </c>
      <c r="E841" s="27" t="s">
        <v>8455</v>
      </c>
      <c r="F841" s="12">
        <v>1</v>
      </c>
    </row>
    <row r="842" spans="2:6" x14ac:dyDescent="0.25">
      <c r="B842" s="12" t="s">
        <v>14638</v>
      </c>
      <c r="E842" s="27" t="s">
        <v>14990</v>
      </c>
      <c r="F842" s="12">
        <v>1</v>
      </c>
    </row>
    <row r="843" spans="2:6" x14ac:dyDescent="0.25">
      <c r="B843" s="12" t="s">
        <v>14642</v>
      </c>
      <c r="E843" s="27" t="s">
        <v>14991</v>
      </c>
      <c r="F843" s="12">
        <v>1</v>
      </c>
    </row>
    <row r="844" spans="2:6" x14ac:dyDescent="0.25">
      <c r="B844" s="12" t="s">
        <v>14652</v>
      </c>
      <c r="E844" s="27" t="s">
        <v>14992</v>
      </c>
      <c r="F844" s="12">
        <v>1</v>
      </c>
    </row>
    <row r="845" spans="2:6" x14ac:dyDescent="0.25">
      <c r="B845" s="12" t="s">
        <v>14656</v>
      </c>
      <c r="E845" s="27" t="s">
        <v>14993</v>
      </c>
      <c r="F845" s="12">
        <v>1</v>
      </c>
    </row>
    <row r="846" spans="2:6" x14ac:dyDescent="0.25">
      <c r="B846" s="12" t="s">
        <v>14660</v>
      </c>
      <c r="E846" s="27" t="s">
        <v>14994</v>
      </c>
      <c r="F846" s="12">
        <v>1</v>
      </c>
    </row>
    <row r="847" spans="2:6" x14ac:dyDescent="0.25">
      <c r="B847" s="12" t="s">
        <v>14664</v>
      </c>
      <c r="E847" s="27" t="s">
        <v>14995</v>
      </c>
      <c r="F847" s="12">
        <v>1</v>
      </c>
    </row>
    <row r="848" spans="2:6" x14ac:dyDescent="0.25">
      <c r="B848" s="12" t="s">
        <v>14675</v>
      </c>
      <c r="E848" s="27" t="s">
        <v>14996</v>
      </c>
      <c r="F848" s="12">
        <v>1</v>
      </c>
    </row>
    <row r="849" spans="2:6" x14ac:dyDescent="0.25">
      <c r="B849" s="12" t="s">
        <v>14679</v>
      </c>
      <c r="E849" s="27" t="s">
        <v>14997</v>
      </c>
      <c r="F849" s="12">
        <v>1</v>
      </c>
    </row>
    <row r="850" spans="2:6" x14ac:dyDescent="0.25">
      <c r="B850" s="12" t="s">
        <v>14685</v>
      </c>
      <c r="E850" s="27" t="s">
        <v>14998</v>
      </c>
      <c r="F850" s="12">
        <v>1</v>
      </c>
    </row>
    <row r="851" spans="2:6" x14ac:dyDescent="0.25">
      <c r="B851" s="12" t="s">
        <v>14689</v>
      </c>
      <c r="E851" s="27" t="s">
        <v>14999</v>
      </c>
      <c r="F851" s="12">
        <v>1</v>
      </c>
    </row>
    <row r="852" spans="2:6" x14ac:dyDescent="0.25">
      <c r="B852" s="12" t="s">
        <v>14693</v>
      </c>
      <c r="E852" s="27" t="s">
        <v>15000</v>
      </c>
      <c r="F852" s="12">
        <v>1</v>
      </c>
    </row>
    <row r="853" spans="2:6" x14ac:dyDescent="0.25">
      <c r="B853" s="12" t="s">
        <v>14697</v>
      </c>
      <c r="E853" s="27" t="s">
        <v>15001</v>
      </c>
      <c r="F853" s="12">
        <v>1</v>
      </c>
    </row>
    <row r="854" spans="2:6" x14ac:dyDescent="0.25">
      <c r="B854" s="12" t="s">
        <v>14701</v>
      </c>
      <c r="E854" s="27" t="s">
        <v>15002</v>
      </c>
      <c r="F854" s="12">
        <v>1</v>
      </c>
    </row>
    <row r="855" spans="2:6" x14ac:dyDescent="0.25">
      <c r="B855" s="12" t="s">
        <v>14705</v>
      </c>
      <c r="E855" s="27" t="s">
        <v>15003</v>
      </c>
      <c r="F855" s="12">
        <v>1</v>
      </c>
    </row>
    <row r="856" spans="2:6" x14ac:dyDescent="0.25">
      <c r="B856" s="12" t="s">
        <v>14708</v>
      </c>
      <c r="E856" s="27" t="s">
        <v>15004</v>
      </c>
      <c r="F856" s="12">
        <v>1</v>
      </c>
    </row>
    <row r="857" spans="2:6" x14ac:dyDescent="0.25">
      <c r="B857" s="12" t="s">
        <v>14712</v>
      </c>
      <c r="E857" s="27" t="s">
        <v>15005</v>
      </c>
      <c r="F857" s="12">
        <v>1</v>
      </c>
    </row>
    <row r="858" spans="2:6" x14ac:dyDescent="0.25">
      <c r="B858" s="12" t="s">
        <v>14716</v>
      </c>
      <c r="E858" s="27" t="s">
        <v>15006</v>
      </c>
      <c r="F858" s="12">
        <v>1</v>
      </c>
    </row>
    <row r="859" spans="2:6" x14ac:dyDescent="0.25">
      <c r="B859" s="12" t="s">
        <v>14723</v>
      </c>
      <c r="E859" s="27" t="s">
        <v>15007</v>
      </c>
      <c r="F859" s="12">
        <v>1</v>
      </c>
    </row>
    <row r="860" spans="2:6" x14ac:dyDescent="0.25">
      <c r="B860" s="12" t="s">
        <v>13522</v>
      </c>
      <c r="E860" s="27" t="s">
        <v>15008</v>
      </c>
      <c r="F860" s="12">
        <v>1</v>
      </c>
    </row>
    <row r="861" spans="2:6" x14ac:dyDescent="0.25">
      <c r="B861" s="12" t="s">
        <v>13522</v>
      </c>
      <c r="E861" s="27" t="s">
        <v>9516</v>
      </c>
      <c r="F861" s="12">
        <v>1</v>
      </c>
    </row>
    <row r="862" spans="2:6" x14ac:dyDescent="0.25">
      <c r="B862" s="12" t="s">
        <v>14728</v>
      </c>
      <c r="E862" s="27" t="s">
        <v>15009</v>
      </c>
      <c r="F862" s="12">
        <v>1</v>
      </c>
    </row>
    <row r="863" spans="2:6" x14ac:dyDescent="0.25">
      <c r="B863" s="12" t="s">
        <v>14732</v>
      </c>
      <c r="E863" s="27" t="s">
        <v>15010</v>
      </c>
      <c r="F863" s="12">
        <v>1</v>
      </c>
    </row>
    <row r="864" spans="2:6" x14ac:dyDescent="0.25">
      <c r="B864" s="12" t="s">
        <v>14734</v>
      </c>
      <c r="E864" s="27" t="s">
        <v>15011</v>
      </c>
      <c r="F864" s="12">
        <v>1</v>
      </c>
    </row>
    <row r="865" spans="2:6" x14ac:dyDescent="0.25">
      <c r="B865" s="12" t="s">
        <v>14745</v>
      </c>
      <c r="E865" s="27" t="s">
        <v>15012</v>
      </c>
      <c r="F865" s="12">
        <v>1</v>
      </c>
    </row>
    <row r="866" spans="2:6" x14ac:dyDescent="0.25">
      <c r="B866" s="12" t="s">
        <v>14749</v>
      </c>
      <c r="E866" s="27" t="s">
        <v>15013</v>
      </c>
      <c r="F866" s="12">
        <v>1</v>
      </c>
    </row>
    <row r="867" spans="2:6" x14ac:dyDescent="0.25">
      <c r="B867" s="12" t="s">
        <v>14753</v>
      </c>
      <c r="E867" s="27" t="s">
        <v>15014</v>
      </c>
      <c r="F867" s="12">
        <v>1</v>
      </c>
    </row>
    <row r="868" spans="2:6" x14ac:dyDescent="0.25">
      <c r="B868" s="12" t="s">
        <v>14756</v>
      </c>
      <c r="E868" s="27" t="s">
        <v>15015</v>
      </c>
      <c r="F868" s="12">
        <v>1</v>
      </c>
    </row>
    <row r="869" spans="2:6" x14ac:dyDescent="0.25">
      <c r="B869" s="12" t="s">
        <v>14758</v>
      </c>
      <c r="E869" s="27" t="s">
        <v>15016</v>
      </c>
      <c r="F869" s="12">
        <v>1</v>
      </c>
    </row>
    <row r="870" spans="2:6" x14ac:dyDescent="0.25">
      <c r="B870" s="12" t="s">
        <v>14766</v>
      </c>
      <c r="E870" s="27" t="s">
        <v>15017</v>
      </c>
      <c r="F870" s="12">
        <v>1</v>
      </c>
    </row>
    <row r="871" spans="2:6" x14ac:dyDescent="0.25">
      <c r="B871" s="12" t="s">
        <v>14777</v>
      </c>
      <c r="E871" s="27" t="s">
        <v>15018</v>
      </c>
      <c r="F871" s="12">
        <v>1</v>
      </c>
    </row>
    <row r="872" spans="2:6" x14ac:dyDescent="0.25">
      <c r="B872" s="12" t="s">
        <v>14781</v>
      </c>
      <c r="E872" s="27" t="s">
        <v>15019</v>
      </c>
      <c r="F872" s="12">
        <v>1</v>
      </c>
    </row>
    <row r="873" spans="2:6" x14ac:dyDescent="0.25">
      <c r="B873" s="12" t="s">
        <v>14794</v>
      </c>
      <c r="E873" s="27" t="s">
        <v>15020</v>
      </c>
      <c r="F873" s="12">
        <v>1</v>
      </c>
    </row>
    <row r="874" spans="2:6" x14ac:dyDescent="0.25">
      <c r="B874" s="12" t="s">
        <v>14798</v>
      </c>
      <c r="E874" s="27" t="s">
        <v>15021</v>
      </c>
      <c r="F874" s="12">
        <v>1</v>
      </c>
    </row>
    <row r="875" spans="2:6" x14ac:dyDescent="0.25">
      <c r="B875" s="12" t="s">
        <v>14805</v>
      </c>
      <c r="E875" s="27" t="s">
        <v>12345</v>
      </c>
      <c r="F875" s="12">
        <v>1</v>
      </c>
    </row>
    <row r="876" spans="2:6" x14ac:dyDescent="0.25">
      <c r="B876" s="12" t="s">
        <v>14809</v>
      </c>
      <c r="E876" s="27" t="s">
        <v>15022</v>
      </c>
      <c r="F876" s="12">
        <v>1</v>
      </c>
    </row>
    <row r="877" spans="2:6" x14ac:dyDescent="0.25">
      <c r="B877" s="12" t="s">
        <v>14815</v>
      </c>
      <c r="E877" s="27" t="s">
        <v>15023</v>
      </c>
      <c r="F877" s="12">
        <v>1</v>
      </c>
    </row>
    <row r="878" spans="2:6" x14ac:dyDescent="0.25">
      <c r="B878" s="12" t="s">
        <v>14819</v>
      </c>
      <c r="E878" s="27" t="s">
        <v>15024</v>
      </c>
      <c r="F878" s="12">
        <v>1</v>
      </c>
    </row>
    <row r="879" spans="2:6" x14ac:dyDescent="0.25">
      <c r="B879" s="12" t="s">
        <v>14822</v>
      </c>
      <c r="E879" s="27" t="s">
        <v>15025</v>
      </c>
      <c r="F879" s="12">
        <v>1</v>
      </c>
    </row>
    <row r="880" spans="2:6" x14ac:dyDescent="0.25">
      <c r="B880" s="12" t="s">
        <v>14826</v>
      </c>
      <c r="E880" s="27" t="s">
        <v>15026</v>
      </c>
      <c r="F880" s="12">
        <v>1</v>
      </c>
    </row>
    <row r="881" spans="2:6" x14ac:dyDescent="0.25">
      <c r="B881" s="12" t="s">
        <v>13526</v>
      </c>
      <c r="E881" s="27" t="s">
        <v>15027</v>
      </c>
      <c r="F881" s="12">
        <v>1</v>
      </c>
    </row>
    <row r="882" spans="2:6" x14ac:dyDescent="0.25">
      <c r="B882" s="12" t="s">
        <v>13526</v>
      </c>
      <c r="E882" s="27" t="s">
        <v>15028</v>
      </c>
      <c r="F882" s="12">
        <v>1</v>
      </c>
    </row>
    <row r="883" spans="2:6" x14ac:dyDescent="0.25">
      <c r="B883" s="12" t="s">
        <v>14833</v>
      </c>
      <c r="E883" s="27" t="s">
        <v>15029</v>
      </c>
      <c r="F883" s="12">
        <v>1</v>
      </c>
    </row>
    <row r="884" spans="2:6" x14ac:dyDescent="0.25">
      <c r="B884" s="12" t="s">
        <v>14837</v>
      </c>
      <c r="E884" s="27" t="s">
        <v>15030</v>
      </c>
      <c r="F884" s="12">
        <v>1</v>
      </c>
    </row>
    <row r="885" spans="2:6" x14ac:dyDescent="0.25">
      <c r="B885" s="12" t="s">
        <v>14841</v>
      </c>
      <c r="E885" s="27" t="s">
        <v>15031</v>
      </c>
      <c r="F885" s="12">
        <v>1</v>
      </c>
    </row>
    <row r="886" spans="2:6" x14ac:dyDescent="0.25">
      <c r="B886" s="12" t="s">
        <v>13530</v>
      </c>
      <c r="E886" s="27" t="s">
        <v>15032</v>
      </c>
      <c r="F886" s="12">
        <v>1</v>
      </c>
    </row>
    <row r="887" spans="2:6" x14ac:dyDescent="0.25">
      <c r="B887" s="12" t="s">
        <v>13530</v>
      </c>
      <c r="E887" s="27" t="s">
        <v>15033</v>
      </c>
      <c r="F887" s="12">
        <v>1</v>
      </c>
    </row>
    <row r="888" spans="2:6" x14ac:dyDescent="0.25">
      <c r="B888" s="12" t="s">
        <v>14853</v>
      </c>
      <c r="E888" s="27" t="s">
        <v>15034</v>
      </c>
      <c r="F888" s="12">
        <v>1</v>
      </c>
    </row>
    <row r="889" spans="2:6" x14ac:dyDescent="0.25">
      <c r="B889" s="12" t="s">
        <v>13520</v>
      </c>
      <c r="E889" s="27" t="s">
        <v>15035</v>
      </c>
      <c r="F889" s="12">
        <v>1</v>
      </c>
    </row>
    <row r="890" spans="2:6" x14ac:dyDescent="0.25">
      <c r="B890" s="12" t="s">
        <v>14861</v>
      </c>
      <c r="E890" s="27" t="s">
        <v>15036</v>
      </c>
      <c r="F890" s="12">
        <v>1</v>
      </c>
    </row>
    <row r="891" spans="2:6" x14ac:dyDescent="0.25">
      <c r="B891" s="12" t="s">
        <v>14865</v>
      </c>
      <c r="E891" s="27" t="s">
        <v>15037</v>
      </c>
      <c r="F891" s="12">
        <v>1</v>
      </c>
    </row>
    <row r="892" spans="2:6" x14ac:dyDescent="0.25">
      <c r="B892" s="12" t="s">
        <v>13518</v>
      </c>
      <c r="E892" s="27" t="s">
        <v>15038</v>
      </c>
      <c r="F892" s="12">
        <v>1</v>
      </c>
    </row>
    <row r="893" spans="2:6" x14ac:dyDescent="0.25">
      <c r="B893" s="12" t="s">
        <v>13518</v>
      </c>
      <c r="E893" s="27" t="s">
        <v>15039</v>
      </c>
      <c r="F893" s="12">
        <v>1</v>
      </c>
    </row>
    <row r="894" spans="2:6" x14ac:dyDescent="0.25">
      <c r="B894" s="12" t="s">
        <v>14874</v>
      </c>
      <c r="E894" s="27" t="s">
        <v>15040</v>
      </c>
      <c r="F894" s="12">
        <v>1</v>
      </c>
    </row>
    <row r="895" spans="2:6" x14ac:dyDescent="0.25">
      <c r="B895" s="12" t="s">
        <v>14878</v>
      </c>
      <c r="E895" s="27" t="s">
        <v>15041</v>
      </c>
      <c r="F895" s="12">
        <v>1</v>
      </c>
    </row>
    <row r="896" spans="2:6" x14ac:dyDescent="0.25">
      <c r="B896" s="12" t="s">
        <v>14882</v>
      </c>
      <c r="E896" s="27" t="s">
        <v>15042</v>
      </c>
      <c r="F896" s="12">
        <v>1</v>
      </c>
    </row>
    <row r="897" spans="2:6" x14ac:dyDescent="0.25">
      <c r="B897" s="12" t="s">
        <v>14890</v>
      </c>
      <c r="E897" s="27" t="s">
        <v>15043</v>
      </c>
      <c r="F897" s="12">
        <v>1</v>
      </c>
    </row>
    <row r="898" spans="2:6" x14ac:dyDescent="0.25">
      <c r="B898" s="12" t="s">
        <v>14901</v>
      </c>
      <c r="E898" s="27" t="s">
        <v>15044</v>
      </c>
      <c r="F898" s="12">
        <v>1</v>
      </c>
    </row>
    <row r="899" spans="2:6" x14ac:dyDescent="0.25">
      <c r="B899" s="12" t="s">
        <v>14908</v>
      </c>
      <c r="E899" s="27" t="s">
        <v>15045</v>
      </c>
      <c r="F899" s="12">
        <v>1</v>
      </c>
    </row>
    <row r="900" spans="2:6" x14ac:dyDescent="0.25">
      <c r="B900" s="12" t="s">
        <v>14919</v>
      </c>
      <c r="E900" s="27" t="s">
        <v>15046</v>
      </c>
      <c r="F900" s="12">
        <v>1</v>
      </c>
    </row>
    <row r="901" spans="2:6" x14ac:dyDescent="0.25">
      <c r="B901" s="12" t="s">
        <v>14923</v>
      </c>
      <c r="E901" s="27" t="s">
        <v>15047</v>
      </c>
      <c r="F901" s="12">
        <v>1</v>
      </c>
    </row>
    <row r="902" spans="2:6" x14ac:dyDescent="0.25">
      <c r="B902" s="12" t="s">
        <v>14927</v>
      </c>
      <c r="E902" s="27" t="s">
        <v>15048</v>
      </c>
      <c r="F902" s="12">
        <v>1</v>
      </c>
    </row>
    <row r="903" spans="2:6" x14ac:dyDescent="0.25">
      <c r="B903" s="12" t="s">
        <v>14935</v>
      </c>
      <c r="E903" s="27" t="s">
        <v>15049</v>
      </c>
      <c r="F903" s="12">
        <v>1</v>
      </c>
    </row>
    <row r="904" spans="2:6" x14ac:dyDescent="0.25">
      <c r="B904" s="12" t="s">
        <v>14939</v>
      </c>
      <c r="E904" s="27" t="s">
        <v>15050</v>
      </c>
      <c r="F904" s="12">
        <v>1</v>
      </c>
    </row>
    <row r="905" spans="2:6" x14ac:dyDescent="0.25">
      <c r="B905" s="12" t="s">
        <v>14943</v>
      </c>
      <c r="E905" s="27" t="s">
        <v>15051</v>
      </c>
      <c r="F905" s="12">
        <v>1</v>
      </c>
    </row>
    <row r="906" spans="2:6" x14ac:dyDescent="0.25">
      <c r="B906" s="12" t="s">
        <v>14946</v>
      </c>
      <c r="E906" s="27" t="s">
        <v>15052</v>
      </c>
      <c r="F906" s="12">
        <v>1</v>
      </c>
    </row>
    <row r="907" spans="2:6" x14ac:dyDescent="0.25">
      <c r="B907" s="12" t="s">
        <v>14950</v>
      </c>
      <c r="E907" s="27" t="s">
        <v>15053</v>
      </c>
      <c r="F907" s="12">
        <v>1</v>
      </c>
    </row>
    <row r="908" spans="2:6" x14ac:dyDescent="0.25">
      <c r="B908" s="12" t="s">
        <v>14958</v>
      </c>
      <c r="E908" s="27" t="s">
        <v>15054</v>
      </c>
      <c r="F908" s="12">
        <v>1</v>
      </c>
    </row>
    <row r="909" spans="2:6" x14ac:dyDescent="0.25">
      <c r="B909" s="12" t="s">
        <v>14961</v>
      </c>
      <c r="E909" s="27" t="s">
        <v>15055</v>
      </c>
      <c r="F909" s="12">
        <v>1</v>
      </c>
    </row>
    <row r="910" spans="2:6" x14ac:dyDescent="0.25">
      <c r="B910" s="12" t="s">
        <v>14965</v>
      </c>
      <c r="E910" s="27" t="s">
        <v>15056</v>
      </c>
      <c r="F910" s="12">
        <v>1</v>
      </c>
    </row>
    <row r="911" spans="2:6" x14ac:dyDescent="0.25">
      <c r="B911" s="12" t="s">
        <v>14969</v>
      </c>
      <c r="E911" s="27" t="s">
        <v>15057</v>
      </c>
      <c r="F911" s="12">
        <v>1</v>
      </c>
    </row>
    <row r="912" spans="2:6" x14ac:dyDescent="0.25">
      <c r="B912" s="12" t="s">
        <v>14972</v>
      </c>
      <c r="E912" s="27" t="s">
        <v>15058</v>
      </c>
      <c r="F912" s="12">
        <v>1</v>
      </c>
    </row>
    <row r="913" spans="2:6" x14ac:dyDescent="0.25">
      <c r="B913" s="12" t="s">
        <v>14974</v>
      </c>
      <c r="E913" s="27" t="s">
        <v>15059</v>
      </c>
      <c r="F913" s="12">
        <v>1</v>
      </c>
    </row>
    <row r="914" spans="2:6" x14ac:dyDescent="0.25">
      <c r="B914" s="12" t="s">
        <v>14978</v>
      </c>
      <c r="E914" s="27" t="s">
        <v>15060</v>
      </c>
      <c r="F914" s="12">
        <v>1</v>
      </c>
    </row>
    <row r="915" spans="2:6" x14ac:dyDescent="0.25">
      <c r="B915" s="12" t="s">
        <v>14991</v>
      </c>
      <c r="E915" s="27" t="s">
        <v>15061</v>
      </c>
      <c r="F915" s="12">
        <v>1</v>
      </c>
    </row>
    <row r="916" spans="2:6" x14ac:dyDescent="0.25">
      <c r="B916" s="12" t="s">
        <v>14993</v>
      </c>
      <c r="E916" s="27" t="s">
        <v>15062</v>
      </c>
      <c r="F916" s="12">
        <v>1</v>
      </c>
    </row>
    <row r="917" spans="2:6" x14ac:dyDescent="0.25">
      <c r="B917" s="12" t="s">
        <v>14997</v>
      </c>
      <c r="E917" s="27" t="s">
        <v>15063</v>
      </c>
      <c r="F917" s="12">
        <v>1</v>
      </c>
    </row>
    <row r="918" spans="2:6" x14ac:dyDescent="0.25">
      <c r="B918" s="12" t="s">
        <v>14999</v>
      </c>
      <c r="E918" s="27" t="s">
        <v>14951</v>
      </c>
      <c r="F918" s="12">
        <v>1</v>
      </c>
    </row>
    <row r="919" spans="2:6" x14ac:dyDescent="0.25">
      <c r="B919" s="12" t="s">
        <v>15001</v>
      </c>
      <c r="E919" s="27" t="s">
        <v>14879</v>
      </c>
      <c r="F919" s="12">
        <v>1</v>
      </c>
    </row>
    <row r="920" spans="2:6" x14ac:dyDescent="0.25">
      <c r="B920" s="12" t="s">
        <v>15003</v>
      </c>
      <c r="E920" s="27" t="s">
        <v>15064</v>
      </c>
      <c r="F920" s="12">
        <v>1</v>
      </c>
    </row>
    <row r="921" spans="2:6" x14ac:dyDescent="0.25">
      <c r="B921" s="12" t="s">
        <v>15005</v>
      </c>
      <c r="E921" s="27" t="s">
        <v>15065</v>
      </c>
      <c r="F921" s="12">
        <v>1</v>
      </c>
    </row>
    <row r="922" spans="2:6" x14ac:dyDescent="0.25">
      <c r="B922" s="12" t="s">
        <v>15007</v>
      </c>
      <c r="E922" s="27" t="s">
        <v>11933</v>
      </c>
      <c r="F922" s="12">
        <v>1</v>
      </c>
    </row>
    <row r="923" spans="2:6" x14ac:dyDescent="0.25">
      <c r="B923" s="12" t="s">
        <v>15010</v>
      </c>
      <c r="E923" s="27" t="s">
        <v>14635</v>
      </c>
      <c r="F923" s="12">
        <v>1</v>
      </c>
    </row>
    <row r="924" spans="2:6" x14ac:dyDescent="0.25">
      <c r="B924" s="12" t="s">
        <v>15012</v>
      </c>
      <c r="E924" s="27" t="s">
        <v>14814</v>
      </c>
      <c r="F924" s="12">
        <v>1</v>
      </c>
    </row>
    <row r="925" spans="2:6" x14ac:dyDescent="0.25">
      <c r="B925" s="12" t="s">
        <v>15014</v>
      </c>
      <c r="E925" s="27" t="s">
        <v>15066</v>
      </c>
      <c r="F925" s="12">
        <v>1</v>
      </c>
    </row>
    <row r="926" spans="2:6" x14ac:dyDescent="0.25">
      <c r="B926" s="12" t="s">
        <v>15018</v>
      </c>
      <c r="E926" s="27" t="s">
        <v>15067</v>
      </c>
      <c r="F926" s="12">
        <v>1</v>
      </c>
    </row>
    <row r="927" spans="2:6" x14ac:dyDescent="0.25">
      <c r="B927" s="12" t="s">
        <v>15020</v>
      </c>
      <c r="E927" s="27" t="s">
        <v>15068</v>
      </c>
      <c r="F927" s="12">
        <v>1</v>
      </c>
    </row>
    <row r="928" spans="2:6" x14ac:dyDescent="0.25">
      <c r="B928" s="12" t="s">
        <v>15023</v>
      </c>
      <c r="E928" s="27" t="s">
        <v>15069</v>
      </c>
      <c r="F928" s="12">
        <v>1</v>
      </c>
    </row>
    <row r="929" spans="2:6" x14ac:dyDescent="0.25">
      <c r="B929" s="12" t="s">
        <v>15025</v>
      </c>
      <c r="E929" s="27" t="s">
        <v>5526</v>
      </c>
      <c r="F929" s="12">
        <v>1</v>
      </c>
    </row>
    <row r="930" spans="2:6" x14ac:dyDescent="0.25">
      <c r="B930" s="12" t="s">
        <v>15027</v>
      </c>
      <c r="E930" s="27" t="s">
        <v>12548</v>
      </c>
      <c r="F930" s="12">
        <v>1</v>
      </c>
    </row>
    <row r="931" spans="2:6" x14ac:dyDescent="0.25">
      <c r="B931" s="12" t="s">
        <v>15029</v>
      </c>
      <c r="E931" s="27" t="s">
        <v>10462</v>
      </c>
      <c r="F931" s="12">
        <v>1</v>
      </c>
    </row>
    <row r="932" spans="2:6" x14ac:dyDescent="0.25">
      <c r="B932" s="12" t="s">
        <v>15031</v>
      </c>
      <c r="E932" s="27" t="s">
        <v>14633</v>
      </c>
      <c r="F932" s="12">
        <v>1</v>
      </c>
    </row>
    <row r="933" spans="2:6" x14ac:dyDescent="0.25">
      <c r="B933" s="12" t="s">
        <v>15033</v>
      </c>
      <c r="E933" s="27" t="s">
        <v>15070</v>
      </c>
      <c r="F933" s="12">
        <v>1</v>
      </c>
    </row>
    <row r="934" spans="2:6" x14ac:dyDescent="0.25">
      <c r="B934" s="12" t="s">
        <v>15037</v>
      </c>
      <c r="E934" s="27" t="s">
        <v>14821</v>
      </c>
      <c r="F934" s="12">
        <v>1</v>
      </c>
    </row>
    <row r="935" spans="2:6" x14ac:dyDescent="0.25">
      <c r="B935" s="12" t="s">
        <v>15039</v>
      </c>
      <c r="E935" s="27" t="s">
        <v>14637</v>
      </c>
      <c r="F935" s="12">
        <v>1</v>
      </c>
    </row>
    <row r="936" spans="2:6" x14ac:dyDescent="0.25">
      <c r="B936" s="12" t="s">
        <v>13531</v>
      </c>
      <c r="E936" s="27" t="s">
        <v>14846</v>
      </c>
      <c r="F936" s="12">
        <v>1</v>
      </c>
    </row>
    <row r="937" spans="2:6" x14ac:dyDescent="0.25">
      <c r="B937" s="12" t="s">
        <v>13531</v>
      </c>
      <c r="E937" s="27" t="s">
        <v>14639</v>
      </c>
      <c r="F937" s="12">
        <v>1</v>
      </c>
    </row>
    <row r="938" spans="2:6" x14ac:dyDescent="0.25">
      <c r="B938" s="12" t="s">
        <v>15052</v>
      </c>
      <c r="E938" s="27" t="s">
        <v>14869</v>
      </c>
      <c r="F938" s="12">
        <v>1</v>
      </c>
    </row>
    <row r="939" spans="2:6" x14ac:dyDescent="0.25">
      <c r="B939" s="12" t="s">
        <v>15054</v>
      </c>
      <c r="E939" s="27" t="s">
        <v>15071</v>
      </c>
      <c r="F939" s="12">
        <v>1</v>
      </c>
    </row>
    <row r="940" spans="2:6" x14ac:dyDescent="0.25">
      <c r="B940" s="12" t="s">
        <v>15056</v>
      </c>
      <c r="E940" s="27" t="s">
        <v>7691</v>
      </c>
      <c r="F940" s="12">
        <v>1</v>
      </c>
    </row>
    <row r="941" spans="2:6" x14ac:dyDescent="0.25">
      <c r="B941" s="12" t="s">
        <v>15060</v>
      </c>
      <c r="E941" s="27" t="s">
        <v>15072</v>
      </c>
      <c r="F941" s="12">
        <v>1</v>
      </c>
    </row>
    <row r="942" spans="2:6" x14ac:dyDescent="0.25">
      <c r="B942" s="12" t="s">
        <v>15062</v>
      </c>
      <c r="E942" s="27" t="s">
        <v>14909</v>
      </c>
      <c r="F942" s="12">
        <v>1</v>
      </c>
    </row>
    <row r="943" spans="2:6" x14ac:dyDescent="0.25">
      <c r="B943" s="12" t="s">
        <v>15063</v>
      </c>
      <c r="E943" s="27" t="s">
        <v>14641</v>
      </c>
      <c r="F943" s="12">
        <v>1</v>
      </c>
    </row>
    <row r="944" spans="2:6" x14ac:dyDescent="0.25">
      <c r="B944" s="12" t="s">
        <v>14867</v>
      </c>
      <c r="E944" s="27" t="s">
        <v>14926</v>
      </c>
      <c r="F944" s="12">
        <v>1</v>
      </c>
    </row>
    <row r="945" spans="2:6" x14ac:dyDescent="0.25">
      <c r="B945" s="12" t="s">
        <v>14683</v>
      </c>
      <c r="E945" s="27" t="s">
        <v>15073</v>
      </c>
      <c r="F945" s="12">
        <v>1</v>
      </c>
    </row>
    <row r="946" spans="2:6" x14ac:dyDescent="0.25">
      <c r="B946" s="12" t="s">
        <v>14744</v>
      </c>
      <c r="E946" s="27" t="s">
        <v>15074</v>
      </c>
      <c r="F946" s="12">
        <v>1</v>
      </c>
    </row>
    <row r="947" spans="2:6" x14ac:dyDescent="0.25">
      <c r="B947" s="12" t="s">
        <v>14876</v>
      </c>
      <c r="E947" s="27" t="s">
        <v>15075</v>
      </c>
      <c r="F947" s="12">
        <v>1</v>
      </c>
    </row>
    <row r="948" spans="2:6" x14ac:dyDescent="0.25">
      <c r="B948" s="12" t="s">
        <v>14747</v>
      </c>
      <c r="E948" s="27" t="s">
        <v>15076</v>
      </c>
      <c r="F948" s="12">
        <v>1</v>
      </c>
    </row>
    <row r="949" spans="2:6" x14ac:dyDescent="0.25">
      <c r="B949" s="12" t="s">
        <v>14880</v>
      </c>
      <c r="E949" s="27" t="s">
        <v>14643</v>
      </c>
      <c r="F949" s="12">
        <v>1</v>
      </c>
    </row>
    <row r="950" spans="2:6" x14ac:dyDescent="0.25">
      <c r="B950" s="12" t="s">
        <v>14687</v>
      </c>
      <c r="E950" s="27" t="s">
        <v>15077</v>
      </c>
      <c r="F950" s="12">
        <v>1</v>
      </c>
    </row>
    <row r="951" spans="2:6" x14ac:dyDescent="0.25">
      <c r="B951" s="12" t="s">
        <v>14751</v>
      </c>
      <c r="E951" s="27" t="s">
        <v>14645</v>
      </c>
      <c r="F951" s="12">
        <v>1</v>
      </c>
    </row>
    <row r="952" spans="2:6" x14ac:dyDescent="0.25">
      <c r="B952" s="12" t="s">
        <v>14888</v>
      </c>
      <c r="E952" s="27" t="s">
        <v>14816</v>
      </c>
      <c r="F952" s="12">
        <v>1</v>
      </c>
    </row>
    <row r="953" spans="2:6" x14ac:dyDescent="0.25">
      <c r="B953" s="12" t="s">
        <v>14892</v>
      </c>
      <c r="E953" s="27" t="s">
        <v>14647</v>
      </c>
      <c r="F953" s="12">
        <v>1</v>
      </c>
    </row>
    <row r="954" spans="2:6" x14ac:dyDescent="0.25">
      <c r="B954" s="12" t="s">
        <v>14896</v>
      </c>
      <c r="E954" s="27" t="s">
        <v>14828</v>
      </c>
      <c r="F954" s="12">
        <v>1</v>
      </c>
    </row>
    <row r="955" spans="2:6" x14ac:dyDescent="0.25">
      <c r="B955" s="12" t="s">
        <v>14691</v>
      </c>
      <c r="E955" s="27" t="s">
        <v>14648</v>
      </c>
      <c r="F955" s="12">
        <v>1</v>
      </c>
    </row>
    <row r="956" spans="2:6" x14ac:dyDescent="0.25">
      <c r="B956" s="12" t="s">
        <v>13524</v>
      </c>
      <c r="E956" s="27" t="s">
        <v>14838</v>
      </c>
      <c r="F956" s="12">
        <v>1</v>
      </c>
    </row>
    <row r="957" spans="2:6" x14ac:dyDescent="0.25">
      <c r="B957" s="12" t="s">
        <v>13524</v>
      </c>
      <c r="E957" s="27" t="s">
        <v>14650</v>
      </c>
      <c r="F957" s="12">
        <v>1</v>
      </c>
    </row>
    <row r="958" spans="2:6" x14ac:dyDescent="0.25">
      <c r="B958" s="12" t="s">
        <v>14757</v>
      </c>
      <c r="E958" s="27" t="s">
        <v>15078</v>
      </c>
      <c r="F958" s="12">
        <v>1</v>
      </c>
    </row>
    <row r="959" spans="2:6" x14ac:dyDescent="0.25">
      <c r="B959" s="12" t="s">
        <v>14630</v>
      </c>
      <c r="E959" s="27" t="s">
        <v>15079</v>
      </c>
      <c r="F959" s="12">
        <v>1</v>
      </c>
    </row>
    <row r="960" spans="2:6" x14ac:dyDescent="0.25">
      <c r="B960" s="12" t="s">
        <v>14760</v>
      </c>
      <c r="E960" s="27" t="s">
        <v>14862</v>
      </c>
      <c r="F960" s="12">
        <v>1</v>
      </c>
    </row>
    <row r="961" spans="2:6" x14ac:dyDescent="0.25">
      <c r="B961" s="12" t="s">
        <v>14910</v>
      </c>
      <c r="E961" s="27" t="s">
        <v>15080</v>
      </c>
      <c r="F961" s="12">
        <v>1</v>
      </c>
    </row>
    <row r="962" spans="2:6" x14ac:dyDescent="0.25">
      <c r="B962" s="12" t="s">
        <v>14695</v>
      </c>
      <c r="E962" s="27" t="s">
        <v>14873</v>
      </c>
      <c r="F962" s="12">
        <v>1</v>
      </c>
    </row>
    <row r="963" spans="2:6" x14ac:dyDescent="0.25">
      <c r="B963" s="12" t="s">
        <v>14764</v>
      </c>
      <c r="E963" s="27" t="s">
        <v>15081</v>
      </c>
      <c r="F963" s="12">
        <v>1</v>
      </c>
    </row>
    <row r="964" spans="2:6" x14ac:dyDescent="0.25">
      <c r="B964" s="12" t="s">
        <v>14917</v>
      </c>
      <c r="E964" s="27" t="s">
        <v>14883</v>
      </c>
      <c r="F964" s="12">
        <v>1</v>
      </c>
    </row>
    <row r="965" spans="2:6" x14ac:dyDescent="0.25">
      <c r="B965" s="12" t="s">
        <v>14768</v>
      </c>
      <c r="E965" s="27" t="s">
        <v>14653</v>
      </c>
      <c r="F965" s="12">
        <v>1</v>
      </c>
    </row>
    <row r="966" spans="2:6" x14ac:dyDescent="0.25">
      <c r="B966" s="12" t="s">
        <v>14925</v>
      </c>
      <c r="E966" s="27" t="s">
        <v>14893</v>
      </c>
      <c r="F966" s="12">
        <v>1</v>
      </c>
    </row>
    <row r="967" spans="2:6" x14ac:dyDescent="0.25">
      <c r="B967" s="12" t="s">
        <v>14929</v>
      </c>
      <c r="E967" s="27" t="s">
        <v>14655</v>
      </c>
      <c r="F967" s="12">
        <v>1</v>
      </c>
    </row>
    <row r="968" spans="2:6" x14ac:dyDescent="0.25">
      <c r="B968" s="12" t="s">
        <v>13516</v>
      </c>
      <c r="E968" s="27" t="s">
        <v>15082</v>
      </c>
      <c r="F968" s="12">
        <v>1</v>
      </c>
    </row>
    <row r="969" spans="2:6" x14ac:dyDescent="0.25">
      <c r="B969" s="12" t="s">
        <v>14933</v>
      </c>
      <c r="E969" s="27" t="s">
        <v>11373</v>
      </c>
      <c r="F969" s="12">
        <v>1</v>
      </c>
    </row>
    <row r="970" spans="2:6" x14ac:dyDescent="0.25">
      <c r="B970" s="12" t="s">
        <v>14640</v>
      </c>
      <c r="E970" s="27" t="s">
        <v>15083</v>
      </c>
      <c r="F970" s="12">
        <v>1</v>
      </c>
    </row>
    <row r="971" spans="2:6" x14ac:dyDescent="0.25">
      <c r="B971" s="12" t="s">
        <v>14937</v>
      </c>
      <c r="E971" s="27" t="s">
        <v>8393</v>
      </c>
      <c r="F971" s="12">
        <v>1</v>
      </c>
    </row>
    <row r="972" spans="2:6" x14ac:dyDescent="0.25">
      <c r="B972" s="12" t="s">
        <v>14775</v>
      </c>
      <c r="E972" s="27" t="s">
        <v>14920</v>
      </c>
      <c r="F972" s="12">
        <v>1</v>
      </c>
    </row>
    <row r="973" spans="2:6" x14ac:dyDescent="0.25">
      <c r="B973" s="12" t="s">
        <v>14703</v>
      </c>
      <c r="E973" s="27" t="s">
        <v>14657</v>
      </c>
      <c r="F973" s="12">
        <v>1</v>
      </c>
    </row>
    <row r="974" spans="2:6" x14ac:dyDescent="0.25">
      <c r="B974" s="12" t="s">
        <v>14779</v>
      </c>
      <c r="E974" s="27" t="s">
        <v>14930</v>
      </c>
      <c r="F974" s="12">
        <v>1</v>
      </c>
    </row>
    <row r="975" spans="2:6" x14ac:dyDescent="0.25">
      <c r="B975" s="12" t="s">
        <v>14783</v>
      </c>
      <c r="E975" s="27" t="s">
        <v>15084</v>
      </c>
      <c r="F975" s="12">
        <v>1</v>
      </c>
    </row>
    <row r="976" spans="2:6" x14ac:dyDescent="0.25">
      <c r="B976" s="12" t="s">
        <v>14956</v>
      </c>
      <c r="E976" s="27" t="s">
        <v>12227</v>
      </c>
      <c r="F976" s="12">
        <v>1</v>
      </c>
    </row>
    <row r="977" spans="2:6" x14ac:dyDescent="0.25">
      <c r="B977" s="12" t="s">
        <v>14786</v>
      </c>
      <c r="E977" s="27" t="s">
        <v>14659</v>
      </c>
      <c r="F977" s="12">
        <v>1</v>
      </c>
    </row>
    <row r="978" spans="2:6" x14ac:dyDescent="0.25">
      <c r="B978" s="12" t="s">
        <v>14963</v>
      </c>
      <c r="E978" s="27" t="s">
        <v>15085</v>
      </c>
      <c r="F978" s="12">
        <v>1</v>
      </c>
    </row>
    <row r="979" spans="2:6" x14ac:dyDescent="0.25">
      <c r="B979" s="12" t="s">
        <v>14628</v>
      </c>
      <c r="E979" s="27" t="s">
        <v>14661</v>
      </c>
      <c r="F979" s="12">
        <v>1</v>
      </c>
    </row>
    <row r="980" spans="2:6" x14ac:dyDescent="0.25">
      <c r="B980" s="12" t="s">
        <v>14967</v>
      </c>
      <c r="E980" s="27" t="s">
        <v>2178</v>
      </c>
      <c r="F980" s="12">
        <v>1</v>
      </c>
    </row>
    <row r="981" spans="2:6" x14ac:dyDescent="0.25">
      <c r="B981" s="12" t="s">
        <v>14789</v>
      </c>
      <c r="E981" s="27" t="s">
        <v>14663</v>
      </c>
      <c r="F981" s="12">
        <v>1</v>
      </c>
    </row>
    <row r="982" spans="2:6" x14ac:dyDescent="0.25">
      <c r="B982" s="12" t="s">
        <v>14971</v>
      </c>
      <c r="E982" s="27" t="s">
        <v>14964</v>
      </c>
      <c r="F982" s="12">
        <v>1</v>
      </c>
    </row>
    <row r="983" spans="2:6" x14ac:dyDescent="0.25">
      <c r="B983" s="12" t="s">
        <v>14710</v>
      </c>
      <c r="E983" s="27" t="s">
        <v>14665</v>
      </c>
      <c r="F983" s="12">
        <v>1</v>
      </c>
    </row>
    <row r="984" spans="2:6" x14ac:dyDescent="0.25">
      <c r="B984" s="12" t="s">
        <v>14792</v>
      </c>
      <c r="E984" s="27" t="s">
        <v>14806</v>
      </c>
      <c r="F984" s="12">
        <v>1</v>
      </c>
    </row>
    <row r="985" spans="2:6" x14ac:dyDescent="0.25">
      <c r="B985" s="12" t="s">
        <v>14980</v>
      </c>
      <c r="E985" s="27" t="s">
        <v>14667</v>
      </c>
      <c r="F985" s="12">
        <v>1</v>
      </c>
    </row>
    <row r="986" spans="2:6" x14ac:dyDescent="0.25">
      <c r="B986" s="12" t="s">
        <v>14796</v>
      </c>
      <c r="E986" s="27" t="s">
        <v>14811</v>
      </c>
      <c r="F986" s="12">
        <v>1</v>
      </c>
    </row>
    <row r="987" spans="2:6" x14ac:dyDescent="0.25">
      <c r="B987" s="12" t="s">
        <v>14983</v>
      </c>
      <c r="E987" s="27" t="s">
        <v>14669</v>
      </c>
      <c r="F987" s="12">
        <v>1</v>
      </c>
    </row>
    <row r="988" spans="2:6" x14ac:dyDescent="0.25">
      <c r="B988" s="12" t="s">
        <v>14985</v>
      </c>
      <c r="E988" s="27" t="s">
        <v>14631</v>
      </c>
      <c r="F988" s="12">
        <v>1</v>
      </c>
    </row>
    <row r="989" spans="2:6" x14ac:dyDescent="0.25">
      <c r="B989" s="12" t="s">
        <v>14987</v>
      </c>
      <c r="E989" s="27" t="s">
        <v>14671</v>
      </c>
      <c r="F989" s="12">
        <v>1</v>
      </c>
    </row>
    <row r="990" spans="2:6" x14ac:dyDescent="0.25">
      <c r="B990" s="12" t="s">
        <v>14644</v>
      </c>
      <c r="E990" s="27" t="s">
        <v>14818</v>
      </c>
      <c r="F990" s="12">
        <v>1</v>
      </c>
    </row>
    <row r="991" spans="2:6" x14ac:dyDescent="0.25">
      <c r="B991" s="12" t="s">
        <v>14989</v>
      </c>
      <c r="E991" s="27" t="s">
        <v>14672</v>
      </c>
      <c r="F991" s="12">
        <v>1</v>
      </c>
    </row>
    <row r="992" spans="2:6" x14ac:dyDescent="0.25">
      <c r="B992" s="12" t="s">
        <v>14992</v>
      </c>
      <c r="E992" s="27" t="s">
        <v>14825</v>
      </c>
      <c r="F992" s="12">
        <v>1</v>
      </c>
    </row>
    <row r="993" spans="2:6" x14ac:dyDescent="0.25">
      <c r="B993" s="12" t="s">
        <v>14994</v>
      </c>
      <c r="E993" s="27" t="s">
        <v>14674</v>
      </c>
      <c r="F993" s="12">
        <v>1</v>
      </c>
    </row>
    <row r="994" spans="2:6" x14ac:dyDescent="0.25">
      <c r="B994" s="12" t="s">
        <v>14998</v>
      </c>
      <c r="E994" s="27" t="s">
        <v>15086</v>
      </c>
      <c r="F994" s="12">
        <v>1</v>
      </c>
    </row>
    <row r="995" spans="2:6" x14ac:dyDescent="0.25">
      <c r="B995" s="12" t="s">
        <v>15000</v>
      </c>
      <c r="E995" s="27" t="s">
        <v>14676</v>
      </c>
      <c r="F995" s="12">
        <v>1</v>
      </c>
    </row>
    <row r="996" spans="2:6" x14ac:dyDescent="0.25">
      <c r="B996" s="12" t="s">
        <v>15002</v>
      </c>
      <c r="E996" s="27" t="s">
        <v>14834</v>
      </c>
      <c r="F996" s="12">
        <v>1</v>
      </c>
    </row>
    <row r="997" spans="2:6" x14ac:dyDescent="0.25">
      <c r="B997" s="12" t="s">
        <v>14634</v>
      </c>
      <c r="E997" s="27" t="s">
        <v>14678</v>
      </c>
      <c r="F997" s="12">
        <v>1</v>
      </c>
    </row>
    <row r="998" spans="2:6" x14ac:dyDescent="0.25">
      <c r="B998" s="12" t="s">
        <v>15004</v>
      </c>
      <c r="E998" s="27" t="s">
        <v>14842</v>
      </c>
      <c r="F998" s="12">
        <v>1</v>
      </c>
    </row>
    <row r="999" spans="2:6" x14ac:dyDescent="0.25">
      <c r="B999" s="12" t="s">
        <v>14817</v>
      </c>
      <c r="E999" s="27" t="s">
        <v>14680</v>
      </c>
      <c r="F999" s="12">
        <v>1</v>
      </c>
    </row>
    <row r="1000" spans="2:6" x14ac:dyDescent="0.25">
      <c r="B1000" s="12" t="s">
        <v>15006</v>
      </c>
      <c r="E1000" s="27" t="s">
        <v>14850</v>
      </c>
      <c r="F1000" s="12">
        <v>1</v>
      </c>
    </row>
    <row r="1001" spans="2:6" x14ac:dyDescent="0.25">
      <c r="B1001" s="12" t="s">
        <v>15009</v>
      </c>
      <c r="E1001" s="27" t="s">
        <v>14681</v>
      </c>
      <c r="F1001" s="12">
        <v>1</v>
      </c>
    </row>
    <row r="1002" spans="2:6" x14ac:dyDescent="0.25">
      <c r="B1002" s="12" t="s">
        <v>15011</v>
      </c>
      <c r="E1002" s="27" t="s">
        <v>14856</v>
      </c>
      <c r="F1002" s="12">
        <v>1</v>
      </c>
    </row>
    <row r="1003" spans="2:6" x14ac:dyDescent="0.25">
      <c r="B1003" s="12" t="s">
        <v>14824</v>
      </c>
      <c r="E1003" s="27" t="s">
        <v>14682</v>
      </c>
      <c r="F1003" s="12">
        <v>1</v>
      </c>
    </row>
    <row r="1004" spans="2:6" x14ac:dyDescent="0.25">
      <c r="B1004" s="12" t="s">
        <v>15017</v>
      </c>
      <c r="E1004" s="27" t="s">
        <v>15087</v>
      </c>
      <c r="F1004" s="12">
        <v>1</v>
      </c>
    </row>
    <row r="1005" spans="2:6" x14ac:dyDescent="0.25">
      <c r="B1005" s="12" t="s">
        <v>13528</v>
      </c>
      <c r="E1005" s="27" t="s">
        <v>14684</v>
      </c>
      <c r="F1005" s="12">
        <v>1</v>
      </c>
    </row>
    <row r="1006" spans="2:6" x14ac:dyDescent="0.25">
      <c r="B1006" s="12" t="s">
        <v>13528</v>
      </c>
      <c r="E1006" s="27" t="s">
        <v>14866</v>
      </c>
      <c r="F1006" s="12">
        <v>1</v>
      </c>
    </row>
    <row r="1007" spans="2:6" x14ac:dyDescent="0.25">
      <c r="B1007" s="12" t="s">
        <v>15021</v>
      </c>
      <c r="E1007" s="27" t="s">
        <v>14686</v>
      </c>
      <c r="F1007" s="12">
        <v>1</v>
      </c>
    </row>
    <row r="1008" spans="2:6" x14ac:dyDescent="0.25">
      <c r="B1008" s="12" t="s">
        <v>15022</v>
      </c>
      <c r="E1008" s="27" t="s">
        <v>15088</v>
      </c>
      <c r="F1008" s="12">
        <v>1</v>
      </c>
    </row>
    <row r="1009" spans="2:6" x14ac:dyDescent="0.25">
      <c r="B1009" s="12" t="s">
        <v>15024</v>
      </c>
      <c r="E1009" s="27" t="s">
        <v>14688</v>
      </c>
      <c r="F1009" s="12">
        <v>1</v>
      </c>
    </row>
    <row r="1010" spans="2:6" x14ac:dyDescent="0.25">
      <c r="B1010" s="12" t="s">
        <v>14677</v>
      </c>
      <c r="E1010" s="27" t="s">
        <v>15089</v>
      </c>
      <c r="F1010" s="12">
        <v>1</v>
      </c>
    </row>
    <row r="1011" spans="2:6" x14ac:dyDescent="0.25">
      <c r="B1011" s="12" t="s">
        <v>15028</v>
      </c>
      <c r="E1011" s="27" t="s">
        <v>14690</v>
      </c>
      <c r="F1011" s="12">
        <v>1</v>
      </c>
    </row>
    <row r="1012" spans="2:6" x14ac:dyDescent="0.25">
      <c r="B1012" s="12" t="s">
        <v>14733</v>
      </c>
      <c r="E1012" s="27" t="s">
        <v>7630</v>
      </c>
      <c r="F1012" s="12">
        <v>1</v>
      </c>
    </row>
    <row r="1013" spans="2:6" x14ac:dyDescent="0.25">
      <c r="B1013" s="12" t="s">
        <v>15030</v>
      </c>
      <c r="E1013" s="27" t="s">
        <v>15090</v>
      </c>
      <c r="F1013" s="12">
        <v>1</v>
      </c>
    </row>
    <row r="1014" spans="2:6" x14ac:dyDescent="0.25">
      <c r="B1014" s="12" t="s">
        <v>14843</v>
      </c>
      <c r="E1014" s="27" t="s">
        <v>14887</v>
      </c>
      <c r="F1014" s="12">
        <v>1</v>
      </c>
    </row>
    <row r="1015" spans="2:6" x14ac:dyDescent="0.25">
      <c r="B1015" s="12" t="s">
        <v>15032</v>
      </c>
      <c r="E1015" s="27" t="s">
        <v>14692</v>
      </c>
      <c r="F1015" s="12">
        <v>1</v>
      </c>
    </row>
    <row r="1016" spans="2:6" x14ac:dyDescent="0.25">
      <c r="B1016" s="12" t="s">
        <v>14626</v>
      </c>
      <c r="E1016" s="27" t="s">
        <v>14889</v>
      </c>
      <c r="F1016" s="12">
        <v>1</v>
      </c>
    </row>
    <row r="1017" spans="2:6" x14ac:dyDescent="0.25">
      <c r="B1017" s="12" t="s">
        <v>15036</v>
      </c>
      <c r="E1017" s="27" t="s">
        <v>14694</v>
      </c>
      <c r="F1017" s="12">
        <v>1</v>
      </c>
    </row>
    <row r="1018" spans="2:6" x14ac:dyDescent="0.25">
      <c r="B1018" s="12" t="s">
        <v>14736</v>
      </c>
      <c r="E1018" s="27" t="s">
        <v>15091</v>
      </c>
      <c r="F1018" s="12">
        <v>1</v>
      </c>
    </row>
    <row r="1019" spans="2:6" x14ac:dyDescent="0.25">
      <c r="B1019" s="12" t="s">
        <v>15038</v>
      </c>
      <c r="E1019" s="27" t="s">
        <v>15092</v>
      </c>
      <c r="F1019" s="12">
        <v>1</v>
      </c>
    </row>
    <row r="1020" spans="2:6" x14ac:dyDescent="0.25">
      <c r="B1020" s="12" t="s">
        <v>14851</v>
      </c>
      <c r="E1020" s="27" t="s">
        <v>15093</v>
      </c>
      <c r="F1020" s="12">
        <v>1</v>
      </c>
    </row>
    <row r="1021" spans="2:6" x14ac:dyDescent="0.25">
      <c r="B1021" s="12" t="s">
        <v>15040</v>
      </c>
      <c r="E1021" s="27" t="s">
        <v>14696</v>
      </c>
      <c r="F1021" s="12">
        <v>1</v>
      </c>
    </row>
    <row r="1022" spans="2:6" x14ac:dyDescent="0.25">
      <c r="B1022" s="12" t="s">
        <v>15044</v>
      </c>
      <c r="E1022" s="27" t="s">
        <v>14905</v>
      </c>
      <c r="F1022" s="12">
        <v>1</v>
      </c>
    </row>
    <row r="1023" spans="2:6" x14ac:dyDescent="0.25">
      <c r="B1023" s="12" t="s">
        <v>14738</v>
      </c>
      <c r="E1023" s="27" t="s">
        <v>14698</v>
      </c>
      <c r="F1023" s="12">
        <v>1</v>
      </c>
    </row>
    <row r="1024" spans="2:6" x14ac:dyDescent="0.25">
      <c r="B1024" s="12" t="s">
        <v>15046</v>
      </c>
      <c r="E1024" s="27" t="s">
        <v>14912</v>
      </c>
      <c r="F1024" s="12">
        <v>1</v>
      </c>
    </row>
    <row r="1025" spans="2:6" x14ac:dyDescent="0.25">
      <c r="B1025" s="12" t="s">
        <v>15048</v>
      </c>
      <c r="E1025" s="27" t="s">
        <v>14700</v>
      </c>
      <c r="F1025" s="12">
        <v>1</v>
      </c>
    </row>
    <row r="1026" spans="2:6" x14ac:dyDescent="0.25">
      <c r="B1026" s="12" t="s">
        <v>15041</v>
      </c>
      <c r="E1026" s="27" t="s">
        <v>15094</v>
      </c>
      <c r="F1026" s="12">
        <v>1</v>
      </c>
    </row>
    <row r="1027" spans="2:6" x14ac:dyDescent="0.25">
      <c r="B1027" s="12" t="s">
        <v>15043</v>
      </c>
      <c r="E1027" s="27" t="s">
        <v>15095</v>
      </c>
      <c r="F1027" s="12">
        <v>1</v>
      </c>
    </row>
    <row r="1028" spans="2:6" x14ac:dyDescent="0.25">
      <c r="B1028" s="12" t="s">
        <v>15051</v>
      </c>
      <c r="E1028" s="27" t="s">
        <v>15096</v>
      </c>
      <c r="F1028" s="12">
        <v>1</v>
      </c>
    </row>
    <row r="1029" spans="2:6" x14ac:dyDescent="0.25">
      <c r="B1029" s="12" t="s">
        <v>15045</v>
      </c>
      <c r="E1029" s="27" t="s">
        <v>14702</v>
      </c>
      <c r="F1029" s="12">
        <v>1</v>
      </c>
    </row>
    <row r="1030" spans="2:6" x14ac:dyDescent="0.25">
      <c r="B1030" s="12" t="s">
        <v>15053</v>
      </c>
      <c r="E1030" s="27" t="s">
        <v>14924</v>
      </c>
      <c r="F1030" s="12">
        <v>1</v>
      </c>
    </row>
    <row r="1031" spans="2:6" x14ac:dyDescent="0.25">
      <c r="B1031" s="12" t="s">
        <v>15055</v>
      </c>
      <c r="E1031" s="27" t="s">
        <v>14704</v>
      </c>
      <c r="F1031" s="12">
        <v>1</v>
      </c>
    </row>
    <row r="1032" spans="2:6" x14ac:dyDescent="0.25">
      <c r="B1032" s="12" t="s">
        <v>15049</v>
      </c>
      <c r="E1032" s="27" t="s">
        <v>14928</v>
      </c>
      <c r="F1032" s="12">
        <v>1</v>
      </c>
    </row>
    <row r="1033" spans="2:6" x14ac:dyDescent="0.25">
      <c r="B1033" s="12" t="s">
        <v>15057</v>
      </c>
      <c r="E1033" s="27" t="s">
        <v>10620</v>
      </c>
      <c r="F1033" s="12">
        <v>1</v>
      </c>
    </row>
    <row r="1034" spans="2:6" x14ac:dyDescent="0.25">
      <c r="B1034" s="12" t="s">
        <v>15050</v>
      </c>
      <c r="E1034" s="27" t="s">
        <v>14932</v>
      </c>
      <c r="F1034" s="12">
        <v>1</v>
      </c>
    </row>
    <row r="1035" spans="2:6" x14ac:dyDescent="0.25">
      <c r="B1035" s="12" t="s">
        <v>15059</v>
      </c>
      <c r="E1035" s="27" t="s">
        <v>14706</v>
      </c>
      <c r="F1035" s="12">
        <v>1</v>
      </c>
    </row>
    <row r="1036" spans="2:6" x14ac:dyDescent="0.25">
      <c r="B1036" s="12" t="s">
        <v>14863</v>
      </c>
      <c r="E1036" s="27" t="s">
        <v>15097</v>
      </c>
      <c r="F1036" s="12">
        <v>1</v>
      </c>
    </row>
    <row r="1037" spans="2:6" x14ac:dyDescent="0.25">
      <c r="B1037" s="12" t="s">
        <v>15061</v>
      </c>
      <c r="E1037" s="27" t="s">
        <v>15098</v>
      </c>
      <c r="F1037" s="12">
        <v>1</v>
      </c>
    </row>
    <row r="1038" spans="2:6" x14ac:dyDescent="0.25">
      <c r="B1038" s="12" t="s">
        <v>14139</v>
      </c>
      <c r="E1038" s="27" t="s">
        <v>14940</v>
      </c>
      <c r="F1038" s="12">
        <v>1</v>
      </c>
    </row>
    <row r="1039" spans="2:6" x14ac:dyDescent="0.25">
      <c r="B1039" s="12" t="s">
        <v>14146</v>
      </c>
      <c r="E1039" s="27" t="s">
        <v>15099</v>
      </c>
      <c r="F1039" s="12">
        <v>1</v>
      </c>
    </row>
    <row r="1040" spans="2:6" x14ac:dyDescent="0.25">
      <c r="B1040" s="12" t="s">
        <v>14150</v>
      </c>
      <c r="E1040" s="27" t="s">
        <v>15100</v>
      </c>
      <c r="F1040" s="12">
        <v>1</v>
      </c>
    </row>
    <row r="1041" spans="2:6" x14ac:dyDescent="0.25">
      <c r="B1041" s="12" t="s">
        <v>14164</v>
      </c>
      <c r="E1041" s="27" t="s">
        <v>14707</v>
      </c>
      <c r="F1041" s="12">
        <v>1</v>
      </c>
    </row>
    <row r="1042" spans="2:6" x14ac:dyDescent="0.25">
      <c r="B1042" s="12" t="s">
        <v>14225</v>
      </c>
      <c r="E1042" s="27" t="s">
        <v>14947</v>
      </c>
      <c r="F1042" s="12">
        <v>1</v>
      </c>
    </row>
    <row r="1043" spans="2:6" x14ac:dyDescent="0.25">
      <c r="B1043" s="12" t="s">
        <v>14293</v>
      </c>
      <c r="E1043" s="27" t="s">
        <v>15101</v>
      </c>
      <c r="F1043" s="12">
        <v>1</v>
      </c>
    </row>
    <row r="1044" spans="2:6" x14ac:dyDescent="0.25">
      <c r="B1044" s="12" t="s">
        <v>14301</v>
      </c>
      <c r="E1044" s="27" t="s">
        <v>12828</v>
      </c>
      <c r="F1044" s="12">
        <v>1</v>
      </c>
    </row>
    <row r="1045" spans="2:6" x14ac:dyDescent="0.25">
      <c r="B1045" s="12" t="s">
        <v>14316</v>
      </c>
      <c r="E1045" s="27" t="s">
        <v>14709</v>
      </c>
      <c r="F1045" s="12">
        <v>1</v>
      </c>
    </row>
    <row r="1046" spans="2:6" x14ac:dyDescent="0.25">
      <c r="B1046" s="12" t="s">
        <v>14373</v>
      </c>
      <c r="E1046" s="27" t="s">
        <v>14955</v>
      </c>
      <c r="F1046" s="12">
        <v>1</v>
      </c>
    </row>
    <row r="1047" spans="2:6" x14ac:dyDescent="0.25">
      <c r="B1047" s="12" t="s">
        <v>14445</v>
      </c>
      <c r="E1047" s="27" t="s">
        <v>14711</v>
      </c>
      <c r="F1047" s="12">
        <v>1</v>
      </c>
    </row>
    <row r="1048" spans="2:6" x14ac:dyDescent="0.25">
      <c r="B1048" s="12" t="s">
        <v>14513</v>
      </c>
      <c r="E1048" s="27" t="s">
        <v>14960</v>
      </c>
      <c r="F1048" s="12">
        <v>1</v>
      </c>
    </row>
    <row r="1049" spans="2:6" x14ac:dyDescent="0.25">
      <c r="B1049" s="12" t="s">
        <v>14554</v>
      </c>
      <c r="E1049" s="27" t="s">
        <v>14713</v>
      </c>
      <c r="F1049" s="12">
        <v>1</v>
      </c>
    </row>
    <row r="1050" spans="2:6" x14ac:dyDescent="0.25">
      <c r="B1050" s="12" t="s">
        <v>14534</v>
      </c>
      <c r="E1050" s="27" t="s">
        <v>14968</v>
      </c>
      <c r="F1050" s="12">
        <v>1</v>
      </c>
    </row>
    <row r="1051" spans="2:6" x14ac:dyDescent="0.25">
      <c r="B1051" s="12" t="s">
        <v>14582</v>
      </c>
      <c r="E1051" s="27" t="s">
        <v>616</v>
      </c>
      <c r="F1051" s="12">
        <v>1</v>
      </c>
    </row>
    <row r="1052" spans="2:6" x14ac:dyDescent="0.25">
      <c r="B1052" s="12" t="s">
        <v>14123</v>
      </c>
      <c r="E1052" s="27" t="s">
        <v>14804</v>
      </c>
      <c r="F1052" s="12">
        <v>1</v>
      </c>
    </row>
    <row r="1053" spans="2:6" x14ac:dyDescent="0.25">
      <c r="B1053" s="12" t="s">
        <v>14127</v>
      </c>
      <c r="E1053" s="27" t="s">
        <v>14715</v>
      </c>
      <c r="F1053" s="12">
        <v>1</v>
      </c>
    </row>
    <row r="1054" spans="2:6" x14ac:dyDescent="0.25">
      <c r="B1054" s="12" t="s">
        <v>14131</v>
      </c>
      <c r="E1054" s="27" t="s">
        <v>14808</v>
      </c>
      <c r="F1054" s="12">
        <v>1</v>
      </c>
    </row>
    <row r="1055" spans="2:6" x14ac:dyDescent="0.25">
      <c r="B1055" s="12" t="s">
        <v>14135</v>
      </c>
      <c r="E1055" s="27" t="s">
        <v>14717</v>
      </c>
      <c r="F1055" s="12">
        <v>1</v>
      </c>
    </row>
    <row r="1056" spans="2:6" x14ac:dyDescent="0.25">
      <c r="B1056" s="12" t="s">
        <v>13496</v>
      </c>
      <c r="E1056" s="27" t="s">
        <v>14810</v>
      </c>
      <c r="F1056" s="12">
        <v>1</v>
      </c>
    </row>
    <row r="1057" spans="2:6" x14ac:dyDescent="0.25">
      <c r="B1057" s="12" t="s">
        <v>13496</v>
      </c>
      <c r="E1057" s="27" t="s">
        <v>14719</v>
      </c>
      <c r="F1057" s="12">
        <v>1</v>
      </c>
    </row>
    <row r="1058" spans="2:6" x14ac:dyDescent="0.25">
      <c r="B1058" s="12" t="s">
        <v>13492</v>
      </c>
      <c r="E1058" s="27" t="s">
        <v>14812</v>
      </c>
      <c r="F1058" s="12">
        <v>1</v>
      </c>
    </row>
    <row r="1059" spans="2:6" x14ac:dyDescent="0.25">
      <c r="B1059" s="12" t="s">
        <v>13492</v>
      </c>
      <c r="E1059" s="27" t="s">
        <v>15102</v>
      </c>
      <c r="F1059" s="12">
        <v>1</v>
      </c>
    </row>
    <row r="1060" spans="2:6" x14ac:dyDescent="0.25">
      <c r="B1060" s="12" t="s">
        <v>2241</v>
      </c>
      <c r="E1060" s="27" t="s">
        <v>15103</v>
      </c>
      <c r="F1060" s="12">
        <v>1</v>
      </c>
    </row>
    <row r="1061" spans="2:6" x14ac:dyDescent="0.25">
      <c r="B1061" s="12" t="s">
        <v>2241</v>
      </c>
      <c r="E1061" s="27" t="s">
        <v>15104</v>
      </c>
      <c r="F1061" s="12">
        <v>1</v>
      </c>
    </row>
    <row r="1062" spans="2:6" x14ac:dyDescent="0.25">
      <c r="B1062" s="12" t="s">
        <v>2241</v>
      </c>
      <c r="E1062" s="27" t="s">
        <v>15105</v>
      </c>
      <c r="F1062" s="12">
        <v>1</v>
      </c>
    </row>
    <row r="1063" spans="2:6" x14ac:dyDescent="0.25">
      <c r="B1063" s="12" t="s">
        <v>2241</v>
      </c>
      <c r="E1063" s="27" t="s">
        <v>14721</v>
      </c>
      <c r="F1063" s="12">
        <v>1</v>
      </c>
    </row>
    <row r="1064" spans="2:6" x14ac:dyDescent="0.25">
      <c r="B1064" s="12" t="s">
        <v>2241</v>
      </c>
      <c r="E1064" s="27" t="s">
        <v>15106</v>
      </c>
      <c r="F1064" s="12">
        <v>1</v>
      </c>
    </row>
    <row r="1065" spans="2:6" x14ac:dyDescent="0.25">
      <c r="B1065" s="12" t="s">
        <v>2241</v>
      </c>
      <c r="E1065" s="27" t="s">
        <v>14722</v>
      </c>
      <c r="F1065" s="12">
        <v>1</v>
      </c>
    </row>
    <row r="1066" spans="2:6" x14ac:dyDescent="0.25">
      <c r="B1066" s="12" t="s">
        <v>2241</v>
      </c>
      <c r="E1066" s="27" t="s">
        <v>14820</v>
      </c>
      <c r="F1066" s="12">
        <v>1</v>
      </c>
    </row>
    <row r="1067" spans="2:6" x14ac:dyDescent="0.25">
      <c r="B1067" s="12" t="s">
        <v>2241</v>
      </c>
      <c r="E1067" s="27" t="s">
        <v>14724</v>
      </c>
      <c r="F1067" s="12">
        <v>1</v>
      </c>
    </row>
    <row r="1068" spans="2:6" x14ac:dyDescent="0.25">
      <c r="B1068" s="12" t="s">
        <v>14153</v>
      </c>
      <c r="E1068" s="27" t="s">
        <v>14823</v>
      </c>
      <c r="F1068" s="12">
        <v>1</v>
      </c>
    </row>
    <row r="1069" spans="2:6" x14ac:dyDescent="0.25">
      <c r="B1069" s="12" t="s">
        <v>14157</v>
      </c>
      <c r="E1069" s="27" t="s">
        <v>14725</v>
      </c>
      <c r="F1069" s="12">
        <v>1</v>
      </c>
    </row>
    <row r="1070" spans="2:6" x14ac:dyDescent="0.25">
      <c r="B1070" s="12" t="s">
        <v>14170</v>
      </c>
      <c r="E1070" s="27" t="s">
        <v>14827</v>
      </c>
      <c r="F1070" s="12">
        <v>1</v>
      </c>
    </row>
    <row r="1071" spans="2:6" x14ac:dyDescent="0.25">
      <c r="B1071" s="12" t="s">
        <v>14174</v>
      </c>
      <c r="E1071" s="27" t="s">
        <v>14726</v>
      </c>
      <c r="F1071" s="12">
        <v>1</v>
      </c>
    </row>
    <row r="1072" spans="2:6" x14ac:dyDescent="0.25">
      <c r="B1072" s="12" t="s">
        <v>14178</v>
      </c>
      <c r="E1072" s="27" t="s">
        <v>15107</v>
      </c>
      <c r="F1072" s="12">
        <v>1</v>
      </c>
    </row>
    <row r="1073" spans="2:6" x14ac:dyDescent="0.25">
      <c r="B1073" s="12" t="s">
        <v>14190</v>
      </c>
      <c r="E1073" s="27" t="s">
        <v>14727</v>
      </c>
      <c r="F1073" s="12">
        <v>1</v>
      </c>
    </row>
    <row r="1074" spans="2:6" x14ac:dyDescent="0.25">
      <c r="B1074" s="12" t="s">
        <v>14194</v>
      </c>
      <c r="E1074" s="27" t="s">
        <v>14830</v>
      </c>
      <c r="F1074" s="12">
        <v>1</v>
      </c>
    </row>
    <row r="1075" spans="2:6" x14ac:dyDescent="0.25">
      <c r="B1075" s="12" t="s">
        <v>14202</v>
      </c>
      <c r="E1075" s="27" t="s">
        <v>844</v>
      </c>
      <c r="F1075" s="12">
        <v>1</v>
      </c>
    </row>
    <row r="1076" spans="2:6" x14ac:dyDescent="0.25">
      <c r="B1076" s="12" t="s">
        <v>13490</v>
      </c>
      <c r="E1076" s="27" t="s">
        <v>14832</v>
      </c>
      <c r="F1076" s="12">
        <v>1</v>
      </c>
    </row>
    <row r="1077" spans="2:6" x14ac:dyDescent="0.25">
      <c r="B1077" s="12" t="s">
        <v>13490</v>
      </c>
      <c r="E1077" s="27" t="s">
        <v>14729</v>
      </c>
      <c r="F1077" s="12">
        <v>1</v>
      </c>
    </row>
    <row r="1078" spans="2:6" x14ac:dyDescent="0.25">
      <c r="B1078" s="12" t="s">
        <v>14210</v>
      </c>
      <c r="E1078" s="27" t="s">
        <v>14836</v>
      </c>
      <c r="F1078" s="12">
        <v>1</v>
      </c>
    </row>
    <row r="1079" spans="2:6" x14ac:dyDescent="0.25">
      <c r="B1079" s="12" t="s">
        <v>14214</v>
      </c>
      <c r="E1079" s="27" t="s">
        <v>15108</v>
      </c>
      <c r="F1079" s="12">
        <v>1</v>
      </c>
    </row>
    <row r="1080" spans="2:6" x14ac:dyDescent="0.25">
      <c r="B1080" s="12" t="s">
        <v>14221</v>
      </c>
      <c r="E1080" s="27" t="s">
        <v>14840</v>
      </c>
      <c r="F1080" s="12">
        <v>1</v>
      </c>
    </row>
    <row r="1081" spans="2:6" x14ac:dyDescent="0.25">
      <c r="B1081" s="12" t="s">
        <v>13502</v>
      </c>
      <c r="E1081" s="27" t="s">
        <v>15109</v>
      </c>
      <c r="F1081" s="12">
        <v>1</v>
      </c>
    </row>
    <row r="1082" spans="2:6" x14ac:dyDescent="0.25">
      <c r="B1082" s="12" t="s">
        <v>13502</v>
      </c>
      <c r="E1082" s="27" t="s">
        <v>14844</v>
      </c>
      <c r="F1082" s="12">
        <v>1</v>
      </c>
    </row>
    <row r="1083" spans="2:6" x14ac:dyDescent="0.25">
      <c r="B1083" s="12" t="s">
        <v>14229</v>
      </c>
      <c r="E1083" s="27" t="s">
        <v>14731</v>
      </c>
      <c r="F1083" s="12">
        <v>1</v>
      </c>
    </row>
    <row r="1084" spans="2:6" x14ac:dyDescent="0.25">
      <c r="B1084" s="12" t="s">
        <v>14244</v>
      </c>
      <c r="E1084" s="27" t="s">
        <v>14848</v>
      </c>
      <c r="F1084" s="12">
        <v>1</v>
      </c>
    </row>
    <row r="1085" spans="2:6" x14ac:dyDescent="0.25">
      <c r="B1085" s="12" t="s">
        <v>14248</v>
      </c>
      <c r="E1085" s="27" t="s">
        <v>14621</v>
      </c>
      <c r="F1085" s="12">
        <v>1</v>
      </c>
    </row>
    <row r="1086" spans="2:6" x14ac:dyDescent="0.25">
      <c r="B1086" s="12" t="s">
        <v>14256</v>
      </c>
      <c r="E1086" s="27" t="s">
        <v>14852</v>
      </c>
      <c r="F1086" s="12">
        <v>1</v>
      </c>
    </row>
    <row r="1087" spans="2:6" x14ac:dyDescent="0.25">
      <c r="B1087" s="12" t="s">
        <v>14260</v>
      </c>
      <c r="E1087" s="27" t="s">
        <v>14735</v>
      </c>
      <c r="F1087" s="12">
        <v>1</v>
      </c>
    </row>
    <row r="1088" spans="2:6" x14ac:dyDescent="0.25">
      <c r="B1088" s="12" t="s">
        <v>14264</v>
      </c>
      <c r="E1088" s="27" t="s">
        <v>14854</v>
      </c>
      <c r="F1088" s="12">
        <v>1</v>
      </c>
    </row>
    <row r="1089" spans="2:6" x14ac:dyDescent="0.25">
      <c r="B1089" s="12" t="s">
        <v>14265</v>
      </c>
      <c r="E1089" s="27" t="s">
        <v>14737</v>
      </c>
      <c r="F1089" s="12">
        <v>1</v>
      </c>
    </row>
    <row r="1090" spans="2:6" x14ac:dyDescent="0.25">
      <c r="B1090" s="12" t="s">
        <v>14269</v>
      </c>
      <c r="E1090" s="27" t="s">
        <v>14858</v>
      </c>
      <c r="F1090" s="12">
        <v>1</v>
      </c>
    </row>
    <row r="1091" spans="2:6" x14ac:dyDescent="0.25">
      <c r="B1091" s="12" t="s">
        <v>14273</v>
      </c>
      <c r="E1091" s="27" t="s">
        <v>15110</v>
      </c>
      <c r="F1091" s="12">
        <v>1</v>
      </c>
    </row>
    <row r="1092" spans="2:6" x14ac:dyDescent="0.25">
      <c r="B1092" s="12" t="s">
        <v>14277</v>
      </c>
      <c r="E1092" s="27" t="s">
        <v>15111</v>
      </c>
      <c r="F1092" s="12">
        <v>1</v>
      </c>
    </row>
    <row r="1093" spans="2:6" x14ac:dyDescent="0.25">
      <c r="B1093" s="12" t="s">
        <v>14281</v>
      </c>
      <c r="E1093" s="27" t="s">
        <v>15112</v>
      </c>
      <c r="F1093" s="12">
        <v>1</v>
      </c>
    </row>
    <row r="1094" spans="2:6" x14ac:dyDescent="0.25">
      <c r="B1094" s="12" t="s">
        <v>14285</v>
      </c>
      <c r="E1094" s="27" t="s">
        <v>14860</v>
      </c>
      <c r="F1094" s="12">
        <v>1</v>
      </c>
    </row>
    <row r="1095" spans="2:6" x14ac:dyDescent="0.25">
      <c r="B1095" s="12" t="s">
        <v>14288</v>
      </c>
      <c r="E1095" s="27" t="s">
        <v>14623</v>
      </c>
      <c r="F1095" s="12">
        <v>1</v>
      </c>
    </row>
    <row r="1096" spans="2:6" x14ac:dyDescent="0.25">
      <c r="B1096" s="12" t="s">
        <v>14290</v>
      </c>
      <c r="E1096" s="27" t="s">
        <v>14864</v>
      </c>
      <c r="F1096" s="12">
        <v>1</v>
      </c>
    </row>
    <row r="1097" spans="2:6" x14ac:dyDescent="0.25">
      <c r="B1097" s="12" t="s">
        <v>13506</v>
      </c>
      <c r="E1097" s="27" t="s">
        <v>15113</v>
      </c>
      <c r="F1097" s="12">
        <v>1</v>
      </c>
    </row>
    <row r="1098" spans="2:6" x14ac:dyDescent="0.25">
      <c r="B1098" s="12" t="s">
        <v>14297</v>
      </c>
      <c r="E1098" s="27" t="s">
        <v>14868</v>
      </c>
      <c r="F1098" s="12">
        <v>1</v>
      </c>
    </row>
    <row r="1099" spans="2:6" x14ac:dyDescent="0.25">
      <c r="B1099" s="12" t="s">
        <v>13510</v>
      </c>
      <c r="E1099" s="27" t="s">
        <v>14741</v>
      </c>
      <c r="F1099" s="12">
        <v>1</v>
      </c>
    </row>
    <row r="1100" spans="2:6" x14ac:dyDescent="0.25">
      <c r="B1100" s="12" t="s">
        <v>13510</v>
      </c>
      <c r="E1100" s="27" t="s">
        <v>14870</v>
      </c>
      <c r="F1100" s="12">
        <v>1</v>
      </c>
    </row>
    <row r="1101" spans="2:6" x14ac:dyDescent="0.25">
      <c r="B1101" s="12" t="s">
        <v>14305</v>
      </c>
      <c r="E1101" s="27" t="s">
        <v>14743</v>
      </c>
      <c r="F1101" s="12">
        <v>1</v>
      </c>
    </row>
    <row r="1102" spans="2:6" x14ac:dyDescent="0.25">
      <c r="B1102" s="12" t="s">
        <v>14312</v>
      </c>
      <c r="E1102" s="27" t="s">
        <v>14872</v>
      </c>
      <c r="F1102" s="12">
        <v>1</v>
      </c>
    </row>
    <row r="1103" spans="2:6" x14ac:dyDescent="0.25">
      <c r="B1103" s="12" t="s">
        <v>13512</v>
      </c>
      <c r="E1103" s="27" t="s">
        <v>6119</v>
      </c>
      <c r="F1103" s="12">
        <v>1</v>
      </c>
    </row>
    <row r="1104" spans="2:6" x14ac:dyDescent="0.25">
      <c r="B1104" s="12" t="s">
        <v>13512</v>
      </c>
      <c r="E1104" s="27" t="s">
        <v>14875</v>
      </c>
      <c r="F1104" s="12">
        <v>1</v>
      </c>
    </row>
    <row r="1105" spans="2:6" x14ac:dyDescent="0.25">
      <c r="B1105" s="12" t="s">
        <v>14324</v>
      </c>
      <c r="E1105" s="27" t="s">
        <v>14746</v>
      </c>
      <c r="F1105" s="12">
        <v>1</v>
      </c>
    </row>
    <row r="1106" spans="2:6" x14ac:dyDescent="0.25">
      <c r="B1106" s="12" t="s">
        <v>14328</v>
      </c>
      <c r="E1106" s="27" t="s">
        <v>14877</v>
      </c>
      <c r="F1106" s="12">
        <v>1</v>
      </c>
    </row>
    <row r="1107" spans="2:6" x14ac:dyDescent="0.25">
      <c r="B1107" s="12" t="s">
        <v>14332</v>
      </c>
      <c r="E1107" s="27" t="s">
        <v>14748</v>
      </c>
      <c r="F1107" s="12">
        <v>1</v>
      </c>
    </row>
    <row r="1108" spans="2:6" x14ac:dyDescent="0.25">
      <c r="B1108" s="12" t="s">
        <v>14334</v>
      </c>
      <c r="E1108" s="27" t="s">
        <v>15114</v>
      </c>
      <c r="F1108" s="12">
        <v>1</v>
      </c>
    </row>
    <row r="1109" spans="2:6" x14ac:dyDescent="0.25">
      <c r="B1109" s="12" t="s">
        <v>14338</v>
      </c>
      <c r="E1109" s="27" t="s">
        <v>14750</v>
      </c>
      <c r="F1109" s="12">
        <v>1</v>
      </c>
    </row>
    <row r="1110" spans="2:6" x14ac:dyDescent="0.25">
      <c r="B1110" s="12" t="s">
        <v>14365</v>
      </c>
      <c r="E1110" s="27" t="s">
        <v>14881</v>
      </c>
      <c r="F1110" s="12">
        <v>1</v>
      </c>
    </row>
    <row r="1111" spans="2:6" x14ac:dyDescent="0.25">
      <c r="B1111" s="12" t="s">
        <v>14377</v>
      </c>
      <c r="E1111" s="27" t="s">
        <v>14752</v>
      </c>
      <c r="F1111" s="12">
        <v>1</v>
      </c>
    </row>
    <row r="1112" spans="2:6" x14ac:dyDescent="0.25">
      <c r="B1112" s="12" t="s">
        <v>14384</v>
      </c>
      <c r="E1112" s="27" t="s">
        <v>14885</v>
      </c>
      <c r="F1112" s="12">
        <v>1</v>
      </c>
    </row>
    <row r="1113" spans="2:6" x14ac:dyDescent="0.25">
      <c r="B1113" s="12" t="s">
        <v>14388</v>
      </c>
      <c r="E1113" s="27" t="s">
        <v>14754</v>
      </c>
      <c r="F1113" s="12">
        <v>1</v>
      </c>
    </row>
    <row r="1114" spans="2:6" x14ac:dyDescent="0.25">
      <c r="B1114" s="12" t="s">
        <v>14392</v>
      </c>
      <c r="E1114" s="27" t="s">
        <v>15115</v>
      </c>
      <c r="F1114" s="12">
        <v>1</v>
      </c>
    </row>
    <row r="1115" spans="2:6" x14ac:dyDescent="0.25">
      <c r="B1115" s="12" t="s">
        <v>14395</v>
      </c>
      <c r="E1115" s="27" t="s">
        <v>14755</v>
      </c>
      <c r="F1115" s="12">
        <v>1</v>
      </c>
    </row>
    <row r="1116" spans="2:6" x14ac:dyDescent="0.25">
      <c r="B1116" s="12" t="s">
        <v>14399</v>
      </c>
      <c r="E1116" s="27" t="s">
        <v>15116</v>
      </c>
      <c r="F1116" s="12">
        <v>1</v>
      </c>
    </row>
    <row r="1117" spans="2:6" x14ac:dyDescent="0.25">
      <c r="B1117" s="12" t="s">
        <v>14403</v>
      </c>
      <c r="E1117" s="27" t="s">
        <v>15117</v>
      </c>
      <c r="F1117" s="12">
        <v>1</v>
      </c>
    </row>
    <row r="1118" spans="2:6" x14ac:dyDescent="0.25">
      <c r="B1118" s="12" t="s">
        <v>14407</v>
      </c>
      <c r="E1118" s="27" t="s">
        <v>14891</v>
      </c>
      <c r="F1118" s="12">
        <v>1</v>
      </c>
    </row>
    <row r="1119" spans="2:6" x14ac:dyDescent="0.25">
      <c r="B1119" s="12" t="s">
        <v>14411</v>
      </c>
      <c r="E1119" s="27" t="s">
        <v>14625</v>
      </c>
      <c r="F1119" s="12">
        <v>1</v>
      </c>
    </row>
    <row r="1120" spans="2:6" x14ac:dyDescent="0.25">
      <c r="B1120" s="12" t="s">
        <v>14419</v>
      </c>
      <c r="E1120" s="27" t="s">
        <v>14895</v>
      </c>
      <c r="F1120" s="12">
        <v>1</v>
      </c>
    </row>
    <row r="1121" spans="2:6" x14ac:dyDescent="0.25">
      <c r="B1121" s="12" t="s">
        <v>14423</v>
      </c>
      <c r="E1121" s="27" t="s">
        <v>14759</v>
      </c>
      <c r="F1121" s="12">
        <v>1</v>
      </c>
    </row>
    <row r="1122" spans="2:6" x14ac:dyDescent="0.25">
      <c r="B1122" s="12" t="s">
        <v>13485</v>
      </c>
      <c r="E1122" s="27" t="s">
        <v>14897</v>
      </c>
      <c r="F1122" s="12">
        <v>1</v>
      </c>
    </row>
    <row r="1123" spans="2:6" x14ac:dyDescent="0.25">
      <c r="B1123" s="12" t="s">
        <v>13485</v>
      </c>
      <c r="E1123" s="27" t="s">
        <v>15118</v>
      </c>
      <c r="F1123" s="12">
        <v>1</v>
      </c>
    </row>
    <row r="1124" spans="2:6" x14ac:dyDescent="0.25">
      <c r="B1124" s="12" t="s">
        <v>14431</v>
      </c>
      <c r="E1124" s="27" t="s">
        <v>14899</v>
      </c>
      <c r="F1124" s="12">
        <v>1</v>
      </c>
    </row>
    <row r="1125" spans="2:6" x14ac:dyDescent="0.25">
      <c r="B1125" s="12" t="s">
        <v>14438</v>
      </c>
      <c r="E1125" s="27" t="s">
        <v>15119</v>
      </c>
      <c r="F1125" s="12">
        <v>1</v>
      </c>
    </row>
    <row r="1126" spans="2:6" x14ac:dyDescent="0.25">
      <c r="B1126" s="12" t="s">
        <v>14441</v>
      </c>
      <c r="E1126" s="27" t="s">
        <v>15120</v>
      </c>
      <c r="F1126" s="12">
        <v>1</v>
      </c>
    </row>
    <row r="1127" spans="2:6" x14ac:dyDescent="0.25">
      <c r="B1127" s="12" t="s">
        <v>14449</v>
      </c>
      <c r="E1127" s="27" t="s">
        <v>14761</v>
      </c>
      <c r="F1127" s="12">
        <v>1</v>
      </c>
    </row>
    <row r="1128" spans="2:6" x14ac:dyDescent="0.25">
      <c r="B1128" s="12" t="s">
        <v>14465</v>
      </c>
      <c r="E1128" s="27" t="s">
        <v>14903</v>
      </c>
      <c r="F1128" s="12">
        <v>1</v>
      </c>
    </row>
    <row r="1129" spans="2:6" x14ac:dyDescent="0.25">
      <c r="B1129" s="12" t="s">
        <v>14472</v>
      </c>
      <c r="E1129" s="27" t="s">
        <v>14763</v>
      </c>
      <c r="F1129" s="12">
        <v>1</v>
      </c>
    </row>
    <row r="1130" spans="2:6" x14ac:dyDescent="0.25">
      <c r="B1130" s="12" t="s">
        <v>14476</v>
      </c>
      <c r="E1130" s="27" t="s">
        <v>14907</v>
      </c>
      <c r="F1130" s="12">
        <v>1</v>
      </c>
    </row>
    <row r="1131" spans="2:6" x14ac:dyDescent="0.25">
      <c r="B1131" s="12" t="s">
        <v>14480</v>
      </c>
      <c r="E1131" s="27" t="s">
        <v>14765</v>
      </c>
      <c r="F1131" s="12">
        <v>1</v>
      </c>
    </row>
    <row r="1132" spans="2:6" x14ac:dyDescent="0.25">
      <c r="B1132" s="12" t="s">
        <v>14487</v>
      </c>
      <c r="E1132" s="27" t="s">
        <v>14911</v>
      </c>
      <c r="F1132" s="12">
        <v>1</v>
      </c>
    </row>
    <row r="1133" spans="2:6" x14ac:dyDescent="0.25">
      <c r="B1133" s="12" t="s">
        <v>14491</v>
      </c>
      <c r="E1133" s="27" t="s">
        <v>14767</v>
      </c>
      <c r="F1133" s="12">
        <v>1</v>
      </c>
    </row>
    <row r="1134" spans="2:6" x14ac:dyDescent="0.25">
      <c r="B1134" s="12" t="s">
        <v>14494</v>
      </c>
      <c r="E1134" s="27" t="s">
        <v>14914</v>
      </c>
      <c r="F1134" s="12">
        <v>1</v>
      </c>
    </row>
    <row r="1135" spans="2:6" x14ac:dyDescent="0.25">
      <c r="B1135" s="12" t="s">
        <v>14498</v>
      </c>
      <c r="E1135" s="27" t="s">
        <v>14769</v>
      </c>
      <c r="F1135" s="12">
        <v>1</v>
      </c>
    </row>
    <row r="1136" spans="2:6" x14ac:dyDescent="0.25">
      <c r="B1136" s="12" t="s">
        <v>14502</v>
      </c>
      <c r="E1136" s="27" t="s">
        <v>15121</v>
      </c>
      <c r="F1136" s="12">
        <v>1</v>
      </c>
    </row>
    <row r="1137" spans="2:6" x14ac:dyDescent="0.25">
      <c r="B1137" s="12" t="s">
        <v>14506</v>
      </c>
      <c r="E1137" s="27" t="s">
        <v>14771</v>
      </c>
      <c r="F1137" s="12">
        <v>1</v>
      </c>
    </row>
    <row r="1138" spans="2:6" x14ac:dyDescent="0.25">
      <c r="B1138" s="12" t="s">
        <v>14509</v>
      </c>
      <c r="E1138" s="27" t="s">
        <v>14916</v>
      </c>
      <c r="F1138" s="12">
        <v>1</v>
      </c>
    </row>
    <row r="1139" spans="2:6" x14ac:dyDescent="0.25">
      <c r="B1139" s="12" t="s">
        <v>13494</v>
      </c>
      <c r="E1139" s="27" t="s">
        <v>14773</v>
      </c>
      <c r="F1139" s="12">
        <v>1</v>
      </c>
    </row>
    <row r="1140" spans="2:6" x14ac:dyDescent="0.25">
      <c r="B1140" s="12" t="s">
        <v>13494</v>
      </c>
      <c r="E1140" s="27" t="s">
        <v>14918</v>
      </c>
      <c r="F1140" s="12">
        <v>1</v>
      </c>
    </row>
    <row r="1141" spans="2:6" x14ac:dyDescent="0.25">
      <c r="B1141" s="12" t="s">
        <v>14516</v>
      </c>
      <c r="E1141" s="27" t="s">
        <v>14774</v>
      </c>
      <c r="F1141" s="12">
        <v>1</v>
      </c>
    </row>
    <row r="1142" spans="2:6" x14ac:dyDescent="0.25">
      <c r="B1142" s="12" t="s">
        <v>14524</v>
      </c>
      <c r="E1142" s="27" t="s">
        <v>4947</v>
      </c>
      <c r="F1142" s="12">
        <v>1</v>
      </c>
    </row>
    <row r="1143" spans="2:6" x14ac:dyDescent="0.25">
      <c r="B1143" s="12" t="s">
        <v>14528</v>
      </c>
      <c r="E1143" s="27" t="s">
        <v>14776</v>
      </c>
      <c r="F1143" s="12">
        <v>1</v>
      </c>
    </row>
    <row r="1144" spans="2:6" x14ac:dyDescent="0.25">
      <c r="B1144" s="12" t="s">
        <v>14532</v>
      </c>
      <c r="E1144" s="27" t="s">
        <v>14922</v>
      </c>
      <c r="F1144" s="12">
        <v>1</v>
      </c>
    </row>
    <row r="1145" spans="2:6" x14ac:dyDescent="0.25">
      <c r="B1145" s="12" t="s">
        <v>14536</v>
      </c>
      <c r="E1145" s="27" t="s">
        <v>14778</v>
      </c>
      <c r="F1145" s="12">
        <v>1</v>
      </c>
    </row>
    <row r="1146" spans="2:6" x14ac:dyDescent="0.25">
      <c r="B1146" s="12" t="s">
        <v>14540</v>
      </c>
      <c r="E1146" s="27" t="s">
        <v>9822</v>
      </c>
      <c r="F1146" s="12">
        <v>1</v>
      </c>
    </row>
    <row r="1147" spans="2:6" x14ac:dyDescent="0.25">
      <c r="B1147" s="12" t="s">
        <v>14544</v>
      </c>
      <c r="E1147" s="27" t="s">
        <v>14780</v>
      </c>
      <c r="F1147" s="12">
        <v>1</v>
      </c>
    </row>
    <row r="1148" spans="2:6" x14ac:dyDescent="0.25">
      <c r="B1148" s="12" t="s">
        <v>14551</v>
      </c>
      <c r="E1148" s="27" t="s">
        <v>15122</v>
      </c>
      <c r="F1148" s="12">
        <v>1</v>
      </c>
    </row>
    <row r="1149" spans="2:6" x14ac:dyDescent="0.25">
      <c r="B1149" s="12" t="s">
        <v>14561</v>
      </c>
      <c r="E1149" s="27" t="s">
        <v>14782</v>
      </c>
      <c r="F1149" s="12">
        <v>1</v>
      </c>
    </row>
    <row r="1150" spans="2:6" x14ac:dyDescent="0.25">
      <c r="B1150" s="12" t="s">
        <v>14565</v>
      </c>
      <c r="E1150" s="27" t="s">
        <v>15123</v>
      </c>
      <c r="F1150" s="12">
        <v>1</v>
      </c>
    </row>
    <row r="1151" spans="2:6" x14ac:dyDescent="0.25">
      <c r="B1151" s="12" t="s">
        <v>14569</v>
      </c>
      <c r="E1151" s="27" t="s">
        <v>15124</v>
      </c>
      <c r="F1151" s="12">
        <v>1</v>
      </c>
    </row>
    <row r="1152" spans="2:6" x14ac:dyDescent="0.25">
      <c r="B1152" s="12" t="s">
        <v>14607</v>
      </c>
      <c r="E1152" s="27" t="s">
        <v>9502</v>
      </c>
      <c r="F1152" s="12">
        <v>1</v>
      </c>
    </row>
    <row r="1153" spans="2:6" x14ac:dyDescent="0.25">
      <c r="B1153" s="12" t="s">
        <v>14611</v>
      </c>
      <c r="E1153" s="27" t="s">
        <v>15125</v>
      </c>
      <c r="F1153" s="12">
        <v>1</v>
      </c>
    </row>
    <row r="1154" spans="2:6" x14ac:dyDescent="0.25">
      <c r="B1154" s="12" t="s">
        <v>14614</v>
      </c>
      <c r="E1154" s="27" t="s">
        <v>14934</v>
      </c>
      <c r="F1154" s="12">
        <v>1</v>
      </c>
    </row>
    <row r="1155" spans="2:6" x14ac:dyDescent="0.25">
      <c r="B1155" s="12" t="s">
        <v>14618</v>
      </c>
      <c r="E1155" s="27" t="s">
        <v>14784</v>
      </c>
      <c r="F1155" s="12">
        <v>1</v>
      </c>
    </row>
    <row r="1156" spans="2:6" x14ac:dyDescent="0.25">
      <c r="B1156" s="12" t="s">
        <v>14622</v>
      </c>
      <c r="E1156" s="27" t="s">
        <v>15126</v>
      </c>
      <c r="F1156" s="12">
        <v>1</v>
      </c>
    </row>
    <row r="1157" spans="2:6" x14ac:dyDescent="0.25">
      <c r="B1157" s="12" t="s">
        <v>14624</v>
      </c>
      <c r="E1157" s="27" t="s">
        <v>14785</v>
      </c>
      <c r="F1157" s="12">
        <v>1</v>
      </c>
    </row>
    <row r="1158" spans="2:6" x14ac:dyDescent="0.25">
      <c r="B1158" s="12" t="s">
        <v>14593</v>
      </c>
      <c r="E1158" s="27" t="s">
        <v>14936</v>
      </c>
      <c r="F1158" s="12">
        <v>1</v>
      </c>
    </row>
    <row r="1159" spans="2:6" x14ac:dyDescent="0.25">
      <c r="B1159" s="12" t="s">
        <v>14359</v>
      </c>
      <c r="E1159" s="27" t="s">
        <v>15127</v>
      </c>
      <c r="F1159" s="12">
        <v>1</v>
      </c>
    </row>
    <row r="1160" spans="2:6" x14ac:dyDescent="0.25">
      <c r="B1160" s="12" t="s">
        <v>14238</v>
      </c>
      <c r="E1160" s="27" t="s">
        <v>14938</v>
      </c>
      <c r="F1160" s="12">
        <v>1</v>
      </c>
    </row>
    <row r="1161" spans="2:6" x14ac:dyDescent="0.25">
      <c r="B1161" s="12" t="s">
        <v>14363</v>
      </c>
      <c r="E1161" s="27" t="s">
        <v>14787</v>
      </c>
      <c r="F1161" s="12">
        <v>1</v>
      </c>
    </row>
    <row r="1162" spans="2:6" x14ac:dyDescent="0.25">
      <c r="B1162" s="12" t="s">
        <v>14144</v>
      </c>
      <c r="E1162" s="27" t="s">
        <v>14942</v>
      </c>
      <c r="F1162" s="12">
        <v>1</v>
      </c>
    </row>
    <row r="1163" spans="2:6" x14ac:dyDescent="0.25">
      <c r="B1163" s="12" t="s">
        <v>14367</v>
      </c>
      <c r="E1163" s="27" t="s">
        <v>15128</v>
      </c>
      <c r="F1163" s="12">
        <v>1</v>
      </c>
    </row>
    <row r="1164" spans="2:6" x14ac:dyDescent="0.25">
      <c r="B1164" s="12" t="s">
        <v>14242</v>
      </c>
      <c r="E1164" s="27" t="s">
        <v>15129</v>
      </c>
      <c r="F1164" s="12">
        <v>1</v>
      </c>
    </row>
    <row r="1165" spans="2:6" x14ac:dyDescent="0.25">
      <c r="B1165" s="12" t="s">
        <v>14176</v>
      </c>
      <c r="E1165" s="27" t="s">
        <v>8506</v>
      </c>
      <c r="F1165" s="12">
        <v>1</v>
      </c>
    </row>
    <row r="1166" spans="2:6" x14ac:dyDescent="0.25">
      <c r="B1166" s="12" t="s">
        <v>13504</v>
      </c>
      <c r="E1166" s="27" t="s">
        <v>14944</v>
      </c>
      <c r="F1166" s="12">
        <v>1</v>
      </c>
    </row>
    <row r="1167" spans="2:6" x14ac:dyDescent="0.25">
      <c r="B1167" s="12" t="s">
        <v>14246</v>
      </c>
      <c r="E1167" s="27" t="s">
        <v>14790</v>
      </c>
      <c r="F1167" s="12">
        <v>1</v>
      </c>
    </row>
    <row r="1168" spans="2:6" x14ac:dyDescent="0.25">
      <c r="B1168" s="12" t="s">
        <v>14379</v>
      </c>
      <c r="E1168" s="27" t="s">
        <v>7071</v>
      </c>
      <c r="F1168" s="12">
        <v>1</v>
      </c>
    </row>
    <row r="1169" spans="2:6" x14ac:dyDescent="0.25">
      <c r="B1169" s="12" t="s">
        <v>14129</v>
      </c>
      <c r="E1169" s="27" t="s">
        <v>14791</v>
      </c>
      <c r="F1169" s="12">
        <v>1</v>
      </c>
    </row>
    <row r="1170" spans="2:6" x14ac:dyDescent="0.25">
      <c r="B1170" s="12" t="s">
        <v>14382</v>
      </c>
      <c r="E1170" s="27" t="s">
        <v>14949</v>
      </c>
      <c r="F1170" s="12">
        <v>1</v>
      </c>
    </row>
    <row r="1171" spans="2:6" x14ac:dyDescent="0.25">
      <c r="B1171" s="12" t="s">
        <v>14250</v>
      </c>
      <c r="E1171" s="27" t="s">
        <v>14793</v>
      </c>
      <c r="F1171" s="12">
        <v>1</v>
      </c>
    </row>
    <row r="1172" spans="2:6" x14ac:dyDescent="0.25">
      <c r="B1172" s="12" t="s">
        <v>14180</v>
      </c>
      <c r="E1172" s="27" t="s">
        <v>14953</v>
      </c>
      <c r="F1172" s="12">
        <v>1</v>
      </c>
    </row>
    <row r="1173" spans="2:6" x14ac:dyDescent="0.25">
      <c r="B1173" s="12" t="s">
        <v>14390</v>
      </c>
      <c r="E1173" s="27" t="s">
        <v>15130</v>
      </c>
      <c r="F1173" s="12">
        <v>1</v>
      </c>
    </row>
    <row r="1174" spans="2:6" x14ac:dyDescent="0.25">
      <c r="B1174" s="12" t="s">
        <v>14148</v>
      </c>
      <c r="E1174" s="27" t="s">
        <v>15131</v>
      </c>
      <c r="F1174" s="12">
        <v>1</v>
      </c>
    </row>
    <row r="1175" spans="2:6" x14ac:dyDescent="0.25">
      <c r="B1175" s="12" t="s">
        <v>14397</v>
      </c>
      <c r="E1175" s="27" t="s">
        <v>14627</v>
      </c>
      <c r="F1175" s="12">
        <v>1</v>
      </c>
    </row>
    <row r="1176" spans="2:6" x14ac:dyDescent="0.25">
      <c r="B1176" s="12" t="s">
        <v>14258</v>
      </c>
      <c r="E1176" s="27" t="s">
        <v>9630</v>
      </c>
      <c r="F1176" s="12">
        <v>1</v>
      </c>
    </row>
    <row r="1177" spans="2:6" x14ac:dyDescent="0.25">
      <c r="B1177" s="12" t="s">
        <v>14184</v>
      </c>
      <c r="E1177" s="27" t="s">
        <v>15132</v>
      </c>
      <c r="F1177" s="12">
        <v>1</v>
      </c>
    </row>
    <row r="1178" spans="2:6" x14ac:dyDescent="0.25">
      <c r="B1178" s="12" t="s">
        <v>14405</v>
      </c>
      <c r="E1178" s="27" t="s">
        <v>14957</v>
      </c>
      <c r="F1178" s="12">
        <v>1</v>
      </c>
    </row>
    <row r="1179" spans="2:6" x14ac:dyDescent="0.25">
      <c r="B1179" s="12" t="s">
        <v>14262</v>
      </c>
      <c r="E1179" s="27" t="s">
        <v>14977</v>
      </c>
      <c r="F1179" s="12">
        <v>1</v>
      </c>
    </row>
    <row r="1180" spans="2:6" x14ac:dyDescent="0.25">
      <c r="B1180" s="12" t="s">
        <v>14409</v>
      </c>
      <c r="E1180" s="27" t="s">
        <v>14959</v>
      </c>
      <c r="F1180" s="12">
        <v>1</v>
      </c>
    </row>
    <row r="1181" spans="2:6" x14ac:dyDescent="0.25">
      <c r="B1181" s="12" t="s">
        <v>14121</v>
      </c>
      <c r="E1181" s="27" t="s">
        <v>14979</v>
      </c>
      <c r="F1181" s="12">
        <v>1</v>
      </c>
    </row>
    <row r="1182" spans="2:6" x14ac:dyDescent="0.25">
      <c r="B1182" s="12" t="s">
        <v>14413</v>
      </c>
      <c r="E1182" s="27" t="s">
        <v>14962</v>
      </c>
      <c r="F1182" s="12">
        <v>1</v>
      </c>
    </row>
    <row r="1183" spans="2:6" x14ac:dyDescent="0.25">
      <c r="B1183" s="12" t="s">
        <v>14417</v>
      </c>
      <c r="E1183" s="27" t="s">
        <v>14619</v>
      </c>
      <c r="F1183" s="12">
        <v>1</v>
      </c>
    </row>
    <row r="1184" spans="2:6" x14ac:dyDescent="0.25">
      <c r="B1184" s="12" t="s">
        <v>14188</v>
      </c>
      <c r="E1184" s="27" t="s">
        <v>14966</v>
      </c>
      <c r="F1184" s="12">
        <v>1</v>
      </c>
    </row>
    <row r="1185" spans="2:6" x14ac:dyDescent="0.25">
      <c r="B1185" s="12" t="s">
        <v>14425</v>
      </c>
      <c r="E1185" s="27" t="s">
        <v>14629</v>
      </c>
      <c r="F1185" s="12">
        <v>1</v>
      </c>
    </row>
    <row r="1186" spans="2:6" x14ac:dyDescent="0.25">
      <c r="B1186" s="12" t="s">
        <v>14152</v>
      </c>
      <c r="E1186" s="27" t="s">
        <v>14970</v>
      </c>
      <c r="F1186" s="12">
        <v>1</v>
      </c>
    </row>
    <row r="1187" spans="2:6" x14ac:dyDescent="0.25">
      <c r="B1187" s="12" t="s">
        <v>14429</v>
      </c>
      <c r="E1187" s="27" t="s">
        <v>15133</v>
      </c>
      <c r="F1187" s="12">
        <v>1</v>
      </c>
    </row>
    <row r="1188" spans="2:6" x14ac:dyDescent="0.25">
      <c r="B1188" s="12" t="s">
        <v>14192</v>
      </c>
      <c r="E1188" s="27" t="s">
        <v>14802</v>
      </c>
      <c r="F1188" s="12">
        <v>1</v>
      </c>
    </row>
    <row r="1189" spans="2:6" x14ac:dyDescent="0.25">
      <c r="B1189" s="12" t="s">
        <v>14275</v>
      </c>
      <c r="E1189" s="27" t="s">
        <v>14795</v>
      </c>
      <c r="F1189" s="12">
        <v>1</v>
      </c>
    </row>
    <row r="1190" spans="2:6" x14ac:dyDescent="0.25">
      <c r="B1190" s="12" t="s">
        <v>14133</v>
      </c>
      <c r="E1190" s="27" t="s">
        <v>14975</v>
      </c>
      <c r="F1190" s="12">
        <v>1</v>
      </c>
    </row>
    <row r="1191" spans="2:6" x14ac:dyDescent="0.25">
      <c r="B1191" s="12" t="s">
        <v>14279</v>
      </c>
      <c r="E1191" s="27" t="s">
        <v>14797</v>
      </c>
      <c r="F1191" s="12">
        <v>1</v>
      </c>
    </row>
    <row r="1192" spans="2:6" x14ac:dyDescent="0.25">
      <c r="B1192" s="12" t="s">
        <v>14447</v>
      </c>
      <c r="E1192" s="27" t="s">
        <v>15134</v>
      </c>
      <c r="F1192" s="12">
        <v>1</v>
      </c>
    </row>
    <row r="1193" spans="2:6" x14ac:dyDescent="0.25">
      <c r="B1193" s="12" t="s">
        <v>14196</v>
      </c>
      <c r="E1193" s="27" t="s">
        <v>14799</v>
      </c>
      <c r="F1193" s="12">
        <v>1</v>
      </c>
    </row>
    <row r="1194" spans="2:6" x14ac:dyDescent="0.25">
      <c r="B1194" s="12" t="s">
        <v>14451</v>
      </c>
      <c r="E1194" s="27" t="s">
        <v>14981</v>
      </c>
      <c r="F1194" s="12">
        <v>1</v>
      </c>
    </row>
    <row r="1195" spans="2:6" x14ac:dyDescent="0.25">
      <c r="B1195" s="12" t="s">
        <v>14283</v>
      </c>
      <c r="E1195" s="27" t="s">
        <v>14801</v>
      </c>
      <c r="F1195" s="12">
        <v>1</v>
      </c>
    </row>
    <row r="1196" spans="2:6" x14ac:dyDescent="0.25">
      <c r="B1196" s="12" t="s">
        <v>14455</v>
      </c>
      <c r="E1196" s="27" t="s">
        <v>15135</v>
      </c>
      <c r="F1196" s="12">
        <v>1</v>
      </c>
    </row>
    <row r="1197" spans="2:6" x14ac:dyDescent="0.25">
      <c r="B1197" s="12" t="s">
        <v>14155</v>
      </c>
      <c r="E1197" s="27" t="s">
        <v>15136</v>
      </c>
      <c r="F1197" s="12">
        <v>1</v>
      </c>
    </row>
    <row r="1198" spans="2:6" x14ac:dyDescent="0.25">
      <c r="B1198" s="12" t="s">
        <v>14459</v>
      </c>
      <c r="E1198" s="27" t="s">
        <v>15137</v>
      </c>
      <c r="F1198" s="12">
        <v>1</v>
      </c>
    </row>
    <row r="1199" spans="2:6" x14ac:dyDescent="0.25">
      <c r="B1199" s="12" t="s">
        <v>14287</v>
      </c>
      <c r="E1199" s="27" t="s">
        <v>14444</v>
      </c>
      <c r="F1199" s="12">
        <v>1</v>
      </c>
    </row>
    <row r="1200" spans="2:6" x14ac:dyDescent="0.25">
      <c r="B1200" s="12" t="s">
        <v>14463</v>
      </c>
      <c r="E1200" s="27" t="s">
        <v>14232</v>
      </c>
      <c r="F1200" s="12">
        <v>1</v>
      </c>
    </row>
    <row r="1201" spans="2:6" x14ac:dyDescent="0.25">
      <c r="B1201" s="12" t="s">
        <v>14200</v>
      </c>
      <c r="E1201" s="27" t="s">
        <v>15138</v>
      </c>
      <c r="F1201" s="12">
        <v>1</v>
      </c>
    </row>
    <row r="1202" spans="2:6" x14ac:dyDescent="0.25">
      <c r="B1202" s="12" t="s">
        <v>14467</v>
      </c>
      <c r="E1202" s="27" t="s">
        <v>15139</v>
      </c>
      <c r="F1202" s="12">
        <v>1</v>
      </c>
    </row>
    <row r="1203" spans="2:6" x14ac:dyDescent="0.25">
      <c r="B1203" s="12" t="s">
        <v>14289</v>
      </c>
      <c r="E1203" s="27" t="s">
        <v>14420</v>
      </c>
      <c r="F1203" s="12">
        <v>1</v>
      </c>
    </row>
    <row r="1204" spans="2:6" x14ac:dyDescent="0.25">
      <c r="B1204" s="12" t="s">
        <v>14470</v>
      </c>
      <c r="E1204" s="27" t="s">
        <v>6783</v>
      </c>
      <c r="F1204" s="12">
        <v>1</v>
      </c>
    </row>
    <row r="1205" spans="2:6" x14ac:dyDescent="0.25">
      <c r="B1205" s="12" t="s">
        <v>14119</v>
      </c>
      <c r="E1205" s="27" t="s">
        <v>14466</v>
      </c>
      <c r="F1205" s="12">
        <v>1</v>
      </c>
    </row>
    <row r="1206" spans="2:6" x14ac:dyDescent="0.25">
      <c r="B1206" s="12" t="s">
        <v>14291</v>
      </c>
      <c r="E1206" s="27" t="s">
        <v>15140</v>
      </c>
      <c r="F1206" s="12">
        <v>1</v>
      </c>
    </row>
    <row r="1207" spans="2:6" x14ac:dyDescent="0.25">
      <c r="B1207" s="12" t="s">
        <v>14478</v>
      </c>
      <c r="E1207" s="27" t="s">
        <v>14510</v>
      </c>
      <c r="F1207" s="12">
        <v>1</v>
      </c>
    </row>
    <row r="1208" spans="2:6" x14ac:dyDescent="0.25">
      <c r="B1208" s="12" t="s">
        <v>14204</v>
      </c>
      <c r="E1208" s="27" t="s">
        <v>15141</v>
      </c>
      <c r="F1208" s="12">
        <v>1</v>
      </c>
    </row>
    <row r="1209" spans="2:6" x14ac:dyDescent="0.25">
      <c r="B1209" s="12" t="s">
        <v>14295</v>
      </c>
      <c r="E1209" s="27" t="s">
        <v>14558</v>
      </c>
      <c r="F1209" s="12">
        <v>1</v>
      </c>
    </row>
    <row r="1210" spans="2:6" x14ac:dyDescent="0.25">
      <c r="B1210" s="12" t="s">
        <v>14485</v>
      </c>
      <c r="E1210" s="27" t="s">
        <v>14234</v>
      </c>
      <c r="F1210" s="12">
        <v>1</v>
      </c>
    </row>
    <row r="1211" spans="2:6" x14ac:dyDescent="0.25">
      <c r="B1211" s="12" t="s">
        <v>14159</v>
      </c>
      <c r="E1211" s="27" t="s">
        <v>15142</v>
      </c>
      <c r="F1211" s="12">
        <v>1</v>
      </c>
    </row>
    <row r="1212" spans="2:6" x14ac:dyDescent="0.25">
      <c r="B1212" s="12" t="s">
        <v>14489</v>
      </c>
      <c r="E1212" s="27" t="s">
        <v>14236</v>
      </c>
      <c r="F1212" s="12">
        <v>1</v>
      </c>
    </row>
    <row r="1213" spans="2:6" x14ac:dyDescent="0.25">
      <c r="B1213" s="12" t="s">
        <v>14299</v>
      </c>
      <c r="E1213" s="27" t="s">
        <v>14434</v>
      </c>
      <c r="F1213" s="12">
        <v>1</v>
      </c>
    </row>
    <row r="1214" spans="2:6" x14ac:dyDescent="0.25">
      <c r="B1214" s="12" t="s">
        <v>14208</v>
      </c>
      <c r="E1214" s="27" t="s">
        <v>14237</v>
      </c>
      <c r="F1214" s="12">
        <v>1</v>
      </c>
    </row>
    <row r="1215" spans="2:6" x14ac:dyDescent="0.25">
      <c r="B1215" s="12" t="s">
        <v>14496</v>
      </c>
      <c r="E1215" s="27" t="s">
        <v>15143</v>
      </c>
      <c r="F1215" s="12">
        <v>1</v>
      </c>
    </row>
    <row r="1216" spans="2:6" x14ac:dyDescent="0.25">
      <c r="B1216" s="12" t="s">
        <v>14303</v>
      </c>
      <c r="E1216" s="27" t="s">
        <v>14239</v>
      </c>
      <c r="F1216" s="12">
        <v>1</v>
      </c>
    </row>
    <row r="1217" spans="2:6" x14ac:dyDescent="0.25">
      <c r="B1217" s="12" t="s">
        <v>14500</v>
      </c>
      <c r="E1217" s="27" t="s">
        <v>14479</v>
      </c>
      <c r="F1217" s="12">
        <v>1</v>
      </c>
    </row>
    <row r="1218" spans="2:6" x14ac:dyDescent="0.25">
      <c r="B1218" s="12" t="s">
        <v>14137</v>
      </c>
      <c r="E1218" s="27" t="s">
        <v>14241</v>
      </c>
      <c r="F1218" s="12">
        <v>1</v>
      </c>
    </row>
    <row r="1219" spans="2:6" x14ac:dyDescent="0.25">
      <c r="B1219" s="12" t="s">
        <v>14307</v>
      </c>
      <c r="E1219" s="27" t="s">
        <v>15144</v>
      </c>
      <c r="F1219" s="12">
        <v>1</v>
      </c>
    </row>
    <row r="1220" spans="2:6" x14ac:dyDescent="0.25">
      <c r="B1220" s="12" t="s">
        <v>14511</v>
      </c>
      <c r="E1220" s="27" t="s">
        <v>14217</v>
      </c>
      <c r="F1220" s="12">
        <v>1</v>
      </c>
    </row>
    <row r="1221" spans="2:6" x14ac:dyDescent="0.25">
      <c r="B1221" s="12" t="s">
        <v>14518</v>
      </c>
      <c r="E1221" s="27" t="s">
        <v>15145</v>
      </c>
      <c r="F1221" s="12">
        <v>1</v>
      </c>
    </row>
    <row r="1222" spans="2:6" x14ac:dyDescent="0.25">
      <c r="B1222" s="12" t="s">
        <v>14314</v>
      </c>
      <c r="E1222" s="27" t="s">
        <v>14243</v>
      </c>
      <c r="F1222" s="12">
        <v>1</v>
      </c>
    </row>
    <row r="1223" spans="2:6" x14ac:dyDescent="0.25">
      <c r="B1223" s="12" t="s">
        <v>14216</v>
      </c>
      <c r="E1223" s="27" t="s">
        <v>14543</v>
      </c>
      <c r="F1223" s="12">
        <v>1</v>
      </c>
    </row>
    <row r="1224" spans="2:6" x14ac:dyDescent="0.25">
      <c r="B1224" s="12" t="s">
        <v>14526</v>
      </c>
      <c r="E1224" s="27" t="s">
        <v>14245</v>
      </c>
      <c r="F1224" s="12">
        <v>1</v>
      </c>
    </row>
    <row r="1225" spans="2:6" x14ac:dyDescent="0.25">
      <c r="B1225" s="12" t="s">
        <v>14318</v>
      </c>
      <c r="E1225" s="27" t="s">
        <v>14570</v>
      </c>
      <c r="F1225" s="12">
        <v>1</v>
      </c>
    </row>
    <row r="1226" spans="2:6" x14ac:dyDescent="0.25">
      <c r="B1226" s="12" t="s">
        <v>14530</v>
      </c>
      <c r="E1226" s="27" t="s">
        <v>10500</v>
      </c>
      <c r="F1226" s="12">
        <v>1</v>
      </c>
    </row>
    <row r="1227" spans="2:6" x14ac:dyDescent="0.25">
      <c r="B1227" s="12" t="s">
        <v>14125</v>
      </c>
      <c r="E1227" s="27" t="s">
        <v>14596</v>
      </c>
      <c r="F1227" s="12">
        <v>1</v>
      </c>
    </row>
    <row r="1228" spans="2:6" x14ac:dyDescent="0.25">
      <c r="B1228" s="12" t="s">
        <v>13508</v>
      </c>
      <c r="E1228" s="27" t="s">
        <v>14247</v>
      </c>
      <c r="F1228" s="12">
        <v>1</v>
      </c>
    </row>
    <row r="1229" spans="2:6" x14ac:dyDescent="0.25">
      <c r="B1229" s="12" t="s">
        <v>13508</v>
      </c>
      <c r="E1229" s="27" t="s">
        <v>14414</v>
      </c>
      <c r="F1229" s="12">
        <v>1</v>
      </c>
    </row>
    <row r="1230" spans="2:6" x14ac:dyDescent="0.25">
      <c r="B1230" s="12" t="s">
        <v>14322</v>
      </c>
      <c r="E1230" s="27" t="s">
        <v>15146</v>
      </c>
      <c r="F1230" s="12">
        <v>1</v>
      </c>
    </row>
    <row r="1231" spans="2:6" x14ac:dyDescent="0.25">
      <c r="B1231" s="12" t="s">
        <v>14538</v>
      </c>
      <c r="E1231" s="27" t="s">
        <v>14428</v>
      </c>
      <c r="F1231" s="12">
        <v>1</v>
      </c>
    </row>
    <row r="1232" spans="2:6" x14ac:dyDescent="0.25">
      <c r="B1232" s="12" t="s">
        <v>14219</v>
      </c>
      <c r="E1232" s="27" t="s">
        <v>14249</v>
      </c>
      <c r="F1232" s="12">
        <v>1</v>
      </c>
    </row>
    <row r="1233" spans="2:6" x14ac:dyDescent="0.25">
      <c r="B1233" s="12" t="s">
        <v>14542</v>
      </c>
      <c r="E1233" s="27" t="s">
        <v>15147</v>
      </c>
      <c r="F1233" s="12">
        <v>1</v>
      </c>
    </row>
    <row r="1234" spans="2:6" x14ac:dyDescent="0.25">
      <c r="B1234" s="12" t="s">
        <v>14326</v>
      </c>
      <c r="E1234" s="27" t="s">
        <v>15148</v>
      </c>
      <c r="F1234" s="12">
        <v>1</v>
      </c>
    </row>
    <row r="1235" spans="2:6" x14ac:dyDescent="0.25">
      <c r="B1235" s="12" t="s">
        <v>14546</v>
      </c>
      <c r="E1235" s="27" t="s">
        <v>14450</v>
      </c>
      <c r="F1235" s="12">
        <v>1</v>
      </c>
    </row>
    <row r="1236" spans="2:6" x14ac:dyDescent="0.25">
      <c r="B1236" s="12" t="s">
        <v>14166</v>
      </c>
      <c r="E1236" s="27" t="s">
        <v>14251</v>
      </c>
      <c r="F1236" s="12">
        <v>1</v>
      </c>
    </row>
    <row r="1237" spans="2:6" x14ac:dyDescent="0.25">
      <c r="B1237" s="12" t="s">
        <v>14549</v>
      </c>
      <c r="E1237" s="27" t="s">
        <v>14462</v>
      </c>
      <c r="F1237" s="12">
        <v>1</v>
      </c>
    </row>
    <row r="1238" spans="2:6" x14ac:dyDescent="0.25">
      <c r="B1238" s="12" t="s">
        <v>14330</v>
      </c>
      <c r="E1238" s="27" t="s">
        <v>14253</v>
      </c>
      <c r="F1238" s="12">
        <v>1</v>
      </c>
    </row>
    <row r="1239" spans="2:6" x14ac:dyDescent="0.25">
      <c r="B1239" s="12" t="s">
        <v>14223</v>
      </c>
      <c r="E1239" s="27" t="s">
        <v>14471</v>
      </c>
      <c r="F1239" s="12">
        <v>1</v>
      </c>
    </row>
    <row r="1240" spans="2:6" x14ac:dyDescent="0.25">
      <c r="B1240" s="12" t="s">
        <v>14555</v>
      </c>
      <c r="E1240" s="27" t="s">
        <v>14255</v>
      </c>
      <c r="F1240" s="12">
        <v>1</v>
      </c>
    </row>
    <row r="1241" spans="2:6" x14ac:dyDescent="0.25">
      <c r="B1241" s="12" t="s">
        <v>14333</v>
      </c>
      <c r="E1241" s="27" t="s">
        <v>6911</v>
      </c>
      <c r="F1241" s="12">
        <v>1</v>
      </c>
    </row>
    <row r="1242" spans="2:6" x14ac:dyDescent="0.25">
      <c r="B1242" s="12" t="s">
        <v>14559</v>
      </c>
      <c r="E1242" s="27" t="s">
        <v>15149</v>
      </c>
      <c r="F1242" s="12">
        <v>1</v>
      </c>
    </row>
    <row r="1243" spans="2:6" x14ac:dyDescent="0.25">
      <c r="B1243" s="12" t="s">
        <v>14141</v>
      </c>
      <c r="E1243" s="27" t="s">
        <v>14226</v>
      </c>
      <c r="F1243" s="12">
        <v>1</v>
      </c>
    </row>
    <row r="1244" spans="2:6" x14ac:dyDescent="0.25">
      <c r="B1244" s="12" t="s">
        <v>14563</v>
      </c>
      <c r="E1244" s="27" t="s">
        <v>15150</v>
      </c>
      <c r="F1244" s="12">
        <v>1</v>
      </c>
    </row>
    <row r="1245" spans="2:6" x14ac:dyDescent="0.25">
      <c r="B1245" s="12" t="s">
        <v>14336</v>
      </c>
      <c r="E1245" s="27" t="s">
        <v>15151</v>
      </c>
      <c r="F1245" s="12">
        <v>1</v>
      </c>
    </row>
    <row r="1246" spans="2:6" x14ac:dyDescent="0.25">
      <c r="B1246" s="12" t="s">
        <v>14567</v>
      </c>
      <c r="E1246" s="27" t="s">
        <v>14257</v>
      </c>
      <c r="F1246" s="12">
        <v>1</v>
      </c>
    </row>
    <row r="1247" spans="2:6" x14ac:dyDescent="0.25">
      <c r="B1247" s="12" t="s">
        <v>14227</v>
      </c>
      <c r="E1247" s="27" t="s">
        <v>14515</v>
      </c>
      <c r="F1247" s="12">
        <v>1</v>
      </c>
    </row>
    <row r="1248" spans="2:6" x14ac:dyDescent="0.25">
      <c r="B1248" s="12" t="s">
        <v>14571</v>
      </c>
      <c r="E1248" s="27" t="s">
        <v>14259</v>
      </c>
      <c r="F1248" s="12">
        <v>1</v>
      </c>
    </row>
    <row r="1249" spans="2:6" x14ac:dyDescent="0.25">
      <c r="B1249" s="12" t="s">
        <v>14169</v>
      </c>
      <c r="E1249" s="27" t="s">
        <v>14527</v>
      </c>
      <c r="F1249" s="12">
        <v>1</v>
      </c>
    </row>
    <row r="1250" spans="2:6" x14ac:dyDescent="0.25">
      <c r="B1250" s="12" t="s">
        <v>14231</v>
      </c>
      <c r="E1250" s="27" t="s">
        <v>14261</v>
      </c>
      <c r="F1250" s="12">
        <v>1</v>
      </c>
    </row>
    <row r="1251" spans="2:6" x14ac:dyDescent="0.25">
      <c r="B1251" s="12" t="s">
        <v>14584</v>
      </c>
      <c r="E1251" s="27" t="s">
        <v>15152</v>
      </c>
      <c r="F1251" s="12">
        <v>1</v>
      </c>
    </row>
    <row r="1252" spans="2:6" x14ac:dyDescent="0.25">
      <c r="B1252" s="12" t="s">
        <v>14347</v>
      </c>
      <c r="E1252" s="27" t="s">
        <v>14263</v>
      </c>
      <c r="F1252" s="12">
        <v>1</v>
      </c>
    </row>
    <row r="1253" spans="2:6" x14ac:dyDescent="0.25">
      <c r="B1253" s="12" t="s">
        <v>14117</v>
      </c>
      <c r="E1253" s="27" t="s">
        <v>14550</v>
      </c>
      <c r="F1253" s="12">
        <v>1</v>
      </c>
    </row>
    <row r="1254" spans="2:6" x14ac:dyDescent="0.25">
      <c r="B1254" s="12" t="s">
        <v>14351</v>
      </c>
      <c r="E1254" s="27" t="s">
        <v>15153</v>
      </c>
      <c r="F1254" s="12">
        <v>1</v>
      </c>
    </row>
    <row r="1255" spans="2:6" x14ac:dyDescent="0.25">
      <c r="B1255" s="12" t="s">
        <v>14235</v>
      </c>
      <c r="E1255" s="27" t="s">
        <v>14564</v>
      </c>
      <c r="F1255" s="12">
        <v>1</v>
      </c>
    </row>
    <row r="1256" spans="2:6" x14ac:dyDescent="0.25">
      <c r="B1256" s="12" t="s">
        <v>14598</v>
      </c>
      <c r="E1256" s="27" t="s">
        <v>14218</v>
      </c>
      <c r="F1256" s="12">
        <v>1</v>
      </c>
    </row>
    <row r="1257" spans="2:6" x14ac:dyDescent="0.25">
      <c r="B1257" s="12" t="s">
        <v>14355</v>
      </c>
      <c r="E1257" s="27" t="s">
        <v>14576</v>
      </c>
      <c r="F1257" s="12">
        <v>1</v>
      </c>
    </row>
    <row r="1258" spans="2:6" x14ac:dyDescent="0.25">
      <c r="B1258" s="12" t="s">
        <v>14602</v>
      </c>
      <c r="E1258" s="27" t="s">
        <v>14266</v>
      </c>
      <c r="F1258" s="12">
        <v>1</v>
      </c>
    </row>
    <row r="1259" spans="2:6" x14ac:dyDescent="0.25">
      <c r="B1259" s="12" t="s">
        <v>14573</v>
      </c>
      <c r="E1259" s="27" t="s">
        <v>14592</v>
      </c>
      <c r="F1259" s="12">
        <v>1</v>
      </c>
    </row>
    <row r="1260" spans="2:6" x14ac:dyDescent="0.25">
      <c r="B1260" s="12" t="s">
        <v>13514</v>
      </c>
      <c r="E1260" s="27" t="s">
        <v>14268</v>
      </c>
      <c r="F1260" s="12">
        <v>1</v>
      </c>
    </row>
    <row r="1261" spans="2:6" x14ac:dyDescent="0.25">
      <c r="B1261" s="12" t="s">
        <v>13514</v>
      </c>
      <c r="E1261" s="27" t="s">
        <v>14599</v>
      </c>
      <c r="F1261" s="12">
        <v>1</v>
      </c>
    </row>
    <row r="1262" spans="2:6" x14ac:dyDescent="0.25">
      <c r="B1262" s="12" t="s">
        <v>14577</v>
      </c>
      <c r="E1262" s="27" t="s">
        <v>14270</v>
      </c>
      <c r="F1262" s="12">
        <v>1</v>
      </c>
    </row>
    <row r="1263" spans="2:6" x14ac:dyDescent="0.25">
      <c r="B1263" s="12" t="s">
        <v>14609</v>
      </c>
      <c r="E1263" s="27" t="s">
        <v>15154</v>
      </c>
      <c r="F1263" s="12">
        <v>1</v>
      </c>
    </row>
    <row r="1264" spans="2:6" x14ac:dyDescent="0.25">
      <c r="B1264" s="12" t="s">
        <v>14581</v>
      </c>
      <c r="E1264" s="27" t="s">
        <v>15155</v>
      </c>
      <c r="F1264" s="12">
        <v>1</v>
      </c>
    </row>
    <row r="1265" spans="2:6" x14ac:dyDescent="0.25">
      <c r="B1265" s="12" t="s">
        <v>14612</v>
      </c>
      <c r="E1265" s="27" t="s">
        <v>14416</v>
      </c>
      <c r="F1265" s="12">
        <v>1</v>
      </c>
    </row>
    <row r="1266" spans="2:6" x14ac:dyDescent="0.25">
      <c r="B1266" s="12" t="s">
        <v>14583</v>
      </c>
      <c r="E1266" s="27" t="s">
        <v>15156</v>
      </c>
      <c r="F1266" s="12">
        <v>1</v>
      </c>
    </row>
    <row r="1267" spans="2:6" x14ac:dyDescent="0.25">
      <c r="B1267" s="12" t="s">
        <v>14616</v>
      </c>
      <c r="E1267" s="27" t="s">
        <v>14424</v>
      </c>
      <c r="F1267" s="12">
        <v>1</v>
      </c>
    </row>
    <row r="1268" spans="2:6" x14ac:dyDescent="0.25">
      <c r="B1268" s="12" t="s">
        <v>14585</v>
      </c>
      <c r="E1268" s="27" t="s">
        <v>15157</v>
      </c>
      <c r="F1268" s="12">
        <v>1</v>
      </c>
    </row>
    <row r="1269" spans="2:6" x14ac:dyDescent="0.25">
      <c r="B1269" s="12" t="s">
        <v>14620</v>
      </c>
      <c r="E1269" s="27" t="s">
        <v>14430</v>
      </c>
      <c r="F1269" s="12">
        <v>1</v>
      </c>
    </row>
    <row r="1270" spans="2:6" x14ac:dyDescent="0.25">
      <c r="B1270" s="12" t="s">
        <v>13836</v>
      </c>
      <c r="E1270" s="27" t="s">
        <v>14272</v>
      </c>
      <c r="F1270" s="12">
        <v>1</v>
      </c>
    </row>
    <row r="1271" spans="2:6" x14ac:dyDescent="0.25">
      <c r="B1271" s="12" t="s">
        <v>13608</v>
      </c>
      <c r="E1271" s="27" t="s">
        <v>14437</v>
      </c>
      <c r="F1271" s="12">
        <v>1</v>
      </c>
    </row>
    <row r="1272" spans="2:6" x14ac:dyDescent="0.25">
      <c r="B1272" s="12" t="s">
        <v>13761</v>
      </c>
      <c r="E1272" s="27" t="s">
        <v>14274</v>
      </c>
      <c r="F1272" s="12">
        <v>1</v>
      </c>
    </row>
    <row r="1273" spans="2:6" x14ac:dyDescent="0.25">
      <c r="B1273" s="12" t="s">
        <v>13900</v>
      </c>
      <c r="E1273" s="27" t="s">
        <v>6894</v>
      </c>
      <c r="F1273" s="12">
        <v>1</v>
      </c>
    </row>
    <row r="1274" spans="2:6" x14ac:dyDescent="0.25">
      <c r="B1274" s="12" t="s">
        <v>13918</v>
      </c>
      <c r="E1274" s="27" t="s">
        <v>14276</v>
      </c>
      <c r="F1274" s="12">
        <v>1</v>
      </c>
    </row>
    <row r="1275" spans="2:6" x14ac:dyDescent="0.25">
      <c r="B1275" s="12" t="s">
        <v>13800</v>
      </c>
      <c r="E1275" s="27" t="s">
        <v>14446</v>
      </c>
      <c r="F1275" s="12">
        <v>1</v>
      </c>
    </row>
    <row r="1276" spans="2:6" x14ac:dyDescent="0.25">
      <c r="B1276" s="12" t="s">
        <v>14026</v>
      </c>
      <c r="E1276" s="27" t="s">
        <v>15158</v>
      </c>
      <c r="F1276" s="12">
        <v>1</v>
      </c>
    </row>
    <row r="1277" spans="2:6" x14ac:dyDescent="0.25">
      <c r="B1277" s="12" t="s">
        <v>13828</v>
      </c>
      <c r="E1277" s="27" t="s">
        <v>14454</v>
      </c>
      <c r="F1277" s="12">
        <v>1</v>
      </c>
    </row>
    <row r="1278" spans="2:6" x14ac:dyDescent="0.25">
      <c r="B1278" s="12" t="s">
        <v>14085</v>
      </c>
      <c r="E1278" s="27" t="s">
        <v>14278</v>
      </c>
      <c r="F1278" s="12">
        <v>1</v>
      </c>
    </row>
    <row r="1279" spans="2:6" x14ac:dyDescent="0.25">
      <c r="B1279" s="12" t="s">
        <v>13602</v>
      </c>
      <c r="E1279" s="27" t="s">
        <v>14458</v>
      </c>
      <c r="F1279" s="12">
        <v>1</v>
      </c>
    </row>
    <row r="1280" spans="2:6" x14ac:dyDescent="0.25">
      <c r="B1280" s="12" t="s">
        <v>13468</v>
      </c>
      <c r="E1280" s="27" t="s">
        <v>14280</v>
      </c>
      <c r="F1280" s="12">
        <v>1</v>
      </c>
    </row>
    <row r="1281" spans="2:6" x14ac:dyDescent="0.25">
      <c r="B1281" s="12" t="s">
        <v>13468</v>
      </c>
      <c r="E1281" s="27" t="s">
        <v>14464</v>
      </c>
      <c r="F1281" s="12">
        <v>1</v>
      </c>
    </row>
    <row r="1282" spans="2:6" x14ac:dyDescent="0.25">
      <c r="B1282" s="12" t="s">
        <v>13612</v>
      </c>
      <c r="E1282" s="27" t="s">
        <v>15159</v>
      </c>
      <c r="F1282" s="12">
        <v>1</v>
      </c>
    </row>
    <row r="1283" spans="2:6" x14ac:dyDescent="0.25">
      <c r="B1283" s="12" t="s">
        <v>13616</v>
      </c>
      <c r="E1283" s="27" t="s">
        <v>4112</v>
      </c>
      <c r="F1283" s="12">
        <v>1</v>
      </c>
    </row>
    <row r="1284" spans="2:6" x14ac:dyDescent="0.25">
      <c r="B1284" s="12" t="s">
        <v>13620</v>
      </c>
      <c r="E1284" s="27" t="s">
        <v>14282</v>
      </c>
      <c r="F1284" s="12">
        <v>1</v>
      </c>
    </row>
    <row r="1285" spans="2:6" x14ac:dyDescent="0.25">
      <c r="B1285" s="12" t="s">
        <v>13623</v>
      </c>
      <c r="E1285" s="27" t="s">
        <v>14475</v>
      </c>
      <c r="F1285" s="12">
        <v>1</v>
      </c>
    </row>
    <row r="1286" spans="2:6" x14ac:dyDescent="0.25">
      <c r="B1286" s="12" t="s">
        <v>13627</v>
      </c>
      <c r="E1286" s="27" t="s">
        <v>14284</v>
      </c>
      <c r="F1286" s="12">
        <v>1</v>
      </c>
    </row>
    <row r="1287" spans="2:6" x14ac:dyDescent="0.25">
      <c r="B1287" s="12" t="s">
        <v>13631</v>
      </c>
      <c r="E1287" s="27" t="s">
        <v>14481</v>
      </c>
      <c r="F1287" s="12">
        <v>1</v>
      </c>
    </row>
    <row r="1288" spans="2:6" x14ac:dyDescent="0.25">
      <c r="B1288" s="12" t="s">
        <v>13641</v>
      </c>
      <c r="E1288" s="27" t="s">
        <v>14286</v>
      </c>
      <c r="F1288" s="12">
        <v>1</v>
      </c>
    </row>
    <row r="1289" spans="2:6" x14ac:dyDescent="0.25">
      <c r="B1289" s="12" t="s">
        <v>13645</v>
      </c>
      <c r="E1289" s="27" t="s">
        <v>14486</v>
      </c>
      <c r="F1289" s="12">
        <v>1</v>
      </c>
    </row>
    <row r="1290" spans="2:6" x14ac:dyDescent="0.25">
      <c r="B1290" s="12" t="s">
        <v>13649</v>
      </c>
      <c r="E1290" s="27" t="s">
        <v>14220</v>
      </c>
      <c r="F1290" s="12">
        <v>1</v>
      </c>
    </row>
    <row r="1291" spans="2:6" x14ac:dyDescent="0.25">
      <c r="B1291" s="12" t="s">
        <v>13656</v>
      </c>
      <c r="E1291" s="27" t="s">
        <v>12871</v>
      </c>
      <c r="F1291" s="12">
        <v>1</v>
      </c>
    </row>
    <row r="1292" spans="2:6" x14ac:dyDescent="0.25">
      <c r="B1292" s="12" t="s">
        <v>13664</v>
      </c>
      <c r="E1292" s="27" t="s">
        <v>15160</v>
      </c>
      <c r="F1292" s="12">
        <v>1</v>
      </c>
    </row>
    <row r="1293" spans="2:6" x14ac:dyDescent="0.25">
      <c r="B1293" s="12" t="s">
        <v>13668</v>
      </c>
      <c r="E1293" s="27" t="s">
        <v>14495</v>
      </c>
      <c r="F1293" s="12">
        <v>1</v>
      </c>
    </row>
    <row r="1294" spans="2:6" x14ac:dyDescent="0.25">
      <c r="B1294" s="12" t="s">
        <v>13676</v>
      </c>
      <c r="E1294" s="27" t="s">
        <v>15161</v>
      </c>
      <c r="F1294" s="12">
        <v>1</v>
      </c>
    </row>
    <row r="1295" spans="2:6" x14ac:dyDescent="0.25">
      <c r="B1295" s="12" t="s">
        <v>13679</v>
      </c>
      <c r="E1295" s="27" t="s">
        <v>14501</v>
      </c>
      <c r="F1295" s="12">
        <v>1</v>
      </c>
    </row>
    <row r="1296" spans="2:6" x14ac:dyDescent="0.25">
      <c r="B1296" s="12" t="s">
        <v>13683</v>
      </c>
      <c r="E1296" s="27" t="s">
        <v>14292</v>
      </c>
      <c r="F1296" s="12">
        <v>1</v>
      </c>
    </row>
    <row r="1297" spans="2:6" x14ac:dyDescent="0.25">
      <c r="B1297" s="12" t="s">
        <v>13687</v>
      </c>
      <c r="E1297" s="27" t="s">
        <v>14507</v>
      </c>
      <c r="F1297" s="12">
        <v>1</v>
      </c>
    </row>
    <row r="1298" spans="2:6" x14ac:dyDescent="0.25">
      <c r="B1298" s="12" t="s">
        <v>13690</v>
      </c>
      <c r="E1298" s="27" t="s">
        <v>14294</v>
      </c>
      <c r="F1298" s="12">
        <v>1</v>
      </c>
    </row>
    <row r="1299" spans="2:6" x14ac:dyDescent="0.25">
      <c r="B1299" s="12" t="s">
        <v>13694</v>
      </c>
      <c r="E1299" s="27" t="s">
        <v>14514</v>
      </c>
      <c r="F1299" s="12">
        <v>1</v>
      </c>
    </row>
    <row r="1300" spans="2:6" x14ac:dyDescent="0.25">
      <c r="B1300" s="12" t="s">
        <v>13704</v>
      </c>
      <c r="E1300" s="27" t="s">
        <v>14296</v>
      </c>
      <c r="F1300" s="12">
        <v>1</v>
      </c>
    </row>
    <row r="1301" spans="2:6" x14ac:dyDescent="0.25">
      <c r="B1301" s="12" t="s">
        <v>13711</v>
      </c>
      <c r="E1301" s="27" t="s">
        <v>14519</v>
      </c>
      <c r="F1301" s="12">
        <v>1</v>
      </c>
    </row>
    <row r="1302" spans="2:6" x14ac:dyDescent="0.25">
      <c r="B1302" s="12" t="s">
        <v>13715</v>
      </c>
      <c r="E1302" s="27" t="s">
        <v>14298</v>
      </c>
      <c r="F1302" s="12">
        <v>1</v>
      </c>
    </row>
    <row r="1303" spans="2:6" x14ac:dyDescent="0.25">
      <c r="B1303" s="12" t="s">
        <v>13719</v>
      </c>
      <c r="E1303" s="27" t="s">
        <v>14525</v>
      </c>
      <c r="F1303" s="12">
        <v>1</v>
      </c>
    </row>
    <row r="1304" spans="2:6" x14ac:dyDescent="0.25">
      <c r="B1304" s="12" t="s">
        <v>13729</v>
      </c>
      <c r="E1304" s="27" t="s">
        <v>14300</v>
      </c>
      <c r="F1304" s="12">
        <v>1</v>
      </c>
    </row>
    <row r="1305" spans="2:6" x14ac:dyDescent="0.25">
      <c r="B1305" s="12" t="s">
        <v>13733</v>
      </c>
      <c r="E1305" s="27" t="s">
        <v>14531</v>
      </c>
      <c r="F1305" s="12">
        <v>1</v>
      </c>
    </row>
    <row r="1306" spans="2:6" x14ac:dyDescent="0.25">
      <c r="B1306" s="12" t="s">
        <v>13740</v>
      </c>
      <c r="E1306" s="27" t="s">
        <v>14302</v>
      </c>
      <c r="F1306" s="12">
        <v>1</v>
      </c>
    </row>
    <row r="1307" spans="2:6" x14ac:dyDescent="0.25">
      <c r="B1307" s="12" t="s">
        <v>13748</v>
      </c>
      <c r="E1307" s="27" t="s">
        <v>14535</v>
      </c>
      <c r="F1307" s="12">
        <v>1</v>
      </c>
    </row>
    <row r="1308" spans="2:6" x14ac:dyDescent="0.25">
      <c r="B1308" s="12" t="s">
        <v>13758</v>
      </c>
      <c r="E1308" s="27" t="s">
        <v>14304</v>
      </c>
      <c r="F1308" s="12">
        <v>1</v>
      </c>
    </row>
    <row r="1309" spans="2:6" x14ac:dyDescent="0.25">
      <c r="B1309" s="12" t="s">
        <v>13471</v>
      </c>
      <c r="E1309" s="27" t="s">
        <v>14539</v>
      </c>
      <c r="F1309" s="12">
        <v>1</v>
      </c>
    </row>
    <row r="1310" spans="2:6" x14ac:dyDescent="0.25">
      <c r="B1310" s="12" t="s">
        <v>13471</v>
      </c>
      <c r="E1310" s="27" t="s">
        <v>7161</v>
      </c>
      <c r="F1310" s="12">
        <v>1</v>
      </c>
    </row>
    <row r="1311" spans="2:6" x14ac:dyDescent="0.25">
      <c r="B1311" s="12" t="s">
        <v>13765</v>
      </c>
      <c r="E1311" s="27" t="s">
        <v>14547</v>
      </c>
      <c r="F1311" s="12">
        <v>1</v>
      </c>
    </row>
    <row r="1312" spans="2:6" x14ac:dyDescent="0.25">
      <c r="B1312" s="12" t="s">
        <v>13769</v>
      </c>
      <c r="E1312" s="27" t="s">
        <v>14306</v>
      </c>
      <c r="F1312" s="12">
        <v>1</v>
      </c>
    </row>
    <row r="1313" spans="2:6" x14ac:dyDescent="0.25">
      <c r="B1313" s="12" t="s">
        <v>13773</v>
      </c>
      <c r="E1313" s="27" t="s">
        <v>14228</v>
      </c>
      <c r="F1313" s="12">
        <v>1</v>
      </c>
    </row>
    <row r="1314" spans="2:6" x14ac:dyDescent="0.25">
      <c r="B1314" s="12" t="s">
        <v>13777</v>
      </c>
      <c r="E1314" s="27" t="s">
        <v>14308</v>
      </c>
      <c r="F1314" s="12">
        <v>1</v>
      </c>
    </row>
    <row r="1315" spans="2:6" x14ac:dyDescent="0.25">
      <c r="B1315" s="12" t="s">
        <v>13782</v>
      </c>
      <c r="E1315" s="27" t="s">
        <v>14562</v>
      </c>
      <c r="F1315" s="12">
        <v>1</v>
      </c>
    </row>
    <row r="1316" spans="2:6" x14ac:dyDescent="0.25">
      <c r="B1316" s="12" t="s">
        <v>13786</v>
      </c>
      <c r="E1316" s="27" t="s">
        <v>14309</v>
      </c>
      <c r="F1316" s="12">
        <v>1</v>
      </c>
    </row>
    <row r="1317" spans="2:6" x14ac:dyDescent="0.25">
      <c r="B1317" s="12" t="s">
        <v>13790</v>
      </c>
      <c r="E1317" s="27" t="s">
        <v>15162</v>
      </c>
      <c r="F1317" s="12">
        <v>1</v>
      </c>
    </row>
    <row r="1318" spans="2:6" x14ac:dyDescent="0.25">
      <c r="B1318" s="12" t="s">
        <v>13794</v>
      </c>
      <c r="E1318" s="27" t="s">
        <v>5005</v>
      </c>
      <c r="F1318" s="12">
        <v>1</v>
      </c>
    </row>
    <row r="1319" spans="2:6" x14ac:dyDescent="0.25">
      <c r="B1319" s="12" t="s">
        <v>13798</v>
      </c>
      <c r="E1319" s="27" t="s">
        <v>14572</v>
      </c>
      <c r="F1319" s="12">
        <v>1</v>
      </c>
    </row>
    <row r="1320" spans="2:6" x14ac:dyDescent="0.25">
      <c r="B1320" s="12" t="s">
        <v>13806</v>
      </c>
      <c r="E1320" s="27" t="s">
        <v>14311</v>
      </c>
      <c r="F1320" s="12">
        <v>1</v>
      </c>
    </row>
    <row r="1321" spans="2:6" x14ac:dyDescent="0.25">
      <c r="B1321" s="12" t="s">
        <v>13810</v>
      </c>
      <c r="E1321" s="27" t="s">
        <v>11098</v>
      </c>
      <c r="F1321" s="12">
        <v>1</v>
      </c>
    </row>
    <row r="1322" spans="2:6" x14ac:dyDescent="0.25">
      <c r="B1322" s="12" t="s">
        <v>13814</v>
      </c>
      <c r="E1322" s="27" t="s">
        <v>14313</v>
      </c>
      <c r="F1322" s="12">
        <v>1</v>
      </c>
    </row>
    <row r="1323" spans="2:6" x14ac:dyDescent="0.25">
      <c r="B1323" s="12" t="s">
        <v>13838</v>
      </c>
      <c r="E1323" s="27" t="s">
        <v>14588</v>
      </c>
      <c r="F1323" s="12">
        <v>1</v>
      </c>
    </row>
    <row r="1324" spans="2:6" x14ac:dyDescent="0.25">
      <c r="B1324" s="12" t="s">
        <v>13842</v>
      </c>
      <c r="E1324" s="27" t="s">
        <v>14315</v>
      </c>
      <c r="F1324" s="12">
        <v>1</v>
      </c>
    </row>
    <row r="1325" spans="2:6" x14ac:dyDescent="0.25">
      <c r="B1325" s="12" t="s">
        <v>13846</v>
      </c>
      <c r="E1325" s="27" t="s">
        <v>14594</v>
      </c>
      <c r="F1325" s="12">
        <v>1</v>
      </c>
    </row>
    <row r="1326" spans="2:6" x14ac:dyDescent="0.25">
      <c r="B1326" s="12" t="s">
        <v>13854</v>
      </c>
      <c r="E1326" s="27" t="s">
        <v>14317</v>
      </c>
      <c r="F1326" s="12">
        <v>1</v>
      </c>
    </row>
    <row r="1327" spans="2:6" x14ac:dyDescent="0.25">
      <c r="B1327" s="12" t="s">
        <v>13866</v>
      </c>
      <c r="E1327" s="27" t="s">
        <v>9253</v>
      </c>
      <c r="F1327" s="12">
        <v>1</v>
      </c>
    </row>
    <row r="1328" spans="2:6" x14ac:dyDescent="0.25">
      <c r="B1328" s="12" t="s">
        <v>13870</v>
      </c>
      <c r="E1328" s="27" t="s">
        <v>15163</v>
      </c>
      <c r="F1328" s="12">
        <v>1</v>
      </c>
    </row>
    <row r="1329" spans="2:6" x14ac:dyDescent="0.25">
      <c r="B1329" s="12" t="s">
        <v>13874</v>
      </c>
      <c r="E1329" s="27" t="s">
        <v>14603</v>
      </c>
      <c r="F1329" s="12">
        <v>1</v>
      </c>
    </row>
    <row r="1330" spans="2:6" x14ac:dyDescent="0.25">
      <c r="B1330" s="12" t="s">
        <v>13882</v>
      </c>
      <c r="E1330" s="27" t="s">
        <v>14319</v>
      </c>
      <c r="F1330" s="12">
        <v>1</v>
      </c>
    </row>
    <row r="1331" spans="2:6" x14ac:dyDescent="0.25">
      <c r="B1331" s="12" t="s">
        <v>13886</v>
      </c>
      <c r="E1331" s="27" t="s">
        <v>14606</v>
      </c>
      <c r="F1331" s="12">
        <v>1</v>
      </c>
    </row>
    <row r="1332" spans="2:6" x14ac:dyDescent="0.25">
      <c r="B1332" s="12" t="s">
        <v>13890</v>
      </c>
      <c r="E1332" s="27" t="s">
        <v>14321</v>
      </c>
      <c r="F1332" s="12">
        <v>1</v>
      </c>
    </row>
    <row r="1333" spans="2:6" x14ac:dyDescent="0.25">
      <c r="B1333" s="12" t="s">
        <v>13475</v>
      </c>
      <c r="E1333" s="27" t="s">
        <v>14412</v>
      </c>
      <c r="F1333" s="12">
        <v>1</v>
      </c>
    </row>
    <row r="1334" spans="2:6" x14ac:dyDescent="0.25">
      <c r="B1334" s="12" t="s">
        <v>13898</v>
      </c>
      <c r="E1334" s="27" t="s">
        <v>14323</v>
      </c>
      <c r="F1334" s="12">
        <v>1</v>
      </c>
    </row>
    <row r="1335" spans="2:6" x14ac:dyDescent="0.25">
      <c r="B1335" s="12" t="s">
        <v>13906</v>
      </c>
      <c r="E1335" s="27" t="s">
        <v>4482</v>
      </c>
      <c r="F1335" s="12">
        <v>1</v>
      </c>
    </row>
    <row r="1336" spans="2:6" x14ac:dyDescent="0.25">
      <c r="B1336" s="12" t="s">
        <v>13908</v>
      </c>
      <c r="E1336" s="27" t="s">
        <v>14325</v>
      </c>
      <c r="F1336" s="12">
        <v>1</v>
      </c>
    </row>
    <row r="1337" spans="2:6" x14ac:dyDescent="0.25">
      <c r="B1337" s="12" t="s">
        <v>13912</v>
      </c>
      <c r="E1337" s="27" t="s">
        <v>14418</v>
      </c>
      <c r="F1337" s="12">
        <v>1</v>
      </c>
    </row>
    <row r="1338" spans="2:6" x14ac:dyDescent="0.25">
      <c r="B1338" s="12" t="s">
        <v>13928</v>
      </c>
      <c r="E1338" s="27" t="s">
        <v>15164</v>
      </c>
      <c r="F1338" s="12">
        <v>1</v>
      </c>
    </row>
    <row r="1339" spans="2:6" x14ac:dyDescent="0.25">
      <c r="B1339" s="12" t="s">
        <v>13932</v>
      </c>
      <c r="E1339" s="27" t="s">
        <v>14422</v>
      </c>
      <c r="F1339" s="12">
        <v>1</v>
      </c>
    </row>
    <row r="1340" spans="2:6" x14ac:dyDescent="0.25">
      <c r="B1340" s="12" t="s">
        <v>13936</v>
      </c>
      <c r="E1340" s="27" t="s">
        <v>14327</v>
      </c>
      <c r="F1340" s="12">
        <v>1</v>
      </c>
    </row>
    <row r="1341" spans="2:6" x14ac:dyDescent="0.25">
      <c r="B1341" s="12" t="s">
        <v>13940</v>
      </c>
      <c r="E1341" s="27" t="s">
        <v>14426</v>
      </c>
      <c r="F1341" s="12">
        <v>1</v>
      </c>
    </row>
    <row r="1342" spans="2:6" x14ac:dyDescent="0.25">
      <c r="B1342" s="12" t="s">
        <v>13944</v>
      </c>
      <c r="E1342" s="27" t="s">
        <v>14329</v>
      </c>
      <c r="F1342" s="12">
        <v>1</v>
      </c>
    </row>
    <row r="1343" spans="2:6" x14ac:dyDescent="0.25">
      <c r="B1343" s="12" t="s">
        <v>13952</v>
      </c>
      <c r="E1343" s="27" t="s">
        <v>10565</v>
      </c>
      <c r="F1343" s="12">
        <v>1</v>
      </c>
    </row>
    <row r="1344" spans="2:6" x14ac:dyDescent="0.25">
      <c r="B1344" s="12" t="s">
        <v>13956</v>
      </c>
      <c r="E1344" s="27" t="s">
        <v>14331</v>
      </c>
      <c r="F1344" s="12">
        <v>1</v>
      </c>
    </row>
    <row r="1345" spans="2:6" x14ac:dyDescent="0.25">
      <c r="B1345" s="12" t="s">
        <v>13960</v>
      </c>
      <c r="E1345" s="27" t="s">
        <v>14432</v>
      </c>
      <c r="F1345" s="12">
        <v>1</v>
      </c>
    </row>
    <row r="1346" spans="2:6" x14ac:dyDescent="0.25">
      <c r="B1346" s="12" t="s">
        <v>13965</v>
      </c>
      <c r="E1346" s="27" t="s">
        <v>14222</v>
      </c>
      <c r="F1346" s="12">
        <v>1</v>
      </c>
    </row>
    <row r="1347" spans="2:6" x14ac:dyDescent="0.25">
      <c r="B1347" s="12" t="s">
        <v>13969</v>
      </c>
      <c r="E1347" s="27" t="s">
        <v>14436</v>
      </c>
      <c r="F1347" s="12">
        <v>1</v>
      </c>
    </row>
    <row r="1348" spans="2:6" x14ac:dyDescent="0.25">
      <c r="B1348" s="12" t="s">
        <v>13973</v>
      </c>
      <c r="E1348" s="27" t="s">
        <v>15165</v>
      </c>
      <c r="F1348" s="12">
        <v>1</v>
      </c>
    </row>
    <row r="1349" spans="2:6" x14ac:dyDescent="0.25">
      <c r="B1349" s="12" t="s">
        <v>13977</v>
      </c>
      <c r="E1349" s="27" t="s">
        <v>14439</v>
      </c>
      <c r="F1349" s="12">
        <v>1</v>
      </c>
    </row>
    <row r="1350" spans="2:6" x14ac:dyDescent="0.25">
      <c r="B1350" s="12" t="s">
        <v>13985</v>
      </c>
      <c r="E1350" s="27" t="s">
        <v>14335</v>
      </c>
      <c r="F1350" s="12">
        <v>1</v>
      </c>
    </row>
    <row r="1351" spans="2:6" x14ac:dyDescent="0.25">
      <c r="B1351" s="12" t="s">
        <v>13988</v>
      </c>
      <c r="E1351" s="27" t="s">
        <v>14440</v>
      </c>
      <c r="F1351" s="12">
        <v>1</v>
      </c>
    </row>
    <row r="1352" spans="2:6" x14ac:dyDescent="0.25">
      <c r="B1352" s="12" t="s">
        <v>14000</v>
      </c>
      <c r="E1352" s="27" t="s">
        <v>15166</v>
      </c>
      <c r="F1352" s="12">
        <v>1</v>
      </c>
    </row>
    <row r="1353" spans="2:6" x14ac:dyDescent="0.25">
      <c r="B1353" s="12" t="s">
        <v>14003</v>
      </c>
      <c r="E1353" s="27" t="s">
        <v>14442</v>
      </c>
      <c r="F1353" s="12">
        <v>1</v>
      </c>
    </row>
    <row r="1354" spans="2:6" x14ac:dyDescent="0.25">
      <c r="B1354" s="12" t="s">
        <v>14006</v>
      </c>
      <c r="E1354" s="27" t="s">
        <v>14337</v>
      </c>
      <c r="F1354" s="12">
        <v>1</v>
      </c>
    </row>
    <row r="1355" spans="2:6" x14ac:dyDescent="0.25">
      <c r="B1355" s="12" t="s">
        <v>14009</v>
      </c>
      <c r="E1355" s="27" t="s">
        <v>15167</v>
      </c>
      <c r="F1355" s="12">
        <v>1</v>
      </c>
    </row>
    <row r="1356" spans="2:6" x14ac:dyDescent="0.25">
      <c r="B1356" s="12" t="s">
        <v>14013</v>
      </c>
      <c r="E1356" s="27" t="s">
        <v>14339</v>
      </c>
      <c r="F1356" s="12">
        <v>1</v>
      </c>
    </row>
    <row r="1357" spans="2:6" x14ac:dyDescent="0.25">
      <c r="B1357" s="12" t="s">
        <v>14017</v>
      </c>
      <c r="E1357" s="27" t="s">
        <v>14448</v>
      </c>
      <c r="F1357" s="12">
        <v>1</v>
      </c>
    </row>
    <row r="1358" spans="2:6" x14ac:dyDescent="0.25">
      <c r="B1358" s="12" t="s">
        <v>14020</v>
      </c>
      <c r="E1358" s="27" t="s">
        <v>14340</v>
      </c>
      <c r="F1358" s="12">
        <v>1</v>
      </c>
    </row>
    <row r="1359" spans="2:6" x14ac:dyDescent="0.25">
      <c r="B1359" s="12" t="s">
        <v>14024</v>
      </c>
      <c r="E1359" s="27" t="s">
        <v>14452</v>
      </c>
      <c r="F1359" s="12">
        <v>1</v>
      </c>
    </row>
    <row r="1360" spans="2:6" x14ac:dyDescent="0.25">
      <c r="B1360" s="12" t="s">
        <v>14028</v>
      </c>
      <c r="E1360" s="27" t="s">
        <v>14342</v>
      </c>
      <c r="F1360" s="12">
        <v>1</v>
      </c>
    </row>
    <row r="1361" spans="2:6" x14ac:dyDescent="0.25">
      <c r="B1361" s="12" t="s">
        <v>14032</v>
      </c>
      <c r="E1361" s="27" t="s">
        <v>14456</v>
      </c>
      <c r="F1361" s="12">
        <v>1</v>
      </c>
    </row>
    <row r="1362" spans="2:6" x14ac:dyDescent="0.25">
      <c r="B1362" s="12" t="s">
        <v>14036</v>
      </c>
      <c r="E1362" s="27" t="s">
        <v>11156</v>
      </c>
      <c r="F1362" s="12">
        <v>1</v>
      </c>
    </row>
    <row r="1363" spans="2:6" x14ac:dyDescent="0.25">
      <c r="B1363" s="12" t="s">
        <v>14040</v>
      </c>
      <c r="E1363" s="27" t="s">
        <v>15168</v>
      </c>
      <c r="F1363" s="12">
        <v>1</v>
      </c>
    </row>
    <row r="1364" spans="2:6" x14ac:dyDescent="0.25">
      <c r="B1364" s="12" t="s">
        <v>14044</v>
      </c>
      <c r="E1364" s="27" t="s">
        <v>15169</v>
      </c>
      <c r="F1364" s="12">
        <v>1</v>
      </c>
    </row>
    <row r="1365" spans="2:6" x14ac:dyDescent="0.25">
      <c r="B1365" s="12" t="s">
        <v>14048</v>
      </c>
      <c r="E1365" s="27" t="s">
        <v>14460</v>
      </c>
      <c r="F1365" s="12">
        <v>1</v>
      </c>
    </row>
    <row r="1366" spans="2:6" x14ac:dyDescent="0.25">
      <c r="B1366" s="12" t="s">
        <v>14060</v>
      </c>
      <c r="E1366" s="27" t="s">
        <v>14344</v>
      </c>
      <c r="F1366" s="12">
        <v>1</v>
      </c>
    </row>
    <row r="1367" spans="2:6" x14ac:dyDescent="0.25">
      <c r="B1367" s="12" t="s">
        <v>13483</v>
      </c>
      <c r="E1367" s="27" t="s">
        <v>15170</v>
      </c>
      <c r="F1367" s="12">
        <v>1</v>
      </c>
    </row>
    <row r="1368" spans="2:6" x14ac:dyDescent="0.25">
      <c r="B1368" s="12" t="s">
        <v>13483</v>
      </c>
      <c r="E1368" s="27" t="s">
        <v>14346</v>
      </c>
      <c r="F1368" s="12">
        <v>1</v>
      </c>
    </row>
    <row r="1369" spans="2:6" x14ac:dyDescent="0.25">
      <c r="B1369" s="12" t="s">
        <v>14091</v>
      </c>
      <c r="E1369" s="27" t="s">
        <v>4788</v>
      </c>
      <c r="F1369" s="12">
        <v>1</v>
      </c>
    </row>
    <row r="1370" spans="2:6" x14ac:dyDescent="0.25">
      <c r="B1370" s="12" t="s">
        <v>14099</v>
      </c>
      <c r="E1370" s="27" t="s">
        <v>15171</v>
      </c>
      <c r="F1370" s="12">
        <v>1</v>
      </c>
    </row>
    <row r="1371" spans="2:6" x14ac:dyDescent="0.25">
      <c r="B1371" s="12" t="s">
        <v>14103</v>
      </c>
      <c r="E1371" s="27" t="s">
        <v>14468</v>
      </c>
      <c r="F1371" s="12">
        <v>1</v>
      </c>
    </row>
    <row r="1372" spans="2:6" x14ac:dyDescent="0.25">
      <c r="B1372" s="12" t="s">
        <v>14107</v>
      </c>
      <c r="E1372" s="27" t="s">
        <v>14348</v>
      </c>
      <c r="F1372" s="12">
        <v>1</v>
      </c>
    </row>
    <row r="1373" spans="2:6" x14ac:dyDescent="0.25">
      <c r="B1373" s="12" t="s">
        <v>14111</v>
      </c>
      <c r="E1373" s="27" t="s">
        <v>14469</v>
      </c>
      <c r="F1373" s="12">
        <v>1</v>
      </c>
    </row>
    <row r="1374" spans="2:6" x14ac:dyDescent="0.25">
      <c r="B1374" s="12" t="s">
        <v>14115</v>
      </c>
      <c r="E1374" s="27" t="s">
        <v>14350</v>
      </c>
      <c r="F1374" s="12">
        <v>1</v>
      </c>
    </row>
    <row r="1375" spans="2:6" x14ac:dyDescent="0.25">
      <c r="B1375" s="12" t="s">
        <v>13713</v>
      </c>
      <c r="E1375" s="27" t="s">
        <v>14473</v>
      </c>
      <c r="F1375" s="12">
        <v>1</v>
      </c>
    </row>
    <row r="1376" spans="2:6" x14ac:dyDescent="0.25">
      <c r="B1376" s="12" t="s">
        <v>13840</v>
      </c>
      <c r="E1376" s="27" t="s">
        <v>14352</v>
      </c>
      <c r="F1376" s="12">
        <v>1</v>
      </c>
    </row>
    <row r="1377" spans="2:6" x14ac:dyDescent="0.25">
      <c r="B1377" s="12" t="s">
        <v>13844</v>
      </c>
      <c r="E1377" s="27" t="s">
        <v>14477</v>
      </c>
      <c r="F1377" s="12">
        <v>1</v>
      </c>
    </row>
    <row r="1378" spans="2:6" x14ac:dyDescent="0.25">
      <c r="B1378" s="12" t="s">
        <v>13848</v>
      </c>
      <c r="E1378" s="27" t="s">
        <v>14354</v>
      </c>
      <c r="F1378" s="12">
        <v>1</v>
      </c>
    </row>
    <row r="1379" spans="2:6" x14ac:dyDescent="0.25">
      <c r="B1379" s="12" t="s">
        <v>13654</v>
      </c>
      <c r="E1379" s="27" t="s">
        <v>15172</v>
      </c>
      <c r="F1379" s="12">
        <v>1</v>
      </c>
    </row>
    <row r="1380" spans="2:6" x14ac:dyDescent="0.25">
      <c r="B1380" s="12" t="s">
        <v>13852</v>
      </c>
      <c r="E1380" s="27" t="s">
        <v>14356</v>
      </c>
      <c r="F1380" s="12">
        <v>1</v>
      </c>
    </row>
    <row r="1381" spans="2:6" x14ac:dyDescent="0.25">
      <c r="B1381" s="12" t="s">
        <v>13721</v>
      </c>
      <c r="E1381" s="27" t="s">
        <v>14482</v>
      </c>
      <c r="F1381" s="12">
        <v>1</v>
      </c>
    </row>
    <row r="1382" spans="2:6" x14ac:dyDescent="0.25">
      <c r="B1382" s="12" t="s">
        <v>13856</v>
      </c>
      <c r="E1382" s="27" t="s">
        <v>14358</v>
      </c>
      <c r="F1382" s="12">
        <v>1</v>
      </c>
    </row>
    <row r="1383" spans="2:6" x14ac:dyDescent="0.25">
      <c r="B1383" s="12" t="s">
        <v>13860</v>
      </c>
      <c r="E1383" s="27" t="s">
        <v>14484</v>
      </c>
      <c r="F1383" s="12">
        <v>1</v>
      </c>
    </row>
    <row r="1384" spans="2:6" x14ac:dyDescent="0.25">
      <c r="B1384" s="12" t="s">
        <v>13658</v>
      </c>
      <c r="E1384" s="27" t="s">
        <v>14360</v>
      </c>
      <c r="F1384" s="12">
        <v>1</v>
      </c>
    </row>
    <row r="1385" spans="2:6" x14ac:dyDescent="0.25">
      <c r="B1385" s="12" t="s">
        <v>13868</v>
      </c>
      <c r="E1385" s="27" t="s">
        <v>15173</v>
      </c>
      <c r="F1385" s="12">
        <v>1</v>
      </c>
    </row>
    <row r="1386" spans="2:6" x14ac:dyDescent="0.25">
      <c r="B1386" s="12" t="s">
        <v>13727</v>
      </c>
      <c r="E1386" s="27" t="s">
        <v>14362</v>
      </c>
      <c r="F1386" s="12">
        <v>1</v>
      </c>
    </row>
    <row r="1387" spans="2:6" x14ac:dyDescent="0.25">
      <c r="B1387" s="12" t="s">
        <v>13872</v>
      </c>
      <c r="E1387" s="27" t="s">
        <v>14488</v>
      </c>
      <c r="F1387" s="12">
        <v>1</v>
      </c>
    </row>
    <row r="1388" spans="2:6" x14ac:dyDescent="0.25">
      <c r="B1388" s="12" t="s">
        <v>13876</v>
      </c>
      <c r="E1388" s="27" t="s">
        <v>15174</v>
      </c>
      <c r="F1388" s="12">
        <v>1</v>
      </c>
    </row>
    <row r="1389" spans="2:6" x14ac:dyDescent="0.25">
      <c r="B1389" s="12" t="s">
        <v>13731</v>
      </c>
      <c r="E1389" s="27" t="s">
        <v>14490</v>
      </c>
      <c r="F1389" s="12">
        <v>1</v>
      </c>
    </row>
    <row r="1390" spans="2:6" x14ac:dyDescent="0.25">
      <c r="B1390" s="12" t="s">
        <v>13880</v>
      </c>
      <c r="E1390" s="27" t="s">
        <v>15175</v>
      </c>
      <c r="F1390" s="12">
        <v>1</v>
      </c>
    </row>
    <row r="1391" spans="2:6" x14ac:dyDescent="0.25">
      <c r="B1391" s="12" t="s">
        <v>13662</v>
      </c>
      <c r="E1391" s="27" t="s">
        <v>14493</v>
      </c>
      <c r="F1391" s="12">
        <v>1</v>
      </c>
    </row>
    <row r="1392" spans="2:6" x14ac:dyDescent="0.25">
      <c r="B1392" s="12" t="s">
        <v>13884</v>
      </c>
      <c r="E1392" s="27" t="s">
        <v>15176</v>
      </c>
      <c r="F1392" s="12">
        <v>1</v>
      </c>
    </row>
    <row r="1393" spans="2:6" x14ac:dyDescent="0.25">
      <c r="B1393" s="12" t="s">
        <v>13888</v>
      </c>
      <c r="E1393" s="27" t="s">
        <v>14497</v>
      </c>
      <c r="F1393" s="12">
        <v>1</v>
      </c>
    </row>
    <row r="1394" spans="2:6" x14ac:dyDescent="0.25">
      <c r="B1394" s="12" t="s">
        <v>13601</v>
      </c>
      <c r="E1394" s="27" t="s">
        <v>15177</v>
      </c>
      <c r="F1394" s="12">
        <v>1</v>
      </c>
    </row>
    <row r="1395" spans="2:6" x14ac:dyDescent="0.25">
      <c r="B1395" s="12" t="s">
        <v>13892</v>
      </c>
      <c r="E1395" s="27" t="s">
        <v>14499</v>
      </c>
      <c r="F1395" s="12">
        <v>1</v>
      </c>
    </row>
    <row r="1396" spans="2:6" x14ac:dyDescent="0.25">
      <c r="B1396" s="12" t="s">
        <v>13738</v>
      </c>
      <c r="E1396" s="27" t="s">
        <v>15178</v>
      </c>
      <c r="F1396" s="12">
        <v>1</v>
      </c>
    </row>
    <row r="1397" spans="2:6" x14ac:dyDescent="0.25">
      <c r="B1397" s="12" t="s">
        <v>13896</v>
      </c>
      <c r="E1397" s="27" t="s">
        <v>14503</v>
      </c>
      <c r="F1397" s="12">
        <v>1</v>
      </c>
    </row>
    <row r="1398" spans="2:6" x14ac:dyDescent="0.25">
      <c r="B1398" s="12" t="s">
        <v>13666</v>
      </c>
      <c r="E1398" s="27" t="s">
        <v>14364</v>
      </c>
      <c r="F1398" s="12">
        <v>1</v>
      </c>
    </row>
    <row r="1399" spans="2:6" x14ac:dyDescent="0.25">
      <c r="B1399" s="12" t="s">
        <v>13481</v>
      </c>
      <c r="E1399" s="27" t="s">
        <v>14505</v>
      </c>
      <c r="F1399" s="12">
        <v>1</v>
      </c>
    </row>
    <row r="1400" spans="2:6" x14ac:dyDescent="0.25">
      <c r="B1400" s="12" t="s">
        <v>13481</v>
      </c>
      <c r="E1400" s="27" t="s">
        <v>14366</v>
      </c>
      <c r="F1400" s="12">
        <v>1</v>
      </c>
    </row>
    <row r="1401" spans="2:6" x14ac:dyDescent="0.25">
      <c r="B1401" s="12" t="s">
        <v>13742</v>
      </c>
      <c r="E1401" s="27" t="s">
        <v>14508</v>
      </c>
      <c r="F1401" s="12">
        <v>1</v>
      </c>
    </row>
    <row r="1402" spans="2:6" x14ac:dyDescent="0.25">
      <c r="B1402" s="12" t="s">
        <v>13904</v>
      </c>
      <c r="E1402" s="27" t="s">
        <v>14368</v>
      </c>
      <c r="F1402" s="12">
        <v>1</v>
      </c>
    </row>
    <row r="1403" spans="2:6" x14ac:dyDescent="0.25">
      <c r="B1403" s="12" t="s">
        <v>13629</v>
      </c>
      <c r="E1403" s="27" t="s">
        <v>14512</v>
      </c>
      <c r="F1403" s="12">
        <v>1</v>
      </c>
    </row>
    <row r="1404" spans="2:6" x14ac:dyDescent="0.25">
      <c r="B1404" s="12" t="s">
        <v>13907</v>
      </c>
      <c r="E1404" s="27" t="s">
        <v>15179</v>
      </c>
      <c r="F1404" s="12">
        <v>1</v>
      </c>
    </row>
    <row r="1405" spans="2:6" x14ac:dyDescent="0.25">
      <c r="B1405" s="12" t="s">
        <v>13746</v>
      </c>
      <c r="E1405" s="27" t="s">
        <v>15180</v>
      </c>
      <c r="F1405" s="12">
        <v>1</v>
      </c>
    </row>
    <row r="1406" spans="2:6" x14ac:dyDescent="0.25">
      <c r="B1406" s="12" t="s">
        <v>13910</v>
      </c>
      <c r="E1406" s="27" t="s">
        <v>14370</v>
      </c>
      <c r="F1406" s="12">
        <v>1</v>
      </c>
    </row>
    <row r="1407" spans="2:6" x14ac:dyDescent="0.25">
      <c r="B1407" s="12" t="s">
        <v>13670</v>
      </c>
      <c r="E1407" s="27" t="s">
        <v>14517</v>
      </c>
      <c r="F1407" s="12">
        <v>1</v>
      </c>
    </row>
    <row r="1408" spans="2:6" x14ac:dyDescent="0.25">
      <c r="B1408" s="12" t="s">
        <v>13750</v>
      </c>
      <c r="E1408" s="27" t="s">
        <v>15181</v>
      </c>
      <c r="F1408" s="12">
        <v>1</v>
      </c>
    </row>
    <row r="1409" spans="2:6" x14ac:dyDescent="0.25">
      <c r="B1409" s="12" t="s">
        <v>13469</v>
      </c>
      <c r="E1409" s="27" t="s">
        <v>14521</v>
      </c>
      <c r="F1409" s="12">
        <v>1</v>
      </c>
    </row>
    <row r="1410" spans="2:6" x14ac:dyDescent="0.25">
      <c r="B1410" s="12" t="s">
        <v>13469</v>
      </c>
      <c r="E1410" s="27" t="s">
        <v>15182</v>
      </c>
      <c r="F1410" s="12">
        <v>1</v>
      </c>
    </row>
    <row r="1411" spans="2:6" x14ac:dyDescent="0.25">
      <c r="B1411" s="12" t="s">
        <v>13610</v>
      </c>
      <c r="E1411" s="27" t="s">
        <v>14523</v>
      </c>
      <c r="F1411" s="12">
        <v>1</v>
      </c>
    </row>
    <row r="1412" spans="2:6" x14ac:dyDescent="0.25">
      <c r="B1412" s="12" t="s">
        <v>13754</v>
      </c>
      <c r="E1412" s="27" t="s">
        <v>5547</v>
      </c>
      <c r="F1412" s="12">
        <v>1</v>
      </c>
    </row>
    <row r="1413" spans="2:6" x14ac:dyDescent="0.25">
      <c r="B1413" s="12" t="s">
        <v>13462</v>
      </c>
      <c r="E1413" s="27" t="s">
        <v>15183</v>
      </c>
      <c r="F1413" s="12">
        <v>1</v>
      </c>
    </row>
    <row r="1414" spans="2:6" x14ac:dyDescent="0.25">
      <c r="B1414" s="12" t="s">
        <v>13462</v>
      </c>
      <c r="E1414" s="27" t="s">
        <v>14372</v>
      </c>
      <c r="F1414" s="12">
        <v>1</v>
      </c>
    </row>
    <row r="1415" spans="2:6" x14ac:dyDescent="0.25">
      <c r="B1415" s="12" t="s">
        <v>13674</v>
      </c>
      <c r="E1415" s="27" t="s">
        <v>14529</v>
      </c>
      <c r="F1415" s="12">
        <v>1</v>
      </c>
    </row>
    <row r="1416" spans="2:6" x14ac:dyDescent="0.25">
      <c r="B1416" s="12" t="s">
        <v>13930</v>
      </c>
      <c r="E1416" s="27" t="s">
        <v>14374</v>
      </c>
      <c r="F1416" s="12">
        <v>1</v>
      </c>
    </row>
    <row r="1417" spans="2:6" x14ac:dyDescent="0.25">
      <c r="B1417" s="12" t="s">
        <v>13757</v>
      </c>
      <c r="E1417" s="27" t="s">
        <v>15184</v>
      </c>
      <c r="F1417" s="12">
        <v>1</v>
      </c>
    </row>
    <row r="1418" spans="2:6" x14ac:dyDescent="0.25">
      <c r="B1418" s="12" t="s">
        <v>13934</v>
      </c>
      <c r="E1418" s="27" t="s">
        <v>14376</v>
      </c>
      <c r="F1418" s="12">
        <v>1</v>
      </c>
    </row>
    <row r="1419" spans="2:6" x14ac:dyDescent="0.25">
      <c r="B1419" s="12" t="s">
        <v>13938</v>
      </c>
      <c r="E1419" s="27" t="s">
        <v>14533</v>
      </c>
      <c r="F1419" s="12">
        <v>1</v>
      </c>
    </row>
    <row r="1420" spans="2:6" x14ac:dyDescent="0.25">
      <c r="B1420" s="12" t="s">
        <v>13759</v>
      </c>
      <c r="E1420" s="27" t="s">
        <v>15185</v>
      </c>
      <c r="F1420" s="12">
        <v>1</v>
      </c>
    </row>
    <row r="1421" spans="2:6" x14ac:dyDescent="0.25">
      <c r="B1421" s="12" t="s">
        <v>13942</v>
      </c>
      <c r="E1421" s="27" t="s">
        <v>15186</v>
      </c>
      <c r="F1421" s="12">
        <v>1</v>
      </c>
    </row>
    <row r="1422" spans="2:6" x14ac:dyDescent="0.25">
      <c r="B1422" s="12" t="s">
        <v>13946</v>
      </c>
      <c r="E1422" s="27" t="s">
        <v>14378</v>
      </c>
      <c r="F1422" s="12">
        <v>1</v>
      </c>
    </row>
    <row r="1423" spans="2:6" x14ac:dyDescent="0.25">
      <c r="B1423" s="12" t="s">
        <v>13950</v>
      </c>
      <c r="E1423" s="27" t="s">
        <v>14537</v>
      </c>
      <c r="F1423" s="12">
        <v>1</v>
      </c>
    </row>
    <row r="1424" spans="2:6" x14ac:dyDescent="0.25">
      <c r="B1424" s="12" t="s">
        <v>13600</v>
      </c>
      <c r="E1424" s="27" t="s">
        <v>14380</v>
      </c>
      <c r="F1424" s="12">
        <v>1</v>
      </c>
    </row>
    <row r="1425" spans="2:6" x14ac:dyDescent="0.25">
      <c r="B1425" s="12" t="s">
        <v>13767</v>
      </c>
      <c r="E1425" s="27" t="s">
        <v>14541</v>
      </c>
      <c r="F1425" s="12">
        <v>1</v>
      </c>
    </row>
    <row r="1426" spans="2:6" x14ac:dyDescent="0.25">
      <c r="B1426" s="12" t="s">
        <v>13958</v>
      </c>
      <c r="E1426" s="27" t="s">
        <v>14381</v>
      </c>
      <c r="F1426" s="12">
        <v>1</v>
      </c>
    </row>
    <row r="1427" spans="2:6" x14ac:dyDescent="0.25">
      <c r="B1427" s="12" t="s">
        <v>13681</v>
      </c>
      <c r="E1427" s="27" t="s">
        <v>14545</v>
      </c>
      <c r="F1427" s="12">
        <v>1</v>
      </c>
    </row>
    <row r="1428" spans="2:6" x14ac:dyDescent="0.25">
      <c r="B1428" s="12" t="s">
        <v>13961</v>
      </c>
      <c r="E1428" s="27" t="s">
        <v>12303</v>
      </c>
      <c r="F1428" s="12">
        <v>1</v>
      </c>
    </row>
    <row r="1429" spans="2:6" x14ac:dyDescent="0.25">
      <c r="B1429" s="12" t="s">
        <v>13636</v>
      </c>
      <c r="E1429" s="27" t="s">
        <v>14548</v>
      </c>
      <c r="F1429" s="12">
        <v>1</v>
      </c>
    </row>
    <row r="1430" spans="2:6" x14ac:dyDescent="0.25">
      <c r="B1430" s="12" t="s">
        <v>13967</v>
      </c>
      <c r="E1430" s="27" t="s">
        <v>15187</v>
      </c>
      <c r="F1430" s="12">
        <v>1</v>
      </c>
    </row>
    <row r="1431" spans="2:6" x14ac:dyDescent="0.25">
      <c r="B1431" s="12" t="s">
        <v>13775</v>
      </c>
      <c r="E1431" s="27" t="s">
        <v>14552</v>
      </c>
      <c r="F1431" s="12">
        <v>1</v>
      </c>
    </row>
    <row r="1432" spans="2:6" x14ac:dyDescent="0.25">
      <c r="B1432" s="12" t="s">
        <v>13971</v>
      </c>
      <c r="E1432" s="27" t="s">
        <v>14383</v>
      </c>
      <c r="F1432" s="12">
        <v>1</v>
      </c>
    </row>
    <row r="1433" spans="2:6" x14ac:dyDescent="0.25">
      <c r="B1433" s="12" t="s">
        <v>13975</v>
      </c>
      <c r="E1433" s="27" t="s">
        <v>14556</v>
      </c>
      <c r="F1433" s="12">
        <v>1</v>
      </c>
    </row>
    <row r="1434" spans="2:6" x14ac:dyDescent="0.25">
      <c r="B1434" s="12" t="s">
        <v>13979</v>
      </c>
      <c r="E1434" s="27" t="s">
        <v>14385</v>
      </c>
      <c r="F1434" s="12">
        <v>1</v>
      </c>
    </row>
    <row r="1435" spans="2:6" x14ac:dyDescent="0.25">
      <c r="B1435" s="12" t="s">
        <v>13614</v>
      </c>
      <c r="E1435" s="27" t="s">
        <v>14560</v>
      </c>
      <c r="F1435" s="12">
        <v>1</v>
      </c>
    </row>
    <row r="1436" spans="2:6" x14ac:dyDescent="0.25">
      <c r="B1436" s="12" t="s">
        <v>13780</v>
      </c>
      <c r="E1436" s="27" t="s">
        <v>15188</v>
      </c>
      <c r="F1436" s="12">
        <v>1</v>
      </c>
    </row>
    <row r="1437" spans="2:6" x14ac:dyDescent="0.25">
      <c r="B1437" s="12" t="s">
        <v>13990</v>
      </c>
      <c r="E1437" s="27" t="s">
        <v>7178</v>
      </c>
      <c r="F1437" s="12">
        <v>1</v>
      </c>
    </row>
    <row r="1438" spans="2:6" x14ac:dyDescent="0.25">
      <c r="B1438" s="12" t="s">
        <v>13998</v>
      </c>
      <c r="E1438" s="27" t="s">
        <v>14387</v>
      </c>
      <c r="F1438" s="12">
        <v>1</v>
      </c>
    </row>
    <row r="1439" spans="2:6" x14ac:dyDescent="0.25">
      <c r="B1439" s="12" t="s">
        <v>13788</v>
      </c>
      <c r="E1439" s="27" t="s">
        <v>14566</v>
      </c>
      <c r="F1439" s="12">
        <v>1</v>
      </c>
    </row>
    <row r="1440" spans="2:6" x14ac:dyDescent="0.25">
      <c r="B1440" s="12" t="s">
        <v>13692</v>
      </c>
      <c r="E1440" s="27" t="s">
        <v>14389</v>
      </c>
      <c r="F1440" s="12">
        <v>1</v>
      </c>
    </row>
    <row r="1441" spans="2:6" x14ac:dyDescent="0.25">
      <c r="B1441" s="12" t="s">
        <v>14004</v>
      </c>
      <c r="E1441" s="27" t="s">
        <v>14568</v>
      </c>
      <c r="F1441" s="12">
        <v>1</v>
      </c>
    </row>
    <row r="1442" spans="2:6" x14ac:dyDescent="0.25">
      <c r="B1442" s="12" t="s">
        <v>13792</v>
      </c>
      <c r="E1442" s="27" t="s">
        <v>14391</v>
      </c>
      <c r="F1442" s="12">
        <v>1</v>
      </c>
    </row>
    <row r="1443" spans="2:6" x14ac:dyDescent="0.25">
      <c r="B1443" s="12" t="s">
        <v>13604</v>
      </c>
      <c r="E1443" s="27" t="s">
        <v>15189</v>
      </c>
      <c r="F1443" s="12">
        <v>1</v>
      </c>
    </row>
    <row r="1444" spans="2:6" x14ac:dyDescent="0.25">
      <c r="B1444" s="12" t="s">
        <v>13796</v>
      </c>
      <c r="E1444" s="27" t="s">
        <v>14393</v>
      </c>
      <c r="F1444" s="12">
        <v>1</v>
      </c>
    </row>
    <row r="1445" spans="2:6" x14ac:dyDescent="0.25">
      <c r="B1445" s="12" t="s">
        <v>14015</v>
      </c>
      <c r="E1445" s="27" t="s">
        <v>14574</v>
      </c>
      <c r="F1445" s="12">
        <v>1</v>
      </c>
    </row>
    <row r="1446" spans="2:6" x14ac:dyDescent="0.25">
      <c r="B1446" s="12" t="s">
        <v>13473</v>
      </c>
      <c r="E1446" s="27" t="s">
        <v>14394</v>
      </c>
      <c r="F1446" s="12">
        <v>1</v>
      </c>
    </row>
    <row r="1447" spans="2:6" x14ac:dyDescent="0.25">
      <c r="B1447" s="12" t="s">
        <v>13473</v>
      </c>
      <c r="E1447" s="27" t="s">
        <v>14578</v>
      </c>
      <c r="F1447" s="12">
        <v>1</v>
      </c>
    </row>
    <row r="1448" spans="2:6" x14ac:dyDescent="0.25">
      <c r="B1448" s="12" t="s">
        <v>14022</v>
      </c>
      <c r="E1448" s="27" t="s">
        <v>15190</v>
      </c>
      <c r="F1448" s="12">
        <v>1</v>
      </c>
    </row>
    <row r="1449" spans="2:6" x14ac:dyDescent="0.25">
      <c r="B1449" s="12" t="s">
        <v>13643</v>
      </c>
      <c r="E1449" s="27" t="s">
        <v>14580</v>
      </c>
      <c r="F1449" s="12">
        <v>1</v>
      </c>
    </row>
    <row r="1450" spans="2:6" x14ac:dyDescent="0.25">
      <c r="B1450" s="12" t="s">
        <v>13466</v>
      </c>
      <c r="E1450" s="27" t="s">
        <v>14396</v>
      </c>
      <c r="F1450" s="12">
        <v>1</v>
      </c>
    </row>
    <row r="1451" spans="2:6" x14ac:dyDescent="0.25">
      <c r="B1451" s="12" t="s">
        <v>13466</v>
      </c>
      <c r="E1451" s="27" t="s">
        <v>14586</v>
      </c>
      <c r="F1451" s="12">
        <v>1</v>
      </c>
    </row>
    <row r="1452" spans="2:6" x14ac:dyDescent="0.25">
      <c r="B1452" s="12" t="s">
        <v>13804</v>
      </c>
      <c r="E1452" s="27" t="s">
        <v>14398</v>
      </c>
      <c r="F1452" s="12">
        <v>1</v>
      </c>
    </row>
    <row r="1453" spans="2:6" x14ac:dyDescent="0.25">
      <c r="B1453" s="12" t="s">
        <v>14030</v>
      </c>
      <c r="E1453" s="27" t="s">
        <v>14590</v>
      </c>
      <c r="F1453" s="12">
        <v>1</v>
      </c>
    </row>
    <row r="1454" spans="2:6" x14ac:dyDescent="0.25">
      <c r="B1454" s="12" t="s">
        <v>13699</v>
      </c>
      <c r="E1454" s="27" t="s">
        <v>14400</v>
      </c>
      <c r="F1454" s="12">
        <v>1</v>
      </c>
    </row>
    <row r="1455" spans="2:6" x14ac:dyDescent="0.25">
      <c r="B1455" s="12" t="s">
        <v>14034</v>
      </c>
      <c r="E1455" s="27" t="s">
        <v>15191</v>
      </c>
      <c r="F1455" s="12">
        <v>1</v>
      </c>
    </row>
    <row r="1456" spans="2:6" x14ac:dyDescent="0.25">
      <c r="B1456" s="12" t="s">
        <v>13808</v>
      </c>
      <c r="E1456" s="27" t="s">
        <v>10824</v>
      </c>
      <c r="F1456" s="12">
        <v>1</v>
      </c>
    </row>
    <row r="1457" spans="2:6" x14ac:dyDescent="0.25">
      <c r="B1457" s="12" t="s">
        <v>14038</v>
      </c>
      <c r="E1457" s="27" t="s">
        <v>15192</v>
      </c>
      <c r="F1457" s="12">
        <v>1</v>
      </c>
    </row>
    <row r="1458" spans="2:6" x14ac:dyDescent="0.25">
      <c r="B1458" s="12" t="s">
        <v>13618</v>
      </c>
      <c r="E1458" s="27" t="s">
        <v>6568</v>
      </c>
      <c r="F1458" s="12">
        <v>1</v>
      </c>
    </row>
    <row r="1459" spans="2:6" x14ac:dyDescent="0.25">
      <c r="B1459" s="12" t="s">
        <v>14042</v>
      </c>
      <c r="E1459" s="27" t="s">
        <v>4192</v>
      </c>
      <c r="F1459" s="12">
        <v>1</v>
      </c>
    </row>
    <row r="1460" spans="2:6" x14ac:dyDescent="0.25">
      <c r="B1460" s="12" t="s">
        <v>13812</v>
      </c>
      <c r="E1460" s="27" t="s">
        <v>14402</v>
      </c>
      <c r="F1460" s="12">
        <v>1</v>
      </c>
    </row>
    <row r="1461" spans="2:6" x14ac:dyDescent="0.25">
      <c r="B1461" s="12" t="s">
        <v>14046</v>
      </c>
      <c r="E1461" s="27" t="s">
        <v>14597</v>
      </c>
      <c r="F1461" s="12">
        <v>1</v>
      </c>
    </row>
    <row r="1462" spans="2:6" x14ac:dyDescent="0.25">
      <c r="B1462" s="12" t="s">
        <v>13702</v>
      </c>
      <c r="E1462" s="27" t="s">
        <v>14608</v>
      </c>
      <c r="F1462" s="12">
        <v>1</v>
      </c>
    </row>
    <row r="1463" spans="2:6" x14ac:dyDescent="0.25">
      <c r="B1463" s="12" t="s">
        <v>14050</v>
      </c>
      <c r="E1463" s="27" t="s">
        <v>14601</v>
      </c>
      <c r="F1463" s="12">
        <v>1</v>
      </c>
    </row>
    <row r="1464" spans="2:6" x14ac:dyDescent="0.25">
      <c r="B1464" s="12" t="s">
        <v>13816</v>
      </c>
      <c r="E1464" s="27" t="s">
        <v>6094</v>
      </c>
      <c r="F1464" s="12">
        <v>1</v>
      </c>
    </row>
    <row r="1465" spans="2:6" x14ac:dyDescent="0.25">
      <c r="B1465" s="12" t="s">
        <v>14054</v>
      </c>
      <c r="E1465" s="27" t="s">
        <v>14605</v>
      </c>
      <c r="F1465" s="12">
        <v>1</v>
      </c>
    </row>
    <row r="1466" spans="2:6" x14ac:dyDescent="0.25">
      <c r="B1466" s="12" t="s">
        <v>13647</v>
      </c>
      <c r="E1466" s="27" t="s">
        <v>14224</v>
      </c>
      <c r="F1466" s="12">
        <v>1</v>
      </c>
    </row>
    <row r="1467" spans="2:6" x14ac:dyDescent="0.25">
      <c r="B1467" s="12" t="s">
        <v>14058</v>
      </c>
      <c r="E1467" s="27" t="s">
        <v>15193</v>
      </c>
      <c r="F1467" s="12">
        <v>1</v>
      </c>
    </row>
    <row r="1468" spans="2:6" x14ac:dyDescent="0.25">
      <c r="B1468" s="12" t="s">
        <v>13477</v>
      </c>
      <c r="E1468" s="27" t="s">
        <v>15194</v>
      </c>
      <c r="F1468" s="12">
        <v>1</v>
      </c>
    </row>
    <row r="1469" spans="2:6" x14ac:dyDescent="0.25">
      <c r="B1469" s="12" t="s">
        <v>14062</v>
      </c>
      <c r="E1469" s="27" t="s">
        <v>14230</v>
      </c>
      <c r="F1469" s="12">
        <v>1</v>
      </c>
    </row>
    <row r="1470" spans="2:6" x14ac:dyDescent="0.25">
      <c r="B1470" s="12" t="s">
        <v>13706</v>
      </c>
      <c r="E1470" s="27" t="s">
        <v>6444</v>
      </c>
      <c r="F1470" s="12">
        <v>1</v>
      </c>
    </row>
    <row r="1471" spans="2:6" x14ac:dyDescent="0.25">
      <c r="B1471" s="12" t="s">
        <v>14066</v>
      </c>
      <c r="E1471" s="27" t="s">
        <v>14404</v>
      </c>
      <c r="F1471" s="12">
        <v>1</v>
      </c>
    </row>
    <row r="1472" spans="2:6" x14ac:dyDescent="0.25">
      <c r="B1472" s="12" t="s">
        <v>13824</v>
      </c>
      <c r="E1472" s="27" t="s">
        <v>14610</v>
      </c>
      <c r="F1472" s="12">
        <v>1</v>
      </c>
    </row>
    <row r="1473" spans="2:6" x14ac:dyDescent="0.25">
      <c r="B1473" s="12" t="s">
        <v>13464</v>
      </c>
      <c r="E1473" s="27" t="s">
        <v>14406</v>
      </c>
      <c r="F1473" s="12">
        <v>1</v>
      </c>
    </row>
    <row r="1474" spans="2:6" x14ac:dyDescent="0.25">
      <c r="B1474" s="12" t="s">
        <v>13464</v>
      </c>
      <c r="E1474" s="27" t="s">
        <v>14613</v>
      </c>
      <c r="F1474" s="12">
        <v>1</v>
      </c>
    </row>
    <row r="1475" spans="2:6" x14ac:dyDescent="0.25">
      <c r="B1475" s="12" t="s">
        <v>14077</v>
      </c>
      <c r="E1475" s="27" t="s">
        <v>15195</v>
      </c>
      <c r="F1475" s="12">
        <v>1</v>
      </c>
    </row>
    <row r="1476" spans="2:6" x14ac:dyDescent="0.25">
      <c r="B1476" s="12" t="s">
        <v>13832</v>
      </c>
      <c r="E1476" s="27" t="s">
        <v>14615</v>
      </c>
      <c r="F1476" s="12">
        <v>1</v>
      </c>
    </row>
    <row r="1477" spans="2:6" x14ac:dyDescent="0.25">
      <c r="B1477" s="12" t="s">
        <v>14064</v>
      </c>
      <c r="E1477" s="27" t="s">
        <v>14408</v>
      </c>
      <c r="F1477" s="12">
        <v>1</v>
      </c>
    </row>
    <row r="1478" spans="2:6" x14ac:dyDescent="0.25">
      <c r="B1478" s="12" t="s">
        <v>14068</v>
      </c>
      <c r="E1478" s="27" t="s">
        <v>14617</v>
      </c>
      <c r="F1478" s="12">
        <v>1</v>
      </c>
    </row>
    <row r="1479" spans="2:6" x14ac:dyDescent="0.25">
      <c r="B1479" s="12" t="s">
        <v>14079</v>
      </c>
      <c r="E1479" s="27" t="s">
        <v>15196</v>
      </c>
      <c r="F1479" s="12">
        <v>1</v>
      </c>
    </row>
    <row r="1480" spans="2:6" x14ac:dyDescent="0.25">
      <c r="B1480" s="12" t="s">
        <v>14101</v>
      </c>
      <c r="E1480" s="27" t="s">
        <v>14410</v>
      </c>
      <c r="F1480" s="12">
        <v>1</v>
      </c>
    </row>
    <row r="1481" spans="2:6" x14ac:dyDescent="0.25">
      <c r="B1481" s="12" t="s">
        <v>14083</v>
      </c>
      <c r="E1481" s="27" t="s">
        <v>14173</v>
      </c>
      <c r="F1481" s="12">
        <v>1</v>
      </c>
    </row>
    <row r="1482" spans="2:6" x14ac:dyDescent="0.25">
      <c r="B1482" s="12" t="s">
        <v>14105</v>
      </c>
      <c r="E1482" s="27" t="s">
        <v>15197</v>
      </c>
      <c r="F1482" s="12">
        <v>1</v>
      </c>
    </row>
    <row r="1483" spans="2:6" x14ac:dyDescent="0.25">
      <c r="B1483" s="12" t="s">
        <v>14087</v>
      </c>
      <c r="E1483" s="27" t="s">
        <v>15198</v>
      </c>
      <c r="F1483" s="12">
        <v>1</v>
      </c>
    </row>
    <row r="1484" spans="2:6" x14ac:dyDescent="0.25">
      <c r="B1484" s="12" t="s">
        <v>14109</v>
      </c>
      <c r="E1484" s="27" t="s">
        <v>13837</v>
      </c>
      <c r="F1484" s="12">
        <v>1</v>
      </c>
    </row>
    <row r="1485" spans="2:6" x14ac:dyDescent="0.25">
      <c r="B1485" s="12" t="s">
        <v>13651</v>
      </c>
      <c r="E1485" s="27" t="s">
        <v>3719</v>
      </c>
      <c r="F1485" s="12">
        <v>1</v>
      </c>
    </row>
    <row r="1486" spans="2:6" x14ac:dyDescent="0.25">
      <c r="B1486" s="28" t="s">
        <v>15199</v>
      </c>
      <c r="E1486" s="27" t="s">
        <v>13839</v>
      </c>
      <c r="F1486" s="12">
        <v>1</v>
      </c>
    </row>
    <row r="1487" spans="2:6" x14ac:dyDescent="0.25">
      <c r="B1487" s="28" t="s">
        <v>6927</v>
      </c>
      <c r="E1487" s="27" t="s">
        <v>3387</v>
      </c>
      <c r="F1487" s="12">
        <v>1</v>
      </c>
    </row>
    <row r="1488" spans="2:6" x14ac:dyDescent="0.25">
      <c r="B1488" s="30" t="s">
        <v>15200</v>
      </c>
      <c r="C1488" s="27"/>
      <c r="D1488" s="27"/>
      <c r="E1488" s="27" t="s">
        <v>3137</v>
      </c>
      <c r="F1488" s="12">
        <v>1</v>
      </c>
    </row>
    <row r="1489" spans="2:6" x14ac:dyDescent="0.25">
      <c r="B1489" s="30" t="s">
        <v>15201</v>
      </c>
      <c r="C1489" s="27"/>
      <c r="D1489" s="27"/>
      <c r="E1489" s="27" t="s">
        <v>14069</v>
      </c>
      <c r="F1489" s="12">
        <v>1</v>
      </c>
    </row>
    <row r="1490" spans="2:6" x14ac:dyDescent="0.25">
      <c r="B1490" s="30" t="s">
        <v>15202</v>
      </c>
      <c r="C1490" s="27"/>
      <c r="D1490" s="27"/>
      <c r="E1490" s="27" t="s">
        <v>15203</v>
      </c>
      <c r="F1490" s="12">
        <v>1</v>
      </c>
    </row>
    <row r="1491" spans="2:6" x14ac:dyDescent="0.25">
      <c r="B1491" s="30" t="s">
        <v>15204</v>
      </c>
      <c r="C1491" s="27"/>
      <c r="D1491" s="27"/>
      <c r="E1491" s="27" t="s">
        <v>14112</v>
      </c>
      <c r="F1491" s="12">
        <v>1</v>
      </c>
    </row>
    <row r="1492" spans="2:6" x14ac:dyDescent="0.25">
      <c r="B1492" s="30" t="s">
        <v>15205</v>
      </c>
      <c r="C1492" s="27"/>
      <c r="D1492" s="27"/>
      <c r="E1492" s="27" t="s">
        <v>15206</v>
      </c>
      <c r="F1492" s="12">
        <v>1</v>
      </c>
    </row>
    <row r="1493" spans="2:6" x14ac:dyDescent="0.25">
      <c r="B1493" s="30" t="s">
        <v>15207</v>
      </c>
      <c r="C1493" s="27"/>
      <c r="D1493" s="27"/>
      <c r="E1493" s="27" t="s">
        <v>15208</v>
      </c>
      <c r="F1493" s="12">
        <v>1</v>
      </c>
    </row>
    <row r="1494" spans="2:6" x14ac:dyDescent="0.25">
      <c r="B1494" s="30" t="s">
        <v>15209</v>
      </c>
      <c r="C1494" s="27"/>
      <c r="D1494" s="27"/>
      <c r="E1494" s="27" t="s">
        <v>15210</v>
      </c>
      <c r="F1494" s="12">
        <v>1</v>
      </c>
    </row>
    <row r="1495" spans="2:6" x14ac:dyDescent="0.25">
      <c r="B1495" s="30" t="s">
        <v>4886</v>
      </c>
      <c r="C1495" s="27"/>
      <c r="D1495" s="27"/>
      <c r="E1495" s="27" t="s">
        <v>14197</v>
      </c>
      <c r="F1495" s="12">
        <v>1</v>
      </c>
    </row>
    <row r="1496" spans="2:6" x14ac:dyDescent="0.25">
      <c r="B1496" s="30" t="s">
        <v>10644</v>
      </c>
      <c r="C1496" s="27"/>
      <c r="D1496" s="27"/>
      <c r="E1496" s="27" t="s">
        <v>13841</v>
      </c>
      <c r="F1496" s="12">
        <v>1</v>
      </c>
    </row>
    <row r="1497" spans="2:6" x14ac:dyDescent="0.25">
      <c r="B1497" s="30" t="s">
        <v>10644</v>
      </c>
      <c r="C1497" s="27"/>
      <c r="D1497" s="27"/>
      <c r="E1497" s="27" t="s">
        <v>14037</v>
      </c>
      <c r="F1497" s="12">
        <v>1</v>
      </c>
    </row>
    <row r="1498" spans="2:6" x14ac:dyDescent="0.25">
      <c r="B1498" s="30" t="s">
        <v>15211</v>
      </c>
      <c r="C1498" s="27"/>
      <c r="D1498" s="27"/>
      <c r="E1498" s="27" t="s">
        <v>13843</v>
      </c>
      <c r="F1498" s="12">
        <v>1</v>
      </c>
    </row>
    <row r="1499" spans="2:6" x14ac:dyDescent="0.25">
      <c r="B1499" s="30" t="s">
        <v>15212</v>
      </c>
      <c r="C1499" s="27"/>
      <c r="D1499" s="27"/>
      <c r="E1499" s="27" t="s">
        <v>14055</v>
      </c>
      <c r="F1499" s="12">
        <v>1</v>
      </c>
    </row>
    <row r="1500" spans="2:6" x14ac:dyDescent="0.25">
      <c r="B1500" s="30" t="s">
        <v>15213</v>
      </c>
      <c r="C1500" s="27"/>
      <c r="D1500" s="27"/>
      <c r="E1500" s="27" t="s">
        <v>13845</v>
      </c>
      <c r="F1500" s="12">
        <v>1</v>
      </c>
    </row>
    <row r="1501" spans="2:6" x14ac:dyDescent="0.25">
      <c r="B1501" s="30" t="s">
        <v>15214</v>
      </c>
      <c r="C1501" s="27"/>
      <c r="D1501" s="27"/>
      <c r="E1501" s="27" t="s">
        <v>15215</v>
      </c>
      <c r="F1501" s="12">
        <v>1</v>
      </c>
    </row>
    <row r="1502" spans="2:6" x14ac:dyDescent="0.25">
      <c r="B1502" s="30" t="s">
        <v>6960</v>
      </c>
      <c r="C1502" s="27"/>
      <c r="D1502" s="27"/>
      <c r="E1502" s="27" t="s">
        <v>13847</v>
      </c>
      <c r="F1502" s="12">
        <v>1</v>
      </c>
    </row>
    <row r="1503" spans="2:6" x14ac:dyDescent="0.25">
      <c r="B1503" s="30" t="s">
        <v>15216</v>
      </c>
      <c r="C1503" s="27"/>
      <c r="D1503" s="27"/>
      <c r="E1503" s="27" t="s">
        <v>15217</v>
      </c>
      <c r="F1503" s="12">
        <v>1</v>
      </c>
    </row>
    <row r="1504" spans="2:6" x14ac:dyDescent="0.25">
      <c r="B1504" s="30" t="s">
        <v>15218</v>
      </c>
      <c r="C1504" s="27"/>
      <c r="D1504" s="27"/>
      <c r="E1504" s="27" t="s">
        <v>15219</v>
      </c>
      <c r="F1504" s="12">
        <v>1</v>
      </c>
    </row>
    <row r="1505" spans="2:6" x14ac:dyDescent="0.25">
      <c r="B1505" s="30" t="s">
        <v>15220</v>
      </c>
      <c r="C1505" s="27"/>
      <c r="D1505" s="27"/>
      <c r="E1505" s="27" t="s">
        <v>15221</v>
      </c>
      <c r="F1505" s="12">
        <v>1</v>
      </c>
    </row>
    <row r="1506" spans="2:6" x14ac:dyDescent="0.25">
      <c r="B1506" s="30" t="s">
        <v>15222</v>
      </c>
      <c r="C1506" s="27"/>
      <c r="D1506" s="27"/>
      <c r="E1506" s="27" t="s">
        <v>13849</v>
      </c>
      <c r="F1506" s="12">
        <v>1</v>
      </c>
    </row>
    <row r="1507" spans="2:6" x14ac:dyDescent="0.25">
      <c r="B1507" s="30" t="s">
        <v>15223</v>
      </c>
      <c r="C1507" s="27"/>
      <c r="D1507" s="27"/>
      <c r="E1507" s="27" t="s">
        <v>14142</v>
      </c>
      <c r="F1507" s="12">
        <v>1</v>
      </c>
    </row>
    <row r="1508" spans="2:6" x14ac:dyDescent="0.25">
      <c r="B1508" s="30" t="s">
        <v>15224</v>
      </c>
      <c r="C1508" s="27"/>
      <c r="D1508" s="27"/>
      <c r="E1508" s="27" t="s">
        <v>15225</v>
      </c>
      <c r="F1508" s="12">
        <v>1</v>
      </c>
    </row>
    <row r="1509" spans="2:6" x14ac:dyDescent="0.25">
      <c r="B1509" s="30" t="s">
        <v>13595</v>
      </c>
      <c r="C1509" s="27"/>
      <c r="D1509" s="27"/>
      <c r="E1509" s="27" t="s">
        <v>14161</v>
      </c>
      <c r="F1509" s="12">
        <v>1</v>
      </c>
    </row>
    <row r="1510" spans="2:6" x14ac:dyDescent="0.25">
      <c r="B1510" s="30" t="s">
        <v>13595</v>
      </c>
      <c r="C1510" s="27"/>
      <c r="D1510" s="27"/>
      <c r="E1510" s="27" t="s">
        <v>15226</v>
      </c>
      <c r="F1510" s="12">
        <v>1</v>
      </c>
    </row>
    <row r="1511" spans="2:6" x14ac:dyDescent="0.25">
      <c r="B1511" s="30" t="s">
        <v>15227</v>
      </c>
      <c r="C1511" s="27"/>
      <c r="D1511" s="27"/>
      <c r="E1511" s="27" t="s">
        <v>14187</v>
      </c>
      <c r="F1511" s="12">
        <v>1</v>
      </c>
    </row>
    <row r="1512" spans="2:6" x14ac:dyDescent="0.25">
      <c r="B1512" s="30" t="s">
        <v>15228</v>
      </c>
      <c r="C1512" s="27"/>
      <c r="D1512" s="27"/>
      <c r="E1512" s="27" t="s">
        <v>13851</v>
      </c>
      <c r="F1512" s="12">
        <v>1</v>
      </c>
    </row>
    <row r="1513" spans="2:6" x14ac:dyDescent="0.25">
      <c r="B1513" s="30" t="s">
        <v>15229</v>
      </c>
      <c r="C1513" s="27"/>
      <c r="D1513" s="27"/>
      <c r="E1513" s="27" t="s">
        <v>14211</v>
      </c>
      <c r="F1513" s="12">
        <v>1</v>
      </c>
    </row>
    <row r="1514" spans="2:6" x14ac:dyDescent="0.25">
      <c r="B1514" s="30" t="s">
        <v>15230</v>
      </c>
      <c r="C1514" s="27"/>
      <c r="D1514" s="27"/>
      <c r="E1514" s="27" t="s">
        <v>13853</v>
      </c>
      <c r="F1514" s="12">
        <v>1</v>
      </c>
    </row>
    <row r="1515" spans="2:6" x14ac:dyDescent="0.25">
      <c r="B1515" s="30" t="s">
        <v>1842</v>
      </c>
      <c r="C1515" s="27"/>
      <c r="D1515" s="27"/>
      <c r="E1515" s="27" t="s">
        <v>14033</v>
      </c>
      <c r="F1515" s="12">
        <v>1</v>
      </c>
    </row>
    <row r="1516" spans="2:6" x14ac:dyDescent="0.25">
      <c r="B1516" s="30" t="s">
        <v>12279</v>
      </c>
      <c r="C1516" s="27"/>
      <c r="D1516" s="27"/>
      <c r="E1516" s="27" t="s">
        <v>15231</v>
      </c>
      <c r="F1516" s="12">
        <v>1</v>
      </c>
    </row>
    <row r="1517" spans="2:6" x14ac:dyDescent="0.25">
      <c r="B1517" s="28" t="s">
        <v>13433</v>
      </c>
      <c r="E1517" s="27" t="s">
        <v>15232</v>
      </c>
      <c r="F1517" s="12">
        <v>1</v>
      </c>
    </row>
    <row r="1518" spans="2:6" x14ac:dyDescent="0.25">
      <c r="B1518" s="30" t="s">
        <v>15233</v>
      </c>
      <c r="C1518" s="27"/>
      <c r="D1518" s="27"/>
      <c r="E1518" s="27" t="s">
        <v>13855</v>
      </c>
      <c r="F1518" s="12">
        <v>1</v>
      </c>
    </row>
    <row r="1519" spans="2:6" x14ac:dyDescent="0.25">
      <c r="B1519" s="30" t="s">
        <v>15234</v>
      </c>
      <c r="C1519" s="27"/>
      <c r="D1519" s="27"/>
      <c r="E1519" s="27" t="s">
        <v>14049</v>
      </c>
      <c r="F1519" s="12">
        <v>1</v>
      </c>
    </row>
    <row r="1520" spans="2:6" x14ac:dyDescent="0.25">
      <c r="B1520" s="30" t="s">
        <v>15235</v>
      </c>
      <c r="C1520" s="27"/>
      <c r="D1520" s="27"/>
      <c r="E1520" s="27" t="s">
        <v>15236</v>
      </c>
      <c r="F1520" s="12">
        <v>1</v>
      </c>
    </row>
    <row r="1521" spans="2:6" x14ac:dyDescent="0.25">
      <c r="B1521" s="30" t="s">
        <v>15237</v>
      </c>
      <c r="C1521" s="27"/>
      <c r="D1521" s="27"/>
      <c r="E1521" s="27" t="s">
        <v>14063</v>
      </c>
      <c r="F1521" s="12">
        <v>1</v>
      </c>
    </row>
    <row r="1522" spans="2:6" x14ac:dyDescent="0.25">
      <c r="B1522" s="30" t="s">
        <v>15238</v>
      </c>
      <c r="C1522" s="27"/>
      <c r="D1522" s="27"/>
      <c r="E1522" s="27" t="s">
        <v>15239</v>
      </c>
      <c r="F1522" s="12">
        <v>1</v>
      </c>
    </row>
    <row r="1523" spans="2:6" x14ac:dyDescent="0.25">
      <c r="B1523" s="30" t="s">
        <v>15240</v>
      </c>
      <c r="C1523" s="27"/>
      <c r="D1523" s="27"/>
      <c r="E1523" s="27" t="s">
        <v>14074</v>
      </c>
      <c r="F1523" s="12">
        <v>1</v>
      </c>
    </row>
    <row r="1524" spans="2:6" x14ac:dyDescent="0.25">
      <c r="B1524" s="30" t="s">
        <v>15241</v>
      </c>
      <c r="C1524" s="27"/>
      <c r="D1524" s="27"/>
      <c r="E1524" s="27" t="s">
        <v>13857</v>
      </c>
      <c r="F1524" s="12">
        <v>1</v>
      </c>
    </row>
    <row r="1525" spans="2:6" x14ac:dyDescent="0.25">
      <c r="B1525" s="30" t="s">
        <v>15242</v>
      </c>
      <c r="C1525" s="27"/>
      <c r="D1525" s="27"/>
      <c r="E1525" s="27" t="s">
        <v>14086</v>
      </c>
      <c r="F1525" s="12">
        <v>1</v>
      </c>
    </row>
    <row r="1526" spans="2:6" x14ac:dyDescent="0.25">
      <c r="B1526" s="30" t="s">
        <v>11297</v>
      </c>
      <c r="C1526" s="27"/>
      <c r="D1526" s="27"/>
      <c r="E1526" s="27" t="s">
        <v>13859</v>
      </c>
      <c r="F1526" s="12">
        <v>1</v>
      </c>
    </row>
    <row r="1527" spans="2:6" x14ac:dyDescent="0.25">
      <c r="B1527" s="30" t="s">
        <v>11297</v>
      </c>
      <c r="C1527" s="27"/>
      <c r="D1527" s="27"/>
      <c r="E1527" s="27" t="s">
        <v>14098</v>
      </c>
      <c r="F1527" s="12">
        <v>1</v>
      </c>
    </row>
    <row r="1528" spans="2:6" x14ac:dyDescent="0.25">
      <c r="B1528" s="30" t="s">
        <v>13587</v>
      </c>
      <c r="C1528" s="27"/>
      <c r="D1528" s="27"/>
      <c r="E1528" s="27" t="s">
        <v>13861</v>
      </c>
      <c r="F1528" s="12">
        <v>1</v>
      </c>
    </row>
    <row r="1529" spans="2:6" x14ac:dyDescent="0.25">
      <c r="B1529" s="30" t="s">
        <v>4909</v>
      </c>
      <c r="C1529" s="27"/>
      <c r="D1529" s="27"/>
      <c r="E1529" s="27" t="s">
        <v>14106</v>
      </c>
      <c r="F1529" s="12">
        <v>1</v>
      </c>
    </row>
    <row r="1530" spans="2:6" x14ac:dyDescent="0.25">
      <c r="B1530" s="30" t="s">
        <v>10707</v>
      </c>
      <c r="C1530" s="27"/>
      <c r="D1530" s="27"/>
      <c r="E1530" s="27" t="s">
        <v>13863</v>
      </c>
      <c r="F1530" s="12">
        <v>1</v>
      </c>
    </row>
    <row r="1531" spans="2:6" x14ac:dyDescent="0.25">
      <c r="B1531" s="30" t="s">
        <v>15243</v>
      </c>
      <c r="C1531" s="27"/>
      <c r="D1531" s="27"/>
      <c r="E1531" s="27" t="s">
        <v>15244</v>
      </c>
      <c r="F1531" s="12">
        <v>1</v>
      </c>
    </row>
    <row r="1532" spans="2:6" x14ac:dyDescent="0.25">
      <c r="B1532" s="30" t="s">
        <v>15245</v>
      </c>
      <c r="C1532" s="27"/>
      <c r="D1532" s="27"/>
      <c r="E1532" s="27" t="s">
        <v>15246</v>
      </c>
      <c r="F1532" s="12">
        <v>1</v>
      </c>
    </row>
    <row r="1533" spans="2:6" x14ac:dyDescent="0.25">
      <c r="B1533" s="30" t="s">
        <v>15247</v>
      </c>
      <c r="C1533" s="27"/>
      <c r="D1533" s="27"/>
      <c r="E1533" s="27" t="s">
        <v>14126</v>
      </c>
      <c r="F1533" s="12">
        <v>1</v>
      </c>
    </row>
    <row r="1534" spans="2:6" x14ac:dyDescent="0.25">
      <c r="B1534" s="30" t="s">
        <v>11318</v>
      </c>
      <c r="C1534" s="27"/>
      <c r="D1534" s="27"/>
      <c r="E1534" s="27" t="s">
        <v>13865</v>
      </c>
      <c r="F1534" s="12">
        <v>1</v>
      </c>
    </row>
    <row r="1535" spans="2:6" x14ac:dyDescent="0.25">
      <c r="B1535" s="30" t="s">
        <v>15248</v>
      </c>
      <c r="C1535" s="27"/>
      <c r="D1535" s="27"/>
      <c r="E1535" s="27" t="s">
        <v>15249</v>
      </c>
      <c r="F1535" s="12">
        <v>1</v>
      </c>
    </row>
    <row r="1536" spans="2:6" x14ac:dyDescent="0.25">
      <c r="B1536" s="27" t="s">
        <v>15250</v>
      </c>
      <c r="C1536" s="27"/>
      <c r="D1536" s="27"/>
      <c r="E1536" s="27" t="s">
        <v>13867</v>
      </c>
      <c r="F1536" s="12">
        <v>1</v>
      </c>
    </row>
    <row r="1537" spans="2:6" x14ac:dyDescent="0.25">
      <c r="B1537" s="27" t="s">
        <v>11839</v>
      </c>
      <c r="C1537" s="27"/>
      <c r="D1537" s="27"/>
      <c r="E1537" s="27" t="s">
        <v>14147</v>
      </c>
      <c r="F1537" s="12">
        <v>1</v>
      </c>
    </row>
    <row r="1538" spans="2:6" x14ac:dyDescent="0.25">
      <c r="B1538" s="27" t="s">
        <v>11543</v>
      </c>
      <c r="C1538" s="27"/>
      <c r="D1538" s="27"/>
      <c r="E1538" s="27" t="s">
        <v>13869</v>
      </c>
      <c r="F1538" s="12">
        <v>1</v>
      </c>
    </row>
    <row r="1539" spans="2:6" x14ac:dyDescent="0.25">
      <c r="B1539" s="27" t="s">
        <v>15251</v>
      </c>
      <c r="C1539" s="27"/>
      <c r="D1539" s="27"/>
      <c r="E1539" s="27" t="s">
        <v>14158</v>
      </c>
      <c r="F1539" s="12">
        <v>1</v>
      </c>
    </row>
    <row r="1540" spans="2:6" x14ac:dyDescent="0.25">
      <c r="B1540" s="27" t="s">
        <v>15252</v>
      </c>
      <c r="C1540" s="27"/>
      <c r="D1540" s="27"/>
      <c r="E1540" s="27" t="s">
        <v>15253</v>
      </c>
      <c r="F1540" s="12">
        <v>1</v>
      </c>
    </row>
    <row r="1541" spans="2:6" x14ac:dyDescent="0.25">
      <c r="B1541" s="27" t="s">
        <v>15254</v>
      </c>
      <c r="C1541" s="27"/>
      <c r="D1541" s="27"/>
      <c r="E1541" s="27" t="s">
        <v>14167</v>
      </c>
      <c r="F1541" s="12">
        <v>1</v>
      </c>
    </row>
    <row r="1542" spans="2:6" x14ac:dyDescent="0.25">
      <c r="B1542" s="27" t="s">
        <v>15255</v>
      </c>
      <c r="C1542" s="27"/>
      <c r="D1542" s="27"/>
      <c r="E1542" s="27" t="s">
        <v>15256</v>
      </c>
      <c r="F1542" s="12">
        <v>1</v>
      </c>
    </row>
    <row r="1543" spans="2:6" x14ac:dyDescent="0.25">
      <c r="B1543" s="27" t="s">
        <v>15257</v>
      </c>
      <c r="C1543" s="27"/>
      <c r="D1543" s="27"/>
      <c r="E1543" s="27" t="s">
        <v>14179</v>
      </c>
      <c r="F1543" s="12">
        <v>1</v>
      </c>
    </row>
    <row r="1544" spans="2:6" x14ac:dyDescent="0.25">
      <c r="B1544" s="27" t="s">
        <v>15258</v>
      </c>
      <c r="C1544" s="27"/>
      <c r="D1544" s="27"/>
      <c r="E1544" s="27" t="s">
        <v>13871</v>
      </c>
      <c r="F1544" s="12">
        <v>1</v>
      </c>
    </row>
    <row r="1545" spans="2:6" x14ac:dyDescent="0.25">
      <c r="B1545" s="27" t="s">
        <v>15259</v>
      </c>
      <c r="C1545" s="27"/>
      <c r="D1545" s="27"/>
      <c r="E1545" s="27" t="s">
        <v>14191</v>
      </c>
      <c r="F1545" s="12">
        <v>1</v>
      </c>
    </row>
    <row r="1546" spans="2:6" x14ac:dyDescent="0.25">
      <c r="B1546" s="27" t="s">
        <v>15260</v>
      </c>
      <c r="C1546" s="27"/>
      <c r="D1546" s="27"/>
      <c r="E1546" s="27" t="s">
        <v>13873</v>
      </c>
      <c r="F1546" s="12">
        <v>1</v>
      </c>
    </row>
    <row r="1547" spans="2:6" x14ac:dyDescent="0.25">
      <c r="B1547" s="27" t="s">
        <v>15261</v>
      </c>
      <c r="C1547" s="27"/>
      <c r="D1547" s="27"/>
      <c r="E1547" s="27" t="s">
        <v>14205</v>
      </c>
      <c r="F1547" s="12">
        <v>1</v>
      </c>
    </row>
    <row r="1548" spans="2:6" x14ac:dyDescent="0.25">
      <c r="B1548" s="27" t="s">
        <v>15262</v>
      </c>
      <c r="C1548" s="27"/>
      <c r="D1548" s="27"/>
      <c r="E1548" s="27" t="s">
        <v>13875</v>
      </c>
      <c r="F1548" s="12">
        <v>1</v>
      </c>
    </row>
    <row r="1549" spans="2:6" x14ac:dyDescent="0.25">
      <c r="B1549" s="27" t="s">
        <v>9801</v>
      </c>
      <c r="C1549" s="27"/>
      <c r="D1549" s="27"/>
      <c r="E1549" s="27" t="s">
        <v>15263</v>
      </c>
      <c r="F1549" s="12">
        <v>1</v>
      </c>
    </row>
    <row r="1550" spans="2:6" x14ac:dyDescent="0.25">
      <c r="B1550" s="27" t="s">
        <v>15264</v>
      </c>
      <c r="C1550" s="27"/>
      <c r="D1550" s="27"/>
      <c r="E1550" s="27" t="s">
        <v>11521</v>
      </c>
      <c r="F1550" s="12">
        <v>1</v>
      </c>
    </row>
    <row r="1551" spans="2:6" x14ac:dyDescent="0.25">
      <c r="B1551" s="27" t="s">
        <v>360</v>
      </c>
      <c r="C1551" s="27"/>
      <c r="D1551" s="27"/>
      <c r="E1551" s="27" t="s">
        <v>15265</v>
      </c>
      <c r="F1551" s="12">
        <v>1</v>
      </c>
    </row>
    <row r="1552" spans="2:6" x14ac:dyDescent="0.25">
      <c r="B1552" s="27" t="s">
        <v>4926</v>
      </c>
      <c r="C1552" s="27"/>
      <c r="D1552" s="27"/>
      <c r="E1552" s="27" t="s">
        <v>13877</v>
      </c>
      <c r="F1552" s="12">
        <v>1</v>
      </c>
    </row>
    <row r="1553" spans="2:6" x14ac:dyDescent="0.25">
      <c r="B1553" s="27" t="s">
        <v>15266</v>
      </c>
      <c r="C1553" s="27"/>
      <c r="D1553" s="27"/>
      <c r="E1553" s="27" t="s">
        <v>15267</v>
      </c>
      <c r="F1553" s="12">
        <v>1</v>
      </c>
    </row>
    <row r="1554" spans="2:6" x14ac:dyDescent="0.25">
      <c r="B1554" s="27" t="s">
        <v>8332</v>
      </c>
      <c r="C1554" s="27"/>
      <c r="D1554" s="27"/>
      <c r="E1554" s="27" t="s">
        <v>13879</v>
      </c>
      <c r="F1554" s="12">
        <v>1</v>
      </c>
    </row>
    <row r="1555" spans="2:6" x14ac:dyDescent="0.25">
      <c r="B1555" s="27" t="s">
        <v>15268</v>
      </c>
      <c r="C1555" s="27"/>
      <c r="D1555" s="27"/>
      <c r="E1555" s="27" t="s">
        <v>15269</v>
      </c>
      <c r="F1555" s="12">
        <v>1</v>
      </c>
    </row>
    <row r="1556" spans="2:6" x14ac:dyDescent="0.25">
      <c r="B1556" s="27" t="s">
        <v>15270</v>
      </c>
      <c r="C1556" s="27"/>
      <c r="D1556" s="27"/>
      <c r="E1556" s="27" t="s">
        <v>13881</v>
      </c>
      <c r="F1556" s="12">
        <v>1</v>
      </c>
    </row>
    <row r="1557" spans="2:6" x14ac:dyDescent="0.25">
      <c r="B1557" s="27" t="s">
        <v>15271</v>
      </c>
      <c r="C1557" s="27"/>
      <c r="D1557" s="27"/>
      <c r="E1557" s="27" t="s">
        <v>15272</v>
      </c>
      <c r="F1557" s="12">
        <v>1</v>
      </c>
    </row>
    <row r="1558" spans="2:6" x14ac:dyDescent="0.25">
      <c r="B1558" s="27" t="s">
        <v>15273</v>
      </c>
      <c r="C1558" s="27"/>
      <c r="D1558" s="27"/>
      <c r="E1558" s="27" t="s">
        <v>13883</v>
      </c>
      <c r="F1558" s="12">
        <v>1</v>
      </c>
    </row>
    <row r="1559" spans="2:6" x14ac:dyDescent="0.25">
      <c r="B1559" s="27" t="s">
        <v>15274</v>
      </c>
      <c r="C1559" s="27"/>
      <c r="D1559" s="27"/>
      <c r="E1559" s="27" t="s">
        <v>15275</v>
      </c>
      <c r="F1559" s="12">
        <v>1</v>
      </c>
    </row>
    <row r="1560" spans="2:6" x14ac:dyDescent="0.25">
      <c r="B1560" s="27" t="s">
        <v>15276</v>
      </c>
      <c r="C1560" s="27"/>
      <c r="D1560" s="27"/>
      <c r="E1560" s="27" t="s">
        <v>13885</v>
      </c>
      <c r="F1560" s="12">
        <v>1</v>
      </c>
    </row>
    <row r="1561" spans="2:6" x14ac:dyDescent="0.25">
      <c r="B1561" s="27" t="s">
        <v>15277</v>
      </c>
      <c r="C1561" s="27"/>
      <c r="D1561" s="27"/>
      <c r="E1561" s="27" t="s">
        <v>14051</v>
      </c>
      <c r="F1561" s="12">
        <v>1</v>
      </c>
    </row>
    <row r="1562" spans="2:6" x14ac:dyDescent="0.25">
      <c r="B1562" s="27" t="s">
        <v>15278</v>
      </c>
      <c r="C1562" s="27"/>
      <c r="D1562" s="27"/>
      <c r="E1562" s="27" t="s">
        <v>13887</v>
      </c>
      <c r="F1562" s="12">
        <v>1</v>
      </c>
    </row>
    <row r="1563" spans="2:6" x14ac:dyDescent="0.25">
      <c r="B1563" s="27" t="s">
        <v>15279</v>
      </c>
      <c r="C1563" s="27"/>
      <c r="D1563" s="27"/>
      <c r="E1563" s="27" t="s">
        <v>14059</v>
      </c>
      <c r="F1563" s="12">
        <v>1</v>
      </c>
    </row>
    <row r="1564" spans="2:6" x14ac:dyDescent="0.25">
      <c r="B1564" s="27" t="s">
        <v>8912</v>
      </c>
      <c r="C1564" s="27"/>
      <c r="D1564" s="27"/>
      <c r="E1564" s="27" t="s">
        <v>2510</v>
      </c>
      <c r="F1564" s="12">
        <v>1</v>
      </c>
    </row>
    <row r="1565" spans="2:6" x14ac:dyDescent="0.25">
      <c r="B1565" s="27" t="s">
        <v>15280</v>
      </c>
      <c r="C1565" s="27"/>
      <c r="D1565" s="27"/>
      <c r="E1565" s="27" t="s">
        <v>15281</v>
      </c>
      <c r="F1565" s="12">
        <v>1</v>
      </c>
    </row>
    <row r="1566" spans="2:6" x14ac:dyDescent="0.25">
      <c r="B1566" s="27" t="s">
        <v>15282</v>
      </c>
      <c r="C1566" s="27"/>
      <c r="D1566" s="27"/>
      <c r="E1566" s="27" t="s">
        <v>15283</v>
      </c>
      <c r="F1566" s="12">
        <v>1</v>
      </c>
    </row>
    <row r="1567" spans="2:6" x14ac:dyDescent="0.25">
      <c r="B1567" s="27" t="s">
        <v>11560</v>
      </c>
      <c r="C1567" s="27"/>
      <c r="D1567" s="27"/>
      <c r="E1567" s="27" t="s">
        <v>15284</v>
      </c>
      <c r="F1567" s="12">
        <v>1</v>
      </c>
    </row>
    <row r="1568" spans="2:6" x14ac:dyDescent="0.25">
      <c r="B1568" s="27" t="s">
        <v>10032</v>
      </c>
      <c r="C1568" s="27"/>
      <c r="D1568" s="27"/>
      <c r="E1568" s="27" t="s">
        <v>13889</v>
      </c>
      <c r="F1568" s="12">
        <v>1</v>
      </c>
    </row>
    <row r="1569" spans="2:6" x14ac:dyDescent="0.25">
      <c r="B1569" s="27" t="s">
        <v>15285</v>
      </c>
      <c r="C1569" s="27"/>
      <c r="D1569" s="27"/>
      <c r="E1569" s="27" t="s">
        <v>15286</v>
      </c>
      <c r="F1569" s="12">
        <v>1</v>
      </c>
    </row>
    <row r="1570" spans="2:6" x14ac:dyDescent="0.25">
      <c r="B1570" s="27" t="s">
        <v>12567</v>
      </c>
      <c r="C1570" s="27"/>
      <c r="D1570" s="27"/>
      <c r="E1570" s="27" t="s">
        <v>13891</v>
      </c>
      <c r="F1570" s="12">
        <v>1</v>
      </c>
    </row>
    <row r="1571" spans="2:6" x14ac:dyDescent="0.25">
      <c r="B1571" s="27" t="s">
        <v>15287</v>
      </c>
      <c r="C1571" s="27"/>
      <c r="D1571" s="27"/>
      <c r="E1571" s="27" t="s">
        <v>14082</v>
      </c>
      <c r="F1571" s="12">
        <v>1</v>
      </c>
    </row>
    <row r="1572" spans="2:6" x14ac:dyDescent="0.25">
      <c r="B1572" s="27" t="s">
        <v>15288</v>
      </c>
      <c r="C1572" s="27"/>
      <c r="D1572" s="27"/>
      <c r="E1572" s="27" t="s">
        <v>13893</v>
      </c>
      <c r="F1572" s="12">
        <v>1</v>
      </c>
    </row>
    <row r="1573" spans="2:6" x14ac:dyDescent="0.25">
      <c r="B1573" s="27" t="s">
        <v>13460</v>
      </c>
      <c r="C1573" s="27"/>
      <c r="D1573" s="27"/>
      <c r="E1573" s="27" t="s">
        <v>14090</v>
      </c>
      <c r="F1573" s="12">
        <v>1</v>
      </c>
    </row>
    <row r="1574" spans="2:6" x14ac:dyDescent="0.25">
      <c r="B1574" s="27" t="s">
        <v>13460</v>
      </c>
      <c r="C1574" s="27"/>
      <c r="D1574" s="27"/>
      <c r="E1574" s="27" t="s">
        <v>13895</v>
      </c>
      <c r="F1574" s="12">
        <v>1</v>
      </c>
    </row>
    <row r="1575" spans="2:6" x14ac:dyDescent="0.25">
      <c r="B1575" s="27" t="s">
        <v>13460</v>
      </c>
      <c r="C1575" s="27"/>
      <c r="D1575" s="27"/>
      <c r="E1575" s="27" t="s">
        <v>14096</v>
      </c>
      <c r="F1575" s="12">
        <v>1</v>
      </c>
    </row>
    <row r="1576" spans="2:6" x14ac:dyDescent="0.25">
      <c r="B1576" s="27" t="s">
        <v>15289</v>
      </c>
      <c r="C1576" s="27"/>
      <c r="D1576" s="27"/>
      <c r="E1576" s="27" t="s">
        <v>11769</v>
      </c>
      <c r="F1576" s="12">
        <v>1</v>
      </c>
    </row>
    <row r="1577" spans="2:6" x14ac:dyDescent="0.25">
      <c r="B1577" s="27" t="s">
        <v>15290</v>
      </c>
      <c r="C1577" s="27"/>
      <c r="D1577" s="27"/>
      <c r="E1577" s="27" t="s">
        <v>14100</v>
      </c>
      <c r="F1577" s="12">
        <v>1</v>
      </c>
    </row>
    <row r="1578" spans="2:6" x14ac:dyDescent="0.25">
      <c r="B1578" s="27" t="s">
        <v>15291</v>
      </c>
      <c r="C1578" s="27"/>
      <c r="D1578" s="27"/>
      <c r="E1578" s="27" t="s">
        <v>13897</v>
      </c>
      <c r="F1578" s="12">
        <v>1</v>
      </c>
    </row>
    <row r="1579" spans="2:6" x14ac:dyDescent="0.25">
      <c r="B1579" s="27" t="s">
        <v>15292</v>
      </c>
      <c r="C1579" s="27"/>
      <c r="D1579" s="27"/>
      <c r="E1579" s="27" t="s">
        <v>14104</v>
      </c>
      <c r="F1579" s="12">
        <v>1</v>
      </c>
    </row>
    <row r="1580" spans="2:6" x14ac:dyDescent="0.25">
      <c r="B1580" s="27" t="s">
        <v>15293</v>
      </c>
      <c r="C1580" s="27"/>
      <c r="D1580" s="27"/>
      <c r="E1580" s="27" t="s">
        <v>13899</v>
      </c>
      <c r="F1580" s="12">
        <v>1</v>
      </c>
    </row>
    <row r="1581" spans="2:6" x14ac:dyDescent="0.25">
      <c r="B1581" s="27" t="s">
        <v>15294</v>
      </c>
      <c r="C1581" s="27"/>
      <c r="D1581" s="27"/>
      <c r="E1581" s="27" t="s">
        <v>14108</v>
      </c>
      <c r="F1581" s="12">
        <v>1</v>
      </c>
    </row>
    <row r="1582" spans="2:6" x14ac:dyDescent="0.25">
      <c r="B1582" s="27" t="s">
        <v>15295</v>
      </c>
      <c r="C1582" s="27"/>
      <c r="D1582" s="27"/>
      <c r="E1582" s="27" t="s">
        <v>13901</v>
      </c>
      <c r="F1582" s="12">
        <v>1</v>
      </c>
    </row>
    <row r="1583" spans="2:6" x14ac:dyDescent="0.25">
      <c r="B1583" s="27" t="s">
        <v>15296</v>
      </c>
      <c r="C1583" s="27"/>
      <c r="D1583" s="27"/>
      <c r="E1583" s="27" t="s">
        <v>15297</v>
      </c>
      <c r="F1583" s="12">
        <v>1</v>
      </c>
    </row>
    <row r="1584" spans="2:6" x14ac:dyDescent="0.25">
      <c r="B1584" s="27" t="s">
        <v>15298</v>
      </c>
      <c r="C1584" s="27"/>
      <c r="D1584" s="27"/>
      <c r="E1584" s="27" t="s">
        <v>12886</v>
      </c>
      <c r="F1584" s="12">
        <v>1</v>
      </c>
    </row>
    <row r="1585" spans="2:6" x14ac:dyDescent="0.25">
      <c r="B1585" s="27" t="s">
        <v>15299</v>
      </c>
      <c r="C1585" s="27"/>
      <c r="D1585" s="27"/>
      <c r="E1585" s="27" t="s">
        <v>14118</v>
      </c>
      <c r="F1585" s="12">
        <v>1</v>
      </c>
    </row>
    <row r="1586" spans="2:6" x14ac:dyDescent="0.25">
      <c r="B1586" s="27" t="s">
        <v>3137</v>
      </c>
      <c r="C1586" s="27"/>
      <c r="D1586" s="27"/>
      <c r="E1586" s="27" t="s">
        <v>15300</v>
      </c>
      <c r="F1586" s="12">
        <v>1</v>
      </c>
    </row>
    <row r="1587" spans="2:6" x14ac:dyDescent="0.25">
      <c r="B1587" s="27" t="s">
        <v>15203</v>
      </c>
      <c r="C1587" s="27"/>
      <c r="D1587" s="27"/>
      <c r="E1587" s="27" t="s">
        <v>15301</v>
      </c>
      <c r="F1587" s="12">
        <v>1</v>
      </c>
    </row>
    <row r="1588" spans="2:6" x14ac:dyDescent="0.25">
      <c r="B1588" s="27" t="s">
        <v>15206</v>
      </c>
      <c r="C1588" s="27"/>
      <c r="D1588" s="27"/>
      <c r="E1588" s="27" t="s">
        <v>13903</v>
      </c>
      <c r="F1588" s="12">
        <v>1</v>
      </c>
    </row>
    <row r="1589" spans="2:6" x14ac:dyDescent="0.25">
      <c r="B1589" s="27" t="s">
        <v>15210</v>
      </c>
      <c r="C1589" s="27"/>
      <c r="D1589" s="27"/>
      <c r="E1589" s="27" t="s">
        <v>14130</v>
      </c>
      <c r="F1589" s="12">
        <v>1</v>
      </c>
    </row>
    <row r="1590" spans="2:6" x14ac:dyDescent="0.25">
      <c r="B1590" s="27" t="s">
        <v>15219</v>
      </c>
      <c r="C1590" s="27"/>
      <c r="D1590" s="27"/>
      <c r="E1590" s="27" t="s">
        <v>13905</v>
      </c>
      <c r="F1590" s="12">
        <v>1</v>
      </c>
    </row>
    <row r="1591" spans="2:6" x14ac:dyDescent="0.25">
      <c r="B1591" s="27" t="s">
        <v>15225</v>
      </c>
      <c r="C1591" s="27"/>
      <c r="D1591" s="27"/>
      <c r="E1591" s="27" t="s">
        <v>14134</v>
      </c>
      <c r="F1591" s="12">
        <v>1</v>
      </c>
    </row>
    <row r="1592" spans="2:6" x14ac:dyDescent="0.25">
      <c r="B1592" s="27" t="s">
        <v>15226</v>
      </c>
      <c r="C1592" s="27"/>
      <c r="D1592" s="27"/>
      <c r="E1592" s="27" t="s">
        <v>13827</v>
      </c>
      <c r="F1592" s="12">
        <v>1</v>
      </c>
    </row>
    <row r="1593" spans="2:6" x14ac:dyDescent="0.25">
      <c r="B1593" s="27" t="s">
        <v>15231</v>
      </c>
      <c r="C1593" s="27"/>
      <c r="D1593" s="27"/>
      <c r="E1593" s="27" t="s">
        <v>14138</v>
      </c>
      <c r="F1593" s="12">
        <v>1</v>
      </c>
    </row>
    <row r="1594" spans="2:6" x14ac:dyDescent="0.25">
      <c r="B1594" s="27" t="s">
        <v>15236</v>
      </c>
      <c r="C1594" s="27"/>
      <c r="D1594" s="27"/>
      <c r="E1594" s="27" t="s">
        <v>13909</v>
      </c>
      <c r="F1594" s="12">
        <v>1</v>
      </c>
    </row>
    <row r="1595" spans="2:6" x14ac:dyDescent="0.25">
      <c r="B1595" s="27" t="s">
        <v>15239</v>
      </c>
      <c r="C1595" s="27"/>
      <c r="D1595" s="27"/>
      <c r="E1595" s="27" t="s">
        <v>10768</v>
      </c>
      <c r="F1595" s="12">
        <v>1</v>
      </c>
    </row>
    <row r="1596" spans="2:6" x14ac:dyDescent="0.25">
      <c r="B1596" s="27" t="s">
        <v>15246</v>
      </c>
      <c r="C1596" s="27"/>
      <c r="D1596" s="27"/>
      <c r="E1596" s="27" t="s">
        <v>13911</v>
      </c>
      <c r="F1596" s="12">
        <v>1</v>
      </c>
    </row>
    <row r="1597" spans="2:6" x14ac:dyDescent="0.25">
      <c r="B1597" s="12" t="s">
        <v>15253</v>
      </c>
      <c r="E1597" s="27" t="s">
        <v>14151</v>
      </c>
      <c r="F1597" s="12">
        <v>1</v>
      </c>
    </row>
    <row r="1598" spans="2:6" x14ac:dyDescent="0.25">
      <c r="B1598" s="12" t="s">
        <v>15256</v>
      </c>
      <c r="E1598" s="27" t="s">
        <v>13913</v>
      </c>
      <c r="F1598" s="12">
        <v>1</v>
      </c>
    </row>
    <row r="1599" spans="2:6" x14ac:dyDescent="0.25">
      <c r="B1599" s="27" t="s">
        <v>11521</v>
      </c>
      <c r="C1599" s="27"/>
      <c r="D1599" s="27"/>
      <c r="E1599" s="27" t="s">
        <v>14154</v>
      </c>
      <c r="F1599" s="12">
        <v>1</v>
      </c>
    </row>
    <row r="1600" spans="2:6" x14ac:dyDescent="0.25">
      <c r="B1600" s="27" t="s">
        <v>2510</v>
      </c>
      <c r="C1600" s="27"/>
      <c r="D1600" s="27"/>
      <c r="E1600" s="27" t="s">
        <v>13915</v>
      </c>
      <c r="F1600" s="12">
        <v>1</v>
      </c>
    </row>
    <row r="1601" spans="2:6" x14ac:dyDescent="0.25">
      <c r="B1601" s="27" t="s">
        <v>15283</v>
      </c>
      <c r="C1601" s="27"/>
      <c r="D1601" s="27"/>
      <c r="E1601" s="27" t="s">
        <v>13835</v>
      </c>
      <c r="F1601" s="12">
        <v>1</v>
      </c>
    </row>
    <row r="1602" spans="2:6" x14ac:dyDescent="0.25">
      <c r="B1602" s="27" t="s">
        <v>11769</v>
      </c>
      <c r="C1602" s="27"/>
      <c r="D1602" s="27"/>
      <c r="E1602" s="27" t="s">
        <v>11460</v>
      </c>
      <c r="F1602" s="12">
        <v>1</v>
      </c>
    </row>
    <row r="1603" spans="2:6" x14ac:dyDescent="0.25">
      <c r="B1603" s="27" t="s">
        <v>12886</v>
      </c>
      <c r="C1603" s="27"/>
      <c r="D1603" s="27"/>
      <c r="E1603" s="27" t="s">
        <v>3919</v>
      </c>
      <c r="F1603" s="12">
        <v>1</v>
      </c>
    </row>
    <row r="1604" spans="2:6" x14ac:dyDescent="0.25">
      <c r="B1604" s="27" t="s">
        <v>15300</v>
      </c>
      <c r="C1604" s="27"/>
      <c r="D1604" s="27"/>
      <c r="E1604" s="27" t="s">
        <v>13917</v>
      </c>
      <c r="F1604" s="12">
        <v>1</v>
      </c>
    </row>
    <row r="1605" spans="2:6" x14ac:dyDescent="0.25">
      <c r="B1605" s="27" t="s">
        <v>11460</v>
      </c>
      <c r="C1605" s="27"/>
      <c r="D1605" s="27"/>
      <c r="E1605" s="27" t="s">
        <v>15298</v>
      </c>
      <c r="F1605" s="12">
        <v>1</v>
      </c>
    </row>
    <row r="1606" spans="2:6" x14ac:dyDescent="0.25">
      <c r="B1606" s="27" t="s">
        <v>15302</v>
      </c>
      <c r="C1606" s="27"/>
      <c r="D1606" s="27"/>
      <c r="E1606" s="27" t="s">
        <v>13919</v>
      </c>
      <c r="F1606" s="12">
        <v>1</v>
      </c>
    </row>
    <row r="1607" spans="2:6" x14ac:dyDescent="0.25">
      <c r="B1607" s="27" t="s">
        <v>15303</v>
      </c>
      <c r="C1607" s="27"/>
      <c r="D1607" s="27"/>
      <c r="E1607" s="27" t="s">
        <v>14175</v>
      </c>
      <c r="F1607" s="12">
        <v>1</v>
      </c>
    </row>
    <row r="1608" spans="2:6" x14ac:dyDescent="0.25">
      <c r="B1608" s="27" t="s">
        <v>15304</v>
      </c>
      <c r="C1608" s="27"/>
      <c r="D1608" s="27"/>
      <c r="E1608" s="27" t="s">
        <v>13921</v>
      </c>
      <c r="F1608" s="12">
        <v>1</v>
      </c>
    </row>
    <row r="1609" spans="2:6" x14ac:dyDescent="0.25">
      <c r="B1609" s="27" t="s">
        <v>15305</v>
      </c>
      <c r="C1609" s="27"/>
      <c r="D1609" s="27"/>
      <c r="E1609" s="27" t="s">
        <v>14183</v>
      </c>
      <c r="F1609" s="12">
        <v>1</v>
      </c>
    </row>
    <row r="1610" spans="2:6" x14ac:dyDescent="0.25">
      <c r="B1610" s="27" t="s">
        <v>11873</v>
      </c>
      <c r="C1610" s="27"/>
      <c r="D1610" s="27"/>
      <c r="E1610" s="27" t="s">
        <v>13923</v>
      </c>
      <c r="F1610" s="12">
        <v>1</v>
      </c>
    </row>
    <row r="1611" spans="2:6" x14ac:dyDescent="0.25">
      <c r="B1611" s="27" t="s">
        <v>15306</v>
      </c>
      <c r="C1611" s="27"/>
      <c r="D1611" s="27"/>
      <c r="E1611" s="27" t="s">
        <v>14189</v>
      </c>
      <c r="F1611" s="12">
        <v>1</v>
      </c>
    </row>
    <row r="1612" spans="2:6" x14ac:dyDescent="0.25">
      <c r="B1612" s="27" t="s">
        <v>15307</v>
      </c>
      <c r="C1612" s="27"/>
      <c r="D1612" s="27"/>
      <c r="E1612" s="27" t="s">
        <v>13925</v>
      </c>
      <c r="F1612" s="12">
        <v>1</v>
      </c>
    </row>
    <row r="1613" spans="2:6" x14ac:dyDescent="0.25">
      <c r="B1613" s="27" t="s">
        <v>10753</v>
      </c>
      <c r="C1613" s="27"/>
      <c r="D1613" s="27"/>
      <c r="E1613" s="27" t="s">
        <v>15308</v>
      </c>
      <c r="F1613" s="12">
        <v>1</v>
      </c>
    </row>
    <row r="1614" spans="2:6" x14ac:dyDescent="0.25">
      <c r="B1614" s="27" t="s">
        <v>13451</v>
      </c>
      <c r="C1614" s="27"/>
      <c r="D1614" s="27"/>
      <c r="E1614" s="27" t="s">
        <v>15302</v>
      </c>
      <c r="F1614" s="12">
        <v>1</v>
      </c>
    </row>
    <row r="1615" spans="2:6" x14ac:dyDescent="0.25">
      <c r="B1615" s="27" t="s">
        <v>15309</v>
      </c>
      <c r="C1615" s="27"/>
      <c r="D1615" s="27"/>
      <c r="E1615" s="27" t="s">
        <v>14201</v>
      </c>
      <c r="F1615" s="12">
        <v>1</v>
      </c>
    </row>
    <row r="1616" spans="2:6" x14ac:dyDescent="0.25">
      <c r="B1616" s="27" t="s">
        <v>15310</v>
      </c>
      <c r="C1616" s="27"/>
      <c r="D1616" s="27"/>
      <c r="E1616" s="27" t="s">
        <v>13927</v>
      </c>
      <c r="F1616" s="12">
        <v>1</v>
      </c>
    </row>
    <row r="1617" spans="2:6" x14ac:dyDescent="0.25">
      <c r="B1617" s="27" t="s">
        <v>15311</v>
      </c>
      <c r="C1617" s="27"/>
      <c r="D1617" s="27"/>
      <c r="E1617" s="27" t="s">
        <v>14207</v>
      </c>
      <c r="F1617" s="12">
        <v>1</v>
      </c>
    </row>
    <row r="1618" spans="2:6" x14ac:dyDescent="0.25">
      <c r="B1618" s="27" t="s">
        <v>15312</v>
      </c>
      <c r="C1618" s="27"/>
      <c r="D1618" s="27"/>
      <c r="E1618" s="27" t="s">
        <v>13929</v>
      </c>
      <c r="F1618" s="12">
        <v>1</v>
      </c>
    </row>
    <row r="1619" spans="2:6" x14ac:dyDescent="0.25">
      <c r="B1619" s="27" t="s">
        <v>15313</v>
      </c>
      <c r="C1619" s="27"/>
      <c r="D1619" s="27"/>
      <c r="E1619" s="27" t="s">
        <v>15299</v>
      </c>
      <c r="F1619" s="12">
        <v>1</v>
      </c>
    </row>
    <row r="1620" spans="2:6" x14ac:dyDescent="0.25">
      <c r="B1620" s="27" t="s">
        <v>15314</v>
      </c>
      <c r="C1620" s="27"/>
      <c r="D1620" s="27"/>
      <c r="E1620" s="27" t="s">
        <v>13931</v>
      </c>
      <c r="F1620" s="12">
        <v>1</v>
      </c>
    </row>
    <row r="1621" spans="2:6" x14ac:dyDescent="0.25">
      <c r="B1621" s="27" t="s">
        <v>11639</v>
      </c>
      <c r="C1621" s="27"/>
      <c r="D1621" s="27"/>
      <c r="E1621" s="27" t="s">
        <v>15315</v>
      </c>
      <c r="F1621" s="12">
        <v>1</v>
      </c>
    </row>
    <row r="1622" spans="2:6" x14ac:dyDescent="0.25">
      <c r="B1622" s="27" t="s">
        <v>15316</v>
      </c>
      <c r="C1622" s="27"/>
      <c r="D1622" s="27"/>
      <c r="E1622" s="27" t="s">
        <v>13933</v>
      </c>
      <c r="F1622" s="12">
        <v>1</v>
      </c>
    </row>
    <row r="1623" spans="2:6" x14ac:dyDescent="0.25">
      <c r="B1623" s="27" t="s">
        <v>15317</v>
      </c>
      <c r="C1623" s="27"/>
      <c r="D1623" s="27"/>
      <c r="E1623" s="27" t="s">
        <v>14029</v>
      </c>
      <c r="F1623" s="12">
        <v>1</v>
      </c>
    </row>
    <row r="1624" spans="2:6" x14ac:dyDescent="0.25">
      <c r="B1624" s="27" t="s">
        <v>15318</v>
      </c>
      <c r="C1624" s="27"/>
      <c r="D1624" s="27"/>
      <c r="E1624" s="27" t="s">
        <v>13935</v>
      </c>
      <c r="F1624" s="12">
        <v>1</v>
      </c>
    </row>
    <row r="1625" spans="2:6" x14ac:dyDescent="0.25">
      <c r="B1625" s="27" t="s">
        <v>6765</v>
      </c>
      <c r="C1625" s="27"/>
      <c r="D1625" s="27"/>
      <c r="E1625" s="27" t="s">
        <v>14031</v>
      </c>
      <c r="F1625" s="12">
        <v>1</v>
      </c>
    </row>
    <row r="1626" spans="2:6" x14ac:dyDescent="0.25">
      <c r="B1626" s="27" t="s">
        <v>15319</v>
      </c>
      <c r="C1626" s="27"/>
      <c r="D1626" s="27"/>
      <c r="E1626" s="27" t="s">
        <v>15303</v>
      </c>
      <c r="F1626" s="12">
        <v>1</v>
      </c>
    </row>
    <row r="1627" spans="2:6" x14ac:dyDescent="0.25">
      <c r="B1627" s="27" t="s">
        <v>15320</v>
      </c>
      <c r="C1627" s="27"/>
      <c r="D1627" s="27"/>
      <c r="E1627" s="27" t="s">
        <v>15321</v>
      </c>
      <c r="F1627" s="12">
        <v>1</v>
      </c>
    </row>
    <row r="1628" spans="2:6" x14ac:dyDescent="0.25">
      <c r="B1628" s="27" t="s">
        <v>12787</v>
      </c>
      <c r="C1628" s="27"/>
      <c r="D1628" s="27"/>
      <c r="E1628" s="27" t="s">
        <v>13937</v>
      </c>
      <c r="F1628" s="12">
        <v>1</v>
      </c>
    </row>
    <row r="1629" spans="2:6" x14ac:dyDescent="0.25">
      <c r="B1629" s="27" t="s">
        <v>12787</v>
      </c>
      <c r="C1629" s="27"/>
      <c r="D1629" s="27"/>
      <c r="E1629" s="27" t="s">
        <v>14035</v>
      </c>
      <c r="F1629" s="12">
        <v>1</v>
      </c>
    </row>
    <row r="1630" spans="2:6" x14ac:dyDescent="0.25">
      <c r="B1630" s="27" t="s">
        <v>15322</v>
      </c>
      <c r="C1630" s="27"/>
      <c r="D1630" s="27"/>
      <c r="E1630" s="27" t="s">
        <v>13939</v>
      </c>
      <c r="F1630" s="12">
        <v>1</v>
      </c>
    </row>
    <row r="1631" spans="2:6" x14ac:dyDescent="0.25">
      <c r="B1631" s="27" t="s">
        <v>15263</v>
      </c>
      <c r="C1631" s="27"/>
      <c r="D1631" s="27"/>
      <c r="E1631" s="27" t="s">
        <v>14039</v>
      </c>
      <c r="F1631" s="12">
        <v>1</v>
      </c>
    </row>
    <row r="1632" spans="2:6" x14ac:dyDescent="0.25">
      <c r="B1632" s="27" t="s">
        <v>15315</v>
      </c>
      <c r="C1632" s="27"/>
      <c r="D1632" s="27"/>
      <c r="E1632" s="27" t="s">
        <v>13941</v>
      </c>
      <c r="F1632" s="12">
        <v>1</v>
      </c>
    </row>
    <row r="1633" spans="2:6" x14ac:dyDescent="0.25">
      <c r="B1633" s="27" t="s">
        <v>3387</v>
      </c>
      <c r="C1633" s="27"/>
      <c r="D1633" s="27"/>
      <c r="E1633" s="27" t="s">
        <v>14041</v>
      </c>
      <c r="F1633" s="12">
        <v>1</v>
      </c>
    </row>
    <row r="1634" spans="2:6" x14ac:dyDescent="0.25">
      <c r="B1634" s="27" t="s">
        <v>15265</v>
      </c>
      <c r="C1634" s="27"/>
      <c r="D1634" s="27"/>
      <c r="E1634" s="27" t="s">
        <v>13943</v>
      </c>
      <c r="F1634" s="12">
        <v>1</v>
      </c>
    </row>
    <row r="1635" spans="2:6" x14ac:dyDescent="0.25">
      <c r="B1635" s="27" t="s">
        <v>15321</v>
      </c>
      <c r="C1635" s="27"/>
      <c r="D1635" s="27"/>
      <c r="E1635" s="27" t="s">
        <v>14043</v>
      </c>
      <c r="F1635" s="12">
        <v>1</v>
      </c>
    </row>
    <row r="1636" spans="2:6" x14ac:dyDescent="0.25">
      <c r="B1636" s="27" t="s">
        <v>15267</v>
      </c>
      <c r="C1636" s="27"/>
      <c r="D1636" s="27"/>
      <c r="E1636" s="27" t="s">
        <v>15304</v>
      </c>
      <c r="F1636" s="12">
        <v>1</v>
      </c>
    </row>
    <row r="1637" spans="2:6" x14ac:dyDescent="0.25">
      <c r="B1637" s="27" t="s">
        <v>15269</v>
      </c>
      <c r="C1637" s="27"/>
      <c r="D1637" s="27"/>
      <c r="E1637" s="27" t="s">
        <v>3487</v>
      </c>
      <c r="F1637" s="12">
        <v>1</v>
      </c>
    </row>
    <row r="1638" spans="2:6" x14ac:dyDescent="0.25">
      <c r="B1638" s="27" t="s">
        <v>15232</v>
      </c>
      <c r="C1638" s="27"/>
      <c r="D1638" s="27"/>
      <c r="E1638" s="27" t="s">
        <v>13945</v>
      </c>
      <c r="F1638" s="12">
        <v>1</v>
      </c>
    </row>
    <row r="1639" spans="2:6" x14ac:dyDescent="0.25">
      <c r="B1639" s="27" t="s">
        <v>15272</v>
      </c>
      <c r="C1639" s="27"/>
      <c r="D1639" s="27"/>
      <c r="E1639" s="27" t="s">
        <v>14045</v>
      </c>
      <c r="F1639" s="12">
        <v>1</v>
      </c>
    </row>
    <row r="1640" spans="2:6" x14ac:dyDescent="0.25">
      <c r="B1640" s="27" t="s">
        <v>3487</v>
      </c>
      <c r="C1640" s="27"/>
      <c r="D1640" s="27"/>
      <c r="E1640" s="27" t="s">
        <v>15305</v>
      </c>
      <c r="F1640" s="12">
        <v>1</v>
      </c>
    </row>
    <row r="1641" spans="2:6" x14ac:dyDescent="0.25">
      <c r="B1641" s="27" t="s">
        <v>15198</v>
      </c>
      <c r="C1641" s="27"/>
      <c r="D1641" s="27"/>
      <c r="E1641" s="27" t="s">
        <v>14047</v>
      </c>
      <c r="F1641" s="12">
        <v>1</v>
      </c>
    </row>
    <row r="1642" spans="2:6" x14ac:dyDescent="0.25">
      <c r="B1642" s="27" t="s">
        <v>15275</v>
      </c>
      <c r="C1642" s="27"/>
      <c r="D1642" s="27"/>
      <c r="E1642" s="27" t="s">
        <v>11873</v>
      </c>
      <c r="F1642" s="12">
        <v>1</v>
      </c>
    </row>
    <row r="1643" spans="2:6" x14ac:dyDescent="0.25">
      <c r="B1643" s="27" t="s">
        <v>15323</v>
      </c>
      <c r="C1643" s="27"/>
      <c r="D1643" s="27"/>
      <c r="E1643" s="27" t="s">
        <v>15323</v>
      </c>
      <c r="F1643" s="12">
        <v>1</v>
      </c>
    </row>
    <row r="1644" spans="2:6" x14ac:dyDescent="0.25">
      <c r="B1644" s="27" t="s">
        <v>15281</v>
      </c>
      <c r="C1644" s="27"/>
      <c r="D1644" s="27"/>
      <c r="E1644" s="27" t="s">
        <v>13947</v>
      </c>
      <c r="F1644" s="12">
        <v>1</v>
      </c>
    </row>
    <row r="1645" spans="2:6" x14ac:dyDescent="0.25">
      <c r="B1645" s="27" t="s">
        <v>15284</v>
      </c>
      <c r="C1645" s="27"/>
      <c r="D1645" s="27"/>
      <c r="E1645" s="27" t="s">
        <v>14053</v>
      </c>
      <c r="F1645" s="12">
        <v>1</v>
      </c>
    </row>
    <row r="1646" spans="2:6" x14ac:dyDescent="0.25">
      <c r="B1646" s="27" t="s">
        <v>15286</v>
      </c>
      <c r="C1646" s="27"/>
      <c r="D1646" s="27"/>
      <c r="E1646" s="27" t="s">
        <v>13949</v>
      </c>
      <c r="F1646" s="12">
        <v>1</v>
      </c>
    </row>
    <row r="1647" spans="2:6" x14ac:dyDescent="0.25">
      <c r="B1647" s="27" t="s">
        <v>15215</v>
      </c>
      <c r="C1647" s="27"/>
      <c r="D1647" s="27"/>
      <c r="E1647" s="27" t="s">
        <v>14057</v>
      </c>
      <c r="F1647" s="12">
        <v>1</v>
      </c>
    </row>
    <row r="1648" spans="2:6" x14ac:dyDescent="0.25">
      <c r="B1648" s="27" t="s">
        <v>15197</v>
      </c>
      <c r="C1648" s="27"/>
      <c r="D1648" s="27"/>
      <c r="E1648" s="27" t="s">
        <v>13951</v>
      </c>
      <c r="F1648" s="12">
        <v>1</v>
      </c>
    </row>
    <row r="1649" spans="2:6" x14ac:dyDescent="0.25">
      <c r="B1649" s="27" t="s">
        <v>15324</v>
      </c>
      <c r="C1649" s="27"/>
      <c r="D1649" s="27"/>
      <c r="E1649" s="27" t="s">
        <v>14061</v>
      </c>
      <c r="F1649" s="12">
        <v>1</v>
      </c>
    </row>
    <row r="1650" spans="2:6" x14ac:dyDescent="0.25">
      <c r="B1650" s="27" t="s">
        <v>6707</v>
      </c>
      <c r="C1650" s="27"/>
      <c r="D1650" s="27"/>
      <c r="E1650" s="27" t="s">
        <v>13953</v>
      </c>
      <c r="F1650" s="12">
        <v>1</v>
      </c>
    </row>
    <row r="1651" spans="2:6" x14ac:dyDescent="0.25">
      <c r="B1651" s="27" t="s">
        <v>15325</v>
      </c>
      <c r="C1651" s="27"/>
      <c r="D1651" s="27"/>
      <c r="E1651" s="27" t="s">
        <v>14065</v>
      </c>
      <c r="F1651" s="12">
        <v>1</v>
      </c>
    </row>
    <row r="1652" spans="2:6" x14ac:dyDescent="0.25">
      <c r="B1652" s="27" t="s">
        <v>15217</v>
      </c>
      <c r="C1652" s="27"/>
      <c r="D1652" s="27"/>
      <c r="E1652" s="27" t="s">
        <v>15306</v>
      </c>
      <c r="F1652" s="12">
        <v>1</v>
      </c>
    </row>
    <row r="1653" spans="2:6" x14ac:dyDescent="0.25">
      <c r="B1653" s="27" t="s">
        <v>15326</v>
      </c>
      <c r="C1653" s="27"/>
      <c r="D1653" s="27"/>
      <c r="E1653" s="27" t="s">
        <v>14067</v>
      </c>
      <c r="F1653" s="12">
        <v>1</v>
      </c>
    </row>
    <row r="1654" spans="2:6" x14ac:dyDescent="0.25">
      <c r="B1654" s="27" t="s">
        <v>15327</v>
      </c>
      <c r="C1654" s="27"/>
      <c r="D1654" s="27"/>
      <c r="E1654" s="27" t="s">
        <v>13955</v>
      </c>
      <c r="F1654" s="12">
        <v>1</v>
      </c>
    </row>
    <row r="1655" spans="2:6" x14ac:dyDescent="0.25">
      <c r="B1655" s="27" t="s">
        <v>15328</v>
      </c>
      <c r="C1655" s="27"/>
      <c r="D1655" s="27"/>
      <c r="E1655" s="27" t="s">
        <v>14070</v>
      </c>
      <c r="F1655" s="12">
        <v>1</v>
      </c>
    </row>
    <row r="1656" spans="2:6" x14ac:dyDescent="0.25">
      <c r="B1656" s="27" t="s">
        <v>15297</v>
      </c>
      <c r="C1656" s="27"/>
      <c r="D1656" s="27"/>
      <c r="E1656" s="27" t="s">
        <v>15307</v>
      </c>
      <c r="F1656" s="12">
        <v>1</v>
      </c>
    </row>
    <row r="1657" spans="2:6" x14ac:dyDescent="0.25">
      <c r="B1657" s="27" t="s">
        <v>15244</v>
      </c>
      <c r="C1657" s="27"/>
      <c r="D1657" s="27"/>
      <c r="E1657" s="27" t="s">
        <v>14072</v>
      </c>
      <c r="F1657" s="12">
        <v>1</v>
      </c>
    </row>
    <row r="1658" spans="2:6" x14ac:dyDescent="0.25">
      <c r="B1658" s="27" t="s">
        <v>15221</v>
      </c>
      <c r="C1658" s="27"/>
      <c r="D1658" s="27"/>
      <c r="E1658" s="27" t="s">
        <v>10753</v>
      </c>
      <c r="F1658" s="12">
        <v>1</v>
      </c>
    </row>
    <row r="1659" spans="2:6" x14ac:dyDescent="0.25">
      <c r="B1659" s="27" t="s">
        <v>15301</v>
      </c>
      <c r="C1659" s="27"/>
      <c r="D1659" s="27"/>
      <c r="E1659" s="27" t="s">
        <v>14076</v>
      </c>
      <c r="F1659" s="12">
        <v>1</v>
      </c>
    </row>
    <row r="1660" spans="2:6" x14ac:dyDescent="0.25">
      <c r="B1660" s="27" t="s">
        <v>11222</v>
      </c>
      <c r="C1660" s="27"/>
      <c r="D1660" s="27"/>
      <c r="E1660" s="27" t="s">
        <v>13957</v>
      </c>
      <c r="F1660" s="12">
        <v>1</v>
      </c>
    </row>
    <row r="1661" spans="2:6" x14ac:dyDescent="0.25">
      <c r="B1661" s="27" t="s">
        <v>3719</v>
      </c>
      <c r="C1661" s="27"/>
      <c r="D1661" s="27"/>
      <c r="E1661" s="27" t="s">
        <v>14078</v>
      </c>
      <c r="F1661" s="12">
        <v>1</v>
      </c>
    </row>
    <row r="1662" spans="2:6" x14ac:dyDescent="0.25">
      <c r="B1662" s="27" t="s">
        <v>15249</v>
      </c>
      <c r="C1662" s="27"/>
      <c r="D1662" s="27"/>
      <c r="E1662" s="27" t="s">
        <v>13959</v>
      </c>
      <c r="F1662" s="12">
        <v>1</v>
      </c>
    </row>
    <row r="1663" spans="2:6" x14ac:dyDescent="0.25">
      <c r="B1663" s="27" t="s">
        <v>12001</v>
      </c>
      <c r="C1663" s="27"/>
      <c r="D1663" s="27"/>
      <c r="E1663" s="27" t="s">
        <v>14080</v>
      </c>
      <c r="F1663" s="12">
        <v>1</v>
      </c>
    </row>
    <row r="1664" spans="2:6" x14ac:dyDescent="0.25">
      <c r="B1664" s="27" t="s">
        <v>10768</v>
      </c>
      <c r="C1664" s="27"/>
      <c r="D1664" s="27"/>
      <c r="E1664" s="27" t="s">
        <v>13829</v>
      </c>
      <c r="F1664" s="12">
        <v>1</v>
      </c>
    </row>
    <row r="1665" spans="2:6" x14ac:dyDescent="0.25">
      <c r="B1665" s="27" t="s">
        <v>15329</v>
      </c>
      <c r="C1665" s="27"/>
      <c r="D1665" s="27"/>
      <c r="E1665" s="27" t="s">
        <v>14084</v>
      </c>
      <c r="F1665" s="12">
        <v>1</v>
      </c>
    </row>
    <row r="1666" spans="2:6" x14ac:dyDescent="0.25">
      <c r="B1666" s="27" t="s">
        <v>15208</v>
      </c>
      <c r="C1666" s="27"/>
      <c r="D1666" s="27"/>
      <c r="E1666" s="27" t="s">
        <v>13964</v>
      </c>
      <c r="F1666" s="12">
        <v>1</v>
      </c>
    </row>
    <row r="1667" spans="2:6" x14ac:dyDescent="0.25">
      <c r="B1667" s="27" t="s">
        <v>13573</v>
      </c>
      <c r="C1667" s="27"/>
      <c r="D1667" s="27"/>
      <c r="E1667" s="27" t="s">
        <v>14088</v>
      </c>
      <c r="F1667" s="12">
        <v>1</v>
      </c>
    </row>
    <row r="1668" spans="2:6" x14ac:dyDescent="0.25">
      <c r="B1668" s="27" t="s">
        <v>15330</v>
      </c>
      <c r="C1668" s="27"/>
      <c r="D1668" s="27"/>
      <c r="E1668" s="27" t="s">
        <v>15309</v>
      </c>
      <c r="F1668" s="12">
        <v>1</v>
      </c>
    </row>
    <row r="1669" spans="2:6" x14ac:dyDescent="0.25">
      <c r="B1669" s="27" t="s">
        <v>13575</v>
      </c>
      <c r="C1669" s="27"/>
      <c r="D1669" s="27"/>
      <c r="E1669" s="27" t="s">
        <v>14092</v>
      </c>
      <c r="F1669" s="12">
        <v>1</v>
      </c>
    </row>
    <row r="1670" spans="2:6" x14ac:dyDescent="0.25">
      <c r="B1670" s="27" t="s">
        <v>13575</v>
      </c>
      <c r="C1670" s="27"/>
      <c r="D1670" s="27"/>
      <c r="E1670" s="27" t="s">
        <v>15310</v>
      </c>
      <c r="F1670" s="12">
        <v>1</v>
      </c>
    </row>
    <row r="1671" spans="2:6" x14ac:dyDescent="0.25">
      <c r="B1671" s="27" t="s">
        <v>3919</v>
      </c>
      <c r="C1671" s="27"/>
      <c r="D1671" s="27"/>
      <c r="E1671" s="27" t="s">
        <v>14094</v>
      </c>
      <c r="F1671" s="12">
        <v>1</v>
      </c>
    </row>
    <row r="1672" spans="2:6" x14ac:dyDescent="0.25">
      <c r="B1672" s="27" t="s">
        <v>15331</v>
      </c>
      <c r="C1672" s="27"/>
      <c r="D1672" s="27"/>
      <c r="E1672" s="27" t="s">
        <v>15311</v>
      </c>
      <c r="F1672" s="12">
        <v>1</v>
      </c>
    </row>
    <row r="1673" spans="2:6" x14ac:dyDescent="0.25">
      <c r="B1673" s="27" t="s">
        <v>15332</v>
      </c>
      <c r="C1673" s="27"/>
      <c r="D1673" s="27"/>
      <c r="E1673" s="27" t="s">
        <v>15324</v>
      </c>
      <c r="F1673" s="12">
        <v>1</v>
      </c>
    </row>
    <row r="1674" spans="2:6" x14ac:dyDescent="0.25">
      <c r="B1674" s="27" t="s">
        <v>12406</v>
      </c>
      <c r="C1674" s="27"/>
      <c r="D1674" s="27"/>
      <c r="E1674" s="27" t="s">
        <v>15312</v>
      </c>
      <c r="F1674" s="12">
        <v>1</v>
      </c>
    </row>
    <row r="1675" spans="2:6" x14ac:dyDescent="0.25">
      <c r="B1675" s="27" t="s">
        <v>15333</v>
      </c>
      <c r="C1675" s="27"/>
      <c r="D1675" s="27"/>
      <c r="E1675" s="27" t="s">
        <v>6707</v>
      </c>
      <c r="F1675" s="12">
        <v>1</v>
      </c>
    </row>
    <row r="1676" spans="2:6" x14ac:dyDescent="0.25">
      <c r="B1676" s="27" t="s">
        <v>15308</v>
      </c>
      <c r="C1676" s="27"/>
      <c r="D1676" s="27"/>
      <c r="E1676" s="27" t="s">
        <v>13966</v>
      </c>
      <c r="F1676" s="12">
        <v>1</v>
      </c>
    </row>
    <row r="1677" spans="2:6" x14ac:dyDescent="0.25">
      <c r="B1677" s="27" t="s">
        <v>15334</v>
      </c>
      <c r="C1677" s="27"/>
      <c r="D1677" s="27"/>
      <c r="E1677" s="27" t="s">
        <v>15325</v>
      </c>
      <c r="F1677" s="12">
        <v>1</v>
      </c>
    </row>
    <row r="1678" spans="2:6" x14ac:dyDescent="0.25">
      <c r="B1678" s="27" t="s">
        <v>13581</v>
      </c>
      <c r="C1678" s="27"/>
      <c r="D1678" s="27"/>
      <c r="E1678" s="27" t="s">
        <v>13968</v>
      </c>
      <c r="F1678" s="12">
        <v>1</v>
      </c>
    </row>
    <row r="1679" spans="2:6" x14ac:dyDescent="0.25">
      <c r="B1679" s="27" t="s">
        <v>13581</v>
      </c>
      <c r="C1679" s="27"/>
      <c r="D1679" s="27"/>
      <c r="E1679" s="27" t="s">
        <v>14102</v>
      </c>
      <c r="F1679" s="12">
        <v>1</v>
      </c>
    </row>
    <row r="1680" spans="2:6" x14ac:dyDescent="0.25">
      <c r="B1680" s="27" t="s">
        <v>15335</v>
      </c>
      <c r="C1680" s="27"/>
      <c r="D1680" s="27"/>
      <c r="E1680" s="27" t="s">
        <v>15313</v>
      </c>
      <c r="F1680" s="12">
        <v>1</v>
      </c>
    </row>
    <row r="1681" spans="2:6" x14ac:dyDescent="0.25">
      <c r="B1681" s="27" t="s">
        <v>15336</v>
      </c>
      <c r="C1681" s="27"/>
      <c r="D1681" s="27"/>
      <c r="E1681" s="27" t="s">
        <v>15326</v>
      </c>
      <c r="F1681" s="12">
        <v>1</v>
      </c>
    </row>
    <row r="1682" spans="2:6" x14ac:dyDescent="0.25">
      <c r="B1682" s="27" t="s">
        <v>15154</v>
      </c>
      <c r="C1682" s="27"/>
      <c r="D1682" s="27"/>
      <c r="E1682" s="27" t="s">
        <v>15314</v>
      </c>
      <c r="F1682" s="12">
        <v>1</v>
      </c>
    </row>
    <row r="1683" spans="2:6" x14ac:dyDescent="0.25">
      <c r="B1683" s="27" t="s">
        <v>15136</v>
      </c>
      <c r="C1683" s="27"/>
      <c r="D1683" s="27"/>
      <c r="E1683" s="27" t="s">
        <v>15327</v>
      </c>
      <c r="F1683" s="12">
        <v>1</v>
      </c>
    </row>
    <row r="1684" spans="2:6" x14ac:dyDescent="0.25">
      <c r="B1684" s="27" t="s">
        <v>15139</v>
      </c>
      <c r="C1684" s="27"/>
      <c r="D1684" s="27"/>
      <c r="E1684" s="27" t="s">
        <v>13970</v>
      </c>
      <c r="F1684" s="12">
        <v>1</v>
      </c>
    </row>
    <row r="1685" spans="2:6" x14ac:dyDescent="0.25">
      <c r="B1685" s="27" t="s">
        <v>6783</v>
      </c>
      <c r="C1685" s="27"/>
      <c r="D1685" s="27"/>
      <c r="E1685" s="27" t="s">
        <v>14110</v>
      </c>
      <c r="F1685" s="12">
        <v>1</v>
      </c>
    </row>
    <row r="1686" spans="2:6" x14ac:dyDescent="0.25">
      <c r="B1686" s="27" t="s">
        <v>15140</v>
      </c>
      <c r="C1686" s="27"/>
      <c r="D1686" s="27"/>
      <c r="E1686" s="27" t="s">
        <v>11639</v>
      </c>
      <c r="F1686" s="12">
        <v>1</v>
      </c>
    </row>
    <row r="1687" spans="2:6" x14ac:dyDescent="0.25">
      <c r="B1687" s="27" t="s">
        <v>15141</v>
      </c>
      <c r="C1687" s="27"/>
      <c r="D1687" s="27"/>
      <c r="E1687" s="27" t="s">
        <v>15328</v>
      </c>
      <c r="F1687" s="12">
        <v>1</v>
      </c>
    </row>
    <row r="1688" spans="2:6" x14ac:dyDescent="0.25">
      <c r="B1688" s="27" t="s">
        <v>13562</v>
      </c>
      <c r="C1688" s="27"/>
      <c r="D1688" s="27"/>
      <c r="E1688" s="27" t="s">
        <v>15316</v>
      </c>
      <c r="F1688" s="12">
        <v>1</v>
      </c>
    </row>
    <row r="1689" spans="2:6" x14ac:dyDescent="0.25">
      <c r="B1689" s="27" t="s">
        <v>13562</v>
      </c>
      <c r="C1689" s="27"/>
      <c r="D1689" s="27"/>
      <c r="E1689" s="27" t="s">
        <v>14114</v>
      </c>
      <c r="F1689" s="12">
        <v>1</v>
      </c>
    </row>
    <row r="1690" spans="2:6" x14ac:dyDescent="0.25">
      <c r="B1690" s="27" t="s">
        <v>10500</v>
      </c>
      <c r="C1690" s="27"/>
      <c r="D1690" s="27"/>
      <c r="E1690" s="27" t="s">
        <v>13972</v>
      </c>
      <c r="F1690" s="12">
        <v>1</v>
      </c>
    </row>
    <row r="1691" spans="2:6" x14ac:dyDescent="0.25">
      <c r="B1691" s="27" t="s">
        <v>15146</v>
      </c>
      <c r="C1691" s="27"/>
      <c r="D1691" s="27"/>
      <c r="E1691" s="27" t="s">
        <v>14116</v>
      </c>
      <c r="F1691" s="12">
        <v>1</v>
      </c>
    </row>
    <row r="1692" spans="2:6" x14ac:dyDescent="0.25">
      <c r="B1692" s="27" t="s">
        <v>15148</v>
      </c>
      <c r="C1692" s="27"/>
      <c r="D1692" s="27"/>
      <c r="E1692" s="27" t="s">
        <v>13974</v>
      </c>
      <c r="F1692" s="12">
        <v>1</v>
      </c>
    </row>
    <row r="1693" spans="2:6" x14ac:dyDescent="0.25">
      <c r="B1693" s="27" t="s">
        <v>15149</v>
      </c>
      <c r="C1693" s="27"/>
      <c r="D1693" s="27"/>
      <c r="E1693" s="27" t="s">
        <v>14120</v>
      </c>
      <c r="F1693" s="12">
        <v>1</v>
      </c>
    </row>
    <row r="1694" spans="2:6" x14ac:dyDescent="0.25">
      <c r="B1694" s="27" t="s">
        <v>15150</v>
      </c>
      <c r="C1694" s="27"/>
      <c r="D1694" s="27"/>
      <c r="E1694" s="27" t="s">
        <v>13976</v>
      </c>
      <c r="F1694" s="12">
        <v>1</v>
      </c>
    </row>
    <row r="1695" spans="2:6" x14ac:dyDescent="0.25">
      <c r="B1695" s="27" t="s">
        <v>15153</v>
      </c>
      <c r="C1695" s="27"/>
      <c r="D1695" s="27"/>
      <c r="E1695" s="27" t="s">
        <v>14122</v>
      </c>
      <c r="F1695" s="12">
        <v>1</v>
      </c>
    </row>
    <row r="1696" spans="2:6" x14ac:dyDescent="0.25">
      <c r="B1696" s="27" t="s">
        <v>15155</v>
      </c>
      <c r="C1696" s="27"/>
      <c r="D1696" s="27"/>
      <c r="E1696" s="27" t="s">
        <v>13978</v>
      </c>
      <c r="F1696" s="12">
        <v>1</v>
      </c>
    </row>
    <row r="1697" spans="2:6" x14ac:dyDescent="0.25">
      <c r="B1697" s="27" t="s">
        <v>15156</v>
      </c>
      <c r="C1697" s="27"/>
      <c r="D1697" s="27"/>
      <c r="E1697" s="27" t="s">
        <v>14124</v>
      </c>
      <c r="F1697" s="12">
        <v>1</v>
      </c>
    </row>
    <row r="1698" spans="2:6" x14ac:dyDescent="0.25">
      <c r="B1698" s="27" t="s">
        <v>15157</v>
      </c>
      <c r="C1698" s="27"/>
      <c r="D1698" s="27"/>
      <c r="E1698" s="27" t="s">
        <v>13980</v>
      </c>
      <c r="F1698" s="12">
        <v>1</v>
      </c>
    </row>
    <row r="1699" spans="2:6" x14ac:dyDescent="0.25">
      <c r="B1699" s="27" t="s">
        <v>15158</v>
      </c>
      <c r="C1699" s="27"/>
      <c r="D1699" s="27"/>
      <c r="E1699" s="27" t="s">
        <v>14128</v>
      </c>
      <c r="F1699" s="12">
        <v>1</v>
      </c>
    </row>
    <row r="1700" spans="2:6" x14ac:dyDescent="0.25">
      <c r="B1700" s="27" t="s">
        <v>15159</v>
      </c>
      <c r="C1700" s="27"/>
      <c r="D1700" s="27"/>
      <c r="E1700" s="27" t="s">
        <v>13982</v>
      </c>
      <c r="F1700" s="12">
        <v>1</v>
      </c>
    </row>
    <row r="1701" spans="2:6" x14ac:dyDescent="0.25">
      <c r="B1701" s="27" t="s">
        <v>15160</v>
      </c>
      <c r="C1701" s="27"/>
      <c r="D1701" s="27"/>
      <c r="E1701" s="27" t="s">
        <v>11222</v>
      </c>
      <c r="F1701" s="12">
        <v>1</v>
      </c>
    </row>
    <row r="1702" spans="2:6" x14ac:dyDescent="0.25">
      <c r="B1702" s="27" t="s">
        <v>15161</v>
      </c>
      <c r="C1702" s="27"/>
      <c r="D1702" s="27"/>
      <c r="E1702" s="27" t="s">
        <v>13984</v>
      </c>
      <c r="F1702" s="12">
        <v>1</v>
      </c>
    </row>
    <row r="1703" spans="2:6" x14ac:dyDescent="0.25">
      <c r="B1703" s="27" t="s">
        <v>7161</v>
      </c>
      <c r="C1703" s="27"/>
      <c r="D1703" s="27"/>
      <c r="E1703" s="27" t="s">
        <v>14132</v>
      </c>
      <c r="F1703" s="12">
        <v>1</v>
      </c>
    </row>
    <row r="1704" spans="2:6" x14ac:dyDescent="0.25">
      <c r="B1704" s="27" t="s">
        <v>5005</v>
      </c>
      <c r="C1704" s="27"/>
      <c r="D1704" s="27"/>
      <c r="E1704" s="27" t="s">
        <v>13986</v>
      </c>
      <c r="F1704" s="12">
        <v>1</v>
      </c>
    </row>
    <row r="1705" spans="2:6" x14ac:dyDescent="0.25">
      <c r="B1705" s="27" t="s">
        <v>15163</v>
      </c>
      <c r="C1705" s="27"/>
      <c r="D1705" s="27"/>
      <c r="E1705" s="27" t="s">
        <v>14136</v>
      </c>
      <c r="F1705" s="12">
        <v>1</v>
      </c>
    </row>
    <row r="1706" spans="2:6" x14ac:dyDescent="0.25">
      <c r="B1706" s="27" t="s">
        <v>15164</v>
      </c>
      <c r="C1706" s="27"/>
      <c r="D1706" s="27"/>
      <c r="E1706" s="27" t="s">
        <v>13987</v>
      </c>
      <c r="F1706" s="12">
        <v>1</v>
      </c>
    </row>
    <row r="1707" spans="2:6" x14ac:dyDescent="0.25">
      <c r="B1707" s="27" t="s">
        <v>15165</v>
      </c>
      <c r="C1707" s="27"/>
      <c r="D1707" s="27"/>
      <c r="E1707" s="27" t="s">
        <v>12001</v>
      </c>
      <c r="F1707" s="12">
        <v>1</v>
      </c>
    </row>
    <row r="1708" spans="2:6" x14ac:dyDescent="0.25">
      <c r="B1708" s="27" t="s">
        <v>15166</v>
      </c>
      <c r="C1708" s="27"/>
      <c r="D1708" s="27"/>
      <c r="E1708" s="27" t="s">
        <v>13989</v>
      </c>
      <c r="F1708" s="12">
        <v>1</v>
      </c>
    </row>
    <row r="1709" spans="2:6" x14ac:dyDescent="0.25">
      <c r="B1709" s="27" t="s">
        <v>11156</v>
      </c>
      <c r="C1709" s="27"/>
      <c r="D1709" s="27"/>
      <c r="E1709" s="27" t="s">
        <v>14140</v>
      </c>
      <c r="F1709" s="12">
        <v>1</v>
      </c>
    </row>
    <row r="1710" spans="2:6" x14ac:dyDescent="0.25">
      <c r="B1710" s="27" t="s">
        <v>15169</v>
      </c>
      <c r="C1710" s="27"/>
      <c r="D1710" s="27"/>
      <c r="E1710" s="27" t="s">
        <v>13991</v>
      </c>
      <c r="F1710" s="12">
        <v>1</v>
      </c>
    </row>
    <row r="1711" spans="2:6" x14ac:dyDescent="0.25">
      <c r="B1711" s="27" t="s">
        <v>15171</v>
      </c>
      <c r="C1711" s="27"/>
      <c r="D1711" s="27"/>
      <c r="E1711" s="27" t="s">
        <v>14143</v>
      </c>
      <c r="F1711" s="12">
        <v>1</v>
      </c>
    </row>
    <row r="1712" spans="2:6" x14ac:dyDescent="0.25">
      <c r="B1712" s="27" t="s">
        <v>15174</v>
      </c>
      <c r="C1712" s="27"/>
      <c r="D1712" s="27"/>
      <c r="E1712" s="27" t="s">
        <v>13993</v>
      </c>
      <c r="F1712" s="12">
        <v>1</v>
      </c>
    </row>
    <row r="1713" spans="2:6" x14ac:dyDescent="0.25">
      <c r="B1713" s="27" t="s">
        <v>15175</v>
      </c>
      <c r="C1713" s="27"/>
      <c r="D1713" s="27"/>
      <c r="E1713" s="27" t="s">
        <v>14145</v>
      </c>
      <c r="F1713" s="12">
        <v>1</v>
      </c>
    </row>
    <row r="1714" spans="2:6" x14ac:dyDescent="0.25">
      <c r="B1714" s="27" t="s">
        <v>15176</v>
      </c>
      <c r="C1714" s="27"/>
      <c r="D1714" s="27"/>
      <c r="E1714" s="27" t="s">
        <v>15317</v>
      </c>
      <c r="F1714" s="12">
        <v>1</v>
      </c>
    </row>
    <row r="1715" spans="2:6" x14ac:dyDescent="0.25">
      <c r="B1715" s="27" t="s">
        <v>15177</v>
      </c>
      <c r="C1715" s="27"/>
      <c r="D1715" s="27"/>
      <c r="E1715" s="27" t="s">
        <v>14149</v>
      </c>
      <c r="F1715" s="12">
        <v>1</v>
      </c>
    </row>
    <row r="1716" spans="2:6" x14ac:dyDescent="0.25">
      <c r="B1716" s="27" t="s">
        <v>15178</v>
      </c>
      <c r="C1716" s="27"/>
      <c r="D1716" s="27"/>
      <c r="E1716" s="27" t="s">
        <v>13995</v>
      </c>
      <c r="F1716" s="12">
        <v>1</v>
      </c>
    </row>
    <row r="1717" spans="2:6" x14ac:dyDescent="0.25">
      <c r="B1717" s="27" t="s">
        <v>15179</v>
      </c>
      <c r="C1717" s="27"/>
      <c r="D1717" s="27"/>
      <c r="E1717" s="27" t="s">
        <v>15329</v>
      </c>
      <c r="F1717" s="12">
        <v>1</v>
      </c>
    </row>
    <row r="1718" spans="2:6" x14ac:dyDescent="0.25">
      <c r="B1718" s="27" t="s">
        <v>15181</v>
      </c>
      <c r="C1718" s="27"/>
      <c r="D1718" s="27"/>
      <c r="E1718" s="27" t="s">
        <v>13997</v>
      </c>
      <c r="F1718" s="12">
        <v>1</v>
      </c>
    </row>
    <row r="1719" spans="2:6" x14ac:dyDescent="0.25">
      <c r="B1719" s="27" t="s">
        <v>15182</v>
      </c>
      <c r="C1719" s="27"/>
      <c r="D1719" s="27"/>
      <c r="E1719" s="27" t="s">
        <v>13833</v>
      </c>
      <c r="F1719" s="12">
        <v>1</v>
      </c>
    </row>
    <row r="1720" spans="2:6" x14ac:dyDescent="0.25">
      <c r="B1720" s="27" t="s">
        <v>5547</v>
      </c>
      <c r="C1720" s="27"/>
      <c r="D1720" s="27"/>
      <c r="E1720" s="27" t="s">
        <v>15318</v>
      </c>
      <c r="F1720" s="12">
        <v>1</v>
      </c>
    </row>
    <row r="1721" spans="2:6" x14ac:dyDescent="0.25">
      <c r="B1721" s="27" t="s">
        <v>15185</v>
      </c>
      <c r="C1721" s="27"/>
      <c r="D1721" s="27"/>
      <c r="E1721" s="27" t="s">
        <v>14156</v>
      </c>
      <c r="F1721" s="12">
        <v>1</v>
      </c>
    </row>
    <row r="1722" spans="2:6" x14ac:dyDescent="0.25">
      <c r="B1722" s="27" t="s">
        <v>12303</v>
      </c>
      <c r="C1722" s="27"/>
      <c r="D1722" s="27"/>
      <c r="E1722" s="27" t="s">
        <v>13999</v>
      </c>
      <c r="F1722" s="12">
        <v>1</v>
      </c>
    </row>
    <row r="1723" spans="2:6" x14ac:dyDescent="0.25">
      <c r="B1723" s="27" t="s">
        <v>15187</v>
      </c>
      <c r="C1723" s="27"/>
      <c r="D1723" s="27"/>
      <c r="E1723" s="27" t="s">
        <v>15330</v>
      </c>
      <c r="F1723" s="12">
        <v>1</v>
      </c>
    </row>
    <row r="1724" spans="2:6" x14ac:dyDescent="0.25">
      <c r="B1724" s="27" t="s">
        <v>15188</v>
      </c>
      <c r="C1724" s="27"/>
      <c r="D1724" s="27"/>
      <c r="E1724" s="27" t="s">
        <v>14001</v>
      </c>
      <c r="F1724" s="12">
        <v>1</v>
      </c>
    </row>
    <row r="1725" spans="2:6" x14ac:dyDescent="0.25">
      <c r="B1725" s="27" t="s">
        <v>15190</v>
      </c>
      <c r="C1725" s="27"/>
      <c r="D1725" s="27"/>
      <c r="E1725" s="27" t="s">
        <v>14160</v>
      </c>
      <c r="F1725" s="12">
        <v>1</v>
      </c>
    </row>
    <row r="1726" spans="2:6" x14ac:dyDescent="0.25">
      <c r="B1726" s="27" t="s">
        <v>10824</v>
      </c>
      <c r="C1726" s="27"/>
      <c r="D1726" s="27"/>
      <c r="E1726" s="27" t="s">
        <v>15296</v>
      </c>
      <c r="F1726" s="12">
        <v>1</v>
      </c>
    </row>
    <row r="1727" spans="2:6" x14ac:dyDescent="0.25">
      <c r="B1727" s="27" t="s">
        <v>6568</v>
      </c>
      <c r="C1727" s="27"/>
      <c r="D1727" s="27"/>
      <c r="E1727" s="27" t="s">
        <v>14163</v>
      </c>
      <c r="F1727" s="12">
        <v>1</v>
      </c>
    </row>
    <row r="1728" spans="2:6" x14ac:dyDescent="0.25">
      <c r="B1728" s="27" t="s">
        <v>15195</v>
      </c>
      <c r="C1728" s="27"/>
      <c r="D1728" s="27"/>
      <c r="E1728" s="27" t="s">
        <v>14005</v>
      </c>
      <c r="F1728" s="12">
        <v>1</v>
      </c>
    </row>
    <row r="1729" spans="2:6" x14ac:dyDescent="0.25">
      <c r="B1729" s="27" t="s">
        <v>15196</v>
      </c>
      <c r="C1729" s="27"/>
      <c r="D1729" s="27"/>
      <c r="E1729" s="27" t="s">
        <v>14165</v>
      </c>
      <c r="F1729" s="12">
        <v>1</v>
      </c>
    </row>
    <row r="1730" spans="2:6" x14ac:dyDescent="0.25">
      <c r="B1730" s="27" t="s">
        <v>4482</v>
      </c>
      <c r="C1730" s="27"/>
      <c r="D1730" s="27"/>
      <c r="E1730" s="27" t="s">
        <v>14007</v>
      </c>
      <c r="F1730" s="12">
        <v>1</v>
      </c>
    </row>
    <row r="1731" spans="2:6" x14ac:dyDescent="0.25">
      <c r="B1731" s="27" t="s">
        <v>10565</v>
      </c>
      <c r="C1731" s="27"/>
      <c r="D1731" s="27"/>
      <c r="E1731" s="27" t="s">
        <v>15331</v>
      </c>
      <c r="F1731" s="12">
        <v>1</v>
      </c>
    </row>
    <row r="1732" spans="2:6" x14ac:dyDescent="0.25">
      <c r="B1732" s="27" t="s">
        <v>15147</v>
      </c>
      <c r="C1732" s="27"/>
      <c r="D1732" s="27"/>
      <c r="E1732" s="27" t="s">
        <v>14008</v>
      </c>
      <c r="F1732" s="12">
        <v>1</v>
      </c>
    </row>
    <row r="1733" spans="2:6" x14ac:dyDescent="0.25">
      <c r="B1733" s="27" t="s">
        <v>6894</v>
      </c>
      <c r="C1733" s="27"/>
      <c r="D1733" s="27"/>
      <c r="E1733" s="27" t="s">
        <v>14171</v>
      </c>
      <c r="F1733" s="12">
        <v>1</v>
      </c>
    </row>
    <row r="1734" spans="2:6" x14ac:dyDescent="0.25">
      <c r="B1734" s="27" t="s">
        <v>15167</v>
      </c>
      <c r="C1734" s="27"/>
      <c r="D1734" s="27"/>
      <c r="E1734" s="27" t="s">
        <v>6765</v>
      </c>
      <c r="F1734" s="12">
        <v>1</v>
      </c>
    </row>
    <row r="1735" spans="2:6" x14ac:dyDescent="0.25">
      <c r="B1735" s="27" t="s">
        <v>15143</v>
      </c>
      <c r="C1735" s="27"/>
      <c r="D1735" s="27"/>
      <c r="E1735" s="27" t="s">
        <v>15332</v>
      </c>
      <c r="F1735" s="12">
        <v>1</v>
      </c>
    </row>
    <row r="1736" spans="2:6" x14ac:dyDescent="0.25">
      <c r="B1736" s="27" t="s">
        <v>15168</v>
      </c>
      <c r="C1736" s="27"/>
      <c r="D1736" s="27"/>
      <c r="E1736" s="27" t="s">
        <v>14010</v>
      </c>
      <c r="F1736" s="12">
        <v>1</v>
      </c>
    </row>
    <row r="1737" spans="2:6" x14ac:dyDescent="0.25">
      <c r="B1737" s="27" t="s">
        <v>15170</v>
      </c>
      <c r="C1737" s="27"/>
      <c r="D1737" s="27"/>
      <c r="E1737" s="27" t="s">
        <v>14177</v>
      </c>
      <c r="F1737" s="12">
        <v>1</v>
      </c>
    </row>
    <row r="1738" spans="2:6" x14ac:dyDescent="0.25">
      <c r="B1738" s="27" t="s">
        <v>4788</v>
      </c>
      <c r="C1738" s="27"/>
      <c r="D1738" s="27"/>
      <c r="E1738" s="27" t="s">
        <v>15319</v>
      </c>
      <c r="F1738" s="12">
        <v>1</v>
      </c>
    </row>
    <row r="1739" spans="2:6" x14ac:dyDescent="0.25">
      <c r="B1739" s="27" t="s">
        <v>4112</v>
      </c>
      <c r="C1739" s="27"/>
      <c r="D1739" s="27"/>
      <c r="E1739" s="27" t="s">
        <v>14181</v>
      </c>
      <c r="F1739" s="12">
        <v>1</v>
      </c>
    </row>
    <row r="1740" spans="2:6" x14ac:dyDescent="0.25">
      <c r="B1740" s="27" t="s">
        <v>15172</v>
      </c>
      <c r="C1740" s="27"/>
      <c r="D1740" s="27"/>
      <c r="E1740" s="27" t="s">
        <v>15320</v>
      </c>
      <c r="F1740" s="12">
        <v>1</v>
      </c>
    </row>
    <row r="1741" spans="2:6" x14ac:dyDescent="0.25">
      <c r="B1741" s="27" t="s">
        <v>6911</v>
      </c>
      <c r="C1741" s="27"/>
      <c r="D1741" s="27"/>
      <c r="E1741" s="27" t="s">
        <v>14185</v>
      </c>
      <c r="F1741" s="12">
        <v>1</v>
      </c>
    </row>
    <row r="1742" spans="2:6" x14ac:dyDescent="0.25">
      <c r="B1742" s="27" t="s">
        <v>15173</v>
      </c>
      <c r="C1742" s="27"/>
      <c r="D1742" s="27"/>
      <c r="E1742" s="27" t="s">
        <v>13831</v>
      </c>
      <c r="F1742" s="12">
        <v>1</v>
      </c>
    </row>
    <row r="1743" spans="2:6" x14ac:dyDescent="0.25">
      <c r="B1743" s="27" t="s">
        <v>15137</v>
      </c>
      <c r="C1743" s="27"/>
      <c r="D1743" s="27"/>
      <c r="E1743" s="27" t="s">
        <v>12406</v>
      </c>
      <c r="F1743" s="12">
        <v>1</v>
      </c>
    </row>
    <row r="1744" spans="2:6" x14ac:dyDescent="0.25">
      <c r="B1744" s="27" t="s">
        <v>12871</v>
      </c>
      <c r="C1744" s="27"/>
      <c r="D1744" s="27"/>
      <c r="E1744" s="27" t="s">
        <v>14012</v>
      </c>
      <c r="F1744" s="12">
        <v>1</v>
      </c>
    </row>
    <row r="1745" spans="2:6" x14ac:dyDescent="0.25">
      <c r="B1745" s="27" t="s">
        <v>13560</v>
      </c>
      <c r="C1745" s="27"/>
      <c r="D1745" s="27"/>
      <c r="E1745" s="27" t="s">
        <v>15333</v>
      </c>
      <c r="F1745" s="12">
        <v>1</v>
      </c>
    </row>
    <row r="1746" spans="2:6" x14ac:dyDescent="0.25">
      <c r="B1746" s="27" t="s">
        <v>15144</v>
      </c>
      <c r="C1746" s="27"/>
      <c r="D1746" s="27"/>
      <c r="E1746" s="27" t="s">
        <v>14014</v>
      </c>
      <c r="F1746" s="12">
        <v>1</v>
      </c>
    </row>
    <row r="1747" spans="2:6" x14ac:dyDescent="0.25">
      <c r="B1747" s="27" t="s">
        <v>15151</v>
      </c>
      <c r="C1747" s="27"/>
      <c r="D1747" s="27"/>
      <c r="E1747" s="27" t="s">
        <v>14193</v>
      </c>
      <c r="F1747" s="12">
        <v>1</v>
      </c>
    </row>
    <row r="1748" spans="2:6" x14ac:dyDescent="0.25">
      <c r="B1748" s="27" t="s">
        <v>15180</v>
      </c>
      <c r="C1748" s="27"/>
      <c r="D1748" s="27"/>
      <c r="E1748" s="27" t="s">
        <v>14016</v>
      </c>
      <c r="F1748" s="12">
        <v>1</v>
      </c>
    </row>
    <row r="1749" spans="2:6" x14ac:dyDescent="0.25">
      <c r="B1749" s="27" t="s">
        <v>15145</v>
      </c>
      <c r="C1749" s="27"/>
      <c r="D1749" s="27"/>
      <c r="E1749" s="27" t="s">
        <v>14195</v>
      </c>
      <c r="F1749" s="12">
        <v>1</v>
      </c>
    </row>
    <row r="1750" spans="2:6" x14ac:dyDescent="0.25">
      <c r="B1750" s="27" t="s">
        <v>15183</v>
      </c>
      <c r="C1750" s="27"/>
      <c r="D1750" s="27"/>
      <c r="E1750" s="27" t="s">
        <v>14018</v>
      </c>
      <c r="F1750" s="12">
        <v>1</v>
      </c>
    </row>
    <row r="1751" spans="2:6" x14ac:dyDescent="0.25">
      <c r="B1751" s="27" t="s">
        <v>15184</v>
      </c>
      <c r="C1751" s="27"/>
      <c r="D1751" s="27"/>
      <c r="E1751" s="27" t="s">
        <v>14199</v>
      </c>
      <c r="F1751" s="12">
        <v>1</v>
      </c>
    </row>
    <row r="1752" spans="2:6" x14ac:dyDescent="0.25">
      <c r="B1752" s="27" t="s">
        <v>15138</v>
      </c>
      <c r="C1752" s="27"/>
      <c r="D1752" s="27"/>
      <c r="E1752" s="27" t="s">
        <v>14019</v>
      </c>
      <c r="F1752" s="12">
        <v>1</v>
      </c>
    </row>
    <row r="1753" spans="2:6" x14ac:dyDescent="0.25">
      <c r="B1753" s="27" t="s">
        <v>15186</v>
      </c>
      <c r="C1753" s="27"/>
      <c r="D1753" s="27"/>
      <c r="E1753" s="27" t="s">
        <v>14203</v>
      </c>
      <c r="F1753" s="12">
        <v>1</v>
      </c>
    </row>
    <row r="1754" spans="2:6" x14ac:dyDescent="0.25">
      <c r="B1754" s="27" t="s">
        <v>15152</v>
      </c>
      <c r="C1754" s="27"/>
      <c r="D1754" s="27"/>
      <c r="E1754" s="27" t="s">
        <v>14215</v>
      </c>
      <c r="F1754" s="12">
        <v>1</v>
      </c>
    </row>
    <row r="1755" spans="2:6" x14ac:dyDescent="0.25">
      <c r="B1755" s="27" t="s">
        <v>7178</v>
      </c>
      <c r="C1755" s="27"/>
      <c r="D1755" s="27"/>
      <c r="E1755" s="27" t="s">
        <v>15334</v>
      </c>
      <c r="F1755" s="12">
        <v>1</v>
      </c>
    </row>
    <row r="1756" spans="2:6" x14ac:dyDescent="0.25">
      <c r="B1756" s="27" t="s">
        <v>15162</v>
      </c>
      <c r="C1756" s="27"/>
      <c r="D1756" s="27"/>
      <c r="E1756" s="27" t="s">
        <v>15335</v>
      </c>
      <c r="F1756" s="12">
        <v>1</v>
      </c>
    </row>
    <row r="1757" spans="2:6" x14ac:dyDescent="0.25">
      <c r="B1757" s="27" t="s">
        <v>15189</v>
      </c>
      <c r="C1757" s="27"/>
      <c r="D1757" s="27"/>
      <c r="E1757" s="27" t="s">
        <v>14209</v>
      </c>
      <c r="F1757" s="12">
        <v>1</v>
      </c>
    </row>
    <row r="1758" spans="2:6" x14ac:dyDescent="0.25">
      <c r="B1758" s="27" t="s">
        <v>11098</v>
      </c>
      <c r="C1758" s="27"/>
      <c r="D1758" s="27"/>
      <c r="E1758" s="27" t="s">
        <v>13825</v>
      </c>
      <c r="F1758" s="12">
        <v>1</v>
      </c>
    </row>
    <row r="1759" spans="2:6" x14ac:dyDescent="0.25">
      <c r="B1759" s="27" t="s">
        <v>15191</v>
      </c>
      <c r="C1759" s="27"/>
      <c r="D1759" s="27"/>
      <c r="E1759" s="27" t="s">
        <v>14213</v>
      </c>
      <c r="F1759" s="12">
        <v>1</v>
      </c>
    </row>
    <row r="1760" spans="2:6" x14ac:dyDescent="0.25">
      <c r="B1760" s="27" t="s">
        <v>15192</v>
      </c>
      <c r="C1760" s="27"/>
      <c r="D1760" s="27"/>
      <c r="E1760" s="27" t="s">
        <v>14025</v>
      </c>
      <c r="F1760" s="12">
        <v>1</v>
      </c>
    </row>
    <row r="1761" spans="2:6" x14ac:dyDescent="0.25">
      <c r="B1761" s="27" t="s">
        <v>4192</v>
      </c>
      <c r="C1761" s="27"/>
      <c r="D1761" s="27"/>
      <c r="E1761" s="27" t="s">
        <v>14027</v>
      </c>
      <c r="F1761" s="12">
        <v>1</v>
      </c>
    </row>
    <row r="1762" spans="2:6" x14ac:dyDescent="0.25">
      <c r="B1762" s="27" t="s">
        <v>9253</v>
      </c>
      <c r="C1762" s="27"/>
      <c r="D1762" s="27"/>
      <c r="E1762" s="27" t="s">
        <v>15322</v>
      </c>
      <c r="F1762" s="12">
        <v>1</v>
      </c>
    </row>
    <row r="1763" spans="2:6" x14ac:dyDescent="0.25">
      <c r="B1763" s="27" t="s">
        <v>15142</v>
      </c>
      <c r="C1763" s="27"/>
      <c r="D1763" s="27"/>
      <c r="E1763" s="27" t="s">
        <v>15336</v>
      </c>
      <c r="F1763" s="12">
        <v>1</v>
      </c>
    </row>
    <row r="1764" spans="2:6" x14ac:dyDescent="0.25">
      <c r="B1764" s="27" t="s">
        <v>15193</v>
      </c>
      <c r="C1764" s="27"/>
      <c r="D1764" s="27"/>
      <c r="E1764" s="27" t="s">
        <v>14021</v>
      </c>
      <c r="F1764" s="12">
        <v>1</v>
      </c>
    </row>
    <row r="1765" spans="2:6" x14ac:dyDescent="0.25">
      <c r="B1765" s="27" t="s">
        <v>13568</v>
      </c>
      <c r="C1765" s="27"/>
      <c r="D1765" s="27"/>
      <c r="E1765" s="27" t="s">
        <v>14023</v>
      </c>
      <c r="F1765" s="12">
        <v>1</v>
      </c>
    </row>
    <row r="1766" spans="2:6" x14ac:dyDescent="0.25">
      <c r="B1766" s="27" t="s">
        <v>13568</v>
      </c>
      <c r="C1766" s="27"/>
      <c r="D1766" s="27"/>
      <c r="E1766" s="27" t="s">
        <v>13811</v>
      </c>
      <c r="F1766" s="12">
        <v>1</v>
      </c>
    </row>
    <row r="1767" spans="2:6" x14ac:dyDescent="0.25">
      <c r="B1767" s="27" t="s">
        <v>6094</v>
      </c>
      <c r="C1767" s="27"/>
      <c r="D1767" s="27"/>
      <c r="E1767" s="27" t="s">
        <v>13712</v>
      </c>
      <c r="F1767" s="12">
        <v>1</v>
      </c>
    </row>
    <row r="1768" spans="2:6" x14ac:dyDescent="0.25">
      <c r="B1768" s="27" t="s">
        <v>13556</v>
      </c>
      <c r="C1768" s="27"/>
      <c r="D1768" s="27"/>
      <c r="E1768" s="27" t="s">
        <v>13673</v>
      </c>
      <c r="F1768" s="12">
        <v>1</v>
      </c>
    </row>
    <row r="1769" spans="2:6" x14ac:dyDescent="0.25">
      <c r="B1769" s="27" t="s">
        <v>15194</v>
      </c>
      <c r="C1769" s="27"/>
      <c r="D1769" s="27"/>
      <c r="E1769" s="27" t="s">
        <v>13459</v>
      </c>
      <c r="F1769" s="12">
        <v>1</v>
      </c>
    </row>
    <row r="1770" spans="2:6" x14ac:dyDescent="0.25">
      <c r="B1770" s="27" t="s">
        <v>6444</v>
      </c>
      <c r="C1770" s="27"/>
      <c r="D1770" s="27"/>
      <c r="E1770" s="27" t="s">
        <v>13756</v>
      </c>
      <c r="F1770" s="12">
        <v>1</v>
      </c>
    </row>
    <row r="1771" spans="2:6" x14ac:dyDescent="0.25">
      <c r="B1771" s="27" t="s">
        <v>15068</v>
      </c>
      <c r="C1771" s="27"/>
      <c r="D1771" s="27"/>
      <c r="E1771" s="27" t="s">
        <v>15202</v>
      </c>
      <c r="F1771" s="12">
        <v>1</v>
      </c>
    </row>
    <row r="1772" spans="2:6" x14ac:dyDescent="0.25">
      <c r="B1772" s="27" t="s">
        <v>15080</v>
      </c>
      <c r="C1772" s="27"/>
      <c r="D1772" s="27"/>
      <c r="E1772" s="27" t="s">
        <v>13648</v>
      </c>
      <c r="F1772" s="12">
        <v>1</v>
      </c>
    </row>
    <row r="1773" spans="2:6" x14ac:dyDescent="0.25">
      <c r="B1773" s="27" t="s">
        <v>15112</v>
      </c>
      <c r="C1773" s="27"/>
      <c r="D1773" s="27"/>
      <c r="E1773" s="27" t="s">
        <v>13461</v>
      </c>
      <c r="F1773" s="12">
        <v>1</v>
      </c>
    </row>
    <row r="1774" spans="2:6" x14ac:dyDescent="0.25">
      <c r="B1774" s="27" t="s">
        <v>6119</v>
      </c>
      <c r="C1774" s="27"/>
      <c r="D1774" s="27"/>
      <c r="E1774" s="27" t="s">
        <v>13695</v>
      </c>
      <c r="F1774" s="12">
        <v>1</v>
      </c>
    </row>
    <row r="1775" spans="2:6" x14ac:dyDescent="0.25">
      <c r="B1775" s="27" t="s">
        <v>15128</v>
      </c>
      <c r="C1775" s="27"/>
      <c r="D1775" s="27"/>
      <c r="E1775" s="27" t="s">
        <v>13463</v>
      </c>
      <c r="F1775" s="12">
        <v>1</v>
      </c>
    </row>
    <row r="1776" spans="2:6" x14ac:dyDescent="0.25">
      <c r="B1776" s="27" t="s">
        <v>15114</v>
      </c>
      <c r="C1776" s="27"/>
      <c r="D1776" s="27"/>
      <c r="E1776" s="27" t="s">
        <v>13732</v>
      </c>
      <c r="F1776" s="12">
        <v>1</v>
      </c>
    </row>
    <row r="1777" spans="2:6" x14ac:dyDescent="0.25">
      <c r="B1777" s="27" t="s">
        <v>15082</v>
      </c>
      <c r="C1777" s="27"/>
      <c r="D1777" s="27"/>
      <c r="E1777" s="27" t="s">
        <v>13465</v>
      </c>
      <c r="F1777" s="12">
        <v>1</v>
      </c>
    </row>
    <row r="1778" spans="2:6" x14ac:dyDescent="0.25">
      <c r="B1778" s="27" t="s">
        <v>15065</v>
      </c>
      <c r="C1778" s="27"/>
      <c r="D1778" s="27"/>
      <c r="E1778" s="27" t="s">
        <v>13458</v>
      </c>
      <c r="F1778" s="12">
        <v>1</v>
      </c>
    </row>
    <row r="1779" spans="2:6" x14ac:dyDescent="0.25">
      <c r="B1779" s="27" t="s">
        <v>15066</v>
      </c>
      <c r="C1779" s="27"/>
      <c r="D1779" s="27"/>
      <c r="E1779" s="27" t="s">
        <v>13441</v>
      </c>
      <c r="F1779" s="12">
        <v>1</v>
      </c>
    </row>
    <row r="1780" spans="2:6" x14ac:dyDescent="0.25">
      <c r="B1780" s="27" t="s">
        <v>11350</v>
      </c>
      <c r="C1780" s="27"/>
      <c r="D1780" s="27"/>
      <c r="E1780" s="27" t="s">
        <v>13440</v>
      </c>
      <c r="F1780" s="12">
        <v>1</v>
      </c>
    </row>
    <row r="1781" spans="2:6" x14ac:dyDescent="0.25">
      <c r="B1781" s="27" t="s">
        <v>5526</v>
      </c>
      <c r="C1781" s="27"/>
      <c r="D1781" s="27"/>
      <c r="E1781" s="27" t="s">
        <v>13470</v>
      </c>
      <c r="F1781" s="12">
        <v>1</v>
      </c>
    </row>
    <row r="1782" spans="2:6" x14ac:dyDescent="0.25">
      <c r="B1782" s="27" t="s">
        <v>10462</v>
      </c>
      <c r="C1782" s="27"/>
      <c r="D1782" s="27"/>
      <c r="E1782" s="27" t="s">
        <v>13659</v>
      </c>
      <c r="F1782" s="12">
        <v>1</v>
      </c>
    </row>
    <row r="1783" spans="2:6" x14ac:dyDescent="0.25">
      <c r="B1783" s="27" t="s">
        <v>15070</v>
      </c>
      <c r="C1783" s="27"/>
      <c r="D1783" s="27"/>
      <c r="E1783" s="27" t="s">
        <v>13472</v>
      </c>
      <c r="F1783" s="12">
        <v>1</v>
      </c>
    </row>
    <row r="1784" spans="2:6" x14ac:dyDescent="0.25">
      <c r="B1784" s="27" t="s">
        <v>15071</v>
      </c>
      <c r="C1784" s="27"/>
      <c r="D1784" s="27"/>
      <c r="E1784" s="27" t="s">
        <v>13686</v>
      </c>
      <c r="F1784" s="12">
        <v>1</v>
      </c>
    </row>
    <row r="1785" spans="2:6" x14ac:dyDescent="0.25">
      <c r="B1785" s="27" t="s">
        <v>15072</v>
      </c>
      <c r="C1785" s="27"/>
      <c r="D1785" s="27"/>
      <c r="E1785" s="27" t="s">
        <v>15204</v>
      </c>
      <c r="F1785" s="12">
        <v>1</v>
      </c>
    </row>
    <row r="1786" spans="2:6" x14ac:dyDescent="0.25">
      <c r="B1786" s="27" t="s">
        <v>15073</v>
      </c>
      <c r="C1786" s="27"/>
      <c r="D1786" s="27"/>
      <c r="E1786" s="27" t="s">
        <v>15257</v>
      </c>
      <c r="F1786" s="12">
        <v>1</v>
      </c>
    </row>
    <row r="1787" spans="2:6" x14ac:dyDescent="0.25">
      <c r="B1787" s="27" t="s">
        <v>15075</v>
      </c>
      <c r="C1787" s="27"/>
      <c r="D1787" s="27"/>
      <c r="E1787" s="27" t="s">
        <v>13474</v>
      </c>
      <c r="F1787" s="12">
        <v>1</v>
      </c>
    </row>
    <row r="1788" spans="2:6" x14ac:dyDescent="0.25">
      <c r="B1788" s="27" t="s">
        <v>15079</v>
      </c>
      <c r="C1788" s="27"/>
      <c r="D1788" s="27"/>
      <c r="E1788" s="27" t="s">
        <v>13720</v>
      </c>
      <c r="F1788" s="12">
        <v>1</v>
      </c>
    </row>
    <row r="1789" spans="2:6" x14ac:dyDescent="0.25">
      <c r="B1789" s="27" t="s">
        <v>13538</v>
      </c>
      <c r="C1789" s="27"/>
      <c r="D1789" s="27"/>
      <c r="E1789" s="27" t="s">
        <v>13476</v>
      </c>
      <c r="F1789" s="12">
        <v>1</v>
      </c>
    </row>
    <row r="1790" spans="2:6" x14ac:dyDescent="0.25">
      <c r="B1790" s="27" t="s">
        <v>15081</v>
      </c>
      <c r="C1790" s="27"/>
      <c r="D1790" s="27"/>
      <c r="E1790" s="27" t="s">
        <v>13743</v>
      </c>
      <c r="F1790" s="12">
        <v>1</v>
      </c>
    </row>
    <row r="1791" spans="2:6" x14ac:dyDescent="0.25">
      <c r="B1791" s="27" t="s">
        <v>11373</v>
      </c>
      <c r="C1791" s="27"/>
      <c r="D1791" s="27"/>
      <c r="E1791" s="27" t="s">
        <v>13478</v>
      </c>
      <c r="F1791" s="12">
        <v>1</v>
      </c>
    </row>
    <row r="1792" spans="2:6" x14ac:dyDescent="0.25">
      <c r="B1792" s="27" t="s">
        <v>8393</v>
      </c>
      <c r="C1792" s="27"/>
      <c r="D1792" s="27"/>
      <c r="E1792" s="27" t="s">
        <v>15271</v>
      </c>
      <c r="F1792" s="12">
        <v>1</v>
      </c>
    </row>
    <row r="1793" spans="2:6" x14ac:dyDescent="0.25">
      <c r="B1793" s="27" t="s">
        <v>15084</v>
      </c>
      <c r="C1793" s="27"/>
      <c r="D1793" s="27"/>
      <c r="E1793" s="27" t="s">
        <v>13480</v>
      </c>
      <c r="F1793" s="12">
        <v>1</v>
      </c>
    </row>
    <row r="1794" spans="2:6" x14ac:dyDescent="0.25">
      <c r="B1794" s="27" t="s">
        <v>15090</v>
      </c>
      <c r="C1794" s="27"/>
      <c r="D1794" s="27"/>
      <c r="E1794" s="27" t="s">
        <v>12567</v>
      </c>
      <c r="F1794" s="12">
        <v>1</v>
      </c>
    </row>
    <row r="1795" spans="2:6" x14ac:dyDescent="0.25">
      <c r="B1795" s="27" t="s">
        <v>15092</v>
      </c>
      <c r="C1795" s="27"/>
      <c r="D1795" s="27"/>
      <c r="E1795" s="27" t="s">
        <v>13482</v>
      </c>
      <c r="F1795" s="12">
        <v>1</v>
      </c>
    </row>
    <row r="1796" spans="2:6" x14ac:dyDescent="0.25">
      <c r="B1796" s="27" t="s">
        <v>15095</v>
      </c>
      <c r="C1796" s="27"/>
      <c r="D1796" s="27"/>
      <c r="E1796" s="27" t="s">
        <v>13819</v>
      </c>
      <c r="F1796" s="12">
        <v>1</v>
      </c>
    </row>
    <row r="1797" spans="2:6" x14ac:dyDescent="0.25">
      <c r="B1797" s="27" t="s">
        <v>10620</v>
      </c>
      <c r="C1797" s="27"/>
      <c r="D1797" s="27"/>
      <c r="E1797" s="27" t="s">
        <v>13484</v>
      </c>
      <c r="F1797" s="12">
        <v>1</v>
      </c>
    </row>
    <row r="1798" spans="2:6" x14ac:dyDescent="0.25">
      <c r="B1798" s="27" t="s">
        <v>15098</v>
      </c>
      <c r="C1798" s="27"/>
      <c r="D1798" s="27"/>
      <c r="E1798" s="27" t="s">
        <v>13640</v>
      </c>
      <c r="F1798" s="12">
        <v>1</v>
      </c>
    </row>
    <row r="1799" spans="2:6" x14ac:dyDescent="0.25">
      <c r="B1799" s="27" t="s">
        <v>15099</v>
      </c>
      <c r="C1799" s="27"/>
      <c r="D1799" s="27"/>
      <c r="E1799" s="27" t="s">
        <v>13486</v>
      </c>
      <c r="F1799" s="12">
        <v>1</v>
      </c>
    </row>
    <row r="1800" spans="2:6" x14ac:dyDescent="0.25">
      <c r="B1800" s="27" t="s">
        <v>15101</v>
      </c>
      <c r="C1800" s="27"/>
      <c r="D1800" s="27"/>
      <c r="E1800" s="27" t="s">
        <v>11839</v>
      </c>
      <c r="F1800" s="12">
        <v>1</v>
      </c>
    </row>
    <row r="1801" spans="2:6" x14ac:dyDescent="0.25">
      <c r="B1801" s="27" t="s">
        <v>616</v>
      </c>
      <c r="C1801" s="27"/>
      <c r="D1801" s="27"/>
      <c r="E1801" s="27" t="s">
        <v>13488</v>
      </c>
      <c r="F1801" s="12">
        <v>1</v>
      </c>
    </row>
    <row r="1802" spans="2:6" x14ac:dyDescent="0.25">
      <c r="B1802" s="27" t="s">
        <v>15102</v>
      </c>
      <c r="C1802" s="27"/>
      <c r="D1802" s="27"/>
      <c r="E1802" s="27" t="s">
        <v>13665</v>
      </c>
      <c r="F1802" s="12">
        <v>1</v>
      </c>
    </row>
    <row r="1803" spans="2:6" x14ac:dyDescent="0.25">
      <c r="B1803" s="27" t="s">
        <v>15104</v>
      </c>
      <c r="C1803" s="27"/>
      <c r="D1803" s="27"/>
      <c r="E1803" s="27" t="s">
        <v>13489</v>
      </c>
      <c r="F1803" s="12">
        <v>1</v>
      </c>
    </row>
    <row r="1804" spans="2:6" x14ac:dyDescent="0.25">
      <c r="B1804" s="27" t="s">
        <v>844</v>
      </c>
      <c r="C1804" s="27"/>
      <c r="D1804" s="27"/>
      <c r="E1804" s="27" t="s">
        <v>13678</v>
      </c>
      <c r="F1804" s="12">
        <v>1</v>
      </c>
    </row>
    <row r="1805" spans="2:6" x14ac:dyDescent="0.25">
      <c r="B1805" s="27" t="s">
        <v>15108</v>
      </c>
      <c r="C1805" s="27"/>
      <c r="D1805" s="27"/>
      <c r="E1805" s="27" t="s">
        <v>15205</v>
      </c>
      <c r="F1805" s="12">
        <v>1</v>
      </c>
    </row>
    <row r="1806" spans="2:6" x14ac:dyDescent="0.25">
      <c r="B1806" s="27" t="s">
        <v>15109</v>
      </c>
      <c r="C1806" s="27"/>
      <c r="D1806" s="27"/>
      <c r="E1806" s="27" t="s">
        <v>13691</v>
      </c>
      <c r="F1806" s="12">
        <v>1</v>
      </c>
    </row>
    <row r="1807" spans="2:6" x14ac:dyDescent="0.25">
      <c r="B1807" s="27" t="s">
        <v>15110</v>
      </c>
      <c r="C1807" s="27"/>
      <c r="D1807" s="27"/>
      <c r="E1807" s="27" t="s">
        <v>13491</v>
      </c>
      <c r="F1807" s="12">
        <v>1</v>
      </c>
    </row>
    <row r="1808" spans="2:6" x14ac:dyDescent="0.25">
      <c r="B1808" s="27" t="s">
        <v>3798</v>
      </c>
      <c r="C1808" s="27"/>
      <c r="D1808" s="27"/>
      <c r="E1808" s="27" t="s">
        <v>13701</v>
      </c>
      <c r="F1808" s="12">
        <v>1</v>
      </c>
    </row>
    <row r="1809" spans="2:6" x14ac:dyDescent="0.25">
      <c r="B1809" s="27" t="s">
        <v>4362</v>
      </c>
      <c r="C1809" s="27"/>
      <c r="D1809" s="27"/>
      <c r="E1809" s="27" t="s">
        <v>15207</v>
      </c>
      <c r="F1809" s="12">
        <v>1</v>
      </c>
    </row>
    <row r="1810" spans="2:6" x14ac:dyDescent="0.25">
      <c r="B1810" s="27" t="s">
        <v>15113</v>
      </c>
      <c r="C1810" s="27"/>
      <c r="D1810" s="27"/>
      <c r="E1810" s="27" t="s">
        <v>15261</v>
      </c>
      <c r="F1810" s="12">
        <v>1</v>
      </c>
    </row>
    <row r="1811" spans="2:6" x14ac:dyDescent="0.25">
      <c r="B1811" s="27" t="s">
        <v>13552</v>
      </c>
      <c r="C1811" s="27"/>
      <c r="D1811" s="27"/>
      <c r="E1811" s="27" t="s">
        <v>13493</v>
      </c>
      <c r="F1811" s="12">
        <v>1</v>
      </c>
    </row>
    <row r="1812" spans="2:6" x14ac:dyDescent="0.25">
      <c r="B1812" s="27" t="s">
        <v>15117</v>
      </c>
      <c r="C1812" s="27"/>
      <c r="D1812" s="27"/>
      <c r="E1812" s="27" t="s">
        <v>360</v>
      </c>
      <c r="F1812" s="12">
        <v>1</v>
      </c>
    </row>
    <row r="1813" spans="2:6" x14ac:dyDescent="0.25">
      <c r="B1813" s="27" t="s">
        <v>15118</v>
      </c>
      <c r="C1813" s="27"/>
      <c r="D1813" s="27"/>
      <c r="E1813" s="27" t="s">
        <v>13495</v>
      </c>
      <c r="F1813" s="12">
        <v>1</v>
      </c>
    </row>
    <row r="1814" spans="2:6" x14ac:dyDescent="0.25">
      <c r="B1814" s="27" t="s">
        <v>15119</v>
      </c>
      <c r="C1814" s="27"/>
      <c r="D1814" s="27"/>
      <c r="E1814" s="27" t="s">
        <v>13725</v>
      </c>
      <c r="F1814" s="12">
        <v>1</v>
      </c>
    </row>
    <row r="1815" spans="2:6" x14ac:dyDescent="0.25">
      <c r="B1815" s="27" t="s">
        <v>15124</v>
      </c>
      <c r="C1815" s="27"/>
      <c r="D1815" s="27"/>
      <c r="E1815" s="27" t="s">
        <v>13497</v>
      </c>
      <c r="F1815" s="12">
        <v>1</v>
      </c>
    </row>
    <row r="1816" spans="2:6" x14ac:dyDescent="0.25">
      <c r="B1816" s="27" t="s">
        <v>15125</v>
      </c>
      <c r="C1816" s="27"/>
      <c r="D1816" s="27"/>
      <c r="E1816" s="27" t="s">
        <v>13737</v>
      </c>
      <c r="F1816" s="12">
        <v>1</v>
      </c>
    </row>
    <row r="1817" spans="2:6" x14ac:dyDescent="0.25">
      <c r="B1817" s="27" t="s">
        <v>15127</v>
      </c>
      <c r="C1817" s="27"/>
      <c r="D1817" s="27"/>
      <c r="E1817" s="27" t="s">
        <v>15209</v>
      </c>
      <c r="F1817" s="12">
        <v>1</v>
      </c>
    </row>
    <row r="1818" spans="2:6" x14ac:dyDescent="0.25">
      <c r="B1818" s="27" t="s">
        <v>13533</v>
      </c>
      <c r="C1818" s="27"/>
      <c r="D1818" s="27"/>
      <c r="E1818" s="27" t="s">
        <v>13749</v>
      </c>
      <c r="F1818" s="12">
        <v>1</v>
      </c>
    </row>
    <row r="1819" spans="2:6" x14ac:dyDescent="0.25">
      <c r="B1819" s="27" t="s">
        <v>8506</v>
      </c>
      <c r="C1819" s="27"/>
      <c r="D1819" s="27"/>
      <c r="E1819" s="27" t="s">
        <v>13499</v>
      </c>
      <c r="F1819" s="12">
        <v>1</v>
      </c>
    </row>
    <row r="1820" spans="2:6" x14ac:dyDescent="0.25">
      <c r="B1820" s="27" t="s">
        <v>15130</v>
      </c>
      <c r="C1820" s="27"/>
      <c r="D1820" s="27"/>
      <c r="E1820" s="27" t="s">
        <v>13764</v>
      </c>
      <c r="F1820" s="12">
        <v>1</v>
      </c>
    </row>
    <row r="1821" spans="2:6" x14ac:dyDescent="0.25">
      <c r="B1821" s="27" t="s">
        <v>15135</v>
      </c>
      <c r="C1821" s="27"/>
      <c r="D1821" s="27"/>
      <c r="E1821" s="27" t="s">
        <v>4886</v>
      </c>
      <c r="F1821" s="12">
        <v>1</v>
      </c>
    </row>
    <row r="1822" spans="2:6" x14ac:dyDescent="0.25">
      <c r="B1822" s="27" t="s">
        <v>7598</v>
      </c>
      <c r="C1822" s="27"/>
      <c r="D1822" s="27"/>
      <c r="E1822" s="27" t="s">
        <v>13774</v>
      </c>
      <c r="F1822" s="12">
        <v>1</v>
      </c>
    </row>
    <row r="1823" spans="2:6" x14ac:dyDescent="0.25">
      <c r="B1823" s="27" t="s">
        <v>7598</v>
      </c>
      <c r="C1823" s="27"/>
      <c r="D1823" s="27"/>
      <c r="E1823" s="27" t="s">
        <v>13501</v>
      </c>
      <c r="F1823" s="12">
        <v>1</v>
      </c>
    </row>
    <row r="1824" spans="2:6" x14ac:dyDescent="0.25">
      <c r="B1824" s="27" t="s">
        <v>15133</v>
      </c>
      <c r="C1824" s="27"/>
      <c r="D1824" s="27"/>
      <c r="E1824" s="27" t="s">
        <v>10032</v>
      </c>
      <c r="F1824" s="12">
        <v>1</v>
      </c>
    </row>
    <row r="1825" spans="2:6" x14ac:dyDescent="0.25">
      <c r="B1825" s="27" t="s">
        <v>15077</v>
      </c>
      <c r="C1825" s="27"/>
      <c r="D1825" s="27"/>
      <c r="E1825" s="27" t="s">
        <v>13444</v>
      </c>
      <c r="F1825" s="12">
        <v>1</v>
      </c>
    </row>
    <row r="1826" spans="2:6" x14ac:dyDescent="0.25">
      <c r="B1826" s="27" t="s">
        <v>15103</v>
      </c>
      <c r="C1826" s="27"/>
      <c r="D1826" s="27"/>
      <c r="E1826" s="27" t="s">
        <v>15287</v>
      </c>
      <c r="F1826" s="12">
        <v>1</v>
      </c>
    </row>
    <row r="1827" spans="2:6" x14ac:dyDescent="0.25">
      <c r="B1827" s="27" t="s">
        <v>13547</v>
      </c>
      <c r="C1827" s="27"/>
      <c r="D1827" s="27"/>
      <c r="E1827" s="27" t="s">
        <v>13503</v>
      </c>
      <c r="F1827" s="12">
        <v>1</v>
      </c>
    </row>
    <row r="1828" spans="2:6" x14ac:dyDescent="0.25">
      <c r="B1828" s="27" t="s">
        <v>13547</v>
      </c>
      <c r="C1828" s="27"/>
      <c r="D1828" s="27"/>
      <c r="E1828" s="27" t="s">
        <v>15289</v>
      </c>
      <c r="F1828" s="12">
        <v>1</v>
      </c>
    </row>
    <row r="1829" spans="2:6" x14ac:dyDescent="0.25">
      <c r="B1829" s="27" t="s">
        <v>15105</v>
      </c>
      <c r="C1829" s="27"/>
      <c r="D1829" s="27"/>
      <c r="E1829" s="27" t="s">
        <v>15211</v>
      </c>
      <c r="F1829" s="12">
        <v>1</v>
      </c>
    </row>
    <row r="1830" spans="2:6" x14ac:dyDescent="0.25">
      <c r="B1830" s="27" t="s">
        <v>15106</v>
      </c>
      <c r="C1830" s="27"/>
      <c r="D1830" s="27"/>
      <c r="E1830" s="27" t="s">
        <v>13823</v>
      </c>
      <c r="F1830" s="12">
        <v>1</v>
      </c>
    </row>
    <row r="1831" spans="2:6" x14ac:dyDescent="0.25">
      <c r="B1831" s="27" t="s">
        <v>15107</v>
      </c>
      <c r="C1831" s="27"/>
      <c r="D1831" s="27"/>
      <c r="E1831" s="27" t="s">
        <v>13505</v>
      </c>
      <c r="F1831" s="12">
        <v>1</v>
      </c>
    </row>
    <row r="1832" spans="2:6" x14ac:dyDescent="0.25">
      <c r="B1832" s="27" t="s">
        <v>15086</v>
      </c>
      <c r="C1832" s="27"/>
      <c r="D1832" s="27"/>
      <c r="E1832" s="27" t="s">
        <v>15248</v>
      </c>
      <c r="F1832" s="12">
        <v>1</v>
      </c>
    </row>
    <row r="1833" spans="2:6" x14ac:dyDescent="0.25">
      <c r="B1833" s="27" t="s">
        <v>15064</v>
      </c>
      <c r="C1833" s="27"/>
      <c r="D1833" s="27"/>
      <c r="E1833" s="27" t="s">
        <v>15212</v>
      </c>
      <c r="F1833" s="12">
        <v>1</v>
      </c>
    </row>
    <row r="1834" spans="2:6" x14ac:dyDescent="0.25">
      <c r="B1834" s="27" t="s">
        <v>15078</v>
      </c>
      <c r="C1834" s="27"/>
      <c r="D1834" s="27"/>
      <c r="E1834" s="27" t="s">
        <v>13644</v>
      </c>
      <c r="F1834" s="12">
        <v>1</v>
      </c>
    </row>
    <row r="1835" spans="2:6" x14ac:dyDescent="0.25">
      <c r="B1835" s="27" t="s">
        <v>15067</v>
      </c>
      <c r="C1835" s="27"/>
      <c r="D1835" s="27"/>
      <c r="E1835" s="27" t="s">
        <v>15213</v>
      </c>
      <c r="F1835" s="12">
        <v>1</v>
      </c>
    </row>
    <row r="1836" spans="2:6" x14ac:dyDescent="0.25">
      <c r="B1836" s="27" t="s">
        <v>15111</v>
      </c>
      <c r="C1836" s="27"/>
      <c r="D1836" s="27"/>
      <c r="E1836" s="27" t="s">
        <v>13652</v>
      </c>
      <c r="F1836" s="12">
        <v>1</v>
      </c>
    </row>
    <row r="1837" spans="2:6" x14ac:dyDescent="0.25">
      <c r="B1837" s="27" t="s">
        <v>15087</v>
      </c>
      <c r="C1837" s="27"/>
      <c r="D1837" s="27"/>
      <c r="E1837" s="27" t="s">
        <v>15214</v>
      </c>
      <c r="F1837" s="12">
        <v>1</v>
      </c>
    </row>
    <row r="1838" spans="2:6" x14ac:dyDescent="0.25">
      <c r="B1838" s="27" t="s">
        <v>15088</v>
      </c>
      <c r="C1838" s="27"/>
      <c r="D1838" s="27"/>
      <c r="E1838" s="27" t="s">
        <v>13655</v>
      </c>
      <c r="F1838" s="12">
        <v>1</v>
      </c>
    </row>
    <row r="1839" spans="2:6" x14ac:dyDescent="0.25">
      <c r="B1839" s="27" t="s">
        <v>15089</v>
      </c>
      <c r="C1839" s="27"/>
      <c r="D1839" s="27"/>
      <c r="E1839" s="27" t="s">
        <v>13507</v>
      </c>
      <c r="F1839" s="12">
        <v>1</v>
      </c>
    </row>
    <row r="1840" spans="2:6" x14ac:dyDescent="0.25">
      <c r="B1840" s="27" t="s">
        <v>13549</v>
      </c>
      <c r="C1840" s="27"/>
      <c r="D1840" s="27"/>
      <c r="E1840" s="27" t="s">
        <v>13661</v>
      </c>
      <c r="F1840" s="12">
        <v>1</v>
      </c>
    </row>
    <row r="1841" spans="2:6" x14ac:dyDescent="0.25">
      <c r="B1841" s="27" t="s">
        <v>13549</v>
      </c>
      <c r="C1841" s="27"/>
      <c r="D1841" s="27"/>
      <c r="E1841" s="27" t="s">
        <v>13509</v>
      </c>
      <c r="F1841" s="12">
        <v>1</v>
      </c>
    </row>
    <row r="1842" spans="2:6" x14ac:dyDescent="0.25">
      <c r="B1842" s="27" t="s">
        <v>7630</v>
      </c>
      <c r="C1842" s="27"/>
      <c r="D1842" s="27"/>
      <c r="E1842" s="27" t="s">
        <v>13669</v>
      </c>
      <c r="F1842" s="12">
        <v>1</v>
      </c>
    </row>
    <row r="1843" spans="2:6" x14ac:dyDescent="0.25">
      <c r="B1843" s="27" t="s">
        <v>15115</v>
      </c>
      <c r="C1843" s="27"/>
      <c r="D1843" s="27"/>
      <c r="E1843" s="27" t="s">
        <v>6960</v>
      </c>
      <c r="F1843" s="12">
        <v>1</v>
      </c>
    </row>
    <row r="1844" spans="2:6" x14ac:dyDescent="0.25">
      <c r="B1844" s="27" t="s">
        <v>7691</v>
      </c>
      <c r="C1844" s="27"/>
      <c r="D1844" s="27"/>
      <c r="E1844" s="27" t="s">
        <v>15251</v>
      </c>
      <c r="F1844" s="12">
        <v>1</v>
      </c>
    </row>
    <row r="1845" spans="2:6" x14ac:dyDescent="0.25">
      <c r="B1845" s="27" t="s">
        <v>15116</v>
      </c>
      <c r="C1845" s="27"/>
      <c r="D1845" s="27"/>
      <c r="E1845" s="27" t="s">
        <v>13511</v>
      </c>
      <c r="F1845" s="12">
        <v>1</v>
      </c>
    </row>
    <row r="1846" spans="2:6" x14ac:dyDescent="0.25">
      <c r="B1846" s="27" t="s">
        <v>15091</v>
      </c>
      <c r="C1846" s="27"/>
      <c r="D1846" s="27"/>
      <c r="E1846" s="27" t="s">
        <v>13682</v>
      </c>
      <c r="F1846" s="12">
        <v>1</v>
      </c>
    </row>
    <row r="1847" spans="2:6" x14ac:dyDescent="0.25">
      <c r="B1847" s="27" t="s">
        <v>15069</v>
      </c>
      <c r="C1847" s="27"/>
      <c r="D1847" s="27"/>
      <c r="E1847" s="27" t="s">
        <v>13513</v>
      </c>
      <c r="F1847" s="12">
        <v>1</v>
      </c>
    </row>
    <row r="1848" spans="2:6" x14ac:dyDescent="0.25">
      <c r="B1848" s="27" t="s">
        <v>15093</v>
      </c>
      <c r="C1848" s="27"/>
      <c r="D1848" s="27"/>
      <c r="E1848" s="27" t="s">
        <v>13688</v>
      </c>
      <c r="F1848" s="12">
        <v>1</v>
      </c>
    </row>
    <row r="1849" spans="2:6" x14ac:dyDescent="0.25">
      <c r="B1849" s="27" t="s">
        <v>15120</v>
      </c>
      <c r="C1849" s="27"/>
      <c r="D1849" s="27"/>
      <c r="E1849" s="27" t="s">
        <v>13515</v>
      </c>
      <c r="F1849" s="12">
        <v>1</v>
      </c>
    </row>
    <row r="1850" spans="2:6" x14ac:dyDescent="0.25">
      <c r="B1850" s="27" t="s">
        <v>15083</v>
      </c>
      <c r="C1850" s="27"/>
      <c r="D1850" s="27"/>
      <c r="E1850" s="27" t="s">
        <v>15254</v>
      </c>
      <c r="F1850" s="12">
        <v>1</v>
      </c>
    </row>
    <row r="1851" spans="2:6" x14ac:dyDescent="0.25">
      <c r="B1851" s="27" t="s">
        <v>15121</v>
      </c>
      <c r="C1851" s="27"/>
      <c r="D1851" s="27"/>
      <c r="E1851" s="27" t="s">
        <v>13517</v>
      </c>
      <c r="F1851" s="12">
        <v>1</v>
      </c>
    </row>
    <row r="1852" spans="2:6" x14ac:dyDescent="0.25">
      <c r="B1852" s="27" t="s">
        <v>15094</v>
      </c>
      <c r="C1852" s="27"/>
      <c r="D1852" s="27"/>
      <c r="E1852" s="27" t="s">
        <v>13698</v>
      </c>
      <c r="F1852" s="12">
        <v>1</v>
      </c>
    </row>
    <row r="1853" spans="2:6" x14ac:dyDescent="0.25">
      <c r="B1853" s="27" t="s">
        <v>11933</v>
      </c>
      <c r="C1853" s="27"/>
      <c r="D1853" s="27"/>
      <c r="E1853" s="27" t="s">
        <v>13519</v>
      </c>
      <c r="F1853" s="12">
        <v>1</v>
      </c>
    </row>
    <row r="1854" spans="2:6" x14ac:dyDescent="0.25">
      <c r="B1854" s="27" t="s">
        <v>15096</v>
      </c>
      <c r="C1854" s="27"/>
      <c r="D1854" s="27"/>
      <c r="E1854" s="27" t="s">
        <v>13705</v>
      </c>
      <c r="F1854" s="12">
        <v>1</v>
      </c>
    </row>
    <row r="1855" spans="2:6" x14ac:dyDescent="0.25">
      <c r="B1855" s="27" t="s">
        <v>4947</v>
      </c>
      <c r="C1855" s="27"/>
      <c r="D1855" s="27"/>
      <c r="E1855" s="27" t="s">
        <v>15216</v>
      </c>
      <c r="F1855" s="12">
        <v>1</v>
      </c>
    </row>
    <row r="1856" spans="2:6" x14ac:dyDescent="0.25">
      <c r="B1856" s="27" t="s">
        <v>9822</v>
      </c>
      <c r="C1856" s="27"/>
      <c r="D1856" s="27"/>
      <c r="E1856" s="27" t="s">
        <v>15259</v>
      </c>
      <c r="F1856" s="12">
        <v>1</v>
      </c>
    </row>
    <row r="1857" spans="2:6" x14ac:dyDescent="0.25">
      <c r="B1857" s="27" t="s">
        <v>15122</v>
      </c>
      <c r="C1857" s="27"/>
      <c r="D1857" s="27"/>
      <c r="E1857" s="27" t="s">
        <v>15218</v>
      </c>
      <c r="F1857" s="12">
        <v>1</v>
      </c>
    </row>
    <row r="1858" spans="2:6" x14ac:dyDescent="0.25">
      <c r="B1858" s="27" t="s">
        <v>15123</v>
      </c>
      <c r="C1858" s="27"/>
      <c r="D1858" s="27"/>
      <c r="E1858" s="27" t="s">
        <v>15262</v>
      </c>
      <c r="F1858" s="12">
        <v>1</v>
      </c>
    </row>
    <row r="1859" spans="2:6" x14ac:dyDescent="0.25">
      <c r="B1859" s="27" t="s">
        <v>9502</v>
      </c>
      <c r="C1859" s="27"/>
      <c r="D1859" s="27"/>
      <c r="E1859" s="27" t="s">
        <v>13521</v>
      </c>
      <c r="F1859" s="12">
        <v>1</v>
      </c>
    </row>
    <row r="1860" spans="2:6" x14ac:dyDescent="0.25">
      <c r="B1860" s="27" t="s">
        <v>12548</v>
      </c>
      <c r="C1860" s="27"/>
      <c r="D1860" s="27"/>
      <c r="E1860" s="27" t="s">
        <v>13714</v>
      </c>
      <c r="F1860" s="12">
        <v>1</v>
      </c>
    </row>
    <row r="1861" spans="2:6" x14ac:dyDescent="0.25">
      <c r="B1861" s="27" t="s">
        <v>15126</v>
      </c>
      <c r="C1861" s="27"/>
      <c r="D1861" s="27"/>
      <c r="E1861" s="27" t="s">
        <v>13523</v>
      </c>
      <c r="F1861" s="12">
        <v>1</v>
      </c>
    </row>
    <row r="1862" spans="2:6" x14ac:dyDescent="0.25">
      <c r="B1862" s="27" t="s">
        <v>15097</v>
      </c>
      <c r="C1862" s="27"/>
      <c r="D1862" s="27"/>
      <c r="E1862" s="27" t="s">
        <v>13718</v>
      </c>
      <c r="F1862" s="12">
        <v>1</v>
      </c>
    </row>
    <row r="1863" spans="2:6" x14ac:dyDescent="0.25">
      <c r="B1863" s="27" t="s">
        <v>12227</v>
      </c>
      <c r="C1863" s="27"/>
      <c r="D1863" s="27"/>
      <c r="E1863" s="27" t="s">
        <v>15220</v>
      </c>
      <c r="F1863" s="12">
        <v>1</v>
      </c>
    </row>
    <row r="1864" spans="2:6" x14ac:dyDescent="0.25">
      <c r="B1864" s="27" t="s">
        <v>15074</v>
      </c>
      <c r="C1864" s="27"/>
      <c r="D1864" s="27"/>
      <c r="E1864" s="27" t="s">
        <v>13723</v>
      </c>
      <c r="F1864" s="12">
        <v>1</v>
      </c>
    </row>
    <row r="1865" spans="2:6" x14ac:dyDescent="0.25">
      <c r="B1865" s="27" t="s">
        <v>15129</v>
      </c>
      <c r="C1865" s="27"/>
      <c r="D1865" s="27"/>
      <c r="E1865" s="27" t="s">
        <v>13525</v>
      </c>
      <c r="F1865" s="12">
        <v>1</v>
      </c>
    </row>
    <row r="1866" spans="2:6" x14ac:dyDescent="0.25">
      <c r="B1866" s="27" t="s">
        <v>15100</v>
      </c>
      <c r="C1866" s="27"/>
      <c r="D1866" s="27"/>
      <c r="E1866" s="27" t="s">
        <v>13728</v>
      </c>
      <c r="F1866" s="12">
        <v>1</v>
      </c>
    </row>
    <row r="1867" spans="2:6" x14ac:dyDescent="0.25">
      <c r="B1867" s="27" t="s">
        <v>15085</v>
      </c>
      <c r="C1867" s="27"/>
      <c r="D1867" s="27"/>
      <c r="E1867" s="27" t="s">
        <v>15222</v>
      </c>
      <c r="F1867" s="12">
        <v>1</v>
      </c>
    </row>
    <row r="1868" spans="2:6" x14ac:dyDescent="0.25">
      <c r="B1868" s="27" t="s">
        <v>12828</v>
      </c>
      <c r="C1868" s="27"/>
      <c r="D1868" s="27"/>
      <c r="E1868" s="27" t="s">
        <v>13735</v>
      </c>
      <c r="F1868" s="12">
        <v>1</v>
      </c>
    </row>
    <row r="1869" spans="2:6" x14ac:dyDescent="0.25">
      <c r="B1869" s="27" t="s">
        <v>15131</v>
      </c>
      <c r="C1869" s="27"/>
      <c r="D1869" s="27"/>
      <c r="E1869" s="27" t="s">
        <v>13527</v>
      </c>
      <c r="F1869" s="12">
        <v>1</v>
      </c>
    </row>
    <row r="1870" spans="2:6" x14ac:dyDescent="0.25">
      <c r="B1870" s="27" t="s">
        <v>2178</v>
      </c>
      <c r="C1870" s="27"/>
      <c r="D1870" s="27"/>
      <c r="E1870" s="27" t="s">
        <v>13739</v>
      </c>
      <c r="F1870" s="12">
        <v>1</v>
      </c>
    </row>
    <row r="1871" spans="2:6" x14ac:dyDescent="0.25">
      <c r="B1871" s="27" t="s">
        <v>9630</v>
      </c>
      <c r="C1871" s="27"/>
      <c r="D1871" s="27"/>
      <c r="E1871" s="27" t="s">
        <v>13447</v>
      </c>
      <c r="F1871" s="12">
        <v>1</v>
      </c>
    </row>
    <row r="1872" spans="2:6" x14ac:dyDescent="0.25">
      <c r="B1872" s="27" t="s">
        <v>15076</v>
      </c>
      <c r="C1872" s="27"/>
      <c r="D1872" s="27"/>
      <c r="E1872" s="27" t="s">
        <v>13747</v>
      </c>
      <c r="F1872" s="12">
        <v>1</v>
      </c>
    </row>
    <row r="1873" spans="2:6" x14ac:dyDescent="0.25">
      <c r="B1873" s="27" t="s">
        <v>13544</v>
      </c>
      <c r="C1873" s="27"/>
      <c r="D1873" s="27"/>
      <c r="E1873" s="27" t="s">
        <v>15223</v>
      </c>
      <c r="F1873" s="12">
        <v>1</v>
      </c>
    </row>
    <row r="1874" spans="2:6" x14ac:dyDescent="0.25">
      <c r="B1874" s="27" t="s">
        <v>15132</v>
      </c>
      <c r="C1874" s="27"/>
      <c r="D1874" s="27"/>
      <c r="E1874" s="27" t="s">
        <v>13753</v>
      </c>
      <c r="F1874" s="12">
        <v>1</v>
      </c>
    </row>
    <row r="1875" spans="2:6" x14ac:dyDescent="0.25">
      <c r="B1875" s="27" t="s">
        <v>15134</v>
      </c>
      <c r="C1875" s="27"/>
      <c r="D1875" s="27"/>
      <c r="E1875" s="27" t="s">
        <v>13532</v>
      </c>
      <c r="F1875" s="12">
        <v>1</v>
      </c>
    </row>
    <row r="1876" spans="2:6" x14ac:dyDescent="0.25">
      <c r="B1876" s="27" t="s">
        <v>11386</v>
      </c>
      <c r="C1876" s="27"/>
      <c r="D1876" s="27"/>
      <c r="E1876" s="27" t="s">
        <v>13760</v>
      </c>
      <c r="F1876" s="12">
        <v>1</v>
      </c>
    </row>
    <row r="1877" spans="2:6" x14ac:dyDescent="0.25">
      <c r="B1877" s="27" t="s">
        <v>14849</v>
      </c>
      <c r="C1877" s="27"/>
      <c r="D1877" s="27"/>
      <c r="E1877" s="27" t="s">
        <v>13534</v>
      </c>
      <c r="F1877" s="12">
        <v>1</v>
      </c>
    </row>
    <row r="1878" spans="2:6" x14ac:dyDescent="0.25">
      <c r="B1878" s="27" t="s">
        <v>14857</v>
      </c>
      <c r="C1878" s="27"/>
      <c r="D1878" s="27"/>
      <c r="E1878" s="27" t="s">
        <v>13768</v>
      </c>
      <c r="F1878" s="12">
        <v>1</v>
      </c>
    </row>
    <row r="1879" spans="2:6" x14ac:dyDescent="0.25">
      <c r="B1879" s="27" t="s">
        <v>14871</v>
      </c>
      <c r="C1879" s="27"/>
      <c r="D1879" s="27"/>
      <c r="E1879" s="27" t="s">
        <v>15224</v>
      </c>
      <c r="F1879" s="12">
        <v>1</v>
      </c>
    </row>
    <row r="1880" spans="2:6" x14ac:dyDescent="0.25">
      <c r="B1880" s="27" t="s">
        <v>14646</v>
      </c>
      <c r="C1880" s="27"/>
      <c r="D1880" s="27"/>
      <c r="E1880" s="27" t="s">
        <v>15274</v>
      </c>
      <c r="F1880" s="12">
        <v>1</v>
      </c>
    </row>
    <row r="1881" spans="2:6" x14ac:dyDescent="0.25">
      <c r="B1881" s="27" t="s">
        <v>14649</v>
      </c>
      <c r="C1881" s="27"/>
      <c r="D1881" s="27"/>
      <c r="E1881" s="27" t="s">
        <v>13536</v>
      </c>
      <c r="F1881" s="12">
        <v>1</v>
      </c>
    </row>
    <row r="1882" spans="2:6" x14ac:dyDescent="0.25">
      <c r="B1882" s="27" t="s">
        <v>14668</v>
      </c>
      <c r="C1882" s="27"/>
      <c r="D1882" s="27"/>
      <c r="E1882" s="27" t="s">
        <v>15277</v>
      </c>
      <c r="F1882" s="12">
        <v>1</v>
      </c>
    </row>
    <row r="1883" spans="2:6" x14ac:dyDescent="0.25">
      <c r="B1883" s="27" t="s">
        <v>12620</v>
      </c>
      <c r="C1883" s="27"/>
      <c r="D1883" s="27"/>
      <c r="E1883" s="27" t="s">
        <v>15199</v>
      </c>
      <c r="F1883" s="12">
        <v>1</v>
      </c>
    </row>
    <row r="1884" spans="2:6" x14ac:dyDescent="0.25">
      <c r="B1884" s="27" t="s">
        <v>1908</v>
      </c>
      <c r="C1884" s="27"/>
      <c r="D1884" s="27"/>
      <c r="E1884" s="27" t="s">
        <v>13793</v>
      </c>
      <c r="F1884" s="12">
        <v>1</v>
      </c>
    </row>
    <row r="1885" spans="2:6" x14ac:dyDescent="0.25">
      <c r="B1885" s="27" t="s">
        <v>14720</v>
      </c>
      <c r="C1885" s="27"/>
      <c r="D1885" s="27"/>
      <c r="E1885" s="27" t="s">
        <v>13537</v>
      </c>
      <c r="F1885" s="12">
        <v>1</v>
      </c>
    </row>
    <row r="1886" spans="2:6" x14ac:dyDescent="0.25">
      <c r="B1886" s="27" t="s">
        <v>8051</v>
      </c>
      <c r="C1886" s="27"/>
      <c r="D1886" s="27"/>
      <c r="E1886" s="27" t="s">
        <v>13797</v>
      </c>
      <c r="F1886" s="12">
        <v>1</v>
      </c>
    </row>
    <row r="1887" spans="2:6" x14ac:dyDescent="0.25">
      <c r="B1887" s="27" t="s">
        <v>14739</v>
      </c>
      <c r="C1887" s="27"/>
      <c r="D1887" s="27"/>
      <c r="E1887" s="27" t="s">
        <v>13539</v>
      </c>
      <c r="F1887" s="12">
        <v>1</v>
      </c>
    </row>
    <row r="1888" spans="2:6" x14ac:dyDescent="0.25">
      <c r="B1888" s="27" t="s">
        <v>14742</v>
      </c>
      <c r="C1888" s="27"/>
      <c r="D1888" s="27"/>
      <c r="E1888" s="27" t="s">
        <v>13801</v>
      </c>
      <c r="F1888" s="12">
        <v>1</v>
      </c>
    </row>
    <row r="1889" spans="2:6" x14ac:dyDescent="0.25">
      <c r="B1889" s="27" t="s">
        <v>14762</v>
      </c>
      <c r="C1889" s="27"/>
      <c r="D1889" s="27"/>
      <c r="E1889" s="27" t="s">
        <v>15227</v>
      </c>
      <c r="F1889" s="12">
        <v>1</v>
      </c>
    </row>
    <row r="1890" spans="2:6" x14ac:dyDescent="0.25">
      <c r="B1890" s="27" t="s">
        <v>14770</v>
      </c>
      <c r="C1890" s="27"/>
      <c r="D1890" s="27"/>
      <c r="E1890" s="27" t="s">
        <v>13807</v>
      </c>
      <c r="F1890" s="12">
        <v>1</v>
      </c>
    </row>
    <row r="1891" spans="2:6" x14ac:dyDescent="0.25">
      <c r="B1891" s="27" t="s">
        <v>11950</v>
      </c>
      <c r="C1891" s="27"/>
      <c r="D1891" s="27"/>
      <c r="E1891" s="27" t="s">
        <v>13541</v>
      </c>
      <c r="F1891" s="12">
        <v>1</v>
      </c>
    </row>
    <row r="1892" spans="2:6" x14ac:dyDescent="0.25">
      <c r="B1892" s="27" t="s">
        <v>8201</v>
      </c>
      <c r="C1892" s="27"/>
      <c r="D1892" s="27"/>
      <c r="E1892" s="27" t="s">
        <v>15200</v>
      </c>
      <c r="F1892" s="12">
        <v>1</v>
      </c>
    </row>
    <row r="1893" spans="2:6" x14ac:dyDescent="0.25">
      <c r="B1893" s="27" t="s">
        <v>14788</v>
      </c>
      <c r="C1893" s="27"/>
      <c r="D1893" s="27"/>
      <c r="E1893" s="27" t="s">
        <v>13543</v>
      </c>
      <c r="F1893" s="12">
        <v>1</v>
      </c>
    </row>
    <row r="1894" spans="2:6" x14ac:dyDescent="0.25">
      <c r="B1894" s="27" t="s">
        <v>9958</v>
      </c>
      <c r="C1894" s="27"/>
      <c r="D1894" s="27"/>
      <c r="E1894" s="27" t="s">
        <v>13815</v>
      </c>
      <c r="F1894" s="12">
        <v>1</v>
      </c>
    </row>
    <row r="1895" spans="2:6" x14ac:dyDescent="0.25">
      <c r="B1895" s="27" t="s">
        <v>5071</v>
      </c>
      <c r="C1895" s="27"/>
      <c r="D1895" s="27"/>
      <c r="E1895" s="27" t="s">
        <v>13545</v>
      </c>
      <c r="F1895" s="12">
        <v>1</v>
      </c>
    </row>
    <row r="1896" spans="2:6" x14ac:dyDescent="0.25">
      <c r="B1896" s="27" t="s">
        <v>12454</v>
      </c>
      <c r="C1896" s="27"/>
      <c r="D1896" s="27"/>
      <c r="E1896" s="27" t="s">
        <v>15292</v>
      </c>
      <c r="F1896" s="12">
        <v>1</v>
      </c>
    </row>
    <row r="1897" spans="2:6" x14ac:dyDescent="0.25">
      <c r="B1897" s="27" t="s">
        <v>14845</v>
      </c>
      <c r="C1897" s="27"/>
      <c r="D1897" s="27"/>
      <c r="E1897" s="27" t="s">
        <v>15228</v>
      </c>
      <c r="F1897" s="12">
        <v>1</v>
      </c>
    </row>
    <row r="1898" spans="2:6" x14ac:dyDescent="0.25">
      <c r="B1898" s="27" t="s">
        <v>13520</v>
      </c>
      <c r="C1898" s="27"/>
      <c r="D1898" s="27"/>
      <c r="E1898" s="27" t="s">
        <v>15294</v>
      </c>
      <c r="F1898" s="12">
        <v>1</v>
      </c>
    </row>
    <row r="1899" spans="2:6" x14ac:dyDescent="0.25">
      <c r="B1899" s="27" t="s">
        <v>6800</v>
      </c>
      <c r="C1899" s="27"/>
      <c r="D1899" s="27"/>
      <c r="E1899" s="27" t="s">
        <v>15229</v>
      </c>
      <c r="F1899" s="12">
        <v>1</v>
      </c>
    </row>
    <row r="1900" spans="2:6" x14ac:dyDescent="0.25">
      <c r="B1900" s="27" t="s">
        <v>14886</v>
      </c>
      <c r="C1900" s="27"/>
      <c r="D1900" s="27"/>
      <c r="E1900" s="27" t="s">
        <v>13637</v>
      </c>
      <c r="F1900" s="12">
        <v>1</v>
      </c>
    </row>
    <row r="1901" spans="2:6" x14ac:dyDescent="0.25">
      <c r="B1901" s="27" t="s">
        <v>14894</v>
      </c>
      <c r="C1901" s="27"/>
      <c r="D1901" s="27"/>
      <c r="E1901" s="27" t="s">
        <v>13546</v>
      </c>
      <c r="F1901" s="12">
        <v>1</v>
      </c>
    </row>
    <row r="1902" spans="2:6" x14ac:dyDescent="0.25">
      <c r="B1902" s="27" t="s">
        <v>14898</v>
      </c>
      <c r="C1902" s="27"/>
      <c r="D1902" s="27"/>
      <c r="E1902" s="27" t="s">
        <v>13638</v>
      </c>
      <c r="F1902" s="12">
        <v>1</v>
      </c>
    </row>
    <row r="1903" spans="2:6" x14ac:dyDescent="0.25">
      <c r="B1903" s="27" t="s">
        <v>14904</v>
      </c>
      <c r="C1903" s="27"/>
      <c r="D1903" s="27"/>
      <c r="E1903" s="27" t="s">
        <v>13548</v>
      </c>
      <c r="F1903" s="12">
        <v>1</v>
      </c>
    </row>
    <row r="1904" spans="2:6" x14ac:dyDescent="0.25">
      <c r="B1904" s="27" t="s">
        <v>11970</v>
      </c>
      <c r="C1904" s="27"/>
      <c r="D1904" s="27"/>
      <c r="E1904" s="27" t="s">
        <v>13642</v>
      </c>
      <c r="F1904" s="12">
        <v>1</v>
      </c>
    </row>
    <row r="1905" spans="2:6" x14ac:dyDescent="0.25">
      <c r="B1905" s="27" t="s">
        <v>14915</v>
      </c>
      <c r="C1905" s="27"/>
      <c r="D1905" s="27"/>
      <c r="E1905" s="27" t="s">
        <v>15230</v>
      </c>
      <c r="F1905" s="12">
        <v>1</v>
      </c>
    </row>
    <row r="1906" spans="2:6" x14ac:dyDescent="0.25">
      <c r="B1906" s="27" t="s">
        <v>14931</v>
      </c>
      <c r="C1906" s="27"/>
      <c r="D1906" s="27"/>
      <c r="E1906" s="27" t="s">
        <v>13646</v>
      </c>
      <c r="F1906" s="12">
        <v>1</v>
      </c>
    </row>
    <row r="1907" spans="2:6" x14ac:dyDescent="0.25">
      <c r="B1907" s="27" t="s">
        <v>14954</v>
      </c>
      <c r="C1907" s="27"/>
      <c r="D1907" s="27"/>
      <c r="E1907" s="27" t="s">
        <v>1842</v>
      </c>
      <c r="F1907" s="12">
        <v>1</v>
      </c>
    </row>
    <row r="1908" spans="2:6" x14ac:dyDescent="0.25">
      <c r="B1908" s="27" t="s">
        <v>14982</v>
      </c>
      <c r="C1908" s="27"/>
      <c r="D1908" s="27"/>
      <c r="E1908" s="27" t="s">
        <v>13650</v>
      </c>
      <c r="F1908" s="12">
        <v>1</v>
      </c>
    </row>
    <row r="1909" spans="2:6" x14ac:dyDescent="0.25">
      <c r="B1909" s="27" t="s">
        <v>14984</v>
      </c>
      <c r="C1909" s="27"/>
      <c r="D1909" s="27"/>
      <c r="E1909" s="27" t="s">
        <v>12279</v>
      </c>
      <c r="F1909" s="12">
        <v>1</v>
      </c>
    </row>
    <row r="1910" spans="2:6" x14ac:dyDescent="0.25">
      <c r="B1910" s="27" t="s">
        <v>14986</v>
      </c>
      <c r="C1910" s="27"/>
      <c r="D1910" s="27"/>
      <c r="E1910" s="27" t="s">
        <v>15250</v>
      </c>
      <c r="F1910" s="12">
        <v>1</v>
      </c>
    </row>
    <row r="1911" spans="2:6" x14ac:dyDescent="0.25">
      <c r="B1911" s="27" t="s">
        <v>14988</v>
      </c>
      <c r="C1911" s="27"/>
      <c r="D1911" s="27"/>
      <c r="E1911" s="27" t="s">
        <v>13550</v>
      </c>
      <c r="F1911" s="12">
        <v>1</v>
      </c>
    </row>
    <row r="1912" spans="2:6" x14ac:dyDescent="0.25">
      <c r="B1912" s="27" t="s">
        <v>8455</v>
      </c>
      <c r="C1912" s="27"/>
      <c r="D1912" s="27"/>
      <c r="E1912" s="27" t="s">
        <v>13653</v>
      </c>
      <c r="F1912" s="12">
        <v>1</v>
      </c>
    </row>
    <row r="1913" spans="2:6" x14ac:dyDescent="0.25">
      <c r="B1913" s="27" t="s">
        <v>14995</v>
      </c>
      <c r="C1913" s="27"/>
      <c r="D1913" s="27"/>
      <c r="E1913" s="27" t="s">
        <v>13551</v>
      </c>
      <c r="F1913" s="12">
        <v>1</v>
      </c>
    </row>
    <row r="1914" spans="2:6" x14ac:dyDescent="0.25">
      <c r="B1914" s="27" t="s">
        <v>9516</v>
      </c>
      <c r="C1914" s="27"/>
      <c r="D1914" s="27"/>
      <c r="E1914" s="27" t="s">
        <v>13657</v>
      </c>
      <c r="F1914" s="12">
        <v>1</v>
      </c>
    </row>
    <row r="1915" spans="2:6" x14ac:dyDescent="0.25">
      <c r="B1915" s="27" t="s">
        <v>15016</v>
      </c>
      <c r="C1915" s="27"/>
      <c r="D1915" s="27"/>
      <c r="E1915" s="27" t="s">
        <v>13553</v>
      </c>
      <c r="F1915" s="12">
        <v>1</v>
      </c>
    </row>
    <row r="1916" spans="2:6" x14ac:dyDescent="0.25">
      <c r="B1916" s="27" t="s">
        <v>12345</v>
      </c>
      <c r="C1916" s="27"/>
      <c r="D1916" s="27"/>
      <c r="E1916" s="27" t="s">
        <v>11543</v>
      </c>
      <c r="F1916" s="12">
        <v>1</v>
      </c>
    </row>
    <row r="1917" spans="2:6" x14ac:dyDescent="0.25">
      <c r="B1917" s="27" t="s">
        <v>15035</v>
      </c>
      <c r="C1917" s="27"/>
      <c r="D1917" s="27"/>
      <c r="E1917" s="27" t="s">
        <v>13433</v>
      </c>
      <c r="F1917" s="12">
        <v>1</v>
      </c>
    </row>
    <row r="1918" spans="2:6" x14ac:dyDescent="0.25">
      <c r="B1918" s="27" t="s">
        <v>15058</v>
      </c>
      <c r="C1918" s="27"/>
      <c r="D1918" s="27"/>
      <c r="E1918" s="27" t="s">
        <v>13663</v>
      </c>
      <c r="F1918" s="12">
        <v>1</v>
      </c>
    </row>
    <row r="1919" spans="2:6" x14ac:dyDescent="0.25">
      <c r="B1919" s="27" t="s">
        <v>2966</v>
      </c>
      <c r="C1919" s="27"/>
      <c r="D1919" s="27"/>
      <c r="E1919" s="27" t="s">
        <v>13555</v>
      </c>
      <c r="F1919" s="12">
        <v>1</v>
      </c>
    </row>
    <row r="1920" spans="2:6" x14ac:dyDescent="0.25">
      <c r="B1920" s="27" t="s">
        <v>10863</v>
      </c>
      <c r="C1920" s="27"/>
      <c r="D1920" s="27"/>
      <c r="E1920" s="27" t="s">
        <v>13667</v>
      </c>
      <c r="F1920" s="12">
        <v>1</v>
      </c>
    </row>
    <row r="1921" spans="2:6" x14ac:dyDescent="0.25">
      <c r="B1921" s="27" t="s">
        <v>4803</v>
      </c>
      <c r="C1921" s="27"/>
      <c r="D1921" s="27"/>
      <c r="E1921" s="27" t="s">
        <v>13557</v>
      </c>
      <c r="F1921" s="12">
        <v>1</v>
      </c>
    </row>
    <row r="1922" spans="2:6" x14ac:dyDescent="0.25">
      <c r="B1922" s="27" t="s">
        <v>14884</v>
      </c>
      <c r="C1922" s="27"/>
      <c r="D1922" s="27"/>
      <c r="E1922" s="27" t="s">
        <v>13671</v>
      </c>
      <c r="F1922" s="12">
        <v>1</v>
      </c>
    </row>
    <row r="1923" spans="2:6" x14ac:dyDescent="0.25">
      <c r="B1923" s="27" t="s">
        <v>14654</v>
      </c>
      <c r="C1923" s="27"/>
      <c r="D1923" s="27"/>
      <c r="E1923" s="27" t="s">
        <v>15233</v>
      </c>
      <c r="F1923" s="12">
        <v>1</v>
      </c>
    </row>
    <row r="1924" spans="2:6" x14ac:dyDescent="0.25">
      <c r="B1924" s="27" t="s">
        <v>5666</v>
      </c>
      <c r="C1924" s="27"/>
      <c r="D1924" s="27"/>
      <c r="E1924" s="27" t="s">
        <v>13675</v>
      </c>
      <c r="F1924" s="12">
        <v>1</v>
      </c>
    </row>
    <row r="1925" spans="2:6" x14ac:dyDescent="0.25">
      <c r="B1925" s="27" t="s">
        <v>14902</v>
      </c>
      <c r="C1925" s="27"/>
      <c r="D1925" s="27"/>
      <c r="E1925" s="27" t="s">
        <v>13559</v>
      </c>
      <c r="F1925" s="12">
        <v>1</v>
      </c>
    </row>
    <row r="1926" spans="2:6" x14ac:dyDescent="0.25">
      <c r="B1926" s="27" t="s">
        <v>14906</v>
      </c>
      <c r="C1926" s="27"/>
      <c r="D1926" s="27"/>
      <c r="E1926" s="27" t="s">
        <v>13677</v>
      </c>
      <c r="F1926" s="12">
        <v>1</v>
      </c>
    </row>
    <row r="1927" spans="2:6" x14ac:dyDescent="0.25">
      <c r="B1927" s="27" t="s">
        <v>14913</v>
      </c>
      <c r="C1927" s="27"/>
      <c r="D1927" s="27"/>
      <c r="E1927" s="27" t="s">
        <v>15234</v>
      </c>
      <c r="F1927" s="12">
        <v>1</v>
      </c>
    </row>
    <row r="1928" spans="2:6" x14ac:dyDescent="0.25">
      <c r="B1928" s="27" t="s">
        <v>14658</v>
      </c>
      <c r="C1928" s="27"/>
      <c r="D1928" s="27"/>
      <c r="E1928" s="27" t="s">
        <v>13680</v>
      </c>
      <c r="F1928" s="12">
        <v>1</v>
      </c>
    </row>
    <row r="1929" spans="2:6" x14ac:dyDescent="0.25">
      <c r="B1929" s="27" t="s">
        <v>14921</v>
      </c>
      <c r="C1929" s="27"/>
      <c r="D1929" s="27"/>
      <c r="E1929" s="27" t="s">
        <v>13561</v>
      </c>
      <c r="F1929" s="12">
        <v>1</v>
      </c>
    </row>
    <row r="1930" spans="2:6" x14ac:dyDescent="0.25">
      <c r="B1930" s="27" t="s">
        <v>14699</v>
      </c>
      <c r="C1930" s="27"/>
      <c r="D1930" s="27"/>
      <c r="E1930" s="27" t="s">
        <v>13684</v>
      </c>
      <c r="F1930" s="12">
        <v>1</v>
      </c>
    </row>
    <row r="1931" spans="2:6" x14ac:dyDescent="0.25">
      <c r="B1931" s="27" t="s">
        <v>13516</v>
      </c>
      <c r="C1931" s="27"/>
      <c r="D1931" s="27"/>
      <c r="E1931" s="27" t="s">
        <v>13563</v>
      </c>
      <c r="F1931" s="12">
        <v>1</v>
      </c>
    </row>
    <row r="1932" spans="2:6" x14ac:dyDescent="0.25">
      <c r="B1932" s="27" t="s">
        <v>14941</v>
      </c>
      <c r="C1932" s="27"/>
      <c r="D1932" s="27"/>
      <c r="E1932" s="27" t="s">
        <v>15252</v>
      </c>
      <c r="F1932" s="12">
        <v>1</v>
      </c>
    </row>
    <row r="1933" spans="2:6" x14ac:dyDescent="0.25">
      <c r="B1933" s="27" t="s">
        <v>14945</v>
      </c>
      <c r="C1933" s="27"/>
      <c r="D1933" s="27"/>
      <c r="E1933" s="27" t="s">
        <v>15235</v>
      </c>
      <c r="F1933" s="12">
        <v>1</v>
      </c>
    </row>
    <row r="1934" spans="2:6" x14ac:dyDescent="0.25">
      <c r="B1934" s="27" t="s">
        <v>14948</v>
      </c>
      <c r="C1934" s="27"/>
      <c r="D1934" s="27"/>
      <c r="E1934" s="27" t="s">
        <v>13689</v>
      </c>
      <c r="F1934" s="12">
        <v>1</v>
      </c>
    </row>
    <row r="1935" spans="2:6" x14ac:dyDescent="0.25">
      <c r="B1935" s="27" t="s">
        <v>14662</v>
      </c>
      <c r="C1935" s="27"/>
      <c r="D1935" s="27"/>
      <c r="E1935" s="27" t="s">
        <v>13565</v>
      </c>
      <c r="F1935" s="12">
        <v>1</v>
      </c>
    </row>
    <row r="1936" spans="2:6" x14ac:dyDescent="0.25">
      <c r="B1936" s="27" t="s">
        <v>14952</v>
      </c>
      <c r="C1936" s="27"/>
      <c r="D1936" s="27"/>
      <c r="E1936" s="27" t="s">
        <v>13693</v>
      </c>
      <c r="F1936" s="12">
        <v>1</v>
      </c>
    </row>
    <row r="1937" spans="2:6" x14ac:dyDescent="0.25">
      <c r="B1937" s="27" t="s">
        <v>5128</v>
      </c>
      <c r="C1937" s="27"/>
      <c r="D1937" s="27"/>
      <c r="E1937" s="27" t="s">
        <v>13567</v>
      </c>
      <c r="F1937" s="12">
        <v>1</v>
      </c>
    </row>
    <row r="1938" spans="2:6" x14ac:dyDescent="0.25">
      <c r="B1938" s="27" t="s">
        <v>10120</v>
      </c>
      <c r="C1938" s="27"/>
      <c r="D1938" s="27"/>
      <c r="E1938" s="27" t="s">
        <v>15255</v>
      </c>
      <c r="F1938" s="12">
        <v>1</v>
      </c>
    </row>
    <row r="1939" spans="2:6" x14ac:dyDescent="0.25">
      <c r="B1939" s="27" t="s">
        <v>14973</v>
      </c>
      <c r="C1939" s="27"/>
      <c r="D1939" s="27"/>
      <c r="E1939" s="27" t="s">
        <v>13569</v>
      </c>
      <c r="F1939" s="12">
        <v>1</v>
      </c>
    </row>
    <row r="1940" spans="2:6" x14ac:dyDescent="0.25">
      <c r="B1940" s="27" t="s">
        <v>14976</v>
      </c>
      <c r="C1940" s="27"/>
      <c r="D1940" s="27"/>
      <c r="E1940" s="27" t="s">
        <v>13697</v>
      </c>
      <c r="F1940" s="12">
        <v>1</v>
      </c>
    </row>
    <row r="1941" spans="2:6" x14ac:dyDescent="0.25">
      <c r="B1941" s="27" t="s">
        <v>14666</v>
      </c>
      <c r="C1941" s="27"/>
      <c r="D1941" s="27"/>
      <c r="E1941" s="27" t="s">
        <v>13570</v>
      </c>
      <c r="F1941" s="12">
        <v>1</v>
      </c>
    </row>
    <row r="1942" spans="2:6" x14ac:dyDescent="0.25">
      <c r="B1942" s="27" t="s">
        <v>14714</v>
      </c>
      <c r="C1942" s="27"/>
      <c r="D1942" s="27"/>
      <c r="E1942" s="27" t="s">
        <v>13700</v>
      </c>
      <c r="F1942" s="12">
        <v>1</v>
      </c>
    </row>
    <row r="1943" spans="2:6" x14ac:dyDescent="0.25">
      <c r="B1943" s="27" t="s">
        <v>14800</v>
      </c>
      <c r="C1943" s="27"/>
      <c r="D1943" s="27"/>
      <c r="E1943" s="27" t="s">
        <v>13572</v>
      </c>
      <c r="F1943" s="12">
        <v>1</v>
      </c>
    </row>
    <row r="1944" spans="2:6" x14ac:dyDescent="0.25">
      <c r="B1944" s="27" t="s">
        <v>14803</v>
      </c>
      <c r="C1944" s="27"/>
      <c r="D1944" s="27"/>
      <c r="E1944" s="27" t="s">
        <v>13703</v>
      </c>
      <c r="F1944" s="12">
        <v>1</v>
      </c>
    </row>
    <row r="1945" spans="2:6" x14ac:dyDescent="0.25">
      <c r="B1945" s="27" t="s">
        <v>14990</v>
      </c>
      <c r="C1945" s="27"/>
      <c r="D1945" s="27"/>
      <c r="E1945" s="27" t="s">
        <v>13574</v>
      </c>
      <c r="F1945" s="12">
        <v>1</v>
      </c>
    </row>
    <row r="1946" spans="2:6" x14ac:dyDescent="0.25">
      <c r="B1946" s="27" t="s">
        <v>14718</v>
      </c>
      <c r="C1946" s="27"/>
      <c r="D1946" s="27"/>
      <c r="E1946" s="27" t="s">
        <v>13707</v>
      </c>
      <c r="F1946" s="12">
        <v>1</v>
      </c>
    </row>
    <row r="1947" spans="2:6" x14ac:dyDescent="0.25">
      <c r="B1947" s="27" t="s">
        <v>14807</v>
      </c>
      <c r="C1947" s="27"/>
      <c r="D1947" s="27"/>
      <c r="E1947" s="27" t="s">
        <v>15237</v>
      </c>
      <c r="F1947" s="12">
        <v>1</v>
      </c>
    </row>
    <row r="1948" spans="2:6" x14ac:dyDescent="0.25">
      <c r="B1948" s="27" t="s">
        <v>14670</v>
      </c>
      <c r="C1948" s="27"/>
      <c r="D1948" s="27"/>
      <c r="E1948" s="27" t="s">
        <v>15258</v>
      </c>
      <c r="F1948" s="12">
        <v>1</v>
      </c>
    </row>
    <row r="1949" spans="2:6" x14ac:dyDescent="0.25">
      <c r="B1949" s="27" t="s">
        <v>14996</v>
      </c>
      <c r="C1949" s="27"/>
      <c r="D1949" s="27"/>
      <c r="E1949" s="27" t="s">
        <v>15238</v>
      </c>
      <c r="F1949" s="12">
        <v>1</v>
      </c>
    </row>
    <row r="1950" spans="2:6" x14ac:dyDescent="0.25">
      <c r="B1950" s="27" t="s">
        <v>12335</v>
      </c>
      <c r="C1950" s="27"/>
      <c r="D1950" s="27"/>
      <c r="E1950" s="27" t="s">
        <v>15260</v>
      </c>
      <c r="F1950" s="12">
        <v>1</v>
      </c>
    </row>
    <row r="1951" spans="2:6" x14ac:dyDescent="0.25">
      <c r="B1951" s="27" t="s">
        <v>12324</v>
      </c>
      <c r="C1951" s="27"/>
      <c r="D1951" s="27"/>
      <c r="E1951" s="27" t="s">
        <v>13576</v>
      </c>
      <c r="F1951" s="12">
        <v>1</v>
      </c>
    </row>
    <row r="1952" spans="2:6" x14ac:dyDescent="0.25">
      <c r="B1952" s="27" t="s">
        <v>14813</v>
      </c>
      <c r="C1952" s="27"/>
      <c r="D1952" s="27"/>
      <c r="E1952" s="27" t="s">
        <v>13708</v>
      </c>
      <c r="F1952" s="12">
        <v>1</v>
      </c>
    </row>
    <row r="1953" spans="2:6" x14ac:dyDescent="0.25">
      <c r="B1953" s="27" t="s">
        <v>9528</v>
      </c>
      <c r="C1953" s="27"/>
      <c r="D1953" s="27"/>
      <c r="E1953" s="27" t="s">
        <v>13578</v>
      </c>
      <c r="F1953" s="12">
        <v>1</v>
      </c>
    </row>
    <row r="1954" spans="2:6" x14ac:dyDescent="0.25">
      <c r="B1954" s="27" t="s">
        <v>15008</v>
      </c>
      <c r="C1954" s="27"/>
      <c r="D1954" s="27"/>
      <c r="E1954" s="27" t="s">
        <v>13710</v>
      </c>
      <c r="F1954" s="12">
        <v>1</v>
      </c>
    </row>
    <row r="1955" spans="2:6" x14ac:dyDescent="0.25">
      <c r="B1955" s="27" t="s">
        <v>7290</v>
      </c>
      <c r="C1955" s="27"/>
      <c r="D1955" s="27"/>
      <c r="E1955" s="27" t="s">
        <v>13580</v>
      </c>
      <c r="F1955" s="12">
        <v>1</v>
      </c>
    </row>
    <row r="1956" spans="2:6" x14ac:dyDescent="0.25">
      <c r="B1956" s="27" t="s">
        <v>14673</v>
      </c>
      <c r="C1956" s="27"/>
      <c r="D1956" s="27"/>
      <c r="E1956" s="27" t="s">
        <v>9801</v>
      </c>
      <c r="F1956" s="12">
        <v>1</v>
      </c>
    </row>
    <row r="1957" spans="2:6" x14ac:dyDescent="0.25">
      <c r="B1957" s="27" t="s">
        <v>15013</v>
      </c>
      <c r="C1957" s="27"/>
      <c r="D1957" s="27"/>
      <c r="E1957" s="27" t="s">
        <v>13582</v>
      </c>
      <c r="F1957" s="12">
        <v>1</v>
      </c>
    </row>
    <row r="1958" spans="2:6" x14ac:dyDescent="0.25">
      <c r="B1958" s="27" t="s">
        <v>11080</v>
      </c>
      <c r="C1958" s="27"/>
      <c r="D1958" s="27"/>
      <c r="E1958" s="27" t="s">
        <v>15264</v>
      </c>
      <c r="F1958" s="12">
        <v>1</v>
      </c>
    </row>
    <row r="1959" spans="2:6" x14ac:dyDescent="0.25">
      <c r="B1959" s="27" t="s">
        <v>15015</v>
      </c>
      <c r="C1959" s="27"/>
      <c r="D1959" s="27"/>
      <c r="E1959" s="27" t="s">
        <v>15240</v>
      </c>
      <c r="F1959" s="12">
        <v>1</v>
      </c>
    </row>
    <row r="1960" spans="2:6" x14ac:dyDescent="0.25">
      <c r="B1960" s="27" t="s">
        <v>11608</v>
      </c>
      <c r="C1960" s="27"/>
      <c r="D1960" s="27"/>
      <c r="E1960" s="27" t="s">
        <v>13716</v>
      </c>
      <c r="F1960" s="12">
        <v>1</v>
      </c>
    </row>
    <row r="1961" spans="2:6" x14ac:dyDescent="0.25">
      <c r="B1961" s="27" t="s">
        <v>12245</v>
      </c>
      <c r="C1961" s="27"/>
      <c r="D1961" s="27"/>
      <c r="E1961" s="27" t="s">
        <v>15241</v>
      </c>
      <c r="F1961" s="12">
        <v>1</v>
      </c>
    </row>
    <row r="1962" spans="2:6" x14ac:dyDescent="0.25">
      <c r="B1962" s="27" t="s">
        <v>15019</v>
      </c>
      <c r="C1962" s="27"/>
      <c r="D1962" s="27"/>
      <c r="E1962" s="27" t="s">
        <v>4926</v>
      </c>
      <c r="F1962" s="12">
        <v>1</v>
      </c>
    </row>
    <row r="1963" spans="2:6" x14ac:dyDescent="0.25">
      <c r="B1963" s="27" t="s">
        <v>14730</v>
      </c>
      <c r="C1963" s="27"/>
      <c r="D1963" s="27"/>
      <c r="E1963" s="27" t="s">
        <v>13583</v>
      </c>
      <c r="F1963" s="12">
        <v>1</v>
      </c>
    </row>
    <row r="1964" spans="2:6" x14ac:dyDescent="0.25">
      <c r="B1964" s="27" t="s">
        <v>14835</v>
      </c>
      <c r="C1964" s="27"/>
      <c r="D1964" s="27"/>
      <c r="E1964" s="27" t="s">
        <v>13722</v>
      </c>
      <c r="F1964" s="12">
        <v>1</v>
      </c>
    </row>
    <row r="1965" spans="2:6" x14ac:dyDescent="0.25">
      <c r="B1965" s="27" t="s">
        <v>15026</v>
      </c>
      <c r="C1965" s="27"/>
      <c r="D1965" s="27"/>
      <c r="E1965" s="27" t="s">
        <v>13585</v>
      </c>
      <c r="F1965" s="12">
        <v>1</v>
      </c>
    </row>
    <row r="1966" spans="2:6" x14ac:dyDescent="0.25">
      <c r="B1966" s="27" t="s">
        <v>14839</v>
      </c>
      <c r="C1966" s="27"/>
      <c r="D1966" s="27"/>
      <c r="E1966" s="27" t="s">
        <v>15266</v>
      </c>
      <c r="F1966" s="12">
        <v>1</v>
      </c>
    </row>
    <row r="1967" spans="2:6" x14ac:dyDescent="0.25">
      <c r="B1967" s="27" t="s">
        <v>15034</v>
      </c>
      <c r="C1967" s="27"/>
      <c r="D1967" s="27"/>
      <c r="E1967" s="27" t="s">
        <v>13586</v>
      </c>
      <c r="F1967" s="12">
        <v>1</v>
      </c>
    </row>
    <row r="1968" spans="2:6" x14ac:dyDescent="0.25">
      <c r="B1968" s="27" t="s">
        <v>14847</v>
      </c>
      <c r="C1968" s="27"/>
      <c r="D1968" s="27"/>
      <c r="E1968" s="27" t="s">
        <v>13726</v>
      </c>
      <c r="F1968" s="12">
        <v>1</v>
      </c>
    </row>
    <row r="1969" spans="2:6" x14ac:dyDescent="0.25">
      <c r="B1969" s="27" t="s">
        <v>7904</v>
      </c>
      <c r="C1969" s="27"/>
      <c r="D1969" s="27"/>
      <c r="E1969" s="27" t="s">
        <v>13588</v>
      </c>
      <c r="F1969" s="12">
        <v>1</v>
      </c>
    </row>
    <row r="1970" spans="2:6" x14ac:dyDescent="0.25">
      <c r="B1970" s="27" t="s">
        <v>15042</v>
      </c>
      <c r="C1970" s="27"/>
      <c r="D1970" s="27"/>
      <c r="E1970" s="27" t="s">
        <v>13730</v>
      </c>
      <c r="F1970" s="12">
        <v>1</v>
      </c>
    </row>
    <row r="1971" spans="2:6" x14ac:dyDescent="0.25">
      <c r="B1971" s="27" t="s">
        <v>14855</v>
      </c>
      <c r="C1971" s="27"/>
      <c r="D1971" s="27"/>
      <c r="E1971" s="27" t="s">
        <v>13589</v>
      </c>
      <c r="F1971" s="12">
        <v>1</v>
      </c>
    </row>
    <row r="1972" spans="2:6" x14ac:dyDescent="0.25">
      <c r="B1972" s="27" t="s">
        <v>14859</v>
      </c>
      <c r="C1972" s="27"/>
      <c r="D1972" s="27"/>
      <c r="E1972" s="27" t="s">
        <v>13734</v>
      </c>
      <c r="F1972" s="12">
        <v>1</v>
      </c>
    </row>
    <row r="1973" spans="2:6" x14ac:dyDescent="0.25">
      <c r="B1973" s="27" t="s">
        <v>15047</v>
      </c>
      <c r="C1973" s="27"/>
      <c r="D1973" s="27"/>
      <c r="E1973" s="27" t="s">
        <v>15242</v>
      </c>
      <c r="F1973" s="12">
        <v>1</v>
      </c>
    </row>
    <row r="1974" spans="2:6" x14ac:dyDescent="0.25">
      <c r="B1974" s="27" t="s">
        <v>14589</v>
      </c>
      <c r="C1974" s="27"/>
      <c r="D1974" s="27"/>
      <c r="E1974" s="27" t="s">
        <v>8332</v>
      </c>
      <c r="F1974" s="12">
        <v>1</v>
      </c>
    </row>
    <row r="1975" spans="2:6" x14ac:dyDescent="0.25">
      <c r="B1975" s="27" t="s">
        <v>14206</v>
      </c>
      <c r="C1975" s="27"/>
      <c r="D1975" s="27"/>
      <c r="E1975" s="27" t="s">
        <v>13591</v>
      </c>
      <c r="F1975" s="12">
        <v>1</v>
      </c>
    </row>
    <row r="1976" spans="2:6" x14ac:dyDescent="0.25">
      <c r="B1976" s="27" t="s">
        <v>14427</v>
      </c>
      <c r="C1976" s="27"/>
      <c r="D1976" s="27"/>
      <c r="E1976" s="27" t="s">
        <v>15268</v>
      </c>
      <c r="F1976" s="12">
        <v>1</v>
      </c>
    </row>
    <row r="1977" spans="2:6" x14ac:dyDescent="0.25">
      <c r="B1977" s="27" t="s">
        <v>14520</v>
      </c>
      <c r="C1977" s="27"/>
      <c r="D1977" s="27"/>
      <c r="E1977" s="27" t="s">
        <v>13592</v>
      </c>
      <c r="F1977" s="12">
        <v>1</v>
      </c>
    </row>
    <row r="1978" spans="2:6" x14ac:dyDescent="0.25">
      <c r="B1978" s="27" t="s">
        <v>14375</v>
      </c>
      <c r="C1978" s="27"/>
      <c r="D1978" s="27"/>
      <c r="E1978" s="27" t="s">
        <v>13741</v>
      </c>
      <c r="F1978" s="12">
        <v>1</v>
      </c>
    </row>
    <row r="1979" spans="2:6" x14ac:dyDescent="0.25">
      <c r="B1979" s="27" t="s">
        <v>14254</v>
      </c>
      <c r="C1979" s="27"/>
      <c r="D1979" s="27"/>
      <c r="E1979" s="27" t="s">
        <v>13594</v>
      </c>
      <c r="F1979" s="12">
        <v>1</v>
      </c>
    </row>
    <row r="1980" spans="2:6" x14ac:dyDescent="0.25">
      <c r="B1980" s="27" t="s">
        <v>14172</v>
      </c>
      <c r="C1980" s="27"/>
      <c r="D1980" s="27"/>
      <c r="E1980" s="27" t="s">
        <v>13745</v>
      </c>
      <c r="F1980" s="12">
        <v>1</v>
      </c>
    </row>
    <row r="1981" spans="2:6" x14ac:dyDescent="0.25">
      <c r="B1981" s="27" t="s">
        <v>12085</v>
      </c>
      <c r="C1981" s="27"/>
      <c r="D1981" s="27"/>
      <c r="E1981" s="27" t="s">
        <v>13450</v>
      </c>
      <c r="F1981" s="12">
        <v>1</v>
      </c>
    </row>
    <row r="1982" spans="2:6" x14ac:dyDescent="0.25">
      <c r="B1982" s="30" t="s">
        <v>2241</v>
      </c>
      <c r="C1982" s="27"/>
      <c r="D1982" s="27"/>
      <c r="E1982" s="27" t="s">
        <v>15270</v>
      </c>
      <c r="F1982" s="12">
        <v>1</v>
      </c>
    </row>
    <row r="1983" spans="2:6" x14ac:dyDescent="0.25">
      <c r="B1983" s="30" t="s">
        <v>2241</v>
      </c>
      <c r="C1983" s="27"/>
      <c r="D1983" s="27"/>
      <c r="E1983" s="27" t="s">
        <v>6927</v>
      </c>
      <c r="F1983" s="12">
        <v>1</v>
      </c>
    </row>
    <row r="1984" spans="2:6" x14ac:dyDescent="0.25">
      <c r="B1984" s="30" t="s">
        <v>2241</v>
      </c>
      <c r="C1984" s="27"/>
      <c r="D1984" s="27"/>
      <c r="E1984" s="27" t="s">
        <v>13751</v>
      </c>
      <c r="F1984" s="12">
        <v>1</v>
      </c>
    </row>
    <row r="1985" spans="2:6" x14ac:dyDescent="0.25">
      <c r="B1985" s="30" t="s">
        <v>2241</v>
      </c>
      <c r="C1985" s="27"/>
      <c r="D1985" s="27"/>
      <c r="E1985" s="27" t="s">
        <v>13597</v>
      </c>
      <c r="F1985" s="12">
        <v>1</v>
      </c>
    </row>
    <row r="1986" spans="2:6" x14ac:dyDescent="0.25">
      <c r="B1986" s="27" t="s">
        <v>11263</v>
      </c>
      <c r="C1986" s="27"/>
      <c r="D1986" s="27"/>
      <c r="E1986" s="27" t="s">
        <v>13755</v>
      </c>
      <c r="F1986" s="12">
        <v>1</v>
      </c>
    </row>
    <row r="1987" spans="2:6" x14ac:dyDescent="0.25">
      <c r="B1987" s="27" t="s">
        <v>8636</v>
      </c>
      <c r="C1987" s="27"/>
      <c r="D1987" s="27"/>
      <c r="E1987" s="27" t="s">
        <v>13599</v>
      </c>
      <c r="F1987" s="12">
        <v>1</v>
      </c>
    </row>
    <row r="1988" spans="2:6" x14ac:dyDescent="0.25">
      <c r="B1988" s="27" t="s">
        <v>8636</v>
      </c>
      <c r="C1988" s="27"/>
      <c r="D1988" s="27"/>
      <c r="E1988" s="27" t="s">
        <v>15201</v>
      </c>
      <c r="F1988" s="12">
        <v>1</v>
      </c>
    </row>
    <row r="1989" spans="2:6" x14ac:dyDescent="0.25">
      <c r="B1989" s="27" t="s">
        <v>14168</v>
      </c>
      <c r="C1989" s="27"/>
      <c r="D1989" s="27"/>
      <c r="E1989" s="27" t="s">
        <v>13454</v>
      </c>
      <c r="F1989" s="12">
        <v>1</v>
      </c>
    </row>
    <row r="1990" spans="2:6" x14ac:dyDescent="0.25">
      <c r="B1990" s="27" t="s">
        <v>14182</v>
      </c>
      <c r="C1990" s="27"/>
      <c r="D1990" s="27"/>
      <c r="E1990" s="27" t="s">
        <v>13762</v>
      </c>
      <c r="F1990" s="12">
        <v>1</v>
      </c>
    </row>
    <row r="1991" spans="2:6" x14ac:dyDescent="0.25">
      <c r="B1991" s="27" t="s">
        <v>14186</v>
      </c>
      <c r="C1991" s="27"/>
      <c r="D1991" s="27"/>
      <c r="E1991" s="27" t="s">
        <v>13603</v>
      </c>
      <c r="F1991" s="12">
        <v>1</v>
      </c>
    </row>
    <row r="1992" spans="2:6" x14ac:dyDescent="0.25">
      <c r="B1992" s="27" t="s">
        <v>14198</v>
      </c>
      <c r="C1992" s="27"/>
      <c r="D1992" s="27"/>
      <c r="E1992" s="27" t="s">
        <v>13766</v>
      </c>
      <c r="F1992" s="12">
        <v>1</v>
      </c>
    </row>
    <row r="1993" spans="2:6" x14ac:dyDescent="0.25">
      <c r="B1993" s="27" t="s">
        <v>11625</v>
      </c>
      <c r="C1993" s="27"/>
      <c r="D1993" s="27"/>
      <c r="E1993" s="27" t="s">
        <v>13778</v>
      </c>
      <c r="F1993" s="12">
        <v>1</v>
      </c>
    </row>
    <row r="1994" spans="2:6" x14ac:dyDescent="0.25">
      <c r="B1994" s="27" t="s">
        <v>14233</v>
      </c>
      <c r="C1994" s="27"/>
      <c r="D1994" s="27"/>
      <c r="E1994" s="27" t="s">
        <v>13770</v>
      </c>
      <c r="F1994" s="12">
        <v>1</v>
      </c>
    </row>
    <row r="1995" spans="2:6" x14ac:dyDescent="0.25">
      <c r="B1995" s="27" t="s">
        <v>9744</v>
      </c>
      <c r="C1995" s="27"/>
      <c r="D1995" s="27"/>
      <c r="E1995" s="27" t="s">
        <v>13456</v>
      </c>
      <c r="F1995" s="12">
        <v>1</v>
      </c>
    </row>
    <row r="1996" spans="2:6" x14ac:dyDescent="0.25">
      <c r="B1996" s="27" t="s">
        <v>14240</v>
      </c>
      <c r="C1996" s="27"/>
      <c r="D1996" s="27"/>
      <c r="E1996" s="27" t="s">
        <v>15273</v>
      </c>
      <c r="F1996" s="12">
        <v>1</v>
      </c>
    </row>
    <row r="1997" spans="2:6" x14ac:dyDescent="0.25">
      <c r="B1997" s="27" t="s">
        <v>14252</v>
      </c>
      <c r="C1997" s="27"/>
      <c r="D1997" s="27"/>
      <c r="E1997" s="27" t="s">
        <v>13783</v>
      </c>
      <c r="F1997" s="12">
        <v>1</v>
      </c>
    </row>
    <row r="1998" spans="2:6" x14ac:dyDescent="0.25">
      <c r="B1998" s="27" t="s">
        <v>13506</v>
      </c>
      <c r="C1998" s="27"/>
      <c r="D1998" s="27"/>
      <c r="E1998" s="27" t="s">
        <v>13772</v>
      </c>
      <c r="F1998" s="12">
        <v>1</v>
      </c>
    </row>
    <row r="1999" spans="2:6" x14ac:dyDescent="0.25">
      <c r="B1999" s="27" t="s">
        <v>10546</v>
      </c>
      <c r="C1999" s="27"/>
      <c r="D1999" s="27"/>
      <c r="E1999" s="27" t="s">
        <v>13785</v>
      </c>
      <c r="F1999" s="12">
        <v>1</v>
      </c>
    </row>
    <row r="2000" spans="2:6" x14ac:dyDescent="0.25">
      <c r="B2000" s="27" t="s">
        <v>14320</v>
      </c>
      <c r="C2000" s="27"/>
      <c r="D2000" s="27"/>
      <c r="E2000" s="27" t="s">
        <v>15276</v>
      </c>
      <c r="F2000" s="12">
        <v>1</v>
      </c>
    </row>
    <row r="2001" spans="2:6" x14ac:dyDescent="0.25">
      <c r="B2001" s="27" t="s">
        <v>14341</v>
      </c>
      <c r="C2001" s="27"/>
      <c r="D2001" s="27"/>
      <c r="E2001" s="27" t="s">
        <v>13787</v>
      </c>
      <c r="F2001" s="12">
        <v>1</v>
      </c>
    </row>
    <row r="2002" spans="2:6" x14ac:dyDescent="0.25">
      <c r="B2002" s="27" t="s">
        <v>14345</v>
      </c>
      <c r="C2002" s="27"/>
      <c r="D2002" s="27"/>
      <c r="E2002" s="27" t="s">
        <v>13776</v>
      </c>
      <c r="F2002" s="12">
        <v>1</v>
      </c>
    </row>
    <row r="2003" spans="2:6" x14ac:dyDescent="0.25">
      <c r="B2003" s="27" t="s">
        <v>14349</v>
      </c>
      <c r="C2003" s="27"/>
      <c r="D2003" s="27"/>
      <c r="E2003" s="27" t="s">
        <v>15280</v>
      </c>
      <c r="F2003" s="12">
        <v>1</v>
      </c>
    </row>
    <row r="2004" spans="2:6" x14ac:dyDescent="0.25">
      <c r="B2004" s="27" t="s">
        <v>14353</v>
      </c>
      <c r="C2004" s="27"/>
      <c r="D2004" s="27"/>
      <c r="E2004" s="27" t="s">
        <v>13791</v>
      </c>
      <c r="F2004" s="12">
        <v>1</v>
      </c>
    </row>
    <row r="2005" spans="2:6" x14ac:dyDescent="0.25">
      <c r="B2005" s="27" t="s">
        <v>14357</v>
      </c>
      <c r="C2005" s="27"/>
      <c r="D2005" s="27"/>
      <c r="E2005" s="27" t="s">
        <v>13781</v>
      </c>
      <c r="F2005" s="12">
        <v>1</v>
      </c>
    </row>
    <row r="2006" spans="2:6" x14ac:dyDescent="0.25">
      <c r="B2006" s="27" t="s">
        <v>14361</v>
      </c>
      <c r="C2006" s="27"/>
      <c r="D2006" s="27"/>
      <c r="E2006" s="27" t="s">
        <v>4909</v>
      </c>
      <c r="F2006" s="12">
        <v>1</v>
      </c>
    </row>
    <row r="2007" spans="2:6" x14ac:dyDescent="0.25">
      <c r="B2007" s="27" t="s">
        <v>14369</v>
      </c>
      <c r="C2007" s="27"/>
      <c r="D2007" s="27"/>
      <c r="E2007" s="27" t="s">
        <v>15278</v>
      </c>
      <c r="F2007" s="12">
        <v>1</v>
      </c>
    </row>
    <row r="2008" spans="2:6" x14ac:dyDescent="0.25">
      <c r="B2008" s="27" t="s">
        <v>13442</v>
      </c>
      <c r="C2008" s="27"/>
      <c r="D2008" s="27"/>
      <c r="E2008" s="27" t="s">
        <v>13607</v>
      </c>
      <c r="F2008" s="12">
        <v>1</v>
      </c>
    </row>
    <row r="2009" spans="2:6" x14ac:dyDescent="0.25">
      <c r="B2009" s="27" t="s">
        <v>13442</v>
      </c>
      <c r="C2009" s="27"/>
      <c r="D2009" s="27"/>
      <c r="E2009" s="27" t="s">
        <v>15279</v>
      </c>
      <c r="F2009" s="12">
        <v>1</v>
      </c>
    </row>
    <row r="2010" spans="2:6" x14ac:dyDescent="0.25">
      <c r="B2010" s="27" t="s">
        <v>13442</v>
      </c>
      <c r="C2010" s="27"/>
      <c r="D2010" s="27"/>
      <c r="E2010" s="27" t="s">
        <v>10707</v>
      </c>
      <c r="F2010" s="12">
        <v>1</v>
      </c>
    </row>
    <row r="2011" spans="2:6" x14ac:dyDescent="0.25">
      <c r="B2011" s="27" t="s">
        <v>13442</v>
      </c>
      <c r="C2011" s="27"/>
      <c r="D2011" s="27"/>
      <c r="E2011" s="27" t="s">
        <v>8912</v>
      </c>
      <c r="F2011" s="12">
        <v>1</v>
      </c>
    </row>
    <row r="2012" spans="2:6" x14ac:dyDescent="0.25">
      <c r="B2012" s="27" t="s">
        <v>11178</v>
      </c>
      <c r="C2012" s="27"/>
      <c r="D2012" s="27"/>
      <c r="E2012" s="27" t="s">
        <v>13609</v>
      </c>
      <c r="F2012" s="12">
        <v>1</v>
      </c>
    </row>
    <row r="2013" spans="2:6" x14ac:dyDescent="0.25">
      <c r="B2013" s="27" t="s">
        <v>14415</v>
      </c>
      <c r="C2013" s="27"/>
      <c r="D2013" s="27"/>
      <c r="E2013" s="27" t="s">
        <v>13789</v>
      </c>
      <c r="F2013" s="12">
        <v>1</v>
      </c>
    </row>
    <row r="2014" spans="2:6" x14ac:dyDescent="0.25">
      <c r="B2014" s="27" t="s">
        <v>14435</v>
      </c>
      <c r="C2014" s="27"/>
      <c r="D2014" s="27"/>
      <c r="E2014" s="27" t="s">
        <v>13611</v>
      </c>
      <c r="F2014" s="12">
        <v>1</v>
      </c>
    </row>
    <row r="2015" spans="2:6" x14ac:dyDescent="0.25">
      <c r="B2015" s="27" t="s">
        <v>10664</v>
      </c>
      <c r="C2015" s="27"/>
      <c r="D2015" s="27"/>
      <c r="E2015" s="27" t="s">
        <v>15282</v>
      </c>
      <c r="F2015" s="12">
        <v>1</v>
      </c>
    </row>
    <row r="2016" spans="2:6" x14ac:dyDescent="0.25">
      <c r="B2016" s="27" t="s">
        <v>10664</v>
      </c>
      <c r="C2016" s="27"/>
      <c r="D2016" s="27"/>
      <c r="E2016" s="27" t="s">
        <v>15243</v>
      </c>
      <c r="F2016" s="12">
        <v>1</v>
      </c>
    </row>
    <row r="2017" spans="2:6" x14ac:dyDescent="0.25">
      <c r="B2017" s="27" t="s">
        <v>10664</v>
      </c>
      <c r="C2017" s="27"/>
      <c r="D2017" s="27"/>
      <c r="E2017" s="27" t="s">
        <v>11560</v>
      </c>
      <c r="F2017" s="12">
        <v>1</v>
      </c>
    </row>
    <row r="2018" spans="2:6" x14ac:dyDescent="0.25">
      <c r="B2018" s="27" t="s">
        <v>14453</v>
      </c>
      <c r="C2018" s="27"/>
      <c r="D2018" s="27"/>
      <c r="E2018" s="27" t="s">
        <v>13613</v>
      </c>
      <c r="F2018" s="12">
        <v>1</v>
      </c>
    </row>
    <row r="2019" spans="2:6" x14ac:dyDescent="0.25">
      <c r="B2019" s="27" t="s">
        <v>14457</v>
      </c>
      <c r="C2019" s="27"/>
      <c r="D2019" s="27"/>
      <c r="E2019" s="27" t="s">
        <v>13795</v>
      </c>
      <c r="F2019" s="12">
        <v>1</v>
      </c>
    </row>
    <row r="2020" spans="2:6" x14ac:dyDescent="0.25">
      <c r="B2020" s="27" t="s">
        <v>14461</v>
      </c>
      <c r="C2020" s="27"/>
      <c r="D2020" s="27"/>
      <c r="E2020" s="27" t="s">
        <v>13615</v>
      </c>
      <c r="F2020" s="12">
        <v>1</v>
      </c>
    </row>
    <row r="2021" spans="2:6" x14ac:dyDescent="0.25">
      <c r="B2021" s="27" t="s">
        <v>3407</v>
      </c>
      <c r="C2021" s="27"/>
      <c r="D2021" s="27"/>
      <c r="E2021" s="27" t="s">
        <v>15285</v>
      </c>
      <c r="F2021" s="12">
        <v>1</v>
      </c>
    </row>
    <row r="2022" spans="2:6" x14ac:dyDescent="0.25">
      <c r="B2022" s="27" t="s">
        <v>14483</v>
      </c>
      <c r="C2022" s="27"/>
      <c r="D2022" s="27"/>
      <c r="E2022" s="27" t="s">
        <v>13617</v>
      </c>
      <c r="F2022" s="12">
        <v>1</v>
      </c>
    </row>
    <row r="2023" spans="2:6" x14ac:dyDescent="0.25">
      <c r="B2023" s="27" t="s">
        <v>13457</v>
      </c>
      <c r="C2023" s="27"/>
      <c r="D2023" s="27"/>
      <c r="E2023" s="27" t="s">
        <v>13799</v>
      </c>
      <c r="F2023" s="12">
        <v>1</v>
      </c>
    </row>
    <row r="2024" spans="2:6" x14ac:dyDescent="0.25">
      <c r="B2024" s="27" t="s">
        <v>13457</v>
      </c>
      <c r="C2024" s="27"/>
      <c r="D2024" s="27"/>
      <c r="E2024" s="27" t="s">
        <v>13619</v>
      </c>
      <c r="F2024" s="12">
        <v>1</v>
      </c>
    </row>
    <row r="2025" spans="2:6" x14ac:dyDescent="0.25">
      <c r="B2025" s="27" t="s">
        <v>13457</v>
      </c>
      <c r="C2025" s="27"/>
      <c r="D2025" s="27"/>
      <c r="E2025" s="27" t="s">
        <v>13803</v>
      </c>
      <c r="F2025" s="12">
        <v>1</v>
      </c>
    </row>
    <row r="2026" spans="2:6" x14ac:dyDescent="0.25">
      <c r="B2026" s="27" t="s">
        <v>1434</v>
      </c>
      <c r="C2026" s="27"/>
      <c r="D2026" s="27"/>
      <c r="E2026" s="27" t="s">
        <v>13621</v>
      </c>
      <c r="F2026" s="12">
        <v>1</v>
      </c>
    </row>
    <row r="2027" spans="2:6" x14ac:dyDescent="0.25">
      <c r="B2027" s="27" t="s">
        <v>13498</v>
      </c>
      <c r="C2027" s="27"/>
      <c r="D2027" s="27"/>
      <c r="E2027" s="27" t="s">
        <v>13805</v>
      </c>
      <c r="F2027" s="12">
        <v>1</v>
      </c>
    </row>
    <row r="2028" spans="2:6" x14ac:dyDescent="0.25">
      <c r="B2028" s="27" t="s">
        <v>13498</v>
      </c>
      <c r="C2028" s="27"/>
      <c r="D2028" s="27"/>
      <c r="E2028" s="27" t="s">
        <v>13622</v>
      </c>
      <c r="F2028" s="12">
        <v>1</v>
      </c>
    </row>
    <row r="2029" spans="2:6" x14ac:dyDescent="0.25">
      <c r="B2029" s="27" t="s">
        <v>14557</v>
      </c>
      <c r="C2029" s="27"/>
      <c r="D2029" s="27"/>
      <c r="E2029" s="27" t="s">
        <v>13809</v>
      </c>
      <c r="F2029" s="12">
        <v>1</v>
      </c>
    </row>
    <row r="2030" spans="2:6" x14ac:dyDescent="0.25">
      <c r="B2030" s="27" t="s">
        <v>9228</v>
      </c>
      <c r="C2030" s="27"/>
      <c r="D2030" s="27"/>
      <c r="E2030" s="27" t="s">
        <v>13624</v>
      </c>
      <c r="F2030" s="12">
        <v>1</v>
      </c>
    </row>
    <row r="2031" spans="2:6" x14ac:dyDescent="0.25">
      <c r="B2031" s="27" t="s">
        <v>14600</v>
      </c>
      <c r="C2031" s="27"/>
      <c r="D2031" s="27"/>
      <c r="E2031" s="27" t="s">
        <v>15288</v>
      </c>
      <c r="F2031" s="12">
        <v>1</v>
      </c>
    </row>
    <row r="2032" spans="2:6" x14ac:dyDescent="0.25">
      <c r="B2032" s="27" t="s">
        <v>14604</v>
      </c>
      <c r="C2032" s="27"/>
      <c r="D2032" s="27"/>
      <c r="E2032" s="27" t="s">
        <v>15245</v>
      </c>
      <c r="F2032" s="12">
        <v>1</v>
      </c>
    </row>
    <row r="2033" spans="2:6" x14ac:dyDescent="0.25">
      <c r="B2033" s="27" t="s">
        <v>10965</v>
      </c>
      <c r="C2033" s="27"/>
      <c r="D2033" s="27"/>
      <c r="E2033" s="27" t="s">
        <v>13813</v>
      </c>
      <c r="F2033" s="12">
        <v>1</v>
      </c>
    </row>
    <row r="2034" spans="2:6" x14ac:dyDescent="0.25">
      <c r="B2034" s="27" t="s">
        <v>14371</v>
      </c>
      <c r="C2034" s="27"/>
      <c r="D2034" s="27"/>
      <c r="E2034" s="27" t="s">
        <v>15247</v>
      </c>
      <c r="F2034" s="12">
        <v>1</v>
      </c>
    </row>
    <row r="2035" spans="2:6" x14ac:dyDescent="0.25">
      <c r="B2035" s="27" t="s">
        <v>13504</v>
      </c>
      <c r="C2035" s="27"/>
      <c r="D2035" s="27"/>
      <c r="E2035" s="27" t="s">
        <v>15290</v>
      </c>
      <c r="F2035" s="12">
        <v>1</v>
      </c>
    </row>
    <row r="2036" spans="2:6" x14ac:dyDescent="0.25">
      <c r="B2036" s="27" t="s">
        <v>14386</v>
      </c>
      <c r="C2036" s="27"/>
      <c r="D2036" s="27"/>
      <c r="E2036" s="27" t="s">
        <v>13626</v>
      </c>
      <c r="F2036" s="12">
        <v>1</v>
      </c>
    </row>
    <row r="2037" spans="2:6" x14ac:dyDescent="0.25">
      <c r="B2037" s="27" t="s">
        <v>13500</v>
      </c>
      <c r="C2037" s="27"/>
      <c r="D2037" s="27"/>
      <c r="E2037" s="27" t="s">
        <v>13817</v>
      </c>
      <c r="F2037" s="12">
        <v>1</v>
      </c>
    </row>
    <row r="2038" spans="2:6" x14ac:dyDescent="0.25">
      <c r="B2038" s="27" t="s">
        <v>13500</v>
      </c>
      <c r="C2038" s="27"/>
      <c r="D2038" s="27"/>
      <c r="E2038" s="27" t="s">
        <v>13628</v>
      </c>
      <c r="F2038" s="12">
        <v>1</v>
      </c>
    </row>
    <row r="2039" spans="2:6" x14ac:dyDescent="0.25">
      <c r="B2039" s="27" t="s">
        <v>7353</v>
      </c>
      <c r="C2039" s="27"/>
      <c r="D2039" s="27"/>
      <c r="E2039" s="27" t="s">
        <v>15291</v>
      </c>
      <c r="F2039" s="12">
        <v>1</v>
      </c>
    </row>
    <row r="2040" spans="2:6" x14ac:dyDescent="0.25">
      <c r="B2040" s="27" t="s">
        <v>14401</v>
      </c>
      <c r="C2040" s="27"/>
      <c r="D2040" s="27"/>
      <c r="E2040" s="27" t="s">
        <v>13630</v>
      </c>
      <c r="F2040" s="12">
        <v>1</v>
      </c>
    </row>
    <row r="2041" spans="2:6" x14ac:dyDescent="0.25">
      <c r="B2041" s="27" t="s">
        <v>12531</v>
      </c>
      <c r="C2041" s="27"/>
      <c r="D2041" s="27"/>
      <c r="E2041" s="27" t="s">
        <v>13821</v>
      </c>
      <c r="F2041" s="12">
        <v>1</v>
      </c>
    </row>
    <row r="2042" spans="2:6" x14ac:dyDescent="0.25">
      <c r="B2042" s="27" t="s">
        <v>14421</v>
      </c>
      <c r="C2042" s="27"/>
      <c r="D2042" s="27"/>
      <c r="E2042" s="27" t="s">
        <v>11318</v>
      </c>
      <c r="F2042" s="12">
        <v>1</v>
      </c>
    </row>
    <row r="2043" spans="2:6" x14ac:dyDescent="0.25">
      <c r="B2043" s="27" t="s">
        <v>14267</v>
      </c>
      <c r="C2043" s="27"/>
      <c r="D2043" s="27"/>
      <c r="E2043" s="27" t="s">
        <v>15293</v>
      </c>
      <c r="F2043" s="12">
        <v>1</v>
      </c>
    </row>
    <row r="2044" spans="2:6" x14ac:dyDescent="0.25">
      <c r="B2044" s="27" t="s">
        <v>14271</v>
      </c>
      <c r="C2044" s="27"/>
      <c r="D2044" s="27"/>
      <c r="E2044" s="27" t="s">
        <v>13632</v>
      </c>
      <c r="F2044" s="12">
        <v>1</v>
      </c>
    </row>
    <row r="2045" spans="2:6" x14ac:dyDescent="0.25">
      <c r="B2045" s="27" t="s">
        <v>14433</v>
      </c>
      <c r="C2045" s="27"/>
      <c r="D2045" s="27"/>
      <c r="E2045" s="27" t="s">
        <v>15295</v>
      </c>
      <c r="F2045" s="12">
        <v>1</v>
      </c>
    </row>
    <row r="2046" spans="2:6" x14ac:dyDescent="0.25">
      <c r="B2046" s="27" t="s">
        <v>9579</v>
      </c>
      <c r="C2046" s="27"/>
      <c r="D2046" s="27"/>
      <c r="E2046" s="27" t="s">
        <v>13634</v>
      </c>
      <c r="F2046" s="12">
        <v>1</v>
      </c>
    </row>
    <row r="2047" spans="2:6" x14ac:dyDescent="0.25">
      <c r="B2047" s="27" t="s">
        <v>5607</v>
      </c>
      <c r="C2047" s="27"/>
      <c r="D2047" s="27"/>
      <c r="E2047" s="27" t="s">
        <v>13635</v>
      </c>
      <c r="F2047" s="12">
        <v>1</v>
      </c>
    </row>
    <row r="2048" spans="2:6" x14ac:dyDescent="0.25">
      <c r="B2048" s="27" t="s">
        <v>14443</v>
      </c>
      <c r="C2048" s="27"/>
      <c r="D2048" s="27"/>
      <c r="E2048" s="27" t="s">
        <v>15337</v>
      </c>
    </row>
    <row r="2049" spans="2:6" x14ac:dyDescent="0.25">
      <c r="B2049" s="27" t="s">
        <v>14474</v>
      </c>
      <c r="C2049" s="27"/>
      <c r="D2049" s="27"/>
      <c r="E2049" s="27" t="s">
        <v>15338</v>
      </c>
      <c r="F2049" s="12">
        <v>2151</v>
      </c>
    </row>
    <row r="2050" spans="2:6" x14ac:dyDescent="0.25">
      <c r="B2050" s="27" t="s">
        <v>11674</v>
      </c>
      <c r="C2050" s="27"/>
      <c r="D2050" s="27"/>
    </row>
    <row r="2051" spans="2:6" x14ac:dyDescent="0.25">
      <c r="B2051" s="27" t="s">
        <v>14492</v>
      </c>
      <c r="C2051" s="27"/>
      <c r="D2051" s="27"/>
    </row>
    <row r="2052" spans="2:6" x14ac:dyDescent="0.25">
      <c r="B2052" s="27" t="s">
        <v>14504</v>
      </c>
      <c r="C2052" s="27"/>
      <c r="D2052" s="27"/>
    </row>
    <row r="2053" spans="2:6" x14ac:dyDescent="0.25">
      <c r="B2053" s="27" t="s">
        <v>11684</v>
      </c>
      <c r="C2053" s="27"/>
      <c r="D2053" s="27"/>
    </row>
    <row r="2054" spans="2:6" x14ac:dyDescent="0.25">
      <c r="B2054" s="27" t="s">
        <v>14212</v>
      </c>
      <c r="C2054" s="27"/>
      <c r="D2054" s="27"/>
    </row>
    <row r="2055" spans="2:6" x14ac:dyDescent="0.25">
      <c r="B2055" s="27" t="s">
        <v>14310</v>
      </c>
      <c r="C2055" s="27"/>
      <c r="D2055" s="27"/>
    </row>
    <row r="2056" spans="2:6" x14ac:dyDescent="0.25">
      <c r="B2056" s="27" t="s">
        <v>10981</v>
      </c>
      <c r="C2056" s="27"/>
      <c r="D2056" s="27"/>
    </row>
    <row r="2057" spans="2:6" x14ac:dyDescent="0.25">
      <c r="B2057" s="27" t="s">
        <v>14162</v>
      </c>
      <c r="C2057" s="27"/>
      <c r="D2057" s="27"/>
    </row>
    <row r="2058" spans="2:6" x14ac:dyDescent="0.25">
      <c r="B2058" s="27" t="s">
        <v>14522</v>
      </c>
      <c r="C2058" s="27"/>
      <c r="D2058" s="27"/>
    </row>
    <row r="2059" spans="2:6" x14ac:dyDescent="0.25">
      <c r="B2059" s="27" t="s">
        <v>14553</v>
      </c>
      <c r="C2059" s="27"/>
      <c r="D2059" s="27"/>
    </row>
    <row r="2060" spans="2:6" x14ac:dyDescent="0.25">
      <c r="B2060" s="27" t="s">
        <v>3177</v>
      </c>
      <c r="C2060" s="27"/>
      <c r="D2060" s="27"/>
    </row>
    <row r="2061" spans="2:6" x14ac:dyDescent="0.25">
      <c r="B2061" s="27" t="s">
        <v>14575</v>
      </c>
      <c r="C2061" s="27"/>
      <c r="D2061" s="27"/>
    </row>
    <row r="2062" spans="2:6" x14ac:dyDescent="0.25">
      <c r="B2062" s="27" t="s">
        <v>14579</v>
      </c>
      <c r="C2062" s="27"/>
      <c r="D2062" s="27"/>
    </row>
    <row r="2063" spans="2:6" x14ac:dyDescent="0.25">
      <c r="B2063" s="27" t="s">
        <v>14343</v>
      </c>
      <c r="C2063" s="27"/>
      <c r="D2063" s="27"/>
    </row>
    <row r="2064" spans="2:6" x14ac:dyDescent="0.25">
      <c r="B2064" s="27" t="s">
        <v>13487</v>
      </c>
      <c r="C2064" s="27"/>
      <c r="D2064" s="27"/>
    </row>
    <row r="2065" spans="2:4" x14ac:dyDescent="0.25">
      <c r="B2065" s="27" t="s">
        <v>13487</v>
      </c>
      <c r="C2065" s="27"/>
      <c r="D2065" s="27"/>
    </row>
    <row r="2066" spans="2:4" x14ac:dyDescent="0.25">
      <c r="B2066" s="27" t="s">
        <v>14587</v>
      </c>
      <c r="C2066" s="27"/>
      <c r="D2066" s="27"/>
    </row>
    <row r="2067" spans="2:4" x14ac:dyDescent="0.25">
      <c r="B2067" s="27" t="s">
        <v>14591</v>
      </c>
      <c r="C2067" s="27"/>
      <c r="D2067" s="27"/>
    </row>
    <row r="2068" spans="2:4" x14ac:dyDescent="0.25">
      <c r="B2068" s="27" t="s">
        <v>14595</v>
      </c>
      <c r="C2068" s="27"/>
      <c r="D2068" s="27"/>
    </row>
    <row r="2069" spans="2:4" x14ac:dyDescent="0.25">
      <c r="B2069" s="27" t="s">
        <v>13894</v>
      </c>
      <c r="C2069" s="27"/>
      <c r="D2069" s="27"/>
    </row>
    <row r="2070" spans="2:4" x14ac:dyDescent="0.25">
      <c r="B2070" s="27" t="s">
        <v>13724</v>
      </c>
      <c r="C2070" s="27"/>
      <c r="D2070" s="27"/>
    </row>
    <row r="2071" spans="2:4" x14ac:dyDescent="0.25">
      <c r="B2071" s="27" t="s">
        <v>13926</v>
      </c>
      <c r="C2071" s="27"/>
      <c r="D2071" s="27"/>
    </row>
    <row r="2072" spans="2:4" x14ac:dyDescent="0.25">
      <c r="B2072" s="27" t="s">
        <v>13820</v>
      </c>
      <c r="C2072" s="27"/>
      <c r="D2072" s="27"/>
    </row>
    <row r="2073" spans="2:4" x14ac:dyDescent="0.25">
      <c r="B2073" s="27" t="s">
        <v>13605</v>
      </c>
      <c r="C2073" s="27"/>
      <c r="D2073" s="27"/>
    </row>
    <row r="2074" spans="2:4" x14ac:dyDescent="0.25">
      <c r="B2074" s="27" t="s">
        <v>7880</v>
      </c>
      <c r="C2074" s="27"/>
      <c r="D2074" s="27"/>
    </row>
    <row r="2075" spans="2:4" x14ac:dyDescent="0.25">
      <c r="B2075" s="27" t="s">
        <v>12127</v>
      </c>
      <c r="C2075" s="27"/>
      <c r="D2075" s="27"/>
    </row>
    <row r="2076" spans="2:4" x14ac:dyDescent="0.25">
      <c r="B2076" s="27" t="s">
        <v>11827</v>
      </c>
      <c r="C2076" s="27"/>
      <c r="D2076" s="27"/>
    </row>
    <row r="2077" spans="2:4" x14ac:dyDescent="0.25">
      <c r="B2077" s="27" t="s">
        <v>13660</v>
      </c>
      <c r="C2077" s="27"/>
      <c r="D2077" s="27"/>
    </row>
    <row r="2078" spans="2:4" x14ac:dyDescent="0.25">
      <c r="B2078" s="27" t="s">
        <v>13672</v>
      </c>
      <c r="C2078" s="27"/>
      <c r="D2078" s="27"/>
    </row>
    <row r="2079" spans="2:4" x14ac:dyDescent="0.25">
      <c r="B2079" s="27" t="s">
        <v>11985</v>
      </c>
      <c r="C2079" s="27"/>
      <c r="D2079" s="27"/>
    </row>
    <row r="2080" spans="2:4" x14ac:dyDescent="0.25">
      <c r="B2080" s="27" t="s">
        <v>7408</v>
      </c>
      <c r="C2080" s="27"/>
      <c r="D2080" s="27"/>
    </row>
    <row r="2081" spans="2:4" x14ac:dyDescent="0.25">
      <c r="B2081" s="27" t="s">
        <v>10307</v>
      </c>
      <c r="C2081" s="27"/>
      <c r="D2081" s="27"/>
    </row>
    <row r="2082" spans="2:4" x14ac:dyDescent="0.25">
      <c r="B2082" s="27" t="s">
        <v>10606</v>
      </c>
      <c r="C2082" s="27"/>
      <c r="D2082" s="27"/>
    </row>
    <row r="2083" spans="2:4" x14ac:dyDescent="0.25">
      <c r="B2083" s="27" t="s">
        <v>9974</v>
      </c>
      <c r="C2083" s="27"/>
      <c r="D2083" s="27"/>
    </row>
    <row r="2084" spans="2:4" x14ac:dyDescent="0.25">
      <c r="B2084" s="27" t="s">
        <v>13736</v>
      </c>
      <c r="C2084" s="27"/>
      <c r="D2084" s="27"/>
    </row>
    <row r="2085" spans="2:4" x14ac:dyDescent="0.25">
      <c r="B2085" s="27" t="s">
        <v>13744</v>
      </c>
      <c r="C2085" s="27"/>
      <c r="D2085" s="27"/>
    </row>
    <row r="2086" spans="2:4" x14ac:dyDescent="0.25">
      <c r="B2086" s="27" t="s">
        <v>13752</v>
      </c>
      <c r="C2086" s="27"/>
      <c r="D2086" s="27"/>
    </row>
    <row r="2087" spans="2:4" x14ac:dyDescent="0.25">
      <c r="B2087" s="27" t="s">
        <v>12264</v>
      </c>
      <c r="C2087" s="27"/>
      <c r="D2087" s="27"/>
    </row>
    <row r="2088" spans="2:4" x14ac:dyDescent="0.25">
      <c r="B2088" s="27" t="s">
        <v>2035</v>
      </c>
      <c r="C2088" s="27"/>
      <c r="D2088" s="27"/>
    </row>
    <row r="2089" spans="2:4" x14ac:dyDescent="0.25">
      <c r="B2089" s="27" t="s">
        <v>13802</v>
      </c>
      <c r="C2089" s="27"/>
      <c r="D2089" s="27"/>
    </row>
    <row r="2090" spans="2:4" x14ac:dyDescent="0.25">
      <c r="B2090" s="27" t="s">
        <v>13818</v>
      </c>
      <c r="C2090" s="27"/>
      <c r="D2090" s="27"/>
    </row>
    <row r="2091" spans="2:4" x14ac:dyDescent="0.25">
      <c r="B2091" s="27" t="s">
        <v>13822</v>
      </c>
      <c r="C2091" s="27"/>
      <c r="D2091" s="27"/>
    </row>
    <row r="2092" spans="2:4" x14ac:dyDescent="0.25">
      <c r="B2092" s="27" t="s">
        <v>13826</v>
      </c>
      <c r="C2092" s="27"/>
      <c r="D2092" s="27"/>
    </row>
    <row r="2093" spans="2:4" x14ac:dyDescent="0.25">
      <c r="B2093" s="27" t="s">
        <v>13830</v>
      </c>
      <c r="C2093" s="27"/>
      <c r="D2093" s="27"/>
    </row>
    <row r="2094" spans="2:4" x14ac:dyDescent="0.25">
      <c r="B2094" s="27" t="s">
        <v>13834</v>
      </c>
      <c r="C2094" s="27"/>
      <c r="D2094" s="27"/>
    </row>
    <row r="2095" spans="2:4" x14ac:dyDescent="0.25">
      <c r="B2095" s="27" t="s">
        <v>13850</v>
      </c>
      <c r="C2095" s="27"/>
      <c r="D2095" s="27"/>
    </row>
    <row r="2096" spans="2:4" x14ac:dyDescent="0.25">
      <c r="B2096" s="27" t="s">
        <v>13858</v>
      </c>
      <c r="C2096" s="27"/>
      <c r="D2096" s="27"/>
    </row>
    <row r="2097" spans="2:4" x14ac:dyDescent="0.25">
      <c r="B2097" s="27" t="s">
        <v>13862</v>
      </c>
      <c r="C2097" s="27"/>
      <c r="D2097" s="27"/>
    </row>
    <row r="2098" spans="2:4" x14ac:dyDescent="0.25">
      <c r="B2098" s="27" t="s">
        <v>13878</v>
      </c>
      <c r="C2098" s="27"/>
      <c r="D2098" s="27"/>
    </row>
    <row r="2099" spans="2:4" x14ac:dyDescent="0.25">
      <c r="B2099" s="27" t="s">
        <v>13475</v>
      </c>
      <c r="C2099" s="27"/>
      <c r="D2099" s="27"/>
    </row>
    <row r="2100" spans="2:4" x14ac:dyDescent="0.25">
      <c r="B2100" s="27" t="s">
        <v>13902</v>
      </c>
      <c r="C2100" s="27"/>
      <c r="D2100" s="27"/>
    </row>
    <row r="2101" spans="2:4" x14ac:dyDescent="0.25">
      <c r="B2101" s="27" t="s">
        <v>13916</v>
      </c>
      <c r="C2101" s="27"/>
      <c r="D2101" s="27"/>
    </row>
    <row r="2102" spans="2:4" x14ac:dyDescent="0.25">
      <c r="B2102" s="27" t="s">
        <v>13920</v>
      </c>
      <c r="C2102" s="27"/>
      <c r="D2102" s="27"/>
    </row>
    <row r="2103" spans="2:4" x14ac:dyDescent="0.25">
      <c r="B2103" s="27" t="s">
        <v>13924</v>
      </c>
      <c r="C2103" s="27"/>
      <c r="D2103" s="27"/>
    </row>
    <row r="2104" spans="2:4" x14ac:dyDescent="0.25">
      <c r="B2104" s="27" t="s">
        <v>13948</v>
      </c>
      <c r="C2104" s="27"/>
      <c r="D2104" s="27"/>
    </row>
    <row r="2105" spans="2:4" x14ac:dyDescent="0.25">
      <c r="B2105" s="27" t="s">
        <v>13962</v>
      </c>
      <c r="C2105" s="27"/>
      <c r="D2105" s="27"/>
    </row>
    <row r="2106" spans="2:4" x14ac:dyDescent="0.25">
      <c r="B2106" s="27" t="s">
        <v>13981</v>
      </c>
      <c r="C2106" s="27"/>
      <c r="D2106" s="27"/>
    </row>
    <row r="2107" spans="2:4" x14ac:dyDescent="0.25">
      <c r="B2107" s="27" t="s">
        <v>13992</v>
      </c>
      <c r="C2107" s="27"/>
      <c r="D2107" s="27"/>
    </row>
    <row r="2108" spans="2:4" x14ac:dyDescent="0.25">
      <c r="B2108" s="27" t="s">
        <v>13996</v>
      </c>
      <c r="C2108" s="27"/>
      <c r="D2108" s="27"/>
    </row>
    <row r="2109" spans="2:4" x14ac:dyDescent="0.25">
      <c r="B2109" s="27" t="s">
        <v>14052</v>
      </c>
      <c r="C2109" s="27"/>
      <c r="D2109" s="27"/>
    </row>
    <row r="2110" spans="2:4" x14ac:dyDescent="0.25">
      <c r="B2110" s="27" t="s">
        <v>14056</v>
      </c>
      <c r="C2110" s="27"/>
      <c r="D2110" s="27"/>
    </row>
    <row r="2111" spans="2:4" x14ac:dyDescent="0.25">
      <c r="B2111" s="27" t="s">
        <v>14095</v>
      </c>
      <c r="C2111" s="27"/>
      <c r="D2111" s="27"/>
    </row>
    <row r="2112" spans="2:4" x14ac:dyDescent="0.25">
      <c r="B2112" s="27" t="s">
        <v>14113</v>
      </c>
      <c r="C2112" s="27"/>
      <c r="D2112" s="27"/>
    </row>
    <row r="2113" spans="2:4" x14ac:dyDescent="0.25">
      <c r="B2113" s="27" t="s">
        <v>3605</v>
      </c>
      <c r="C2113" s="27"/>
      <c r="D2113" s="27"/>
    </row>
    <row r="2114" spans="2:4" x14ac:dyDescent="0.25">
      <c r="B2114" s="27" t="s">
        <v>13717</v>
      </c>
      <c r="C2114" s="27"/>
      <c r="D2114" s="27"/>
    </row>
    <row r="2115" spans="2:4" x14ac:dyDescent="0.25">
      <c r="B2115" s="27" t="s">
        <v>13606</v>
      </c>
      <c r="C2115" s="27"/>
      <c r="D2115" s="27"/>
    </row>
    <row r="2116" spans="2:4" x14ac:dyDescent="0.25">
      <c r="B2116" s="27" t="s">
        <v>13479</v>
      </c>
      <c r="C2116" s="27"/>
      <c r="D2116" s="27"/>
    </row>
    <row r="2117" spans="2:4" x14ac:dyDescent="0.25">
      <c r="B2117" s="27" t="s">
        <v>13479</v>
      </c>
      <c r="C2117" s="27"/>
      <c r="D2117" s="27"/>
    </row>
    <row r="2118" spans="2:4" x14ac:dyDescent="0.25">
      <c r="B2118" s="27" t="s">
        <v>13864</v>
      </c>
      <c r="C2118" s="27"/>
      <c r="D2118" s="27"/>
    </row>
    <row r="2119" spans="2:4" x14ac:dyDescent="0.25">
      <c r="B2119" s="27" t="s">
        <v>13625</v>
      </c>
      <c r="C2119" s="27"/>
      <c r="D2119" s="27"/>
    </row>
    <row r="2120" spans="2:4" x14ac:dyDescent="0.25">
      <c r="B2120" s="27" t="s">
        <v>10351</v>
      </c>
      <c r="C2120" s="27"/>
      <c r="D2120" s="27"/>
    </row>
    <row r="2121" spans="2:4" x14ac:dyDescent="0.25">
      <c r="B2121" s="27" t="s">
        <v>13914</v>
      </c>
      <c r="C2121" s="27"/>
      <c r="D2121" s="27"/>
    </row>
    <row r="2122" spans="2:4" x14ac:dyDescent="0.25">
      <c r="B2122" s="27" t="s">
        <v>13922</v>
      </c>
      <c r="C2122" s="27"/>
      <c r="D2122" s="27"/>
    </row>
    <row r="2123" spans="2:4" x14ac:dyDescent="0.25">
      <c r="B2123" s="27" t="s">
        <v>13633</v>
      </c>
      <c r="C2123" s="27"/>
      <c r="D2123" s="27"/>
    </row>
    <row r="2124" spans="2:4" x14ac:dyDescent="0.25">
      <c r="B2124" s="27" t="s">
        <v>8685</v>
      </c>
      <c r="C2124" s="27"/>
      <c r="D2124" s="27"/>
    </row>
    <row r="2125" spans="2:4" x14ac:dyDescent="0.25">
      <c r="B2125" s="27" t="s">
        <v>13763</v>
      </c>
      <c r="C2125" s="27"/>
      <c r="D2125" s="27"/>
    </row>
    <row r="2126" spans="2:4" x14ac:dyDescent="0.25">
      <c r="B2126" s="27" t="s">
        <v>13954</v>
      </c>
      <c r="C2126" s="27"/>
      <c r="D2126" s="27"/>
    </row>
    <row r="2127" spans="2:4" x14ac:dyDescent="0.25">
      <c r="B2127" s="27" t="s">
        <v>13771</v>
      </c>
      <c r="C2127" s="27"/>
      <c r="D2127" s="27"/>
    </row>
    <row r="2128" spans="2:4" x14ac:dyDescent="0.25">
      <c r="B2128" s="27" t="s">
        <v>13963</v>
      </c>
      <c r="C2128" s="27"/>
      <c r="D2128" s="27"/>
    </row>
    <row r="2129" spans="2:4" x14ac:dyDescent="0.25">
      <c r="B2129" s="27" t="s">
        <v>13685</v>
      </c>
      <c r="C2129" s="27"/>
      <c r="D2129" s="27"/>
    </row>
    <row r="2130" spans="2:4" x14ac:dyDescent="0.25">
      <c r="B2130" s="27" t="s">
        <v>13779</v>
      </c>
      <c r="C2130" s="27"/>
      <c r="D2130" s="27"/>
    </row>
    <row r="2131" spans="2:4" x14ac:dyDescent="0.25">
      <c r="B2131" s="27" t="s">
        <v>13983</v>
      </c>
      <c r="C2131" s="27"/>
      <c r="D2131" s="27"/>
    </row>
    <row r="2132" spans="2:4" x14ac:dyDescent="0.25">
      <c r="B2132" s="27" t="s">
        <v>2747</v>
      </c>
      <c r="C2132" s="27"/>
      <c r="D2132" s="27"/>
    </row>
    <row r="2133" spans="2:4" x14ac:dyDescent="0.25">
      <c r="B2133" s="27" t="s">
        <v>3158</v>
      </c>
      <c r="C2133" s="27"/>
      <c r="D2133" s="27"/>
    </row>
    <row r="2134" spans="2:4" x14ac:dyDescent="0.25">
      <c r="B2134" s="27" t="s">
        <v>13784</v>
      </c>
      <c r="C2134" s="27"/>
      <c r="D2134" s="27"/>
    </row>
    <row r="2135" spans="2:4" x14ac:dyDescent="0.25">
      <c r="B2135" s="27" t="s">
        <v>13994</v>
      </c>
      <c r="C2135" s="27"/>
      <c r="D2135" s="27"/>
    </row>
    <row r="2136" spans="2:4" x14ac:dyDescent="0.25">
      <c r="B2136" s="27" t="s">
        <v>13639</v>
      </c>
      <c r="C2136" s="27"/>
      <c r="D2136" s="27"/>
    </row>
    <row r="2137" spans="2:4" x14ac:dyDescent="0.25">
      <c r="B2137" s="27" t="s">
        <v>14002</v>
      </c>
      <c r="C2137" s="27"/>
      <c r="D2137" s="27"/>
    </row>
    <row r="2138" spans="2:4" x14ac:dyDescent="0.25">
      <c r="B2138" s="27" t="s">
        <v>2350</v>
      </c>
      <c r="C2138" s="27"/>
      <c r="D2138" s="27"/>
    </row>
    <row r="2139" spans="2:4" x14ac:dyDescent="0.25">
      <c r="B2139" s="27" t="s">
        <v>14011</v>
      </c>
      <c r="C2139" s="27"/>
      <c r="D2139" s="27"/>
    </row>
    <row r="2140" spans="2:4" x14ac:dyDescent="0.25">
      <c r="B2140" s="27" t="s">
        <v>13696</v>
      </c>
      <c r="C2140" s="27"/>
      <c r="D2140" s="27"/>
    </row>
    <row r="2141" spans="2:4" x14ac:dyDescent="0.25">
      <c r="B2141" s="27" t="s">
        <v>5058</v>
      </c>
      <c r="C2141" s="27"/>
      <c r="D2141" s="27"/>
    </row>
    <row r="2142" spans="2:4" x14ac:dyDescent="0.25">
      <c r="B2142" s="27" t="s">
        <v>13477</v>
      </c>
      <c r="C2142" s="27"/>
      <c r="D2142" s="27"/>
    </row>
    <row r="2143" spans="2:4" x14ac:dyDescent="0.25">
      <c r="B2143" s="27" t="s">
        <v>7778</v>
      </c>
      <c r="C2143" s="27"/>
      <c r="D2143" s="27"/>
    </row>
    <row r="2144" spans="2:4" x14ac:dyDescent="0.25">
      <c r="B2144" s="27" t="s">
        <v>13598</v>
      </c>
      <c r="C2144" s="27"/>
      <c r="D2144" s="27"/>
    </row>
    <row r="2145" spans="2:4" x14ac:dyDescent="0.25">
      <c r="B2145" s="27" t="s">
        <v>14073</v>
      </c>
      <c r="C2145" s="27"/>
      <c r="D2145" s="27"/>
    </row>
    <row r="2146" spans="2:4" x14ac:dyDescent="0.25">
      <c r="B2146" s="27" t="s">
        <v>13709</v>
      </c>
      <c r="C2146" s="27"/>
      <c r="D2146" s="27"/>
    </row>
    <row r="2147" spans="2:4" x14ac:dyDescent="0.25">
      <c r="B2147" s="27" t="s">
        <v>14081</v>
      </c>
      <c r="C2147" s="27"/>
      <c r="D2147" s="27"/>
    </row>
    <row r="2148" spans="2:4" x14ac:dyDescent="0.25">
      <c r="B2148" s="27" t="s">
        <v>14089</v>
      </c>
      <c r="C2148" s="27"/>
      <c r="D2148" s="27"/>
    </row>
    <row r="2149" spans="2:4" x14ac:dyDescent="0.25">
      <c r="B2149" s="27" t="s">
        <v>14071</v>
      </c>
      <c r="C2149" s="27"/>
      <c r="D2149" s="27"/>
    </row>
    <row r="2150" spans="2:4" x14ac:dyDescent="0.25">
      <c r="B2150" s="27" t="s">
        <v>14093</v>
      </c>
      <c r="C2150" s="27"/>
      <c r="D2150" s="27"/>
    </row>
    <row r="2151" spans="2:4" x14ac:dyDescent="0.25">
      <c r="B2151" s="27" t="s">
        <v>14075</v>
      </c>
      <c r="C2151" s="27"/>
      <c r="D2151" s="27"/>
    </row>
    <row r="2152" spans="2:4" x14ac:dyDescent="0.25">
      <c r="B2152" s="27" t="s">
        <v>14097</v>
      </c>
      <c r="C2152" s="27"/>
      <c r="D2152" s="27"/>
    </row>
  </sheetData>
  <autoFilter ref="H1:I2041" xr:uid="{00000000-0009-0000-0000-000012000000}"/>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675"/>
  <sheetViews>
    <sheetView topLeftCell="BB654" workbookViewId="0">
      <selection sqref="A1:XFD675"/>
    </sheetView>
  </sheetViews>
  <sheetFormatPr baseColWidth="10" defaultColWidth="8.7265625" defaultRowHeight="12.5" x14ac:dyDescent="0.25"/>
  <sheetData>
    <row r="1" spans="1:72" s="2" customFormat="1" ht="13" x14ac:dyDescent="0.3">
      <c r="A1" s="2" t="s">
        <v>0</v>
      </c>
      <c r="B1" s="2" t="s">
        <v>1</v>
      </c>
      <c r="C1" s="2" t="s">
        <v>2</v>
      </c>
      <c r="D1" s="2" t="s">
        <v>3</v>
      </c>
      <c r="E1" s="2" t="s">
        <v>4</v>
      </c>
      <c r="F1" s="2" t="s">
        <v>5</v>
      </c>
      <c r="G1" s="2" t="s">
        <v>6</v>
      </c>
      <c r="H1" s="2" t="s">
        <v>7</v>
      </c>
      <c r="I1" s="3" t="s">
        <v>8</v>
      </c>
      <c r="J1" s="2" t="s">
        <v>9</v>
      </c>
      <c r="K1" s="2" t="s">
        <v>10</v>
      </c>
      <c r="L1" s="2" t="s">
        <v>11</v>
      </c>
      <c r="M1" s="2" t="s">
        <v>12</v>
      </c>
      <c r="N1" s="2" t="s">
        <v>13</v>
      </c>
      <c r="O1" s="2" t="s">
        <v>14</v>
      </c>
      <c r="P1" s="2" t="s">
        <v>15</v>
      </c>
      <c r="Q1" s="2" t="s">
        <v>16</v>
      </c>
      <c r="R1" s="2" t="s">
        <v>17</v>
      </c>
      <c r="S1" s="2" t="s">
        <v>18</v>
      </c>
      <c r="T1" s="3" t="s">
        <v>19</v>
      </c>
      <c r="U1" s="3" t="s">
        <v>20</v>
      </c>
      <c r="V1" s="3" t="s">
        <v>21</v>
      </c>
      <c r="W1" s="2" t="s">
        <v>22</v>
      </c>
      <c r="X1" s="2" t="s">
        <v>23</v>
      </c>
      <c r="Y1" s="2" t="s">
        <v>24</v>
      </c>
      <c r="Z1" s="2" t="s">
        <v>25</v>
      </c>
      <c r="AA1" s="2" t="s">
        <v>26</v>
      </c>
      <c r="AB1" s="2" t="s">
        <v>27</v>
      </c>
      <c r="AC1" s="2" t="s">
        <v>28</v>
      </c>
      <c r="AD1" s="2" t="s">
        <v>29</v>
      </c>
      <c r="AE1" s="2" t="s">
        <v>30</v>
      </c>
      <c r="AF1" s="2" t="s">
        <v>31</v>
      </c>
      <c r="AG1" s="2" t="s">
        <v>32</v>
      </c>
      <c r="AH1" s="3" t="s">
        <v>33</v>
      </c>
      <c r="AI1" s="2" t="s">
        <v>34</v>
      </c>
      <c r="AJ1" s="2" t="s">
        <v>35</v>
      </c>
      <c r="AK1" s="2" t="s">
        <v>36</v>
      </c>
      <c r="AL1" s="2" t="s">
        <v>37</v>
      </c>
      <c r="AM1" s="2" t="s">
        <v>38</v>
      </c>
      <c r="AN1" s="2" t="s">
        <v>39</v>
      </c>
      <c r="AO1" s="2" t="s">
        <v>40</v>
      </c>
      <c r="AP1" s="2" t="s">
        <v>41</v>
      </c>
      <c r="AQ1" s="2" t="s">
        <v>42</v>
      </c>
      <c r="AR1" s="2" t="s">
        <v>43</v>
      </c>
      <c r="AS1" s="2" t="s">
        <v>44</v>
      </c>
      <c r="AT1" s="2" t="s">
        <v>45</v>
      </c>
      <c r="AU1" s="3"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c r="BT1" s="2" t="s">
        <v>71</v>
      </c>
    </row>
    <row r="2" spans="1:72" x14ac:dyDescent="0.25">
      <c r="A2" t="s">
        <v>72</v>
      </c>
      <c r="B2" t="s">
        <v>12417</v>
      </c>
      <c r="C2" t="s">
        <v>74</v>
      </c>
      <c r="D2" t="s">
        <v>74</v>
      </c>
      <c r="E2" t="s">
        <v>74</v>
      </c>
      <c r="F2" t="s">
        <v>12418</v>
      </c>
      <c r="G2" t="s">
        <v>74</v>
      </c>
      <c r="H2" t="s">
        <v>74</v>
      </c>
      <c r="I2" s="1" t="s">
        <v>12419</v>
      </c>
      <c r="J2" t="s">
        <v>4849</v>
      </c>
      <c r="K2" t="s">
        <v>74</v>
      </c>
      <c r="L2" t="s">
        <v>74</v>
      </c>
      <c r="M2" t="s">
        <v>78</v>
      </c>
      <c r="N2" t="s">
        <v>79</v>
      </c>
      <c r="O2" t="s">
        <v>74</v>
      </c>
      <c r="P2" t="s">
        <v>74</v>
      </c>
      <c r="Q2" t="s">
        <v>74</v>
      </c>
      <c r="R2" t="s">
        <v>74</v>
      </c>
      <c r="S2" t="s">
        <v>74</v>
      </c>
      <c r="T2" s="1" t="s">
        <v>12420</v>
      </c>
      <c r="U2" s="1" t="s">
        <v>12421</v>
      </c>
      <c r="V2" s="1" t="s">
        <v>12422</v>
      </c>
      <c r="W2" t="s">
        <v>12423</v>
      </c>
      <c r="X2" t="s">
        <v>12424</v>
      </c>
      <c r="Y2" t="s">
        <v>12425</v>
      </c>
      <c r="Z2" t="s">
        <v>12426</v>
      </c>
      <c r="AA2" t="s">
        <v>12427</v>
      </c>
      <c r="AB2" t="s">
        <v>12428</v>
      </c>
      <c r="AC2" t="s">
        <v>12429</v>
      </c>
      <c r="AD2" t="s">
        <v>12430</v>
      </c>
      <c r="AE2" t="s">
        <v>74</v>
      </c>
      <c r="AF2" t="s">
        <v>74</v>
      </c>
      <c r="AG2">
        <v>39</v>
      </c>
      <c r="AH2">
        <v>1231</v>
      </c>
      <c r="AI2">
        <v>1282</v>
      </c>
      <c r="AJ2">
        <v>99</v>
      </c>
      <c r="AK2">
        <v>923</v>
      </c>
      <c r="AL2" t="s">
        <v>4775</v>
      </c>
      <c r="AM2" t="s">
        <v>12431</v>
      </c>
      <c r="AN2" t="s">
        <v>12432</v>
      </c>
      <c r="AO2" t="s">
        <v>4862</v>
      </c>
      <c r="AP2" t="s">
        <v>74</v>
      </c>
      <c r="AQ2" t="s">
        <v>74</v>
      </c>
      <c r="AR2" t="s">
        <v>4864</v>
      </c>
      <c r="AS2" t="s">
        <v>4865</v>
      </c>
      <c r="AT2" t="s">
        <v>476</v>
      </c>
      <c r="AU2">
        <v>2010</v>
      </c>
      <c r="AV2">
        <v>21</v>
      </c>
      <c r="AW2">
        <v>4</v>
      </c>
      <c r="AX2" t="s">
        <v>74</v>
      </c>
      <c r="AY2" t="s">
        <v>74</v>
      </c>
      <c r="AZ2" t="s">
        <v>74</v>
      </c>
      <c r="BA2" t="s">
        <v>74</v>
      </c>
      <c r="BB2">
        <v>724</v>
      </c>
      <c r="BC2">
        <v>735</v>
      </c>
      <c r="BD2" t="s">
        <v>74</v>
      </c>
      <c r="BE2" t="s">
        <v>12433</v>
      </c>
      <c r="BF2" t="str">
        <f>HYPERLINK("http://dx.doi.org/10.1287/isre.1100.0322","http://dx.doi.org/10.1287/isre.1100.0322")</f>
        <v>http://dx.doi.org/10.1287/isre.1100.0322</v>
      </c>
      <c r="BG2" t="s">
        <v>74</v>
      </c>
      <c r="BH2" t="s">
        <v>74</v>
      </c>
      <c r="BI2">
        <v>12</v>
      </c>
      <c r="BJ2" t="s">
        <v>3601</v>
      </c>
      <c r="BK2" t="s">
        <v>156</v>
      </c>
      <c r="BL2" t="s">
        <v>3602</v>
      </c>
      <c r="BM2" t="s">
        <v>12434</v>
      </c>
      <c r="BN2" t="s">
        <v>74</v>
      </c>
      <c r="BO2" t="s">
        <v>74</v>
      </c>
      <c r="BP2" t="s">
        <v>74</v>
      </c>
      <c r="BQ2" t="s">
        <v>74</v>
      </c>
      <c r="BR2" t="s">
        <v>106</v>
      </c>
      <c r="BS2" t="s">
        <v>12435</v>
      </c>
      <c r="BT2" t="str">
        <f>HYPERLINK("https%3A%2F%2Fwww.webofscience.com%2Fwos%2Fwoscc%2Ffull-record%2FWOS:000285383200006","View Full Record in Web of Science")</f>
        <v>View Full Record in Web of Science</v>
      </c>
    </row>
    <row r="3" spans="1:72" x14ac:dyDescent="0.25">
      <c r="A3" t="s">
        <v>72</v>
      </c>
      <c r="B3" t="s">
        <v>12141</v>
      </c>
      <c r="C3" t="s">
        <v>74</v>
      </c>
      <c r="D3" t="s">
        <v>74</v>
      </c>
      <c r="E3" t="s">
        <v>74</v>
      </c>
      <c r="F3" t="s">
        <v>12142</v>
      </c>
      <c r="G3" t="s">
        <v>74</v>
      </c>
      <c r="H3" t="s">
        <v>74</v>
      </c>
      <c r="I3" s="1" t="s">
        <v>12143</v>
      </c>
      <c r="J3" t="s">
        <v>2587</v>
      </c>
      <c r="K3" t="s">
        <v>74</v>
      </c>
      <c r="L3" t="s">
        <v>74</v>
      </c>
      <c r="M3" t="s">
        <v>78</v>
      </c>
      <c r="N3" t="s">
        <v>79</v>
      </c>
      <c r="O3" t="s">
        <v>74</v>
      </c>
      <c r="P3" t="s">
        <v>74</v>
      </c>
      <c r="Q3" t="s">
        <v>74</v>
      </c>
      <c r="R3" t="s">
        <v>74</v>
      </c>
      <c r="S3" t="s">
        <v>74</v>
      </c>
      <c r="T3" s="1" t="s">
        <v>12144</v>
      </c>
      <c r="U3" s="1" t="s">
        <v>12145</v>
      </c>
      <c r="V3" s="1" t="s">
        <v>12146</v>
      </c>
      <c r="W3" t="s">
        <v>12147</v>
      </c>
      <c r="X3" t="s">
        <v>12148</v>
      </c>
      <c r="Y3" t="s">
        <v>12149</v>
      </c>
      <c r="Z3" t="s">
        <v>12150</v>
      </c>
      <c r="AA3" t="s">
        <v>12151</v>
      </c>
      <c r="AB3" t="s">
        <v>12152</v>
      </c>
      <c r="AC3" t="s">
        <v>74</v>
      </c>
      <c r="AD3" t="s">
        <v>74</v>
      </c>
      <c r="AE3" t="s">
        <v>74</v>
      </c>
      <c r="AF3" t="s">
        <v>74</v>
      </c>
      <c r="AG3">
        <v>55</v>
      </c>
      <c r="AH3">
        <v>1212</v>
      </c>
      <c r="AI3">
        <v>1244</v>
      </c>
      <c r="AJ3">
        <v>186</v>
      </c>
      <c r="AK3">
        <v>1363</v>
      </c>
      <c r="AL3" t="s">
        <v>2595</v>
      </c>
      <c r="AM3" t="s">
        <v>2596</v>
      </c>
      <c r="AN3" t="s">
        <v>2597</v>
      </c>
      <c r="AO3" t="s">
        <v>2598</v>
      </c>
      <c r="AP3" t="s">
        <v>74</v>
      </c>
      <c r="AQ3" t="s">
        <v>74</v>
      </c>
      <c r="AR3" t="s">
        <v>2599</v>
      </c>
      <c r="AS3" t="s">
        <v>2600</v>
      </c>
      <c r="AT3" t="s">
        <v>1138</v>
      </c>
      <c r="AU3">
        <v>2013</v>
      </c>
      <c r="AV3">
        <v>37</v>
      </c>
      <c r="AW3">
        <v>2</v>
      </c>
      <c r="AX3" t="s">
        <v>74</v>
      </c>
      <c r="AY3" t="s">
        <v>74</v>
      </c>
      <c r="AZ3" t="s">
        <v>74</v>
      </c>
      <c r="BA3" t="s">
        <v>74</v>
      </c>
      <c r="BB3">
        <v>471</v>
      </c>
      <c r="BC3">
        <v>482</v>
      </c>
      <c r="BD3" t="s">
        <v>74</v>
      </c>
      <c r="BE3" t="s">
        <v>12153</v>
      </c>
      <c r="BF3" t="str">
        <f>HYPERLINK("http://dx.doi.org/10.25300/MISQ/2013/37:2.3","http://dx.doi.org/10.25300/MISQ/2013/37:2.3")</f>
        <v>http://dx.doi.org/10.25300/MISQ/2013/37:2.3</v>
      </c>
      <c r="BG3" t="s">
        <v>74</v>
      </c>
      <c r="BH3" t="s">
        <v>74</v>
      </c>
      <c r="BI3">
        <v>12</v>
      </c>
      <c r="BJ3" t="s">
        <v>2581</v>
      </c>
      <c r="BK3" t="s">
        <v>211</v>
      </c>
      <c r="BL3" t="s">
        <v>767</v>
      </c>
      <c r="BM3" t="s">
        <v>12154</v>
      </c>
      <c r="BN3" t="s">
        <v>74</v>
      </c>
      <c r="BO3" t="s">
        <v>791</v>
      </c>
      <c r="BP3" t="s">
        <v>74</v>
      </c>
      <c r="BQ3" t="s">
        <v>74</v>
      </c>
      <c r="BR3" t="s">
        <v>106</v>
      </c>
      <c r="BS3" t="s">
        <v>12155</v>
      </c>
      <c r="BT3" t="str">
        <f>HYPERLINK("https%3A%2F%2Fwww.webofscience.com%2Fwos%2Fwoscc%2Ffull-record%2FWOS:000329754600009","View Full Record in Web of Science")</f>
        <v>View Full Record in Web of Science</v>
      </c>
    </row>
    <row r="4" spans="1:72" x14ac:dyDescent="0.25">
      <c r="A4" t="s">
        <v>72</v>
      </c>
      <c r="B4" t="s">
        <v>8927</v>
      </c>
      <c r="C4" t="s">
        <v>74</v>
      </c>
      <c r="D4" t="s">
        <v>74</v>
      </c>
      <c r="E4" t="s">
        <v>74</v>
      </c>
      <c r="F4" t="s">
        <v>8928</v>
      </c>
      <c r="G4" t="s">
        <v>74</v>
      </c>
      <c r="H4" t="s">
        <v>74</v>
      </c>
      <c r="I4" s="1" t="s">
        <v>8929</v>
      </c>
      <c r="J4" t="s">
        <v>321</v>
      </c>
      <c r="K4" t="s">
        <v>74</v>
      </c>
      <c r="L4" t="s">
        <v>74</v>
      </c>
      <c r="M4" t="s">
        <v>78</v>
      </c>
      <c r="N4" t="s">
        <v>79</v>
      </c>
      <c r="O4" t="s">
        <v>74</v>
      </c>
      <c r="P4" t="s">
        <v>74</v>
      </c>
      <c r="Q4" t="s">
        <v>74</v>
      </c>
      <c r="R4" t="s">
        <v>74</v>
      </c>
      <c r="S4" t="s">
        <v>74</v>
      </c>
      <c r="T4" s="1" t="s">
        <v>8930</v>
      </c>
      <c r="U4" s="1" t="s">
        <v>8931</v>
      </c>
      <c r="V4" s="1" t="s">
        <v>8932</v>
      </c>
      <c r="W4" t="s">
        <v>8933</v>
      </c>
      <c r="X4" t="s">
        <v>74</v>
      </c>
      <c r="Y4" t="s">
        <v>8934</v>
      </c>
      <c r="Z4" t="s">
        <v>8935</v>
      </c>
      <c r="AA4" t="s">
        <v>8936</v>
      </c>
      <c r="AB4" t="s">
        <v>8937</v>
      </c>
      <c r="AC4" t="s">
        <v>8938</v>
      </c>
      <c r="AD4" t="s">
        <v>605</v>
      </c>
      <c r="AE4" t="s">
        <v>8939</v>
      </c>
      <c r="AF4" t="s">
        <v>74</v>
      </c>
      <c r="AG4">
        <v>119</v>
      </c>
      <c r="AH4">
        <v>435</v>
      </c>
      <c r="AI4">
        <v>444</v>
      </c>
      <c r="AJ4">
        <v>64</v>
      </c>
      <c r="AK4">
        <v>472</v>
      </c>
      <c r="AL4" t="s">
        <v>332</v>
      </c>
      <c r="AM4" t="s">
        <v>122</v>
      </c>
      <c r="AN4" t="s">
        <v>333</v>
      </c>
      <c r="AO4" t="s">
        <v>334</v>
      </c>
      <c r="AP4" t="s">
        <v>335</v>
      </c>
      <c r="AQ4" t="s">
        <v>74</v>
      </c>
      <c r="AR4" t="s">
        <v>336</v>
      </c>
      <c r="AS4" t="s">
        <v>337</v>
      </c>
      <c r="AT4" t="s">
        <v>356</v>
      </c>
      <c r="AU4">
        <v>2019</v>
      </c>
      <c r="AV4">
        <v>146</v>
      </c>
      <c r="AW4" t="s">
        <v>74</v>
      </c>
      <c r="AX4" t="s">
        <v>74</v>
      </c>
      <c r="AY4" t="s">
        <v>74</v>
      </c>
      <c r="AZ4" t="s">
        <v>74</v>
      </c>
      <c r="BA4" t="s">
        <v>74</v>
      </c>
      <c r="BB4">
        <v>119</v>
      </c>
      <c r="BC4">
        <v>132</v>
      </c>
      <c r="BD4" t="s">
        <v>74</v>
      </c>
      <c r="BE4" t="s">
        <v>8940</v>
      </c>
      <c r="BF4" t="str">
        <f>HYPERLINK("http://dx.doi.org/10.1016/j.techfore.2019.05.021","http://dx.doi.org/10.1016/j.techfore.2019.05.021")</f>
        <v>http://dx.doi.org/10.1016/j.techfore.2019.05.021</v>
      </c>
      <c r="BG4" t="s">
        <v>74</v>
      </c>
      <c r="BH4" t="s">
        <v>74</v>
      </c>
      <c r="BI4">
        <v>14</v>
      </c>
      <c r="BJ4" t="s">
        <v>339</v>
      </c>
      <c r="BK4" t="s">
        <v>156</v>
      </c>
      <c r="BL4" t="s">
        <v>340</v>
      </c>
      <c r="BM4" t="s">
        <v>8941</v>
      </c>
      <c r="BN4" t="s">
        <v>74</v>
      </c>
      <c r="BO4" t="s">
        <v>8942</v>
      </c>
      <c r="BP4" t="s">
        <v>74</v>
      </c>
      <c r="BQ4" t="s">
        <v>74</v>
      </c>
      <c r="BR4" t="s">
        <v>106</v>
      </c>
      <c r="BS4" t="s">
        <v>8943</v>
      </c>
      <c r="BT4" t="str">
        <f>HYPERLINK("https%3A%2F%2Fwww.webofscience.com%2Fwos%2Fwoscc%2Ffull-record%2FWOS:000499922800012","View Full Record in Web of Science")</f>
        <v>View Full Record in Web of Science</v>
      </c>
    </row>
    <row r="5" spans="1:72" x14ac:dyDescent="0.25">
      <c r="A5" t="s">
        <v>72</v>
      </c>
      <c r="B5" t="s">
        <v>7614</v>
      </c>
      <c r="C5" t="s">
        <v>74</v>
      </c>
      <c r="D5" t="s">
        <v>74</v>
      </c>
      <c r="E5" t="s">
        <v>74</v>
      </c>
      <c r="F5" t="s">
        <v>7615</v>
      </c>
      <c r="G5" t="s">
        <v>74</v>
      </c>
      <c r="H5" t="s">
        <v>74</v>
      </c>
      <c r="I5" s="1" t="s">
        <v>7616</v>
      </c>
      <c r="J5" t="s">
        <v>4541</v>
      </c>
      <c r="K5" t="s">
        <v>74</v>
      </c>
      <c r="L5" t="s">
        <v>74</v>
      </c>
      <c r="M5" t="s">
        <v>78</v>
      </c>
      <c r="N5" t="s">
        <v>79</v>
      </c>
      <c r="O5" t="s">
        <v>74</v>
      </c>
      <c r="P5" t="s">
        <v>74</v>
      </c>
      <c r="Q5" t="s">
        <v>74</v>
      </c>
      <c r="R5" t="s">
        <v>74</v>
      </c>
      <c r="S5" t="s">
        <v>74</v>
      </c>
      <c r="T5" s="1" t="s">
        <v>7617</v>
      </c>
      <c r="U5" s="1" t="s">
        <v>7618</v>
      </c>
      <c r="V5" s="1" t="s">
        <v>7619</v>
      </c>
      <c r="W5" t="s">
        <v>7620</v>
      </c>
      <c r="X5" t="s">
        <v>7621</v>
      </c>
      <c r="Y5" t="s">
        <v>7622</v>
      </c>
      <c r="Z5" t="s">
        <v>7623</v>
      </c>
      <c r="AA5" t="s">
        <v>7624</v>
      </c>
      <c r="AB5" t="s">
        <v>7625</v>
      </c>
      <c r="AC5" t="s">
        <v>74</v>
      </c>
      <c r="AD5" t="s">
        <v>74</v>
      </c>
      <c r="AE5" t="s">
        <v>74</v>
      </c>
      <c r="AF5" t="s">
        <v>74</v>
      </c>
      <c r="AG5">
        <v>92</v>
      </c>
      <c r="AH5">
        <v>372</v>
      </c>
      <c r="AI5">
        <v>376</v>
      </c>
      <c r="AJ5">
        <v>30</v>
      </c>
      <c r="AK5">
        <v>542</v>
      </c>
      <c r="AL5" t="s">
        <v>1636</v>
      </c>
      <c r="AM5" t="s">
        <v>93</v>
      </c>
      <c r="AN5" t="s">
        <v>1637</v>
      </c>
      <c r="AO5" t="s">
        <v>4554</v>
      </c>
      <c r="AP5" t="s">
        <v>4555</v>
      </c>
      <c r="AQ5" t="s">
        <v>74</v>
      </c>
      <c r="AR5" t="s">
        <v>4556</v>
      </c>
      <c r="AS5" t="s">
        <v>4557</v>
      </c>
      <c r="AT5" t="s">
        <v>476</v>
      </c>
      <c r="AU5">
        <v>2020</v>
      </c>
      <c r="AV5">
        <v>55</v>
      </c>
      <c r="AW5" t="s">
        <v>74</v>
      </c>
      <c r="AX5" t="s">
        <v>74</v>
      </c>
      <c r="AY5" t="s">
        <v>74</v>
      </c>
      <c r="AZ5" t="s">
        <v>74</v>
      </c>
      <c r="BA5" t="s">
        <v>74</v>
      </c>
      <c r="BB5" t="s">
        <v>74</v>
      </c>
      <c r="BC5" t="s">
        <v>74</v>
      </c>
      <c r="BD5">
        <v>102211</v>
      </c>
      <c r="BE5" t="s">
        <v>7626</v>
      </c>
      <c r="BF5" t="str">
        <f>HYPERLINK("http://dx.doi.org/10.1016/j.ijinfomgt.2020.102211","http://dx.doi.org/10.1016/j.ijinfomgt.2020.102211")</f>
        <v>http://dx.doi.org/10.1016/j.ijinfomgt.2020.102211</v>
      </c>
      <c r="BG5" t="s">
        <v>74</v>
      </c>
      <c r="BH5" t="s">
        <v>74</v>
      </c>
      <c r="BI5">
        <v>20</v>
      </c>
      <c r="BJ5" t="s">
        <v>3050</v>
      </c>
      <c r="BK5" t="s">
        <v>156</v>
      </c>
      <c r="BL5" t="s">
        <v>3050</v>
      </c>
      <c r="BM5" t="s">
        <v>7627</v>
      </c>
      <c r="BN5" t="s">
        <v>74</v>
      </c>
      <c r="BO5" t="s">
        <v>7628</v>
      </c>
      <c r="BP5" t="s">
        <v>74</v>
      </c>
      <c r="BQ5" t="s">
        <v>74</v>
      </c>
      <c r="BR5" t="s">
        <v>106</v>
      </c>
      <c r="BS5" t="s">
        <v>7629</v>
      </c>
      <c r="BT5" t="str">
        <f>HYPERLINK("https%3A%2F%2Fwww.webofscience.com%2Fwos%2Fwoscc%2Ffull-record%2FWOS:000579529600028","View Full Record in Web of Science")</f>
        <v>View Full Record in Web of Science</v>
      </c>
    </row>
    <row r="6" spans="1:72" x14ac:dyDescent="0.25">
      <c r="A6" t="s">
        <v>72</v>
      </c>
      <c r="B6" t="s">
        <v>7920</v>
      </c>
      <c r="C6" t="s">
        <v>74</v>
      </c>
      <c r="D6" t="s">
        <v>74</v>
      </c>
      <c r="E6" t="s">
        <v>74</v>
      </c>
      <c r="F6" t="s">
        <v>7921</v>
      </c>
      <c r="G6" t="s">
        <v>74</v>
      </c>
      <c r="H6" t="s">
        <v>74</v>
      </c>
      <c r="I6" s="1" t="s">
        <v>7922</v>
      </c>
      <c r="J6" t="s">
        <v>218</v>
      </c>
      <c r="K6" t="s">
        <v>74</v>
      </c>
      <c r="L6" t="s">
        <v>74</v>
      </c>
      <c r="M6" t="s">
        <v>78</v>
      </c>
      <c r="N6" t="s">
        <v>79</v>
      </c>
      <c r="O6" t="s">
        <v>74</v>
      </c>
      <c r="P6" t="s">
        <v>74</v>
      </c>
      <c r="Q6" t="s">
        <v>74</v>
      </c>
      <c r="R6" t="s">
        <v>74</v>
      </c>
      <c r="S6" t="s">
        <v>74</v>
      </c>
      <c r="T6" s="1" t="s">
        <v>7923</v>
      </c>
      <c r="U6" s="1" t="s">
        <v>7924</v>
      </c>
      <c r="V6" s="1" t="s">
        <v>7925</v>
      </c>
      <c r="W6" t="s">
        <v>7926</v>
      </c>
      <c r="X6" t="s">
        <v>7927</v>
      </c>
      <c r="Y6" t="s">
        <v>7928</v>
      </c>
      <c r="Z6" t="s">
        <v>7929</v>
      </c>
      <c r="AA6" t="s">
        <v>7930</v>
      </c>
      <c r="AB6" t="s">
        <v>7931</v>
      </c>
      <c r="AC6" t="s">
        <v>74</v>
      </c>
      <c r="AD6" t="s">
        <v>74</v>
      </c>
      <c r="AE6" t="s">
        <v>74</v>
      </c>
      <c r="AF6" t="s">
        <v>74</v>
      </c>
      <c r="AG6">
        <v>66</v>
      </c>
      <c r="AH6">
        <v>349</v>
      </c>
      <c r="AI6">
        <v>352</v>
      </c>
      <c r="AJ6">
        <v>46</v>
      </c>
      <c r="AK6">
        <v>295</v>
      </c>
      <c r="AL6" t="s">
        <v>231</v>
      </c>
      <c r="AM6" t="s">
        <v>232</v>
      </c>
      <c r="AN6" t="s">
        <v>233</v>
      </c>
      <c r="AO6" t="s">
        <v>234</v>
      </c>
      <c r="AP6" t="s">
        <v>235</v>
      </c>
      <c r="AQ6" t="s">
        <v>74</v>
      </c>
      <c r="AR6" t="s">
        <v>236</v>
      </c>
      <c r="AS6" t="s">
        <v>237</v>
      </c>
      <c r="AT6" t="s">
        <v>1138</v>
      </c>
      <c r="AU6">
        <v>2020</v>
      </c>
      <c r="AV6">
        <v>224</v>
      </c>
      <c r="AW6" t="s">
        <v>74</v>
      </c>
      <c r="AX6" t="s">
        <v>74</v>
      </c>
      <c r="AY6" t="s">
        <v>74</v>
      </c>
      <c r="AZ6" t="s">
        <v>74</v>
      </c>
      <c r="BA6" t="s">
        <v>74</v>
      </c>
      <c r="BB6" t="s">
        <v>74</v>
      </c>
      <c r="BC6" t="s">
        <v>74</v>
      </c>
      <c r="BD6">
        <v>107546</v>
      </c>
      <c r="BE6" t="s">
        <v>7932</v>
      </c>
      <c r="BF6" t="str">
        <f>HYPERLINK("http://dx.doi.org/10.1016/j.ijpe.2019.107546","http://dx.doi.org/10.1016/j.ijpe.2019.107546")</f>
        <v>http://dx.doi.org/10.1016/j.ijpe.2019.107546</v>
      </c>
      <c r="BG6" t="s">
        <v>74</v>
      </c>
      <c r="BH6" t="s">
        <v>74</v>
      </c>
      <c r="BI6">
        <v>17</v>
      </c>
      <c r="BJ6" t="s">
        <v>239</v>
      </c>
      <c r="BK6" t="s">
        <v>211</v>
      </c>
      <c r="BL6" t="s">
        <v>240</v>
      </c>
      <c r="BM6" t="s">
        <v>7933</v>
      </c>
      <c r="BN6" t="s">
        <v>74</v>
      </c>
      <c r="BO6" t="s">
        <v>2805</v>
      </c>
      <c r="BP6" t="s">
        <v>74</v>
      </c>
      <c r="BQ6" t="s">
        <v>74</v>
      </c>
      <c r="BR6" t="s">
        <v>106</v>
      </c>
      <c r="BS6" t="s">
        <v>7934</v>
      </c>
      <c r="BT6" t="str">
        <f>HYPERLINK("https%3A%2F%2Fwww.webofscience.com%2Fwos%2Fwoscc%2Ffull-record%2FWOS:000525321800016","View Full Record in Web of Science")</f>
        <v>View Full Record in Web of Science</v>
      </c>
    </row>
    <row r="7" spans="1:72" x14ac:dyDescent="0.25">
      <c r="A7" t="s">
        <v>72</v>
      </c>
      <c r="B7" t="s">
        <v>10517</v>
      </c>
      <c r="C7" t="s">
        <v>74</v>
      </c>
      <c r="D7" t="s">
        <v>74</v>
      </c>
      <c r="E7" t="s">
        <v>74</v>
      </c>
      <c r="F7" t="s">
        <v>10518</v>
      </c>
      <c r="G7" t="s">
        <v>74</v>
      </c>
      <c r="H7" t="s">
        <v>74</v>
      </c>
      <c r="I7" s="1" t="s">
        <v>10519</v>
      </c>
      <c r="J7" t="s">
        <v>9843</v>
      </c>
      <c r="K7" t="s">
        <v>74</v>
      </c>
      <c r="L7" t="s">
        <v>74</v>
      </c>
      <c r="M7" t="s">
        <v>78</v>
      </c>
      <c r="N7" t="s">
        <v>79</v>
      </c>
      <c r="O7" t="s">
        <v>74</v>
      </c>
      <c r="P7" t="s">
        <v>74</v>
      </c>
      <c r="Q7" t="s">
        <v>74</v>
      </c>
      <c r="R7" t="s">
        <v>74</v>
      </c>
      <c r="S7" t="s">
        <v>74</v>
      </c>
      <c r="T7" s="1" t="s">
        <v>74</v>
      </c>
      <c r="U7" s="1" t="s">
        <v>10520</v>
      </c>
      <c r="V7" s="1" t="s">
        <v>10521</v>
      </c>
      <c r="W7" t="s">
        <v>10522</v>
      </c>
      <c r="X7" t="s">
        <v>10424</v>
      </c>
      <c r="Y7" t="s">
        <v>10523</v>
      </c>
      <c r="Z7" t="s">
        <v>10524</v>
      </c>
      <c r="AA7" t="s">
        <v>5767</v>
      </c>
      <c r="AB7" t="s">
        <v>74</v>
      </c>
      <c r="AC7" t="s">
        <v>74</v>
      </c>
      <c r="AD7" t="s">
        <v>74</v>
      </c>
      <c r="AE7" t="s">
        <v>74</v>
      </c>
      <c r="AF7" t="s">
        <v>74</v>
      </c>
      <c r="AG7">
        <v>17</v>
      </c>
      <c r="AH7">
        <v>335</v>
      </c>
      <c r="AI7">
        <v>338</v>
      </c>
      <c r="AJ7">
        <v>62</v>
      </c>
      <c r="AK7">
        <v>524</v>
      </c>
      <c r="AL7" t="s">
        <v>9850</v>
      </c>
      <c r="AM7" t="s">
        <v>9851</v>
      </c>
      <c r="AN7" t="s">
        <v>9852</v>
      </c>
      <c r="AO7" t="s">
        <v>9853</v>
      </c>
      <c r="AP7" t="s">
        <v>9854</v>
      </c>
      <c r="AQ7" t="s">
        <v>74</v>
      </c>
      <c r="AR7" t="s">
        <v>9855</v>
      </c>
      <c r="AS7" t="s">
        <v>9856</v>
      </c>
      <c r="AT7" t="s">
        <v>356</v>
      </c>
      <c r="AU7">
        <v>2017</v>
      </c>
      <c r="AV7">
        <v>16</v>
      </c>
      <c r="AW7">
        <v>3</v>
      </c>
      <c r="AX7" t="s">
        <v>74</v>
      </c>
      <c r="AY7" t="s">
        <v>74</v>
      </c>
      <c r="AZ7" t="s">
        <v>74</v>
      </c>
      <c r="BA7" t="s">
        <v>74</v>
      </c>
      <c r="BB7">
        <v>197</v>
      </c>
      <c r="BC7">
        <v>213</v>
      </c>
      <c r="BD7" t="s">
        <v>74</v>
      </c>
      <c r="BE7" t="s">
        <v>74</v>
      </c>
      <c r="BF7" t="s">
        <v>74</v>
      </c>
      <c r="BG7" t="s">
        <v>74</v>
      </c>
      <c r="BH7" t="s">
        <v>74</v>
      </c>
      <c r="BI7">
        <v>17</v>
      </c>
      <c r="BJ7" t="s">
        <v>3601</v>
      </c>
      <c r="BK7" t="s">
        <v>156</v>
      </c>
      <c r="BL7" t="s">
        <v>3602</v>
      </c>
      <c r="BM7" t="s">
        <v>10525</v>
      </c>
      <c r="BN7" t="s">
        <v>74</v>
      </c>
      <c r="BO7" t="s">
        <v>74</v>
      </c>
      <c r="BP7" t="s">
        <v>74</v>
      </c>
      <c r="BQ7" t="s">
        <v>74</v>
      </c>
      <c r="BR7" t="s">
        <v>106</v>
      </c>
      <c r="BS7" t="s">
        <v>10526</v>
      </c>
      <c r="BT7" t="str">
        <f>HYPERLINK("https%3A%2F%2Fwww.webofscience.com%2Fwos%2Fwoscc%2Ffull-record%2FWOS:000409101300005","View Full Record in Web of Science")</f>
        <v>View Full Record in Web of Science</v>
      </c>
    </row>
    <row r="8" spans="1:72" x14ac:dyDescent="0.25">
      <c r="A8" t="s">
        <v>72</v>
      </c>
      <c r="B8" t="s">
        <v>12588</v>
      </c>
      <c r="C8" t="s">
        <v>74</v>
      </c>
      <c r="D8" t="s">
        <v>74</v>
      </c>
      <c r="E8" t="s">
        <v>74</v>
      </c>
      <c r="F8" t="s">
        <v>12589</v>
      </c>
      <c r="G8" t="s">
        <v>74</v>
      </c>
      <c r="H8" t="s">
        <v>74</v>
      </c>
      <c r="I8" s="1" t="s">
        <v>12590</v>
      </c>
      <c r="J8" t="s">
        <v>3029</v>
      </c>
      <c r="K8" t="s">
        <v>74</v>
      </c>
      <c r="L8" t="s">
        <v>74</v>
      </c>
      <c r="M8" t="s">
        <v>78</v>
      </c>
      <c r="N8" t="s">
        <v>79</v>
      </c>
      <c r="O8" t="s">
        <v>74</v>
      </c>
      <c r="P8" t="s">
        <v>74</v>
      </c>
      <c r="Q8" t="s">
        <v>74</v>
      </c>
      <c r="R8" t="s">
        <v>74</v>
      </c>
      <c r="S8" t="s">
        <v>74</v>
      </c>
      <c r="T8" s="1" t="s">
        <v>12591</v>
      </c>
      <c r="U8" s="1" t="s">
        <v>12592</v>
      </c>
      <c r="V8" s="1" t="s">
        <v>12593</v>
      </c>
      <c r="W8" t="s">
        <v>12594</v>
      </c>
      <c r="X8" t="s">
        <v>12595</v>
      </c>
      <c r="Y8" t="s">
        <v>12596</v>
      </c>
      <c r="Z8" t="s">
        <v>12597</v>
      </c>
      <c r="AA8" t="s">
        <v>12598</v>
      </c>
      <c r="AB8" t="s">
        <v>12599</v>
      </c>
      <c r="AC8" t="s">
        <v>74</v>
      </c>
      <c r="AD8" t="s">
        <v>74</v>
      </c>
      <c r="AE8" t="s">
        <v>74</v>
      </c>
      <c r="AF8" t="s">
        <v>74</v>
      </c>
      <c r="AG8">
        <v>80</v>
      </c>
      <c r="AH8">
        <v>241</v>
      </c>
      <c r="AI8">
        <v>247</v>
      </c>
      <c r="AJ8">
        <v>19</v>
      </c>
      <c r="AK8">
        <v>205</v>
      </c>
      <c r="AL8" t="s">
        <v>3042</v>
      </c>
      <c r="AM8" t="s">
        <v>285</v>
      </c>
      <c r="AN8" t="s">
        <v>3043</v>
      </c>
      <c r="AO8" t="s">
        <v>3044</v>
      </c>
      <c r="AP8" t="s">
        <v>3045</v>
      </c>
      <c r="AQ8" t="s">
        <v>74</v>
      </c>
      <c r="AR8" t="s">
        <v>3046</v>
      </c>
      <c r="AS8" t="s">
        <v>3047</v>
      </c>
      <c r="AT8" t="s">
        <v>2068</v>
      </c>
      <c r="AU8">
        <v>2009</v>
      </c>
      <c r="AV8">
        <v>26</v>
      </c>
      <c r="AW8">
        <v>1</v>
      </c>
      <c r="AX8" t="s">
        <v>74</v>
      </c>
      <c r="AY8" t="s">
        <v>74</v>
      </c>
      <c r="AZ8" t="s">
        <v>1020</v>
      </c>
      <c r="BA8" t="s">
        <v>74</v>
      </c>
      <c r="BB8">
        <v>89</v>
      </c>
      <c r="BC8">
        <v>97</v>
      </c>
      <c r="BD8" t="s">
        <v>74</v>
      </c>
      <c r="BE8" t="s">
        <v>12600</v>
      </c>
      <c r="BF8" t="str">
        <f>HYPERLINK("http://dx.doi.org/10.1016/j.giq.2008.05.004","http://dx.doi.org/10.1016/j.giq.2008.05.004")</f>
        <v>http://dx.doi.org/10.1016/j.giq.2008.05.004</v>
      </c>
      <c r="BG8" t="s">
        <v>74</v>
      </c>
      <c r="BH8" t="s">
        <v>74</v>
      </c>
      <c r="BI8">
        <v>9</v>
      </c>
      <c r="BJ8" t="s">
        <v>3050</v>
      </c>
      <c r="BK8" t="s">
        <v>156</v>
      </c>
      <c r="BL8" t="s">
        <v>3050</v>
      </c>
      <c r="BM8" t="s">
        <v>12601</v>
      </c>
      <c r="BN8" t="s">
        <v>74</v>
      </c>
      <c r="BO8" t="s">
        <v>4521</v>
      </c>
      <c r="BP8" t="s">
        <v>74</v>
      </c>
      <c r="BQ8" t="s">
        <v>74</v>
      </c>
      <c r="BR8" t="s">
        <v>106</v>
      </c>
      <c r="BS8" t="s">
        <v>12602</v>
      </c>
      <c r="BT8" t="str">
        <f>HYPERLINK("https%3A%2F%2Fwww.webofscience.com%2Fwos%2Fwoscc%2Ffull-record%2FWOS:000262030400012","View Full Record in Web of Science")</f>
        <v>View Full Record in Web of Science</v>
      </c>
    </row>
    <row r="9" spans="1:72" x14ac:dyDescent="0.25">
      <c r="A9" t="s">
        <v>72</v>
      </c>
      <c r="B9" t="s">
        <v>9997</v>
      </c>
      <c r="C9" t="s">
        <v>74</v>
      </c>
      <c r="D9" t="s">
        <v>74</v>
      </c>
      <c r="E9" t="s">
        <v>74</v>
      </c>
      <c r="F9" t="s">
        <v>9998</v>
      </c>
      <c r="G9" t="s">
        <v>74</v>
      </c>
      <c r="H9" t="s">
        <v>74</v>
      </c>
      <c r="I9" s="1" t="s">
        <v>9999</v>
      </c>
      <c r="J9" t="s">
        <v>5994</v>
      </c>
      <c r="K9" t="s">
        <v>74</v>
      </c>
      <c r="L9" t="s">
        <v>74</v>
      </c>
      <c r="M9" t="s">
        <v>78</v>
      </c>
      <c r="N9" t="s">
        <v>79</v>
      </c>
      <c r="O9" t="s">
        <v>74</v>
      </c>
      <c r="P9" t="s">
        <v>74</v>
      </c>
      <c r="Q9" t="s">
        <v>74</v>
      </c>
      <c r="R9" t="s">
        <v>74</v>
      </c>
      <c r="S9" t="s">
        <v>74</v>
      </c>
      <c r="T9" s="1" t="s">
        <v>10000</v>
      </c>
      <c r="U9" s="1" t="s">
        <v>10001</v>
      </c>
      <c r="V9" s="1" t="s">
        <v>10002</v>
      </c>
      <c r="W9" t="s">
        <v>10003</v>
      </c>
      <c r="X9" t="s">
        <v>10004</v>
      </c>
      <c r="Y9" t="s">
        <v>10005</v>
      </c>
      <c r="Z9" t="s">
        <v>10006</v>
      </c>
      <c r="AA9" t="s">
        <v>10007</v>
      </c>
      <c r="AB9" t="s">
        <v>10008</v>
      </c>
      <c r="AC9" t="s">
        <v>74</v>
      </c>
      <c r="AD9" t="s">
        <v>74</v>
      </c>
      <c r="AE9" t="s">
        <v>74</v>
      </c>
      <c r="AF9" t="s">
        <v>74</v>
      </c>
      <c r="AG9">
        <v>71</v>
      </c>
      <c r="AH9">
        <v>238</v>
      </c>
      <c r="AI9">
        <v>244</v>
      </c>
      <c r="AJ9">
        <v>56</v>
      </c>
      <c r="AK9">
        <v>401</v>
      </c>
      <c r="AL9" t="s">
        <v>231</v>
      </c>
      <c r="AM9" t="s">
        <v>232</v>
      </c>
      <c r="AN9" t="s">
        <v>233</v>
      </c>
      <c r="AO9" t="s">
        <v>6007</v>
      </c>
      <c r="AP9" t="s">
        <v>6008</v>
      </c>
      <c r="AQ9" t="s">
        <v>74</v>
      </c>
      <c r="AR9" t="s">
        <v>6009</v>
      </c>
      <c r="AS9" t="s">
        <v>6010</v>
      </c>
      <c r="AT9" t="s">
        <v>1683</v>
      </c>
      <c r="AU9">
        <v>2018</v>
      </c>
      <c r="AV9">
        <v>27</v>
      </c>
      <c r="AW9">
        <v>1</v>
      </c>
      <c r="AX9" t="s">
        <v>74</v>
      </c>
      <c r="AY9" t="s">
        <v>74</v>
      </c>
      <c r="AZ9" t="s">
        <v>74</v>
      </c>
      <c r="BA9" t="s">
        <v>74</v>
      </c>
      <c r="BB9">
        <v>43</v>
      </c>
      <c r="BC9">
        <v>58</v>
      </c>
      <c r="BD9" t="s">
        <v>74</v>
      </c>
      <c r="BE9" t="s">
        <v>10009</v>
      </c>
      <c r="BF9" t="str">
        <f>HYPERLINK("http://dx.doi.org/10.1016/j.jsis.2017.09.001","http://dx.doi.org/10.1016/j.jsis.2017.09.001")</f>
        <v>http://dx.doi.org/10.1016/j.jsis.2017.09.001</v>
      </c>
      <c r="BG9" t="s">
        <v>74</v>
      </c>
      <c r="BH9" t="s">
        <v>74</v>
      </c>
      <c r="BI9">
        <v>16</v>
      </c>
      <c r="BJ9" t="s">
        <v>2581</v>
      </c>
      <c r="BK9" t="s">
        <v>211</v>
      </c>
      <c r="BL9" t="s">
        <v>767</v>
      </c>
      <c r="BM9" t="s">
        <v>10010</v>
      </c>
      <c r="BN9" t="s">
        <v>74</v>
      </c>
      <c r="BO9" t="s">
        <v>74</v>
      </c>
      <c r="BP9" t="s">
        <v>74</v>
      </c>
      <c r="BQ9" t="s">
        <v>74</v>
      </c>
      <c r="BR9" t="s">
        <v>106</v>
      </c>
      <c r="BS9" t="s">
        <v>10011</v>
      </c>
      <c r="BT9" t="str">
        <f>HYPERLINK("https%3A%2F%2Fwww.webofscience.com%2Fwos%2Fwoscc%2Ffull-record%2FWOS:000430518300004","View Full Record in Web of Science")</f>
        <v>View Full Record in Web of Science</v>
      </c>
    </row>
    <row r="10" spans="1:72" x14ac:dyDescent="0.25">
      <c r="A10" t="s">
        <v>72</v>
      </c>
      <c r="B10" t="s">
        <v>10224</v>
      </c>
      <c r="C10" t="s">
        <v>74</v>
      </c>
      <c r="D10" t="s">
        <v>74</v>
      </c>
      <c r="E10" t="s">
        <v>74</v>
      </c>
      <c r="F10" t="s">
        <v>10225</v>
      </c>
      <c r="G10" t="s">
        <v>74</v>
      </c>
      <c r="H10" t="s">
        <v>74</v>
      </c>
      <c r="I10" s="1" t="s">
        <v>10226</v>
      </c>
      <c r="J10" t="s">
        <v>2140</v>
      </c>
      <c r="K10" t="s">
        <v>74</v>
      </c>
      <c r="L10" t="s">
        <v>74</v>
      </c>
      <c r="M10" t="s">
        <v>78</v>
      </c>
      <c r="N10" t="s">
        <v>79</v>
      </c>
      <c r="O10" t="s">
        <v>74</v>
      </c>
      <c r="P10" t="s">
        <v>74</v>
      </c>
      <c r="Q10" t="s">
        <v>74</v>
      </c>
      <c r="R10" t="s">
        <v>74</v>
      </c>
      <c r="S10" t="s">
        <v>74</v>
      </c>
      <c r="T10" s="1" t="s">
        <v>10227</v>
      </c>
      <c r="U10" s="1" t="s">
        <v>74</v>
      </c>
      <c r="V10" s="1" t="s">
        <v>10228</v>
      </c>
      <c r="W10" t="s">
        <v>10229</v>
      </c>
      <c r="X10" t="s">
        <v>10230</v>
      </c>
      <c r="Y10" t="s">
        <v>10231</v>
      </c>
      <c r="Z10" t="s">
        <v>10232</v>
      </c>
      <c r="AA10" t="s">
        <v>10233</v>
      </c>
      <c r="AB10" t="s">
        <v>10234</v>
      </c>
      <c r="AC10" t="s">
        <v>74</v>
      </c>
      <c r="AD10" t="s">
        <v>74</v>
      </c>
      <c r="AE10" t="s">
        <v>74</v>
      </c>
      <c r="AF10" t="s">
        <v>74</v>
      </c>
      <c r="AG10">
        <v>38</v>
      </c>
      <c r="AH10">
        <v>235</v>
      </c>
      <c r="AI10">
        <v>238</v>
      </c>
      <c r="AJ10">
        <v>18</v>
      </c>
      <c r="AK10">
        <v>249</v>
      </c>
      <c r="AL10" t="s">
        <v>2153</v>
      </c>
      <c r="AM10" t="s">
        <v>2154</v>
      </c>
      <c r="AN10" t="s">
        <v>2155</v>
      </c>
      <c r="AO10" t="s">
        <v>2156</v>
      </c>
      <c r="AP10" t="s">
        <v>74</v>
      </c>
      <c r="AQ10" t="s">
        <v>74</v>
      </c>
      <c r="AR10" t="s">
        <v>2140</v>
      </c>
      <c r="AS10" t="s">
        <v>2157</v>
      </c>
      <c r="AT10" t="s">
        <v>74</v>
      </c>
      <c r="AU10">
        <v>2018</v>
      </c>
      <c r="AV10">
        <v>6</v>
      </c>
      <c r="AW10" t="s">
        <v>74</v>
      </c>
      <c r="AX10" t="s">
        <v>74</v>
      </c>
      <c r="AY10" t="s">
        <v>74</v>
      </c>
      <c r="AZ10" t="s">
        <v>74</v>
      </c>
      <c r="BA10" t="s">
        <v>74</v>
      </c>
      <c r="BB10">
        <v>62018</v>
      </c>
      <c r="BC10">
        <v>62028</v>
      </c>
      <c r="BD10" t="s">
        <v>74</v>
      </c>
      <c r="BE10" t="s">
        <v>10235</v>
      </c>
      <c r="BF10" t="str">
        <f>HYPERLINK("http://dx.doi.org/10.1109/ACCESS.2018.2875782","http://dx.doi.org/10.1109/ACCESS.2018.2875782")</f>
        <v>http://dx.doi.org/10.1109/ACCESS.2018.2875782</v>
      </c>
      <c r="BG10" t="s">
        <v>74</v>
      </c>
      <c r="BH10" t="s">
        <v>74</v>
      </c>
      <c r="BI10">
        <v>11</v>
      </c>
      <c r="BJ10" t="s">
        <v>2159</v>
      </c>
      <c r="BK10" t="s">
        <v>102</v>
      </c>
      <c r="BL10" t="s">
        <v>2160</v>
      </c>
      <c r="BM10" t="s">
        <v>10236</v>
      </c>
      <c r="BN10" t="s">
        <v>74</v>
      </c>
      <c r="BO10" t="s">
        <v>2730</v>
      </c>
      <c r="BP10" t="s">
        <v>74</v>
      </c>
      <c r="BQ10" t="s">
        <v>74</v>
      </c>
      <c r="BR10" t="s">
        <v>106</v>
      </c>
      <c r="BS10" t="s">
        <v>10237</v>
      </c>
      <c r="BT10" t="str">
        <f>HYPERLINK("https%3A%2F%2Fwww.webofscience.com%2Fwos%2Fwoscc%2Ffull-record%2FWOS:000450369800001","View Full Record in Web of Science")</f>
        <v>View Full Record in Web of Science</v>
      </c>
    </row>
    <row r="11" spans="1:72" x14ac:dyDescent="0.25">
      <c r="A11" t="s">
        <v>72</v>
      </c>
      <c r="B11" t="s">
        <v>9801</v>
      </c>
      <c r="C11" t="s">
        <v>74</v>
      </c>
      <c r="D11" t="s">
        <v>74</v>
      </c>
      <c r="E11" t="s">
        <v>74</v>
      </c>
      <c r="F11" t="s">
        <v>9802</v>
      </c>
      <c r="G11" t="s">
        <v>74</v>
      </c>
      <c r="H11" t="s">
        <v>74</v>
      </c>
      <c r="I11" s="1" t="s">
        <v>9803</v>
      </c>
      <c r="J11" t="s">
        <v>9804</v>
      </c>
      <c r="K11" t="s">
        <v>74</v>
      </c>
      <c r="L11" t="s">
        <v>74</v>
      </c>
      <c r="M11" t="s">
        <v>78</v>
      </c>
      <c r="N11" t="s">
        <v>79</v>
      </c>
      <c r="O11" t="s">
        <v>74</v>
      </c>
      <c r="P11" t="s">
        <v>74</v>
      </c>
      <c r="Q11" t="s">
        <v>74</v>
      </c>
      <c r="R11" t="s">
        <v>74</v>
      </c>
      <c r="S11" t="s">
        <v>74</v>
      </c>
      <c r="T11" s="1" t="s">
        <v>9805</v>
      </c>
      <c r="U11" s="1" t="s">
        <v>9806</v>
      </c>
      <c r="V11" s="1" t="s">
        <v>9807</v>
      </c>
      <c r="W11" t="s">
        <v>9808</v>
      </c>
      <c r="X11" t="s">
        <v>9809</v>
      </c>
      <c r="Y11" t="s">
        <v>9810</v>
      </c>
      <c r="Z11" t="s">
        <v>9811</v>
      </c>
      <c r="AA11" t="s">
        <v>9812</v>
      </c>
      <c r="AB11" t="s">
        <v>9813</v>
      </c>
      <c r="AC11" t="s">
        <v>74</v>
      </c>
      <c r="AD11" t="s">
        <v>74</v>
      </c>
      <c r="AE11" t="s">
        <v>74</v>
      </c>
      <c r="AF11" t="s">
        <v>74</v>
      </c>
      <c r="AG11">
        <v>63</v>
      </c>
      <c r="AH11">
        <v>213</v>
      </c>
      <c r="AI11">
        <v>220</v>
      </c>
      <c r="AJ11">
        <v>23</v>
      </c>
      <c r="AK11">
        <v>174</v>
      </c>
      <c r="AL11" t="s">
        <v>1074</v>
      </c>
      <c r="AM11" t="s">
        <v>1075</v>
      </c>
      <c r="AN11" t="s">
        <v>1076</v>
      </c>
      <c r="AO11" t="s">
        <v>9814</v>
      </c>
      <c r="AP11" t="s">
        <v>9815</v>
      </c>
      <c r="AQ11" t="s">
        <v>74</v>
      </c>
      <c r="AR11" t="s">
        <v>9816</v>
      </c>
      <c r="AS11" t="s">
        <v>9817</v>
      </c>
      <c r="AT11" t="s">
        <v>1138</v>
      </c>
      <c r="AU11">
        <v>2018</v>
      </c>
      <c r="AV11">
        <v>95</v>
      </c>
      <c r="AW11">
        <v>2</v>
      </c>
      <c r="AX11" t="s">
        <v>74</v>
      </c>
      <c r="AY11" t="s">
        <v>74</v>
      </c>
      <c r="AZ11" t="s">
        <v>74</v>
      </c>
      <c r="BA11" t="s">
        <v>74</v>
      </c>
      <c r="BB11">
        <v>471</v>
      </c>
      <c r="BC11">
        <v>496</v>
      </c>
      <c r="BD11" t="s">
        <v>74</v>
      </c>
      <c r="BE11" t="s">
        <v>9818</v>
      </c>
      <c r="BF11" t="str">
        <f>HYPERLINK("http://dx.doi.org/10.1177/1077699018763307","http://dx.doi.org/10.1177/1077699018763307")</f>
        <v>http://dx.doi.org/10.1177/1077699018763307</v>
      </c>
      <c r="BG11" t="s">
        <v>74</v>
      </c>
      <c r="BH11" t="s">
        <v>74</v>
      </c>
      <c r="BI11">
        <v>26</v>
      </c>
      <c r="BJ11" t="s">
        <v>2218</v>
      </c>
      <c r="BK11" t="s">
        <v>156</v>
      </c>
      <c r="BL11" t="s">
        <v>2218</v>
      </c>
      <c r="BM11" t="s">
        <v>9819</v>
      </c>
      <c r="BN11" t="s">
        <v>74</v>
      </c>
      <c r="BO11" t="s">
        <v>9820</v>
      </c>
      <c r="BP11" t="s">
        <v>74</v>
      </c>
      <c r="BQ11" t="s">
        <v>74</v>
      </c>
      <c r="BR11" t="s">
        <v>106</v>
      </c>
      <c r="BS11" t="s">
        <v>9821</v>
      </c>
      <c r="BT11" t="str">
        <f>HYPERLINK("https%3A%2F%2Fwww.webofscience.com%2Fwos%2Fwoscc%2Ffull-record%2FWOS:000434026200008","View Full Record in Web of Science")</f>
        <v>View Full Record in Web of Science</v>
      </c>
    </row>
    <row r="12" spans="1:72" x14ac:dyDescent="0.25">
      <c r="A12" t="s">
        <v>72</v>
      </c>
      <c r="B12" t="s">
        <v>9176</v>
      </c>
      <c r="C12" t="s">
        <v>74</v>
      </c>
      <c r="D12" t="s">
        <v>74</v>
      </c>
      <c r="E12" t="s">
        <v>74</v>
      </c>
      <c r="F12" t="s">
        <v>9177</v>
      </c>
      <c r="G12" t="s">
        <v>74</v>
      </c>
      <c r="H12" t="s">
        <v>74</v>
      </c>
      <c r="I12" s="1" t="s">
        <v>9178</v>
      </c>
      <c r="J12" t="s">
        <v>5994</v>
      </c>
      <c r="K12" t="s">
        <v>74</v>
      </c>
      <c r="L12" t="s">
        <v>74</v>
      </c>
      <c r="M12" t="s">
        <v>78</v>
      </c>
      <c r="N12" t="s">
        <v>79</v>
      </c>
      <c r="O12" t="s">
        <v>74</v>
      </c>
      <c r="P12" t="s">
        <v>74</v>
      </c>
      <c r="Q12" t="s">
        <v>74</v>
      </c>
      <c r="R12" t="s">
        <v>74</v>
      </c>
      <c r="S12" t="s">
        <v>74</v>
      </c>
      <c r="T12" s="1" t="s">
        <v>9179</v>
      </c>
      <c r="U12" s="1" t="s">
        <v>9180</v>
      </c>
      <c r="V12" s="1" t="s">
        <v>9181</v>
      </c>
      <c r="W12" t="s">
        <v>9182</v>
      </c>
      <c r="X12" t="s">
        <v>9183</v>
      </c>
      <c r="Y12" t="s">
        <v>9184</v>
      </c>
      <c r="Z12" t="s">
        <v>9185</v>
      </c>
      <c r="AA12" t="s">
        <v>9186</v>
      </c>
      <c r="AB12" t="s">
        <v>9187</v>
      </c>
      <c r="AC12" t="s">
        <v>74</v>
      </c>
      <c r="AD12" t="s">
        <v>74</v>
      </c>
      <c r="AE12" t="s">
        <v>74</v>
      </c>
      <c r="AF12" t="s">
        <v>74</v>
      </c>
      <c r="AG12">
        <v>73</v>
      </c>
      <c r="AH12">
        <v>209</v>
      </c>
      <c r="AI12">
        <v>220</v>
      </c>
      <c r="AJ12">
        <v>64</v>
      </c>
      <c r="AK12">
        <v>501</v>
      </c>
      <c r="AL12" t="s">
        <v>231</v>
      </c>
      <c r="AM12" t="s">
        <v>232</v>
      </c>
      <c r="AN12" t="s">
        <v>233</v>
      </c>
      <c r="AO12" t="s">
        <v>6007</v>
      </c>
      <c r="AP12" t="s">
        <v>6008</v>
      </c>
      <c r="AQ12" t="s">
        <v>74</v>
      </c>
      <c r="AR12" t="s">
        <v>6009</v>
      </c>
      <c r="AS12" t="s">
        <v>6010</v>
      </c>
      <c r="AT12" t="s">
        <v>1683</v>
      </c>
      <c r="AU12">
        <v>2019</v>
      </c>
      <c r="AV12">
        <v>28</v>
      </c>
      <c r="AW12">
        <v>1</v>
      </c>
      <c r="AX12" t="s">
        <v>74</v>
      </c>
      <c r="AY12" t="s">
        <v>74</v>
      </c>
      <c r="AZ12" t="s">
        <v>74</v>
      </c>
      <c r="BA12" t="s">
        <v>74</v>
      </c>
      <c r="BB12">
        <v>17</v>
      </c>
      <c r="BC12">
        <v>33</v>
      </c>
      <c r="BD12" t="s">
        <v>74</v>
      </c>
      <c r="BE12" t="s">
        <v>9188</v>
      </c>
      <c r="BF12" t="str">
        <f>HYPERLINK("http://dx.doi.org/10.1016/j.jsis.2018.11.003","http://dx.doi.org/10.1016/j.jsis.2018.11.003")</f>
        <v>http://dx.doi.org/10.1016/j.jsis.2018.11.003</v>
      </c>
      <c r="BG12" t="s">
        <v>74</v>
      </c>
      <c r="BH12" t="s">
        <v>74</v>
      </c>
      <c r="BI12">
        <v>17</v>
      </c>
      <c r="BJ12" t="s">
        <v>2581</v>
      </c>
      <c r="BK12" t="s">
        <v>211</v>
      </c>
      <c r="BL12" t="s">
        <v>767</v>
      </c>
      <c r="BM12" t="s">
        <v>9189</v>
      </c>
      <c r="BN12" t="s">
        <v>74</v>
      </c>
      <c r="BO12" t="s">
        <v>74</v>
      </c>
      <c r="BP12" t="s">
        <v>74</v>
      </c>
      <c r="BQ12" t="s">
        <v>74</v>
      </c>
      <c r="BR12" t="s">
        <v>106</v>
      </c>
      <c r="BS12" t="s">
        <v>9190</v>
      </c>
      <c r="BT12" t="str">
        <f>HYPERLINK("https%3A%2F%2Fwww.webofscience.com%2Fwos%2Fwoscc%2Ffull-record%2FWOS:000463302600003","View Full Record in Web of Science")</f>
        <v>View Full Record in Web of Science</v>
      </c>
    </row>
    <row r="13" spans="1:72" x14ac:dyDescent="0.25">
      <c r="A13" t="s">
        <v>72</v>
      </c>
      <c r="B13" t="s">
        <v>12175</v>
      </c>
      <c r="C13" t="s">
        <v>74</v>
      </c>
      <c r="D13" t="s">
        <v>74</v>
      </c>
      <c r="E13" t="s">
        <v>74</v>
      </c>
      <c r="F13" t="s">
        <v>12176</v>
      </c>
      <c r="G13" t="s">
        <v>74</v>
      </c>
      <c r="H13" t="s">
        <v>74</v>
      </c>
      <c r="I13" s="1" t="s">
        <v>12177</v>
      </c>
      <c r="J13" t="s">
        <v>2587</v>
      </c>
      <c r="K13" t="s">
        <v>74</v>
      </c>
      <c r="L13" t="s">
        <v>74</v>
      </c>
      <c r="M13" t="s">
        <v>78</v>
      </c>
      <c r="N13" t="s">
        <v>79</v>
      </c>
      <c r="O13" t="s">
        <v>74</v>
      </c>
      <c r="P13" t="s">
        <v>74</v>
      </c>
      <c r="Q13" t="s">
        <v>74</v>
      </c>
      <c r="R13" t="s">
        <v>74</v>
      </c>
      <c r="S13" t="s">
        <v>74</v>
      </c>
      <c r="T13" s="1" t="s">
        <v>12178</v>
      </c>
      <c r="U13" s="1" t="s">
        <v>12179</v>
      </c>
      <c r="V13" s="1" t="s">
        <v>12180</v>
      </c>
      <c r="W13" t="s">
        <v>12181</v>
      </c>
      <c r="X13" t="s">
        <v>12182</v>
      </c>
      <c r="Y13" t="s">
        <v>12183</v>
      </c>
      <c r="Z13" t="s">
        <v>12184</v>
      </c>
      <c r="AA13" t="s">
        <v>7894</v>
      </c>
      <c r="AB13" t="s">
        <v>12185</v>
      </c>
      <c r="AC13" t="s">
        <v>74</v>
      </c>
      <c r="AD13" t="s">
        <v>74</v>
      </c>
      <c r="AE13" t="s">
        <v>74</v>
      </c>
      <c r="AF13" t="s">
        <v>74</v>
      </c>
      <c r="AG13">
        <v>99</v>
      </c>
      <c r="AH13">
        <v>197</v>
      </c>
      <c r="AI13">
        <v>199</v>
      </c>
      <c r="AJ13">
        <v>41</v>
      </c>
      <c r="AK13">
        <v>371</v>
      </c>
      <c r="AL13" t="s">
        <v>2595</v>
      </c>
      <c r="AM13" t="s">
        <v>2596</v>
      </c>
      <c r="AN13" t="s">
        <v>2597</v>
      </c>
      <c r="AO13" t="s">
        <v>2598</v>
      </c>
      <c r="AP13" t="s">
        <v>74</v>
      </c>
      <c r="AQ13" t="s">
        <v>74</v>
      </c>
      <c r="AR13" t="s">
        <v>2599</v>
      </c>
      <c r="AS13" t="s">
        <v>2600</v>
      </c>
      <c r="AT13" t="s">
        <v>1138</v>
      </c>
      <c r="AU13">
        <v>2013</v>
      </c>
      <c r="AV13">
        <v>37</v>
      </c>
      <c r="AW13">
        <v>2</v>
      </c>
      <c r="AX13" t="s">
        <v>74</v>
      </c>
      <c r="AY13" t="s">
        <v>74</v>
      </c>
      <c r="AZ13" t="s">
        <v>74</v>
      </c>
      <c r="BA13" t="s">
        <v>74</v>
      </c>
      <c r="BB13">
        <v>511</v>
      </c>
      <c r="BC13">
        <v>536</v>
      </c>
      <c r="BD13" t="s">
        <v>74</v>
      </c>
      <c r="BE13" t="s">
        <v>12186</v>
      </c>
      <c r="BF13" t="str">
        <f>HYPERLINK("http://dx.doi.org/10.25300/MISQ/2013/37.2.09","http://dx.doi.org/10.25300/MISQ/2013/37.2.09")</f>
        <v>http://dx.doi.org/10.25300/MISQ/2013/37.2.09</v>
      </c>
      <c r="BG13" t="s">
        <v>74</v>
      </c>
      <c r="BH13" t="s">
        <v>74</v>
      </c>
      <c r="BI13">
        <v>26</v>
      </c>
      <c r="BJ13" t="s">
        <v>2581</v>
      </c>
      <c r="BK13" t="s">
        <v>211</v>
      </c>
      <c r="BL13" t="s">
        <v>767</v>
      </c>
      <c r="BM13" t="s">
        <v>12154</v>
      </c>
      <c r="BN13" t="s">
        <v>74</v>
      </c>
      <c r="BO13" t="s">
        <v>74</v>
      </c>
      <c r="BP13" t="s">
        <v>74</v>
      </c>
      <c r="BQ13" t="s">
        <v>74</v>
      </c>
      <c r="BR13" t="s">
        <v>106</v>
      </c>
      <c r="BS13" t="s">
        <v>12187</v>
      </c>
      <c r="BT13" t="str">
        <f>HYPERLINK("https%3A%2F%2Fwww.webofscience.com%2Fwos%2Fwoscc%2Ffull-record%2FWOS:000329754600011","View Full Record in Web of Science")</f>
        <v>View Full Record in Web of Science</v>
      </c>
    </row>
    <row r="14" spans="1:72" x14ac:dyDescent="0.25">
      <c r="A14" t="s">
        <v>72</v>
      </c>
      <c r="B14" t="s">
        <v>7810</v>
      </c>
      <c r="C14" t="s">
        <v>74</v>
      </c>
      <c r="D14" t="s">
        <v>74</v>
      </c>
      <c r="E14" t="s">
        <v>74</v>
      </c>
      <c r="F14" t="s">
        <v>7811</v>
      </c>
      <c r="G14" t="s">
        <v>74</v>
      </c>
      <c r="H14" t="s">
        <v>74</v>
      </c>
      <c r="I14" s="1" t="s">
        <v>7812</v>
      </c>
      <c r="J14" t="s">
        <v>7813</v>
      </c>
      <c r="K14" t="s">
        <v>74</v>
      </c>
      <c r="L14" t="s">
        <v>74</v>
      </c>
      <c r="M14" t="s">
        <v>78</v>
      </c>
      <c r="N14" t="s">
        <v>79</v>
      </c>
      <c r="O14" t="s">
        <v>74</v>
      </c>
      <c r="P14" t="s">
        <v>74</v>
      </c>
      <c r="Q14" t="s">
        <v>74</v>
      </c>
      <c r="R14" t="s">
        <v>74</v>
      </c>
      <c r="S14" t="s">
        <v>74</v>
      </c>
      <c r="T14" s="1" t="s">
        <v>7814</v>
      </c>
      <c r="U14" s="1" t="s">
        <v>7815</v>
      </c>
      <c r="V14" s="1" t="s">
        <v>7816</v>
      </c>
      <c r="W14" t="s">
        <v>7817</v>
      </c>
      <c r="X14" t="s">
        <v>7818</v>
      </c>
      <c r="Y14" t="s">
        <v>7819</v>
      </c>
      <c r="Z14" t="s">
        <v>74</v>
      </c>
      <c r="AA14" t="s">
        <v>74</v>
      </c>
      <c r="AB14" t="s">
        <v>7820</v>
      </c>
      <c r="AC14" t="s">
        <v>74</v>
      </c>
      <c r="AD14" t="s">
        <v>74</v>
      </c>
      <c r="AE14" t="s">
        <v>74</v>
      </c>
      <c r="AF14" t="s">
        <v>74</v>
      </c>
      <c r="AG14">
        <v>60</v>
      </c>
      <c r="AH14">
        <v>171</v>
      </c>
      <c r="AI14">
        <v>172</v>
      </c>
      <c r="AJ14">
        <v>143</v>
      </c>
      <c r="AK14">
        <v>737</v>
      </c>
      <c r="AL14" t="s">
        <v>1074</v>
      </c>
      <c r="AM14" t="s">
        <v>1075</v>
      </c>
      <c r="AN14" t="s">
        <v>1076</v>
      </c>
      <c r="AO14" t="s">
        <v>7821</v>
      </c>
      <c r="AP14" t="s">
        <v>7822</v>
      </c>
      <c r="AQ14" t="s">
        <v>74</v>
      </c>
      <c r="AR14" t="s">
        <v>7823</v>
      </c>
      <c r="AS14" t="s">
        <v>7824</v>
      </c>
      <c r="AT14" t="s">
        <v>626</v>
      </c>
      <c r="AU14">
        <v>2020</v>
      </c>
      <c r="AV14">
        <v>62</v>
      </c>
      <c r="AW14">
        <v>4</v>
      </c>
      <c r="AX14" t="s">
        <v>74</v>
      </c>
      <c r="AY14" t="s">
        <v>74</v>
      </c>
      <c r="AZ14" t="s">
        <v>1020</v>
      </c>
      <c r="BA14" t="s">
        <v>74</v>
      </c>
      <c r="BB14">
        <v>37</v>
      </c>
      <c r="BC14">
        <v>56</v>
      </c>
      <c r="BD14">
        <v>8125620934864</v>
      </c>
      <c r="BE14" t="s">
        <v>7825</v>
      </c>
      <c r="BF14" t="str">
        <f>HYPERLINK("http://dx.doi.org/10.1177/0008125620934864","http://dx.doi.org/10.1177/0008125620934864")</f>
        <v>http://dx.doi.org/10.1177/0008125620934864</v>
      </c>
      <c r="BG14" t="s">
        <v>74</v>
      </c>
      <c r="BH14" t="s">
        <v>7826</v>
      </c>
      <c r="BI14">
        <v>20</v>
      </c>
      <c r="BJ14" t="s">
        <v>264</v>
      </c>
      <c r="BK14" t="s">
        <v>156</v>
      </c>
      <c r="BL14" t="s">
        <v>265</v>
      </c>
      <c r="BM14" t="s">
        <v>7827</v>
      </c>
      <c r="BN14" t="s">
        <v>74</v>
      </c>
      <c r="BO14" t="s">
        <v>2805</v>
      </c>
      <c r="BP14" t="s">
        <v>74</v>
      </c>
      <c r="BQ14" t="s">
        <v>74</v>
      </c>
      <c r="BR14" t="s">
        <v>106</v>
      </c>
      <c r="BS14" t="s">
        <v>7828</v>
      </c>
      <c r="BT14" t="str">
        <f>HYPERLINK("https%3A%2F%2Fwww.webofscience.com%2Fwos%2Fwoscc%2Ffull-record%2FWOS:000547612800001","View Full Record in Web of Science")</f>
        <v>View Full Record in Web of Science</v>
      </c>
    </row>
    <row r="15" spans="1:72" x14ac:dyDescent="0.25">
      <c r="A15" t="s">
        <v>72</v>
      </c>
      <c r="B15" t="s">
        <v>7981</v>
      </c>
      <c r="C15" t="s">
        <v>74</v>
      </c>
      <c r="D15" t="s">
        <v>74</v>
      </c>
      <c r="E15" t="s">
        <v>74</v>
      </c>
      <c r="F15" t="s">
        <v>7982</v>
      </c>
      <c r="G15" t="s">
        <v>74</v>
      </c>
      <c r="H15" t="s">
        <v>74</v>
      </c>
      <c r="I15" s="1" t="s">
        <v>7983</v>
      </c>
      <c r="J15" t="s">
        <v>3751</v>
      </c>
      <c r="K15" t="s">
        <v>74</v>
      </c>
      <c r="L15" t="s">
        <v>74</v>
      </c>
      <c r="M15" t="s">
        <v>78</v>
      </c>
      <c r="N15" t="s">
        <v>79</v>
      </c>
      <c r="O15" t="s">
        <v>74</v>
      </c>
      <c r="P15" t="s">
        <v>74</v>
      </c>
      <c r="Q15" t="s">
        <v>74</v>
      </c>
      <c r="R15" t="s">
        <v>74</v>
      </c>
      <c r="S15" t="s">
        <v>74</v>
      </c>
      <c r="T15" s="1" t="s">
        <v>7984</v>
      </c>
      <c r="U15" s="1" t="s">
        <v>7985</v>
      </c>
      <c r="V15" s="1" t="s">
        <v>7986</v>
      </c>
      <c r="W15" t="s">
        <v>7987</v>
      </c>
      <c r="X15" t="s">
        <v>7988</v>
      </c>
      <c r="Y15" t="s">
        <v>7989</v>
      </c>
      <c r="Z15" t="s">
        <v>7990</v>
      </c>
      <c r="AA15" t="s">
        <v>7991</v>
      </c>
      <c r="AB15" t="s">
        <v>7992</v>
      </c>
      <c r="AC15" t="s">
        <v>74</v>
      </c>
      <c r="AD15" t="s">
        <v>74</v>
      </c>
      <c r="AE15" t="s">
        <v>74</v>
      </c>
      <c r="AF15" t="s">
        <v>74</v>
      </c>
      <c r="AG15">
        <v>87</v>
      </c>
      <c r="AH15">
        <v>166</v>
      </c>
      <c r="AI15">
        <v>171</v>
      </c>
      <c r="AJ15">
        <v>166</v>
      </c>
      <c r="AK15">
        <v>718</v>
      </c>
      <c r="AL15" t="s">
        <v>332</v>
      </c>
      <c r="AM15" t="s">
        <v>122</v>
      </c>
      <c r="AN15" t="s">
        <v>333</v>
      </c>
      <c r="AO15" t="s">
        <v>3761</v>
      </c>
      <c r="AP15" t="s">
        <v>3762</v>
      </c>
      <c r="AQ15" t="s">
        <v>74</v>
      </c>
      <c r="AR15" t="s">
        <v>3763</v>
      </c>
      <c r="AS15" t="s">
        <v>3764</v>
      </c>
      <c r="AT15" t="s">
        <v>1280</v>
      </c>
      <c r="AU15">
        <v>2020</v>
      </c>
      <c r="AV15">
        <v>112</v>
      </c>
      <c r="AW15" t="s">
        <v>74</v>
      </c>
      <c r="AX15" t="s">
        <v>74</v>
      </c>
      <c r="AY15" t="s">
        <v>74</v>
      </c>
      <c r="AZ15" t="s">
        <v>74</v>
      </c>
      <c r="BA15" t="s">
        <v>74</v>
      </c>
      <c r="BB15">
        <v>119</v>
      </c>
      <c r="BC15">
        <v>127</v>
      </c>
      <c r="BD15" t="s">
        <v>74</v>
      </c>
      <c r="BE15" t="s">
        <v>7993</v>
      </c>
      <c r="BF15" t="str">
        <f>HYPERLINK("http://dx.doi.org/10.1016/j.jbusres.2020.03.004","http://dx.doi.org/10.1016/j.jbusres.2020.03.004")</f>
        <v>http://dx.doi.org/10.1016/j.jbusres.2020.03.004</v>
      </c>
      <c r="BG15" t="s">
        <v>74</v>
      </c>
      <c r="BH15" t="s">
        <v>74</v>
      </c>
      <c r="BI15">
        <v>9</v>
      </c>
      <c r="BJ15" t="s">
        <v>1023</v>
      </c>
      <c r="BK15" t="s">
        <v>156</v>
      </c>
      <c r="BL15" t="s">
        <v>265</v>
      </c>
      <c r="BM15" t="s">
        <v>7994</v>
      </c>
      <c r="BN15" t="s">
        <v>74</v>
      </c>
      <c r="BO15" t="s">
        <v>2805</v>
      </c>
      <c r="BP15" t="s">
        <v>74</v>
      </c>
      <c r="BQ15" t="s">
        <v>74</v>
      </c>
      <c r="BR15" t="s">
        <v>106</v>
      </c>
      <c r="BS15" t="s">
        <v>7995</v>
      </c>
      <c r="BT15" t="str">
        <f>HYPERLINK("https%3A%2F%2Fwww.webofscience.com%2Fwos%2Fwoscc%2Ffull-record%2FWOS:000527393100011","View Full Record in Web of Science")</f>
        <v>View Full Record in Web of Science</v>
      </c>
    </row>
    <row r="16" spans="1:72" x14ac:dyDescent="0.25">
      <c r="A16" t="s">
        <v>72</v>
      </c>
      <c r="B16" t="s">
        <v>10179</v>
      </c>
      <c r="C16" t="s">
        <v>74</v>
      </c>
      <c r="D16" t="s">
        <v>74</v>
      </c>
      <c r="E16" t="s">
        <v>74</v>
      </c>
      <c r="F16" t="s">
        <v>10180</v>
      </c>
      <c r="G16" t="s">
        <v>74</v>
      </c>
      <c r="H16" t="s">
        <v>74</v>
      </c>
      <c r="I16" s="1" t="s">
        <v>10181</v>
      </c>
      <c r="J16" t="s">
        <v>10182</v>
      </c>
      <c r="K16" t="s">
        <v>74</v>
      </c>
      <c r="L16" t="s">
        <v>74</v>
      </c>
      <c r="M16" t="s">
        <v>78</v>
      </c>
      <c r="N16" t="s">
        <v>79</v>
      </c>
      <c r="O16" t="s">
        <v>74</v>
      </c>
      <c r="P16" t="s">
        <v>74</v>
      </c>
      <c r="Q16" t="s">
        <v>74</v>
      </c>
      <c r="R16" t="s">
        <v>74</v>
      </c>
      <c r="S16" t="s">
        <v>74</v>
      </c>
      <c r="T16" s="1" t="s">
        <v>10183</v>
      </c>
      <c r="U16" s="1" t="s">
        <v>74</v>
      </c>
      <c r="V16" s="1" t="s">
        <v>10184</v>
      </c>
      <c r="W16" t="s">
        <v>10185</v>
      </c>
      <c r="X16" t="s">
        <v>10186</v>
      </c>
      <c r="Y16" t="s">
        <v>10187</v>
      </c>
      <c r="Z16" t="s">
        <v>10188</v>
      </c>
      <c r="AA16" t="s">
        <v>10189</v>
      </c>
      <c r="AB16" t="s">
        <v>10190</v>
      </c>
      <c r="AC16" t="s">
        <v>10191</v>
      </c>
      <c r="AD16" t="s">
        <v>10192</v>
      </c>
      <c r="AE16" t="s">
        <v>10193</v>
      </c>
      <c r="AF16" t="s">
        <v>74</v>
      </c>
      <c r="AG16">
        <v>38</v>
      </c>
      <c r="AH16">
        <v>131</v>
      </c>
      <c r="AI16">
        <v>134</v>
      </c>
      <c r="AJ16">
        <v>17</v>
      </c>
      <c r="AK16">
        <v>177</v>
      </c>
      <c r="AL16" t="s">
        <v>3188</v>
      </c>
      <c r="AM16" t="s">
        <v>3189</v>
      </c>
      <c r="AN16" t="s">
        <v>3190</v>
      </c>
      <c r="AO16" t="s">
        <v>10194</v>
      </c>
      <c r="AP16" t="s">
        <v>10195</v>
      </c>
      <c r="AQ16" t="s">
        <v>74</v>
      </c>
      <c r="AR16" t="s">
        <v>10196</v>
      </c>
      <c r="AS16" t="s">
        <v>10197</v>
      </c>
      <c r="AT16" t="s">
        <v>74</v>
      </c>
      <c r="AU16">
        <v>2018</v>
      </c>
      <c r="AV16">
        <v>35</v>
      </c>
      <c r="AW16">
        <v>2</v>
      </c>
      <c r="AX16" t="s">
        <v>74</v>
      </c>
      <c r="AY16" t="s">
        <v>74</v>
      </c>
      <c r="AZ16" t="s">
        <v>74</v>
      </c>
      <c r="BA16" t="s">
        <v>74</v>
      </c>
      <c r="BB16">
        <v>155</v>
      </c>
      <c r="BC16">
        <v>177</v>
      </c>
      <c r="BD16" t="s">
        <v>74</v>
      </c>
      <c r="BE16" t="s">
        <v>10198</v>
      </c>
      <c r="BF16" t="str">
        <f>HYPERLINK("http://dx.doi.org/10.1080/10584609.2017.1364814","http://dx.doi.org/10.1080/10584609.2017.1364814")</f>
        <v>http://dx.doi.org/10.1080/10584609.2017.1364814</v>
      </c>
      <c r="BG16" t="s">
        <v>74</v>
      </c>
      <c r="BH16" t="s">
        <v>74</v>
      </c>
      <c r="BI16">
        <v>23</v>
      </c>
      <c r="BJ16" t="s">
        <v>10199</v>
      </c>
      <c r="BK16" t="s">
        <v>156</v>
      </c>
      <c r="BL16" t="s">
        <v>9325</v>
      </c>
      <c r="BM16" t="s">
        <v>10200</v>
      </c>
      <c r="BN16" t="s">
        <v>74</v>
      </c>
      <c r="BO16" t="s">
        <v>74</v>
      </c>
      <c r="BP16" t="s">
        <v>74</v>
      </c>
      <c r="BQ16" t="s">
        <v>74</v>
      </c>
      <c r="BR16" t="s">
        <v>106</v>
      </c>
      <c r="BS16" t="s">
        <v>10201</v>
      </c>
      <c r="BT16" t="str">
        <f>HYPERLINK("https%3A%2F%2Fwww.webofscience.com%2Fwos%2Fwoscc%2Ffull-record%2FWOS:000427902200001","View Full Record in Web of Science")</f>
        <v>View Full Record in Web of Science</v>
      </c>
    </row>
    <row r="17" spans="1:72" x14ac:dyDescent="0.25">
      <c r="A17" t="s">
        <v>72</v>
      </c>
      <c r="B17" t="s">
        <v>11001</v>
      </c>
      <c r="C17" t="s">
        <v>74</v>
      </c>
      <c r="D17" t="s">
        <v>74</v>
      </c>
      <c r="E17" t="s">
        <v>74</v>
      </c>
      <c r="F17" t="s">
        <v>11002</v>
      </c>
      <c r="G17" t="s">
        <v>74</v>
      </c>
      <c r="H17" t="s">
        <v>74</v>
      </c>
      <c r="I17" s="1" t="s">
        <v>11003</v>
      </c>
      <c r="J17" t="s">
        <v>4849</v>
      </c>
      <c r="K17" t="s">
        <v>74</v>
      </c>
      <c r="L17" t="s">
        <v>74</v>
      </c>
      <c r="M17" t="s">
        <v>78</v>
      </c>
      <c r="N17" t="s">
        <v>79</v>
      </c>
      <c r="O17" t="s">
        <v>74</v>
      </c>
      <c r="P17" t="s">
        <v>74</v>
      </c>
      <c r="Q17" t="s">
        <v>74</v>
      </c>
      <c r="R17" t="s">
        <v>74</v>
      </c>
      <c r="S17" t="s">
        <v>74</v>
      </c>
      <c r="T17" s="1" t="s">
        <v>11004</v>
      </c>
      <c r="U17" s="1" t="s">
        <v>11005</v>
      </c>
      <c r="V17" s="1" t="s">
        <v>11006</v>
      </c>
      <c r="W17" t="s">
        <v>11007</v>
      </c>
      <c r="X17" t="s">
        <v>11008</v>
      </c>
      <c r="Y17" t="s">
        <v>11009</v>
      </c>
      <c r="Z17" t="s">
        <v>11010</v>
      </c>
      <c r="AA17" t="s">
        <v>11011</v>
      </c>
      <c r="AB17" t="s">
        <v>74</v>
      </c>
      <c r="AC17" t="s">
        <v>11012</v>
      </c>
      <c r="AD17" t="s">
        <v>11013</v>
      </c>
      <c r="AE17" t="s">
        <v>11014</v>
      </c>
      <c r="AF17" t="s">
        <v>74</v>
      </c>
      <c r="AG17">
        <v>79</v>
      </c>
      <c r="AH17">
        <v>117</v>
      </c>
      <c r="AI17">
        <v>117</v>
      </c>
      <c r="AJ17">
        <v>25</v>
      </c>
      <c r="AK17">
        <v>393</v>
      </c>
      <c r="AL17" t="s">
        <v>4775</v>
      </c>
      <c r="AM17" t="s">
        <v>4776</v>
      </c>
      <c r="AN17" t="s">
        <v>4777</v>
      </c>
      <c r="AO17" t="s">
        <v>4862</v>
      </c>
      <c r="AP17" t="s">
        <v>4863</v>
      </c>
      <c r="AQ17" t="s">
        <v>74</v>
      </c>
      <c r="AR17" t="s">
        <v>4864</v>
      </c>
      <c r="AS17" t="s">
        <v>4865</v>
      </c>
      <c r="AT17" t="s">
        <v>476</v>
      </c>
      <c r="AU17">
        <v>2016</v>
      </c>
      <c r="AV17">
        <v>27</v>
      </c>
      <c r="AW17">
        <v>4</v>
      </c>
      <c r="AX17" t="s">
        <v>74</v>
      </c>
      <c r="AY17" t="s">
        <v>74</v>
      </c>
      <c r="AZ17" t="s">
        <v>74</v>
      </c>
      <c r="BA17" t="s">
        <v>74</v>
      </c>
      <c r="BB17">
        <v>704</v>
      </c>
      <c r="BC17">
        <v>723</v>
      </c>
      <c r="BD17" t="s">
        <v>74</v>
      </c>
      <c r="BE17" t="s">
        <v>11015</v>
      </c>
      <c r="BF17" t="str">
        <f>HYPERLINK("http://dx.doi.org/10.1287/isre.2016.0648","http://dx.doi.org/10.1287/isre.2016.0648")</f>
        <v>http://dx.doi.org/10.1287/isre.2016.0648</v>
      </c>
      <c r="BG17" t="s">
        <v>74</v>
      </c>
      <c r="BH17" t="s">
        <v>74</v>
      </c>
      <c r="BI17">
        <v>20</v>
      </c>
      <c r="BJ17" t="s">
        <v>3601</v>
      </c>
      <c r="BK17" t="s">
        <v>156</v>
      </c>
      <c r="BL17" t="s">
        <v>3602</v>
      </c>
      <c r="BM17" t="s">
        <v>11016</v>
      </c>
      <c r="BN17" t="s">
        <v>74</v>
      </c>
      <c r="BO17" t="s">
        <v>11017</v>
      </c>
      <c r="BP17" t="s">
        <v>74</v>
      </c>
      <c r="BQ17" t="s">
        <v>74</v>
      </c>
      <c r="BR17" t="s">
        <v>106</v>
      </c>
      <c r="BS17" t="s">
        <v>11018</v>
      </c>
      <c r="BT17" t="str">
        <f>HYPERLINK("https%3A%2F%2Fwww.webofscience.com%2Fwos%2Fwoscc%2Ffull-record%2FWOS:000391015200003","View Full Record in Web of Science")</f>
        <v>View Full Record in Web of Science</v>
      </c>
    </row>
    <row r="18" spans="1:72" x14ac:dyDescent="0.25">
      <c r="A18" t="s">
        <v>72</v>
      </c>
      <c r="B18" t="s">
        <v>9700</v>
      </c>
      <c r="C18" t="s">
        <v>74</v>
      </c>
      <c r="D18" t="s">
        <v>74</v>
      </c>
      <c r="E18" t="s">
        <v>74</v>
      </c>
      <c r="F18" t="s">
        <v>9701</v>
      </c>
      <c r="G18" t="s">
        <v>74</v>
      </c>
      <c r="H18" t="s">
        <v>74</v>
      </c>
      <c r="I18" s="1" t="s">
        <v>9702</v>
      </c>
      <c r="J18" t="s">
        <v>9703</v>
      </c>
      <c r="K18" t="s">
        <v>74</v>
      </c>
      <c r="L18" t="s">
        <v>74</v>
      </c>
      <c r="M18" t="s">
        <v>78</v>
      </c>
      <c r="N18" t="s">
        <v>79</v>
      </c>
      <c r="O18" t="s">
        <v>74</v>
      </c>
      <c r="P18" t="s">
        <v>74</v>
      </c>
      <c r="Q18" t="s">
        <v>74</v>
      </c>
      <c r="R18" t="s">
        <v>74</v>
      </c>
      <c r="S18" t="s">
        <v>74</v>
      </c>
      <c r="T18" s="1" t="s">
        <v>9704</v>
      </c>
      <c r="U18" s="1" t="s">
        <v>9705</v>
      </c>
      <c r="V18" s="1" t="s">
        <v>9706</v>
      </c>
      <c r="W18" t="s">
        <v>9707</v>
      </c>
      <c r="X18" t="s">
        <v>9708</v>
      </c>
      <c r="Y18" t="s">
        <v>9709</v>
      </c>
      <c r="Z18" t="s">
        <v>9710</v>
      </c>
      <c r="AA18" t="s">
        <v>9711</v>
      </c>
      <c r="AB18" t="s">
        <v>9712</v>
      </c>
      <c r="AC18" t="s">
        <v>9713</v>
      </c>
      <c r="AD18" t="s">
        <v>9714</v>
      </c>
      <c r="AE18" t="s">
        <v>9715</v>
      </c>
      <c r="AF18" t="s">
        <v>74</v>
      </c>
      <c r="AG18">
        <v>43</v>
      </c>
      <c r="AH18">
        <v>96</v>
      </c>
      <c r="AI18">
        <v>96</v>
      </c>
      <c r="AJ18">
        <v>0</v>
      </c>
      <c r="AK18">
        <v>12</v>
      </c>
      <c r="AL18" t="s">
        <v>8190</v>
      </c>
      <c r="AM18" t="s">
        <v>93</v>
      </c>
      <c r="AN18" t="s">
        <v>8191</v>
      </c>
      <c r="AO18" t="s">
        <v>9716</v>
      </c>
      <c r="AP18" t="s">
        <v>9717</v>
      </c>
      <c r="AQ18" t="s">
        <v>74</v>
      </c>
      <c r="AR18" t="s">
        <v>9718</v>
      </c>
      <c r="AS18" t="s">
        <v>9719</v>
      </c>
      <c r="AT18" t="s">
        <v>356</v>
      </c>
      <c r="AU18">
        <v>2018</v>
      </c>
      <c r="AV18">
        <v>44</v>
      </c>
      <c r="AW18">
        <v>5</v>
      </c>
      <c r="AX18" t="s">
        <v>74</v>
      </c>
      <c r="AY18" t="s">
        <v>74</v>
      </c>
      <c r="AZ18" t="s">
        <v>74</v>
      </c>
      <c r="BA18" t="s">
        <v>74</v>
      </c>
      <c r="BB18">
        <v>1070</v>
      </c>
      <c r="BC18">
        <v>1080</v>
      </c>
      <c r="BD18" t="s">
        <v>74</v>
      </c>
      <c r="BE18" t="s">
        <v>9720</v>
      </c>
      <c r="BF18" t="str">
        <f>HYPERLINK("http://dx.doi.org/10.1093/schbul/sby032","http://dx.doi.org/10.1093/schbul/sby032")</f>
        <v>http://dx.doi.org/10.1093/schbul/sby032</v>
      </c>
      <c r="BG18" t="s">
        <v>74</v>
      </c>
      <c r="BH18" t="s">
        <v>74</v>
      </c>
      <c r="BI18">
        <v>11</v>
      </c>
      <c r="BJ18" t="s">
        <v>4060</v>
      </c>
      <c r="BK18" t="s">
        <v>211</v>
      </c>
      <c r="BL18" t="s">
        <v>4060</v>
      </c>
      <c r="BM18" t="s">
        <v>9721</v>
      </c>
      <c r="BN18">
        <v>29566206</v>
      </c>
      <c r="BO18" t="s">
        <v>1539</v>
      </c>
      <c r="BP18" t="s">
        <v>74</v>
      </c>
      <c r="BQ18" t="s">
        <v>74</v>
      </c>
      <c r="BR18" t="s">
        <v>106</v>
      </c>
      <c r="BS18" t="s">
        <v>9722</v>
      </c>
      <c r="BT18" t="str">
        <f>HYPERLINK("https%3A%2F%2Fwww.webofscience.com%2Fwos%2Fwoscc%2Ffull-record%2FWOS:000443003600020","View Full Record in Web of Science")</f>
        <v>View Full Record in Web of Science</v>
      </c>
    </row>
    <row r="19" spans="1:72" x14ac:dyDescent="0.25">
      <c r="A19" t="s">
        <v>72</v>
      </c>
      <c r="B19" t="s">
        <v>8597</v>
      </c>
      <c r="C19" t="s">
        <v>74</v>
      </c>
      <c r="D19" t="s">
        <v>74</v>
      </c>
      <c r="E19" t="s">
        <v>74</v>
      </c>
      <c r="F19" t="s">
        <v>8598</v>
      </c>
      <c r="G19" t="s">
        <v>74</v>
      </c>
      <c r="H19" t="s">
        <v>74</v>
      </c>
      <c r="I19" s="1" t="s">
        <v>8599</v>
      </c>
      <c r="J19" t="s">
        <v>8600</v>
      </c>
      <c r="K19" t="s">
        <v>74</v>
      </c>
      <c r="L19" t="s">
        <v>74</v>
      </c>
      <c r="M19" t="s">
        <v>78</v>
      </c>
      <c r="N19" t="s">
        <v>79</v>
      </c>
      <c r="O19" t="s">
        <v>74</v>
      </c>
      <c r="P19" t="s">
        <v>74</v>
      </c>
      <c r="Q19" t="s">
        <v>74</v>
      </c>
      <c r="R19" t="s">
        <v>74</v>
      </c>
      <c r="S19" t="s">
        <v>74</v>
      </c>
      <c r="T19" s="1" t="s">
        <v>8601</v>
      </c>
      <c r="U19" s="1" t="s">
        <v>8602</v>
      </c>
      <c r="V19" s="1" t="s">
        <v>8603</v>
      </c>
      <c r="W19" t="s">
        <v>8604</v>
      </c>
      <c r="X19" t="s">
        <v>8605</v>
      </c>
      <c r="Y19" t="s">
        <v>8606</v>
      </c>
      <c r="Z19" t="s">
        <v>8607</v>
      </c>
      <c r="AA19" t="s">
        <v>74</v>
      </c>
      <c r="AB19" t="s">
        <v>8608</v>
      </c>
      <c r="AC19" t="s">
        <v>74</v>
      </c>
      <c r="AD19" t="s">
        <v>74</v>
      </c>
      <c r="AE19" t="s">
        <v>74</v>
      </c>
      <c r="AF19" t="s">
        <v>74</v>
      </c>
      <c r="AG19">
        <v>63</v>
      </c>
      <c r="AH19">
        <v>90</v>
      </c>
      <c r="AI19">
        <v>93</v>
      </c>
      <c r="AJ19">
        <v>27</v>
      </c>
      <c r="AK19">
        <v>138</v>
      </c>
      <c r="AL19" t="s">
        <v>4775</v>
      </c>
      <c r="AM19" t="s">
        <v>4776</v>
      </c>
      <c r="AN19" t="s">
        <v>4777</v>
      </c>
      <c r="AO19" t="s">
        <v>8609</v>
      </c>
      <c r="AP19" t="s">
        <v>8610</v>
      </c>
      <c r="AQ19" t="s">
        <v>74</v>
      </c>
      <c r="AR19" t="s">
        <v>8611</v>
      </c>
      <c r="AS19" t="s">
        <v>8612</v>
      </c>
      <c r="AT19" t="s">
        <v>476</v>
      </c>
      <c r="AU19">
        <v>2019</v>
      </c>
      <c r="AV19">
        <v>4</v>
      </c>
      <c r="AW19">
        <v>4</v>
      </c>
      <c r="AX19" t="s">
        <v>74</v>
      </c>
      <c r="AY19" t="s">
        <v>74</v>
      </c>
      <c r="AZ19" t="s">
        <v>1020</v>
      </c>
      <c r="BA19" t="s">
        <v>74</v>
      </c>
      <c r="BB19">
        <v>253</v>
      </c>
      <c r="BC19">
        <v>261</v>
      </c>
      <c r="BD19" t="s">
        <v>74</v>
      </c>
      <c r="BE19" t="s">
        <v>8613</v>
      </c>
      <c r="BF19" t="str">
        <f>HYPERLINK("http://dx.doi.org/10.1287/stsc.2019.0099","http://dx.doi.org/10.1287/stsc.2019.0099")</f>
        <v>http://dx.doi.org/10.1287/stsc.2019.0099</v>
      </c>
      <c r="BG19" t="s">
        <v>74</v>
      </c>
      <c r="BH19" t="s">
        <v>74</v>
      </c>
      <c r="BI19">
        <v>9</v>
      </c>
      <c r="BJ19" t="s">
        <v>315</v>
      </c>
      <c r="BK19" t="s">
        <v>183</v>
      </c>
      <c r="BL19" t="s">
        <v>265</v>
      </c>
      <c r="BM19" t="s">
        <v>8614</v>
      </c>
      <c r="BN19" t="s">
        <v>74</v>
      </c>
      <c r="BO19" t="s">
        <v>791</v>
      </c>
      <c r="BP19" t="s">
        <v>74</v>
      </c>
      <c r="BQ19" t="s">
        <v>74</v>
      </c>
      <c r="BR19" t="s">
        <v>106</v>
      </c>
      <c r="BS19" t="s">
        <v>8615</v>
      </c>
      <c r="BT19" t="str">
        <f>HYPERLINK("https%3A%2F%2Fwww.webofscience.com%2Fwos%2Fwoscc%2Ffull-record%2FWOS:000503426500002","View Full Record in Web of Science")</f>
        <v>View Full Record in Web of Science</v>
      </c>
    </row>
    <row r="20" spans="1:72" x14ac:dyDescent="0.25">
      <c r="A20" t="s">
        <v>72</v>
      </c>
      <c r="B20" t="s">
        <v>10684</v>
      </c>
      <c r="C20" t="s">
        <v>74</v>
      </c>
      <c r="D20" t="s">
        <v>74</v>
      </c>
      <c r="E20" t="s">
        <v>74</v>
      </c>
      <c r="F20" t="s">
        <v>10685</v>
      </c>
      <c r="G20" t="s">
        <v>74</v>
      </c>
      <c r="H20" t="s">
        <v>74</v>
      </c>
      <c r="I20" s="1" t="s">
        <v>10686</v>
      </c>
      <c r="J20" t="s">
        <v>10687</v>
      </c>
      <c r="K20" t="s">
        <v>74</v>
      </c>
      <c r="L20" t="s">
        <v>74</v>
      </c>
      <c r="M20" t="s">
        <v>78</v>
      </c>
      <c r="N20" t="s">
        <v>79</v>
      </c>
      <c r="O20" t="s">
        <v>74</v>
      </c>
      <c r="P20" t="s">
        <v>74</v>
      </c>
      <c r="Q20" t="s">
        <v>74</v>
      </c>
      <c r="R20" t="s">
        <v>74</v>
      </c>
      <c r="S20" t="s">
        <v>74</v>
      </c>
      <c r="T20" s="1" t="s">
        <v>10688</v>
      </c>
      <c r="U20" s="1" t="s">
        <v>10689</v>
      </c>
      <c r="V20" s="1" t="s">
        <v>10690</v>
      </c>
      <c r="W20" t="s">
        <v>10691</v>
      </c>
      <c r="X20" t="s">
        <v>10692</v>
      </c>
      <c r="Y20" t="s">
        <v>10693</v>
      </c>
      <c r="Z20" t="s">
        <v>10694</v>
      </c>
      <c r="AA20" t="s">
        <v>74</v>
      </c>
      <c r="AB20" t="s">
        <v>10695</v>
      </c>
      <c r="AC20" t="s">
        <v>10696</v>
      </c>
      <c r="AD20" t="s">
        <v>10697</v>
      </c>
      <c r="AE20" t="s">
        <v>10698</v>
      </c>
      <c r="AF20" t="s">
        <v>74</v>
      </c>
      <c r="AG20">
        <v>41</v>
      </c>
      <c r="AH20">
        <v>81</v>
      </c>
      <c r="AI20">
        <v>85</v>
      </c>
      <c r="AJ20">
        <v>31</v>
      </c>
      <c r="AK20">
        <v>186</v>
      </c>
      <c r="AL20" t="s">
        <v>492</v>
      </c>
      <c r="AM20" t="s">
        <v>493</v>
      </c>
      <c r="AN20" t="s">
        <v>494</v>
      </c>
      <c r="AO20" t="s">
        <v>10699</v>
      </c>
      <c r="AP20" t="s">
        <v>10700</v>
      </c>
      <c r="AQ20" t="s">
        <v>74</v>
      </c>
      <c r="AR20" t="s">
        <v>10701</v>
      </c>
      <c r="AS20" t="s">
        <v>10702</v>
      </c>
      <c r="AT20" t="s">
        <v>74</v>
      </c>
      <c r="AU20">
        <v>2017</v>
      </c>
      <c r="AV20">
        <v>35</v>
      </c>
      <c r="AW20">
        <v>1</v>
      </c>
      <c r="AX20" t="s">
        <v>74</v>
      </c>
      <c r="AY20" t="s">
        <v>74</v>
      </c>
      <c r="AZ20" t="s">
        <v>1020</v>
      </c>
      <c r="BA20" t="s">
        <v>74</v>
      </c>
      <c r="BB20">
        <v>20</v>
      </c>
      <c r="BC20">
        <v>31</v>
      </c>
      <c r="BD20" t="s">
        <v>74</v>
      </c>
      <c r="BE20" t="s">
        <v>10703</v>
      </c>
      <c r="BF20" t="str">
        <f>HYPERLINK("http://dx.doi.org/10.1080/08111146.2016.1235032","http://dx.doi.org/10.1080/08111146.2016.1235032")</f>
        <v>http://dx.doi.org/10.1080/08111146.2016.1235032</v>
      </c>
      <c r="BG20" t="s">
        <v>74</v>
      </c>
      <c r="BH20" t="s">
        <v>74</v>
      </c>
      <c r="BI20">
        <v>12</v>
      </c>
      <c r="BJ20" t="s">
        <v>10704</v>
      </c>
      <c r="BK20" t="s">
        <v>156</v>
      </c>
      <c r="BL20" t="s">
        <v>8650</v>
      </c>
      <c r="BM20" t="s">
        <v>10705</v>
      </c>
      <c r="BN20" t="s">
        <v>74</v>
      </c>
      <c r="BO20" t="s">
        <v>4521</v>
      </c>
      <c r="BP20" t="s">
        <v>74</v>
      </c>
      <c r="BQ20" t="s">
        <v>74</v>
      </c>
      <c r="BR20" t="s">
        <v>106</v>
      </c>
      <c r="BS20" t="s">
        <v>10706</v>
      </c>
      <c r="BT20" t="str">
        <f>HYPERLINK("https%3A%2F%2Fwww.webofscience.com%2Fwos%2Fwoscc%2Ffull-record%2FWOS:000398033600003","View Full Record in Web of Science")</f>
        <v>View Full Record in Web of Science</v>
      </c>
    </row>
    <row r="21" spans="1:72" x14ac:dyDescent="0.25">
      <c r="A21" t="s">
        <v>72</v>
      </c>
      <c r="B21" t="s">
        <v>6707</v>
      </c>
      <c r="C21" t="s">
        <v>74</v>
      </c>
      <c r="D21" t="s">
        <v>74</v>
      </c>
      <c r="E21" t="s">
        <v>74</v>
      </c>
      <c r="F21" t="s">
        <v>6708</v>
      </c>
      <c r="G21" t="s">
        <v>74</v>
      </c>
      <c r="H21" t="s">
        <v>74</v>
      </c>
      <c r="I21" s="1" t="s">
        <v>6709</v>
      </c>
      <c r="J21" t="s">
        <v>6710</v>
      </c>
      <c r="K21" t="s">
        <v>74</v>
      </c>
      <c r="L21" t="s">
        <v>74</v>
      </c>
      <c r="M21" t="s">
        <v>78</v>
      </c>
      <c r="N21" t="s">
        <v>79</v>
      </c>
      <c r="O21" t="s">
        <v>74</v>
      </c>
      <c r="P21" t="s">
        <v>74</v>
      </c>
      <c r="Q21" t="s">
        <v>74</v>
      </c>
      <c r="R21" t="s">
        <v>74</v>
      </c>
      <c r="S21" t="s">
        <v>74</v>
      </c>
      <c r="T21" s="1" t="s">
        <v>74</v>
      </c>
      <c r="U21" s="1" t="s">
        <v>74</v>
      </c>
      <c r="V21" s="1" t="s">
        <v>6711</v>
      </c>
      <c r="W21" t="s">
        <v>6712</v>
      </c>
      <c r="X21" t="s">
        <v>6713</v>
      </c>
      <c r="Y21" t="s">
        <v>6714</v>
      </c>
      <c r="Z21" t="s">
        <v>6715</v>
      </c>
      <c r="AA21" t="s">
        <v>74</v>
      </c>
      <c r="AB21" t="s">
        <v>6716</v>
      </c>
      <c r="AC21" t="s">
        <v>74</v>
      </c>
      <c r="AD21" t="s">
        <v>74</v>
      </c>
      <c r="AE21" t="s">
        <v>74</v>
      </c>
      <c r="AF21" t="s">
        <v>74</v>
      </c>
      <c r="AG21">
        <v>24</v>
      </c>
      <c r="AH21">
        <v>79</v>
      </c>
      <c r="AI21">
        <v>79</v>
      </c>
      <c r="AJ21">
        <v>3</v>
      </c>
      <c r="AK21">
        <v>23</v>
      </c>
      <c r="AL21" t="s">
        <v>3146</v>
      </c>
      <c r="AM21" t="s">
        <v>175</v>
      </c>
      <c r="AN21" t="s">
        <v>3147</v>
      </c>
      <c r="AO21" t="s">
        <v>6717</v>
      </c>
      <c r="AP21" t="s">
        <v>6718</v>
      </c>
      <c r="AQ21" t="s">
        <v>74</v>
      </c>
      <c r="AR21" t="s">
        <v>6719</v>
      </c>
      <c r="AS21" t="s">
        <v>6720</v>
      </c>
      <c r="AT21" t="s">
        <v>6721</v>
      </c>
      <c r="AU21">
        <v>2021</v>
      </c>
      <c r="AV21">
        <v>2021</v>
      </c>
      <c r="AW21" t="s">
        <v>74</v>
      </c>
      <c r="AX21" t="s">
        <v>74</v>
      </c>
      <c r="AY21" t="s">
        <v>74</v>
      </c>
      <c r="AZ21" t="s">
        <v>74</v>
      </c>
      <c r="BA21" t="s">
        <v>74</v>
      </c>
      <c r="BB21" t="s">
        <v>74</v>
      </c>
      <c r="BC21" t="s">
        <v>74</v>
      </c>
      <c r="BD21">
        <v>6649524</v>
      </c>
      <c r="BE21" t="s">
        <v>6722</v>
      </c>
      <c r="BF21" t="str">
        <f>HYPERLINK("http://dx.doi.org/10.1155/2021/6649524","http://dx.doi.org/10.1155/2021/6649524")</f>
        <v>http://dx.doi.org/10.1155/2021/6649524</v>
      </c>
      <c r="BG21" t="s">
        <v>74</v>
      </c>
      <c r="BH21" t="s">
        <v>74</v>
      </c>
      <c r="BI21">
        <v>10</v>
      </c>
      <c r="BJ21" t="s">
        <v>567</v>
      </c>
      <c r="BK21" t="s">
        <v>183</v>
      </c>
      <c r="BL21" t="s">
        <v>399</v>
      </c>
      <c r="BM21" t="s">
        <v>6723</v>
      </c>
      <c r="BN21" t="s">
        <v>74</v>
      </c>
      <c r="BO21" t="s">
        <v>186</v>
      </c>
      <c r="BP21" t="s">
        <v>74</v>
      </c>
      <c r="BQ21" t="s">
        <v>74</v>
      </c>
      <c r="BR21" t="s">
        <v>106</v>
      </c>
      <c r="BS21" t="s">
        <v>6724</v>
      </c>
      <c r="BT21" t="str">
        <f>HYPERLINK("https%3A%2F%2Fwww.webofscience.com%2Fwos%2Fwoscc%2Ffull-record%2FWOS:000621451400001","View Full Record in Web of Science")</f>
        <v>View Full Record in Web of Science</v>
      </c>
    </row>
    <row r="22" spans="1:72" x14ac:dyDescent="0.25">
      <c r="A22" t="s">
        <v>72</v>
      </c>
      <c r="B22" t="s">
        <v>4362</v>
      </c>
      <c r="C22" t="s">
        <v>74</v>
      </c>
      <c r="D22" t="s">
        <v>74</v>
      </c>
      <c r="E22" t="s">
        <v>74</v>
      </c>
      <c r="F22" t="s">
        <v>4363</v>
      </c>
      <c r="G22" t="s">
        <v>74</v>
      </c>
      <c r="H22" t="s">
        <v>74</v>
      </c>
      <c r="I22" s="1" t="s">
        <v>4364</v>
      </c>
      <c r="J22" t="s">
        <v>4365</v>
      </c>
      <c r="K22" t="s">
        <v>74</v>
      </c>
      <c r="L22" t="s">
        <v>74</v>
      </c>
      <c r="M22" t="s">
        <v>78</v>
      </c>
      <c r="N22" t="s">
        <v>79</v>
      </c>
      <c r="O22" t="s">
        <v>74</v>
      </c>
      <c r="P22" t="s">
        <v>74</v>
      </c>
      <c r="Q22" t="s">
        <v>74</v>
      </c>
      <c r="R22" t="s">
        <v>74</v>
      </c>
      <c r="S22" t="s">
        <v>74</v>
      </c>
      <c r="T22" s="1" t="s">
        <v>4366</v>
      </c>
      <c r="U22" s="1" t="s">
        <v>4367</v>
      </c>
      <c r="V22" s="1" t="s">
        <v>4368</v>
      </c>
      <c r="W22" t="s">
        <v>4369</v>
      </c>
      <c r="X22" t="s">
        <v>4370</v>
      </c>
      <c r="Y22" t="s">
        <v>2438</v>
      </c>
      <c r="Z22" t="s">
        <v>2439</v>
      </c>
      <c r="AA22" t="s">
        <v>74</v>
      </c>
      <c r="AB22" t="s">
        <v>2440</v>
      </c>
      <c r="AC22" t="s">
        <v>74</v>
      </c>
      <c r="AD22" t="s">
        <v>74</v>
      </c>
      <c r="AE22" t="s">
        <v>74</v>
      </c>
      <c r="AF22" t="s">
        <v>74</v>
      </c>
      <c r="AG22">
        <v>74</v>
      </c>
      <c r="AH22">
        <v>74</v>
      </c>
      <c r="AI22">
        <v>74</v>
      </c>
      <c r="AJ22">
        <v>341</v>
      </c>
      <c r="AK22">
        <v>905</v>
      </c>
      <c r="AL22" t="s">
        <v>332</v>
      </c>
      <c r="AM22" t="s">
        <v>122</v>
      </c>
      <c r="AN22" t="s">
        <v>333</v>
      </c>
      <c r="AO22" t="s">
        <v>4371</v>
      </c>
      <c r="AP22" t="s">
        <v>4372</v>
      </c>
      <c r="AQ22" t="s">
        <v>74</v>
      </c>
      <c r="AR22" t="s">
        <v>4373</v>
      </c>
      <c r="AS22" t="s">
        <v>4374</v>
      </c>
      <c r="AT22" t="s">
        <v>837</v>
      </c>
      <c r="AU22">
        <v>2022</v>
      </c>
      <c r="AV22">
        <v>104</v>
      </c>
      <c r="AW22" t="s">
        <v>74</v>
      </c>
      <c r="AX22" t="s">
        <v>74</v>
      </c>
      <c r="AY22" t="s">
        <v>74</v>
      </c>
      <c r="AZ22" t="s">
        <v>74</v>
      </c>
      <c r="BA22" t="s">
        <v>74</v>
      </c>
      <c r="BB22">
        <v>28</v>
      </c>
      <c r="BC22">
        <v>37</v>
      </c>
      <c r="BD22" t="s">
        <v>74</v>
      </c>
      <c r="BE22" t="s">
        <v>4375</v>
      </c>
      <c r="BF22" t="str">
        <f>HYPERLINK("http://dx.doi.org/10.1016/j.indmarman.2022.04.007","http://dx.doi.org/10.1016/j.indmarman.2022.04.007")</f>
        <v>http://dx.doi.org/10.1016/j.indmarman.2022.04.007</v>
      </c>
      <c r="BG22" t="s">
        <v>74</v>
      </c>
      <c r="BH22" t="s">
        <v>4337</v>
      </c>
      <c r="BI22">
        <v>10</v>
      </c>
      <c r="BJ22" t="s">
        <v>264</v>
      </c>
      <c r="BK22" t="s">
        <v>156</v>
      </c>
      <c r="BL22" t="s">
        <v>265</v>
      </c>
      <c r="BM22" t="s">
        <v>4376</v>
      </c>
      <c r="BN22" t="s">
        <v>74</v>
      </c>
      <c r="BO22" t="s">
        <v>74</v>
      </c>
      <c r="BP22" t="s">
        <v>74</v>
      </c>
      <c r="BQ22" t="s">
        <v>74</v>
      </c>
      <c r="BR22" t="s">
        <v>106</v>
      </c>
      <c r="BS22" t="s">
        <v>4377</v>
      </c>
      <c r="BT22" t="str">
        <f>HYPERLINK("https%3A%2F%2Fwww.webofscience.com%2Fwos%2Fwoscc%2Ffull-record%2FWOS:000794305800001","View Full Record in Web of Science")</f>
        <v>View Full Record in Web of Science</v>
      </c>
    </row>
    <row r="23" spans="1:72" x14ac:dyDescent="0.25">
      <c r="A23" t="s">
        <v>72</v>
      </c>
      <c r="B23" t="s">
        <v>11119</v>
      </c>
      <c r="C23" t="s">
        <v>74</v>
      </c>
      <c r="D23" t="s">
        <v>74</v>
      </c>
      <c r="E23" t="s">
        <v>74</v>
      </c>
      <c r="F23" t="s">
        <v>11120</v>
      </c>
      <c r="G23" t="s">
        <v>74</v>
      </c>
      <c r="H23" t="s">
        <v>11121</v>
      </c>
      <c r="I23" s="1" t="s">
        <v>11122</v>
      </c>
      <c r="J23" t="s">
        <v>11123</v>
      </c>
      <c r="K23" t="s">
        <v>74</v>
      </c>
      <c r="L23" t="s">
        <v>74</v>
      </c>
      <c r="M23" t="s">
        <v>78</v>
      </c>
      <c r="N23" t="s">
        <v>79</v>
      </c>
      <c r="O23" t="s">
        <v>74</v>
      </c>
      <c r="P23" t="s">
        <v>74</v>
      </c>
      <c r="Q23" t="s">
        <v>74</v>
      </c>
      <c r="R23" t="s">
        <v>74</v>
      </c>
      <c r="S23" t="s">
        <v>74</v>
      </c>
      <c r="T23" s="1" t="s">
        <v>11124</v>
      </c>
      <c r="U23" s="1" t="s">
        <v>11125</v>
      </c>
      <c r="V23" s="1" t="s">
        <v>74</v>
      </c>
      <c r="W23" t="s">
        <v>74</v>
      </c>
      <c r="X23" t="s">
        <v>74</v>
      </c>
      <c r="Y23" t="s">
        <v>74</v>
      </c>
      <c r="Z23" t="s">
        <v>74</v>
      </c>
      <c r="AA23" t="s">
        <v>11126</v>
      </c>
      <c r="AB23" t="s">
        <v>11127</v>
      </c>
      <c r="AC23" t="s">
        <v>74</v>
      </c>
      <c r="AD23" t="s">
        <v>74</v>
      </c>
      <c r="AE23" t="s">
        <v>74</v>
      </c>
      <c r="AF23" t="s">
        <v>74</v>
      </c>
      <c r="AG23">
        <v>147</v>
      </c>
      <c r="AH23">
        <v>72</v>
      </c>
      <c r="AI23">
        <v>74</v>
      </c>
      <c r="AJ23">
        <v>0</v>
      </c>
      <c r="AK23">
        <v>32</v>
      </c>
      <c r="AL23" t="s">
        <v>3844</v>
      </c>
      <c r="AM23" t="s">
        <v>3189</v>
      </c>
      <c r="AN23" t="s">
        <v>3845</v>
      </c>
      <c r="AO23" t="s">
        <v>11128</v>
      </c>
      <c r="AP23" t="s">
        <v>11129</v>
      </c>
      <c r="AQ23" t="s">
        <v>74</v>
      </c>
      <c r="AR23" t="s">
        <v>11123</v>
      </c>
      <c r="AS23" t="s">
        <v>11130</v>
      </c>
      <c r="AT23" t="s">
        <v>11131</v>
      </c>
      <c r="AU23">
        <v>2016</v>
      </c>
      <c r="AV23">
        <v>134</v>
      </c>
      <c r="AW23">
        <v>8</v>
      </c>
      <c r="AX23" t="s">
        <v>74</v>
      </c>
      <c r="AY23" t="s">
        <v>74</v>
      </c>
      <c r="AZ23" t="s">
        <v>74</v>
      </c>
      <c r="BA23" t="s">
        <v>74</v>
      </c>
      <c r="BB23" t="s">
        <v>11132</v>
      </c>
      <c r="BC23" t="s">
        <v>11133</v>
      </c>
      <c r="BD23" t="s">
        <v>74</v>
      </c>
      <c r="BE23" t="s">
        <v>11134</v>
      </c>
      <c r="BF23" t="str">
        <f>HYPERLINK("http://dx.doi.org/10.1161/CIR.0000000000000428","http://dx.doi.org/10.1161/CIR.0000000000000428")</f>
        <v>http://dx.doi.org/10.1161/CIR.0000000000000428</v>
      </c>
      <c r="BG23" t="s">
        <v>74</v>
      </c>
      <c r="BH23" t="s">
        <v>74</v>
      </c>
      <c r="BI23">
        <v>22</v>
      </c>
      <c r="BJ23" t="s">
        <v>11135</v>
      </c>
      <c r="BK23" t="s">
        <v>211</v>
      </c>
      <c r="BL23" t="s">
        <v>11136</v>
      </c>
      <c r="BM23" t="s">
        <v>11137</v>
      </c>
      <c r="BN23">
        <v>27334603</v>
      </c>
      <c r="BO23" t="s">
        <v>791</v>
      </c>
      <c r="BP23" t="s">
        <v>74</v>
      </c>
      <c r="BQ23" t="s">
        <v>74</v>
      </c>
      <c r="BR23" t="s">
        <v>106</v>
      </c>
      <c r="BS23" t="s">
        <v>11138</v>
      </c>
      <c r="BT23" t="str">
        <f>HYPERLINK("https%3A%2F%2Fwww.webofscience.com%2Fwos%2Fwoscc%2Ffull-record%2FWOS:000382286800001","View Full Record in Web of Science")</f>
        <v>View Full Record in Web of Science</v>
      </c>
    </row>
    <row r="24" spans="1:72" x14ac:dyDescent="0.25">
      <c r="A24" t="s">
        <v>72</v>
      </c>
      <c r="B24" t="s">
        <v>4582</v>
      </c>
      <c r="C24" t="s">
        <v>74</v>
      </c>
      <c r="D24" t="s">
        <v>74</v>
      </c>
      <c r="E24" t="s">
        <v>74</v>
      </c>
      <c r="F24" t="s">
        <v>4583</v>
      </c>
      <c r="G24" t="s">
        <v>74</v>
      </c>
      <c r="H24" t="s">
        <v>74</v>
      </c>
      <c r="I24" s="1" t="s">
        <v>4584</v>
      </c>
      <c r="J24" t="s">
        <v>3751</v>
      </c>
      <c r="K24" t="s">
        <v>74</v>
      </c>
      <c r="L24" t="s">
        <v>74</v>
      </c>
      <c r="M24" t="s">
        <v>78</v>
      </c>
      <c r="N24" t="s">
        <v>79</v>
      </c>
      <c r="O24" t="s">
        <v>74</v>
      </c>
      <c r="P24" t="s">
        <v>74</v>
      </c>
      <c r="Q24" t="s">
        <v>74</v>
      </c>
      <c r="R24" t="s">
        <v>74</v>
      </c>
      <c r="S24" t="s">
        <v>74</v>
      </c>
      <c r="T24" s="1" t="s">
        <v>4585</v>
      </c>
      <c r="U24" s="1" t="s">
        <v>4586</v>
      </c>
      <c r="V24" s="1" t="s">
        <v>4587</v>
      </c>
      <c r="W24" t="s">
        <v>4588</v>
      </c>
      <c r="X24" t="s">
        <v>4589</v>
      </c>
      <c r="Y24" t="s">
        <v>4590</v>
      </c>
      <c r="Z24" t="s">
        <v>4591</v>
      </c>
      <c r="AA24" t="s">
        <v>4592</v>
      </c>
      <c r="AB24" t="s">
        <v>4593</v>
      </c>
      <c r="AC24" t="s">
        <v>74</v>
      </c>
      <c r="AD24" t="s">
        <v>74</v>
      </c>
      <c r="AE24" t="s">
        <v>74</v>
      </c>
      <c r="AF24" t="s">
        <v>74</v>
      </c>
      <c r="AG24">
        <v>157</v>
      </c>
      <c r="AH24">
        <v>70</v>
      </c>
      <c r="AI24">
        <v>71</v>
      </c>
      <c r="AJ24">
        <v>692</v>
      </c>
      <c r="AK24">
        <v>1522</v>
      </c>
      <c r="AL24" t="s">
        <v>332</v>
      </c>
      <c r="AM24" t="s">
        <v>122</v>
      </c>
      <c r="AN24" t="s">
        <v>333</v>
      </c>
      <c r="AO24" t="s">
        <v>3761</v>
      </c>
      <c r="AP24" t="s">
        <v>3762</v>
      </c>
      <c r="AQ24" t="s">
        <v>74</v>
      </c>
      <c r="AR24" t="s">
        <v>3763</v>
      </c>
      <c r="AS24" t="s">
        <v>3764</v>
      </c>
      <c r="AT24" t="s">
        <v>1138</v>
      </c>
      <c r="AU24">
        <v>2022</v>
      </c>
      <c r="AV24">
        <v>145</v>
      </c>
      <c r="AW24" t="s">
        <v>74</v>
      </c>
      <c r="AX24" t="s">
        <v>74</v>
      </c>
      <c r="AY24" t="s">
        <v>74</v>
      </c>
      <c r="AZ24" t="s">
        <v>74</v>
      </c>
      <c r="BA24" t="s">
        <v>74</v>
      </c>
      <c r="BB24">
        <v>636</v>
      </c>
      <c r="BC24">
        <v>648</v>
      </c>
      <c r="BD24" t="s">
        <v>74</v>
      </c>
      <c r="BE24" t="s">
        <v>4594</v>
      </c>
      <c r="BF24" t="str">
        <f>HYPERLINK("http://dx.doi.org/10.1016/j.jbusres.2022.03.038","http://dx.doi.org/10.1016/j.jbusres.2022.03.038")</f>
        <v>http://dx.doi.org/10.1016/j.jbusres.2022.03.038</v>
      </c>
      <c r="BG24" t="s">
        <v>74</v>
      </c>
      <c r="BH24" t="s">
        <v>4559</v>
      </c>
      <c r="BI24">
        <v>13</v>
      </c>
      <c r="BJ24" t="s">
        <v>1023</v>
      </c>
      <c r="BK24" t="s">
        <v>156</v>
      </c>
      <c r="BL24" t="s">
        <v>265</v>
      </c>
      <c r="BM24" t="s">
        <v>4595</v>
      </c>
      <c r="BN24" t="s">
        <v>74</v>
      </c>
      <c r="BO24" t="s">
        <v>3068</v>
      </c>
      <c r="BP24" t="s">
        <v>74</v>
      </c>
      <c r="BQ24" t="s">
        <v>74</v>
      </c>
      <c r="BR24" t="s">
        <v>106</v>
      </c>
      <c r="BS24" t="s">
        <v>4596</v>
      </c>
      <c r="BT24" t="str">
        <f>HYPERLINK("https%3A%2F%2Fwww.webofscience.com%2Fwos%2Fwoscc%2Ffull-record%2FWOS:000799198500009","View Full Record in Web of Science")</f>
        <v>View Full Record in Web of Science</v>
      </c>
    </row>
    <row r="25" spans="1:72" x14ac:dyDescent="0.25">
      <c r="A25" t="s">
        <v>72</v>
      </c>
      <c r="B25" t="s">
        <v>11297</v>
      </c>
      <c r="C25" t="s">
        <v>74</v>
      </c>
      <c r="D25" t="s">
        <v>74</v>
      </c>
      <c r="E25" t="s">
        <v>74</v>
      </c>
      <c r="F25" t="s">
        <v>11298</v>
      </c>
      <c r="G25" t="s">
        <v>74</v>
      </c>
      <c r="H25" t="s">
        <v>74</v>
      </c>
      <c r="I25" s="1" t="s">
        <v>11299</v>
      </c>
      <c r="J25" t="s">
        <v>11300</v>
      </c>
      <c r="K25" t="s">
        <v>74</v>
      </c>
      <c r="L25" t="s">
        <v>74</v>
      </c>
      <c r="M25" t="s">
        <v>78</v>
      </c>
      <c r="N25" t="s">
        <v>79</v>
      </c>
      <c r="O25" t="s">
        <v>74</v>
      </c>
      <c r="P25" t="s">
        <v>74</v>
      </c>
      <c r="Q25" t="s">
        <v>74</v>
      </c>
      <c r="R25" t="s">
        <v>74</v>
      </c>
      <c r="S25" t="s">
        <v>74</v>
      </c>
      <c r="T25" s="1" t="s">
        <v>11301</v>
      </c>
      <c r="U25" s="1" t="s">
        <v>11302</v>
      </c>
      <c r="V25" s="1" t="s">
        <v>11303</v>
      </c>
      <c r="W25" t="s">
        <v>11304</v>
      </c>
      <c r="X25" t="s">
        <v>3669</v>
      </c>
      <c r="Y25" t="s">
        <v>11305</v>
      </c>
      <c r="Z25" t="s">
        <v>11306</v>
      </c>
      <c r="AA25" t="s">
        <v>74</v>
      </c>
      <c r="AB25" t="s">
        <v>11307</v>
      </c>
      <c r="AC25" t="s">
        <v>11308</v>
      </c>
      <c r="AD25" t="s">
        <v>11308</v>
      </c>
      <c r="AE25" t="s">
        <v>11309</v>
      </c>
      <c r="AF25" t="s">
        <v>74</v>
      </c>
      <c r="AG25">
        <v>70</v>
      </c>
      <c r="AH25">
        <v>69</v>
      </c>
      <c r="AI25">
        <v>71</v>
      </c>
      <c r="AJ25">
        <v>2</v>
      </c>
      <c r="AK25">
        <v>77</v>
      </c>
      <c r="AL25" t="s">
        <v>492</v>
      </c>
      <c r="AM25" t="s">
        <v>493</v>
      </c>
      <c r="AN25" t="s">
        <v>494</v>
      </c>
      <c r="AO25" t="s">
        <v>11310</v>
      </c>
      <c r="AP25" t="s">
        <v>11311</v>
      </c>
      <c r="AQ25" t="s">
        <v>74</v>
      </c>
      <c r="AR25" t="s">
        <v>11312</v>
      </c>
      <c r="AS25" t="s">
        <v>11313</v>
      </c>
      <c r="AT25" t="s">
        <v>74</v>
      </c>
      <c r="AU25">
        <v>2016</v>
      </c>
      <c r="AV25">
        <v>37</v>
      </c>
      <c r="AW25">
        <v>4</v>
      </c>
      <c r="AX25" t="s">
        <v>74</v>
      </c>
      <c r="AY25" t="s">
        <v>74</v>
      </c>
      <c r="AZ25" t="s">
        <v>74</v>
      </c>
      <c r="BA25" t="s">
        <v>74</v>
      </c>
      <c r="BB25">
        <v>554</v>
      </c>
      <c r="BC25">
        <v>571</v>
      </c>
      <c r="BD25" t="s">
        <v>74</v>
      </c>
      <c r="BE25" t="s">
        <v>11314</v>
      </c>
      <c r="BF25" t="str">
        <f>HYPERLINK("http://dx.doi.org/10.1080/02723638.2016.1139876","http://dx.doi.org/10.1080/02723638.2016.1139876")</f>
        <v>http://dx.doi.org/10.1080/02723638.2016.1139876</v>
      </c>
      <c r="BG25" t="s">
        <v>74</v>
      </c>
      <c r="BH25" t="s">
        <v>74</v>
      </c>
      <c r="BI25">
        <v>18</v>
      </c>
      <c r="BJ25" t="s">
        <v>11315</v>
      </c>
      <c r="BK25" t="s">
        <v>156</v>
      </c>
      <c r="BL25" t="s">
        <v>11315</v>
      </c>
      <c r="BM25" t="s">
        <v>11316</v>
      </c>
      <c r="BN25" t="s">
        <v>74</v>
      </c>
      <c r="BO25" t="s">
        <v>74</v>
      </c>
      <c r="BP25" t="s">
        <v>74</v>
      </c>
      <c r="BQ25" t="s">
        <v>74</v>
      </c>
      <c r="BR25" t="s">
        <v>106</v>
      </c>
      <c r="BS25" t="s">
        <v>11317</v>
      </c>
      <c r="BT25" t="str">
        <f>HYPERLINK("https%3A%2F%2Fwww.webofscience.com%2Fwos%2Fwoscc%2Ffull-record%2FWOS:000379762300006","View Full Record in Web of Science")</f>
        <v>View Full Record in Web of Science</v>
      </c>
    </row>
    <row r="26" spans="1:72" x14ac:dyDescent="0.25">
      <c r="A26" t="s">
        <v>72</v>
      </c>
      <c r="B26" t="s">
        <v>8427</v>
      </c>
      <c r="C26" t="s">
        <v>74</v>
      </c>
      <c r="D26" t="s">
        <v>74</v>
      </c>
      <c r="E26" t="s">
        <v>74</v>
      </c>
      <c r="F26" t="s">
        <v>8428</v>
      </c>
      <c r="G26" t="s">
        <v>74</v>
      </c>
      <c r="H26" t="s">
        <v>74</v>
      </c>
      <c r="I26" s="1" t="s">
        <v>8429</v>
      </c>
      <c r="J26" t="s">
        <v>321</v>
      </c>
      <c r="K26" t="s">
        <v>74</v>
      </c>
      <c r="L26" t="s">
        <v>74</v>
      </c>
      <c r="M26" t="s">
        <v>78</v>
      </c>
      <c r="N26" t="s">
        <v>79</v>
      </c>
      <c r="O26" t="s">
        <v>74</v>
      </c>
      <c r="P26" t="s">
        <v>74</v>
      </c>
      <c r="Q26" t="s">
        <v>74</v>
      </c>
      <c r="R26" t="s">
        <v>74</v>
      </c>
      <c r="S26" t="s">
        <v>74</v>
      </c>
      <c r="T26" s="1" t="s">
        <v>8430</v>
      </c>
      <c r="U26" s="1" t="s">
        <v>8431</v>
      </c>
      <c r="V26" s="1" t="s">
        <v>8432</v>
      </c>
      <c r="W26" t="s">
        <v>8433</v>
      </c>
      <c r="X26" t="s">
        <v>8434</v>
      </c>
      <c r="Y26" t="s">
        <v>8435</v>
      </c>
      <c r="Z26" t="s">
        <v>8436</v>
      </c>
      <c r="AA26" t="s">
        <v>74</v>
      </c>
      <c r="AB26" t="s">
        <v>8437</v>
      </c>
      <c r="AC26" t="s">
        <v>74</v>
      </c>
      <c r="AD26" t="s">
        <v>74</v>
      </c>
      <c r="AE26" t="s">
        <v>74</v>
      </c>
      <c r="AF26" t="s">
        <v>74</v>
      </c>
      <c r="AG26">
        <v>64</v>
      </c>
      <c r="AH26">
        <v>68</v>
      </c>
      <c r="AI26">
        <v>71</v>
      </c>
      <c r="AJ26">
        <v>37</v>
      </c>
      <c r="AK26">
        <v>121</v>
      </c>
      <c r="AL26" t="s">
        <v>332</v>
      </c>
      <c r="AM26" t="s">
        <v>122</v>
      </c>
      <c r="AN26" t="s">
        <v>333</v>
      </c>
      <c r="AO26" t="s">
        <v>334</v>
      </c>
      <c r="AP26" t="s">
        <v>335</v>
      </c>
      <c r="AQ26" t="s">
        <v>74</v>
      </c>
      <c r="AR26" t="s">
        <v>336</v>
      </c>
      <c r="AS26" t="s">
        <v>337</v>
      </c>
      <c r="AT26" t="s">
        <v>2068</v>
      </c>
      <c r="AU26">
        <v>2020</v>
      </c>
      <c r="AV26">
        <v>150</v>
      </c>
      <c r="AW26" t="s">
        <v>74</v>
      </c>
      <c r="AX26" t="s">
        <v>74</v>
      </c>
      <c r="AY26" t="s">
        <v>74</v>
      </c>
      <c r="AZ26" t="s">
        <v>74</v>
      </c>
      <c r="BA26" t="s">
        <v>74</v>
      </c>
      <c r="BB26" t="s">
        <v>74</v>
      </c>
      <c r="BC26" t="s">
        <v>74</v>
      </c>
      <c r="BD26">
        <v>119751</v>
      </c>
      <c r="BE26" t="s">
        <v>8438</v>
      </c>
      <c r="BF26" t="str">
        <f>HYPERLINK("http://dx.doi.org/10.1016/j.techfore.2019.119751","http://dx.doi.org/10.1016/j.techfore.2019.119751")</f>
        <v>http://dx.doi.org/10.1016/j.techfore.2019.119751</v>
      </c>
      <c r="BG26" t="s">
        <v>74</v>
      </c>
      <c r="BH26" t="s">
        <v>74</v>
      </c>
      <c r="BI26">
        <v>10</v>
      </c>
      <c r="BJ26" t="s">
        <v>339</v>
      </c>
      <c r="BK26" t="s">
        <v>156</v>
      </c>
      <c r="BL26" t="s">
        <v>340</v>
      </c>
      <c r="BM26" t="s">
        <v>8439</v>
      </c>
      <c r="BN26" t="s">
        <v>74</v>
      </c>
      <c r="BO26" t="s">
        <v>74</v>
      </c>
      <c r="BP26" t="s">
        <v>74</v>
      </c>
      <c r="BQ26" t="s">
        <v>74</v>
      </c>
      <c r="BR26" t="s">
        <v>106</v>
      </c>
      <c r="BS26" t="s">
        <v>8440</v>
      </c>
      <c r="BT26" t="str">
        <f>HYPERLINK("https%3A%2F%2Fwww.webofscience.com%2Fwos%2Fwoscc%2Ffull-record%2FWOS:000503324600011","View Full Record in Web of Science")</f>
        <v>View Full Record in Web of Science</v>
      </c>
    </row>
    <row r="27" spans="1:72" x14ac:dyDescent="0.25">
      <c r="A27" t="s">
        <v>72</v>
      </c>
      <c r="B27" t="s">
        <v>8772</v>
      </c>
      <c r="C27" t="s">
        <v>74</v>
      </c>
      <c r="D27" t="s">
        <v>74</v>
      </c>
      <c r="E27" t="s">
        <v>74</v>
      </c>
      <c r="F27" t="s">
        <v>8773</v>
      </c>
      <c r="G27" t="s">
        <v>74</v>
      </c>
      <c r="H27" t="s">
        <v>74</v>
      </c>
      <c r="I27" s="1" t="s">
        <v>8774</v>
      </c>
      <c r="J27" t="s">
        <v>1819</v>
      </c>
      <c r="K27" t="s">
        <v>74</v>
      </c>
      <c r="L27" t="s">
        <v>74</v>
      </c>
      <c r="M27" t="s">
        <v>78</v>
      </c>
      <c r="N27" t="s">
        <v>79</v>
      </c>
      <c r="O27" t="s">
        <v>74</v>
      </c>
      <c r="P27" t="s">
        <v>74</v>
      </c>
      <c r="Q27" t="s">
        <v>74</v>
      </c>
      <c r="R27" t="s">
        <v>74</v>
      </c>
      <c r="S27" t="s">
        <v>74</v>
      </c>
      <c r="T27" s="1" t="s">
        <v>8775</v>
      </c>
      <c r="U27" s="1" t="s">
        <v>8776</v>
      </c>
      <c r="V27" s="1" t="s">
        <v>8777</v>
      </c>
      <c r="W27" t="s">
        <v>8778</v>
      </c>
      <c r="X27" t="s">
        <v>74</v>
      </c>
      <c r="Y27" t="s">
        <v>8779</v>
      </c>
      <c r="Z27" t="s">
        <v>8780</v>
      </c>
      <c r="AA27" t="s">
        <v>8781</v>
      </c>
      <c r="AB27" t="s">
        <v>8782</v>
      </c>
      <c r="AC27" t="s">
        <v>74</v>
      </c>
      <c r="AD27" t="s">
        <v>74</v>
      </c>
      <c r="AE27" t="s">
        <v>74</v>
      </c>
      <c r="AF27" t="s">
        <v>74</v>
      </c>
      <c r="AG27">
        <v>73</v>
      </c>
      <c r="AH27">
        <v>68</v>
      </c>
      <c r="AI27">
        <v>69</v>
      </c>
      <c r="AJ27">
        <v>28</v>
      </c>
      <c r="AK27">
        <v>195</v>
      </c>
      <c r="AL27" t="s">
        <v>1636</v>
      </c>
      <c r="AM27" t="s">
        <v>93</v>
      </c>
      <c r="AN27" t="s">
        <v>1637</v>
      </c>
      <c r="AO27" t="s">
        <v>1832</v>
      </c>
      <c r="AP27" t="s">
        <v>1833</v>
      </c>
      <c r="AQ27" t="s">
        <v>74</v>
      </c>
      <c r="AR27" t="s">
        <v>1834</v>
      </c>
      <c r="AS27" t="s">
        <v>1835</v>
      </c>
      <c r="AT27" t="s">
        <v>8767</v>
      </c>
      <c r="AU27">
        <v>2019</v>
      </c>
      <c r="AV27">
        <v>236</v>
      </c>
      <c r="AW27" t="s">
        <v>74</v>
      </c>
      <c r="AX27" t="s">
        <v>74</v>
      </c>
      <c r="AY27" t="s">
        <v>74</v>
      </c>
      <c r="AZ27" t="s">
        <v>74</v>
      </c>
      <c r="BA27" t="s">
        <v>74</v>
      </c>
      <c r="BB27" t="s">
        <v>74</v>
      </c>
      <c r="BC27" t="s">
        <v>74</v>
      </c>
      <c r="BD27">
        <v>117626</v>
      </c>
      <c r="BE27" t="s">
        <v>8783</v>
      </c>
      <c r="BF27" t="str">
        <f>HYPERLINK("http://dx.doi.org/10.1016/j.jclepro.2019.117626","http://dx.doi.org/10.1016/j.jclepro.2019.117626")</f>
        <v>http://dx.doi.org/10.1016/j.jclepro.2019.117626</v>
      </c>
      <c r="BG27" t="s">
        <v>74</v>
      </c>
      <c r="BH27" t="s">
        <v>74</v>
      </c>
      <c r="BI27">
        <v>9</v>
      </c>
      <c r="BJ27" t="s">
        <v>1838</v>
      </c>
      <c r="BK27" t="s">
        <v>211</v>
      </c>
      <c r="BL27" t="s">
        <v>1839</v>
      </c>
      <c r="BM27" t="s">
        <v>8784</v>
      </c>
      <c r="BN27" t="s">
        <v>74</v>
      </c>
      <c r="BO27" t="s">
        <v>105</v>
      </c>
      <c r="BP27" t="s">
        <v>74</v>
      </c>
      <c r="BQ27" t="s">
        <v>74</v>
      </c>
      <c r="BR27" t="s">
        <v>106</v>
      </c>
      <c r="BS27" t="s">
        <v>8785</v>
      </c>
      <c r="BT27" t="str">
        <f>HYPERLINK("https%3A%2F%2Fwww.webofscience.com%2Fwos%2Fwoscc%2Ffull-record%2FWOS:000483414000084","View Full Record in Web of Science")</f>
        <v>View Full Record in Web of Science</v>
      </c>
    </row>
    <row r="28" spans="1:72" x14ac:dyDescent="0.25">
      <c r="A28" t="s">
        <v>72</v>
      </c>
      <c r="B28" t="s">
        <v>12314</v>
      </c>
      <c r="C28" t="s">
        <v>74</v>
      </c>
      <c r="D28" t="s">
        <v>74</v>
      </c>
      <c r="E28" t="s">
        <v>74</v>
      </c>
      <c r="F28" t="s">
        <v>12315</v>
      </c>
      <c r="G28" t="s">
        <v>74</v>
      </c>
      <c r="H28" t="s">
        <v>74</v>
      </c>
      <c r="I28" s="1" t="s">
        <v>12316</v>
      </c>
      <c r="J28" t="s">
        <v>9843</v>
      </c>
      <c r="K28" t="s">
        <v>74</v>
      </c>
      <c r="L28" t="s">
        <v>74</v>
      </c>
      <c r="M28" t="s">
        <v>78</v>
      </c>
      <c r="N28" t="s">
        <v>79</v>
      </c>
      <c r="O28" t="s">
        <v>74</v>
      </c>
      <c r="P28" t="s">
        <v>74</v>
      </c>
      <c r="Q28" t="s">
        <v>74</v>
      </c>
      <c r="R28" t="s">
        <v>74</v>
      </c>
      <c r="S28" t="s">
        <v>74</v>
      </c>
      <c r="T28" s="1" t="s">
        <v>74</v>
      </c>
      <c r="U28" s="1" t="s">
        <v>74</v>
      </c>
      <c r="V28" s="1" t="s">
        <v>12317</v>
      </c>
      <c r="W28" t="s">
        <v>12318</v>
      </c>
      <c r="X28" t="s">
        <v>12319</v>
      </c>
      <c r="Y28" t="s">
        <v>12320</v>
      </c>
      <c r="Z28" t="s">
        <v>12321</v>
      </c>
      <c r="AA28" t="s">
        <v>74</v>
      </c>
      <c r="AB28" t="s">
        <v>74</v>
      </c>
      <c r="AC28" t="s">
        <v>74</v>
      </c>
      <c r="AD28" t="s">
        <v>74</v>
      </c>
      <c r="AE28" t="s">
        <v>74</v>
      </c>
      <c r="AF28" t="s">
        <v>74</v>
      </c>
      <c r="AG28">
        <v>15</v>
      </c>
      <c r="AH28">
        <v>66</v>
      </c>
      <c r="AI28">
        <v>66</v>
      </c>
      <c r="AJ28">
        <v>9</v>
      </c>
      <c r="AK28">
        <v>195</v>
      </c>
      <c r="AL28" t="s">
        <v>9850</v>
      </c>
      <c r="AM28" t="s">
        <v>9851</v>
      </c>
      <c r="AN28" t="s">
        <v>9852</v>
      </c>
      <c r="AO28" t="s">
        <v>9853</v>
      </c>
      <c r="AP28" t="s">
        <v>74</v>
      </c>
      <c r="AQ28" t="s">
        <v>74</v>
      </c>
      <c r="AR28" t="s">
        <v>9855</v>
      </c>
      <c r="AS28" t="s">
        <v>9856</v>
      </c>
      <c r="AT28" t="s">
        <v>476</v>
      </c>
      <c r="AU28">
        <v>2011</v>
      </c>
      <c r="AV28">
        <v>10</v>
      </c>
      <c r="AW28">
        <v>4</v>
      </c>
      <c r="AX28" t="s">
        <v>74</v>
      </c>
      <c r="AY28" t="s">
        <v>74</v>
      </c>
      <c r="AZ28" t="s">
        <v>74</v>
      </c>
      <c r="BA28" t="s">
        <v>74</v>
      </c>
      <c r="BB28">
        <v>141</v>
      </c>
      <c r="BC28">
        <v>156</v>
      </c>
      <c r="BD28" t="s">
        <v>74</v>
      </c>
      <c r="BE28" t="s">
        <v>74</v>
      </c>
      <c r="BF28" t="s">
        <v>74</v>
      </c>
      <c r="BG28" t="s">
        <v>74</v>
      </c>
      <c r="BH28" t="s">
        <v>74</v>
      </c>
      <c r="BI28">
        <v>16</v>
      </c>
      <c r="BJ28" t="s">
        <v>3601</v>
      </c>
      <c r="BK28" t="s">
        <v>156</v>
      </c>
      <c r="BL28" t="s">
        <v>3602</v>
      </c>
      <c r="BM28" t="s">
        <v>12322</v>
      </c>
      <c r="BN28" t="s">
        <v>74</v>
      </c>
      <c r="BO28" t="s">
        <v>74</v>
      </c>
      <c r="BP28" t="s">
        <v>74</v>
      </c>
      <c r="BQ28" t="s">
        <v>74</v>
      </c>
      <c r="BR28" t="s">
        <v>106</v>
      </c>
      <c r="BS28" t="s">
        <v>12323</v>
      </c>
      <c r="BT28" t="str">
        <f>HYPERLINK("https%3A%2F%2Fwww.webofscience.com%2Fwos%2Fwoscc%2Ffull-record%2FWOS:000298165600001","View Full Record in Web of Science")</f>
        <v>View Full Record in Web of Science</v>
      </c>
    </row>
    <row r="29" spans="1:72" x14ac:dyDescent="0.25">
      <c r="A29" t="s">
        <v>72</v>
      </c>
      <c r="B29" t="s">
        <v>9502</v>
      </c>
      <c r="C29" t="s">
        <v>74</v>
      </c>
      <c r="D29" t="s">
        <v>74</v>
      </c>
      <c r="E29" t="s">
        <v>74</v>
      </c>
      <c r="F29" t="s">
        <v>9503</v>
      </c>
      <c r="G29" t="s">
        <v>74</v>
      </c>
      <c r="H29" t="s">
        <v>74</v>
      </c>
      <c r="I29" s="1" t="s">
        <v>9504</v>
      </c>
      <c r="J29" t="s">
        <v>1798</v>
      </c>
      <c r="K29" t="s">
        <v>74</v>
      </c>
      <c r="L29" t="s">
        <v>74</v>
      </c>
      <c r="M29" t="s">
        <v>78</v>
      </c>
      <c r="N29" t="s">
        <v>79</v>
      </c>
      <c r="O29" t="s">
        <v>74</v>
      </c>
      <c r="P29" t="s">
        <v>74</v>
      </c>
      <c r="Q29" t="s">
        <v>74</v>
      </c>
      <c r="R29" t="s">
        <v>74</v>
      </c>
      <c r="S29" t="s">
        <v>74</v>
      </c>
      <c r="T29" s="1" t="s">
        <v>9505</v>
      </c>
      <c r="U29" s="1" t="s">
        <v>9506</v>
      </c>
      <c r="V29" s="1" t="s">
        <v>9507</v>
      </c>
      <c r="W29" t="s">
        <v>9508</v>
      </c>
      <c r="X29" t="s">
        <v>9509</v>
      </c>
      <c r="Y29" t="s">
        <v>9510</v>
      </c>
      <c r="Z29" t="s">
        <v>9511</v>
      </c>
      <c r="AA29" t="s">
        <v>74</v>
      </c>
      <c r="AB29" t="s">
        <v>9512</v>
      </c>
      <c r="AC29" t="s">
        <v>74</v>
      </c>
      <c r="AD29" t="s">
        <v>74</v>
      </c>
      <c r="AE29" t="s">
        <v>74</v>
      </c>
      <c r="AF29" t="s">
        <v>74</v>
      </c>
      <c r="AG29">
        <v>46</v>
      </c>
      <c r="AH29">
        <v>64</v>
      </c>
      <c r="AI29">
        <v>64</v>
      </c>
      <c r="AJ29">
        <v>7</v>
      </c>
      <c r="AK29">
        <v>102</v>
      </c>
      <c r="AL29" t="s">
        <v>715</v>
      </c>
      <c r="AM29" t="s">
        <v>716</v>
      </c>
      <c r="AN29" t="s">
        <v>717</v>
      </c>
      <c r="AO29" t="s">
        <v>1808</v>
      </c>
      <c r="AP29" t="s">
        <v>1809</v>
      </c>
      <c r="AQ29" t="s">
        <v>74</v>
      </c>
      <c r="AR29" t="s">
        <v>1810</v>
      </c>
      <c r="AS29" t="s">
        <v>1811</v>
      </c>
      <c r="AT29" t="s">
        <v>74</v>
      </c>
      <c r="AU29">
        <v>2019</v>
      </c>
      <c r="AV29">
        <v>34</v>
      </c>
      <c r="AW29">
        <v>6</v>
      </c>
      <c r="AX29" t="s">
        <v>74</v>
      </c>
      <c r="AY29" t="s">
        <v>74</v>
      </c>
      <c r="AZ29" t="s">
        <v>74</v>
      </c>
      <c r="BA29" t="s">
        <v>74</v>
      </c>
      <c r="BB29">
        <v>1203</v>
      </c>
      <c r="BC29">
        <v>1209</v>
      </c>
      <c r="BD29" t="s">
        <v>74</v>
      </c>
      <c r="BE29" t="s">
        <v>9513</v>
      </c>
      <c r="BF29" t="str">
        <f>HYPERLINK("http://dx.doi.org/10.1108/JBIM-11-2018-0348","http://dx.doi.org/10.1108/JBIM-11-2018-0348")</f>
        <v>http://dx.doi.org/10.1108/JBIM-11-2018-0348</v>
      </c>
      <c r="BG29" t="s">
        <v>74</v>
      </c>
      <c r="BH29" t="s">
        <v>74</v>
      </c>
      <c r="BI29">
        <v>7</v>
      </c>
      <c r="BJ29" t="s">
        <v>1023</v>
      </c>
      <c r="BK29" t="s">
        <v>156</v>
      </c>
      <c r="BL29" t="s">
        <v>265</v>
      </c>
      <c r="BM29" t="s">
        <v>9514</v>
      </c>
      <c r="BN29" t="s">
        <v>74</v>
      </c>
      <c r="BO29" t="s">
        <v>2805</v>
      </c>
      <c r="BP29" t="s">
        <v>74</v>
      </c>
      <c r="BQ29" t="s">
        <v>74</v>
      </c>
      <c r="BR29" t="s">
        <v>106</v>
      </c>
      <c r="BS29" t="s">
        <v>9515</v>
      </c>
      <c r="BT29" t="str">
        <f>HYPERLINK("https%3A%2F%2Fwww.webofscience.com%2Fwos%2Fwoscc%2Ffull-record%2FWOS:000490465000006","View Full Record in Web of Science")</f>
        <v>View Full Record in Web of Science</v>
      </c>
    </row>
    <row r="30" spans="1:72" x14ac:dyDescent="0.25">
      <c r="A30" t="s">
        <v>72</v>
      </c>
      <c r="B30" t="s">
        <v>7958</v>
      </c>
      <c r="C30" t="s">
        <v>74</v>
      </c>
      <c r="D30" t="s">
        <v>74</v>
      </c>
      <c r="E30" t="s">
        <v>74</v>
      </c>
      <c r="F30" t="s">
        <v>7959</v>
      </c>
      <c r="G30" t="s">
        <v>74</v>
      </c>
      <c r="H30" t="s">
        <v>74</v>
      </c>
      <c r="I30" s="1" t="s">
        <v>7960</v>
      </c>
      <c r="J30" t="s">
        <v>7961</v>
      </c>
      <c r="K30" t="s">
        <v>74</v>
      </c>
      <c r="L30" t="s">
        <v>74</v>
      </c>
      <c r="M30" t="s">
        <v>78</v>
      </c>
      <c r="N30" t="s">
        <v>79</v>
      </c>
      <c r="O30" t="s">
        <v>74</v>
      </c>
      <c r="P30" t="s">
        <v>74</v>
      </c>
      <c r="Q30" t="s">
        <v>74</v>
      </c>
      <c r="R30" t="s">
        <v>74</v>
      </c>
      <c r="S30" t="s">
        <v>74</v>
      </c>
      <c r="T30" s="1" t="s">
        <v>7962</v>
      </c>
      <c r="U30" s="1" t="s">
        <v>7963</v>
      </c>
      <c r="V30" s="1" t="s">
        <v>7964</v>
      </c>
      <c r="W30" t="s">
        <v>7965</v>
      </c>
      <c r="X30" t="s">
        <v>7966</v>
      </c>
      <c r="Y30" t="s">
        <v>7967</v>
      </c>
      <c r="Z30" t="s">
        <v>7968</v>
      </c>
      <c r="AA30" t="s">
        <v>7969</v>
      </c>
      <c r="AB30" t="s">
        <v>7970</v>
      </c>
      <c r="AC30" t="s">
        <v>6376</v>
      </c>
      <c r="AD30" t="s">
        <v>6376</v>
      </c>
      <c r="AE30" t="s">
        <v>7971</v>
      </c>
      <c r="AF30" t="s">
        <v>74</v>
      </c>
      <c r="AG30">
        <v>52</v>
      </c>
      <c r="AH30">
        <v>63</v>
      </c>
      <c r="AI30">
        <v>64</v>
      </c>
      <c r="AJ30">
        <v>24</v>
      </c>
      <c r="AK30">
        <v>165</v>
      </c>
      <c r="AL30" t="s">
        <v>121</v>
      </c>
      <c r="AM30" t="s">
        <v>7972</v>
      </c>
      <c r="AN30" t="s">
        <v>7973</v>
      </c>
      <c r="AO30" t="s">
        <v>7974</v>
      </c>
      <c r="AP30" t="s">
        <v>7975</v>
      </c>
      <c r="AQ30" t="s">
        <v>74</v>
      </c>
      <c r="AR30" t="s">
        <v>7976</v>
      </c>
      <c r="AS30" t="s">
        <v>7977</v>
      </c>
      <c r="AT30" t="s">
        <v>208</v>
      </c>
      <c r="AU30">
        <v>2021</v>
      </c>
      <c r="AV30">
        <v>57</v>
      </c>
      <c r="AW30">
        <v>3</v>
      </c>
      <c r="AX30" t="s">
        <v>74</v>
      </c>
      <c r="AY30" t="s">
        <v>74</v>
      </c>
      <c r="AZ30" t="s">
        <v>74</v>
      </c>
      <c r="BA30" t="s">
        <v>74</v>
      </c>
      <c r="BB30">
        <v>1505</v>
      </c>
      <c r="BC30">
        <v>1526</v>
      </c>
      <c r="BD30" t="s">
        <v>74</v>
      </c>
      <c r="BE30" t="s">
        <v>7978</v>
      </c>
      <c r="BF30" t="str">
        <f>HYPERLINK("http://dx.doi.org/10.1007/s11187-020-00359-3","http://dx.doi.org/10.1007/s11187-020-00359-3")</f>
        <v>http://dx.doi.org/10.1007/s11187-020-00359-3</v>
      </c>
      <c r="BG30" t="s">
        <v>74</v>
      </c>
      <c r="BH30" t="s">
        <v>7953</v>
      </c>
      <c r="BI30">
        <v>22</v>
      </c>
      <c r="BJ30" t="s">
        <v>2489</v>
      </c>
      <c r="BK30" t="s">
        <v>156</v>
      </c>
      <c r="BL30" t="s">
        <v>265</v>
      </c>
      <c r="BM30" t="s">
        <v>7979</v>
      </c>
      <c r="BN30" t="s">
        <v>74</v>
      </c>
      <c r="BO30" t="s">
        <v>1351</v>
      </c>
      <c r="BP30" t="s">
        <v>74</v>
      </c>
      <c r="BQ30" t="s">
        <v>74</v>
      </c>
      <c r="BR30" t="s">
        <v>106</v>
      </c>
      <c r="BS30" t="s">
        <v>7980</v>
      </c>
      <c r="BT30" t="str">
        <f>HYPERLINK("https%3A%2F%2Fwww.webofscience.com%2Fwos%2Fwoscc%2Ffull-record%2FWOS:000532604200001","View Full Record in Web of Science")</f>
        <v>View Full Record in Web of Science</v>
      </c>
    </row>
    <row r="31" spans="1:72" x14ac:dyDescent="0.25">
      <c r="A31" t="s">
        <v>72</v>
      </c>
      <c r="B31" t="s">
        <v>6876</v>
      </c>
      <c r="C31" t="s">
        <v>74</v>
      </c>
      <c r="D31" t="s">
        <v>74</v>
      </c>
      <c r="E31" t="s">
        <v>74</v>
      </c>
      <c r="F31" t="s">
        <v>6877</v>
      </c>
      <c r="G31" t="s">
        <v>74</v>
      </c>
      <c r="H31" t="s">
        <v>74</v>
      </c>
      <c r="I31" s="1" t="s">
        <v>6878</v>
      </c>
      <c r="J31" t="s">
        <v>3751</v>
      </c>
      <c r="K31" t="s">
        <v>74</v>
      </c>
      <c r="L31" t="s">
        <v>74</v>
      </c>
      <c r="M31" t="s">
        <v>78</v>
      </c>
      <c r="N31" t="s">
        <v>79</v>
      </c>
      <c r="O31" t="s">
        <v>74</v>
      </c>
      <c r="P31" t="s">
        <v>74</v>
      </c>
      <c r="Q31" t="s">
        <v>74</v>
      </c>
      <c r="R31" t="s">
        <v>74</v>
      </c>
      <c r="S31" t="s">
        <v>74</v>
      </c>
      <c r="T31" s="1" t="s">
        <v>6879</v>
      </c>
      <c r="U31" s="1" t="s">
        <v>6880</v>
      </c>
      <c r="V31" s="1" t="s">
        <v>6881</v>
      </c>
      <c r="W31" t="s">
        <v>6882</v>
      </c>
      <c r="X31" t="s">
        <v>6883</v>
      </c>
      <c r="Y31" t="s">
        <v>6884</v>
      </c>
      <c r="Z31" t="s">
        <v>6885</v>
      </c>
      <c r="AA31" t="s">
        <v>6886</v>
      </c>
      <c r="AB31" t="s">
        <v>6887</v>
      </c>
      <c r="AC31" t="s">
        <v>6888</v>
      </c>
      <c r="AD31" t="s">
        <v>6889</v>
      </c>
      <c r="AE31" t="s">
        <v>6890</v>
      </c>
      <c r="AF31" t="s">
        <v>74</v>
      </c>
      <c r="AG31">
        <v>50</v>
      </c>
      <c r="AH31">
        <v>60</v>
      </c>
      <c r="AI31">
        <v>62</v>
      </c>
      <c r="AJ31">
        <v>100</v>
      </c>
      <c r="AK31">
        <v>587</v>
      </c>
      <c r="AL31" t="s">
        <v>332</v>
      </c>
      <c r="AM31" t="s">
        <v>122</v>
      </c>
      <c r="AN31" t="s">
        <v>333</v>
      </c>
      <c r="AO31" t="s">
        <v>3761</v>
      </c>
      <c r="AP31" t="s">
        <v>3762</v>
      </c>
      <c r="AQ31" t="s">
        <v>74</v>
      </c>
      <c r="AR31" t="s">
        <v>3763</v>
      </c>
      <c r="AS31" t="s">
        <v>3764</v>
      </c>
      <c r="AT31" t="s">
        <v>2068</v>
      </c>
      <c r="AU31">
        <v>2021</v>
      </c>
      <c r="AV31">
        <v>124</v>
      </c>
      <c r="AW31" t="s">
        <v>74</v>
      </c>
      <c r="AX31" t="s">
        <v>74</v>
      </c>
      <c r="AY31" t="s">
        <v>74</v>
      </c>
      <c r="AZ31" t="s">
        <v>74</v>
      </c>
      <c r="BA31" t="s">
        <v>74</v>
      </c>
      <c r="BB31">
        <v>610</v>
      </c>
      <c r="BC31">
        <v>619</v>
      </c>
      <c r="BD31" t="s">
        <v>74</v>
      </c>
      <c r="BE31" t="s">
        <v>6891</v>
      </c>
      <c r="BF31" t="str">
        <f>HYPERLINK("http://dx.doi.org/10.1016/j.jbusres.2020.10.058","http://dx.doi.org/10.1016/j.jbusres.2020.10.058")</f>
        <v>http://dx.doi.org/10.1016/j.jbusres.2020.10.058</v>
      </c>
      <c r="BG31" t="s">
        <v>74</v>
      </c>
      <c r="BH31" t="s">
        <v>6817</v>
      </c>
      <c r="BI31">
        <v>10</v>
      </c>
      <c r="BJ31" t="s">
        <v>1023</v>
      </c>
      <c r="BK31" t="s">
        <v>156</v>
      </c>
      <c r="BL31" t="s">
        <v>265</v>
      </c>
      <c r="BM31" t="s">
        <v>6892</v>
      </c>
      <c r="BN31" t="s">
        <v>74</v>
      </c>
      <c r="BO31" t="s">
        <v>2623</v>
      </c>
      <c r="BP31" t="s">
        <v>74</v>
      </c>
      <c r="BQ31" t="s">
        <v>74</v>
      </c>
      <c r="BR31" t="s">
        <v>106</v>
      </c>
      <c r="BS31" t="s">
        <v>6893</v>
      </c>
      <c r="BT31" t="str">
        <f>HYPERLINK("https%3A%2F%2Fwww.webofscience.com%2Fwos%2Fwoscc%2Ffull-record%2FWOS:000605608800052","View Full Record in Web of Science")</f>
        <v>View Full Record in Web of Science</v>
      </c>
    </row>
    <row r="32" spans="1:72" x14ac:dyDescent="0.25">
      <c r="A32" t="s">
        <v>7120</v>
      </c>
      <c r="B32" t="s">
        <v>11873</v>
      </c>
      <c r="C32" t="s">
        <v>74</v>
      </c>
      <c r="D32" t="s">
        <v>11874</v>
      </c>
      <c r="E32" t="s">
        <v>74</v>
      </c>
      <c r="F32" t="s">
        <v>11875</v>
      </c>
      <c r="G32" t="s">
        <v>74</v>
      </c>
      <c r="H32" t="s">
        <v>74</v>
      </c>
      <c r="I32" s="1" t="s">
        <v>11876</v>
      </c>
      <c r="J32" t="s">
        <v>11877</v>
      </c>
      <c r="K32" t="s">
        <v>11878</v>
      </c>
      <c r="L32" t="s">
        <v>74</v>
      </c>
      <c r="M32" t="s">
        <v>78</v>
      </c>
      <c r="N32" t="s">
        <v>4932</v>
      </c>
      <c r="O32" t="s">
        <v>74</v>
      </c>
      <c r="P32" t="s">
        <v>74</v>
      </c>
      <c r="Q32" t="s">
        <v>74</v>
      </c>
      <c r="R32" t="s">
        <v>74</v>
      </c>
      <c r="S32" t="s">
        <v>74</v>
      </c>
      <c r="T32" s="1" t="s">
        <v>11879</v>
      </c>
      <c r="U32" s="1" t="s">
        <v>11880</v>
      </c>
      <c r="V32" s="1" t="s">
        <v>11881</v>
      </c>
      <c r="W32" t="s">
        <v>11882</v>
      </c>
      <c r="X32" t="s">
        <v>11883</v>
      </c>
      <c r="Y32" t="s">
        <v>11884</v>
      </c>
      <c r="Z32" t="s">
        <v>11885</v>
      </c>
      <c r="AA32" t="s">
        <v>11886</v>
      </c>
      <c r="AB32" t="s">
        <v>74</v>
      </c>
      <c r="AC32" t="s">
        <v>74</v>
      </c>
      <c r="AD32" t="s">
        <v>74</v>
      </c>
      <c r="AE32" t="s">
        <v>74</v>
      </c>
      <c r="AF32" t="s">
        <v>74</v>
      </c>
      <c r="AG32">
        <v>33</v>
      </c>
      <c r="AH32">
        <v>60</v>
      </c>
      <c r="AI32">
        <v>60</v>
      </c>
      <c r="AJ32">
        <v>4</v>
      </c>
      <c r="AK32">
        <v>31</v>
      </c>
      <c r="AL32" t="s">
        <v>11887</v>
      </c>
      <c r="AM32" t="s">
        <v>693</v>
      </c>
      <c r="AN32" t="s">
        <v>11888</v>
      </c>
      <c r="AO32" t="s">
        <v>11889</v>
      </c>
      <c r="AP32" t="s">
        <v>11890</v>
      </c>
      <c r="AQ32" t="s">
        <v>11891</v>
      </c>
      <c r="AR32" t="s">
        <v>11892</v>
      </c>
      <c r="AS32" t="s">
        <v>74</v>
      </c>
      <c r="AT32" t="s">
        <v>74</v>
      </c>
      <c r="AU32">
        <v>2014</v>
      </c>
      <c r="AV32" t="s">
        <v>74</v>
      </c>
      <c r="AW32" t="s">
        <v>74</v>
      </c>
      <c r="AX32" t="s">
        <v>74</v>
      </c>
      <c r="AY32" t="s">
        <v>74</v>
      </c>
      <c r="AZ32" t="s">
        <v>74</v>
      </c>
      <c r="BA32" t="s">
        <v>74</v>
      </c>
      <c r="BB32">
        <v>45</v>
      </c>
      <c r="BC32">
        <v>88</v>
      </c>
      <c r="BD32" t="s">
        <v>74</v>
      </c>
      <c r="BE32" t="s">
        <v>11893</v>
      </c>
      <c r="BF32" t="str">
        <f>HYPERLINK("http://dx.doi.org/10.1007/978-3-319-06160-3_3","http://dx.doi.org/10.1007/978-3-319-06160-3_3")</f>
        <v>http://dx.doi.org/10.1007/978-3-319-06160-3_3</v>
      </c>
      <c r="BG32" t="s">
        <v>11894</v>
      </c>
      <c r="BH32" t="s">
        <v>74</v>
      </c>
      <c r="BI32">
        <v>44</v>
      </c>
      <c r="BJ32" t="s">
        <v>11895</v>
      </c>
      <c r="BK32" t="s">
        <v>4943</v>
      </c>
      <c r="BL32" t="s">
        <v>1477</v>
      </c>
      <c r="BM32" t="s">
        <v>11896</v>
      </c>
      <c r="BN32" t="s">
        <v>74</v>
      </c>
      <c r="BO32" t="s">
        <v>74</v>
      </c>
      <c r="BP32" t="s">
        <v>74</v>
      </c>
      <c r="BQ32" t="s">
        <v>74</v>
      </c>
      <c r="BR32" t="s">
        <v>106</v>
      </c>
      <c r="BS32" t="s">
        <v>11897</v>
      </c>
      <c r="BT32" t="str">
        <f>HYPERLINK("https%3A%2F%2Fwww.webofscience.com%2Fwos%2Fwoscc%2Ffull-record%2FWOS:000343584800004","View Full Record in Web of Science")</f>
        <v>View Full Record in Web of Science</v>
      </c>
    </row>
    <row r="33" spans="1:72" x14ac:dyDescent="0.25">
      <c r="A33" t="s">
        <v>72</v>
      </c>
      <c r="B33" t="s">
        <v>8258</v>
      </c>
      <c r="C33" t="s">
        <v>74</v>
      </c>
      <c r="D33" t="s">
        <v>74</v>
      </c>
      <c r="E33" t="s">
        <v>74</v>
      </c>
      <c r="F33" t="s">
        <v>8259</v>
      </c>
      <c r="G33" t="s">
        <v>74</v>
      </c>
      <c r="H33" t="s">
        <v>74</v>
      </c>
      <c r="I33" s="1" t="s">
        <v>8260</v>
      </c>
      <c r="J33" t="s">
        <v>8261</v>
      </c>
      <c r="K33" t="s">
        <v>74</v>
      </c>
      <c r="L33" t="s">
        <v>74</v>
      </c>
      <c r="M33" t="s">
        <v>78</v>
      </c>
      <c r="N33" t="s">
        <v>79</v>
      </c>
      <c r="O33" t="s">
        <v>74</v>
      </c>
      <c r="P33" t="s">
        <v>74</v>
      </c>
      <c r="Q33" t="s">
        <v>74</v>
      </c>
      <c r="R33" t="s">
        <v>74</v>
      </c>
      <c r="S33" t="s">
        <v>74</v>
      </c>
      <c r="T33" s="1" t="s">
        <v>8262</v>
      </c>
      <c r="U33" s="1" t="s">
        <v>8263</v>
      </c>
      <c r="V33" s="1" t="s">
        <v>8264</v>
      </c>
      <c r="W33" t="s">
        <v>8265</v>
      </c>
      <c r="X33" t="s">
        <v>8266</v>
      </c>
      <c r="Y33" t="s">
        <v>8267</v>
      </c>
      <c r="Z33" t="s">
        <v>8268</v>
      </c>
      <c r="AA33" t="s">
        <v>8269</v>
      </c>
      <c r="AB33" t="s">
        <v>8270</v>
      </c>
      <c r="AC33" t="s">
        <v>74</v>
      </c>
      <c r="AD33" t="s">
        <v>74</v>
      </c>
      <c r="AE33" t="s">
        <v>74</v>
      </c>
      <c r="AF33" t="s">
        <v>74</v>
      </c>
      <c r="AG33">
        <v>47</v>
      </c>
      <c r="AH33">
        <v>59</v>
      </c>
      <c r="AI33">
        <v>60</v>
      </c>
      <c r="AJ33">
        <v>6</v>
      </c>
      <c r="AK33">
        <v>142</v>
      </c>
      <c r="AL33" t="s">
        <v>715</v>
      </c>
      <c r="AM33" t="s">
        <v>716</v>
      </c>
      <c r="AN33" t="s">
        <v>717</v>
      </c>
      <c r="AO33" t="s">
        <v>8271</v>
      </c>
      <c r="AP33" t="s">
        <v>8272</v>
      </c>
      <c r="AQ33" t="s">
        <v>74</v>
      </c>
      <c r="AR33" t="s">
        <v>8273</v>
      </c>
      <c r="AS33" t="s">
        <v>8274</v>
      </c>
      <c r="AT33" t="s">
        <v>4129</v>
      </c>
      <c r="AU33">
        <v>2020</v>
      </c>
      <c r="AV33">
        <v>30</v>
      </c>
      <c r="AW33">
        <v>3</v>
      </c>
      <c r="AX33" t="s">
        <v>74</v>
      </c>
      <c r="AY33" t="s">
        <v>74</v>
      </c>
      <c r="AZ33" t="s">
        <v>74</v>
      </c>
      <c r="BA33" t="s">
        <v>74</v>
      </c>
      <c r="BB33">
        <v>289</v>
      </c>
      <c r="BC33">
        <v>314</v>
      </c>
      <c r="BD33" t="s">
        <v>74</v>
      </c>
      <c r="BE33" t="s">
        <v>8275</v>
      </c>
      <c r="BF33" t="str">
        <f>HYPERLINK("http://dx.doi.org/10.1108/CR-03-2019-0031","http://dx.doi.org/10.1108/CR-03-2019-0031")</f>
        <v>http://dx.doi.org/10.1108/CR-03-2019-0031</v>
      </c>
      <c r="BG33" t="s">
        <v>74</v>
      </c>
      <c r="BH33" t="s">
        <v>8276</v>
      </c>
      <c r="BI33">
        <v>26</v>
      </c>
      <c r="BJ33" t="s">
        <v>1023</v>
      </c>
      <c r="BK33" t="s">
        <v>183</v>
      </c>
      <c r="BL33" t="s">
        <v>265</v>
      </c>
      <c r="BM33" t="s">
        <v>8277</v>
      </c>
      <c r="BN33" t="s">
        <v>74</v>
      </c>
      <c r="BO33" t="s">
        <v>74</v>
      </c>
      <c r="BP33" t="s">
        <v>74</v>
      </c>
      <c r="BQ33" t="s">
        <v>74</v>
      </c>
      <c r="BR33" t="s">
        <v>106</v>
      </c>
      <c r="BS33" t="s">
        <v>8278</v>
      </c>
      <c r="BT33" t="str">
        <f>HYPERLINK("https%3A%2F%2Fwww.webofscience.com%2Fwos%2Fwoscc%2Ffull-record%2FWOS:000511429500001","View Full Record in Web of Science")</f>
        <v>View Full Record in Web of Science</v>
      </c>
    </row>
    <row r="34" spans="1:72" x14ac:dyDescent="0.25">
      <c r="A34" t="s">
        <v>72</v>
      </c>
      <c r="B34" t="s">
        <v>8786</v>
      </c>
      <c r="C34" t="s">
        <v>74</v>
      </c>
      <c r="D34" t="s">
        <v>74</v>
      </c>
      <c r="E34" t="s">
        <v>74</v>
      </c>
      <c r="F34" t="s">
        <v>8787</v>
      </c>
      <c r="G34" t="s">
        <v>74</v>
      </c>
      <c r="H34" t="s">
        <v>74</v>
      </c>
      <c r="I34" s="1" t="s">
        <v>8788</v>
      </c>
      <c r="J34" t="s">
        <v>8789</v>
      </c>
      <c r="K34" t="s">
        <v>74</v>
      </c>
      <c r="L34" t="s">
        <v>74</v>
      </c>
      <c r="M34" t="s">
        <v>78</v>
      </c>
      <c r="N34" t="s">
        <v>79</v>
      </c>
      <c r="O34" t="s">
        <v>74</v>
      </c>
      <c r="P34" t="s">
        <v>74</v>
      </c>
      <c r="Q34" t="s">
        <v>74</v>
      </c>
      <c r="R34" t="s">
        <v>74</v>
      </c>
      <c r="S34" t="s">
        <v>74</v>
      </c>
      <c r="T34" s="1" t="s">
        <v>8790</v>
      </c>
      <c r="U34" s="1" t="s">
        <v>8791</v>
      </c>
      <c r="V34" s="1" t="s">
        <v>8792</v>
      </c>
      <c r="W34" t="s">
        <v>8793</v>
      </c>
      <c r="X34" t="s">
        <v>8794</v>
      </c>
      <c r="Y34" t="s">
        <v>8795</v>
      </c>
      <c r="Z34" t="s">
        <v>8796</v>
      </c>
      <c r="AA34" t="s">
        <v>8797</v>
      </c>
      <c r="AB34" t="s">
        <v>8798</v>
      </c>
      <c r="AC34" t="s">
        <v>74</v>
      </c>
      <c r="AD34" t="s">
        <v>74</v>
      </c>
      <c r="AE34" t="s">
        <v>74</v>
      </c>
      <c r="AF34" t="s">
        <v>74</v>
      </c>
      <c r="AG34">
        <v>89</v>
      </c>
      <c r="AH34">
        <v>57</v>
      </c>
      <c r="AI34">
        <v>58</v>
      </c>
      <c r="AJ34">
        <v>20</v>
      </c>
      <c r="AK34">
        <v>193</v>
      </c>
      <c r="AL34" t="s">
        <v>121</v>
      </c>
      <c r="AM34" t="s">
        <v>122</v>
      </c>
      <c r="AN34" t="s">
        <v>123</v>
      </c>
      <c r="AO34" t="s">
        <v>8799</v>
      </c>
      <c r="AP34" t="s">
        <v>8800</v>
      </c>
      <c r="AQ34" t="s">
        <v>74</v>
      </c>
      <c r="AR34" t="s">
        <v>8801</v>
      </c>
      <c r="AS34" t="s">
        <v>8802</v>
      </c>
      <c r="AT34" t="s">
        <v>99</v>
      </c>
      <c r="AU34">
        <v>2019</v>
      </c>
      <c r="AV34">
        <v>47</v>
      </c>
      <c r="AW34">
        <v>6</v>
      </c>
      <c r="AX34" t="s">
        <v>74</v>
      </c>
      <c r="AY34" t="s">
        <v>74</v>
      </c>
      <c r="AZ34" t="s">
        <v>1020</v>
      </c>
      <c r="BA34" t="s">
        <v>74</v>
      </c>
      <c r="BB34">
        <v>1085</v>
      </c>
      <c r="BC34">
        <v>1108</v>
      </c>
      <c r="BD34" t="s">
        <v>74</v>
      </c>
      <c r="BE34" t="s">
        <v>8803</v>
      </c>
      <c r="BF34" t="str">
        <f>HYPERLINK("http://dx.doi.org/10.1007/s11747-019-00687-1","http://dx.doi.org/10.1007/s11747-019-00687-1")</f>
        <v>http://dx.doi.org/10.1007/s11747-019-00687-1</v>
      </c>
      <c r="BG34" t="s">
        <v>74</v>
      </c>
      <c r="BH34" t="s">
        <v>74</v>
      </c>
      <c r="BI34">
        <v>24</v>
      </c>
      <c r="BJ34" t="s">
        <v>1023</v>
      </c>
      <c r="BK34" t="s">
        <v>156</v>
      </c>
      <c r="BL34" t="s">
        <v>265</v>
      </c>
      <c r="BM34" t="s">
        <v>8804</v>
      </c>
      <c r="BN34" t="s">
        <v>74</v>
      </c>
      <c r="BO34" t="s">
        <v>74</v>
      </c>
      <c r="BP34" t="s">
        <v>74</v>
      </c>
      <c r="BQ34" t="s">
        <v>74</v>
      </c>
      <c r="BR34" t="s">
        <v>106</v>
      </c>
      <c r="BS34" t="s">
        <v>8805</v>
      </c>
      <c r="BT34" t="str">
        <f>HYPERLINK("https%3A%2F%2Fwww.webofscience.com%2Fwos%2Fwoscc%2Ffull-record%2FWOS:000495345700007","View Full Record in Web of Science")</f>
        <v>View Full Record in Web of Science</v>
      </c>
    </row>
    <row r="35" spans="1:72" x14ac:dyDescent="0.25">
      <c r="A35" t="s">
        <v>72</v>
      </c>
      <c r="B35" t="s">
        <v>10012</v>
      </c>
      <c r="C35" t="s">
        <v>74</v>
      </c>
      <c r="D35" t="s">
        <v>74</v>
      </c>
      <c r="E35" t="s">
        <v>74</v>
      </c>
      <c r="F35" t="s">
        <v>10013</v>
      </c>
      <c r="G35" t="s">
        <v>74</v>
      </c>
      <c r="H35" t="s">
        <v>74</v>
      </c>
      <c r="I35" s="1" t="s">
        <v>10014</v>
      </c>
      <c r="J35" t="s">
        <v>10015</v>
      </c>
      <c r="K35" t="s">
        <v>74</v>
      </c>
      <c r="L35" t="s">
        <v>74</v>
      </c>
      <c r="M35" t="s">
        <v>78</v>
      </c>
      <c r="N35" t="s">
        <v>79</v>
      </c>
      <c r="O35" t="s">
        <v>74</v>
      </c>
      <c r="P35" t="s">
        <v>74</v>
      </c>
      <c r="Q35" t="s">
        <v>74</v>
      </c>
      <c r="R35" t="s">
        <v>74</v>
      </c>
      <c r="S35" t="s">
        <v>74</v>
      </c>
      <c r="T35" s="1" t="s">
        <v>10016</v>
      </c>
      <c r="U35" s="1" t="s">
        <v>10017</v>
      </c>
      <c r="V35" s="1" t="s">
        <v>10018</v>
      </c>
      <c r="W35" t="s">
        <v>10019</v>
      </c>
      <c r="X35" t="s">
        <v>10020</v>
      </c>
      <c r="Y35" t="s">
        <v>10021</v>
      </c>
      <c r="Z35" t="s">
        <v>10022</v>
      </c>
      <c r="AA35" t="s">
        <v>10023</v>
      </c>
      <c r="AB35" t="s">
        <v>10024</v>
      </c>
      <c r="AC35" t="s">
        <v>74</v>
      </c>
      <c r="AD35" t="s">
        <v>74</v>
      </c>
      <c r="AE35" t="s">
        <v>74</v>
      </c>
      <c r="AF35" t="s">
        <v>74</v>
      </c>
      <c r="AG35">
        <v>78</v>
      </c>
      <c r="AH35">
        <v>56</v>
      </c>
      <c r="AI35">
        <v>57</v>
      </c>
      <c r="AJ35">
        <v>7</v>
      </c>
      <c r="AK35">
        <v>101</v>
      </c>
      <c r="AL35" t="s">
        <v>715</v>
      </c>
      <c r="AM35" t="s">
        <v>716</v>
      </c>
      <c r="AN35" t="s">
        <v>717</v>
      </c>
      <c r="AO35" t="s">
        <v>10025</v>
      </c>
      <c r="AP35" t="s">
        <v>10026</v>
      </c>
      <c r="AQ35" t="s">
        <v>74</v>
      </c>
      <c r="AR35" t="s">
        <v>10027</v>
      </c>
      <c r="AS35" t="s">
        <v>10028</v>
      </c>
      <c r="AT35" t="s">
        <v>74</v>
      </c>
      <c r="AU35">
        <v>2018</v>
      </c>
      <c r="AV35">
        <v>29</v>
      </c>
      <c r="AW35">
        <v>2</v>
      </c>
      <c r="AX35" t="s">
        <v>74</v>
      </c>
      <c r="AY35" t="s">
        <v>74</v>
      </c>
      <c r="AZ35" t="s">
        <v>1020</v>
      </c>
      <c r="BA35" t="s">
        <v>74</v>
      </c>
      <c r="BB35">
        <v>555</v>
      </c>
      <c r="BC35">
        <v>574</v>
      </c>
      <c r="BD35" t="s">
        <v>74</v>
      </c>
      <c r="BE35" t="s">
        <v>10029</v>
      </c>
      <c r="BF35" t="str">
        <f>HYPERLINK("http://dx.doi.org/10.1108/IJLM-05-2017-0115","http://dx.doi.org/10.1108/IJLM-05-2017-0115")</f>
        <v>http://dx.doi.org/10.1108/IJLM-05-2017-0115</v>
      </c>
      <c r="BG35" t="s">
        <v>74</v>
      </c>
      <c r="BH35" t="s">
        <v>74</v>
      </c>
      <c r="BI35">
        <v>20</v>
      </c>
      <c r="BJ35" t="s">
        <v>315</v>
      </c>
      <c r="BK35" t="s">
        <v>156</v>
      </c>
      <c r="BL35" t="s">
        <v>265</v>
      </c>
      <c r="BM35" t="s">
        <v>10030</v>
      </c>
      <c r="BN35" t="s">
        <v>74</v>
      </c>
      <c r="BO35" t="s">
        <v>4521</v>
      </c>
      <c r="BP35" t="s">
        <v>74</v>
      </c>
      <c r="BQ35" t="s">
        <v>74</v>
      </c>
      <c r="BR35" t="s">
        <v>106</v>
      </c>
      <c r="BS35" t="s">
        <v>10031</v>
      </c>
      <c r="BT35" t="str">
        <f>HYPERLINK("https%3A%2F%2Fwww.webofscience.com%2Fwos%2Fwoscc%2Ffull-record%2FWOS:000433898900005","View Full Record in Web of Science")</f>
        <v>View Full Record in Web of Science</v>
      </c>
    </row>
    <row r="36" spans="1:72" x14ac:dyDescent="0.25">
      <c r="A36" t="s">
        <v>72</v>
      </c>
      <c r="B36" t="s">
        <v>8279</v>
      </c>
      <c r="C36" t="s">
        <v>74</v>
      </c>
      <c r="D36" t="s">
        <v>74</v>
      </c>
      <c r="E36" t="s">
        <v>74</v>
      </c>
      <c r="F36" t="s">
        <v>8280</v>
      </c>
      <c r="G36" t="s">
        <v>74</v>
      </c>
      <c r="H36" t="s">
        <v>74</v>
      </c>
      <c r="I36" s="1" t="s">
        <v>8281</v>
      </c>
      <c r="J36" t="s">
        <v>1609</v>
      </c>
      <c r="K36" t="s">
        <v>74</v>
      </c>
      <c r="L36" t="s">
        <v>74</v>
      </c>
      <c r="M36" t="s">
        <v>78</v>
      </c>
      <c r="N36" t="s">
        <v>79</v>
      </c>
      <c r="O36" t="s">
        <v>74</v>
      </c>
      <c r="P36" t="s">
        <v>74</v>
      </c>
      <c r="Q36" t="s">
        <v>74</v>
      </c>
      <c r="R36" t="s">
        <v>74</v>
      </c>
      <c r="S36" t="s">
        <v>74</v>
      </c>
      <c r="T36" s="1" t="s">
        <v>8282</v>
      </c>
      <c r="U36" s="1" t="s">
        <v>8283</v>
      </c>
      <c r="V36" s="1" t="s">
        <v>8284</v>
      </c>
      <c r="W36" t="s">
        <v>8285</v>
      </c>
      <c r="X36" t="s">
        <v>8286</v>
      </c>
      <c r="Y36" t="s">
        <v>8287</v>
      </c>
      <c r="Z36" t="s">
        <v>8288</v>
      </c>
      <c r="AA36" t="s">
        <v>8289</v>
      </c>
      <c r="AB36" t="s">
        <v>8290</v>
      </c>
      <c r="AC36" t="s">
        <v>74</v>
      </c>
      <c r="AD36" t="s">
        <v>74</v>
      </c>
      <c r="AE36" t="s">
        <v>74</v>
      </c>
      <c r="AF36" t="s">
        <v>74</v>
      </c>
      <c r="AG36">
        <v>84</v>
      </c>
      <c r="AH36">
        <v>55</v>
      </c>
      <c r="AI36">
        <v>56</v>
      </c>
      <c r="AJ36">
        <v>7</v>
      </c>
      <c r="AK36">
        <v>102</v>
      </c>
      <c r="AL36" t="s">
        <v>715</v>
      </c>
      <c r="AM36" t="s">
        <v>716</v>
      </c>
      <c r="AN36" t="s">
        <v>717</v>
      </c>
      <c r="AO36" t="s">
        <v>1618</v>
      </c>
      <c r="AP36" t="s">
        <v>74</v>
      </c>
      <c r="AQ36" t="s">
        <v>74</v>
      </c>
      <c r="AR36" t="s">
        <v>1619</v>
      </c>
      <c r="AS36" t="s">
        <v>1620</v>
      </c>
      <c r="AT36" t="s">
        <v>8291</v>
      </c>
      <c r="AU36">
        <v>2020</v>
      </c>
      <c r="AV36">
        <v>13</v>
      </c>
      <c r="AW36">
        <v>1</v>
      </c>
      <c r="AX36" t="s">
        <v>74</v>
      </c>
      <c r="AY36" t="s">
        <v>74</v>
      </c>
      <c r="AZ36" t="s">
        <v>74</v>
      </c>
      <c r="BA36" t="s">
        <v>74</v>
      </c>
      <c r="BB36">
        <v>160</v>
      </c>
      <c r="BC36">
        <v>180</v>
      </c>
      <c r="BD36" t="s">
        <v>74</v>
      </c>
      <c r="BE36" t="s">
        <v>8292</v>
      </c>
      <c r="BF36" t="str">
        <f>HYPERLINK("http://dx.doi.org/10.1108/JSMA-05-2019-0070","http://dx.doi.org/10.1108/JSMA-05-2019-0070")</f>
        <v>http://dx.doi.org/10.1108/JSMA-05-2019-0070</v>
      </c>
      <c r="BG36" t="s">
        <v>74</v>
      </c>
      <c r="BH36" t="s">
        <v>8276</v>
      </c>
      <c r="BI36">
        <v>21</v>
      </c>
      <c r="BJ36" t="s">
        <v>315</v>
      </c>
      <c r="BK36" t="s">
        <v>183</v>
      </c>
      <c r="BL36" t="s">
        <v>265</v>
      </c>
      <c r="BM36" t="s">
        <v>8293</v>
      </c>
      <c r="BN36" t="s">
        <v>74</v>
      </c>
      <c r="BO36" t="s">
        <v>105</v>
      </c>
      <c r="BP36" t="s">
        <v>74</v>
      </c>
      <c r="BQ36" t="s">
        <v>74</v>
      </c>
      <c r="BR36" t="s">
        <v>106</v>
      </c>
      <c r="BS36" t="s">
        <v>8294</v>
      </c>
      <c r="BT36" t="str">
        <f>HYPERLINK("https%3A%2F%2Fwww.webofscience.com%2Fwos%2Fwoscc%2Ffull-record%2FWOS:000511392100001","View Full Record in Web of Science")</f>
        <v>View Full Record in Web of Science</v>
      </c>
    </row>
    <row r="37" spans="1:72" x14ac:dyDescent="0.25">
      <c r="A37" t="s">
        <v>72</v>
      </c>
      <c r="B37" t="s">
        <v>12335</v>
      </c>
      <c r="C37" t="s">
        <v>74</v>
      </c>
      <c r="D37" t="s">
        <v>74</v>
      </c>
      <c r="E37" t="s">
        <v>74</v>
      </c>
      <c r="F37" t="s">
        <v>12336</v>
      </c>
      <c r="G37" t="s">
        <v>74</v>
      </c>
      <c r="H37" t="s">
        <v>74</v>
      </c>
      <c r="I37" s="1" t="s">
        <v>12337</v>
      </c>
      <c r="J37" t="s">
        <v>7999</v>
      </c>
      <c r="K37" t="s">
        <v>74</v>
      </c>
      <c r="L37" t="s">
        <v>74</v>
      </c>
      <c r="M37" t="s">
        <v>78</v>
      </c>
      <c r="N37" t="s">
        <v>79</v>
      </c>
      <c r="O37" t="s">
        <v>74</v>
      </c>
      <c r="P37" t="s">
        <v>74</v>
      </c>
      <c r="Q37" t="s">
        <v>74</v>
      </c>
      <c r="R37" t="s">
        <v>74</v>
      </c>
      <c r="S37" t="s">
        <v>74</v>
      </c>
      <c r="T37" s="1" t="s">
        <v>74</v>
      </c>
      <c r="U37" s="1" t="s">
        <v>74</v>
      </c>
      <c r="V37" s="1" t="s">
        <v>12338</v>
      </c>
      <c r="W37" t="s">
        <v>12339</v>
      </c>
      <c r="X37" t="s">
        <v>12340</v>
      </c>
      <c r="Y37" t="s">
        <v>12341</v>
      </c>
      <c r="Z37" t="s">
        <v>74</v>
      </c>
      <c r="AA37" t="s">
        <v>74</v>
      </c>
      <c r="AB37" t="s">
        <v>12342</v>
      </c>
      <c r="AC37" t="s">
        <v>74</v>
      </c>
      <c r="AD37" t="s">
        <v>74</v>
      </c>
      <c r="AE37" t="s">
        <v>74</v>
      </c>
      <c r="AF37" t="s">
        <v>74</v>
      </c>
      <c r="AG37">
        <v>0</v>
      </c>
      <c r="AH37">
        <v>55</v>
      </c>
      <c r="AI37">
        <v>58</v>
      </c>
      <c r="AJ37">
        <v>0</v>
      </c>
      <c r="AK37">
        <v>48</v>
      </c>
      <c r="AL37" t="s">
        <v>8003</v>
      </c>
      <c r="AM37" t="s">
        <v>8004</v>
      </c>
      <c r="AN37" t="s">
        <v>8005</v>
      </c>
      <c r="AO37" t="s">
        <v>8006</v>
      </c>
      <c r="AP37" t="s">
        <v>74</v>
      </c>
      <c r="AQ37" t="s">
        <v>74</v>
      </c>
      <c r="AR37" t="s">
        <v>8007</v>
      </c>
      <c r="AS37" t="s">
        <v>8008</v>
      </c>
      <c r="AT37" t="s">
        <v>99</v>
      </c>
      <c r="AU37">
        <v>2011</v>
      </c>
      <c r="AV37">
        <v>89</v>
      </c>
      <c r="AW37">
        <v>11</v>
      </c>
      <c r="AX37" t="s">
        <v>74</v>
      </c>
      <c r="AY37" t="s">
        <v>74</v>
      </c>
      <c r="AZ37" t="s">
        <v>74</v>
      </c>
      <c r="BA37" t="s">
        <v>74</v>
      </c>
      <c r="BB37">
        <v>116</v>
      </c>
      <c r="BC37" t="s">
        <v>11057</v>
      </c>
      <c r="BD37" t="s">
        <v>74</v>
      </c>
      <c r="BE37" t="s">
        <v>74</v>
      </c>
      <c r="BF37" t="s">
        <v>74</v>
      </c>
      <c r="BG37" t="s">
        <v>74</v>
      </c>
      <c r="BH37" t="s">
        <v>74</v>
      </c>
      <c r="BI37">
        <v>8</v>
      </c>
      <c r="BJ37" t="s">
        <v>264</v>
      </c>
      <c r="BK37" t="s">
        <v>156</v>
      </c>
      <c r="BL37" t="s">
        <v>265</v>
      </c>
      <c r="BM37" t="s">
        <v>12343</v>
      </c>
      <c r="BN37">
        <v>22111430</v>
      </c>
      <c r="BO37" t="s">
        <v>74</v>
      </c>
      <c r="BP37" t="s">
        <v>74</v>
      </c>
      <c r="BQ37" t="s">
        <v>74</v>
      </c>
      <c r="BR37" t="s">
        <v>106</v>
      </c>
      <c r="BS37" t="s">
        <v>12344</v>
      </c>
      <c r="BT37" t="str">
        <f>HYPERLINK("https%3A%2F%2Fwww.webofscience.com%2Fwos%2Fwoscc%2Ffull-record%2FWOS:000296302800031","View Full Record in Web of Science")</f>
        <v>View Full Record in Web of Science</v>
      </c>
    </row>
    <row r="38" spans="1:72" x14ac:dyDescent="0.25">
      <c r="A38" t="s">
        <v>72</v>
      </c>
      <c r="B38" t="s">
        <v>10419</v>
      </c>
      <c r="C38" t="s">
        <v>74</v>
      </c>
      <c r="D38" t="s">
        <v>74</v>
      </c>
      <c r="E38" t="s">
        <v>74</v>
      </c>
      <c r="F38" t="s">
        <v>10420</v>
      </c>
      <c r="G38" t="s">
        <v>74</v>
      </c>
      <c r="H38" t="s">
        <v>74</v>
      </c>
      <c r="I38" s="1" t="s">
        <v>10421</v>
      </c>
      <c r="J38" t="s">
        <v>10422</v>
      </c>
      <c r="K38" t="s">
        <v>74</v>
      </c>
      <c r="L38" t="s">
        <v>74</v>
      </c>
      <c r="M38" t="s">
        <v>78</v>
      </c>
      <c r="N38" t="s">
        <v>79</v>
      </c>
      <c r="O38" t="s">
        <v>74</v>
      </c>
      <c r="P38" t="s">
        <v>74</v>
      </c>
      <c r="Q38" t="s">
        <v>74</v>
      </c>
      <c r="R38" t="s">
        <v>74</v>
      </c>
      <c r="S38" t="s">
        <v>74</v>
      </c>
      <c r="T38" s="1" t="s">
        <v>74</v>
      </c>
      <c r="U38" s="1" t="s">
        <v>74</v>
      </c>
      <c r="V38" s="1" t="s">
        <v>74</v>
      </c>
      <c r="W38" t="s">
        <v>10423</v>
      </c>
      <c r="X38" t="s">
        <v>10424</v>
      </c>
      <c r="Y38" t="s">
        <v>10425</v>
      </c>
      <c r="Z38" t="s">
        <v>10426</v>
      </c>
      <c r="AA38" t="s">
        <v>10427</v>
      </c>
      <c r="AB38" t="s">
        <v>74</v>
      </c>
      <c r="AC38" t="s">
        <v>74</v>
      </c>
      <c r="AD38" t="s">
        <v>74</v>
      </c>
      <c r="AE38" t="s">
        <v>74</v>
      </c>
      <c r="AF38" t="s">
        <v>74</v>
      </c>
      <c r="AG38">
        <v>0</v>
      </c>
      <c r="AH38">
        <v>52</v>
      </c>
      <c r="AI38">
        <v>52</v>
      </c>
      <c r="AJ38">
        <v>3</v>
      </c>
      <c r="AK38">
        <v>122</v>
      </c>
      <c r="AL38" t="s">
        <v>10428</v>
      </c>
      <c r="AM38" t="s">
        <v>878</v>
      </c>
      <c r="AN38" t="s">
        <v>10429</v>
      </c>
      <c r="AO38" t="s">
        <v>10430</v>
      </c>
      <c r="AP38" t="s">
        <v>74</v>
      </c>
      <c r="AQ38" t="s">
        <v>74</v>
      </c>
      <c r="AR38" t="s">
        <v>10431</v>
      </c>
      <c r="AS38" t="s">
        <v>10432</v>
      </c>
      <c r="AT38" t="s">
        <v>5396</v>
      </c>
      <c r="AU38">
        <v>2017</v>
      </c>
      <c r="AV38">
        <v>58</v>
      </c>
      <c r="AW38">
        <v>2</v>
      </c>
      <c r="AX38" t="s">
        <v>74</v>
      </c>
      <c r="AY38" t="s">
        <v>74</v>
      </c>
      <c r="AZ38" t="s">
        <v>74</v>
      </c>
      <c r="BA38" t="s">
        <v>74</v>
      </c>
      <c r="BB38">
        <v>7</v>
      </c>
      <c r="BC38">
        <v>9</v>
      </c>
      <c r="BD38" t="s">
        <v>74</v>
      </c>
      <c r="BE38" t="s">
        <v>74</v>
      </c>
      <c r="BF38" t="s">
        <v>74</v>
      </c>
      <c r="BG38" t="s">
        <v>74</v>
      </c>
      <c r="BH38" t="s">
        <v>74</v>
      </c>
      <c r="BI38">
        <v>3</v>
      </c>
      <c r="BJ38" t="s">
        <v>264</v>
      </c>
      <c r="BK38" t="s">
        <v>156</v>
      </c>
      <c r="BL38" t="s">
        <v>265</v>
      </c>
      <c r="BM38" t="s">
        <v>10433</v>
      </c>
      <c r="BN38" t="s">
        <v>74</v>
      </c>
      <c r="BO38" t="s">
        <v>74</v>
      </c>
      <c r="BP38" t="s">
        <v>74</v>
      </c>
      <c r="BQ38" t="s">
        <v>74</v>
      </c>
      <c r="BR38" t="s">
        <v>106</v>
      </c>
      <c r="BS38" t="s">
        <v>10434</v>
      </c>
      <c r="BT38" t="str">
        <f>HYPERLINK("https%3A%2F%2Fwww.webofscience.com%2Fwos%2Fwoscc%2Ffull-record%2FWOS:000389869600001","View Full Record in Web of Science")</f>
        <v>View Full Record in Web of Science</v>
      </c>
    </row>
    <row r="39" spans="1:72" x14ac:dyDescent="0.25">
      <c r="A39" t="s">
        <v>72</v>
      </c>
      <c r="B39" t="s">
        <v>6163</v>
      </c>
      <c r="C39" t="s">
        <v>74</v>
      </c>
      <c r="D39" t="s">
        <v>74</v>
      </c>
      <c r="E39" t="s">
        <v>74</v>
      </c>
      <c r="F39" t="s">
        <v>6164</v>
      </c>
      <c r="G39" t="s">
        <v>74</v>
      </c>
      <c r="H39" t="s">
        <v>74</v>
      </c>
      <c r="I39" s="1" t="s">
        <v>6165</v>
      </c>
      <c r="J39" t="s">
        <v>321</v>
      </c>
      <c r="K39" t="s">
        <v>74</v>
      </c>
      <c r="L39" t="s">
        <v>74</v>
      </c>
      <c r="M39" t="s">
        <v>78</v>
      </c>
      <c r="N39" t="s">
        <v>79</v>
      </c>
      <c r="O39" t="s">
        <v>74</v>
      </c>
      <c r="P39" t="s">
        <v>74</v>
      </c>
      <c r="Q39" t="s">
        <v>74</v>
      </c>
      <c r="R39" t="s">
        <v>74</v>
      </c>
      <c r="S39" t="s">
        <v>74</v>
      </c>
      <c r="T39" s="1" t="s">
        <v>6166</v>
      </c>
      <c r="U39" s="1" t="s">
        <v>6167</v>
      </c>
      <c r="V39" s="1" t="s">
        <v>6168</v>
      </c>
      <c r="W39" t="s">
        <v>6169</v>
      </c>
      <c r="X39" t="s">
        <v>6170</v>
      </c>
      <c r="Y39" t="s">
        <v>6171</v>
      </c>
      <c r="Z39" t="s">
        <v>6172</v>
      </c>
      <c r="AA39" t="s">
        <v>74</v>
      </c>
      <c r="AB39" t="s">
        <v>6173</v>
      </c>
      <c r="AC39" t="s">
        <v>6174</v>
      </c>
      <c r="AD39" t="s">
        <v>6174</v>
      </c>
      <c r="AE39" t="s">
        <v>6175</v>
      </c>
      <c r="AF39" t="s">
        <v>74</v>
      </c>
      <c r="AG39">
        <v>146</v>
      </c>
      <c r="AH39">
        <v>49</v>
      </c>
      <c r="AI39">
        <v>49</v>
      </c>
      <c r="AJ39">
        <v>41</v>
      </c>
      <c r="AK39">
        <v>254</v>
      </c>
      <c r="AL39" t="s">
        <v>332</v>
      </c>
      <c r="AM39" t="s">
        <v>122</v>
      </c>
      <c r="AN39" t="s">
        <v>333</v>
      </c>
      <c r="AO39" t="s">
        <v>334</v>
      </c>
      <c r="AP39" t="s">
        <v>335</v>
      </c>
      <c r="AQ39" t="s">
        <v>74</v>
      </c>
      <c r="AR39" t="s">
        <v>336</v>
      </c>
      <c r="AS39" t="s">
        <v>337</v>
      </c>
      <c r="AT39" t="s">
        <v>208</v>
      </c>
      <c r="AU39">
        <v>2021</v>
      </c>
      <c r="AV39">
        <v>171</v>
      </c>
      <c r="AW39" t="s">
        <v>74</v>
      </c>
      <c r="AX39" t="s">
        <v>74</v>
      </c>
      <c r="AY39" t="s">
        <v>74</v>
      </c>
      <c r="AZ39" t="s">
        <v>74</v>
      </c>
      <c r="BA39" t="s">
        <v>74</v>
      </c>
      <c r="BB39" t="s">
        <v>74</v>
      </c>
      <c r="BC39" t="s">
        <v>74</v>
      </c>
      <c r="BD39">
        <v>120961</v>
      </c>
      <c r="BE39" t="s">
        <v>6176</v>
      </c>
      <c r="BF39" t="str">
        <f>HYPERLINK("http://dx.doi.org/10.1016/j.techfore.2021.120961","http://dx.doi.org/10.1016/j.techfore.2021.120961")</f>
        <v>http://dx.doi.org/10.1016/j.techfore.2021.120961</v>
      </c>
      <c r="BG39" t="s">
        <v>74</v>
      </c>
      <c r="BH39" t="s">
        <v>6177</v>
      </c>
      <c r="BI39">
        <v>15</v>
      </c>
      <c r="BJ39" t="s">
        <v>339</v>
      </c>
      <c r="BK39" t="s">
        <v>156</v>
      </c>
      <c r="BL39" t="s">
        <v>340</v>
      </c>
      <c r="BM39" t="s">
        <v>6178</v>
      </c>
      <c r="BN39" t="s">
        <v>74</v>
      </c>
      <c r="BO39" t="s">
        <v>1539</v>
      </c>
      <c r="BP39" t="s">
        <v>74</v>
      </c>
      <c r="BQ39" t="s">
        <v>74</v>
      </c>
      <c r="BR39" t="s">
        <v>106</v>
      </c>
      <c r="BS39" t="s">
        <v>6179</v>
      </c>
      <c r="BT39" t="str">
        <f>HYPERLINK("https%3A%2F%2Fwww.webofscience.com%2Fwos%2Fwoscc%2Ffull-record%2FWOS:000681245200014","View Full Record in Web of Science")</f>
        <v>View Full Record in Web of Science</v>
      </c>
    </row>
    <row r="40" spans="1:72" x14ac:dyDescent="0.25">
      <c r="A40" t="s">
        <v>72</v>
      </c>
      <c r="B40" t="s">
        <v>9307</v>
      </c>
      <c r="C40" t="s">
        <v>74</v>
      </c>
      <c r="D40" t="s">
        <v>74</v>
      </c>
      <c r="E40" t="s">
        <v>74</v>
      </c>
      <c r="F40" t="s">
        <v>9308</v>
      </c>
      <c r="G40" t="s">
        <v>74</v>
      </c>
      <c r="H40" t="s">
        <v>74</v>
      </c>
      <c r="I40" s="1" t="s">
        <v>10392</v>
      </c>
      <c r="J40" t="s">
        <v>9310</v>
      </c>
      <c r="K40" t="s">
        <v>74</v>
      </c>
      <c r="L40" t="s">
        <v>74</v>
      </c>
      <c r="M40" t="s">
        <v>78</v>
      </c>
      <c r="N40" t="s">
        <v>79</v>
      </c>
      <c r="O40" t="s">
        <v>74</v>
      </c>
      <c r="P40" t="s">
        <v>74</v>
      </c>
      <c r="Q40" t="s">
        <v>74</v>
      </c>
      <c r="R40" t="s">
        <v>74</v>
      </c>
      <c r="S40" t="s">
        <v>74</v>
      </c>
      <c r="T40" s="1" t="s">
        <v>10393</v>
      </c>
      <c r="U40" s="1" t="s">
        <v>10394</v>
      </c>
      <c r="V40" s="1" t="s">
        <v>10395</v>
      </c>
      <c r="W40" t="s">
        <v>10396</v>
      </c>
      <c r="X40" t="s">
        <v>9315</v>
      </c>
      <c r="Y40" t="s">
        <v>9316</v>
      </c>
      <c r="Z40" t="s">
        <v>74</v>
      </c>
      <c r="AA40" t="s">
        <v>74</v>
      </c>
      <c r="AB40" t="s">
        <v>74</v>
      </c>
      <c r="AC40" t="s">
        <v>74</v>
      </c>
      <c r="AD40" t="s">
        <v>74</v>
      </c>
      <c r="AE40" t="s">
        <v>74</v>
      </c>
      <c r="AF40" t="s">
        <v>74</v>
      </c>
      <c r="AG40">
        <v>97</v>
      </c>
      <c r="AH40">
        <v>47</v>
      </c>
      <c r="AI40">
        <v>48</v>
      </c>
      <c r="AJ40">
        <v>1</v>
      </c>
      <c r="AK40">
        <v>26</v>
      </c>
      <c r="AL40" t="s">
        <v>9318</v>
      </c>
      <c r="AM40" t="s">
        <v>693</v>
      </c>
      <c r="AN40" t="s">
        <v>9319</v>
      </c>
      <c r="AO40" t="s">
        <v>9320</v>
      </c>
      <c r="AP40" t="s">
        <v>74</v>
      </c>
      <c r="AQ40" t="s">
        <v>74</v>
      </c>
      <c r="AR40" t="s">
        <v>9321</v>
      </c>
      <c r="AS40" t="s">
        <v>9322</v>
      </c>
      <c r="AT40" t="s">
        <v>476</v>
      </c>
      <c r="AU40">
        <v>2017</v>
      </c>
      <c r="AV40">
        <v>6</v>
      </c>
      <c r="AW40">
        <v>4</v>
      </c>
      <c r="AX40" t="s">
        <v>74</v>
      </c>
      <c r="AY40" t="s">
        <v>74</v>
      </c>
      <c r="AZ40" t="s">
        <v>1020</v>
      </c>
      <c r="BA40" t="s">
        <v>74</v>
      </c>
      <c r="BB40" t="s">
        <v>74</v>
      </c>
      <c r="BC40" t="s">
        <v>74</v>
      </c>
      <c r="BD40" t="s">
        <v>74</v>
      </c>
      <c r="BE40" t="s">
        <v>10397</v>
      </c>
      <c r="BF40" t="str">
        <f>HYPERLINK("http://dx.doi.org/10.14763/2017.4.773","http://dx.doi.org/10.14763/2017.4.773")</f>
        <v>http://dx.doi.org/10.14763/2017.4.773</v>
      </c>
      <c r="BG40" t="s">
        <v>74</v>
      </c>
      <c r="BH40" t="s">
        <v>74</v>
      </c>
      <c r="BI40">
        <v>20</v>
      </c>
      <c r="BJ40" t="s">
        <v>9324</v>
      </c>
      <c r="BK40" t="s">
        <v>183</v>
      </c>
      <c r="BL40" t="s">
        <v>9325</v>
      </c>
      <c r="BM40" t="s">
        <v>10398</v>
      </c>
      <c r="BN40" t="s">
        <v>74</v>
      </c>
      <c r="BO40" t="s">
        <v>2162</v>
      </c>
      <c r="BP40" t="s">
        <v>74</v>
      </c>
      <c r="BQ40" t="s">
        <v>74</v>
      </c>
      <c r="BR40" t="s">
        <v>106</v>
      </c>
      <c r="BS40" t="s">
        <v>10399</v>
      </c>
      <c r="BT40" t="str">
        <f>HYPERLINK("https%3A%2F%2Fwww.webofscience.com%2Fwos%2Fwoscc%2Ffull-record%2FWOS:000424578800007","View Full Record in Web of Science")</f>
        <v>View Full Record in Web of Science</v>
      </c>
    </row>
    <row r="41" spans="1:72" x14ac:dyDescent="0.25">
      <c r="A41" t="s">
        <v>72</v>
      </c>
      <c r="B41" t="s">
        <v>4538</v>
      </c>
      <c r="C41" t="s">
        <v>74</v>
      </c>
      <c r="D41" t="s">
        <v>74</v>
      </c>
      <c r="E41" t="s">
        <v>74</v>
      </c>
      <c r="F41" t="s">
        <v>4539</v>
      </c>
      <c r="G41" t="s">
        <v>74</v>
      </c>
      <c r="H41" t="s">
        <v>74</v>
      </c>
      <c r="I41" s="1" t="s">
        <v>4540</v>
      </c>
      <c r="J41" t="s">
        <v>4541</v>
      </c>
      <c r="K41" t="s">
        <v>74</v>
      </c>
      <c r="L41" t="s">
        <v>74</v>
      </c>
      <c r="M41" t="s">
        <v>78</v>
      </c>
      <c r="N41" t="s">
        <v>79</v>
      </c>
      <c r="O41" t="s">
        <v>74</v>
      </c>
      <c r="P41" t="s">
        <v>74</v>
      </c>
      <c r="Q41" t="s">
        <v>74</v>
      </c>
      <c r="R41" t="s">
        <v>74</v>
      </c>
      <c r="S41" t="s">
        <v>74</v>
      </c>
      <c r="T41" s="1" t="s">
        <v>4542</v>
      </c>
      <c r="U41" s="1" t="s">
        <v>4543</v>
      </c>
      <c r="V41" s="1" t="s">
        <v>4544</v>
      </c>
      <c r="W41" t="s">
        <v>4545</v>
      </c>
      <c r="X41" t="s">
        <v>4546</v>
      </c>
      <c r="Y41" t="s">
        <v>4547</v>
      </c>
      <c r="Z41" t="s">
        <v>4548</v>
      </c>
      <c r="AA41" t="s">
        <v>4549</v>
      </c>
      <c r="AB41" t="s">
        <v>4550</v>
      </c>
      <c r="AC41" t="s">
        <v>4551</v>
      </c>
      <c r="AD41" t="s">
        <v>4552</v>
      </c>
      <c r="AE41" t="s">
        <v>4553</v>
      </c>
      <c r="AF41" t="s">
        <v>74</v>
      </c>
      <c r="AG41">
        <v>107</v>
      </c>
      <c r="AH41">
        <v>38</v>
      </c>
      <c r="AI41">
        <v>38</v>
      </c>
      <c r="AJ41">
        <v>187</v>
      </c>
      <c r="AK41">
        <v>605</v>
      </c>
      <c r="AL41" t="s">
        <v>1636</v>
      </c>
      <c r="AM41" t="s">
        <v>93</v>
      </c>
      <c r="AN41" t="s">
        <v>1637</v>
      </c>
      <c r="AO41" t="s">
        <v>4554</v>
      </c>
      <c r="AP41" t="s">
        <v>4555</v>
      </c>
      <c r="AQ41" t="s">
        <v>74</v>
      </c>
      <c r="AR41" t="s">
        <v>4556</v>
      </c>
      <c r="AS41" t="s">
        <v>4557</v>
      </c>
      <c r="AT41" t="s">
        <v>626</v>
      </c>
      <c r="AU41">
        <v>2022</v>
      </c>
      <c r="AV41">
        <v>65</v>
      </c>
      <c r="AW41" t="s">
        <v>74</v>
      </c>
      <c r="AX41" t="s">
        <v>74</v>
      </c>
      <c r="AY41" t="s">
        <v>74</v>
      </c>
      <c r="AZ41" t="s">
        <v>74</v>
      </c>
      <c r="BA41" t="s">
        <v>74</v>
      </c>
      <c r="BB41" t="s">
        <v>74</v>
      </c>
      <c r="BC41" t="s">
        <v>74</v>
      </c>
      <c r="BD41">
        <v>102513</v>
      </c>
      <c r="BE41" t="s">
        <v>4558</v>
      </c>
      <c r="BF41" t="str">
        <f>HYPERLINK("http://dx.doi.org/10.1016/j.ijinfomgt.2022.102513","http://dx.doi.org/10.1016/j.ijinfomgt.2022.102513")</f>
        <v>http://dx.doi.org/10.1016/j.ijinfomgt.2022.102513</v>
      </c>
      <c r="BG41" t="s">
        <v>74</v>
      </c>
      <c r="BH41" t="s">
        <v>4559</v>
      </c>
      <c r="BI41">
        <v>13</v>
      </c>
      <c r="BJ41" t="s">
        <v>3050</v>
      </c>
      <c r="BK41" t="s">
        <v>156</v>
      </c>
      <c r="BL41" t="s">
        <v>3050</v>
      </c>
      <c r="BM41" t="s">
        <v>4560</v>
      </c>
      <c r="BN41" t="s">
        <v>74</v>
      </c>
      <c r="BO41" t="s">
        <v>74</v>
      </c>
      <c r="BP41" t="s">
        <v>74</v>
      </c>
      <c r="BQ41" t="s">
        <v>74</v>
      </c>
      <c r="BR41" t="s">
        <v>106</v>
      </c>
      <c r="BS41" t="s">
        <v>4561</v>
      </c>
      <c r="BT41" t="str">
        <f>HYPERLINK("https%3A%2F%2Fwww.webofscience.com%2Fwos%2Fwoscc%2Ffull-record%2FWOS:000791289200008","View Full Record in Web of Science")</f>
        <v>View Full Record in Web of Science</v>
      </c>
    </row>
    <row r="42" spans="1:72" x14ac:dyDescent="0.25">
      <c r="A42" t="s">
        <v>72</v>
      </c>
      <c r="B42" t="s">
        <v>6627</v>
      </c>
      <c r="C42" t="s">
        <v>74</v>
      </c>
      <c r="D42" t="s">
        <v>74</v>
      </c>
      <c r="E42" t="s">
        <v>74</v>
      </c>
      <c r="F42" t="s">
        <v>6628</v>
      </c>
      <c r="G42" t="s">
        <v>74</v>
      </c>
      <c r="H42" t="s">
        <v>74</v>
      </c>
      <c r="I42" s="1" t="s">
        <v>6629</v>
      </c>
      <c r="J42" t="s">
        <v>4022</v>
      </c>
      <c r="K42" t="s">
        <v>74</v>
      </c>
      <c r="L42" t="s">
        <v>74</v>
      </c>
      <c r="M42" t="s">
        <v>78</v>
      </c>
      <c r="N42" t="s">
        <v>112</v>
      </c>
      <c r="O42" t="s">
        <v>74</v>
      </c>
      <c r="P42" t="s">
        <v>74</v>
      </c>
      <c r="Q42" t="s">
        <v>74</v>
      </c>
      <c r="R42" t="s">
        <v>74</v>
      </c>
      <c r="S42" t="s">
        <v>74</v>
      </c>
      <c r="T42" s="1" t="s">
        <v>6630</v>
      </c>
      <c r="U42" s="1" t="s">
        <v>74</v>
      </c>
      <c r="V42" s="1" t="s">
        <v>6631</v>
      </c>
      <c r="W42" t="s">
        <v>6632</v>
      </c>
      <c r="X42" t="s">
        <v>6633</v>
      </c>
      <c r="Y42" t="s">
        <v>6634</v>
      </c>
      <c r="Z42" t="s">
        <v>6635</v>
      </c>
      <c r="AA42" t="s">
        <v>74</v>
      </c>
      <c r="AB42" t="s">
        <v>6636</v>
      </c>
      <c r="AC42" t="s">
        <v>74</v>
      </c>
      <c r="AD42" t="s">
        <v>74</v>
      </c>
      <c r="AE42" t="s">
        <v>74</v>
      </c>
      <c r="AF42" t="s">
        <v>74</v>
      </c>
      <c r="AG42">
        <v>110</v>
      </c>
      <c r="AH42">
        <v>38</v>
      </c>
      <c r="AI42">
        <v>39</v>
      </c>
      <c r="AJ42">
        <v>53</v>
      </c>
      <c r="AK42">
        <v>394</v>
      </c>
      <c r="AL42" t="s">
        <v>3188</v>
      </c>
      <c r="AM42" t="s">
        <v>3189</v>
      </c>
      <c r="AN42" t="s">
        <v>3190</v>
      </c>
      <c r="AO42" t="s">
        <v>4031</v>
      </c>
      <c r="AP42" t="s">
        <v>4032</v>
      </c>
      <c r="AQ42" t="s">
        <v>74</v>
      </c>
      <c r="AR42" t="s">
        <v>4033</v>
      </c>
      <c r="AS42" t="s">
        <v>4034</v>
      </c>
      <c r="AT42" t="s">
        <v>6637</v>
      </c>
      <c r="AU42">
        <v>2021</v>
      </c>
      <c r="AV42" t="s">
        <v>74</v>
      </c>
      <c r="AW42" t="s">
        <v>74</v>
      </c>
      <c r="AX42" t="s">
        <v>74</v>
      </c>
      <c r="AY42" t="s">
        <v>74</v>
      </c>
      <c r="AZ42" t="s">
        <v>74</v>
      </c>
      <c r="BA42" t="s">
        <v>74</v>
      </c>
      <c r="BB42" t="s">
        <v>74</v>
      </c>
      <c r="BC42" t="s">
        <v>74</v>
      </c>
      <c r="BD42" t="s">
        <v>74</v>
      </c>
      <c r="BE42" t="s">
        <v>6638</v>
      </c>
      <c r="BF42" t="str">
        <f>HYPERLINK("http://dx.doi.org/10.1080/00472778.2021.1883036","http://dx.doi.org/10.1080/00472778.2021.1883036")</f>
        <v>http://dx.doi.org/10.1080/00472778.2021.1883036</v>
      </c>
      <c r="BG42" t="s">
        <v>74</v>
      </c>
      <c r="BH42" t="s">
        <v>6639</v>
      </c>
      <c r="BI42">
        <v>29</v>
      </c>
      <c r="BJ42" t="s">
        <v>315</v>
      </c>
      <c r="BK42" t="s">
        <v>156</v>
      </c>
      <c r="BL42" t="s">
        <v>265</v>
      </c>
      <c r="BM42" t="s">
        <v>6640</v>
      </c>
      <c r="BN42" t="s">
        <v>74</v>
      </c>
      <c r="BO42" t="s">
        <v>2623</v>
      </c>
      <c r="BP42" t="s">
        <v>74</v>
      </c>
      <c r="BQ42" t="s">
        <v>74</v>
      </c>
      <c r="BR42" t="s">
        <v>106</v>
      </c>
      <c r="BS42" t="s">
        <v>6641</v>
      </c>
      <c r="BT42" t="str">
        <f>HYPERLINK("https%3A%2F%2Fwww.webofscience.com%2Fwos%2Fwoscc%2Ffull-record%2FWOS:000629423000001","View Full Record in Web of Science")</f>
        <v>View Full Record in Web of Science</v>
      </c>
    </row>
    <row r="43" spans="1:72" x14ac:dyDescent="0.25">
      <c r="A43" t="s">
        <v>72</v>
      </c>
      <c r="B43" t="s">
        <v>11702</v>
      </c>
      <c r="C43" t="s">
        <v>74</v>
      </c>
      <c r="D43" t="s">
        <v>74</v>
      </c>
      <c r="E43" t="s">
        <v>74</v>
      </c>
      <c r="F43" t="s">
        <v>11703</v>
      </c>
      <c r="G43" t="s">
        <v>74</v>
      </c>
      <c r="H43" t="s">
        <v>74</v>
      </c>
      <c r="I43" s="1" t="s">
        <v>11704</v>
      </c>
      <c r="J43" t="s">
        <v>11705</v>
      </c>
      <c r="K43" t="s">
        <v>74</v>
      </c>
      <c r="L43" t="s">
        <v>74</v>
      </c>
      <c r="M43" t="s">
        <v>78</v>
      </c>
      <c r="N43" t="s">
        <v>79</v>
      </c>
      <c r="O43" t="s">
        <v>74</v>
      </c>
      <c r="P43" t="s">
        <v>74</v>
      </c>
      <c r="Q43" t="s">
        <v>74</v>
      </c>
      <c r="R43" t="s">
        <v>74</v>
      </c>
      <c r="S43" t="s">
        <v>74</v>
      </c>
      <c r="T43" s="1" t="s">
        <v>11706</v>
      </c>
      <c r="U43" s="1" t="s">
        <v>11707</v>
      </c>
      <c r="V43" s="1" t="s">
        <v>11708</v>
      </c>
      <c r="W43" t="s">
        <v>11709</v>
      </c>
      <c r="X43" t="s">
        <v>11710</v>
      </c>
      <c r="Y43" t="s">
        <v>11711</v>
      </c>
      <c r="Z43" t="s">
        <v>11412</v>
      </c>
      <c r="AA43" t="s">
        <v>11712</v>
      </c>
      <c r="AB43" t="s">
        <v>11713</v>
      </c>
      <c r="AC43" t="s">
        <v>74</v>
      </c>
      <c r="AD43" t="s">
        <v>74</v>
      </c>
      <c r="AE43" t="s">
        <v>74</v>
      </c>
      <c r="AF43" t="s">
        <v>74</v>
      </c>
      <c r="AG43">
        <v>37</v>
      </c>
      <c r="AH43">
        <v>37</v>
      </c>
      <c r="AI43">
        <v>37</v>
      </c>
      <c r="AJ43">
        <v>1</v>
      </c>
      <c r="AK43">
        <v>38</v>
      </c>
      <c r="AL43" t="s">
        <v>715</v>
      </c>
      <c r="AM43" t="s">
        <v>716</v>
      </c>
      <c r="AN43" t="s">
        <v>717</v>
      </c>
      <c r="AO43" t="s">
        <v>11714</v>
      </c>
      <c r="AP43" t="s">
        <v>11715</v>
      </c>
      <c r="AQ43" t="s">
        <v>74</v>
      </c>
      <c r="AR43" t="s">
        <v>11716</v>
      </c>
      <c r="AS43" t="s">
        <v>11717</v>
      </c>
      <c r="AT43" t="s">
        <v>74</v>
      </c>
      <c r="AU43">
        <v>2015</v>
      </c>
      <c r="AV43">
        <v>9</v>
      </c>
      <c r="AW43">
        <v>2</v>
      </c>
      <c r="AX43" t="s">
        <v>74</v>
      </c>
      <c r="AY43" t="s">
        <v>74</v>
      </c>
      <c r="AZ43" t="s">
        <v>1020</v>
      </c>
      <c r="BA43" t="s">
        <v>74</v>
      </c>
      <c r="BB43">
        <v>110</v>
      </c>
      <c r="BC43">
        <v>128</v>
      </c>
      <c r="BD43" t="s">
        <v>74</v>
      </c>
      <c r="BE43" t="s">
        <v>11718</v>
      </c>
      <c r="BF43" t="str">
        <f>HYPERLINK("http://dx.doi.org/10.1108/JRIM-06-2014-0039","http://dx.doi.org/10.1108/JRIM-06-2014-0039")</f>
        <v>http://dx.doi.org/10.1108/JRIM-06-2014-0039</v>
      </c>
      <c r="BG43" t="s">
        <v>74</v>
      </c>
      <c r="BH43" t="s">
        <v>74</v>
      </c>
      <c r="BI43">
        <v>19</v>
      </c>
      <c r="BJ43" t="s">
        <v>1023</v>
      </c>
      <c r="BK43" t="s">
        <v>183</v>
      </c>
      <c r="BL43" t="s">
        <v>265</v>
      </c>
      <c r="BM43" t="s">
        <v>11719</v>
      </c>
      <c r="BN43" t="s">
        <v>74</v>
      </c>
      <c r="BO43" t="s">
        <v>74</v>
      </c>
      <c r="BP43" t="s">
        <v>74</v>
      </c>
      <c r="BQ43" t="s">
        <v>74</v>
      </c>
      <c r="BR43" t="s">
        <v>106</v>
      </c>
      <c r="BS43" t="s">
        <v>11720</v>
      </c>
      <c r="BT43" t="str">
        <f>HYPERLINK("https%3A%2F%2Fwww.webofscience.com%2Fwos%2Fwoscc%2Ffull-record%2FWOS:000358051200003","View Full Record in Web of Science")</f>
        <v>View Full Record in Web of Science</v>
      </c>
    </row>
    <row r="44" spans="1:72" x14ac:dyDescent="0.25">
      <c r="A44" t="s">
        <v>72</v>
      </c>
      <c r="B44" t="s">
        <v>12894</v>
      </c>
      <c r="C44" t="s">
        <v>74</v>
      </c>
      <c r="D44" t="s">
        <v>74</v>
      </c>
      <c r="E44" t="s">
        <v>74</v>
      </c>
      <c r="F44" t="s">
        <v>12894</v>
      </c>
      <c r="G44" t="s">
        <v>74</v>
      </c>
      <c r="H44" t="s">
        <v>74</v>
      </c>
      <c r="I44" s="1" t="s">
        <v>12895</v>
      </c>
      <c r="J44" t="s">
        <v>12896</v>
      </c>
      <c r="K44" t="s">
        <v>74</v>
      </c>
      <c r="L44" t="s">
        <v>74</v>
      </c>
      <c r="M44" t="s">
        <v>78</v>
      </c>
      <c r="N44" t="s">
        <v>79</v>
      </c>
      <c r="O44" t="s">
        <v>74</v>
      </c>
      <c r="P44" t="s">
        <v>74</v>
      </c>
      <c r="Q44" t="s">
        <v>74</v>
      </c>
      <c r="R44" t="s">
        <v>74</v>
      </c>
      <c r="S44" t="s">
        <v>74</v>
      </c>
      <c r="T44" s="1" t="s">
        <v>12897</v>
      </c>
      <c r="U44" s="1" t="s">
        <v>12898</v>
      </c>
      <c r="V44" s="1" t="s">
        <v>12899</v>
      </c>
      <c r="W44" t="s">
        <v>12900</v>
      </c>
      <c r="X44" t="s">
        <v>12901</v>
      </c>
      <c r="Y44" t="s">
        <v>12902</v>
      </c>
      <c r="Z44" t="s">
        <v>74</v>
      </c>
      <c r="AA44" t="s">
        <v>74</v>
      </c>
      <c r="AB44" t="s">
        <v>74</v>
      </c>
      <c r="AC44" t="s">
        <v>74</v>
      </c>
      <c r="AD44" t="s">
        <v>74</v>
      </c>
      <c r="AE44" t="s">
        <v>74</v>
      </c>
      <c r="AF44" t="s">
        <v>74</v>
      </c>
      <c r="AG44">
        <v>26</v>
      </c>
      <c r="AH44">
        <v>37</v>
      </c>
      <c r="AI44">
        <v>37</v>
      </c>
      <c r="AJ44">
        <v>0</v>
      </c>
      <c r="AK44">
        <v>0</v>
      </c>
      <c r="AL44" t="s">
        <v>12903</v>
      </c>
      <c r="AM44" t="s">
        <v>12904</v>
      </c>
      <c r="AN44" t="s">
        <v>12905</v>
      </c>
      <c r="AO44" t="s">
        <v>12906</v>
      </c>
      <c r="AP44" t="s">
        <v>74</v>
      </c>
      <c r="AQ44" t="s">
        <v>74</v>
      </c>
      <c r="AR44" t="s">
        <v>12907</v>
      </c>
      <c r="AS44" t="s">
        <v>12908</v>
      </c>
      <c r="AT44" t="s">
        <v>1138</v>
      </c>
      <c r="AU44">
        <v>1995</v>
      </c>
      <c r="AV44">
        <v>3</v>
      </c>
      <c r="AW44">
        <v>2</v>
      </c>
      <c r="AX44" t="s">
        <v>74</v>
      </c>
      <c r="AY44" t="s">
        <v>74</v>
      </c>
      <c r="AZ44" t="s">
        <v>74</v>
      </c>
      <c r="BA44" t="s">
        <v>74</v>
      </c>
      <c r="BB44">
        <v>95</v>
      </c>
      <c r="BC44">
        <v>108</v>
      </c>
      <c r="BD44" t="s">
        <v>74</v>
      </c>
      <c r="BE44" t="s">
        <v>74</v>
      </c>
      <c r="BF44" t="s">
        <v>74</v>
      </c>
      <c r="BG44" t="s">
        <v>74</v>
      </c>
      <c r="BH44" t="s">
        <v>74</v>
      </c>
      <c r="BI44">
        <v>14</v>
      </c>
      <c r="BJ44" t="s">
        <v>12909</v>
      </c>
      <c r="BK44" t="s">
        <v>102</v>
      </c>
      <c r="BL44" t="s">
        <v>103</v>
      </c>
      <c r="BM44" t="s">
        <v>12910</v>
      </c>
      <c r="BN44" t="s">
        <v>74</v>
      </c>
      <c r="BO44" t="s">
        <v>74</v>
      </c>
      <c r="BP44" t="s">
        <v>74</v>
      </c>
      <c r="BQ44" t="s">
        <v>74</v>
      </c>
      <c r="BR44" t="s">
        <v>106</v>
      </c>
      <c r="BS44" t="s">
        <v>12911</v>
      </c>
      <c r="BT44" t="str">
        <f>HYPERLINK("https%3A%2F%2Fwww.webofscience.com%2Fwos%2Fwoscc%2Ffull-record%2FWOS:A1995RE97000004","View Full Record in Web of Science")</f>
        <v>View Full Record in Web of Science</v>
      </c>
    </row>
    <row r="45" spans="1:72" x14ac:dyDescent="0.25">
      <c r="A45" t="s">
        <v>72</v>
      </c>
      <c r="B45" t="s">
        <v>3026</v>
      </c>
      <c r="C45" t="s">
        <v>74</v>
      </c>
      <c r="D45" t="s">
        <v>74</v>
      </c>
      <c r="E45" t="s">
        <v>74</v>
      </c>
      <c r="F45" t="s">
        <v>3027</v>
      </c>
      <c r="G45" t="s">
        <v>74</v>
      </c>
      <c r="H45" t="s">
        <v>74</v>
      </c>
      <c r="I45" s="1" t="s">
        <v>3028</v>
      </c>
      <c r="J45" t="s">
        <v>3029</v>
      </c>
      <c r="K45" t="s">
        <v>74</v>
      </c>
      <c r="L45" t="s">
        <v>74</v>
      </c>
      <c r="M45" t="s">
        <v>78</v>
      </c>
      <c r="N45" t="s">
        <v>79</v>
      </c>
      <c r="O45" t="s">
        <v>74</v>
      </c>
      <c r="P45" t="s">
        <v>74</v>
      </c>
      <c r="Q45" t="s">
        <v>74</v>
      </c>
      <c r="R45" t="s">
        <v>74</v>
      </c>
      <c r="S45" t="s">
        <v>74</v>
      </c>
      <c r="T45" s="1" t="s">
        <v>3030</v>
      </c>
      <c r="U45" s="1" t="s">
        <v>3031</v>
      </c>
      <c r="V45" s="1" t="s">
        <v>3032</v>
      </c>
      <c r="W45" t="s">
        <v>3033</v>
      </c>
      <c r="X45" t="s">
        <v>3034</v>
      </c>
      <c r="Y45" t="s">
        <v>3035</v>
      </c>
      <c r="Z45" t="s">
        <v>3036</v>
      </c>
      <c r="AA45" t="s">
        <v>3037</v>
      </c>
      <c r="AB45" t="s">
        <v>3038</v>
      </c>
      <c r="AC45" t="s">
        <v>3039</v>
      </c>
      <c r="AD45" t="s">
        <v>3040</v>
      </c>
      <c r="AE45" t="s">
        <v>3041</v>
      </c>
      <c r="AF45" t="s">
        <v>74</v>
      </c>
      <c r="AG45">
        <v>94</v>
      </c>
      <c r="AH45">
        <v>35</v>
      </c>
      <c r="AI45">
        <v>35</v>
      </c>
      <c r="AJ45">
        <v>57</v>
      </c>
      <c r="AK45">
        <v>114</v>
      </c>
      <c r="AL45" t="s">
        <v>3042</v>
      </c>
      <c r="AM45" t="s">
        <v>285</v>
      </c>
      <c r="AN45" t="s">
        <v>3043</v>
      </c>
      <c r="AO45" t="s">
        <v>3044</v>
      </c>
      <c r="AP45" t="s">
        <v>3045</v>
      </c>
      <c r="AQ45" t="s">
        <v>74</v>
      </c>
      <c r="AR45" t="s">
        <v>3046</v>
      </c>
      <c r="AS45" t="s">
        <v>3047</v>
      </c>
      <c r="AT45" t="s">
        <v>208</v>
      </c>
      <c r="AU45">
        <v>2022</v>
      </c>
      <c r="AV45">
        <v>39</v>
      </c>
      <c r="AW45">
        <v>4</v>
      </c>
      <c r="AX45" t="s">
        <v>74</v>
      </c>
      <c r="AY45" t="s">
        <v>74</v>
      </c>
      <c r="AZ45" t="s">
        <v>74</v>
      </c>
      <c r="BA45" t="s">
        <v>74</v>
      </c>
      <c r="BB45" t="s">
        <v>74</v>
      </c>
      <c r="BC45" t="s">
        <v>74</v>
      </c>
      <c r="BD45">
        <v>101596</v>
      </c>
      <c r="BE45" t="s">
        <v>3048</v>
      </c>
      <c r="BF45" t="str">
        <f>HYPERLINK("http://dx.doi.org/10.1016/j.giq.2021.101596","http://dx.doi.org/10.1016/j.giq.2021.101596")</f>
        <v>http://dx.doi.org/10.1016/j.giq.2021.101596</v>
      </c>
      <c r="BG45" t="s">
        <v>74</v>
      </c>
      <c r="BH45" t="s">
        <v>3049</v>
      </c>
      <c r="BI45">
        <v>15</v>
      </c>
      <c r="BJ45" t="s">
        <v>3050</v>
      </c>
      <c r="BK45" t="s">
        <v>156</v>
      </c>
      <c r="BL45" t="s">
        <v>3050</v>
      </c>
      <c r="BM45" t="s">
        <v>3051</v>
      </c>
      <c r="BN45" t="s">
        <v>74</v>
      </c>
      <c r="BO45" t="s">
        <v>105</v>
      </c>
      <c r="BP45" t="s">
        <v>74</v>
      </c>
      <c r="BQ45" t="s">
        <v>74</v>
      </c>
      <c r="BR45" t="s">
        <v>106</v>
      </c>
      <c r="BS45" t="s">
        <v>3052</v>
      </c>
      <c r="BT45" t="str">
        <f>HYPERLINK("https%3A%2F%2Fwww.webofscience.com%2Fwos%2Fwoscc%2Ffull-record%2FWOS:000888846500001","View Full Record in Web of Science")</f>
        <v>View Full Record in Web of Science</v>
      </c>
    </row>
    <row r="46" spans="1:72" x14ac:dyDescent="0.25">
      <c r="A46" t="s">
        <v>72</v>
      </c>
      <c r="B46" t="s">
        <v>10753</v>
      </c>
      <c r="C46" t="s">
        <v>74</v>
      </c>
      <c r="D46" t="s">
        <v>74</v>
      </c>
      <c r="E46" t="s">
        <v>74</v>
      </c>
      <c r="F46" t="s">
        <v>10754</v>
      </c>
      <c r="G46" t="s">
        <v>74</v>
      </c>
      <c r="H46" t="s">
        <v>74</v>
      </c>
      <c r="I46" s="1" t="s">
        <v>10755</v>
      </c>
      <c r="J46" t="s">
        <v>573</v>
      </c>
      <c r="K46" t="s">
        <v>74</v>
      </c>
      <c r="L46" t="s">
        <v>74</v>
      </c>
      <c r="M46" t="s">
        <v>78</v>
      </c>
      <c r="N46" t="s">
        <v>79</v>
      </c>
      <c r="O46" t="s">
        <v>74</v>
      </c>
      <c r="P46" t="s">
        <v>74</v>
      </c>
      <c r="Q46" t="s">
        <v>74</v>
      </c>
      <c r="R46" t="s">
        <v>74</v>
      </c>
      <c r="S46" t="s">
        <v>74</v>
      </c>
      <c r="T46" s="1" t="s">
        <v>10756</v>
      </c>
      <c r="U46" s="1" t="s">
        <v>10757</v>
      </c>
      <c r="V46" s="1" t="s">
        <v>10758</v>
      </c>
      <c r="W46" t="s">
        <v>10759</v>
      </c>
      <c r="X46" t="s">
        <v>10760</v>
      </c>
      <c r="Y46" t="s">
        <v>10761</v>
      </c>
      <c r="Z46" t="s">
        <v>10762</v>
      </c>
      <c r="AA46" t="s">
        <v>10763</v>
      </c>
      <c r="AB46" t="s">
        <v>10764</v>
      </c>
      <c r="AC46" t="s">
        <v>74</v>
      </c>
      <c r="AD46" t="s">
        <v>74</v>
      </c>
      <c r="AE46" t="s">
        <v>74</v>
      </c>
      <c r="AF46" t="s">
        <v>74</v>
      </c>
      <c r="AG46">
        <v>45</v>
      </c>
      <c r="AH46">
        <v>35</v>
      </c>
      <c r="AI46">
        <v>35</v>
      </c>
      <c r="AJ46">
        <v>1</v>
      </c>
      <c r="AK46">
        <v>42</v>
      </c>
      <c r="AL46" t="s">
        <v>492</v>
      </c>
      <c r="AM46" t="s">
        <v>493</v>
      </c>
      <c r="AN46" t="s">
        <v>494</v>
      </c>
      <c r="AO46" t="s">
        <v>583</v>
      </c>
      <c r="AP46" t="s">
        <v>584</v>
      </c>
      <c r="AQ46" t="s">
        <v>74</v>
      </c>
      <c r="AR46" t="s">
        <v>585</v>
      </c>
      <c r="AS46" t="s">
        <v>586</v>
      </c>
      <c r="AT46" t="s">
        <v>74</v>
      </c>
      <c r="AU46">
        <v>2017</v>
      </c>
      <c r="AV46">
        <v>20</v>
      </c>
      <c r="AW46">
        <v>5</v>
      </c>
      <c r="AX46" t="s">
        <v>74</v>
      </c>
      <c r="AY46" t="s">
        <v>74</v>
      </c>
      <c r="AZ46" t="s">
        <v>74</v>
      </c>
      <c r="BA46" t="s">
        <v>74</v>
      </c>
      <c r="BB46">
        <v>770</v>
      </c>
      <c r="BC46">
        <v>783</v>
      </c>
      <c r="BD46" t="s">
        <v>74</v>
      </c>
      <c r="BE46" t="s">
        <v>10765</v>
      </c>
      <c r="BF46" t="str">
        <f>HYPERLINK("http://dx.doi.org/10.1080/1369118X.2016.1203972","http://dx.doi.org/10.1080/1369118X.2016.1203972")</f>
        <v>http://dx.doi.org/10.1080/1369118X.2016.1203972</v>
      </c>
      <c r="BG46" t="s">
        <v>74</v>
      </c>
      <c r="BH46" t="s">
        <v>74</v>
      </c>
      <c r="BI46">
        <v>14</v>
      </c>
      <c r="BJ46" t="s">
        <v>589</v>
      </c>
      <c r="BK46" t="s">
        <v>156</v>
      </c>
      <c r="BL46" t="s">
        <v>589</v>
      </c>
      <c r="BM46" t="s">
        <v>10766</v>
      </c>
      <c r="BN46" t="s">
        <v>74</v>
      </c>
      <c r="BO46" t="s">
        <v>74</v>
      </c>
      <c r="BP46" t="s">
        <v>74</v>
      </c>
      <c r="BQ46" t="s">
        <v>74</v>
      </c>
      <c r="BR46" t="s">
        <v>106</v>
      </c>
      <c r="BS46" t="s">
        <v>10767</v>
      </c>
      <c r="BT46" t="str">
        <f>HYPERLINK("https%3A%2F%2Fwww.webofscience.com%2Fwos%2Fwoscc%2Ffull-record%2FWOS:000396827700009","View Full Record in Web of Science")</f>
        <v>View Full Record in Web of Science</v>
      </c>
    </row>
    <row r="47" spans="1:72" x14ac:dyDescent="0.25">
      <c r="A47" t="s">
        <v>72</v>
      </c>
      <c r="B47" t="s">
        <v>5757</v>
      </c>
      <c r="C47" t="s">
        <v>74</v>
      </c>
      <c r="D47" t="s">
        <v>74</v>
      </c>
      <c r="E47" t="s">
        <v>74</v>
      </c>
      <c r="F47" t="s">
        <v>5758</v>
      </c>
      <c r="G47" t="s">
        <v>74</v>
      </c>
      <c r="H47" t="s">
        <v>74</v>
      </c>
      <c r="I47" s="1" t="s">
        <v>5759</v>
      </c>
      <c r="J47" t="s">
        <v>1609</v>
      </c>
      <c r="K47" t="s">
        <v>74</v>
      </c>
      <c r="L47" t="s">
        <v>74</v>
      </c>
      <c r="M47" t="s">
        <v>78</v>
      </c>
      <c r="N47" t="s">
        <v>79</v>
      </c>
      <c r="O47" t="s">
        <v>74</v>
      </c>
      <c r="P47" t="s">
        <v>74</v>
      </c>
      <c r="Q47" t="s">
        <v>74</v>
      </c>
      <c r="R47" t="s">
        <v>74</v>
      </c>
      <c r="S47" t="s">
        <v>74</v>
      </c>
      <c r="T47" s="1" t="s">
        <v>5760</v>
      </c>
      <c r="U47" s="1" t="s">
        <v>5761</v>
      </c>
      <c r="V47" s="1" t="s">
        <v>5762</v>
      </c>
      <c r="W47" t="s">
        <v>5763</v>
      </c>
      <c r="X47" t="s">
        <v>5764</v>
      </c>
      <c r="Y47" t="s">
        <v>5765</v>
      </c>
      <c r="Z47" t="s">
        <v>5766</v>
      </c>
      <c r="AA47" t="s">
        <v>5767</v>
      </c>
      <c r="AB47" t="s">
        <v>74</v>
      </c>
      <c r="AC47" t="s">
        <v>74</v>
      </c>
      <c r="AD47" t="s">
        <v>74</v>
      </c>
      <c r="AE47" t="s">
        <v>74</v>
      </c>
      <c r="AF47" t="s">
        <v>74</v>
      </c>
      <c r="AG47">
        <v>55</v>
      </c>
      <c r="AH47">
        <v>34</v>
      </c>
      <c r="AI47">
        <v>34</v>
      </c>
      <c r="AJ47">
        <v>104</v>
      </c>
      <c r="AK47">
        <v>507</v>
      </c>
      <c r="AL47" t="s">
        <v>715</v>
      </c>
      <c r="AM47" t="s">
        <v>716</v>
      </c>
      <c r="AN47" t="s">
        <v>717</v>
      </c>
      <c r="AO47" t="s">
        <v>1618</v>
      </c>
      <c r="AP47" t="s">
        <v>74</v>
      </c>
      <c r="AQ47" t="s">
        <v>74</v>
      </c>
      <c r="AR47" t="s">
        <v>1619</v>
      </c>
      <c r="AS47" t="s">
        <v>1620</v>
      </c>
      <c r="AT47" t="s">
        <v>5768</v>
      </c>
      <c r="AU47">
        <v>2022</v>
      </c>
      <c r="AV47">
        <v>15</v>
      </c>
      <c r="AW47">
        <v>2</v>
      </c>
      <c r="AX47" t="s">
        <v>74</v>
      </c>
      <c r="AY47" t="s">
        <v>74</v>
      </c>
      <c r="AZ47" t="s">
        <v>74</v>
      </c>
      <c r="BA47" t="s">
        <v>74</v>
      </c>
      <c r="BB47">
        <v>272</v>
      </c>
      <c r="BC47">
        <v>286</v>
      </c>
      <c r="BD47" t="s">
        <v>74</v>
      </c>
      <c r="BE47" t="s">
        <v>5769</v>
      </c>
      <c r="BF47" t="str">
        <f>HYPERLINK("http://dx.doi.org/10.1108/JSMA-04-2021-0089","http://dx.doi.org/10.1108/JSMA-04-2021-0089")</f>
        <v>http://dx.doi.org/10.1108/JSMA-04-2021-0089</v>
      </c>
      <c r="BG47" t="s">
        <v>74</v>
      </c>
      <c r="BH47" t="s">
        <v>5683</v>
      </c>
      <c r="BI47">
        <v>15</v>
      </c>
      <c r="BJ47" t="s">
        <v>315</v>
      </c>
      <c r="BK47" t="s">
        <v>183</v>
      </c>
      <c r="BL47" t="s">
        <v>265</v>
      </c>
      <c r="BM47" t="s">
        <v>5770</v>
      </c>
      <c r="BN47" t="s">
        <v>74</v>
      </c>
      <c r="BO47" t="s">
        <v>105</v>
      </c>
      <c r="BP47" t="s">
        <v>74</v>
      </c>
      <c r="BQ47" t="s">
        <v>74</v>
      </c>
      <c r="BR47" t="s">
        <v>106</v>
      </c>
      <c r="BS47" t="s">
        <v>5771</v>
      </c>
      <c r="BT47" t="str">
        <f>HYPERLINK("https%3A%2F%2Fwww.webofscience.com%2Fwos%2Fwoscc%2Ffull-record%2FWOS:000697394700001","View Full Record in Web of Science")</f>
        <v>View Full Record in Web of Science</v>
      </c>
    </row>
    <row r="48" spans="1:72" x14ac:dyDescent="0.25">
      <c r="A48" t="s">
        <v>72</v>
      </c>
      <c r="B48" t="s">
        <v>9328</v>
      </c>
      <c r="C48" t="s">
        <v>74</v>
      </c>
      <c r="D48" t="s">
        <v>74</v>
      </c>
      <c r="E48" t="s">
        <v>74</v>
      </c>
      <c r="F48" t="s">
        <v>9329</v>
      </c>
      <c r="G48" t="s">
        <v>74</v>
      </c>
      <c r="H48" t="s">
        <v>74</v>
      </c>
      <c r="I48" s="1" t="s">
        <v>9330</v>
      </c>
      <c r="J48" t="s">
        <v>1004</v>
      </c>
      <c r="K48" t="s">
        <v>74</v>
      </c>
      <c r="L48" t="s">
        <v>74</v>
      </c>
      <c r="M48" t="s">
        <v>78</v>
      </c>
      <c r="N48" t="s">
        <v>79</v>
      </c>
      <c r="O48" t="s">
        <v>74</v>
      </c>
      <c r="P48" t="s">
        <v>74</v>
      </c>
      <c r="Q48" t="s">
        <v>74</v>
      </c>
      <c r="R48" t="s">
        <v>74</v>
      </c>
      <c r="S48" t="s">
        <v>74</v>
      </c>
      <c r="T48" s="1" t="s">
        <v>9331</v>
      </c>
      <c r="U48" s="1" t="s">
        <v>9332</v>
      </c>
      <c r="V48" s="1" t="s">
        <v>9333</v>
      </c>
      <c r="W48" t="s">
        <v>9334</v>
      </c>
      <c r="X48" t="s">
        <v>9335</v>
      </c>
      <c r="Y48" t="s">
        <v>9336</v>
      </c>
      <c r="Z48" t="s">
        <v>9337</v>
      </c>
      <c r="AA48" t="s">
        <v>74</v>
      </c>
      <c r="AB48" t="s">
        <v>74</v>
      </c>
      <c r="AC48" t="s">
        <v>74</v>
      </c>
      <c r="AD48" t="s">
        <v>74</v>
      </c>
      <c r="AE48" t="s">
        <v>74</v>
      </c>
      <c r="AF48" t="s">
        <v>74</v>
      </c>
      <c r="AG48">
        <v>46</v>
      </c>
      <c r="AH48">
        <v>34</v>
      </c>
      <c r="AI48">
        <v>34</v>
      </c>
      <c r="AJ48">
        <v>5</v>
      </c>
      <c r="AK48">
        <v>59</v>
      </c>
      <c r="AL48" t="s">
        <v>492</v>
      </c>
      <c r="AM48" t="s">
        <v>493</v>
      </c>
      <c r="AN48" t="s">
        <v>494</v>
      </c>
      <c r="AO48" t="s">
        <v>1015</v>
      </c>
      <c r="AP48" t="s">
        <v>1016</v>
      </c>
      <c r="AQ48" t="s">
        <v>74</v>
      </c>
      <c r="AR48" t="s">
        <v>1017</v>
      </c>
      <c r="AS48" t="s">
        <v>1018</v>
      </c>
      <c r="AT48" t="s">
        <v>74</v>
      </c>
      <c r="AU48">
        <v>2019</v>
      </c>
      <c r="AV48">
        <v>10</v>
      </c>
      <c r="AW48">
        <v>1</v>
      </c>
      <c r="AX48" t="s">
        <v>74</v>
      </c>
      <c r="AY48" t="s">
        <v>74</v>
      </c>
      <c r="AZ48" t="s">
        <v>74</v>
      </c>
      <c r="BA48" t="s">
        <v>74</v>
      </c>
      <c r="BB48">
        <v>81</v>
      </c>
      <c r="BC48">
        <v>92</v>
      </c>
      <c r="BD48" t="s">
        <v>74</v>
      </c>
      <c r="BE48" t="s">
        <v>9338</v>
      </c>
      <c r="BF48" t="str">
        <f>HYPERLINK("http://dx.doi.org/10.1080/20932685.2018.1550008","http://dx.doi.org/10.1080/20932685.2018.1550008")</f>
        <v>http://dx.doi.org/10.1080/20932685.2018.1550008</v>
      </c>
      <c r="BG48" t="s">
        <v>74</v>
      </c>
      <c r="BH48" t="s">
        <v>74</v>
      </c>
      <c r="BI48">
        <v>12</v>
      </c>
      <c r="BJ48" t="s">
        <v>1023</v>
      </c>
      <c r="BK48" t="s">
        <v>183</v>
      </c>
      <c r="BL48" t="s">
        <v>265</v>
      </c>
      <c r="BM48" t="s">
        <v>9339</v>
      </c>
      <c r="BN48" t="s">
        <v>74</v>
      </c>
      <c r="BO48" t="s">
        <v>74</v>
      </c>
      <c r="BP48" t="s">
        <v>74</v>
      </c>
      <c r="BQ48" t="s">
        <v>74</v>
      </c>
      <c r="BR48" t="s">
        <v>106</v>
      </c>
      <c r="BS48" t="s">
        <v>9340</v>
      </c>
      <c r="BT48" t="str">
        <f>HYPERLINK("https%3A%2F%2Fwww.webofscience.com%2Fwos%2Fwoscc%2Ffull-record%2FWOS:000470286400006","View Full Record in Web of Science")</f>
        <v>View Full Record in Web of Science</v>
      </c>
    </row>
    <row r="49" spans="1:72" x14ac:dyDescent="0.25">
      <c r="A49" t="s">
        <v>72</v>
      </c>
      <c r="B49" t="s">
        <v>11403</v>
      </c>
      <c r="C49" t="s">
        <v>74</v>
      </c>
      <c r="D49" t="s">
        <v>74</v>
      </c>
      <c r="E49" t="s">
        <v>74</v>
      </c>
      <c r="F49" t="s">
        <v>11404</v>
      </c>
      <c r="G49" t="s">
        <v>74</v>
      </c>
      <c r="H49" t="s">
        <v>74</v>
      </c>
      <c r="I49" s="1" t="s">
        <v>11405</v>
      </c>
      <c r="J49" t="s">
        <v>4381</v>
      </c>
      <c r="K49" t="s">
        <v>74</v>
      </c>
      <c r="L49" t="s">
        <v>74</v>
      </c>
      <c r="M49" t="s">
        <v>78</v>
      </c>
      <c r="N49" t="s">
        <v>79</v>
      </c>
      <c r="O49" t="s">
        <v>74</v>
      </c>
      <c r="P49" t="s">
        <v>74</v>
      </c>
      <c r="Q49" t="s">
        <v>74</v>
      </c>
      <c r="R49" t="s">
        <v>74</v>
      </c>
      <c r="S49" t="s">
        <v>74</v>
      </c>
      <c r="T49" s="1" t="s">
        <v>11406</v>
      </c>
      <c r="U49" s="1" t="s">
        <v>11407</v>
      </c>
      <c r="V49" s="1" t="s">
        <v>11408</v>
      </c>
      <c r="W49" t="s">
        <v>11409</v>
      </c>
      <c r="X49" t="s">
        <v>11410</v>
      </c>
      <c r="Y49" t="s">
        <v>11411</v>
      </c>
      <c r="Z49" t="s">
        <v>11412</v>
      </c>
      <c r="AA49" t="s">
        <v>11413</v>
      </c>
      <c r="AB49" t="s">
        <v>11414</v>
      </c>
      <c r="AC49" t="s">
        <v>74</v>
      </c>
      <c r="AD49" t="s">
        <v>74</v>
      </c>
      <c r="AE49" t="s">
        <v>74</v>
      </c>
      <c r="AF49" t="s">
        <v>74</v>
      </c>
      <c r="AG49">
        <v>65</v>
      </c>
      <c r="AH49">
        <v>34</v>
      </c>
      <c r="AI49">
        <v>34</v>
      </c>
      <c r="AJ49">
        <v>5</v>
      </c>
      <c r="AK49">
        <v>67</v>
      </c>
      <c r="AL49" t="s">
        <v>715</v>
      </c>
      <c r="AM49" t="s">
        <v>716</v>
      </c>
      <c r="AN49" t="s">
        <v>717</v>
      </c>
      <c r="AO49" t="s">
        <v>4393</v>
      </c>
      <c r="AP49" t="s">
        <v>4394</v>
      </c>
      <c r="AQ49" t="s">
        <v>74</v>
      </c>
      <c r="AR49" t="s">
        <v>4395</v>
      </c>
      <c r="AS49" t="s">
        <v>4396</v>
      </c>
      <c r="AT49" t="s">
        <v>74</v>
      </c>
      <c r="AU49">
        <v>2016</v>
      </c>
      <c r="AV49">
        <v>20</v>
      </c>
      <c r="AW49">
        <v>3</v>
      </c>
      <c r="AX49" t="s">
        <v>74</v>
      </c>
      <c r="AY49" t="s">
        <v>74</v>
      </c>
      <c r="AZ49" t="s">
        <v>74</v>
      </c>
      <c r="BA49" t="s">
        <v>74</v>
      </c>
      <c r="BB49">
        <v>276</v>
      </c>
      <c r="BC49">
        <v>299</v>
      </c>
      <c r="BD49" t="s">
        <v>74</v>
      </c>
      <c r="BE49" t="s">
        <v>11415</v>
      </c>
      <c r="BF49" t="str">
        <f>HYPERLINK("http://dx.doi.org/10.1108/JFMM-10-2015-0077","http://dx.doi.org/10.1108/JFMM-10-2015-0077")</f>
        <v>http://dx.doi.org/10.1108/JFMM-10-2015-0077</v>
      </c>
      <c r="BG49" t="s">
        <v>74</v>
      </c>
      <c r="BH49" t="s">
        <v>74</v>
      </c>
      <c r="BI49">
        <v>24</v>
      </c>
      <c r="BJ49" t="s">
        <v>264</v>
      </c>
      <c r="BK49" t="s">
        <v>156</v>
      </c>
      <c r="BL49" t="s">
        <v>265</v>
      </c>
      <c r="BM49" t="s">
        <v>11416</v>
      </c>
      <c r="BN49" t="s">
        <v>74</v>
      </c>
      <c r="BO49" t="s">
        <v>2623</v>
      </c>
      <c r="BP49" t="s">
        <v>74</v>
      </c>
      <c r="BQ49" t="s">
        <v>74</v>
      </c>
      <c r="BR49" t="s">
        <v>106</v>
      </c>
      <c r="BS49" t="s">
        <v>11417</v>
      </c>
      <c r="BT49" t="str">
        <f>HYPERLINK("https%3A%2F%2Fwww.webofscience.com%2Fwos%2Fwoscc%2Ffull-record%2FWOS:000381439200003","View Full Record in Web of Science")</f>
        <v>View Full Record in Web of Science</v>
      </c>
    </row>
    <row r="50" spans="1:72" x14ac:dyDescent="0.25">
      <c r="A50" t="s">
        <v>72</v>
      </c>
      <c r="B50" t="s">
        <v>8224</v>
      </c>
      <c r="C50" t="s">
        <v>74</v>
      </c>
      <c r="D50" t="s">
        <v>74</v>
      </c>
      <c r="E50" t="s">
        <v>74</v>
      </c>
      <c r="F50" t="s">
        <v>8225</v>
      </c>
      <c r="G50" t="s">
        <v>74</v>
      </c>
      <c r="H50" t="s">
        <v>74</v>
      </c>
      <c r="I50" s="1" t="s">
        <v>8226</v>
      </c>
      <c r="J50" t="s">
        <v>8227</v>
      </c>
      <c r="K50" t="s">
        <v>74</v>
      </c>
      <c r="L50" t="s">
        <v>74</v>
      </c>
      <c r="M50" t="s">
        <v>78</v>
      </c>
      <c r="N50" t="s">
        <v>79</v>
      </c>
      <c r="O50" t="s">
        <v>74</v>
      </c>
      <c r="P50" t="s">
        <v>74</v>
      </c>
      <c r="Q50" t="s">
        <v>74</v>
      </c>
      <c r="R50" t="s">
        <v>74</v>
      </c>
      <c r="S50" t="s">
        <v>74</v>
      </c>
      <c r="T50" s="1" t="s">
        <v>8228</v>
      </c>
      <c r="U50" s="1" t="s">
        <v>8229</v>
      </c>
      <c r="V50" s="1" t="s">
        <v>8230</v>
      </c>
      <c r="W50" t="s">
        <v>8231</v>
      </c>
      <c r="X50" t="s">
        <v>8232</v>
      </c>
      <c r="Y50" t="s">
        <v>8233</v>
      </c>
      <c r="Z50" t="s">
        <v>8234</v>
      </c>
      <c r="AA50" t="s">
        <v>74</v>
      </c>
      <c r="AB50" t="s">
        <v>8235</v>
      </c>
      <c r="AC50" t="s">
        <v>74</v>
      </c>
      <c r="AD50" t="s">
        <v>74</v>
      </c>
      <c r="AE50" t="s">
        <v>74</v>
      </c>
      <c r="AF50" t="s">
        <v>74</v>
      </c>
      <c r="AG50">
        <v>183</v>
      </c>
      <c r="AH50">
        <v>33</v>
      </c>
      <c r="AI50">
        <v>34</v>
      </c>
      <c r="AJ50">
        <v>38</v>
      </c>
      <c r="AK50">
        <v>217</v>
      </c>
      <c r="AL50" t="s">
        <v>1074</v>
      </c>
      <c r="AM50" t="s">
        <v>1075</v>
      </c>
      <c r="AN50" t="s">
        <v>1076</v>
      </c>
      <c r="AO50" t="s">
        <v>8236</v>
      </c>
      <c r="AP50" t="s">
        <v>8237</v>
      </c>
      <c r="AQ50" t="s">
        <v>74</v>
      </c>
      <c r="AR50" t="s">
        <v>8238</v>
      </c>
      <c r="AS50" t="s">
        <v>8239</v>
      </c>
      <c r="AT50" t="s">
        <v>1904</v>
      </c>
      <c r="AU50">
        <v>2020</v>
      </c>
      <c r="AV50">
        <v>49</v>
      </c>
      <c r="AW50" t="s">
        <v>74</v>
      </c>
      <c r="AX50" t="s">
        <v>74</v>
      </c>
      <c r="AY50" t="s">
        <v>74</v>
      </c>
      <c r="AZ50" t="s">
        <v>74</v>
      </c>
      <c r="BA50" t="s">
        <v>74</v>
      </c>
      <c r="BB50">
        <v>1</v>
      </c>
      <c r="BC50">
        <v>19</v>
      </c>
      <c r="BD50" t="s">
        <v>74</v>
      </c>
      <c r="BE50" t="s">
        <v>8240</v>
      </c>
      <c r="BF50" t="str">
        <f>HYPERLINK("http://dx.doi.org/10.1016/j.intmar.2019.08.002","http://dx.doi.org/10.1016/j.intmar.2019.08.002")</f>
        <v>http://dx.doi.org/10.1016/j.intmar.2019.08.002</v>
      </c>
      <c r="BG50" t="s">
        <v>74</v>
      </c>
      <c r="BH50" t="s">
        <v>74</v>
      </c>
      <c r="BI50">
        <v>19</v>
      </c>
      <c r="BJ50" t="s">
        <v>1023</v>
      </c>
      <c r="BK50" t="s">
        <v>156</v>
      </c>
      <c r="BL50" t="s">
        <v>265</v>
      </c>
      <c r="BM50" t="s">
        <v>8241</v>
      </c>
      <c r="BN50" t="s">
        <v>74</v>
      </c>
      <c r="BO50" t="s">
        <v>4521</v>
      </c>
      <c r="BP50" t="s">
        <v>74</v>
      </c>
      <c r="BQ50" t="s">
        <v>74</v>
      </c>
      <c r="BR50" t="s">
        <v>106</v>
      </c>
      <c r="BS50" t="s">
        <v>8242</v>
      </c>
      <c r="BT50" t="str">
        <f>HYPERLINK("https%3A%2F%2Fwww.webofscience.com%2Fwos%2Fwoscc%2Ffull-record%2FWOS:000514221500001","View Full Record in Web of Science")</f>
        <v>View Full Record in Web of Science</v>
      </c>
    </row>
    <row r="51" spans="1:72" x14ac:dyDescent="0.25">
      <c r="A51" t="s">
        <v>72</v>
      </c>
      <c r="B51" t="s">
        <v>8806</v>
      </c>
      <c r="C51" t="s">
        <v>74</v>
      </c>
      <c r="D51" t="s">
        <v>74</v>
      </c>
      <c r="E51" t="s">
        <v>74</v>
      </c>
      <c r="F51" t="s">
        <v>8807</v>
      </c>
      <c r="G51" t="s">
        <v>74</v>
      </c>
      <c r="H51" t="s">
        <v>74</v>
      </c>
      <c r="I51" s="1" t="s">
        <v>8808</v>
      </c>
      <c r="J51" t="s">
        <v>8809</v>
      </c>
      <c r="K51" t="s">
        <v>74</v>
      </c>
      <c r="L51" t="s">
        <v>74</v>
      </c>
      <c r="M51" t="s">
        <v>78</v>
      </c>
      <c r="N51" t="s">
        <v>79</v>
      </c>
      <c r="O51" t="s">
        <v>74</v>
      </c>
      <c r="P51" t="s">
        <v>74</v>
      </c>
      <c r="Q51" t="s">
        <v>74</v>
      </c>
      <c r="R51" t="s">
        <v>74</v>
      </c>
      <c r="S51" t="s">
        <v>74</v>
      </c>
      <c r="T51" s="1" t="s">
        <v>74</v>
      </c>
      <c r="U51" s="1" t="s">
        <v>8810</v>
      </c>
      <c r="V51" s="1" t="s">
        <v>8811</v>
      </c>
      <c r="W51" t="s">
        <v>8812</v>
      </c>
      <c r="X51" t="s">
        <v>8813</v>
      </c>
      <c r="Y51" t="s">
        <v>8814</v>
      </c>
      <c r="Z51" t="s">
        <v>8815</v>
      </c>
      <c r="AA51" t="s">
        <v>8816</v>
      </c>
      <c r="AB51" t="s">
        <v>74</v>
      </c>
      <c r="AC51" t="s">
        <v>8817</v>
      </c>
      <c r="AD51" t="s">
        <v>8818</v>
      </c>
      <c r="AE51" t="s">
        <v>8819</v>
      </c>
      <c r="AF51" t="s">
        <v>74</v>
      </c>
      <c r="AG51">
        <v>24</v>
      </c>
      <c r="AH51">
        <v>33</v>
      </c>
      <c r="AI51">
        <v>34</v>
      </c>
      <c r="AJ51">
        <v>2</v>
      </c>
      <c r="AK51">
        <v>15</v>
      </c>
      <c r="AL51" t="s">
        <v>8820</v>
      </c>
      <c r="AM51" t="s">
        <v>2842</v>
      </c>
      <c r="AN51" t="s">
        <v>8821</v>
      </c>
      <c r="AO51" t="s">
        <v>8822</v>
      </c>
      <c r="AP51" t="s">
        <v>74</v>
      </c>
      <c r="AQ51" t="s">
        <v>74</v>
      </c>
      <c r="AR51" t="s">
        <v>8823</v>
      </c>
      <c r="AS51" t="s">
        <v>8824</v>
      </c>
      <c r="AT51" t="s">
        <v>8825</v>
      </c>
      <c r="AU51">
        <v>2019</v>
      </c>
      <c r="AV51">
        <v>27</v>
      </c>
      <c r="AW51">
        <v>22</v>
      </c>
      <c r="AX51" t="s">
        <v>74</v>
      </c>
      <c r="AY51" t="s">
        <v>74</v>
      </c>
      <c r="AZ51" t="s">
        <v>74</v>
      </c>
      <c r="BA51" t="s">
        <v>74</v>
      </c>
      <c r="BB51">
        <v>31956</v>
      </c>
      <c r="BC51">
        <v>31966</v>
      </c>
      <c r="BD51" t="s">
        <v>74</v>
      </c>
      <c r="BE51" t="s">
        <v>8826</v>
      </c>
      <c r="BF51" t="str">
        <f>HYPERLINK("http://dx.doi.org/10.1364/OE.27.031956","http://dx.doi.org/10.1364/OE.27.031956")</f>
        <v>http://dx.doi.org/10.1364/OE.27.031956</v>
      </c>
      <c r="BG51" t="s">
        <v>74</v>
      </c>
      <c r="BH51" t="s">
        <v>74</v>
      </c>
      <c r="BI51">
        <v>11</v>
      </c>
      <c r="BJ51" t="s">
        <v>8827</v>
      </c>
      <c r="BK51" t="s">
        <v>102</v>
      </c>
      <c r="BL51" t="s">
        <v>8827</v>
      </c>
      <c r="BM51" t="s">
        <v>8828</v>
      </c>
      <c r="BN51">
        <v>31684417</v>
      </c>
      <c r="BO51" t="s">
        <v>186</v>
      </c>
      <c r="BP51" t="s">
        <v>74</v>
      </c>
      <c r="BQ51" t="s">
        <v>74</v>
      </c>
      <c r="BR51" t="s">
        <v>106</v>
      </c>
      <c r="BS51" t="s">
        <v>8829</v>
      </c>
      <c r="BT51" t="str">
        <f>HYPERLINK("https%3A%2F%2Fwww.webofscience.com%2Fwos%2Fwoscc%2Ffull-record%2FWOS:000492996000068","View Full Record in Web of Science")</f>
        <v>View Full Record in Web of Science</v>
      </c>
    </row>
    <row r="52" spans="1:72" x14ac:dyDescent="0.25">
      <c r="A52" t="s">
        <v>72</v>
      </c>
      <c r="B52" t="s">
        <v>9128</v>
      </c>
      <c r="C52" t="s">
        <v>74</v>
      </c>
      <c r="D52" t="s">
        <v>74</v>
      </c>
      <c r="E52" t="s">
        <v>74</v>
      </c>
      <c r="F52" t="s">
        <v>9129</v>
      </c>
      <c r="G52" t="s">
        <v>74</v>
      </c>
      <c r="H52" t="s">
        <v>74</v>
      </c>
      <c r="I52" s="1" t="s">
        <v>9130</v>
      </c>
      <c r="J52" t="s">
        <v>9131</v>
      </c>
      <c r="K52" t="s">
        <v>74</v>
      </c>
      <c r="L52" t="s">
        <v>74</v>
      </c>
      <c r="M52" t="s">
        <v>78</v>
      </c>
      <c r="N52" t="s">
        <v>79</v>
      </c>
      <c r="O52" t="s">
        <v>74</v>
      </c>
      <c r="P52" t="s">
        <v>74</v>
      </c>
      <c r="Q52" t="s">
        <v>74</v>
      </c>
      <c r="R52" t="s">
        <v>74</v>
      </c>
      <c r="S52" t="s">
        <v>74</v>
      </c>
      <c r="T52" s="1" t="s">
        <v>9132</v>
      </c>
      <c r="U52" s="1" t="s">
        <v>9133</v>
      </c>
      <c r="V52" s="1" t="s">
        <v>9134</v>
      </c>
      <c r="W52" t="s">
        <v>9135</v>
      </c>
      <c r="X52" t="s">
        <v>9136</v>
      </c>
      <c r="Y52" t="s">
        <v>9137</v>
      </c>
      <c r="Z52" t="s">
        <v>9138</v>
      </c>
      <c r="AA52" t="s">
        <v>9139</v>
      </c>
      <c r="AB52" t="s">
        <v>9140</v>
      </c>
      <c r="AC52" t="s">
        <v>9141</v>
      </c>
      <c r="AD52" t="s">
        <v>9142</v>
      </c>
      <c r="AE52" t="s">
        <v>9143</v>
      </c>
      <c r="AF52" t="s">
        <v>74</v>
      </c>
      <c r="AG52">
        <v>32</v>
      </c>
      <c r="AH52">
        <v>33</v>
      </c>
      <c r="AI52">
        <v>33</v>
      </c>
      <c r="AJ52">
        <v>21</v>
      </c>
      <c r="AK52">
        <v>126</v>
      </c>
      <c r="AL52" t="s">
        <v>492</v>
      </c>
      <c r="AM52" t="s">
        <v>493</v>
      </c>
      <c r="AN52" t="s">
        <v>494</v>
      </c>
      <c r="AO52" t="s">
        <v>9144</v>
      </c>
      <c r="AP52" t="s">
        <v>9145</v>
      </c>
      <c r="AQ52" t="s">
        <v>74</v>
      </c>
      <c r="AR52" t="s">
        <v>9146</v>
      </c>
      <c r="AS52" t="s">
        <v>9147</v>
      </c>
      <c r="AT52" t="s">
        <v>3152</v>
      </c>
      <c r="AU52">
        <v>2019</v>
      </c>
      <c r="AV52">
        <v>22</v>
      </c>
      <c r="AW52">
        <v>15</v>
      </c>
      <c r="AX52" t="s">
        <v>74</v>
      </c>
      <c r="AY52" t="s">
        <v>74</v>
      </c>
      <c r="AZ52" t="s">
        <v>74</v>
      </c>
      <c r="BA52" t="s">
        <v>74</v>
      </c>
      <c r="BB52">
        <v>1883</v>
      </c>
      <c r="BC52">
        <v>1903</v>
      </c>
      <c r="BD52" t="s">
        <v>74</v>
      </c>
      <c r="BE52" t="s">
        <v>9148</v>
      </c>
      <c r="BF52" t="str">
        <f>HYPERLINK("http://dx.doi.org/10.1080/13683500.2019.1591354","http://dx.doi.org/10.1080/13683500.2019.1591354")</f>
        <v>http://dx.doi.org/10.1080/13683500.2019.1591354</v>
      </c>
      <c r="BG52" t="s">
        <v>74</v>
      </c>
      <c r="BH52" t="s">
        <v>9149</v>
      </c>
      <c r="BI52">
        <v>21</v>
      </c>
      <c r="BJ52" t="s">
        <v>4630</v>
      </c>
      <c r="BK52" t="s">
        <v>156</v>
      </c>
      <c r="BL52" t="s">
        <v>943</v>
      </c>
      <c r="BM52" t="s">
        <v>9150</v>
      </c>
      <c r="BN52" t="s">
        <v>74</v>
      </c>
      <c r="BO52" t="s">
        <v>2805</v>
      </c>
      <c r="BP52" t="s">
        <v>74</v>
      </c>
      <c r="BQ52" t="s">
        <v>74</v>
      </c>
      <c r="BR52" t="s">
        <v>106</v>
      </c>
      <c r="BS52" t="s">
        <v>9151</v>
      </c>
      <c r="BT52" t="str">
        <f>HYPERLINK("https%3A%2F%2Fwww.webofscience.com%2Fwos%2Fwoscc%2Ffull-record%2FWOS:000461926700001","View Full Record in Web of Science")</f>
        <v>View Full Record in Web of Science</v>
      </c>
    </row>
    <row r="53" spans="1:72" x14ac:dyDescent="0.25">
      <c r="A53" t="s">
        <v>72</v>
      </c>
      <c r="B53" t="s">
        <v>6725</v>
      </c>
      <c r="C53" t="s">
        <v>74</v>
      </c>
      <c r="D53" t="s">
        <v>74</v>
      </c>
      <c r="E53" t="s">
        <v>74</v>
      </c>
      <c r="F53" t="s">
        <v>6726</v>
      </c>
      <c r="G53" t="s">
        <v>74</v>
      </c>
      <c r="H53" t="s">
        <v>74</v>
      </c>
      <c r="I53" s="1" t="s">
        <v>6727</v>
      </c>
      <c r="J53" t="s">
        <v>191</v>
      </c>
      <c r="K53" t="s">
        <v>74</v>
      </c>
      <c r="L53" t="s">
        <v>74</v>
      </c>
      <c r="M53" t="s">
        <v>78</v>
      </c>
      <c r="N53" t="s">
        <v>79</v>
      </c>
      <c r="O53" t="s">
        <v>74</v>
      </c>
      <c r="P53" t="s">
        <v>74</v>
      </c>
      <c r="Q53" t="s">
        <v>74</v>
      </c>
      <c r="R53" t="s">
        <v>74</v>
      </c>
      <c r="S53" t="s">
        <v>74</v>
      </c>
      <c r="T53" s="1" t="s">
        <v>6728</v>
      </c>
      <c r="U53" s="1" t="s">
        <v>74</v>
      </c>
      <c r="V53" s="1" t="s">
        <v>6729</v>
      </c>
      <c r="W53" t="s">
        <v>6730</v>
      </c>
      <c r="X53" t="s">
        <v>6731</v>
      </c>
      <c r="Y53" t="s">
        <v>6732</v>
      </c>
      <c r="Z53" t="s">
        <v>6733</v>
      </c>
      <c r="AA53" t="s">
        <v>6734</v>
      </c>
      <c r="AB53" t="s">
        <v>6735</v>
      </c>
      <c r="AC53" t="s">
        <v>6736</v>
      </c>
      <c r="AD53" t="s">
        <v>6736</v>
      </c>
      <c r="AE53" t="s">
        <v>6737</v>
      </c>
      <c r="AF53" t="s">
        <v>74</v>
      </c>
      <c r="AG53">
        <v>50</v>
      </c>
      <c r="AH53">
        <v>32</v>
      </c>
      <c r="AI53">
        <v>33</v>
      </c>
      <c r="AJ53">
        <v>2</v>
      </c>
      <c r="AK53">
        <v>18</v>
      </c>
      <c r="AL53" t="s">
        <v>202</v>
      </c>
      <c r="AM53" t="s">
        <v>203</v>
      </c>
      <c r="AN53" t="s">
        <v>204</v>
      </c>
      <c r="AO53" t="s">
        <v>74</v>
      </c>
      <c r="AP53" t="s">
        <v>205</v>
      </c>
      <c r="AQ53" t="s">
        <v>74</v>
      </c>
      <c r="AR53" t="s">
        <v>206</v>
      </c>
      <c r="AS53" t="s">
        <v>207</v>
      </c>
      <c r="AT53" t="s">
        <v>1904</v>
      </c>
      <c r="AU53">
        <v>2021</v>
      </c>
      <c r="AV53">
        <v>13</v>
      </c>
      <c r="AW53">
        <v>3</v>
      </c>
      <c r="AX53" t="s">
        <v>74</v>
      </c>
      <c r="AY53" t="s">
        <v>74</v>
      </c>
      <c r="AZ53" t="s">
        <v>74</v>
      </c>
      <c r="BA53" t="s">
        <v>74</v>
      </c>
      <c r="BB53" t="s">
        <v>74</v>
      </c>
      <c r="BC53" t="s">
        <v>74</v>
      </c>
      <c r="BD53">
        <v>1388</v>
      </c>
      <c r="BE53" t="s">
        <v>6738</v>
      </c>
      <c r="BF53" t="str">
        <f>HYPERLINK("http://dx.doi.org/10.3390/su13031388","http://dx.doi.org/10.3390/su13031388")</f>
        <v>http://dx.doi.org/10.3390/su13031388</v>
      </c>
      <c r="BG53" t="s">
        <v>74</v>
      </c>
      <c r="BH53" t="s">
        <v>74</v>
      </c>
      <c r="BI53">
        <v>12</v>
      </c>
      <c r="BJ53" t="s">
        <v>210</v>
      </c>
      <c r="BK53" t="s">
        <v>211</v>
      </c>
      <c r="BL53" t="s">
        <v>212</v>
      </c>
      <c r="BM53" t="s">
        <v>6739</v>
      </c>
      <c r="BN53" t="s">
        <v>74</v>
      </c>
      <c r="BO53" t="s">
        <v>422</v>
      </c>
      <c r="BP53" t="s">
        <v>74</v>
      </c>
      <c r="BQ53" t="s">
        <v>74</v>
      </c>
      <c r="BR53" t="s">
        <v>106</v>
      </c>
      <c r="BS53" t="s">
        <v>6740</v>
      </c>
      <c r="BT53" t="str">
        <f>HYPERLINK("https%3A%2F%2Fwww.webofscience.com%2Fwos%2Fwoscc%2Ffull-record%2FWOS:000615625200001","View Full Record in Web of Science")</f>
        <v>View Full Record in Web of Science</v>
      </c>
    </row>
    <row r="54" spans="1:72" x14ac:dyDescent="0.25">
      <c r="A54" t="s">
        <v>72</v>
      </c>
      <c r="B54" t="s">
        <v>12106</v>
      </c>
      <c r="C54" t="s">
        <v>74</v>
      </c>
      <c r="D54" t="s">
        <v>74</v>
      </c>
      <c r="E54" t="s">
        <v>74</v>
      </c>
      <c r="F54" t="s">
        <v>12107</v>
      </c>
      <c r="G54" t="s">
        <v>74</v>
      </c>
      <c r="H54" t="s">
        <v>74</v>
      </c>
      <c r="I54" s="1" t="s">
        <v>12108</v>
      </c>
      <c r="J54" t="s">
        <v>12109</v>
      </c>
      <c r="K54" t="s">
        <v>74</v>
      </c>
      <c r="L54" t="s">
        <v>74</v>
      </c>
      <c r="M54" t="s">
        <v>78</v>
      </c>
      <c r="N54" t="s">
        <v>79</v>
      </c>
      <c r="O54" t="s">
        <v>74</v>
      </c>
      <c r="P54" t="s">
        <v>74</v>
      </c>
      <c r="Q54" t="s">
        <v>74</v>
      </c>
      <c r="R54" t="s">
        <v>74</v>
      </c>
      <c r="S54" t="s">
        <v>74</v>
      </c>
      <c r="T54" s="1" t="s">
        <v>12110</v>
      </c>
      <c r="U54" s="1" t="s">
        <v>12111</v>
      </c>
      <c r="V54" s="1" t="s">
        <v>12112</v>
      </c>
      <c r="W54" t="s">
        <v>12113</v>
      </c>
      <c r="X54" t="s">
        <v>74</v>
      </c>
      <c r="Y54" t="s">
        <v>12114</v>
      </c>
      <c r="Z54" t="s">
        <v>12115</v>
      </c>
      <c r="AA54" t="s">
        <v>74</v>
      </c>
      <c r="AB54" t="s">
        <v>74</v>
      </c>
      <c r="AC54" t="s">
        <v>12116</v>
      </c>
      <c r="AD54" t="s">
        <v>12117</v>
      </c>
      <c r="AE54" t="s">
        <v>74</v>
      </c>
      <c r="AF54" t="s">
        <v>74</v>
      </c>
      <c r="AG54">
        <v>14</v>
      </c>
      <c r="AH54">
        <v>32</v>
      </c>
      <c r="AI54">
        <v>33</v>
      </c>
      <c r="AJ54">
        <v>2</v>
      </c>
      <c r="AK54">
        <v>27</v>
      </c>
      <c r="AL54" t="s">
        <v>12118</v>
      </c>
      <c r="AM54" t="s">
        <v>3189</v>
      </c>
      <c r="AN54" t="s">
        <v>12119</v>
      </c>
      <c r="AO54" t="s">
        <v>12120</v>
      </c>
      <c r="AP54" t="s">
        <v>74</v>
      </c>
      <c r="AQ54" t="s">
        <v>74</v>
      </c>
      <c r="AR54" t="s">
        <v>12121</v>
      </c>
      <c r="AS54" t="s">
        <v>12122</v>
      </c>
      <c r="AT54" t="s">
        <v>837</v>
      </c>
      <c r="AU54">
        <v>2013</v>
      </c>
      <c r="AV54">
        <v>20</v>
      </c>
      <c r="AW54">
        <v>4</v>
      </c>
      <c r="AX54" t="s">
        <v>74</v>
      </c>
      <c r="AY54" t="s">
        <v>74</v>
      </c>
      <c r="AZ54" t="s">
        <v>74</v>
      </c>
      <c r="BA54" t="s">
        <v>74</v>
      </c>
      <c r="BB54">
        <v>364</v>
      </c>
      <c r="BC54">
        <v>369</v>
      </c>
      <c r="BD54" t="s">
        <v>74</v>
      </c>
      <c r="BE54" t="s">
        <v>12123</v>
      </c>
      <c r="BF54" t="str">
        <f>HYPERLINK("http://dx.doi.org/10.1053/j.ackd.2013.04.001","http://dx.doi.org/10.1053/j.ackd.2013.04.001")</f>
        <v>http://dx.doi.org/10.1053/j.ackd.2013.04.001</v>
      </c>
      <c r="BG54" t="s">
        <v>74</v>
      </c>
      <c r="BH54" t="s">
        <v>74</v>
      </c>
      <c r="BI54">
        <v>6</v>
      </c>
      <c r="BJ54" t="s">
        <v>12124</v>
      </c>
      <c r="BK54" t="s">
        <v>211</v>
      </c>
      <c r="BL54" t="s">
        <v>12124</v>
      </c>
      <c r="BM54" t="s">
        <v>12125</v>
      </c>
      <c r="BN54">
        <v>23809289</v>
      </c>
      <c r="BO54" t="s">
        <v>3856</v>
      </c>
      <c r="BP54" t="s">
        <v>74</v>
      </c>
      <c r="BQ54" t="s">
        <v>74</v>
      </c>
      <c r="BR54" t="s">
        <v>106</v>
      </c>
      <c r="BS54" t="s">
        <v>12126</v>
      </c>
      <c r="BT54" t="str">
        <f>HYPERLINK("https%3A%2F%2Fwww.webofscience.com%2Fwos%2Fwoscc%2Ffull-record%2FWOS:000321464300010","View Full Record in Web of Science")</f>
        <v>View Full Record in Web of Science</v>
      </c>
    </row>
    <row r="55" spans="1:72" x14ac:dyDescent="0.25">
      <c r="A55" t="s">
        <v>72</v>
      </c>
      <c r="B55" t="s">
        <v>8131</v>
      </c>
      <c r="C55" t="s">
        <v>74</v>
      </c>
      <c r="D55" t="s">
        <v>74</v>
      </c>
      <c r="E55" t="s">
        <v>74</v>
      </c>
      <c r="F55" t="s">
        <v>8132</v>
      </c>
      <c r="G55" t="s">
        <v>74</v>
      </c>
      <c r="H55" t="s">
        <v>74</v>
      </c>
      <c r="I55" s="1" t="s">
        <v>8133</v>
      </c>
      <c r="J55" t="s">
        <v>8134</v>
      </c>
      <c r="K55" t="s">
        <v>74</v>
      </c>
      <c r="L55" t="s">
        <v>74</v>
      </c>
      <c r="M55" t="s">
        <v>78</v>
      </c>
      <c r="N55" t="s">
        <v>79</v>
      </c>
      <c r="O55" t="s">
        <v>74</v>
      </c>
      <c r="P55" t="s">
        <v>74</v>
      </c>
      <c r="Q55" t="s">
        <v>74</v>
      </c>
      <c r="R55" t="s">
        <v>74</v>
      </c>
      <c r="S55" t="s">
        <v>74</v>
      </c>
      <c r="T55" s="1" t="s">
        <v>8135</v>
      </c>
      <c r="U55" s="1" t="s">
        <v>8136</v>
      </c>
      <c r="V55" s="1" t="s">
        <v>8137</v>
      </c>
      <c r="W55" t="s">
        <v>8138</v>
      </c>
      <c r="X55" t="s">
        <v>8139</v>
      </c>
      <c r="Y55" t="s">
        <v>8140</v>
      </c>
      <c r="Z55" t="s">
        <v>8141</v>
      </c>
      <c r="AA55" t="s">
        <v>74</v>
      </c>
      <c r="AB55" t="s">
        <v>74</v>
      </c>
      <c r="AC55" t="s">
        <v>8142</v>
      </c>
      <c r="AD55" t="s">
        <v>8143</v>
      </c>
      <c r="AE55" t="s">
        <v>8144</v>
      </c>
      <c r="AF55" t="s">
        <v>74</v>
      </c>
      <c r="AG55">
        <v>96</v>
      </c>
      <c r="AH55">
        <v>31</v>
      </c>
      <c r="AI55">
        <v>32</v>
      </c>
      <c r="AJ55">
        <v>40</v>
      </c>
      <c r="AK55">
        <v>362</v>
      </c>
      <c r="AL55" t="s">
        <v>715</v>
      </c>
      <c r="AM55" t="s">
        <v>716</v>
      </c>
      <c r="AN55" t="s">
        <v>717</v>
      </c>
      <c r="AO55" t="s">
        <v>8145</v>
      </c>
      <c r="AP55" t="s">
        <v>8146</v>
      </c>
      <c r="AQ55" t="s">
        <v>74</v>
      </c>
      <c r="AR55" t="s">
        <v>8147</v>
      </c>
      <c r="AS55" t="s">
        <v>8148</v>
      </c>
      <c r="AT55" t="s">
        <v>1430</v>
      </c>
      <c r="AU55">
        <v>2020</v>
      </c>
      <c r="AV55">
        <v>31</v>
      </c>
      <c r="AW55">
        <v>3</v>
      </c>
      <c r="AX55" t="s">
        <v>74</v>
      </c>
      <c r="AY55" t="s">
        <v>74</v>
      </c>
      <c r="AZ55" t="s">
        <v>1020</v>
      </c>
      <c r="BA55" t="s">
        <v>74</v>
      </c>
      <c r="BB55">
        <v>441</v>
      </c>
      <c r="BC55">
        <v>462</v>
      </c>
      <c r="BD55" t="s">
        <v>74</v>
      </c>
      <c r="BE55" t="s">
        <v>8149</v>
      </c>
      <c r="BF55" t="str">
        <f>HYPERLINK("http://dx.doi.org/10.1108/IJCMA-09-2019-0166","http://dx.doi.org/10.1108/IJCMA-09-2019-0166")</f>
        <v>http://dx.doi.org/10.1108/IJCMA-09-2019-0166</v>
      </c>
      <c r="BG55" t="s">
        <v>74</v>
      </c>
      <c r="BH55" t="s">
        <v>8028</v>
      </c>
      <c r="BI55">
        <v>22</v>
      </c>
      <c r="BJ55" t="s">
        <v>8150</v>
      </c>
      <c r="BK55" t="s">
        <v>156</v>
      </c>
      <c r="BL55" t="s">
        <v>8151</v>
      </c>
      <c r="BM55" t="s">
        <v>8152</v>
      </c>
      <c r="BN55" t="s">
        <v>74</v>
      </c>
      <c r="BO55" t="s">
        <v>74</v>
      </c>
      <c r="BP55" t="s">
        <v>74</v>
      </c>
      <c r="BQ55" t="s">
        <v>74</v>
      </c>
      <c r="BR55" t="s">
        <v>106</v>
      </c>
      <c r="BS55" t="s">
        <v>8153</v>
      </c>
      <c r="BT55" t="str">
        <f>HYPERLINK("https%3A%2F%2Fwww.webofscience.com%2Fwos%2Fwoscc%2Ffull-record%2FWOS:000522233700001","View Full Record in Web of Science")</f>
        <v>View Full Record in Web of Science</v>
      </c>
    </row>
    <row r="56" spans="1:72" x14ac:dyDescent="0.25">
      <c r="A56" t="s">
        <v>72</v>
      </c>
      <c r="B56" t="s">
        <v>11721</v>
      </c>
      <c r="C56" t="s">
        <v>74</v>
      </c>
      <c r="D56" t="s">
        <v>74</v>
      </c>
      <c r="E56" t="s">
        <v>74</v>
      </c>
      <c r="F56" t="s">
        <v>11722</v>
      </c>
      <c r="G56" t="s">
        <v>74</v>
      </c>
      <c r="H56" t="s">
        <v>74</v>
      </c>
      <c r="I56" s="1" t="s">
        <v>11723</v>
      </c>
      <c r="J56" t="s">
        <v>11724</v>
      </c>
      <c r="K56" t="s">
        <v>74</v>
      </c>
      <c r="L56" t="s">
        <v>74</v>
      </c>
      <c r="M56" t="s">
        <v>78</v>
      </c>
      <c r="N56" t="s">
        <v>79</v>
      </c>
      <c r="O56" t="s">
        <v>74</v>
      </c>
      <c r="P56" t="s">
        <v>74</v>
      </c>
      <c r="Q56" t="s">
        <v>74</v>
      </c>
      <c r="R56" t="s">
        <v>74</v>
      </c>
      <c r="S56" t="s">
        <v>74</v>
      </c>
      <c r="T56" s="1" t="s">
        <v>11725</v>
      </c>
      <c r="U56" s="1" t="s">
        <v>11726</v>
      </c>
      <c r="V56" s="1" t="s">
        <v>11727</v>
      </c>
      <c r="W56" t="s">
        <v>11728</v>
      </c>
      <c r="X56" t="s">
        <v>11729</v>
      </c>
      <c r="Y56" t="s">
        <v>11730</v>
      </c>
      <c r="Z56" t="s">
        <v>11731</v>
      </c>
      <c r="AA56" t="s">
        <v>74</v>
      </c>
      <c r="AB56" t="s">
        <v>11732</v>
      </c>
      <c r="AC56" t="s">
        <v>11733</v>
      </c>
      <c r="AD56" t="s">
        <v>11734</v>
      </c>
      <c r="AE56" t="s">
        <v>11735</v>
      </c>
      <c r="AF56" t="s">
        <v>74</v>
      </c>
      <c r="AG56">
        <v>42</v>
      </c>
      <c r="AH56">
        <v>31</v>
      </c>
      <c r="AI56">
        <v>32</v>
      </c>
      <c r="AJ56">
        <v>1</v>
      </c>
      <c r="AK56">
        <v>19</v>
      </c>
      <c r="AL56" t="s">
        <v>231</v>
      </c>
      <c r="AM56" t="s">
        <v>232</v>
      </c>
      <c r="AN56" t="s">
        <v>233</v>
      </c>
      <c r="AO56" t="s">
        <v>11736</v>
      </c>
      <c r="AP56" t="s">
        <v>11737</v>
      </c>
      <c r="AQ56" t="s">
        <v>74</v>
      </c>
      <c r="AR56" t="s">
        <v>11738</v>
      </c>
      <c r="AS56" t="s">
        <v>11739</v>
      </c>
      <c r="AT56" t="s">
        <v>6501</v>
      </c>
      <c r="AU56">
        <v>2014</v>
      </c>
      <c r="AV56">
        <v>768</v>
      </c>
      <c r="AW56" t="s">
        <v>74</v>
      </c>
      <c r="AX56" t="s">
        <v>74</v>
      </c>
      <c r="AY56" t="s">
        <v>74</v>
      </c>
      <c r="AZ56" t="s">
        <v>74</v>
      </c>
      <c r="BA56" t="s">
        <v>74</v>
      </c>
      <c r="BB56">
        <v>46</v>
      </c>
      <c r="BC56">
        <v>54</v>
      </c>
      <c r="BD56" t="s">
        <v>74</v>
      </c>
      <c r="BE56" t="s">
        <v>11740</v>
      </c>
      <c r="BF56" t="str">
        <f>HYPERLINK("http://dx.doi.org/10.1016/j.nima.2014.09.047","http://dx.doi.org/10.1016/j.nima.2014.09.047")</f>
        <v>http://dx.doi.org/10.1016/j.nima.2014.09.047</v>
      </c>
      <c r="BG56" t="s">
        <v>74</v>
      </c>
      <c r="BH56" t="s">
        <v>74</v>
      </c>
      <c r="BI56">
        <v>9</v>
      </c>
      <c r="BJ56" t="s">
        <v>11741</v>
      </c>
      <c r="BK56" t="s">
        <v>102</v>
      </c>
      <c r="BL56" t="s">
        <v>11742</v>
      </c>
      <c r="BM56" t="s">
        <v>11743</v>
      </c>
      <c r="BN56" t="s">
        <v>74</v>
      </c>
      <c r="BO56" t="s">
        <v>2623</v>
      </c>
      <c r="BP56" t="s">
        <v>74</v>
      </c>
      <c r="BQ56" t="s">
        <v>74</v>
      </c>
      <c r="BR56" t="s">
        <v>106</v>
      </c>
      <c r="BS56" t="s">
        <v>11744</v>
      </c>
      <c r="BT56" t="str">
        <f>HYPERLINK("https%3A%2F%2Fwww.webofscience.com%2Fwos%2Fwoscc%2Ffull-record%2FWOS:000344995400008","View Full Record in Web of Science")</f>
        <v>View Full Record in Web of Science</v>
      </c>
    </row>
    <row r="57" spans="1:72" x14ac:dyDescent="0.25">
      <c r="A57" t="s">
        <v>72</v>
      </c>
      <c r="B57" t="s">
        <v>9916</v>
      </c>
      <c r="C57" t="s">
        <v>74</v>
      </c>
      <c r="D57" t="s">
        <v>74</v>
      </c>
      <c r="E57" t="s">
        <v>74</v>
      </c>
      <c r="F57" t="s">
        <v>9917</v>
      </c>
      <c r="G57" t="s">
        <v>74</v>
      </c>
      <c r="H57" t="s">
        <v>74</v>
      </c>
      <c r="I57" s="1" t="s">
        <v>9918</v>
      </c>
      <c r="J57" t="s">
        <v>9919</v>
      </c>
      <c r="K57" t="s">
        <v>74</v>
      </c>
      <c r="L57" t="s">
        <v>74</v>
      </c>
      <c r="M57" t="s">
        <v>78</v>
      </c>
      <c r="N57" t="s">
        <v>79</v>
      </c>
      <c r="O57" t="s">
        <v>74</v>
      </c>
      <c r="P57" t="s">
        <v>74</v>
      </c>
      <c r="Q57" t="s">
        <v>74</v>
      </c>
      <c r="R57" t="s">
        <v>74</v>
      </c>
      <c r="S57" t="s">
        <v>74</v>
      </c>
      <c r="T57" s="1" t="s">
        <v>9920</v>
      </c>
      <c r="U57" s="1" t="s">
        <v>9921</v>
      </c>
      <c r="V57" s="1" t="s">
        <v>9922</v>
      </c>
      <c r="W57" t="s">
        <v>9923</v>
      </c>
      <c r="X57" t="s">
        <v>9924</v>
      </c>
      <c r="Y57" t="s">
        <v>9925</v>
      </c>
      <c r="Z57" t="s">
        <v>9926</v>
      </c>
      <c r="AA57" t="s">
        <v>74</v>
      </c>
      <c r="AB57" t="s">
        <v>9927</v>
      </c>
      <c r="AC57" t="s">
        <v>9928</v>
      </c>
      <c r="AD57" t="s">
        <v>9929</v>
      </c>
      <c r="AE57" t="s">
        <v>9930</v>
      </c>
      <c r="AF57" t="s">
        <v>74</v>
      </c>
      <c r="AG57">
        <v>81</v>
      </c>
      <c r="AH57">
        <v>30</v>
      </c>
      <c r="AI57">
        <v>31</v>
      </c>
      <c r="AJ57">
        <v>13</v>
      </c>
      <c r="AK57">
        <v>146</v>
      </c>
      <c r="AL57" t="s">
        <v>9779</v>
      </c>
      <c r="AM57" t="s">
        <v>232</v>
      </c>
      <c r="AN57" t="s">
        <v>9780</v>
      </c>
      <c r="AO57" t="s">
        <v>9931</v>
      </c>
      <c r="AP57" t="s">
        <v>9932</v>
      </c>
      <c r="AQ57" t="s">
        <v>74</v>
      </c>
      <c r="AR57" t="s">
        <v>9933</v>
      </c>
      <c r="AS57" t="s">
        <v>9934</v>
      </c>
      <c r="AT57" t="s">
        <v>1448</v>
      </c>
      <c r="AU57">
        <v>2018</v>
      </c>
      <c r="AV57">
        <v>108</v>
      </c>
      <c r="AW57" t="s">
        <v>74</v>
      </c>
      <c r="AX57" t="s">
        <v>74</v>
      </c>
      <c r="AY57" t="s">
        <v>74</v>
      </c>
      <c r="AZ57" t="s">
        <v>74</v>
      </c>
      <c r="BA57" t="s">
        <v>74</v>
      </c>
      <c r="BB57">
        <v>34</v>
      </c>
      <c r="BC57">
        <v>44</v>
      </c>
      <c r="BD57" t="s">
        <v>74</v>
      </c>
      <c r="BE57" t="s">
        <v>9935</v>
      </c>
      <c r="BF57" t="str">
        <f>HYPERLINK("http://dx.doi.org/10.1016/j.dss.2018.02.003","http://dx.doi.org/10.1016/j.dss.2018.02.003")</f>
        <v>http://dx.doi.org/10.1016/j.dss.2018.02.003</v>
      </c>
      <c r="BG57" t="s">
        <v>74</v>
      </c>
      <c r="BH57" t="s">
        <v>74</v>
      </c>
      <c r="BI57">
        <v>11</v>
      </c>
      <c r="BJ57" t="s">
        <v>9936</v>
      </c>
      <c r="BK57" t="s">
        <v>211</v>
      </c>
      <c r="BL57" t="s">
        <v>9937</v>
      </c>
      <c r="BM57" t="s">
        <v>9938</v>
      </c>
      <c r="BN57" t="s">
        <v>74</v>
      </c>
      <c r="BO57" t="s">
        <v>74</v>
      </c>
      <c r="BP57" t="s">
        <v>74</v>
      </c>
      <c r="BQ57" t="s">
        <v>74</v>
      </c>
      <c r="BR57" t="s">
        <v>106</v>
      </c>
      <c r="BS57" t="s">
        <v>9939</v>
      </c>
      <c r="BT57" t="str">
        <f>HYPERLINK("https%3A%2F%2Fwww.webofscience.com%2Fwos%2Fwoscc%2Ffull-record%2FWOS:000433014800004","View Full Record in Web of Science")</f>
        <v>View Full Record in Web of Science</v>
      </c>
    </row>
    <row r="58" spans="1:72" x14ac:dyDescent="0.25">
      <c r="A58" t="s">
        <v>72</v>
      </c>
      <c r="B58" t="s">
        <v>9940</v>
      </c>
      <c r="C58" t="s">
        <v>74</v>
      </c>
      <c r="D58" t="s">
        <v>74</v>
      </c>
      <c r="E58" t="s">
        <v>74</v>
      </c>
      <c r="F58" t="s">
        <v>9941</v>
      </c>
      <c r="G58" t="s">
        <v>74</v>
      </c>
      <c r="H58" t="s">
        <v>74</v>
      </c>
      <c r="I58" s="1" t="s">
        <v>9942</v>
      </c>
      <c r="J58" t="s">
        <v>9943</v>
      </c>
      <c r="K58" t="s">
        <v>74</v>
      </c>
      <c r="L58" t="s">
        <v>74</v>
      </c>
      <c r="M58" t="s">
        <v>78</v>
      </c>
      <c r="N58" t="s">
        <v>79</v>
      </c>
      <c r="O58" t="s">
        <v>74</v>
      </c>
      <c r="P58" t="s">
        <v>74</v>
      </c>
      <c r="Q58" t="s">
        <v>74</v>
      </c>
      <c r="R58" t="s">
        <v>74</v>
      </c>
      <c r="S58" t="s">
        <v>74</v>
      </c>
      <c r="T58" s="1" t="s">
        <v>74</v>
      </c>
      <c r="U58" s="1" t="s">
        <v>9944</v>
      </c>
      <c r="V58" s="1" t="s">
        <v>9945</v>
      </c>
      <c r="W58" t="s">
        <v>9946</v>
      </c>
      <c r="X58" t="s">
        <v>9947</v>
      </c>
      <c r="Y58" t="s">
        <v>9948</v>
      </c>
      <c r="Z58" t="s">
        <v>9949</v>
      </c>
      <c r="AA58" t="s">
        <v>74</v>
      </c>
      <c r="AB58" t="s">
        <v>74</v>
      </c>
      <c r="AC58" t="s">
        <v>74</v>
      </c>
      <c r="AD58" t="s">
        <v>74</v>
      </c>
      <c r="AE58" t="s">
        <v>74</v>
      </c>
      <c r="AF58" t="s">
        <v>74</v>
      </c>
      <c r="AG58">
        <v>26</v>
      </c>
      <c r="AH58">
        <v>30</v>
      </c>
      <c r="AI58">
        <v>30</v>
      </c>
      <c r="AJ58">
        <v>0</v>
      </c>
      <c r="AK58">
        <v>5</v>
      </c>
      <c r="AL58" t="s">
        <v>3844</v>
      </c>
      <c r="AM58" t="s">
        <v>3189</v>
      </c>
      <c r="AN58" t="s">
        <v>3845</v>
      </c>
      <c r="AO58" t="s">
        <v>9950</v>
      </c>
      <c r="AP58" t="s">
        <v>9951</v>
      </c>
      <c r="AQ58" t="s">
        <v>74</v>
      </c>
      <c r="AR58" t="s">
        <v>9952</v>
      </c>
      <c r="AS58" t="s">
        <v>9953</v>
      </c>
      <c r="AT58" t="s">
        <v>1448</v>
      </c>
      <c r="AU58">
        <v>2018</v>
      </c>
      <c r="AV58">
        <v>48</v>
      </c>
      <c r="AW58">
        <v>4</v>
      </c>
      <c r="AX58" t="s">
        <v>74</v>
      </c>
      <c r="AY58" t="s">
        <v>74</v>
      </c>
      <c r="AZ58" t="s">
        <v>74</v>
      </c>
      <c r="BA58" t="s">
        <v>74</v>
      </c>
      <c r="BB58">
        <v>191</v>
      </c>
      <c r="BC58">
        <v>196</v>
      </c>
      <c r="BD58" t="s">
        <v>74</v>
      </c>
      <c r="BE58" t="s">
        <v>9954</v>
      </c>
      <c r="BF58" t="str">
        <f>HYPERLINK("http://dx.doi.org/10.1097/NNA.0000000000000598","http://dx.doi.org/10.1097/NNA.0000000000000598")</f>
        <v>http://dx.doi.org/10.1097/NNA.0000000000000598</v>
      </c>
      <c r="BG58" t="s">
        <v>74</v>
      </c>
      <c r="BH58" t="s">
        <v>74</v>
      </c>
      <c r="BI58">
        <v>6</v>
      </c>
      <c r="BJ58" t="s">
        <v>9955</v>
      </c>
      <c r="BK58" t="s">
        <v>211</v>
      </c>
      <c r="BL58" t="s">
        <v>9955</v>
      </c>
      <c r="BM58" t="s">
        <v>9956</v>
      </c>
      <c r="BN58">
        <v>29570144</v>
      </c>
      <c r="BO58" t="s">
        <v>74</v>
      </c>
      <c r="BP58" t="s">
        <v>74</v>
      </c>
      <c r="BQ58" t="s">
        <v>74</v>
      </c>
      <c r="BR58" t="s">
        <v>106</v>
      </c>
      <c r="BS58" t="s">
        <v>9957</v>
      </c>
      <c r="BT58" t="str">
        <f>HYPERLINK("https%3A%2F%2Fwww.webofscience.com%2Fwos%2Fwoscc%2Ffull-record%2FWOS:000431178300006","View Full Record in Web of Science")</f>
        <v>View Full Record in Web of Science</v>
      </c>
    </row>
    <row r="59" spans="1:72" x14ac:dyDescent="0.25">
      <c r="A59" t="s">
        <v>72</v>
      </c>
      <c r="B59" t="s">
        <v>12381</v>
      </c>
      <c r="C59" t="s">
        <v>74</v>
      </c>
      <c r="D59" t="s">
        <v>74</v>
      </c>
      <c r="E59" t="s">
        <v>74</v>
      </c>
      <c r="F59" t="s">
        <v>12382</v>
      </c>
      <c r="G59" t="s">
        <v>74</v>
      </c>
      <c r="H59" t="s">
        <v>74</v>
      </c>
      <c r="I59" s="1" t="s">
        <v>12383</v>
      </c>
      <c r="J59" t="s">
        <v>12384</v>
      </c>
      <c r="K59" t="s">
        <v>74</v>
      </c>
      <c r="L59" t="s">
        <v>74</v>
      </c>
      <c r="M59" t="s">
        <v>78</v>
      </c>
      <c r="N59" t="s">
        <v>79</v>
      </c>
      <c r="O59" t="s">
        <v>74</v>
      </c>
      <c r="P59" t="s">
        <v>74</v>
      </c>
      <c r="Q59" t="s">
        <v>74</v>
      </c>
      <c r="R59" t="s">
        <v>74</v>
      </c>
      <c r="S59" t="s">
        <v>74</v>
      </c>
      <c r="T59" s="1" t="s">
        <v>12385</v>
      </c>
      <c r="U59" s="1" t="s">
        <v>12386</v>
      </c>
      <c r="V59" s="1" t="s">
        <v>12387</v>
      </c>
      <c r="W59" t="s">
        <v>12388</v>
      </c>
      <c r="X59" t="s">
        <v>12389</v>
      </c>
      <c r="Y59" t="s">
        <v>12390</v>
      </c>
      <c r="Z59" t="s">
        <v>12391</v>
      </c>
      <c r="AA59" t="s">
        <v>12392</v>
      </c>
      <c r="AB59" t="s">
        <v>12393</v>
      </c>
      <c r="AC59" t="s">
        <v>12394</v>
      </c>
      <c r="AD59" t="s">
        <v>12395</v>
      </c>
      <c r="AE59" t="s">
        <v>12396</v>
      </c>
      <c r="AF59" t="s">
        <v>74</v>
      </c>
      <c r="AG59">
        <v>31</v>
      </c>
      <c r="AH59">
        <v>30</v>
      </c>
      <c r="AI59">
        <v>31</v>
      </c>
      <c r="AJ59">
        <v>0</v>
      </c>
      <c r="AK59">
        <v>9</v>
      </c>
      <c r="AL59" t="s">
        <v>2153</v>
      </c>
      <c r="AM59" t="s">
        <v>2154</v>
      </c>
      <c r="AN59" t="s">
        <v>2155</v>
      </c>
      <c r="AO59" t="s">
        <v>12397</v>
      </c>
      <c r="AP59" t="s">
        <v>12398</v>
      </c>
      <c r="AQ59" t="s">
        <v>74</v>
      </c>
      <c r="AR59" t="s">
        <v>12399</v>
      </c>
      <c r="AS59" t="s">
        <v>12400</v>
      </c>
      <c r="AT59" t="s">
        <v>837</v>
      </c>
      <c r="AU59">
        <v>2011</v>
      </c>
      <c r="AV59">
        <v>58</v>
      </c>
      <c r="AW59">
        <v>7</v>
      </c>
      <c r="AX59" t="s">
        <v>74</v>
      </c>
      <c r="AY59" t="s">
        <v>74</v>
      </c>
      <c r="AZ59" t="s">
        <v>74</v>
      </c>
      <c r="BA59" t="s">
        <v>74</v>
      </c>
      <c r="BB59">
        <v>2809</v>
      </c>
      <c r="BC59">
        <v>2817</v>
      </c>
      <c r="BD59" t="s">
        <v>74</v>
      </c>
      <c r="BE59" t="s">
        <v>12401</v>
      </c>
      <c r="BF59" t="str">
        <f>HYPERLINK("http://dx.doi.org/10.1109/TIE.2010.2080652","http://dx.doi.org/10.1109/TIE.2010.2080652")</f>
        <v>http://dx.doi.org/10.1109/TIE.2010.2080652</v>
      </c>
      <c r="BG59" t="s">
        <v>74</v>
      </c>
      <c r="BH59" t="s">
        <v>74</v>
      </c>
      <c r="BI59">
        <v>9</v>
      </c>
      <c r="BJ59" t="s">
        <v>12402</v>
      </c>
      <c r="BK59" t="s">
        <v>102</v>
      </c>
      <c r="BL59" t="s">
        <v>12403</v>
      </c>
      <c r="BM59" t="s">
        <v>12404</v>
      </c>
      <c r="BN59" t="s">
        <v>74</v>
      </c>
      <c r="BO59" t="s">
        <v>74</v>
      </c>
      <c r="BP59" t="s">
        <v>74</v>
      </c>
      <c r="BQ59" t="s">
        <v>74</v>
      </c>
      <c r="BR59" t="s">
        <v>106</v>
      </c>
      <c r="BS59" t="s">
        <v>12405</v>
      </c>
      <c r="BT59" t="str">
        <f>HYPERLINK("https%3A%2F%2Fwww.webofscience.com%2Fwos%2Fwoscc%2Ffull-record%2FWOS:000293832600026","View Full Record in Web of Science")</f>
        <v>View Full Record in Web of Science</v>
      </c>
    </row>
    <row r="60" spans="1:72" x14ac:dyDescent="0.25">
      <c r="A60" t="s">
        <v>72</v>
      </c>
      <c r="B60" t="s">
        <v>7666</v>
      </c>
      <c r="C60" t="s">
        <v>74</v>
      </c>
      <c r="D60" t="s">
        <v>74</v>
      </c>
      <c r="E60" t="s">
        <v>74</v>
      </c>
      <c r="F60" t="s">
        <v>7667</v>
      </c>
      <c r="G60" t="s">
        <v>74</v>
      </c>
      <c r="H60" t="s">
        <v>74</v>
      </c>
      <c r="I60" s="1" t="s">
        <v>7668</v>
      </c>
      <c r="J60" t="s">
        <v>7669</v>
      </c>
      <c r="K60" t="s">
        <v>74</v>
      </c>
      <c r="L60" t="s">
        <v>74</v>
      </c>
      <c r="M60" t="s">
        <v>78</v>
      </c>
      <c r="N60" t="s">
        <v>79</v>
      </c>
      <c r="O60" t="s">
        <v>74</v>
      </c>
      <c r="P60" t="s">
        <v>74</v>
      </c>
      <c r="Q60" t="s">
        <v>74</v>
      </c>
      <c r="R60" t="s">
        <v>74</v>
      </c>
      <c r="S60" t="s">
        <v>74</v>
      </c>
      <c r="T60" s="1" t="s">
        <v>7670</v>
      </c>
      <c r="U60" s="1" t="s">
        <v>7671</v>
      </c>
      <c r="V60" s="1" t="s">
        <v>7672</v>
      </c>
      <c r="W60" t="s">
        <v>7673</v>
      </c>
      <c r="X60" t="s">
        <v>7674</v>
      </c>
      <c r="Y60" t="s">
        <v>7675</v>
      </c>
      <c r="Z60" t="s">
        <v>7676</v>
      </c>
      <c r="AA60" t="s">
        <v>7677</v>
      </c>
      <c r="AB60" t="s">
        <v>7678</v>
      </c>
      <c r="AC60" t="s">
        <v>7679</v>
      </c>
      <c r="AD60" t="s">
        <v>7680</v>
      </c>
      <c r="AE60" t="s">
        <v>7681</v>
      </c>
      <c r="AF60" t="s">
        <v>74</v>
      </c>
      <c r="AG60">
        <v>60</v>
      </c>
      <c r="AH60">
        <v>29</v>
      </c>
      <c r="AI60">
        <v>29</v>
      </c>
      <c r="AJ60">
        <v>23</v>
      </c>
      <c r="AK60">
        <v>210</v>
      </c>
      <c r="AL60" t="s">
        <v>1636</v>
      </c>
      <c r="AM60" t="s">
        <v>93</v>
      </c>
      <c r="AN60" t="s">
        <v>1637</v>
      </c>
      <c r="AO60" t="s">
        <v>7682</v>
      </c>
      <c r="AP60" t="s">
        <v>7683</v>
      </c>
      <c r="AQ60" t="s">
        <v>74</v>
      </c>
      <c r="AR60" t="s">
        <v>7684</v>
      </c>
      <c r="AS60" t="s">
        <v>7685</v>
      </c>
      <c r="AT60" t="s">
        <v>476</v>
      </c>
      <c r="AU60">
        <v>2020</v>
      </c>
      <c r="AV60">
        <v>81</v>
      </c>
      <c r="AW60" t="s">
        <v>74</v>
      </c>
      <c r="AX60" t="s">
        <v>74</v>
      </c>
      <c r="AY60" t="s">
        <v>74</v>
      </c>
      <c r="AZ60" t="s">
        <v>74</v>
      </c>
      <c r="BA60" t="s">
        <v>74</v>
      </c>
      <c r="BB60" t="s">
        <v>74</v>
      </c>
      <c r="BC60" t="s">
        <v>74</v>
      </c>
      <c r="BD60">
        <v>104162</v>
      </c>
      <c r="BE60" t="s">
        <v>7686</v>
      </c>
      <c r="BF60" t="str">
        <f>HYPERLINK("http://dx.doi.org/10.1016/j.tourman.2020.104162","http://dx.doi.org/10.1016/j.tourman.2020.104162")</f>
        <v>http://dx.doi.org/10.1016/j.tourman.2020.104162</v>
      </c>
      <c r="BG60" t="s">
        <v>74</v>
      </c>
      <c r="BH60" t="s">
        <v>74</v>
      </c>
      <c r="BI60">
        <v>14</v>
      </c>
      <c r="BJ60" t="s">
        <v>7687</v>
      </c>
      <c r="BK60" t="s">
        <v>156</v>
      </c>
      <c r="BL60" t="s">
        <v>7688</v>
      </c>
      <c r="BM60" t="s">
        <v>7689</v>
      </c>
      <c r="BN60" t="s">
        <v>74</v>
      </c>
      <c r="BO60" t="s">
        <v>2805</v>
      </c>
      <c r="BP60" t="s">
        <v>74</v>
      </c>
      <c r="BQ60" t="s">
        <v>74</v>
      </c>
      <c r="BR60" t="s">
        <v>106</v>
      </c>
      <c r="BS60" t="s">
        <v>7690</v>
      </c>
      <c r="BT60" t="str">
        <f>HYPERLINK("https%3A%2F%2Fwww.webofscience.com%2Fwos%2Fwoscc%2Ffull-record%2FWOS:000550153800021","View Full Record in Web of Science")</f>
        <v>View Full Record in Web of Science</v>
      </c>
    </row>
    <row r="61" spans="1:72" x14ac:dyDescent="0.25">
      <c r="A61" t="s">
        <v>72</v>
      </c>
      <c r="B61" t="s">
        <v>9152</v>
      </c>
      <c r="C61" t="s">
        <v>74</v>
      </c>
      <c r="D61" t="s">
        <v>74</v>
      </c>
      <c r="E61" t="s">
        <v>74</v>
      </c>
      <c r="F61" t="s">
        <v>9153</v>
      </c>
      <c r="G61" t="s">
        <v>74</v>
      </c>
      <c r="H61" t="s">
        <v>74</v>
      </c>
      <c r="I61" s="1" t="s">
        <v>9154</v>
      </c>
      <c r="J61" t="s">
        <v>9155</v>
      </c>
      <c r="K61" t="s">
        <v>74</v>
      </c>
      <c r="L61" t="s">
        <v>74</v>
      </c>
      <c r="M61" t="s">
        <v>78</v>
      </c>
      <c r="N61" t="s">
        <v>79</v>
      </c>
      <c r="O61" t="s">
        <v>74</v>
      </c>
      <c r="P61" t="s">
        <v>74</v>
      </c>
      <c r="Q61" t="s">
        <v>74</v>
      </c>
      <c r="R61" t="s">
        <v>74</v>
      </c>
      <c r="S61" t="s">
        <v>74</v>
      </c>
      <c r="T61" s="1" t="s">
        <v>9156</v>
      </c>
      <c r="U61" s="1" t="s">
        <v>9157</v>
      </c>
      <c r="V61" s="1" t="s">
        <v>9158</v>
      </c>
      <c r="W61" t="s">
        <v>9159</v>
      </c>
      <c r="X61" t="s">
        <v>9160</v>
      </c>
      <c r="Y61" t="s">
        <v>9161</v>
      </c>
      <c r="Z61" t="s">
        <v>9162</v>
      </c>
      <c r="AA61" t="s">
        <v>9163</v>
      </c>
      <c r="AB61" t="s">
        <v>9164</v>
      </c>
      <c r="AC61" t="s">
        <v>9165</v>
      </c>
      <c r="AD61" t="s">
        <v>9166</v>
      </c>
      <c r="AE61" t="s">
        <v>9167</v>
      </c>
      <c r="AF61" t="s">
        <v>74</v>
      </c>
      <c r="AG61">
        <v>45</v>
      </c>
      <c r="AH61">
        <v>28</v>
      </c>
      <c r="AI61">
        <v>29</v>
      </c>
      <c r="AJ61">
        <v>1</v>
      </c>
      <c r="AK61">
        <v>9</v>
      </c>
      <c r="AL61" t="s">
        <v>492</v>
      </c>
      <c r="AM61" t="s">
        <v>493</v>
      </c>
      <c r="AN61" t="s">
        <v>494</v>
      </c>
      <c r="AO61" t="s">
        <v>9168</v>
      </c>
      <c r="AP61" t="s">
        <v>9169</v>
      </c>
      <c r="AQ61" t="s">
        <v>74</v>
      </c>
      <c r="AR61" t="s">
        <v>9170</v>
      </c>
      <c r="AS61" t="s">
        <v>9171</v>
      </c>
      <c r="AT61" t="s">
        <v>9172</v>
      </c>
      <c r="AU61">
        <v>2019</v>
      </c>
      <c r="AV61">
        <v>20</v>
      </c>
      <c r="AW61">
        <v>4</v>
      </c>
      <c r="AX61" t="s">
        <v>74</v>
      </c>
      <c r="AY61" t="s">
        <v>74</v>
      </c>
      <c r="AZ61" t="s">
        <v>74</v>
      </c>
      <c r="BA61" t="s">
        <v>74</v>
      </c>
      <c r="BB61">
        <v>542</v>
      </c>
      <c r="BC61">
        <v>562</v>
      </c>
      <c r="BD61" t="s">
        <v>74</v>
      </c>
      <c r="BE61" t="s">
        <v>9173</v>
      </c>
      <c r="BF61" t="str">
        <f>HYPERLINK("http://dx.doi.org/10.1080/1461670X.2017.1397532","http://dx.doi.org/10.1080/1461670X.2017.1397532")</f>
        <v>http://dx.doi.org/10.1080/1461670X.2017.1397532</v>
      </c>
      <c r="BG61" t="s">
        <v>74</v>
      </c>
      <c r="BH61" t="s">
        <v>74</v>
      </c>
      <c r="BI61">
        <v>21</v>
      </c>
      <c r="BJ61" t="s">
        <v>2218</v>
      </c>
      <c r="BK61" t="s">
        <v>156</v>
      </c>
      <c r="BL61" t="s">
        <v>2218</v>
      </c>
      <c r="BM61" t="s">
        <v>9174</v>
      </c>
      <c r="BN61" t="s">
        <v>74</v>
      </c>
      <c r="BO61" t="s">
        <v>2427</v>
      </c>
      <c r="BP61" t="s">
        <v>74</v>
      </c>
      <c r="BQ61" t="s">
        <v>74</v>
      </c>
      <c r="BR61" t="s">
        <v>106</v>
      </c>
      <c r="BS61" t="s">
        <v>9175</v>
      </c>
      <c r="BT61" t="str">
        <f>HYPERLINK("https%3A%2F%2Fwww.webofscience.com%2Fwos%2Fwoscc%2Ffull-record%2FWOS:000460458100005","View Full Record in Web of Science")</f>
        <v>View Full Record in Web of Science</v>
      </c>
    </row>
    <row r="62" spans="1:72" x14ac:dyDescent="0.25">
      <c r="A62" t="s">
        <v>72</v>
      </c>
      <c r="B62" t="s">
        <v>11625</v>
      </c>
      <c r="C62" t="s">
        <v>74</v>
      </c>
      <c r="D62" t="s">
        <v>74</v>
      </c>
      <c r="E62" t="s">
        <v>74</v>
      </c>
      <c r="F62" t="s">
        <v>11626</v>
      </c>
      <c r="G62" t="s">
        <v>74</v>
      </c>
      <c r="H62" t="s">
        <v>74</v>
      </c>
      <c r="I62" s="1" t="s">
        <v>11627</v>
      </c>
      <c r="J62" t="s">
        <v>8458</v>
      </c>
      <c r="K62" t="s">
        <v>74</v>
      </c>
      <c r="L62" t="s">
        <v>74</v>
      </c>
      <c r="M62" t="s">
        <v>78</v>
      </c>
      <c r="N62" t="s">
        <v>79</v>
      </c>
      <c r="O62" t="s">
        <v>74</v>
      </c>
      <c r="P62" t="s">
        <v>74</v>
      </c>
      <c r="Q62" t="s">
        <v>74</v>
      </c>
      <c r="R62" t="s">
        <v>74</v>
      </c>
      <c r="S62" t="s">
        <v>74</v>
      </c>
      <c r="T62" s="1" t="s">
        <v>11628</v>
      </c>
      <c r="U62" s="1" t="s">
        <v>11629</v>
      </c>
      <c r="V62" s="1" t="s">
        <v>11630</v>
      </c>
      <c r="W62" t="s">
        <v>11631</v>
      </c>
      <c r="X62" t="s">
        <v>11632</v>
      </c>
      <c r="Y62" t="s">
        <v>11633</v>
      </c>
      <c r="Z62" t="s">
        <v>11634</v>
      </c>
      <c r="AA62" t="s">
        <v>74</v>
      </c>
      <c r="AB62" t="s">
        <v>11635</v>
      </c>
      <c r="AC62" t="s">
        <v>74</v>
      </c>
      <c r="AD62" t="s">
        <v>74</v>
      </c>
      <c r="AE62" t="s">
        <v>74</v>
      </c>
      <c r="AF62" t="s">
        <v>74</v>
      </c>
      <c r="AG62">
        <v>42</v>
      </c>
      <c r="AH62">
        <v>28</v>
      </c>
      <c r="AI62">
        <v>28</v>
      </c>
      <c r="AJ62">
        <v>1</v>
      </c>
      <c r="AK62">
        <v>42</v>
      </c>
      <c r="AL62" t="s">
        <v>1074</v>
      </c>
      <c r="AM62" t="s">
        <v>1075</v>
      </c>
      <c r="AN62" t="s">
        <v>1076</v>
      </c>
      <c r="AO62" t="s">
        <v>8465</v>
      </c>
      <c r="AP62" t="s">
        <v>8466</v>
      </c>
      <c r="AQ62" t="s">
        <v>74</v>
      </c>
      <c r="AR62" t="s">
        <v>8458</v>
      </c>
      <c r="AS62" t="s">
        <v>8467</v>
      </c>
      <c r="AT62" t="s">
        <v>2068</v>
      </c>
      <c r="AU62">
        <v>2015</v>
      </c>
      <c r="AV62">
        <v>16</v>
      </c>
      <c r="AW62">
        <v>1</v>
      </c>
      <c r="AX62" t="s">
        <v>74</v>
      </c>
      <c r="AY62" t="s">
        <v>74</v>
      </c>
      <c r="AZ62" t="s">
        <v>1020</v>
      </c>
      <c r="BA62" t="s">
        <v>74</v>
      </c>
      <c r="BB62">
        <v>10</v>
      </c>
      <c r="BC62">
        <v>26</v>
      </c>
      <c r="BD62" t="s">
        <v>74</v>
      </c>
      <c r="BE62" t="s">
        <v>11636</v>
      </c>
      <c r="BF62" t="str">
        <f>HYPERLINK("http://dx.doi.org/10.1177/1464884914545729","http://dx.doi.org/10.1177/1464884914545729")</f>
        <v>http://dx.doi.org/10.1177/1464884914545729</v>
      </c>
      <c r="BG62" t="s">
        <v>74</v>
      </c>
      <c r="BH62" t="s">
        <v>74</v>
      </c>
      <c r="BI62">
        <v>17</v>
      </c>
      <c r="BJ62" t="s">
        <v>2218</v>
      </c>
      <c r="BK62" t="s">
        <v>156</v>
      </c>
      <c r="BL62" t="s">
        <v>2218</v>
      </c>
      <c r="BM62" t="s">
        <v>11637</v>
      </c>
      <c r="BN62" t="s">
        <v>74</v>
      </c>
      <c r="BO62" t="s">
        <v>2805</v>
      </c>
      <c r="BP62" t="s">
        <v>74</v>
      </c>
      <c r="BQ62" t="s">
        <v>74</v>
      </c>
      <c r="BR62" t="s">
        <v>106</v>
      </c>
      <c r="BS62" t="s">
        <v>11638</v>
      </c>
      <c r="BT62" t="str">
        <f>HYPERLINK("https%3A%2F%2Fwww.webofscience.com%2Fwos%2Fwoscc%2Ffull-record%2FWOS:000346823000002","View Full Record in Web of Science")</f>
        <v>View Full Record in Web of Science</v>
      </c>
    </row>
    <row r="63" spans="1:72" x14ac:dyDescent="0.25">
      <c r="A63" t="s">
        <v>72</v>
      </c>
      <c r="B63" t="s">
        <v>6681</v>
      </c>
      <c r="C63" t="s">
        <v>74</v>
      </c>
      <c r="D63" t="s">
        <v>74</v>
      </c>
      <c r="E63" t="s">
        <v>74</v>
      </c>
      <c r="F63" t="s">
        <v>6682</v>
      </c>
      <c r="G63" t="s">
        <v>74</v>
      </c>
      <c r="H63" t="s">
        <v>74</v>
      </c>
      <c r="I63" s="1" t="s">
        <v>6683</v>
      </c>
      <c r="J63" t="s">
        <v>6684</v>
      </c>
      <c r="K63" t="s">
        <v>74</v>
      </c>
      <c r="L63" t="s">
        <v>74</v>
      </c>
      <c r="M63" t="s">
        <v>78</v>
      </c>
      <c r="N63" t="s">
        <v>79</v>
      </c>
      <c r="O63" t="s">
        <v>74</v>
      </c>
      <c r="P63" t="s">
        <v>74</v>
      </c>
      <c r="Q63" t="s">
        <v>74</v>
      </c>
      <c r="R63" t="s">
        <v>74</v>
      </c>
      <c r="S63" t="s">
        <v>74</v>
      </c>
      <c r="T63" s="1" t="s">
        <v>74</v>
      </c>
      <c r="U63" s="1" t="s">
        <v>6685</v>
      </c>
      <c r="V63" s="1" t="s">
        <v>6686</v>
      </c>
      <c r="W63" t="s">
        <v>6687</v>
      </c>
      <c r="X63" t="s">
        <v>6688</v>
      </c>
      <c r="Y63" t="s">
        <v>6689</v>
      </c>
      <c r="Z63" t="s">
        <v>6690</v>
      </c>
      <c r="AA63" t="s">
        <v>74</v>
      </c>
      <c r="AB63" t="s">
        <v>6691</v>
      </c>
      <c r="AC63" t="s">
        <v>6692</v>
      </c>
      <c r="AD63" t="s">
        <v>6693</v>
      </c>
      <c r="AE63" t="s">
        <v>6694</v>
      </c>
      <c r="AF63" t="s">
        <v>74</v>
      </c>
      <c r="AG63">
        <v>26</v>
      </c>
      <c r="AH63">
        <v>27</v>
      </c>
      <c r="AI63">
        <v>27</v>
      </c>
      <c r="AJ63">
        <v>1</v>
      </c>
      <c r="AK63">
        <v>6</v>
      </c>
      <c r="AL63" t="s">
        <v>6695</v>
      </c>
      <c r="AM63" t="s">
        <v>3189</v>
      </c>
      <c r="AN63" t="s">
        <v>6696</v>
      </c>
      <c r="AO63" t="s">
        <v>6697</v>
      </c>
      <c r="AP63" t="s">
        <v>6698</v>
      </c>
      <c r="AQ63" t="s">
        <v>74</v>
      </c>
      <c r="AR63" t="s">
        <v>6699</v>
      </c>
      <c r="AS63" t="s">
        <v>6700</v>
      </c>
      <c r="AT63" t="s">
        <v>6701</v>
      </c>
      <c r="AU63">
        <v>2021</v>
      </c>
      <c r="AV63">
        <v>27</v>
      </c>
      <c r="AW63">
        <v>4</v>
      </c>
      <c r="AX63" t="s">
        <v>74</v>
      </c>
      <c r="AY63" t="s">
        <v>74</v>
      </c>
      <c r="AZ63" t="s">
        <v>74</v>
      </c>
      <c r="BA63" t="s">
        <v>74</v>
      </c>
      <c r="BB63">
        <v>933</v>
      </c>
      <c r="BC63">
        <v>936</v>
      </c>
      <c r="BD63" t="s">
        <v>74</v>
      </c>
      <c r="BE63" t="s">
        <v>6702</v>
      </c>
      <c r="BF63" t="str">
        <f>HYPERLINK("http://dx.doi.org/10.1158/1078-0432.CCR-20-3758","http://dx.doi.org/10.1158/1078-0432.CCR-20-3758")</f>
        <v>http://dx.doi.org/10.1158/1078-0432.CCR-20-3758</v>
      </c>
      <c r="BG63" t="s">
        <v>74</v>
      </c>
      <c r="BH63" t="s">
        <v>74</v>
      </c>
      <c r="BI63">
        <v>4</v>
      </c>
      <c r="BJ63" t="s">
        <v>6703</v>
      </c>
      <c r="BK63" t="s">
        <v>102</v>
      </c>
      <c r="BL63" t="s">
        <v>6703</v>
      </c>
      <c r="BM63" t="s">
        <v>6704</v>
      </c>
      <c r="BN63">
        <v>33229457</v>
      </c>
      <c r="BO63" t="s">
        <v>6705</v>
      </c>
      <c r="BP63" t="s">
        <v>74</v>
      </c>
      <c r="BQ63" t="s">
        <v>74</v>
      </c>
      <c r="BR63" t="s">
        <v>106</v>
      </c>
      <c r="BS63" t="s">
        <v>6706</v>
      </c>
      <c r="BT63" t="str">
        <f>HYPERLINK("https%3A%2F%2Fwww.webofscience.com%2Fwos%2Fwoscc%2Ffull-record%2FWOS:000620168400008","View Full Record in Web of Science")</f>
        <v>View Full Record in Web of Science</v>
      </c>
    </row>
    <row r="64" spans="1:72" x14ac:dyDescent="0.25">
      <c r="A64" t="s">
        <v>72</v>
      </c>
      <c r="B64" t="s">
        <v>9958</v>
      </c>
      <c r="C64" t="s">
        <v>74</v>
      </c>
      <c r="D64" t="s">
        <v>74</v>
      </c>
      <c r="E64" t="s">
        <v>74</v>
      </c>
      <c r="F64" t="s">
        <v>9959</v>
      </c>
      <c r="G64" t="s">
        <v>74</v>
      </c>
      <c r="H64" t="s">
        <v>74</v>
      </c>
      <c r="I64" s="1" t="s">
        <v>9960</v>
      </c>
      <c r="J64" t="s">
        <v>9961</v>
      </c>
      <c r="K64" t="s">
        <v>74</v>
      </c>
      <c r="L64" t="s">
        <v>74</v>
      </c>
      <c r="M64" t="s">
        <v>78</v>
      </c>
      <c r="N64" t="s">
        <v>79</v>
      </c>
      <c r="O64" t="s">
        <v>74</v>
      </c>
      <c r="P64" t="s">
        <v>74</v>
      </c>
      <c r="Q64" t="s">
        <v>74</v>
      </c>
      <c r="R64" t="s">
        <v>74</v>
      </c>
      <c r="S64" t="s">
        <v>74</v>
      </c>
      <c r="T64" s="1" t="s">
        <v>9962</v>
      </c>
      <c r="U64" s="1" t="s">
        <v>9963</v>
      </c>
      <c r="V64" s="1" t="s">
        <v>9964</v>
      </c>
      <c r="W64" t="s">
        <v>9965</v>
      </c>
      <c r="X64" t="s">
        <v>2402</v>
      </c>
      <c r="Y64" t="s">
        <v>9966</v>
      </c>
      <c r="Z64" t="s">
        <v>9967</v>
      </c>
      <c r="AA64" t="s">
        <v>74</v>
      </c>
      <c r="AB64" t="s">
        <v>74</v>
      </c>
      <c r="AC64" t="s">
        <v>74</v>
      </c>
      <c r="AD64" t="s">
        <v>74</v>
      </c>
      <c r="AE64" t="s">
        <v>74</v>
      </c>
      <c r="AF64" t="s">
        <v>74</v>
      </c>
      <c r="AG64">
        <v>136</v>
      </c>
      <c r="AH64">
        <v>27</v>
      </c>
      <c r="AI64">
        <v>29</v>
      </c>
      <c r="AJ64">
        <v>4</v>
      </c>
      <c r="AK64">
        <v>21</v>
      </c>
      <c r="AL64" t="s">
        <v>121</v>
      </c>
      <c r="AM64" t="s">
        <v>122</v>
      </c>
      <c r="AN64" t="s">
        <v>123</v>
      </c>
      <c r="AO64" t="s">
        <v>9968</v>
      </c>
      <c r="AP64" t="s">
        <v>74</v>
      </c>
      <c r="AQ64" t="s">
        <v>74</v>
      </c>
      <c r="AR64" t="s">
        <v>9969</v>
      </c>
      <c r="AS64" t="s">
        <v>9970</v>
      </c>
      <c r="AT64" t="s">
        <v>6850</v>
      </c>
      <c r="AU64">
        <v>2018</v>
      </c>
      <c r="AV64">
        <v>15</v>
      </c>
      <c r="AW64" t="s">
        <v>74</v>
      </c>
      <c r="AX64" t="s">
        <v>74</v>
      </c>
      <c r="AY64" t="s">
        <v>74</v>
      </c>
      <c r="AZ64" t="s">
        <v>74</v>
      </c>
      <c r="BA64" t="s">
        <v>74</v>
      </c>
      <c r="BB64" t="s">
        <v>74</v>
      </c>
      <c r="BC64" t="s">
        <v>74</v>
      </c>
      <c r="BD64">
        <v>11</v>
      </c>
      <c r="BE64" t="s">
        <v>9971</v>
      </c>
      <c r="BF64" t="str">
        <f>HYPERLINK("http://dx.doi.org/10.1186/s41239-018-0093-2","http://dx.doi.org/10.1186/s41239-018-0093-2")</f>
        <v>http://dx.doi.org/10.1186/s41239-018-0093-2</v>
      </c>
      <c r="BG64" t="s">
        <v>74</v>
      </c>
      <c r="BH64" t="s">
        <v>74</v>
      </c>
      <c r="BI64">
        <v>20</v>
      </c>
      <c r="BJ64" t="s">
        <v>1326</v>
      </c>
      <c r="BK64" t="s">
        <v>156</v>
      </c>
      <c r="BL64" t="s">
        <v>1326</v>
      </c>
      <c r="BM64" t="s">
        <v>9972</v>
      </c>
      <c r="BN64" t="s">
        <v>74</v>
      </c>
      <c r="BO64" t="s">
        <v>2946</v>
      </c>
      <c r="BP64" t="s">
        <v>74</v>
      </c>
      <c r="BQ64" t="s">
        <v>74</v>
      </c>
      <c r="BR64" t="s">
        <v>106</v>
      </c>
      <c r="BS64" t="s">
        <v>9973</v>
      </c>
      <c r="BT64" t="str">
        <f>HYPERLINK("https%3A%2F%2Fwww.webofscience.com%2Fwos%2Fwoscc%2Ffull-record%2FWOS:000428964500001","View Full Record in Web of Science")</f>
        <v>View Full Record in Web of Science</v>
      </c>
    </row>
    <row r="65" spans="1:72" x14ac:dyDescent="0.25">
      <c r="A65" t="s">
        <v>72</v>
      </c>
      <c r="B65" t="s">
        <v>12836</v>
      </c>
      <c r="C65" t="s">
        <v>74</v>
      </c>
      <c r="D65" t="s">
        <v>74</v>
      </c>
      <c r="E65" t="s">
        <v>74</v>
      </c>
      <c r="F65" t="s">
        <v>12836</v>
      </c>
      <c r="G65" t="s">
        <v>74</v>
      </c>
      <c r="H65" t="s">
        <v>74</v>
      </c>
      <c r="I65" s="1" t="s">
        <v>12837</v>
      </c>
      <c r="J65" t="s">
        <v>12838</v>
      </c>
      <c r="K65" t="s">
        <v>74</v>
      </c>
      <c r="L65" t="s">
        <v>74</v>
      </c>
      <c r="M65" t="s">
        <v>78</v>
      </c>
      <c r="N65" t="s">
        <v>79</v>
      </c>
      <c r="O65" t="s">
        <v>74</v>
      </c>
      <c r="P65" t="s">
        <v>74</v>
      </c>
      <c r="Q65" t="s">
        <v>74</v>
      </c>
      <c r="R65" t="s">
        <v>74</v>
      </c>
      <c r="S65" t="s">
        <v>74</v>
      </c>
      <c r="T65" s="1" t="s">
        <v>74</v>
      </c>
      <c r="U65" s="1" t="s">
        <v>74</v>
      </c>
      <c r="V65" s="1" t="s">
        <v>12839</v>
      </c>
      <c r="W65" t="s">
        <v>12840</v>
      </c>
      <c r="X65" t="s">
        <v>12841</v>
      </c>
      <c r="Y65" t="s">
        <v>74</v>
      </c>
      <c r="Z65" t="s">
        <v>12842</v>
      </c>
      <c r="AA65" t="s">
        <v>74</v>
      </c>
      <c r="AB65" t="s">
        <v>74</v>
      </c>
      <c r="AC65" t="s">
        <v>74</v>
      </c>
      <c r="AD65" t="s">
        <v>74</v>
      </c>
      <c r="AE65" t="s">
        <v>74</v>
      </c>
      <c r="AF65" t="s">
        <v>74</v>
      </c>
      <c r="AG65">
        <v>12</v>
      </c>
      <c r="AH65">
        <v>27</v>
      </c>
      <c r="AI65">
        <v>28</v>
      </c>
      <c r="AJ65">
        <v>0</v>
      </c>
      <c r="AK65">
        <v>1</v>
      </c>
      <c r="AL65" t="s">
        <v>5841</v>
      </c>
      <c r="AM65" t="s">
        <v>5842</v>
      </c>
      <c r="AN65" t="s">
        <v>5843</v>
      </c>
      <c r="AO65" t="s">
        <v>12843</v>
      </c>
      <c r="AP65" t="s">
        <v>12844</v>
      </c>
      <c r="AQ65" t="s">
        <v>74</v>
      </c>
      <c r="AR65" t="s">
        <v>12845</v>
      </c>
      <c r="AS65" t="s">
        <v>12846</v>
      </c>
      <c r="AT65" t="s">
        <v>12847</v>
      </c>
      <c r="AU65">
        <v>2003</v>
      </c>
      <c r="AV65">
        <v>20</v>
      </c>
      <c r="AW65">
        <v>1</v>
      </c>
      <c r="AX65" t="s">
        <v>74</v>
      </c>
      <c r="AY65" t="s">
        <v>74</v>
      </c>
      <c r="AZ65" t="s">
        <v>74</v>
      </c>
      <c r="BA65" t="s">
        <v>74</v>
      </c>
      <c r="BB65">
        <v>60</v>
      </c>
      <c r="BC65">
        <v>67</v>
      </c>
      <c r="BD65" t="s">
        <v>74</v>
      </c>
      <c r="BE65" t="s">
        <v>12848</v>
      </c>
      <c r="BF65" t="str">
        <f>HYPERLINK("http://dx.doi.org/10.1109/MDT.2003.1173054","http://dx.doi.org/10.1109/MDT.2003.1173054")</f>
        <v>http://dx.doi.org/10.1109/MDT.2003.1173054</v>
      </c>
      <c r="BG65" t="s">
        <v>74</v>
      </c>
      <c r="BH65" t="s">
        <v>74</v>
      </c>
      <c r="BI65">
        <v>8</v>
      </c>
      <c r="BJ65" t="s">
        <v>12849</v>
      </c>
      <c r="BK65" t="s">
        <v>102</v>
      </c>
      <c r="BL65" t="s">
        <v>103</v>
      </c>
      <c r="BM65" t="s">
        <v>12850</v>
      </c>
      <c r="BN65" t="s">
        <v>74</v>
      </c>
      <c r="BO65" t="s">
        <v>74</v>
      </c>
      <c r="BP65" t="s">
        <v>74</v>
      </c>
      <c r="BQ65" t="s">
        <v>74</v>
      </c>
      <c r="BR65" t="s">
        <v>106</v>
      </c>
      <c r="BS65" t="s">
        <v>12851</v>
      </c>
      <c r="BT65" t="str">
        <f>HYPERLINK("https%3A%2F%2Fwww.webofscience.com%2Fwos%2Fwoscc%2Ffull-record%2FWOS:000180333500009","View Full Record in Web of Science")</f>
        <v>View Full Record in Web of Science</v>
      </c>
    </row>
    <row r="66" spans="1:72" x14ac:dyDescent="0.25">
      <c r="A66" t="s">
        <v>72</v>
      </c>
      <c r="B66" t="s">
        <v>4149</v>
      </c>
      <c r="C66" t="s">
        <v>74</v>
      </c>
      <c r="D66" t="s">
        <v>74</v>
      </c>
      <c r="E66" t="s">
        <v>74</v>
      </c>
      <c r="F66" t="s">
        <v>4150</v>
      </c>
      <c r="G66" t="s">
        <v>74</v>
      </c>
      <c r="H66" t="s">
        <v>74</v>
      </c>
      <c r="I66" s="1" t="s">
        <v>4151</v>
      </c>
      <c r="J66" t="s">
        <v>4152</v>
      </c>
      <c r="K66" t="s">
        <v>74</v>
      </c>
      <c r="L66" t="s">
        <v>74</v>
      </c>
      <c r="M66" t="s">
        <v>78</v>
      </c>
      <c r="N66" t="s">
        <v>79</v>
      </c>
      <c r="O66" t="s">
        <v>74</v>
      </c>
      <c r="P66" t="s">
        <v>74</v>
      </c>
      <c r="Q66" t="s">
        <v>74</v>
      </c>
      <c r="R66" t="s">
        <v>74</v>
      </c>
      <c r="S66" t="s">
        <v>74</v>
      </c>
      <c r="T66" s="1" t="s">
        <v>4153</v>
      </c>
      <c r="U66" s="1" t="s">
        <v>4154</v>
      </c>
      <c r="V66" s="1" t="s">
        <v>4155</v>
      </c>
      <c r="W66" t="s">
        <v>4156</v>
      </c>
      <c r="X66" t="s">
        <v>4157</v>
      </c>
      <c r="Y66" t="s">
        <v>4158</v>
      </c>
      <c r="Z66" t="s">
        <v>4159</v>
      </c>
      <c r="AA66" t="s">
        <v>4160</v>
      </c>
      <c r="AB66" t="s">
        <v>4161</v>
      </c>
      <c r="AC66" t="s">
        <v>4157</v>
      </c>
      <c r="AD66" t="s">
        <v>4157</v>
      </c>
      <c r="AE66" t="s">
        <v>4162</v>
      </c>
      <c r="AF66" t="s">
        <v>74</v>
      </c>
      <c r="AG66">
        <v>94</v>
      </c>
      <c r="AH66">
        <v>26</v>
      </c>
      <c r="AI66">
        <v>26</v>
      </c>
      <c r="AJ66">
        <v>40</v>
      </c>
      <c r="AK66">
        <v>194</v>
      </c>
      <c r="AL66" t="s">
        <v>1636</v>
      </c>
      <c r="AM66" t="s">
        <v>93</v>
      </c>
      <c r="AN66" t="s">
        <v>1637</v>
      </c>
      <c r="AO66" t="s">
        <v>4163</v>
      </c>
      <c r="AP66" t="s">
        <v>4164</v>
      </c>
      <c r="AQ66" t="s">
        <v>74</v>
      </c>
      <c r="AR66" t="s">
        <v>4165</v>
      </c>
      <c r="AS66" t="s">
        <v>4166</v>
      </c>
      <c r="AT66" t="s">
        <v>356</v>
      </c>
      <c r="AU66">
        <v>2022</v>
      </c>
      <c r="AV66">
        <v>68</v>
      </c>
      <c r="AW66" t="s">
        <v>74</v>
      </c>
      <c r="AX66" t="s">
        <v>74</v>
      </c>
      <c r="AY66" t="s">
        <v>74</v>
      </c>
      <c r="AZ66" t="s">
        <v>74</v>
      </c>
      <c r="BA66" t="s">
        <v>74</v>
      </c>
      <c r="BB66" t="s">
        <v>74</v>
      </c>
      <c r="BC66" t="s">
        <v>74</v>
      </c>
      <c r="BD66">
        <v>103015</v>
      </c>
      <c r="BE66" t="s">
        <v>4167</v>
      </c>
      <c r="BF66" t="str">
        <f>HYPERLINK("http://dx.doi.org/10.1016/j.jretconser.2022.103015","http://dx.doi.org/10.1016/j.jretconser.2022.103015")</f>
        <v>http://dx.doi.org/10.1016/j.jretconser.2022.103015</v>
      </c>
      <c r="BG66" t="s">
        <v>74</v>
      </c>
      <c r="BH66" t="s">
        <v>4037</v>
      </c>
      <c r="BI66">
        <v>10</v>
      </c>
      <c r="BJ66" t="s">
        <v>1023</v>
      </c>
      <c r="BK66" t="s">
        <v>156</v>
      </c>
      <c r="BL66" t="s">
        <v>265</v>
      </c>
      <c r="BM66" t="s">
        <v>4168</v>
      </c>
      <c r="BN66" t="s">
        <v>74</v>
      </c>
      <c r="BO66" t="s">
        <v>74</v>
      </c>
      <c r="BP66" t="s">
        <v>74</v>
      </c>
      <c r="BQ66" t="s">
        <v>74</v>
      </c>
      <c r="BR66" t="s">
        <v>106</v>
      </c>
      <c r="BS66" t="s">
        <v>4169</v>
      </c>
      <c r="BT66" t="str">
        <f>HYPERLINK("https%3A%2F%2Fwww.webofscience.com%2Fwos%2Fwoscc%2Ffull-record%2FWOS:000802601300002","View Full Record in Web of Science")</f>
        <v>View Full Record in Web of Science</v>
      </c>
    </row>
    <row r="67" spans="1:72" x14ac:dyDescent="0.25">
      <c r="A67" t="s">
        <v>72</v>
      </c>
      <c r="B67" t="s">
        <v>5708</v>
      </c>
      <c r="C67" t="s">
        <v>74</v>
      </c>
      <c r="D67" t="s">
        <v>74</v>
      </c>
      <c r="E67" t="s">
        <v>74</v>
      </c>
      <c r="F67" t="s">
        <v>5709</v>
      </c>
      <c r="G67" t="s">
        <v>74</v>
      </c>
      <c r="H67" t="s">
        <v>74</v>
      </c>
      <c r="I67" s="1" t="s">
        <v>5710</v>
      </c>
      <c r="J67" t="s">
        <v>5711</v>
      </c>
      <c r="K67" t="s">
        <v>74</v>
      </c>
      <c r="L67" t="s">
        <v>74</v>
      </c>
      <c r="M67" t="s">
        <v>78</v>
      </c>
      <c r="N67" t="s">
        <v>79</v>
      </c>
      <c r="O67" t="s">
        <v>74</v>
      </c>
      <c r="P67" t="s">
        <v>74</v>
      </c>
      <c r="Q67" t="s">
        <v>74</v>
      </c>
      <c r="R67" t="s">
        <v>74</v>
      </c>
      <c r="S67" t="s">
        <v>74</v>
      </c>
      <c r="T67" s="1" t="s">
        <v>5712</v>
      </c>
      <c r="U67" s="1" t="s">
        <v>5713</v>
      </c>
      <c r="V67" s="1" t="s">
        <v>5714</v>
      </c>
      <c r="W67" t="s">
        <v>5715</v>
      </c>
      <c r="X67" t="s">
        <v>5716</v>
      </c>
      <c r="Y67" t="s">
        <v>5717</v>
      </c>
      <c r="Z67" t="s">
        <v>5718</v>
      </c>
      <c r="AA67" t="s">
        <v>5719</v>
      </c>
      <c r="AB67" t="s">
        <v>5720</v>
      </c>
      <c r="AC67" t="s">
        <v>74</v>
      </c>
      <c r="AD67" t="s">
        <v>74</v>
      </c>
      <c r="AE67" t="s">
        <v>74</v>
      </c>
      <c r="AF67" t="s">
        <v>74</v>
      </c>
      <c r="AG67">
        <v>81</v>
      </c>
      <c r="AH67">
        <v>26</v>
      </c>
      <c r="AI67">
        <v>26</v>
      </c>
      <c r="AJ67">
        <v>6</v>
      </c>
      <c r="AK67">
        <v>49</v>
      </c>
      <c r="AL67" t="s">
        <v>1636</v>
      </c>
      <c r="AM67" t="s">
        <v>93</v>
      </c>
      <c r="AN67" t="s">
        <v>1637</v>
      </c>
      <c r="AO67" t="s">
        <v>5721</v>
      </c>
      <c r="AP67" t="s">
        <v>5722</v>
      </c>
      <c r="AQ67" t="s">
        <v>74</v>
      </c>
      <c r="AR67" t="s">
        <v>5723</v>
      </c>
      <c r="AS67" t="s">
        <v>5724</v>
      </c>
      <c r="AT67" t="s">
        <v>208</v>
      </c>
      <c r="AU67">
        <v>2021</v>
      </c>
      <c r="AV67">
        <v>97</v>
      </c>
      <c r="AW67" t="s">
        <v>74</v>
      </c>
      <c r="AX67" t="s">
        <v>74</v>
      </c>
      <c r="AY67" t="s">
        <v>74</v>
      </c>
      <c r="AZ67" t="s">
        <v>74</v>
      </c>
      <c r="BA67" t="s">
        <v>74</v>
      </c>
      <c r="BB67" t="s">
        <v>74</v>
      </c>
      <c r="BC67" t="s">
        <v>74</v>
      </c>
      <c r="BD67">
        <v>102142</v>
      </c>
      <c r="BE67" t="s">
        <v>5725</v>
      </c>
      <c r="BF67" t="str">
        <f>HYPERLINK("http://dx.doi.org/10.1016/j.jairtraman.2021.102142","http://dx.doi.org/10.1016/j.jairtraman.2021.102142")</f>
        <v>http://dx.doi.org/10.1016/j.jairtraman.2021.102142</v>
      </c>
      <c r="BG67" t="s">
        <v>74</v>
      </c>
      <c r="BH67" t="s">
        <v>5683</v>
      </c>
      <c r="BI67">
        <v>17</v>
      </c>
      <c r="BJ67" t="s">
        <v>5726</v>
      </c>
      <c r="BK67" t="s">
        <v>156</v>
      </c>
      <c r="BL67" t="s">
        <v>5726</v>
      </c>
      <c r="BM67" t="s">
        <v>5727</v>
      </c>
      <c r="BN67" t="s">
        <v>74</v>
      </c>
      <c r="BO67" t="s">
        <v>74</v>
      </c>
      <c r="BP67" t="s">
        <v>74</v>
      </c>
      <c r="BQ67" t="s">
        <v>74</v>
      </c>
      <c r="BR67" t="s">
        <v>106</v>
      </c>
      <c r="BS67" t="s">
        <v>5728</v>
      </c>
      <c r="BT67" t="str">
        <f>HYPERLINK("https%3A%2F%2Fwww.webofscience.com%2Fwos%2Fwoscc%2Ffull-record%2FWOS:000711948900002","View Full Record in Web of Science")</f>
        <v>View Full Record in Web of Science</v>
      </c>
    </row>
    <row r="68" spans="1:72" x14ac:dyDescent="0.25">
      <c r="A68" t="s">
        <v>72</v>
      </c>
      <c r="B68" t="s">
        <v>6037</v>
      </c>
      <c r="C68" t="s">
        <v>74</v>
      </c>
      <c r="D68" t="s">
        <v>74</v>
      </c>
      <c r="E68" t="s">
        <v>74</v>
      </c>
      <c r="F68" t="s">
        <v>6038</v>
      </c>
      <c r="G68" t="s">
        <v>74</v>
      </c>
      <c r="H68" t="s">
        <v>74</v>
      </c>
      <c r="I68" s="1" t="s">
        <v>6039</v>
      </c>
      <c r="J68" t="s">
        <v>6040</v>
      </c>
      <c r="K68" t="s">
        <v>74</v>
      </c>
      <c r="L68" t="s">
        <v>74</v>
      </c>
      <c r="M68" t="s">
        <v>78</v>
      </c>
      <c r="N68" t="s">
        <v>79</v>
      </c>
      <c r="O68" t="s">
        <v>74</v>
      </c>
      <c r="P68" t="s">
        <v>74</v>
      </c>
      <c r="Q68" t="s">
        <v>74</v>
      </c>
      <c r="R68" t="s">
        <v>74</v>
      </c>
      <c r="S68" t="s">
        <v>74</v>
      </c>
      <c r="T68" s="1" t="s">
        <v>6041</v>
      </c>
      <c r="U68" s="1" t="s">
        <v>74</v>
      </c>
      <c r="V68" s="1" t="s">
        <v>6042</v>
      </c>
      <c r="W68" t="s">
        <v>6043</v>
      </c>
      <c r="X68" t="s">
        <v>6044</v>
      </c>
      <c r="Y68" t="s">
        <v>6045</v>
      </c>
      <c r="Z68" t="s">
        <v>6046</v>
      </c>
      <c r="AA68" t="s">
        <v>6047</v>
      </c>
      <c r="AB68" t="s">
        <v>6048</v>
      </c>
      <c r="AC68" t="s">
        <v>6049</v>
      </c>
      <c r="AD68" t="s">
        <v>6050</v>
      </c>
      <c r="AE68" t="s">
        <v>6051</v>
      </c>
      <c r="AF68" t="s">
        <v>74</v>
      </c>
      <c r="AG68">
        <v>58</v>
      </c>
      <c r="AH68">
        <v>26</v>
      </c>
      <c r="AI68">
        <v>26</v>
      </c>
      <c r="AJ68">
        <v>2</v>
      </c>
      <c r="AK68">
        <v>6</v>
      </c>
      <c r="AL68" t="s">
        <v>6052</v>
      </c>
      <c r="AM68" t="s">
        <v>6053</v>
      </c>
      <c r="AN68" t="s">
        <v>6054</v>
      </c>
      <c r="AO68" t="s">
        <v>6055</v>
      </c>
      <c r="AP68" t="s">
        <v>6056</v>
      </c>
      <c r="AQ68" t="s">
        <v>74</v>
      </c>
      <c r="AR68" t="s">
        <v>6057</v>
      </c>
      <c r="AS68" t="s">
        <v>6058</v>
      </c>
      <c r="AT68" t="s">
        <v>476</v>
      </c>
      <c r="AU68">
        <v>2021</v>
      </c>
      <c r="AV68">
        <v>15</v>
      </c>
      <c r="AW68">
        <v>2</v>
      </c>
      <c r="AX68" t="s">
        <v>74</v>
      </c>
      <c r="AY68" t="s">
        <v>74</v>
      </c>
      <c r="AZ68" t="s">
        <v>1020</v>
      </c>
      <c r="BA68" t="s">
        <v>74</v>
      </c>
      <c r="BB68">
        <v>381</v>
      </c>
      <c r="BC68">
        <v>411</v>
      </c>
      <c r="BD68" t="s">
        <v>74</v>
      </c>
      <c r="BE68" t="s">
        <v>6059</v>
      </c>
      <c r="BF68" t="str">
        <f>HYPERLINK("http://dx.doi.org/10.1007/s12626-021-00086-5","http://dx.doi.org/10.1007/s12626-021-00086-5")</f>
        <v>http://dx.doi.org/10.1007/s12626-021-00086-5</v>
      </c>
      <c r="BG68" t="s">
        <v>74</v>
      </c>
      <c r="BH68" t="s">
        <v>6012</v>
      </c>
      <c r="BI68">
        <v>31</v>
      </c>
      <c r="BJ68" t="s">
        <v>1217</v>
      </c>
      <c r="BK68" t="s">
        <v>183</v>
      </c>
      <c r="BL68" t="s">
        <v>399</v>
      </c>
      <c r="BM68" t="s">
        <v>6060</v>
      </c>
      <c r="BN68">
        <v>35506054</v>
      </c>
      <c r="BO68" t="s">
        <v>6061</v>
      </c>
      <c r="BP68" t="s">
        <v>74</v>
      </c>
      <c r="BQ68" t="s">
        <v>74</v>
      </c>
      <c r="BR68" t="s">
        <v>106</v>
      </c>
      <c r="BS68" t="s">
        <v>6062</v>
      </c>
      <c r="BT68" t="str">
        <f>HYPERLINK("https%3A%2F%2Fwww.webofscience.com%2Fwos%2Fwoscc%2Ffull-record%2FWOS:000675728900001","View Full Record in Web of Science")</f>
        <v>View Full Record in Web of Science</v>
      </c>
    </row>
    <row r="69" spans="1:72" x14ac:dyDescent="0.25">
      <c r="A69" t="s">
        <v>72</v>
      </c>
      <c r="B69" t="s">
        <v>7765</v>
      </c>
      <c r="C69" t="s">
        <v>74</v>
      </c>
      <c r="D69" t="s">
        <v>74</v>
      </c>
      <c r="E69" t="s">
        <v>74</v>
      </c>
      <c r="F69" t="s">
        <v>7766</v>
      </c>
      <c r="G69" t="s">
        <v>74</v>
      </c>
      <c r="H69" t="s">
        <v>74</v>
      </c>
      <c r="I69" s="1" t="s">
        <v>7767</v>
      </c>
      <c r="J69" t="s">
        <v>191</v>
      </c>
      <c r="K69" t="s">
        <v>74</v>
      </c>
      <c r="L69" t="s">
        <v>74</v>
      </c>
      <c r="M69" t="s">
        <v>78</v>
      </c>
      <c r="N69" t="s">
        <v>79</v>
      </c>
      <c r="O69" t="s">
        <v>74</v>
      </c>
      <c r="P69" t="s">
        <v>74</v>
      </c>
      <c r="Q69" t="s">
        <v>74</v>
      </c>
      <c r="R69" t="s">
        <v>74</v>
      </c>
      <c r="S69" t="s">
        <v>74</v>
      </c>
      <c r="T69" s="1" t="s">
        <v>7768</v>
      </c>
      <c r="U69" s="1" t="s">
        <v>7769</v>
      </c>
      <c r="V69" s="1" t="s">
        <v>7770</v>
      </c>
      <c r="W69" t="s">
        <v>7771</v>
      </c>
      <c r="X69" t="s">
        <v>1937</v>
      </c>
      <c r="Y69" t="s">
        <v>1938</v>
      </c>
      <c r="Z69" t="s">
        <v>7772</v>
      </c>
      <c r="AA69" t="s">
        <v>7773</v>
      </c>
      <c r="AB69" t="s">
        <v>7774</v>
      </c>
      <c r="AC69" t="s">
        <v>74</v>
      </c>
      <c r="AD69" t="s">
        <v>74</v>
      </c>
      <c r="AE69" t="s">
        <v>74</v>
      </c>
      <c r="AF69" t="s">
        <v>74</v>
      </c>
      <c r="AG69">
        <v>110</v>
      </c>
      <c r="AH69">
        <v>26</v>
      </c>
      <c r="AI69">
        <v>26</v>
      </c>
      <c r="AJ69">
        <v>8</v>
      </c>
      <c r="AK69">
        <v>49</v>
      </c>
      <c r="AL69" t="s">
        <v>202</v>
      </c>
      <c r="AM69" t="s">
        <v>203</v>
      </c>
      <c r="AN69" t="s">
        <v>204</v>
      </c>
      <c r="AO69" t="s">
        <v>74</v>
      </c>
      <c r="AP69" t="s">
        <v>205</v>
      </c>
      <c r="AQ69" t="s">
        <v>74</v>
      </c>
      <c r="AR69" t="s">
        <v>206</v>
      </c>
      <c r="AS69" t="s">
        <v>207</v>
      </c>
      <c r="AT69" t="s">
        <v>356</v>
      </c>
      <c r="AU69">
        <v>2020</v>
      </c>
      <c r="AV69">
        <v>12</v>
      </c>
      <c r="AW69">
        <v>17</v>
      </c>
      <c r="AX69" t="s">
        <v>74</v>
      </c>
      <c r="AY69" t="s">
        <v>74</v>
      </c>
      <c r="AZ69" t="s">
        <v>74</v>
      </c>
      <c r="BA69" t="s">
        <v>74</v>
      </c>
      <c r="BB69" t="s">
        <v>74</v>
      </c>
      <c r="BC69" t="s">
        <v>74</v>
      </c>
      <c r="BD69">
        <v>7132</v>
      </c>
      <c r="BE69" t="s">
        <v>7775</v>
      </c>
      <c r="BF69" t="str">
        <f>HYPERLINK("http://dx.doi.org/10.3390/su12177132","http://dx.doi.org/10.3390/su12177132")</f>
        <v>http://dx.doi.org/10.3390/su12177132</v>
      </c>
      <c r="BG69" t="s">
        <v>74</v>
      </c>
      <c r="BH69" t="s">
        <v>74</v>
      </c>
      <c r="BI69">
        <v>20</v>
      </c>
      <c r="BJ69" t="s">
        <v>210</v>
      </c>
      <c r="BK69" t="s">
        <v>211</v>
      </c>
      <c r="BL69" t="s">
        <v>212</v>
      </c>
      <c r="BM69" t="s">
        <v>7776</v>
      </c>
      <c r="BN69" t="s">
        <v>74</v>
      </c>
      <c r="BO69" t="s">
        <v>422</v>
      </c>
      <c r="BP69" t="s">
        <v>74</v>
      </c>
      <c r="BQ69" t="s">
        <v>74</v>
      </c>
      <c r="BR69" t="s">
        <v>106</v>
      </c>
      <c r="BS69" t="s">
        <v>7777</v>
      </c>
      <c r="BT69" t="str">
        <f>HYPERLINK("https%3A%2F%2Fwww.webofscience.com%2Fwos%2Fwoscc%2Ffull-record%2FWOS:000570387200001","View Full Record in Web of Science")</f>
        <v>View Full Record in Web of Science</v>
      </c>
    </row>
    <row r="70" spans="1:72" x14ac:dyDescent="0.25">
      <c r="A70" t="s">
        <v>72</v>
      </c>
      <c r="B70" t="s">
        <v>7829</v>
      </c>
      <c r="C70" t="s">
        <v>74</v>
      </c>
      <c r="D70" t="s">
        <v>74</v>
      </c>
      <c r="E70" t="s">
        <v>74</v>
      </c>
      <c r="F70" t="s">
        <v>7830</v>
      </c>
      <c r="G70" t="s">
        <v>74</v>
      </c>
      <c r="H70" t="s">
        <v>74</v>
      </c>
      <c r="I70" s="1" t="s">
        <v>7831</v>
      </c>
      <c r="J70" t="s">
        <v>7832</v>
      </c>
      <c r="K70" t="s">
        <v>74</v>
      </c>
      <c r="L70" t="s">
        <v>74</v>
      </c>
      <c r="M70" t="s">
        <v>78</v>
      </c>
      <c r="N70" t="s">
        <v>79</v>
      </c>
      <c r="O70" t="s">
        <v>74</v>
      </c>
      <c r="P70" t="s">
        <v>74</v>
      </c>
      <c r="Q70" t="s">
        <v>74</v>
      </c>
      <c r="R70" t="s">
        <v>74</v>
      </c>
      <c r="S70" t="s">
        <v>74</v>
      </c>
      <c r="T70" s="1" t="s">
        <v>7833</v>
      </c>
      <c r="U70" s="1" t="s">
        <v>7834</v>
      </c>
      <c r="V70" s="1" t="s">
        <v>7835</v>
      </c>
      <c r="W70" t="s">
        <v>7836</v>
      </c>
      <c r="X70" t="s">
        <v>6209</v>
      </c>
      <c r="Y70" t="s">
        <v>7837</v>
      </c>
      <c r="Z70" t="s">
        <v>7838</v>
      </c>
      <c r="AA70" t="s">
        <v>7839</v>
      </c>
      <c r="AB70" t="s">
        <v>7840</v>
      </c>
      <c r="AC70" t="s">
        <v>7841</v>
      </c>
      <c r="AD70" t="s">
        <v>7842</v>
      </c>
      <c r="AE70" t="s">
        <v>7843</v>
      </c>
      <c r="AF70" t="s">
        <v>74</v>
      </c>
      <c r="AG70">
        <v>58</v>
      </c>
      <c r="AH70">
        <v>26</v>
      </c>
      <c r="AI70">
        <v>26</v>
      </c>
      <c r="AJ70">
        <v>23</v>
      </c>
      <c r="AK70">
        <v>172</v>
      </c>
      <c r="AL70" t="s">
        <v>715</v>
      </c>
      <c r="AM70" t="s">
        <v>716</v>
      </c>
      <c r="AN70" t="s">
        <v>717</v>
      </c>
      <c r="AO70" t="s">
        <v>7844</v>
      </c>
      <c r="AP70" t="s">
        <v>7845</v>
      </c>
      <c r="AQ70" t="s">
        <v>74</v>
      </c>
      <c r="AR70" t="s">
        <v>7846</v>
      </c>
      <c r="AS70" t="s">
        <v>7847</v>
      </c>
      <c r="AT70" t="s">
        <v>7848</v>
      </c>
      <c r="AU70">
        <v>2021</v>
      </c>
      <c r="AV70">
        <v>32</v>
      </c>
      <c r="AW70">
        <v>3</v>
      </c>
      <c r="AX70" t="s">
        <v>74</v>
      </c>
      <c r="AY70" t="s">
        <v>74</v>
      </c>
      <c r="AZ70" t="s">
        <v>1020</v>
      </c>
      <c r="BA70" t="s">
        <v>74</v>
      </c>
      <c r="BB70">
        <v>820</v>
      </c>
      <c r="BC70">
        <v>839</v>
      </c>
      <c r="BD70" t="s">
        <v>74</v>
      </c>
      <c r="BE70" t="s">
        <v>7849</v>
      </c>
      <c r="BF70" t="str">
        <f>HYPERLINK("http://dx.doi.org/10.1108/JMTM-06-2019-0226","http://dx.doi.org/10.1108/JMTM-06-2019-0226")</f>
        <v>http://dx.doi.org/10.1108/JMTM-06-2019-0226</v>
      </c>
      <c r="BG70" t="s">
        <v>74</v>
      </c>
      <c r="BH70" t="s">
        <v>7850</v>
      </c>
      <c r="BI70">
        <v>20</v>
      </c>
      <c r="BJ70" t="s">
        <v>7851</v>
      </c>
      <c r="BK70" t="s">
        <v>211</v>
      </c>
      <c r="BL70" t="s">
        <v>7852</v>
      </c>
      <c r="BM70" t="s">
        <v>7853</v>
      </c>
      <c r="BN70" t="s">
        <v>74</v>
      </c>
      <c r="BO70" t="s">
        <v>74</v>
      </c>
      <c r="BP70" t="s">
        <v>74</v>
      </c>
      <c r="BQ70" t="s">
        <v>74</v>
      </c>
      <c r="BR70" t="s">
        <v>106</v>
      </c>
      <c r="BS70" t="s">
        <v>7854</v>
      </c>
      <c r="BT70" t="str">
        <f>HYPERLINK("https%3A%2F%2Fwww.webofscience.com%2Fwos%2Fwoscc%2Ffull-record%2FWOS:000546076100001","View Full Record in Web of Science")</f>
        <v>View Full Record in Web of Science</v>
      </c>
    </row>
    <row r="71" spans="1:72" x14ac:dyDescent="0.25">
      <c r="A71" t="s">
        <v>72</v>
      </c>
      <c r="B71" t="s">
        <v>8685</v>
      </c>
      <c r="C71" t="s">
        <v>74</v>
      </c>
      <c r="D71" t="s">
        <v>74</v>
      </c>
      <c r="E71" t="s">
        <v>74</v>
      </c>
      <c r="F71" t="s">
        <v>8686</v>
      </c>
      <c r="G71" t="s">
        <v>74</v>
      </c>
      <c r="H71" t="s">
        <v>74</v>
      </c>
      <c r="I71" s="1" t="s">
        <v>8687</v>
      </c>
      <c r="J71" t="s">
        <v>8688</v>
      </c>
      <c r="K71" t="s">
        <v>74</v>
      </c>
      <c r="L71" t="s">
        <v>74</v>
      </c>
      <c r="M71" t="s">
        <v>78</v>
      </c>
      <c r="N71" t="s">
        <v>79</v>
      </c>
      <c r="O71" t="s">
        <v>74</v>
      </c>
      <c r="P71" t="s">
        <v>74</v>
      </c>
      <c r="Q71" t="s">
        <v>74</v>
      </c>
      <c r="R71" t="s">
        <v>74</v>
      </c>
      <c r="S71" t="s">
        <v>74</v>
      </c>
      <c r="T71" s="1" t="s">
        <v>8689</v>
      </c>
      <c r="U71" s="1" t="s">
        <v>8690</v>
      </c>
      <c r="V71" s="1" t="s">
        <v>8691</v>
      </c>
      <c r="W71" t="s">
        <v>8692</v>
      </c>
      <c r="X71" t="s">
        <v>74</v>
      </c>
      <c r="Y71" t="s">
        <v>8693</v>
      </c>
      <c r="Z71" t="s">
        <v>8694</v>
      </c>
      <c r="AA71" t="s">
        <v>8695</v>
      </c>
      <c r="AB71" t="s">
        <v>8696</v>
      </c>
      <c r="AC71" t="s">
        <v>74</v>
      </c>
      <c r="AD71" t="s">
        <v>74</v>
      </c>
      <c r="AE71" t="s">
        <v>74</v>
      </c>
      <c r="AF71" t="s">
        <v>74</v>
      </c>
      <c r="AG71">
        <v>77</v>
      </c>
      <c r="AH71">
        <v>26</v>
      </c>
      <c r="AI71">
        <v>27</v>
      </c>
      <c r="AJ71">
        <v>5</v>
      </c>
      <c r="AK71">
        <v>95</v>
      </c>
      <c r="AL71" t="s">
        <v>492</v>
      </c>
      <c r="AM71" t="s">
        <v>493</v>
      </c>
      <c r="AN71" t="s">
        <v>494</v>
      </c>
      <c r="AO71" t="s">
        <v>8697</v>
      </c>
      <c r="AP71" t="s">
        <v>8698</v>
      </c>
      <c r="AQ71" t="s">
        <v>74</v>
      </c>
      <c r="AR71" t="s">
        <v>8699</v>
      </c>
      <c r="AS71" t="s">
        <v>8700</v>
      </c>
      <c r="AT71" t="s">
        <v>74</v>
      </c>
      <c r="AU71">
        <v>2019</v>
      </c>
      <c r="AV71">
        <v>40</v>
      </c>
      <c r="AW71">
        <v>4</v>
      </c>
      <c r="AX71" t="s">
        <v>74</v>
      </c>
      <c r="AY71" t="s">
        <v>74</v>
      </c>
      <c r="AZ71" t="s">
        <v>74</v>
      </c>
      <c r="BA71" t="s">
        <v>74</v>
      </c>
      <c r="BB71">
        <v>515</v>
      </c>
      <c r="BC71">
        <v>533</v>
      </c>
      <c r="BD71" t="s">
        <v>74</v>
      </c>
      <c r="BE71" t="s">
        <v>8701</v>
      </c>
      <c r="BF71" t="str">
        <f>HYPERLINK("http://dx.doi.org/10.1080/01587919.2019.1680272","http://dx.doi.org/10.1080/01587919.2019.1680272")</f>
        <v>http://dx.doi.org/10.1080/01587919.2019.1680272</v>
      </c>
      <c r="BG71" t="s">
        <v>74</v>
      </c>
      <c r="BH71" t="s">
        <v>8702</v>
      </c>
      <c r="BI71">
        <v>19</v>
      </c>
      <c r="BJ71" t="s">
        <v>1326</v>
      </c>
      <c r="BK71" t="s">
        <v>156</v>
      </c>
      <c r="BL71" t="s">
        <v>1326</v>
      </c>
      <c r="BM71" t="s">
        <v>8703</v>
      </c>
      <c r="BN71" t="s">
        <v>74</v>
      </c>
      <c r="BO71" t="s">
        <v>74</v>
      </c>
      <c r="BP71" t="s">
        <v>74</v>
      </c>
      <c r="BQ71" t="s">
        <v>74</v>
      </c>
      <c r="BR71" t="s">
        <v>106</v>
      </c>
      <c r="BS71" t="s">
        <v>8704</v>
      </c>
      <c r="BT71" t="str">
        <f>HYPERLINK("https%3A%2F%2Fwww.webofscience.com%2Fwos%2Fwoscc%2Ffull-record%2FWOS:000496860100001","View Full Record in Web of Science")</f>
        <v>View Full Record in Web of Science</v>
      </c>
    </row>
    <row r="72" spans="1:72" x14ac:dyDescent="0.25">
      <c r="A72" t="s">
        <v>72</v>
      </c>
      <c r="B72" t="s">
        <v>4870</v>
      </c>
      <c r="C72" t="s">
        <v>74</v>
      </c>
      <c r="D72" t="s">
        <v>74</v>
      </c>
      <c r="E72" t="s">
        <v>74</v>
      </c>
      <c r="F72" t="s">
        <v>4871</v>
      </c>
      <c r="G72" t="s">
        <v>74</v>
      </c>
      <c r="H72" t="s">
        <v>74</v>
      </c>
      <c r="I72" s="1" t="s">
        <v>4872</v>
      </c>
      <c r="J72" t="s">
        <v>3029</v>
      </c>
      <c r="K72" t="s">
        <v>74</v>
      </c>
      <c r="L72" t="s">
        <v>74</v>
      </c>
      <c r="M72" t="s">
        <v>78</v>
      </c>
      <c r="N72" t="s">
        <v>79</v>
      </c>
      <c r="O72" t="s">
        <v>74</v>
      </c>
      <c r="P72" t="s">
        <v>74</v>
      </c>
      <c r="Q72" t="s">
        <v>74</v>
      </c>
      <c r="R72" t="s">
        <v>74</v>
      </c>
      <c r="S72" t="s">
        <v>74</v>
      </c>
      <c r="T72" s="1" t="s">
        <v>4873</v>
      </c>
      <c r="U72" s="1" t="s">
        <v>4874</v>
      </c>
      <c r="V72" s="1" t="s">
        <v>4875</v>
      </c>
      <c r="W72" t="s">
        <v>4876</v>
      </c>
      <c r="X72" t="s">
        <v>4877</v>
      </c>
      <c r="Y72" t="s">
        <v>4878</v>
      </c>
      <c r="Z72" t="s">
        <v>4879</v>
      </c>
      <c r="AA72" t="s">
        <v>74</v>
      </c>
      <c r="AB72" t="s">
        <v>4880</v>
      </c>
      <c r="AC72" t="s">
        <v>4881</v>
      </c>
      <c r="AD72" t="s">
        <v>605</v>
      </c>
      <c r="AE72" t="s">
        <v>4882</v>
      </c>
      <c r="AF72" t="s">
        <v>74</v>
      </c>
      <c r="AG72">
        <v>69</v>
      </c>
      <c r="AH72">
        <v>25</v>
      </c>
      <c r="AI72">
        <v>26</v>
      </c>
      <c r="AJ72">
        <v>48</v>
      </c>
      <c r="AK72">
        <v>182</v>
      </c>
      <c r="AL72" t="s">
        <v>3042</v>
      </c>
      <c r="AM72" t="s">
        <v>285</v>
      </c>
      <c r="AN72" t="s">
        <v>3043</v>
      </c>
      <c r="AO72" t="s">
        <v>3044</v>
      </c>
      <c r="AP72" t="s">
        <v>3045</v>
      </c>
      <c r="AQ72" t="s">
        <v>74</v>
      </c>
      <c r="AR72" t="s">
        <v>3046</v>
      </c>
      <c r="AS72" t="s">
        <v>3047</v>
      </c>
      <c r="AT72" t="s">
        <v>2068</v>
      </c>
      <c r="AU72">
        <v>2022</v>
      </c>
      <c r="AV72">
        <v>39</v>
      </c>
      <c r="AW72">
        <v>1</v>
      </c>
      <c r="AX72" t="s">
        <v>74</v>
      </c>
      <c r="AY72" t="s">
        <v>74</v>
      </c>
      <c r="AZ72" t="s">
        <v>74</v>
      </c>
      <c r="BA72" t="s">
        <v>74</v>
      </c>
      <c r="BB72" t="s">
        <v>74</v>
      </c>
      <c r="BC72" t="s">
        <v>74</v>
      </c>
      <c r="BD72">
        <v>101650</v>
      </c>
      <c r="BE72" t="s">
        <v>4883</v>
      </c>
      <c r="BF72" t="str">
        <f>HYPERLINK("http://dx.doi.org/10.1016/j.giq.2021.101650","http://dx.doi.org/10.1016/j.giq.2021.101650")</f>
        <v>http://dx.doi.org/10.1016/j.giq.2021.101650</v>
      </c>
      <c r="BG72" t="s">
        <v>74</v>
      </c>
      <c r="BH72" t="s">
        <v>4783</v>
      </c>
      <c r="BI72">
        <v>11</v>
      </c>
      <c r="BJ72" t="s">
        <v>3050</v>
      </c>
      <c r="BK72" t="s">
        <v>156</v>
      </c>
      <c r="BL72" t="s">
        <v>3050</v>
      </c>
      <c r="BM72" t="s">
        <v>4884</v>
      </c>
      <c r="BN72" t="s">
        <v>74</v>
      </c>
      <c r="BO72" t="s">
        <v>1539</v>
      </c>
      <c r="BP72" t="s">
        <v>74</v>
      </c>
      <c r="BQ72" t="s">
        <v>74</v>
      </c>
      <c r="BR72" t="s">
        <v>106</v>
      </c>
      <c r="BS72" t="s">
        <v>4885</v>
      </c>
      <c r="BT72" t="str">
        <f>HYPERLINK("https%3A%2F%2Fwww.webofscience.com%2Fwos%2Fwoscc%2Ffull-record%2FWOS:000742775400016","View Full Record in Web of Science")</f>
        <v>View Full Record in Web of Science</v>
      </c>
    </row>
    <row r="73" spans="1:72" x14ac:dyDescent="0.25">
      <c r="A73" t="s">
        <v>72</v>
      </c>
      <c r="B73" t="s">
        <v>5594</v>
      </c>
      <c r="C73" t="s">
        <v>74</v>
      </c>
      <c r="D73" t="s">
        <v>74</v>
      </c>
      <c r="E73" t="s">
        <v>74</v>
      </c>
      <c r="F73" t="s">
        <v>5595</v>
      </c>
      <c r="G73" t="s">
        <v>74</v>
      </c>
      <c r="H73" t="s">
        <v>74</v>
      </c>
      <c r="I73" s="1" t="s">
        <v>5596</v>
      </c>
      <c r="J73" t="s">
        <v>1628</v>
      </c>
      <c r="K73" t="s">
        <v>74</v>
      </c>
      <c r="L73" t="s">
        <v>74</v>
      </c>
      <c r="M73" t="s">
        <v>78</v>
      </c>
      <c r="N73" t="s">
        <v>79</v>
      </c>
      <c r="O73" t="s">
        <v>74</v>
      </c>
      <c r="P73" t="s">
        <v>74</v>
      </c>
      <c r="Q73" t="s">
        <v>74</v>
      </c>
      <c r="R73" t="s">
        <v>74</v>
      </c>
      <c r="S73" t="s">
        <v>74</v>
      </c>
      <c r="T73" s="1" t="s">
        <v>5597</v>
      </c>
      <c r="U73" s="1" t="s">
        <v>5598</v>
      </c>
      <c r="V73" s="1" t="s">
        <v>5599</v>
      </c>
      <c r="W73" t="s">
        <v>5600</v>
      </c>
      <c r="X73" t="s">
        <v>5601</v>
      </c>
      <c r="Y73" t="s">
        <v>5602</v>
      </c>
      <c r="Z73" t="s">
        <v>5603</v>
      </c>
      <c r="AA73" t="s">
        <v>74</v>
      </c>
      <c r="AB73" t="s">
        <v>74</v>
      </c>
      <c r="AC73" t="s">
        <v>74</v>
      </c>
      <c r="AD73" t="s">
        <v>74</v>
      </c>
      <c r="AE73" t="s">
        <v>74</v>
      </c>
      <c r="AF73" t="s">
        <v>74</v>
      </c>
      <c r="AG73">
        <v>93</v>
      </c>
      <c r="AH73">
        <v>25</v>
      </c>
      <c r="AI73">
        <v>26</v>
      </c>
      <c r="AJ73">
        <v>24</v>
      </c>
      <c r="AK73">
        <v>105</v>
      </c>
      <c r="AL73" t="s">
        <v>1636</v>
      </c>
      <c r="AM73" t="s">
        <v>93</v>
      </c>
      <c r="AN73" t="s">
        <v>1637</v>
      </c>
      <c r="AO73" t="s">
        <v>1638</v>
      </c>
      <c r="AP73" t="s">
        <v>1639</v>
      </c>
      <c r="AQ73" t="s">
        <v>74</v>
      </c>
      <c r="AR73" t="s">
        <v>1640</v>
      </c>
      <c r="AS73" t="s">
        <v>1641</v>
      </c>
      <c r="AT73" t="s">
        <v>208</v>
      </c>
      <c r="AU73">
        <v>2021</v>
      </c>
      <c r="AV73">
        <v>54</v>
      </c>
      <c r="AW73">
        <v>5</v>
      </c>
      <c r="AX73" t="s">
        <v>74</v>
      </c>
      <c r="AY73" t="s">
        <v>74</v>
      </c>
      <c r="AZ73" t="s">
        <v>1020</v>
      </c>
      <c r="BA73" t="s">
        <v>74</v>
      </c>
      <c r="BB73" t="s">
        <v>74</v>
      </c>
      <c r="BC73" t="s">
        <v>74</v>
      </c>
      <c r="BD73">
        <v>101987</v>
      </c>
      <c r="BE73" t="s">
        <v>5604</v>
      </c>
      <c r="BF73" t="str">
        <f>HYPERLINK("http://dx.doi.org/10.1016/j.lrp.2020.101987","http://dx.doi.org/10.1016/j.lrp.2020.101987")</f>
        <v>http://dx.doi.org/10.1016/j.lrp.2020.101987</v>
      </c>
      <c r="BG73" t="s">
        <v>74</v>
      </c>
      <c r="BH73" t="s">
        <v>5559</v>
      </c>
      <c r="BI73">
        <v>12</v>
      </c>
      <c r="BJ73" t="s">
        <v>1643</v>
      </c>
      <c r="BK73" t="s">
        <v>156</v>
      </c>
      <c r="BL73" t="s">
        <v>1265</v>
      </c>
      <c r="BM73" t="s">
        <v>5605</v>
      </c>
      <c r="BN73" t="s">
        <v>74</v>
      </c>
      <c r="BO73" t="s">
        <v>74</v>
      </c>
      <c r="BP73" t="s">
        <v>74</v>
      </c>
      <c r="BQ73" t="s">
        <v>74</v>
      </c>
      <c r="BR73" t="s">
        <v>106</v>
      </c>
      <c r="BS73" t="s">
        <v>5606</v>
      </c>
      <c r="BT73" t="str">
        <f>HYPERLINK("https%3A%2F%2Fwww.webofscience.com%2Fwos%2Fwoscc%2Ffull-record%2FWOS:000706477200009","View Full Record in Web of Science")</f>
        <v>View Full Record in Web of Science</v>
      </c>
    </row>
    <row r="74" spans="1:72" x14ac:dyDescent="0.25">
      <c r="A74" t="s">
        <v>72</v>
      </c>
      <c r="B74" t="s">
        <v>5950</v>
      </c>
      <c r="C74" t="s">
        <v>74</v>
      </c>
      <c r="D74" t="s">
        <v>74</v>
      </c>
      <c r="E74" t="s">
        <v>74</v>
      </c>
      <c r="F74" t="s">
        <v>5951</v>
      </c>
      <c r="G74" t="s">
        <v>74</v>
      </c>
      <c r="H74" t="s">
        <v>74</v>
      </c>
      <c r="I74" s="1" t="s">
        <v>5952</v>
      </c>
      <c r="J74" t="s">
        <v>3751</v>
      </c>
      <c r="K74" t="s">
        <v>74</v>
      </c>
      <c r="L74" t="s">
        <v>74</v>
      </c>
      <c r="M74" t="s">
        <v>78</v>
      </c>
      <c r="N74" t="s">
        <v>79</v>
      </c>
      <c r="O74" t="s">
        <v>74</v>
      </c>
      <c r="P74" t="s">
        <v>74</v>
      </c>
      <c r="Q74" t="s">
        <v>74</v>
      </c>
      <c r="R74" t="s">
        <v>74</v>
      </c>
      <c r="S74" t="s">
        <v>74</v>
      </c>
      <c r="T74" s="1" t="s">
        <v>5953</v>
      </c>
      <c r="U74" s="1" t="s">
        <v>5954</v>
      </c>
      <c r="V74" s="1" t="s">
        <v>5955</v>
      </c>
      <c r="W74" t="s">
        <v>5956</v>
      </c>
      <c r="X74" t="s">
        <v>5957</v>
      </c>
      <c r="Y74" t="s">
        <v>5958</v>
      </c>
      <c r="Z74" t="s">
        <v>5959</v>
      </c>
      <c r="AA74" t="s">
        <v>74</v>
      </c>
      <c r="AB74" t="s">
        <v>5960</v>
      </c>
      <c r="AC74" t="s">
        <v>5961</v>
      </c>
      <c r="AD74" t="s">
        <v>5961</v>
      </c>
      <c r="AE74" t="s">
        <v>5962</v>
      </c>
      <c r="AF74" t="s">
        <v>74</v>
      </c>
      <c r="AG74">
        <v>58</v>
      </c>
      <c r="AH74">
        <v>25</v>
      </c>
      <c r="AI74">
        <v>25</v>
      </c>
      <c r="AJ74">
        <v>16</v>
      </c>
      <c r="AK74">
        <v>63</v>
      </c>
      <c r="AL74" t="s">
        <v>332</v>
      </c>
      <c r="AM74" t="s">
        <v>122</v>
      </c>
      <c r="AN74" t="s">
        <v>333</v>
      </c>
      <c r="AO74" t="s">
        <v>3761</v>
      </c>
      <c r="AP74" t="s">
        <v>3762</v>
      </c>
      <c r="AQ74" t="s">
        <v>74</v>
      </c>
      <c r="AR74" t="s">
        <v>3763</v>
      </c>
      <c r="AS74" t="s">
        <v>3764</v>
      </c>
      <c r="AT74" t="s">
        <v>99</v>
      </c>
      <c r="AU74">
        <v>2021</v>
      </c>
      <c r="AV74">
        <v>136</v>
      </c>
      <c r="AW74" t="s">
        <v>74</v>
      </c>
      <c r="AX74" t="s">
        <v>74</v>
      </c>
      <c r="AY74" t="s">
        <v>74</v>
      </c>
      <c r="AZ74" t="s">
        <v>74</v>
      </c>
      <c r="BA74" t="s">
        <v>74</v>
      </c>
      <c r="BB74">
        <v>284</v>
      </c>
      <c r="BC74">
        <v>292</v>
      </c>
      <c r="BD74" t="s">
        <v>74</v>
      </c>
      <c r="BE74" t="s">
        <v>5963</v>
      </c>
      <c r="BF74" t="str">
        <f>HYPERLINK("http://dx.doi.org/10.1016/j.jbusres.2021.07.040","http://dx.doi.org/10.1016/j.jbusres.2021.07.040")</f>
        <v>http://dx.doi.org/10.1016/j.jbusres.2021.07.040</v>
      </c>
      <c r="BG74" t="s">
        <v>74</v>
      </c>
      <c r="BH74" t="s">
        <v>5928</v>
      </c>
      <c r="BI74">
        <v>9</v>
      </c>
      <c r="BJ74" t="s">
        <v>1023</v>
      </c>
      <c r="BK74" t="s">
        <v>156</v>
      </c>
      <c r="BL74" t="s">
        <v>265</v>
      </c>
      <c r="BM74" t="s">
        <v>5964</v>
      </c>
      <c r="BN74" t="s">
        <v>74</v>
      </c>
      <c r="BO74" t="s">
        <v>2805</v>
      </c>
      <c r="BP74" t="s">
        <v>74</v>
      </c>
      <c r="BQ74" t="s">
        <v>74</v>
      </c>
      <c r="BR74" t="s">
        <v>106</v>
      </c>
      <c r="BS74" t="s">
        <v>5965</v>
      </c>
      <c r="BT74" t="str">
        <f>HYPERLINK("https%3A%2F%2Fwww.webofscience.com%2Fwos%2Fwoscc%2Ffull-record%2FWOS:000705493100004","View Full Record in Web of Science")</f>
        <v>View Full Record in Web of Science</v>
      </c>
    </row>
    <row r="75" spans="1:72" x14ac:dyDescent="0.25">
      <c r="A75" t="s">
        <v>72</v>
      </c>
      <c r="B75" t="s">
        <v>11263</v>
      </c>
      <c r="C75" t="s">
        <v>74</v>
      </c>
      <c r="D75" t="s">
        <v>74</v>
      </c>
      <c r="E75" t="s">
        <v>74</v>
      </c>
      <c r="F75" t="s">
        <v>11264</v>
      </c>
      <c r="G75" t="s">
        <v>74</v>
      </c>
      <c r="H75" t="s">
        <v>74</v>
      </c>
      <c r="I75" s="1" t="s">
        <v>11265</v>
      </c>
      <c r="J75" t="s">
        <v>11266</v>
      </c>
      <c r="K75" t="s">
        <v>74</v>
      </c>
      <c r="L75" t="s">
        <v>74</v>
      </c>
      <c r="M75" t="s">
        <v>78</v>
      </c>
      <c r="N75" t="s">
        <v>79</v>
      </c>
      <c r="O75" t="s">
        <v>74</v>
      </c>
      <c r="P75" t="s">
        <v>74</v>
      </c>
      <c r="Q75" t="s">
        <v>74</v>
      </c>
      <c r="R75" t="s">
        <v>74</v>
      </c>
      <c r="S75" t="s">
        <v>74</v>
      </c>
      <c r="T75" s="1" t="s">
        <v>11267</v>
      </c>
      <c r="U75" s="1" t="s">
        <v>11268</v>
      </c>
      <c r="V75" s="1" t="s">
        <v>11269</v>
      </c>
      <c r="W75" t="s">
        <v>11270</v>
      </c>
      <c r="X75" t="s">
        <v>5211</v>
      </c>
      <c r="Y75" t="s">
        <v>11271</v>
      </c>
      <c r="Z75" t="s">
        <v>11272</v>
      </c>
      <c r="AA75" t="s">
        <v>11273</v>
      </c>
      <c r="AB75" t="s">
        <v>11274</v>
      </c>
      <c r="AC75" t="s">
        <v>74</v>
      </c>
      <c r="AD75" t="s">
        <v>74</v>
      </c>
      <c r="AE75" t="s">
        <v>74</v>
      </c>
      <c r="AF75" t="s">
        <v>74</v>
      </c>
      <c r="AG75">
        <v>63</v>
      </c>
      <c r="AH75">
        <v>25</v>
      </c>
      <c r="AI75">
        <v>25</v>
      </c>
      <c r="AJ75">
        <v>3</v>
      </c>
      <c r="AK75">
        <v>87</v>
      </c>
      <c r="AL75" t="s">
        <v>492</v>
      </c>
      <c r="AM75" t="s">
        <v>493</v>
      </c>
      <c r="AN75" t="s">
        <v>11275</v>
      </c>
      <c r="AO75" t="s">
        <v>11276</v>
      </c>
      <c r="AP75" t="s">
        <v>11277</v>
      </c>
      <c r="AQ75" t="s">
        <v>74</v>
      </c>
      <c r="AR75" t="s">
        <v>11278</v>
      </c>
      <c r="AS75" t="s">
        <v>11279</v>
      </c>
      <c r="AT75" t="s">
        <v>3505</v>
      </c>
      <c r="AU75">
        <v>2016</v>
      </c>
      <c r="AV75">
        <v>16</v>
      </c>
      <c r="AW75">
        <v>1</v>
      </c>
      <c r="AX75" t="s">
        <v>74</v>
      </c>
      <c r="AY75" t="s">
        <v>74</v>
      </c>
      <c r="AZ75" t="s">
        <v>1020</v>
      </c>
      <c r="BA75" t="s">
        <v>74</v>
      </c>
      <c r="BB75">
        <v>69</v>
      </c>
      <c r="BC75">
        <v>82</v>
      </c>
      <c r="BD75" t="s">
        <v>74</v>
      </c>
      <c r="BE75" t="s">
        <v>11280</v>
      </c>
      <c r="BF75" t="str">
        <f>HYPERLINK("http://dx.doi.org/10.1080/14708477.2015.1113752","http://dx.doi.org/10.1080/14708477.2015.1113752")</f>
        <v>http://dx.doi.org/10.1080/14708477.2015.1113752</v>
      </c>
      <c r="BG75" t="s">
        <v>74</v>
      </c>
      <c r="BH75" t="s">
        <v>74</v>
      </c>
      <c r="BI75">
        <v>14</v>
      </c>
      <c r="BJ75" t="s">
        <v>11281</v>
      </c>
      <c r="BK75" t="s">
        <v>4436</v>
      </c>
      <c r="BL75" t="s">
        <v>11282</v>
      </c>
      <c r="BM75" t="s">
        <v>11283</v>
      </c>
      <c r="BN75" t="s">
        <v>74</v>
      </c>
      <c r="BO75" t="s">
        <v>4521</v>
      </c>
      <c r="BP75" t="s">
        <v>74</v>
      </c>
      <c r="BQ75" t="s">
        <v>74</v>
      </c>
      <c r="BR75" t="s">
        <v>106</v>
      </c>
      <c r="BS75" t="s">
        <v>11284</v>
      </c>
      <c r="BT75" t="str">
        <f>HYPERLINK("https%3A%2F%2Fwww.webofscience.com%2Fwos%2Fwoscc%2Ffull-record%2FWOS:000369874500005","View Full Record in Web of Science")</f>
        <v>View Full Record in Web of Science</v>
      </c>
    </row>
    <row r="76" spans="1:72" x14ac:dyDescent="0.25">
      <c r="A76" t="s">
        <v>72</v>
      </c>
      <c r="B76" t="s">
        <v>11920</v>
      </c>
      <c r="C76" t="s">
        <v>74</v>
      </c>
      <c r="D76" t="s">
        <v>74</v>
      </c>
      <c r="E76" t="s">
        <v>74</v>
      </c>
      <c r="F76" t="s">
        <v>11921</v>
      </c>
      <c r="G76" t="s">
        <v>74</v>
      </c>
      <c r="H76" t="s">
        <v>74</v>
      </c>
      <c r="I76" s="1" t="s">
        <v>11922</v>
      </c>
      <c r="J76" t="s">
        <v>1004</v>
      </c>
      <c r="K76" t="s">
        <v>74</v>
      </c>
      <c r="L76" t="s">
        <v>74</v>
      </c>
      <c r="M76" t="s">
        <v>78</v>
      </c>
      <c r="N76" t="s">
        <v>79</v>
      </c>
      <c r="O76" t="s">
        <v>74</v>
      </c>
      <c r="P76" t="s">
        <v>74</v>
      </c>
      <c r="Q76" t="s">
        <v>74</v>
      </c>
      <c r="R76" t="s">
        <v>74</v>
      </c>
      <c r="S76" t="s">
        <v>74</v>
      </c>
      <c r="T76" s="1" t="s">
        <v>11923</v>
      </c>
      <c r="U76" s="1" t="s">
        <v>74</v>
      </c>
      <c r="V76" s="1" t="s">
        <v>11924</v>
      </c>
      <c r="W76" t="s">
        <v>11925</v>
      </c>
      <c r="X76" t="s">
        <v>11926</v>
      </c>
      <c r="Y76" t="s">
        <v>11927</v>
      </c>
      <c r="Z76" t="s">
        <v>11928</v>
      </c>
      <c r="AA76" t="s">
        <v>74</v>
      </c>
      <c r="AB76" t="s">
        <v>11929</v>
      </c>
      <c r="AC76" t="s">
        <v>74</v>
      </c>
      <c r="AD76" t="s">
        <v>74</v>
      </c>
      <c r="AE76" t="s">
        <v>74</v>
      </c>
      <c r="AF76" t="s">
        <v>74</v>
      </c>
      <c r="AG76">
        <v>57</v>
      </c>
      <c r="AH76">
        <v>25</v>
      </c>
      <c r="AI76">
        <v>25</v>
      </c>
      <c r="AJ76">
        <v>0</v>
      </c>
      <c r="AK76">
        <v>16</v>
      </c>
      <c r="AL76" t="s">
        <v>492</v>
      </c>
      <c r="AM76" t="s">
        <v>493</v>
      </c>
      <c r="AN76" t="s">
        <v>494</v>
      </c>
      <c r="AO76" t="s">
        <v>1015</v>
      </c>
      <c r="AP76" t="s">
        <v>1016</v>
      </c>
      <c r="AQ76" t="s">
        <v>74</v>
      </c>
      <c r="AR76" t="s">
        <v>1017</v>
      </c>
      <c r="AS76" t="s">
        <v>1018</v>
      </c>
      <c r="AT76" t="s">
        <v>74</v>
      </c>
      <c r="AU76">
        <v>2014</v>
      </c>
      <c r="AV76">
        <v>5</v>
      </c>
      <c r="AW76">
        <v>3</v>
      </c>
      <c r="AX76" t="s">
        <v>74</v>
      </c>
      <c r="AY76" t="s">
        <v>74</v>
      </c>
      <c r="AZ76" t="s">
        <v>1020</v>
      </c>
      <c r="BA76" t="s">
        <v>74</v>
      </c>
      <c r="BB76">
        <v>235</v>
      </c>
      <c r="BC76">
        <v>250</v>
      </c>
      <c r="BD76" t="s">
        <v>74</v>
      </c>
      <c r="BE76" t="s">
        <v>11930</v>
      </c>
      <c r="BF76" t="str">
        <f>HYPERLINK("http://dx.doi.org/10.1080/20932685.2014.912443","http://dx.doi.org/10.1080/20932685.2014.912443")</f>
        <v>http://dx.doi.org/10.1080/20932685.2014.912443</v>
      </c>
      <c r="BG76" t="s">
        <v>74</v>
      </c>
      <c r="BH76" t="s">
        <v>74</v>
      </c>
      <c r="BI76">
        <v>16</v>
      </c>
      <c r="BJ76" t="s">
        <v>1023</v>
      </c>
      <c r="BK76" t="s">
        <v>183</v>
      </c>
      <c r="BL76" t="s">
        <v>265</v>
      </c>
      <c r="BM76" t="s">
        <v>11931</v>
      </c>
      <c r="BN76" t="s">
        <v>74</v>
      </c>
      <c r="BO76" t="s">
        <v>74</v>
      </c>
      <c r="BP76" t="s">
        <v>74</v>
      </c>
      <c r="BQ76" t="s">
        <v>74</v>
      </c>
      <c r="BR76" t="s">
        <v>106</v>
      </c>
      <c r="BS76" t="s">
        <v>11932</v>
      </c>
      <c r="BT76" t="str">
        <f>HYPERLINK("https%3A%2F%2Fwww.webofscience.com%2Fwos%2Fwoscc%2Ffull-record%2FWOS:000409703200005","View Full Record in Web of Science")</f>
        <v>View Full Record in Web of Science</v>
      </c>
    </row>
    <row r="77" spans="1:72" x14ac:dyDescent="0.25">
      <c r="A77" t="s">
        <v>72</v>
      </c>
      <c r="B77" t="s">
        <v>11350</v>
      </c>
      <c r="C77" t="s">
        <v>74</v>
      </c>
      <c r="D77" t="s">
        <v>74</v>
      </c>
      <c r="E77" t="s">
        <v>74</v>
      </c>
      <c r="F77" t="s">
        <v>11351</v>
      </c>
      <c r="G77" t="s">
        <v>74</v>
      </c>
      <c r="H77" t="s">
        <v>74</v>
      </c>
      <c r="I77" s="1" t="s">
        <v>11352</v>
      </c>
      <c r="J77" t="s">
        <v>11353</v>
      </c>
      <c r="K77" t="s">
        <v>74</v>
      </c>
      <c r="L77" t="s">
        <v>74</v>
      </c>
      <c r="M77" t="s">
        <v>78</v>
      </c>
      <c r="N77" t="s">
        <v>79</v>
      </c>
      <c r="O77" t="s">
        <v>74</v>
      </c>
      <c r="P77" t="s">
        <v>74</v>
      </c>
      <c r="Q77" t="s">
        <v>74</v>
      </c>
      <c r="R77" t="s">
        <v>74</v>
      </c>
      <c r="S77" t="s">
        <v>74</v>
      </c>
      <c r="T77" s="1" t="s">
        <v>11354</v>
      </c>
      <c r="U77" s="1" t="s">
        <v>11355</v>
      </c>
      <c r="V77" s="1" t="s">
        <v>11356</v>
      </c>
      <c r="W77" t="s">
        <v>11357</v>
      </c>
      <c r="X77" t="s">
        <v>11358</v>
      </c>
      <c r="Y77" t="s">
        <v>11359</v>
      </c>
      <c r="Z77" t="s">
        <v>11360</v>
      </c>
      <c r="AA77" t="s">
        <v>11361</v>
      </c>
      <c r="AB77" t="s">
        <v>11362</v>
      </c>
      <c r="AC77" t="s">
        <v>74</v>
      </c>
      <c r="AD77" t="s">
        <v>74</v>
      </c>
      <c r="AE77" t="s">
        <v>74</v>
      </c>
      <c r="AF77" t="s">
        <v>74</v>
      </c>
      <c r="AG77">
        <v>93</v>
      </c>
      <c r="AH77">
        <v>24</v>
      </c>
      <c r="AI77">
        <v>24</v>
      </c>
      <c r="AJ77">
        <v>0</v>
      </c>
      <c r="AK77">
        <v>26</v>
      </c>
      <c r="AL77" t="s">
        <v>11363</v>
      </c>
      <c r="AM77" t="s">
        <v>11364</v>
      </c>
      <c r="AN77" t="s">
        <v>11365</v>
      </c>
      <c r="AO77" t="s">
        <v>11366</v>
      </c>
      <c r="AP77" t="s">
        <v>11367</v>
      </c>
      <c r="AQ77" t="s">
        <v>74</v>
      </c>
      <c r="AR77" t="s">
        <v>11368</v>
      </c>
      <c r="AS77" t="s">
        <v>11369</v>
      </c>
      <c r="AT77" t="s">
        <v>74</v>
      </c>
      <c r="AU77">
        <v>2016</v>
      </c>
      <c r="AV77">
        <v>7</v>
      </c>
      <c r="AW77">
        <v>3</v>
      </c>
      <c r="AX77" t="s">
        <v>74</v>
      </c>
      <c r="AY77" t="s">
        <v>74</v>
      </c>
      <c r="AZ77" t="s">
        <v>74</v>
      </c>
      <c r="BA77" t="s">
        <v>74</v>
      </c>
      <c r="BB77">
        <v>240</v>
      </c>
      <c r="BC77">
        <v>263</v>
      </c>
      <c r="BD77" t="s">
        <v>74</v>
      </c>
      <c r="BE77" t="s">
        <v>11370</v>
      </c>
      <c r="BF77" t="str">
        <f>HYPERLINK("http://dx.doi.org/10.1504/IJKBD.2016.078536","http://dx.doi.org/10.1504/IJKBD.2016.078536")</f>
        <v>http://dx.doi.org/10.1504/IJKBD.2016.078536</v>
      </c>
      <c r="BG77" t="s">
        <v>74</v>
      </c>
      <c r="BH77" t="s">
        <v>74</v>
      </c>
      <c r="BI77">
        <v>24</v>
      </c>
      <c r="BJ77" t="s">
        <v>2621</v>
      </c>
      <c r="BK77" t="s">
        <v>183</v>
      </c>
      <c r="BL77" t="s">
        <v>2621</v>
      </c>
      <c r="BM77" t="s">
        <v>11371</v>
      </c>
      <c r="BN77" t="s">
        <v>74</v>
      </c>
      <c r="BO77" t="s">
        <v>74</v>
      </c>
      <c r="BP77" t="s">
        <v>74</v>
      </c>
      <c r="BQ77" t="s">
        <v>74</v>
      </c>
      <c r="BR77" t="s">
        <v>106</v>
      </c>
      <c r="BS77" t="s">
        <v>11372</v>
      </c>
      <c r="BT77" t="str">
        <f>HYPERLINK("https%3A%2F%2Fwww.webofscience.com%2Fwos%2Fwoscc%2Ffull-record%2FWOS:000437441200004","View Full Record in Web of Science")</f>
        <v>View Full Record in Web of Science</v>
      </c>
    </row>
    <row r="78" spans="1:72" x14ac:dyDescent="0.25">
      <c r="A78" t="s">
        <v>72</v>
      </c>
      <c r="B78" t="s">
        <v>12464</v>
      </c>
      <c r="C78" t="s">
        <v>74</v>
      </c>
      <c r="D78" t="s">
        <v>74</v>
      </c>
      <c r="E78" t="s">
        <v>74</v>
      </c>
      <c r="F78" t="s">
        <v>12465</v>
      </c>
      <c r="G78" t="s">
        <v>74</v>
      </c>
      <c r="H78" t="s">
        <v>74</v>
      </c>
      <c r="I78" s="1" t="s">
        <v>12466</v>
      </c>
      <c r="J78" t="s">
        <v>12467</v>
      </c>
      <c r="K78" t="s">
        <v>74</v>
      </c>
      <c r="L78" t="s">
        <v>74</v>
      </c>
      <c r="M78" t="s">
        <v>78</v>
      </c>
      <c r="N78" t="s">
        <v>79</v>
      </c>
      <c r="O78" t="s">
        <v>74</v>
      </c>
      <c r="P78" t="s">
        <v>74</v>
      </c>
      <c r="Q78" t="s">
        <v>74</v>
      </c>
      <c r="R78" t="s">
        <v>74</v>
      </c>
      <c r="S78" t="s">
        <v>74</v>
      </c>
      <c r="T78" s="1" t="s">
        <v>74</v>
      </c>
      <c r="U78" s="1" t="s">
        <v>74</v>
      </c>
      <c r="V78" s="1" t="s">
        <v>12468</v>
      </c>
      <c r="W78" t="s">
        <v>12469</v>
      </c>
      <c r="X78" t="s">
        <v>12470</v>
      </c>
      <c r="Y78" t="s">
        <v>12471</v>
      </c>
      <c r="Z78" t="s">
        <v>74</v>
      </c>
      <c r="AA78" t="s">
        <v>74</v>
      </c>
      <c r="AB78" t="s">
        <v>74</v>
      </c>
      <c r="AC78" t="s">
        <v>74</v>
      </c>
      <c r="AD78" t="s">
        <v>74</v>
      </c>
      <c r="AE78" t="s">
        <v>74</v>
      </c>
      <c r="AF78" t="s">
        <v>74</v>
      </c>
      <c r="AG78">
        <v>20</v>
      </c>
      <c r="AH78">
        <v>24</v>
      </c>
      <c r="AI78">
        <v>25</v>
      </c>
      <c r="AJ78">
        <v>0</v>
      </c>
      <c r="AK78">
        <v>4</v>
      </c>
      <c r="AL78" t="s">
        <v>12472</v>
      </c>
      <c r="AM78" t="s">
        <v>12473</v>
      </c>
      <c r="AN78" t="s">
        <v>12474</v>
      </c>
      <c r="AO78" t="s">
        <v>12475</v>
      </c>
      <c r="AP78" t="s">
        <v>74</v>
      </c>
      <c r="AQ78" t="s">
        <v>74</v>
      </c>
      <c r="AR78" t="s">
        <v>12476</v>
      </c>
      <c r="AS78" t="s">
        <v>12477</v>
      </c>
      <c r="AT78" t="s">
        <v>356</v>
      </c>
      <c r="AU78">
        <v>2010</v>
      </c>
      <c r="AV78">
        <v>62</v>
      </c>
      <c r="AW78">
        <v>1</v>
      </c>
      <c r="AX78" t="s">
        <v>74</v>
      </c>
      <c r="AY78" t="s">
        <v>74</v>
      </c>
      <c r="AZ78" t="s">
        <v>74</v>
      </c>
      <c r="BA78" t="s">
        <v>74</v>
      </c>
      <c r="BB78">
        <v>180</v>
      </c>
      <c r="BC78">
        <v>215</v>
      </c>
      <c r="BD78" t="s">
        <v>74</v>
      </c>
      <c r="BE78" t="s">
        <v>74</v>
      </c>
      <c r="BF78" t="s">
        <v>74</v>
      </c>
      <c r="BG78" t="s">
        <v>74</v>
      </c>
      <c r="BH78" t="s">
        <v>74</v>
      </c>
      <c r="BI78">
        <v>36</v>
      </c>
      <c r="BJ78" t="s">
        <v>9837</v>
      </c>
      <c r="BK78" t="s">
        <v>3239</v>
      </c>
      <c r="BL78" t="s">
        <v>9837</v>
      </c>
      <c r="BM78" t="s">
        <v>12478</v>
      </c>
      <c r="BN78" t="s">
        <v>74</v>
      </c>
      <c r="BO78" t="s">
        <v>74</v>
      </c>
      <c r="BP78" t="s">
        <v>74</v>
      </c>
      <c r="BQ78" t="s">
        <v>74</v>
      </c>
      <c r="BR78" t="s">
        <v>106</v>
      </c>
      <c r="BS78" t="s">
        <v>12479</v>
      </c>
      <c r="BT78" t="str">
        <f>HYPERLINK("https%3A%2F%2Fwww.webofscience.com%2Fwos%2Fwoscc%2Ffull-record%2FWOS:000281941800013","View Full Record in Web of Science")</f>
        <v>View Full Record in Web of Science</v>
      </c>
    </row>
    <row r="79" spans="1:72" x14ac:dyDescent="0.25">
      <c r="A79" t="s">
        <v>72</v>
      </c>
      <c r="B79" t="s">
        <v>8830</v>
      </c>
      <c r="C79" t="s">
        <v>74</v>
      </c>
      <c r="D79" t="s">
        <v>74</v>
      </c>
      <c r="E79" t="s">
        <v>74</v>
      </c>
      <c r="F79" t="s">
        <v>8831</v>
      </c>
      <c r="G79" t="s">
        <v>74</v>
      </c>
      <c r="H79" t="s">
        <v>74</v>
      </c>
      <c r="I79" s="1" t="s">
        <v>8832</v>
      </c>
      <c r="J79" t="s">
        <v>8833</v>
      </c>
      <c r="K79" t="s">
        <v>74</v>
      </c>
      <c r="L79" t="s">
        <v>74</v>
      </c>
      <c r="M79" t="s">
        <v>78</v>
      </c>
      <c r="N79" t="s">
        <v>79</v>
      </c>
      <c r="O79" t="s">
        <v>74</v>
      </c>
      <c r="P79" t="s">
        <v>74</v>
      </c>
      <c r="Q79" t="s">
        <v>74</v>
      </c>
      <c r="R79" t="s">
        <v>74</v>
      </c>
      <c r="S79" t="s">
        <v>74</v>
      </c>
      <c r="T79" s="1" t="s">
        <v>8834</v>
      </c>
      <c r="U79" s="1" t="s">
        <v>8835</v>
      </c>
      <c r="V79" s="1" t="s">
        <v>8836</v>
      </c>
      <c r="W79" t="s">
        <v>8837</v>
      </c>
      <c r="X79" t="s">
        <v>8838</v>
      </c>
      <c r="Y79" t="s">
        <v>8839</v>
      </c>
      <c r="Z79" t="s">
        <v>8840</v>
      </c>
      <c r="AA79" t="s">
        <v>8841</v>
      </c>
      <c r="AB79" t="s">
        <v>8842</v>
      </c>
      <c r="AC79" t="s">
        <v>8843</v>
      </c>
      <c r="AD79" t="s">
        <v>8844</v>
      </c>
      <c r="AE79" t="s">
        <v>8845</v>
      </c>
      <c r="AF79" t="s">
        <v>74</v>
      </c>
      <c r="AG79">
        <v>66</v>
      </c>
      <c r="AH79">
        <v>23</v>
      </c>
      <c r="AI79">
        <v>23</v>
      </c>
      <c r="AJ79">
        <v>6</v>
      </c>
      <c r="AK79">
        <v>45</v>
      </c>
      <c r="AL79" t="s">
        <v>146</v>
      </c>
      <c r="AM79" t="s">
        <v>147</v>
      </c>
      <c r="AN79" t="s">
        <v>148</v>
      </c>
      <c r="AO79" t="s">
        <v>8846</v>
      </c>
      <c r="AP79" t="s">
        <v>8847</v>
      </c>
      <c r="AQ79" t="s">
        <v>74</v>
      </c>
      <c r="AR79" t="s">
        <v>8848</v>
      </c>
      <c r="AS79" t="s">
        <v>8849</v>
      </c>
      <c r="AT79" t="s">
        <v>208</v>
      </c>
      <c r="AU79">
        <v>2019</v>
      </c>
      <c r="AV79">
        <v>41</v>
      </c>
      <c r="AW79" t="s">
        <v>74</v>
      </c>
      <c r="AX79" t="s">
        <v>74</v>
      </c>
      <c r="AY79">
        <v>1</v>
      </c>
      <c r="AZ79" t="s">
        <v>1020</v>
      </c>
      <c r="BA79" t="s">
        <v>74</v>
      </c>
      <c r="BB79">
        <v>31</v>
      </c>
      <c r="BC79">
        <v>49</v>
      </c>
      <c r="BD79" t="s">
        <v>74</v>
      </c>
      <c r="BE79" t="s">
        <v>8850</v>
      </c>
      <c r="BF79" t="str">
        <f>HYPERLINK("http://dx.doi.org/10.1111/1467-9566.12980","http://dx.doi.org/10.1111/1467-9566.12980")</f>
        <v>http://dx.doi.org/10.1111/1467-9566.12980</v>
      </c>
      <c r="BG79" t="s">
        <v>74</v>
      </c>
      <c r="BH79" t="s">
        <v>74</v>
      </c>
      <c r="BI79">
        <v>19</v>
      </c>
      <c r="BJ79" t="s">
        <v>8851</v>
      </c>
      <c r="BK79" t="s">
        <v>156</v>
      </c>
      <c r="BL79" t="s">
        <v>8852</v>
      </c>
      <c r="BM79" t="s">
        <v>8853</v>
      </c>
      <c r="BN79">
        <v>31599987</v>
      </c>
      <c r="BO79" t="s">
        <v>3068</v>
      </c>
      <c r="BP79" t="s">
        <v>74</v>
      </c>
      <c r="BQ79" t="s">
        <v>74</v>
      </c>
      <c r="BR79" t="s">
        <v>106</v>
      </c>
      <c r="BS79" t="s">
        <v>8854</v>
      </c>
      <c r="BT79" t="str">
        <f>HYPERLINK("https%3A%2F%2Fwww.webofscience.com%2Fwos%2Fwoscc%2Ffull-record%2FWOS:000489792800003","View Full Record in Web of Science")</f>
        <v>View Full Record in Web of Science</v>
      </c>
    </row>
    <row r="80" spans="1:72" x14ac:dyDescent="0.25">
      <c r="A80" t="s">
        <v>72</v>
      </c>
      <c r="B80" t="s">
        <v>9656</v>
      </c>
      <c r="C80" t="s">
        <v>74</v>
      </c>
      <c r="D80" t="s">
        <v>74</v>
      </c>
      <c r="E80" t="s">
        <v>74</v>
      </c>
      <c r="F80" t="s">
        <v>9657</v>
      </c>
      <c r="G80" t="s">
        <v>74</v>
      </c>
      <c r="H80" t="s">
        <v>74</v>
      </c>
      <c r="I80" s="1" t="s">
        <v>9658</v>
      </c>
      <c r="J80" t="s">
        <v>9633</v>
      </c>
      <c r="K80" t="s">
        <v>74</v>
      </c>
      <c r="L80" t="s">
        <v>74</v>
      </c>
      <c r="M80" t="s">
        <v>78</v>
      </c>
      <c r="N80" t="s">
        <v>79</v>
      </c>
      <c r="O80" t="s">
        <v>74</v>
      </c>
      <c r="P80" t="s">
        <v>74</v>
      </c>
      <c r="Q80" t="s">
        <v>74</v>
      </c>
      <c r="R80" t="s">
        <v>74</v>
      </c>
      <c r="S80" t="s">
        <v>74</v>
      </c>
      <c r="T80" s="1" t="s">
        <v>74</v>
      </c>
      <c r="U80" s="1" t="s">
        <v>9659</v>
      </c>
      <c r="V80" s="1" t="s">
        <v>9660</v>
      </c>
      <c r="W80" t="s">
        <v>9661</v>
      </c>
      <c r="X80" t="s">
        <v>9662</v>
      </c>
      <c r="Y80" t="s">
        <v>9663</v>
      </c>
      <c r="Z80" t="s">
        <v>9664</v>
      </c>
      <c r="AA80" t="s">
        <v>9665</v>
      </c>
      <c r="AB80" t="s">
        <v>9666</v>
      </c>
      <c r="AC80" t="s">
        <v>9667</v>
      </c>
      <c r="AD80" t="s">
        <v>9668</v>
      </c>
      <c r="AE80" t="s">
        <v>9669</v>
      </c>
      <c r="AF80" t="s">
        <v>74</v>
      </c>
      <c r="AG80">
        <v>69</v>
      </c>
      <c r="AH80">
        <v>23</v>
      </c>
      <c r="AI80">
        <v>26</v>
      </c>
      <c r="AJ80">
        <v>0</v>
      </c>
      <c r="AK80">
        <v>4</v>
      </c>
      <c r="AL80" t="s">
        <v>9670</v>
      </c>
      <c r="AM80" t="s">
        <v>9646</v>
      </c>
      <c r="AN80" t="s">
        <v>9671</v>
      </c>
      <c r="AO80" t="s">
        <v>9648</v>
      </c>
      <c r="AP80" t="s">
        <v>74</v>
      </c>
      <c r="AQ80" t="s">
        <v>74</v>
      </c>
      <c r="AR80" t="s">
        <v>9649</v>
      </c>
      <c r="AS80" t="s">
        <v>9650</v>
      </c>
      <c r="AT80" t="s">
        <v>2871</v>
      </c>
      <c r="AU80">
        <v>2018</v>
      </c>
      <c r="AV80">
        <v>6</v>
      </c>
      <c r="AW80" t="s">
        <v>74</v>
      </c>
      <c r="AX80" t="s">
        <v>74</v>
      </c>
      <c r="AY80">
        <v>1</v>
      </c>
      <c r="AZ80" t="s">
        <v>74</v>
      </c>
      <c r="BA80" t="s">
        <v>74</v>
      </c>
      <c r="BB80" t="s">
        <v>9672</v>
      </c>
      <c r="BC80" t="s">
        <v>9673</v>
      </c>
      <c r="BD80" t="s">
        <v>74</v>
      </c>
      <c r="BE80" t="s">
        <v>9674</v>
      </c>
      <c r="BF80" t="str">
        <f>HYPERLINK("http://dx.doi.org/10.9745/GHSP-D-18-00229","http://dx.doi.org/10.9745/GHSP-D-18-00229")</f>
        <v>http://dx.doi.org/10.9745/GHSP-D-18-00229</v>
      </c>
      <c r="BG80" t="s">
        <v>74</v>
      </c>
      <c r="BH80" t="s">
        <v>74</v>
      </c>
      <c r="BI80">
        <v>11</v>
      </c>
      <c r="BJ80" t="s">
        <v>1584</v>
      </c>
      <c r="BK80" t="s">
        <v>211</v>
      </c>
      <c r="BL80" t="s">
        <v>1584</v>
      </c>
      <c r="BM80" t="s">
        <v>9654</v>
      </c>
      <c r="BN80">
        <v>30305340</v>
      </c>
      <c r="BO80" t="s">
        <v>614</v>
      </c>
      <c r="BP80" t="s">
        <v>74</v>
      </c>
      <c r="BQ80" t="s">
        <v>74</v>
      </c>
      <c r="BR80" t="s">
        <v>106</v>
      </c>
      <c r="BS80" t="s">
        <v>9675</v>
      </c>
      <c r="BT80" t="str">
        <f>HYPERLINK("https%3A%2F%2Fwww.webofscience.com%2Fwos%2Fwoscc%2Ffull-record%2FWOS:000464985500007","View Full Record in Web of Science")</f>
        <v>View Full Record in Web of Science</v>
      </c>
    </row>
    <row r="81" spans="1:72" x14ac:dyDescent="0.25">
      <c r="A81" t="s">
        <v>72</v>
      </c>
      <c r="B81" t="s">
        <v>10120</v>
      </c>
      <c r="C81" t="s">
        <v>74</v>
      </c>
      <c r="D81" t="s">
        <v>74</v>
      </c>
      <c r="E81" t="s">
        <v>74</v>
      </c>
      <c r="F81" t="s">
        <v>10121</v>
      </c>
      <c r="G81" t="s">
        <v>74</v>
      </c>
      <c r="H81" t="s">
        <v>74</v>
      </c>
      <c r="I81" s="1" t="s">
        <v>10122</v>
      </c>
      <c r="J81" t="s">
        <v>10123</v>
      </c>
      <c r="K81" t="s">
        <v>74</v>
      </c>
      <c r="L81" t="s">
        <v>74</v>
      </c>
      <c r="M81" t="s">
        <v>929</v>
      </c>
      <c r="N81" t="s">
        <v>79</v>
      </c>
      <c r="O81" t="s">
        <v>74</v>
      </c>
      <c r="P81" t="s">
        <v>74</v>
      </c>
      <c r="Q81" t="s">
        <v>74</v>
      </c>
      <c r="R81" t="s">
        <v>74</v>
      </c>
      <c r="S81" t="s">
        <v>74</v>
      </c>
      <c r="T81" s="1" t="s">
        <v>10124</v>
      </c>
      <c r="U81" s="1" t="s">
        <v>10125</v>
      </c>
      <c r="V81" s="1" t="s">
        <v>10126</v>
      </c>
      <c r="W81" t="s">
        <v>10127</v>
      </c>
      <c r="X81" t="s">
        <v>5187</v>
      </c>
      <c r="Y81" t="s">
        <v>10128</v>
      </c>
      <c r="Z81" t="s">
        <v>10129</v>
      </c>
      <c r="AA81" t="s">
        <v>10130</v>
      </c>
      <c r="AB81" t="s">
        <v>10131</v>
      </c>
      <c r="AC81" t="s">
        <v>74</v>
      </c>
      <c r="AD81" t="s">
        <v>74</v>
      </c>
      <c r="AE81" t="s">
        <v>74</v>
      </c>
      <c r="AF81" t="s">
        <v>74</v>
      </c>
      <c r="AG81">
        <v>31</v>
      </c>
      <c r="AH81">
        <v>23</v>
      </c>
      <c r="AI81">
        <v>23</v>
      </c>
      <c r="AJ81">
        <v>3</v>
      </c>
      <c r="AK81">
        <v>24</v>
      </c>
      <c r="AL81" t="s">
        <v>10132</v>
      </c>
      <c r="AM81" t="s">
        <v>10133</v>
      </c>
      <c r="AN81" t="s">
        <v>10134</v>
      </c>
      <c r="AO81" t="s">
        <v>10135</v>
      </c>
      <c r="AP81" t="s">
        <v>74</v>
      </c>
      <c r="AQ81" t="s">
        <v>74</v>
      </c>
      <c r="AR81" t="s">
        <v>10136</v>
      </c>
      <c r="AS81" t="s">
        <v>10137</v>
      </c>
      <c r="AT81" t="s">
        <v>74</v>
      </c>
      <c r="AU81">
        <v>2018</v>
      </c>
      <c r="AV81">
        <v>73</v>
      </c>
      <c r="AW81">
        <v>12</v>
      </c>
      <c r="AX81" t="s">
        <v>74</v>
      </c>
      <c r="AY81" t="s">
        <v>74</v>
      </c>
      <c r="AZ81" t="s">
        <v>74</v>
      </c>
      <c r="BA81" t="s">
        <v>74</v>
      </c>
      <c r="BB81">
        <v>1231</v>
      </c>
      <c r="BC81">
        <v>1246</v>
      </c>
      <c r="BD81" t="s">
        <v>74</v>
      </c>
      <c r="BE81" t="s">
        <v>10138</v>
      </c>
      <c r="BF81" t="str">
        <f>HYPERLINK("http://dx.doi.org/10.4185/RLCS-2018-1304","http://dx.doi.org/10.4185/RLCS-2018-1304")</f>
        <v>http://dx.doi.org/10.4185/RLCS-2018-1304</v>
      </c>
      <c r="BG81" t="s">
        <v>74</v>
      </c>
      <c r="BH81" t="s">
        <v>74</v>
      </c>
      <c r="BI81">
        <v>16</v>
      </c>
      <c r="BJ81" t="s">
        <v>2218</v>
      </c>
      <c r="BK81" t="s">
        <v>183</v>
      </c>
      <c r="BL81" t="s">
        <v>2218</v>
      </c>
      <c r="BM81" t="s">
        <v>10139</v>
      </c>
      <c r="BN81" t="s">
        <v>74</v>
      </c>
      <c r="BO81" t="s">
        <v>4521</v>
      </c>
      <c r="BP81" t="s">
        <v>74</v>
      </c>
      <c r="BQ81" t="s">
        <v>74</v>
      </c>
      <c r="BR81" t="s">
        <v>106</v>
      </c>
      <c r="BS81" t="s">
        <v>10140</v>
      </c>
      <c r="BT81" t="str">
        <f>HYPERLINK("https%3A%2F%2Fwww.webofscience.com%2Fwos%2Fwoscc%2Ffull-record%2FWOS:000458695800009","View Full Record in Web of Science")</f>
        <v>View Full Record in Web of Science</v>
      </c>
    </row>
    <row r="82" spans="1:72" x14ac:dyDescent="0.25">
      <c r="A82" t="s">
        <v>72</v>
      </c>
      <c r="B82" t="s">
        <v>5577</v>
      </c>
      <c r="C82" t="s">
        <v>74</v>
      </c>
      <c r="D82" t="s">
        <v>74</v>
      </c>
      <c r="E82" t="s">
        <v>74</v>
      </c>
      <c r="F82" t="s">
        <v>5578</v>
      </c>
      <c r="G82" t="s">
        <v>74</v>
      </c>
      <c r="H82" t="s">
        <v>74</v>
      </c>
      <c r="I82" s="1" t="s">
        <v>5579</v>
      </c>
      <c r="J82" t="s">
        <v>4420</v>
      </c>
      <c r="K82" t="s">
        <v>74</v>
      </c>
      <c r="L82" t="s">
        <v>74</v>
      </c>
      <c r="M82" t="s">
        <v>78</v>
      </c>
      <c r="N82" t="s">
        <v>79</v>
      </c>
      <c r="O82" t="s">
        <v>74</v>
      </c>
      <c r="P82" t="s">
        <v>74</v>
      </c>
      <c r="Q82" t="s">
        <v>74</v>
      </c>
      <c r="R82" t="s">
        <v>74</v>
      </c>
      <c r="S82" t="s">
        <v>74</v>
      </c>
      <c r="T82" s="1" t="s">
        <v>74</v>
      </c>
      <c r="U82" s="1" t="s">
        <v>74</v>
      </c>
      <c r="V82" s="1" t="s">
        <v>5580</v>
      </c>
      <c r="W82" t="s">
        <v>5581</v>
      </c>
      <c r="X82" t="s">
        <v>5582</v>
      </c>
      <c r="Y82" t="s">
        <v>5583</v>
      </c>
      <c r="Z82" t="s">
        <v>5584</v>
      </c>
      <c r="AA82" t="s">
        <v>5585</v>
      </c>
      <c r="AB82" t="s">
        <v>5586</v>
      </c>
      <c r="AC82" t="s">
        <v>5587</v>
      </c>
      <c r="AD82" t="s">
        <v>5588</v>
      </c>
      <c r="AE82" t="s">
        <v>5589</v>
      </c>
      <c r="AF82" t="s">
        <v>74</v>
      </c>
      <c r="AG82">
        <v>47</v>
      </c>
      <c r="AH82">
        <v>22</v>
      </c>
      <c r="AI82">
        <v>22</v>
      </c>
      <c r="AJ82">
        <v>1</v>
      </c>
      <c r="AK82">
        <v>19</v>
      </c>
      <c r="AL82" t="s">
        <v>4428</v>
      </c>
      <c r="AM82" t="s">
        <v>175</v>
      </c>
      <c r="AN82" t="s">
        <v>4429</v>
      </c>
      <c r="AO82" t="s">
        <v>74</v>
      </c>
      <c r="AP82" t="s">
        <v>4430</v>
      </c>
      <c r="AQ82" t="s">
        <v>74</v>
      </c>
      <c r="AR82" t="s">
        <v>4431</v>
      </c>
      <c r="AS82" t="s">
        <v>4432</v>
      </c>
      <c r="AT82" t="s">
        <v>5590</v>
      </c>
      <c r="AU82">
        <v>2021</v>
      </c>
      <c r="AV82">
        <v>8</v>
      </c>
      <c r="AW82">
        <v>1</v>
      </c>
      <c r="AX82" t="s">
        <v>74</v>
      </c>
      <c r="AY82" t="s">
        <v>74</v>
      </c>
      <c r="AZ82" t="s">
        <v>74</v>
      </c>
      <c r="BA82" t="s">
        <v>74</v>
      </c>
      <c r="BB82" t="s">
        <v>74</v>
      </c>
      <c r="BC82" t="s">
        <v>74</v>
      </c>
      <c r="BD82">
        <v>236</v>
      </c>
      <c r="BE82" t="s">
        <v>5591</v>
      </c>
      <c r="BF82" t="str">
        <f>HYPERLINK("http://dx.doi.org/10.1057/s41599-021-00921-8","http://dx.doi.org/10.1057/s41599-021-00921-8")</f>
        <v>http://dx.doi.org/10.1057/s41599-021-00921-8</v>
      </c>
      <c r="BG82" t="s">
        <v>74</v>
      </c>
      <c r="BH82" t="s">
        <v>74</v>
      </c>
      <c r="BI82">
        <v>10</v>
      </c>
      <c r="BJ82" t="s">
        <v>4435</v>
      </c>
      <c r="BK82" t="s">
        <v>4436</v>
      </c>
      <c r="BL82" t="s">
        <v>4437</v>
      </c>
      <c r="BM82" t="s">
        <v>5592</v>
      </c>
      <c r="BN82" t="s">
        <v>74</v>
      </c>
      <c r="BO82" t="s">
        <v>2162</v>
      </c>
      <c r="BP82" t="s">
        <v>74</v>
      </c>
      <c r="BQ82" t="s">
        <v>74</v>
      </c>
      <c r="BR82" t="s">
        <v>106</v>
      </c>
      <c r="BS82" t="s">
        <v>5593</v>
      </c>
      <c r="BT82" t="str">
        <f>HYPERLINK("https%3A%2F%2Fwww.webofscience.com%2Fwos%2Fwoscc%2Ffull-record%2FWOS:000707584600002","View Full Record in Web of Science")</f>
        <v>View Full Record in Web of Science</v>
      </c>
    </row>
    <row r="83" spans="1:72" x14ac:dyDescent="0.25">
      <c r="A83" t="s">
        <v>72</v>
      </c>
      <c r="B83" t="s">
        <v>8898</v>
      </c>
      <c r="C83" t="s">
        <v>74</v>
      </c>
      <c r="D83" t="s">
        <v>74</v>
      </c>
      <c r="E83" t="s">
        <v>74</v>
      </c>
      <c r="F83" t="s">
        <v>8899</v>
      </c>
      <c r="G83" t="s">
        <v>74</v>
      </c>
      <c r="H83" t="s">
        <v>74</v>
      </c>
      <c r="I83" s="1" t="s">
        <v>8900</v>
      </c>
      <c r="J83" t="s">
        <v>7883</v>
      </c>
      <c r="K83" t="s">
        <v>74</v>
      </c>
      <c r="L83" t="s">
        <v>74</v>
      </c>
      <c r="M83" t="s">
        <v>78</v>
      </c>
      <c r="N83" t="s">
        <v>79</v>
      </c>
      <c r="O83" t="s">
        <v>74</v>
      </c>
      <c r="P83" t="s">
        <v>74</v>
      </c>
      <c r="Q83" t="s">
        <v>74</v>
      </c>
      <c r="R83" t="s">
        <v>74</v>
      </c>
      <c r="S83" t="s">
        <v>74</v>
      </c>
      <c r="T83" s="1" t="s">
        <v>8901</v>
      </c>
      <c r="U83" s="1" t="s">
        <v>8902</v>
      </c>
      <c r="V83" s="1" t="s">
        <v>8903</v>
      </c>
      <c r="W83" t="s">
        <v>8904</v>
      </c>
      <c r="X83" t="s">
        <v>74</v>
      </c>
      <c r="Y83" t="s">
        <v>8905</v>
      </c>
      <c r="Z83" t="s">
        <v>8906</v>
      </c>
      <c r="AA83" t="s">
        <v>8907</v>
      </c>
      <c r="AB83" t="s">
        <v>8908</v>
      </c>
      <c r="AC83" t="s">
        <v>74</v>
      </c>
      <c r="AD83" t="s">
        <v>74</v>
      </c>
      <c r="AE83" t="s">
        <v>74</v>
      </c>
      <c r="AF83" t="s">
        <v>74</v>
      </c>
      <c r="AG83">
        <v>116</v>
      </c>
      <c r="AH83">
        <v>22</v>
      </c>
      <c r="AI83">
        <v>22</v>
      </c>
      <c r="AJ83">
        <v>7</v>
      </c>
      <c r="AK83">
        <v>88</v>
      </c>
      <c r="AL83" t="s">
        <v>715</v>
      </c>
      <c r="AM83" t="s">
        <v>716</v>
      </c>
      <c r="AN83" t="s">
        <v>717</v>
      </c>
      <c r="AO83" t="s">
        <v>7895</v>
      </c>
      <c r="AP83" t="s">
        <v>7896</v>
      </c>
      <c r="AQ83" t="s">
        <v>74</v>
      </c>
      <c r="AR83" t="s">
        <v>7897</v>
      </c>
      <c r="AS83" t="s">
        <v>7898</v>
      </c>
      <c r="AT83" t="s">
        <v>3237</v>
      </c>
      <c r="AU83">
        <v>2019</v>
      </c>
      <c r="AV83">
        <v>26</v>
      </c>
      <c r="AW83">
        <v>1</v>
      </c>
      <c r="AX83" t="s">
        <v>74</v>
      </c>
      <c r="AY83" t="s">
        <v>74</v>
      </c>
      <c r="AZ83" t="s">
        <v>74</v>
      </c>
      <c r="BA83" t="s">
        <v>74</v>
      </c>
      <c r="BB83">
        <v>257</v>
      </c>
      <c r="BC83">
        <v>286</v>
      </c>
      <c r="BD83" t="s">
        <v>74</v>
      </c>
      <c r="BE83" t="s">
        <v>8909</v>
      </c>
      <c r="BF83" t="str">
        <f>HYPERLINK("http://dx.doi.org/10.1108/BPMJ-07-2017-0196","http://dx.doi.org/10.1108/BPMJ-07-2017-0196")</f>
        <v>http://dx.doi.org/10.1108/BPMJ-07-2017-0196</v>
      </c>
      <c r="BG83" t="s">
        <v>74</v>
      </c>
      <c r="BH83" t="s">
        <v>74</v>
      </c>
      <c r="BI83">
        <v>30</v>
      </c>
      <c r="BJ83" t="s">
        <v>264</v>
      </c>
      <c r="BK83" t="s">
        <v>156</v>
      </c>
      <c r="BL83" t="s">
        <v>265</v>
      </c>
      <c r="BM83" t="s">
        <v>8910</v>
      </c>
      <c r="BN83" t="s">
        <v>74</v>
      </c>
      <c r="BO83" t="s">
        <v>74</v>
      </c>
      <c r="BP83" t="s">
        <v>74</v>
      </c>
      <c r="BQ83" t="s">
        <v>74</v>
      </c>
      <c r="BR83" t="s">
        <v>106</v>
      </c>
      <c r="BS83" t="s">
        <v>8911</v>
      </c>
      <c r="BT83" t="str">
        <f>HYPERLINK("https%3A%2F%2Fwww.webofscience.com%2Fwos%2Fwoscc%2Ffull-record%2FWOS:000507397300001","View Full Record in Web of Science")</f>
        <v>View Full Record in Web of Science</v>
      </c>
    </row>
    <row r="84" spans="1:72" x14ac:dyDescent="0.25">
      <c r="A84" t="s">
        <v>72</v>
      </c>
      <c r="B84" t="s">
        <v>10449</v>
      </c>
      <c r="C84" t="s">
        <v>74</v>
      </c>
      <c r="D84" t="s">
        <v>74</v>
      </c>
      <c r="E84" t="s">
        <v>74</v>
      </c>
      <c r="F84" t="s">
        <v>10450</v>
      </c>
      <c r="G84" t="s">
        <v>74</v>
      </c>
      <c r="H84" t="s">
        <v>74</v>
      </c>
      <c r="I84" s="1" t="s">
        <v>10451</v>
      </c>
      <c r="J84" t="s">
        <v>4541</v>
      </c>
      <c r="K84" t="s">
        <v>74</v>
      </c>
      <c r="L84" t="s">
        <v>74</v>
      </c>
      <c r="M84" t="s">
        <v>78</v>
      </c>
      <c r="N84" t="s">
        <v>79</v>
      </c>
      <c r="O84" t="s">
        <v>74</v>
      </c>
      <c r="P84" t="s">
        <v>74</v>
      </c>
      <c r="Q84" t="s">
        <v>74</v>
      </c>
      <c r="R84" t="s">
        <v>74</v>
      </c>
      <c r="S84" t="s">
        <v>74</v>
      </c>
      <c r="T84" s="1" t="s">
        <v>10452</v>
      </c>
      <c r="U84" s="1" t="s">
        <v>74</v>
      </c>
      <c r="V84" s="1" t="s">
        <v>10453</v>
      </c>
      <c r="W84" t="s">
        <v>10454</v>
      </c>
      <c r="X84" t="s">
        <v>10455</v>
      </c>
      <c r="Y84" t="s">
        <v>10456</v>
      </c>
      <c r="Z84" t="s">
        <v>10457</v>
      </c>
      <c r="AA84" t="s">
        <v>74</v>
      </c>
      <c r="AB84" t="s">
        <v>10458</v>
      </c>
      <c r="AC84" t="s">
        <v>74</v>
      </c>
      <c r="AD84" t="s">
        <v>74</v>
      </c>
      <c r="AE84" t="s">
        <v>74</v>
      </c>
      <c r="AF84" t="s">
        <v>74</v>
      </c>
      <c r="AG84">
        <v>5</v>
      </c>
      <c r="AH84">
        <v>22</v>
      </c>
      <c r="AI84">
        <v>23</v>
      </c>
      <c r="AJ84">
        <v>6</v>
      </c>
      <c r="AK84">
        <v>68</v>
      </c>
      <c r="AL84" t="s">
        <v>1636</v>
      </c>
      <c r="AM84" t="s">
        <v>93</v>
      </c>
      <c r="AN84" t="s">
        <v>1637</v>
      </c>
      <c r="AO84" t="s">
        <v>4554</v>
      </c>
      <c r="AP84" t="s">
        <v>4555</v>
      </c>
      <c r="AQ84" t="s">
        <v>74</v>
      </c>
      <c r="AR84" t="s">
        <v>4556</v>
      </c>
      <c r="AS84" t="s">
        <v>4557</v>
      </c>
      <c r="AT84" t="s">
        <v>476</v>
      </c>
      <c r="AU84">
        <v>2017</v>
      </c>
      <c r="AV84">
        <v>37</v>
      </c>
      <c r="AW84">
        <v>6</v>
      </c>
      <c r="AX84" t="s">
        <v>74</v>
      </c>
      <c r="AY84" t="s">
        <v>74</v>
      </c>
      <c r="AZ84" t="s">
        <v>74</v>
      </c>
      <c r="BA84" t="s">
        <v>74</v>
      </c>
      <c r="BB84">
        <v>713</v>
      </c>
      <c r="BC84">
        <v>715</v>
      </c>
      <c r="BD84" t="s">
        <v>74</v>
      </c>
      <c r="BE84" t="s">
        <v>10459</v>
      </c>
      <c r="BF84" t="str">
        <f>HYPERLINK("http://dx.doi.org/10.1016/j.ijinfomgt.2017.05.002","http://dx.doi.org/10.1016/j.ijinfomgt.2017.05.002")</f>
        <v>http://dx.doi.org/10.1016/j.ijinfomgt.2017.05.002</v>
      </c>
      <c r="BG84" t="s">
        <v>74</v>
      </c>
      <c r="BH84" t="s">
        <v>74</v>
      </c>
      <c r="BI84">
        <v>3</v>
      </c>
      <c r="BJ84" t="s">
        <v>3050</v>
      </c>
      <c r="BK84" t="s">
        <v>156</v>
      </c>
      <c r="BL84" t="s">
        <v>3050</v>
      </c>
      <c r="BM84" t="s">
        <v>10460</v>
      </c>
      <c r="BN84" t="s">
        <v>74</v>
      </c>
      <c r="BO84" t="s">
        <v>74</v>
      </c>
      <c r="BP84" t="s">
        <v>74</v>
      </c>
      <c r="BQ84" t="s">
        <v>74</v>
      </c>
      <c r="BR84" t="s">
        <v>106</v>
      </c>
      <c r="BS84" t="s">
        <v>10461</v>
      </c>
      <c r="BT84" t="str">
        <f>HYPERLINK("https%3A%2F%2Fwww.webofscience.com%2Fwos%2Fwoscc%2Ffull-record%2FWOS:000413649100021","View Full Record in Web of Science")</f>
        <v>View Full Record in Web of Science</v>
      </c>
    </row>
    <row r="85" spans="1:72" x14ac:dyDescent="0.25">
      <c r="A85" t="s">
        <v>72</v>
      </c>
      <c r="B85" t="s">
        <v>8653</v>
      </c>
      <c r="C85" t="s">
        <v>74</v>
      </c>
      <c r="D85" t="s">
        <v>74</v>
      </c>
      <c r="E85" t="s">
        <v>74</v>
      </c>
      <c r="F85" t="s">
        <v>8654</v>
      </c>
      <c r="G85" t="s">
        <v>74</v>
      </c>
      <c r="H85" t="s">
        <v>74</v>
      </c>
      <c r="I85" s="1" t="s">
        <v>8655</v>
      </c>
      <c r="J85" t="s">
        <v>1911</v>
      </c>
      <c r="K85" t="s">
        <v>74</v>
      </c>
      <c r="L85" t="s">
        <v>74</v>
      </c>
      <c r="M85" t="s">
        <v>78</v>
      </c>
      <c r="N85" t="s">
        <v>79</v>
      </c>
      <c r="O85" t="s">
        <v>74</v>
      </c>
      <c r="P85" t="s">
        <v>74</v>
      </c>
      <c r="Q85" t="s">
        <v>74</v>
      </c>
      <c r="R85" t="s">
        <v>74</v>
      </c>
      <c r="S85" t="s">
        <v>74</v>
      </c>
      <c r="T85" s="1" t="s">
        <v>8656</v>
      </c>
      <c r="U85" s="1" t="s">
        <v>8657</v>
      </c>
      <c r="V85" s="1" t="s">
        <v>8658</v>
      </c>
      <c r="W85" t="s">
        <v>8659</v>
      </c>
      <c r="X85" t="s">
        <v>8660</v>
      </c>
      <c r="Y85" t="s">
        <v>3741</v>
      </c>
      <c r="Z85" t="s">
        <v>8661</v>
      </c>
      <c r="AA85" t="s">
        <v>3743</v>
      </c>
      <c r="AB85" t="s">
        <v>3744</v>
      </c>
      <c r="AC85" t="s">
        <v>74</v>
      </c>
      <c r="AD85" t="s">
        <v>74</v>
      </c>
      <c r="AE85" t="s">
        <v>74</v>
      </c>
      <c r="AF85" t="s">
        <v>74</v>
      </c>
      <c r="AG85">
        <v>71</v>
      </c>
      <c r="AH85">
        <v>21</v>
      </c>
      <c r="AI85">
        <v>21</v>
      </c>
      <c r="AJ85">
        <v>10</v>
      </c>
      <c r="AK85">
        <v>100</v>
      </c>
      <c r="AL85" t="s">
        <v>1919</v>
      </c>
      <c r="AM85" t="s">
        <v>1920</v>
      </c>
      <c r="AN85" t="s">
        <v>1921</v>
      </c>
      <c r="AO85" t="s">
        <v>1922</v>
      </c>
      <c r="AP85" t="s">
        <v>1923</v>
      </c>
      <c r="AQ85" t="s">
        <v>74</v>
      </c>
      <c r="AR85" t="s">
        <v>1924</v>
      </c>
      <c r="AS85" t="s">
        <v>1925</v>
      </c>
      <c r="AT85" t="s">
        <v>476</v>
      </c>
      <c r="AU85">
        <v>2019</v>
      </c>
      <c r="AV85">
        <v>23</v>
      </c>
      <c r="AW85">
        <v>8</v>
      </c>
      <c r="AX85" t="s">
        <v>74</v>
      </c>
      <c r="AY85" t="s">
        <v>74</v>
      </c>
      <c r="AZ85" t="s">
        <v>1020</v>
      </c>
      <c r="BA85" t="s">
        <v>74</v>
      </c>
      <c r="BB85" t="s">
        <v>74</v>
      </c>
      <c r="BC85" t="s">
        <v>74</v>
      </c>
      <c r="BD85">
        <v>1940005</v>
      </c>
      <c r="BE85" t="s">
        <v>8662</v>
      </c>
      <c r="BF85" t="str">
        <f>HYPERLINK("http://dx.doi.org/10.1142/S136391961940005X","http://dx.doi.org/10.1142/S136391961940005X")</f>
        <v>http://dx.doi.org/10.1142/S136391961940005X</v>
      </c>
      <c r="BG85" t="s">
        <v>74</v>
      </c>
      <c r="BH85" t="s">
        <v>74</v>
      </c>
      <c r="BI85">
        <v>24</v>
      </c>
      <c r="BJ85" t="s">
        <v>315</v>
      </c>
      <c r="BK85" t="s">
        <v>183</v>
      </c>
      <c r="BL85" t="s">
        <v>265</v>
      </c>
      <c r="BM85" t="s">
        <v>8663</v>
      </c>
      <c r="BN85" t="s">
        <v>74</v>
      </c>
      <c r="BO85" t="s">
        <v>74</v>
      </c>
      <c r="BP85" t="s">
        <v>74</v>
      </c>
      <c r="BQ85" t="s">
        <v>74</v>
      </c>
      <c r="BR85" t="s">
        <v>106</v>
      </c>
      <c r="BS85" t="s">
        <v>8664</v>
      </c>
      <c r="BT85" t="str">
        <f>HYPERLINK("https%3A%2F%2Fwww.webofscience.com%2Fwos%2Fwoscc%2Ffull-record%2FWOS:000506329200006","View Full Record in Web of Science")</f>
        <v>View Full Record in Web of Science</v>
      </c>
    </row>
    <row r="86" spans="1:72" x14ac:dyDescent="0.25">
      <c r="A86" t="s">
        <v>72</v>
      </c>
      <c r="B86" t="s">
        <v>8855</v>
      </c>
      <c r="C86" t="s">
        <v>74</v>
      </c>
      <c r="D86" t="s">
        <v>74</v>
      </c>
      <c r="E86" t="s">
        <v>74</v>
      </c>
      <c r="F86" t="s">
        <v>8856</v>
      </c>
      <c r="G86" t="s">
        <v>74</v>
      </c>
      <c r="H86" t="s">
        <v>74</v>
      </c>
      <c r="I86" s="1" t="s">
        <v>8857</v>
      </c>
      <c r="J86" t="s">
        <v>8858</v>
      </c>
      <c r="K86" t="s">
        <v>74</v>
      </c>
      <c r="L86" t="s">
        <v>74</v>
      </c>
      <c r="M86" t="s">
        <v>78</v>
      </c>
      <c r="N86" t="s">
        <v>79</v>
      </c>
      <c r="O86" t="s">
        <v>74</v>
      </c>
      <c r="P86" t="s">
        <v>74</v>
      </c>
      <c r="Q86" t="s">
        <v>74</v>
      </c>
      <c r="R86" t="s">
        <v>74</v>
      </c>
      <c r="S86" t="s">
        <v>74</v>
      </c>
      <c r="T86" s="1" t="s">
        <v>8859</v>
      </c>
      <c r="U86" s="1" t="s">
        <v>8860</v>
      </c>
      <c r="V86" s="1" t="s">
        <v>8861</v>
      </c>
      <c r="W86" t="s">
        <v>8862</v>
      </c>
      <c r="X86" t="s">
        <v>8863</v>
      </c>
      <c r="Y86" t="s">
        <v>8864</v>
      </c>
      <c r="Z86" t="s">
        <v>8865</v>
      </c>
      <c r="AA86" t="s">
        <v>8866</v>
      </c>
      <c r="AB86" t="s">
        <v>8867</v>
      </c>
      <c r="AC86" t="s">
        <v>74</v>
      </c>
      <c r="AD86" t="s">
        <v>74</v>
      </c>
      <c r="AE86" t="s">
        <v>74</v>
      </c>
      <c r="AF86" t="s">
        <v>74</v>
      </c>
      <c r="AG86">
        <v>110</v>
      </c>
      <c r="AH86">
        <v>21</v>
      </c>
      <c r="AI86">
        <v>22</v>
      </c>
      <c r="AJ86">
        <v>1</v>
      </c>
      <c r="AK86">
        <v>18</v>
      </c>
      <c r="AL86" t="s">
        <v>715</v>
      </c>
      <c r="AM86" t="s">
        <v>716</v>
      </c>
      <c r="AN86" t="s">
        <v>717</v>
      </c>
      <c r="AO86" t="s">
        <v>8868</v>
      </c>
      <c r="AP86" t="s">
        <v>8869</v>
      </c>
      <c r="AQ86" t="s">
        <v>74</v>
      </c>
      <c r="AR86" t="s">
        <v>8870</v>
      </c>
      <c r="AS86" t="s">
        <v>8871</v>
      </c>
      <c r="AT86" t="s">
        <v>8872</v>
      </c>
      <c r="AU86">
        <v>2019</v>
      </c>
      <c r="AV86">
        <v>39</v>
      </c>
      <c r="AW86" t="s">
        <v>8873</v>
      </c>
      <c r="AX86" t="s">
        <v>74</v>
      </c>
      <c r="AY86" t="s">
        <v>74</v>
      </c>
      <c r="AZ86" t="s">
        <v>74</v>
      </c>
      <c r="BA86" t="s">
        <v>74</v>
      </c>
      <c r="BB86">
        <v>752</v>
      </c>
      <c r="BC86">
        <v>772</v>
      </c>
      <c r="BD86" t="s">
        <v>74</v>
      </c>
      <c r="BE86" t="s">
        <v>8874</v>
      </c>
      <c r="BF86" t="str">
        <f>HYPERLINK("http://dx.doi.org/10.1108/IJSSP-05-2019-0095","http://dx.doi.org/10.1108/IJSSP-05-2019-0095")</f>
        <v>http://dx.doi.org/10.1108/IJSSP-05-2019-0095</v>
      </c>
      <c r="BG86" t="s">
        <v>74</v>
      </c>
      <c r="BH86" t="s">
        <v>74</v>
      </c>
      <c r="BI86">
        <v>21</v>
      </c>
      <c r="BJ86" t="s">
        <v>5263</v>
      </c>
      <c r="BK86" t="s">
        <v>183</v>
      </c>
      <c r="BL86" t="s">
        <v>5263</v>
      </c>
      <c r="BM86" t="s">
        <v>8875</v>
      </c>
      <c r="BN86" t="s">
        <v>74</v>
      </c>
      <c r="BO86" t="s">
        <v>74</v>
      </c>
      <c r="BP86" t="s">
        <v>74</v>
      </c>
      <c r="BQ86" t="s">
        <v>74</v>
      </c>
      <c r="BR86" t="s">
        <v>106</v>
      </c>
      <c r="BS86" t="s">
        <v>8876</v>
      </c>
      <c r="BT86" t="str">
        <f>HYPERLINK("https%3A%2F%2Fwww.webofscience.com%2Fwos%2Fwoscc%2Ffull-record%2FWOS:000497446800006","View Full Record in Web of Science")</f>
        <v>View Full Record in Web of Science</v>
      </c>
    </row>
    <row r="87" spans="1:72" x14ac:dyDescent="0.25">
      <c r="A87" t="s">
        <v>72</v>
      </c>
      <c r="B87" t="s">
        <v>5424</v>
      </c>
      <c r="C87" t="s">
        <v>74</v>
      </c>
      <c r="D87" t="s">
        <v>74</v>
      </c>
      <c r="E87" t="s">
        <v>74</v>
      </c>
      <c r="F87" t="s">
        <v>5425</v>
      </c>
      <c r="G87" t="s">
        <v>74</v>
      </c>
      <c r="H87" t="s">
        <v>74</v>
      </c>
      <c r="I87" s="1" t="s">
        <v>5426</v>
      </c>
      <c r="J87" t="s">
        <v>5427</v>
      </c>
      <c r="K87" t="s">
        <v>74</v>
      </c>
      <c r="L87" t="s">
        <v>74</v>
      </c>
      <c r="M87" t="s">
        <v>78</v>
      </c>
      <c r="N87" t="s">
        <v>79</v>
      </c>
      <c r="O87" t="s">
        <v>74</v>
      </c>
      <c r="P87" t="s">
        <v>74</v>
      </c>
      <c r="Q87" t="s">
        <v>74</v>
      </c>
      <c r="R87" t="s">
        <v>74</v>
      </c>
      <c r="S87" t="s">
        <v>74</v>
      </c>
      <c r="T87" s="1" t="s">
        <v>5428</v>
      </c>
      <c r="U87" s="1" t="s">
        <v>5429</v>
      </c>
      <c r="V87" s="1" t="s">
        <v>5430</v>
      </c>
      <c r="W87" t="s">
        <v>5431</v>
      </c>
      <c r="X87" t="s">
        <v>5432</v>
      </c>
      <c r="Y87" t="s">
        <v>5433</v>
      </c>
      <c r="Z87" t="s">
        <v>5434</v>
      </c>
      <c r="AA87" t="s">
        <v>5435</v>
      </c>
      <c r="AB87" t="s">
        <v>5436</v>
      </c>
      <c r="AC87" t="s">
        <v>5437</v>
      </c>
      <c r="AD87" t="s">
        <v>5438</v>
      </c>
      <c r="AE87" t="s">
        <v>5439</v>
      </c>
      <c r="AF87" t="s">
        <v>74</v>
      </c>
      <c r="AG87">
        <v>151</v>
      </c>
      <c r="AH87">
        <v>20</v>
      </c>
      <c r="AI87">
        <v>20</v>
      </c>
      <c r="AJ87">
        <v>8</v>
      </c>
      <c r="AK87">
        <v>57</v>
      </c>
      <c r="AL87" t="s">
        <v>202</v>
      </c>
      <c r="AM87" t="s">
        <v>203</v>
      </c>
      <c r="AN87" t="s">
        <v>204</v>
      </c>
      <c r="AO87" t="s">
        <v>74</v>
      </c>
      <c r="AP87" t="s">
        <v>5440</v>
      </c>
      <c r="AQ87" t="s">
        <v>74</v>
      </c>
      <c r="AR87" t="s">
        <v>5427</v>
      </c>
      <c r="AS87" t="s">
        <v>5441</v>
      </c>
      <c r="AT87" t="s">
        <v>476</v>
      </c>
      <c r="AU87">
        <v>2021</v>
      </c>
      <c r="AV87">
        <v>14</v>
      </c>
      <c r="AW87">
        <v>23</v>
      </c>
      <c r="AX87" t="s">
        <v>74</v>
      </c>
      <c r="AY87" t="s">
        <v>74</v>
      </c>
      <c r="AZ87" t="s">
        <v>74</v>
      </c>
      <c r="BA87" t="s">
        <v>74</v>
      </c>
      <c r="BB87" t="s">
        <v>74</v>
      </c>
      <c r="BC87" t="s">
        <v>74</v>
      </c>
      <c r="BD87">
        <v>7997</v>
      </c>
      <c r="BE87" t="s">
        <v>5442</v>
      </c>
      <c r="BF87" t="str">
        <f>HYPERLINK("http://dx.doi.org/10.3390/en14237997","http://dx.doi.org/10.3390/en14237997")</f>
        <v>http://dx.doi.org/10.3390/en14237997</v>
      </c>
      <c r="BG87" t="s">
        <v>74</v>
      </c>
      <c r="BH87" t="s">
        <v>74</v>
      </c>
      <c r="BI87">
        <v>21</v>
      </c>
      <c r="BJ87" t="s">
        <v>5443</v>
      </c>
      <c r="BK87" t="s">
        <v>211</v>
      </c>
      <c r="BL87" t="s">
        <v>5443</v>
      </c>
      <c r="BM87" t="s">
        <v>5444</v>
      </c>
      <c r="BN87" t="s">
        <v>74</v>
      </c>
      <c r="BO87" t="s">
        <v>186</v>
      </c>
      <c r="BP87" t="s">
        <v>74</v>
      </c>
      <c r="BQ87" t="s">
        <v>74</v>
      </c>
      <c r="BR87" t="s">
        <v>106</v>
      </c>
      <c r="BS87" t="s">
        <v>5445</v>
      </c>
      <c r="BT87" t="str">
        <f>HYPERLINK("https%3A%2F%2Fwww.webofscience.com%2Fwos%2Fwoscc%2Ffull-record%2FWOS:000735449200001","View Full Record in Web of Science")</f>
        <v>View Full Record in Web of Science</v>
      </c>
    </row>
    <row r="88" spans="1:72" x14ac:dyDescent="0.25">
      <c r="A88" t="s">
        <v>72</v>
      </c>
      <c r="B88" t="s">
        <v>7508</v>
      </c>
      <c r="C88" t="s">
        <v>74</v>
      </c>
      <c r="D88" t="s">
        <v>74</v>
      </c>
      <c r="E88" t="s">
        <v>74</v>
      </c>
      <c r="F88" t="s">
        <v>7509</v>
      </c>
      <c r="G88" t="s">
        <v>74</v>
      </c>
      <c r="H88" t="s">
        <v>74</v>
      </c>
      <c r="I88" s="1" t="s">
        <v>7510</v>
      </c>
      <c r="J88" t="s">
        <v>6204</v>
      </c>
      <c r="K88" t="s">
        <v>74</v>
      </c>
      <c r="L88" t="s">
        <v>74</v>
      </c>
      <c r="M88" t="s">
        <v>78</v>
      </c>
      <c r="N88" t="s">
        <v>79</v>
      </c>
      <c r="O88" t="s">
        <v>74</v>
      </c>
      <c r="P88" t="s">
        <v>74</v>
      </c>
      <c r="Q88" t="s">
        <v>74</v>
      </c>
      <c r="R88" t="s">
        <v>74</v>
      </c>
      <c r="S88" t="s">
        <v>74</v>
      </c>
      <c r="T88" s="1" t="s">
        <v>7511</v>
      </c>
      <c r="U88" s="1" t="s">
        <v>74</v>
      </c>
      <c r="V88" s="1" t="s">
        <v>7512</v>
      </c>
      <c r="W88" t="s">
        <v>7513</v>
      </c>
      <c r="X88" t="s">
        <v>7514</v>
      </c>
      <c r="Y88" t="s">
        <v>7515</v>
      </c>
      <c r="Z88" t="s">
        <v>7516</v>
      </c>
      <c r="AA88" t="s">
        <v>74</v>
      </c>
      <c r="AB88" t="s">
        <v>7517</v>
      </c>
      <c r="AC88" t="s">
        <v>74</v>
      </c>
      <c r="AD88" t="s">
        <v>74</v>
      </c>
      <c r="AE88" t="s">
        <v>74</v>
      </c>
      <c r="AF88" t="s">
        <v>74</v>
      </c>
      <c r="AG88">
        <v>44</v>
      </c>
      <c r="AH88">
        <v>20</v>
      </c>
      <c r="AI88">
        <v>20</v>
      </c>
      <c r="AJ88">
        <v>9</v>
      </c>
      <c r="AK88">
        <v>140</v>
      </c>
      <c r="AL88" t="s">
        <v>715</v>
      </c>
      <c r="AM88" t="s">
        <v>716</v>
      </c>
      <c r="AN88" t="s">
        <v>717</v>
      </c>
      <c r="AO88" t="s">
        <v>6216</v>
      </c>
      <c r="AP88" t="s">
        <v>6217</v>
      </c>
      <c r="AQ88" t="s">
        <v>74</v>
      </c>
      <c r="AR88" t="s">
        <v>6218</v>
      </c>
      <c r="AS88" t="s">
        <v>6219</v>
      </c>
      <c r="AT88" t="s">
        <v>7518</v>
      </c>
      <c r="AU88">
        <v>2021</v>
      </c>
      <c r="AV88">
        <v>13</v>
      </c>
      <c r="AW88">
        <v>1</v>
      </c>
      <c r="AX88" t="s">
        <v>74</v>
      </c>
      <c r="AY88" t="s">
        <v>74</v>
      </c>
      <c r="AZ88" t="s">
        <v>74</v>
      </c>
      <c r="BA88" t="s">
        <v>74</v>
      </c>
      <c r="BB88">
        <v>17</v>
      </c>
      <c r="BC88">
        <v>33</v>
      </c>
      <c r="BD88" t="s">
        <v>74</v>
      </c>
      <c r="BE88" t="s">
        <v>7519</v>
      </c>
      <c r="BF88" t="str">
        <f>HYPERLINK("http://dx.doi.org/10.1108/IJIS-09-2020-0157","http://dx.doi.org/10.1108/IJIS-09-2020-0157")</f>
        <v>http://dx.doi.org/10.1108/IJIS-09-2020-0157</v>
      </c>
      <c r="BG88" t="s">
        <v>74</v>
      </c>
      <c r="BH88" t="s">
        <v>7520</v>
      </c>
      <c r="BI88">
        <v>17</v>
      </c>
      <c r="BJ88" t="s">
        <v>1023</v>
      </c>
      <c r="BK88" t="s">
        <v>183</v>
      </c>
      <c r="BL88" t="s">
        <v>265</v>
      </c>
      <c r="BM88" t="s">
        <v>7521</v>
      </c>
      <c r="BN88" t="s">
        <v>74</v>
      </c>
      <c r="BO88" t="s">
        <v>74</v>
      </c>
      <c r="BP88" t="s">
        <v>74</v>
      </c>
      <c r="BQ88" t="s">
        <v>74</v>
      </c>
      <c r="BR88" t="s">
        <v>106</v>
      </c>
      <c r="BS88" t="s">
        <v>7522</v>
      </c>
      <c r="BT88" t="str">
        <f>HYPERLINK("https%3A%2F%2Fwww.webofscience.com%2Fwos%2Fwoscc%2Ffull-record%2FWOS:000603421000001","View Full Record in Web of Science")</f>
        <v>View Full Record in Web of Science</v>
      </c>
    </row>
    <row r="89" spans="1:72" x14ac:dyDescent="0.25">
      <c r="A89" t="s">
        <v>72</v>
      </c>
      <c r="B89" t="s">
        <v>8728</v>
      </c>
      <c r="C89" t="s">
        <v>74</v>
      </c>
      <c r="D89" t="s">
        <v>74</v>
      </c>
      <c r="E89" t="s">
        <v>74</v>
      </c>
      <c r="F89" t="s">
        <v>8729</v>
      </c>
      <c r="G89" t="s">
        <v>74</v>
      </c>
      <c r="H89" t="s">
        <v>74</v>
      </c>
      <c r="I89" s="1" t="s">
        <v>8730</v>
      </c>
      <c r="J89" t="s">
        <v>8731</v>
      </c>
      <c r="K89" t="s">
        <v>74</v>
      </c>
      <c r="L89" t="s">
        <v>74</v>
      </c>
      <c r="M89" t="s">
        <v>78</v>
      </c>
      <c r="N89" t="s">
        <v>112</v>
      </c>
      <c r="O89" t="s">
        <v>74</v>
      </c>
      <c r="P89" t="s">
        <v>74</v>
      </c>
      <c r="Q89" t="s">
        <v>74</v>
      </c>
      <c r="R89" t="s">
        <v>74</v>
      </c>
      <c r="S89" t="s">
        <v>74</v>
      </c>
      <c r="T89" s="1" t="s">
        <v>74</v>
      </c>
      <c r="U89" s="1" t="s">
        <v>8732</v>
      </c>
      <c r="V89" s="1" t="s">
        <v>8733</v>
      </c>
      <c r="W89" t="s">
        <v>8734</v>
      </c>
      <c r="X89" t="s">
        <v>5582</v>
      </c>
      <c r="Y89" t="s">
        <v>8735</v>
      </c>
      <c r="Z89" t="s">
        <v>8736</v>
      </c>
      <c r="AA89" t="s">
        <v>74</v>
      </c>
      <c r="AB89" t="s">
        <v>8737</v>
      </c>
      <c r="AC89" t="s">
        <v>8738</v>
      </c>
      <c r="AD89" t="s">
        <v>8738</v>
      </c>
      <c r="AE89" t="s">
        <v>8739</v>
      </c>
      <c r="AF89" t="s">
        <v>74</v>
      </c>
      <c r="AG89">
        <v>90</v>
      </c>
      <c r="AH89">
        <v>20</v>
      </c>
      <c r="AI89">
        <v>21</v>
      </c>
      <c r="AJ89">
        <v>14</v>
      </c>
      <c r="AK89">
        <v>129</v>
      </c>
      <c r="AL89" t="s">
        <v>492</v>
      </c>
      <c r="AM89" t="s">
        <v>493</v>
      </c>
      <c r="AN89" t="s">
        <v>494</v>
      </c>
      <c r="AO89" t="s">
        <v>8740</v>
      </c>
      <c r="AP89" t="s">
        <v>8741</v>
      </c>
      <c r="AQ89" t="s">
        <v>74</v>
      </c>
      <c r="AR89" t="s">
        <v>8742</v>
      </c>
      <c r="AS89" t="s">
        <v>8743</v>
      </c>
      <c r="AT89" t="s">
        <v>8744</v>
      </c>
      <c r="AU89">
        <v>2019</v>
      </c>
      <c r="AV89" t="s">
        <v>74</v>
      </c>
      <c r="AW89" t="s">
        <v>74</v>
      </c>
      <c r="AX89" t="s">
        <v>74</v>
      </c>
      <c r="AY89" t="s">
        <v>74</v>
      </c>
      <c r="AZ89" t="s">
        <v>74</v>
      </c>
      <c r="BA89" t="s">
        <v>74</v>
      </c>
      <c r="BB89" t="s">
        <v>74</v>
      </c>
      <c r="BC89" t="s">
        <v>74</v>
      </c>
      <c r="BD89" t="s">
        <v>74</v>
      </c>
      <c r="BE89" t="s">
        <v>8745</v>
      </c>
      <c r="BF89" t="str">
        <f>HYPERLINK("http://dx.doi.org/10.1080/00220388.2019.1677886","http://dx.doi.org/10.1080/00220388.2019.1677886")</f>
        <v>http://dx.doi.org/10.1080/00220388.2019.1677886</v>
      </c>
      <c r="BG89" t="s">
        <v>74</v>
      </c>
      <c r="BH89" t="s">
        <v>8702</v>
      </c>
      <c r="BI89">
        <v>16</v>
      </c>
      <c r="BJ89" t="s">
        <v>8746</v>
      </c>
      <c r="BK89" t="s">
        <v>156</v>
      </c>
      <c r="BL89" t="s">
        <v>8747</v>
      </c>
      <c r="BM89" t="s">
        <v>8748</v>
      </c>
      <c r="BN89" t="s">
        <v>74</v>
      </c>
      <c r="BO89" t="s">
        <v>105</v>
      </c>
      <c r="BP89" t="s">
        <v>74</v>
      </c>
      <c r="BQ89" t="s">
        <v>74</v>
      </c>
      <c r="BR89" t="s">
        <v>106</v>
      </c>
      <c r="BS89" t="s">
        <v>8749</v>
      </c>
      <c r="BT89" t="str">
        <f>HYPERLINK("https%3A%2F%2Fwww.webofscience.com%2Fwos%2Fwoscc%2Ffull-record%2FWOS:000494903000001","View Full Record in Web of Science")</f>
        <v>View Full Record in Web of Science</v>
      </c>
    </row>
    <row r="90" spans="1:72" x14ac:dyDescent="0.25">
      <c r="A90" t="s">
        <v>72</v>
      </c>
      <c r="B90" t="s">
        <v>11080</v>
      </c>
      <c r="C90" t="s">
        <v>74</v>
      </c>
      <c r="D90" t="s">
        <v>74</v>
      </c>
      <c r="E90" t="s">
        <v>74</v>
      </c>
      <c r="F90" t="s">
        <v>11081</v>
      </c>
      <c r="G90" t="s">
        <v>74</v>
      </c>
      <c r="H90" t="s">
        <v>74</v>
      </c>
      <c r="I90" s="1" t="s">
        <v>11082</v>
      </c>
      <c r="J90" t="s">
        <v>11083</v>
      </c>
      <c r="K90" t="s">
        <v>74</v>
      </c>
      <c r="L90" t="s">
        <v>74</v>
      </c>
      <c r="M90" t="s">
        <v>78</v>
      </c>
      <c r="N90" t="s">
        <v>79</v>
      </c>
      <c r="O90" t="s">
        <v>74</v>
      </c>
      <c r="P90" t="s">
        <v>74</v>
      </c>
      <c r="Q90" t="s">
        <v>74</v>
      </c>
      <c r="R90" t="s">
        <v>74</v>
      </c>
      <c r="S90" t="s">
        <v>74</v>
      </c>
      <c r="T90" s="1" t="s">
        <v>11084</v>
      </c>
      <c r="U90" s="1" t="s">
        <v>11085</v>
      </c>
      <c r="V90" s="1" t="s">
        <v>11086</v>
      </c>
      <c r="W90" t="s">
        <v>11087</v>
      </c>
      <c r="X90" t="s">
        <v>11088</v>
      </c>
      <c r="Y90" t="s">
        <v>11089</v>
      </c>
      <c r="Z90" t="s">
        <v>11090</v>
      </c>
      <c r="AA90" t="s">
        <v>74</v>
      </c>
      <c r="AB90" t="s">
        <v>74</v>
      </c>
      <c r="AC90" t="s">
        <v>74</v>
      </c>
      <c r="AD90" t="s">
        <v>74</v>
      </c>
      <c r="AE90" t="s">
        <v>74</v>
      </c>
      <c r="AF90" t="s">
        <v>74</v>
      </c>
      <c r="AG90">
        <v>40</v>
      </c>
      <c r="AH90">
        <v>20</v>
      </c>
      <c r="AI90">
        <v>20</v>
      </c>
      <c r="AJ90">
        <v>0</v>
      </c>
      <c r="AK90">
        <v>40</v>
      </c>
      <c r="AL90" t="s">
        <v>1074</v>
      </c>
      <c r="AM90" t="s">
        <v>1075</v>
      </c>
      <c r="AN90" t="s">
        <v>1076</v>
      </c>
      <c r="AO90" t="s">
        <v>11091</v>
      </c>
      <c r="AP90" t="s">
        <v>11092</v>
      </c>
      <c r="AQ90" t="s">
        <v>74</v>
      </c>
      <c r="AR90" t="s">
        <v>11093</v>
      </c>
      <c r="AS90" t="s">
        <v>11094</v>
      </c>
      <c r="AT90" t="s">
        <v>208</v>
      </c>
      <c r="AU90">
        <v>2016</v>
      </c>
      <c r="AV90">
        <v>21</v>
      </c>
      <c r="AW90">
        <v>4</v>
      </c>
      <c r="AX90" t="s">
        <v>74</v>
      </c>
      <c r="AY90" t="s">
        <v>74</v>
      </c>
      <c r="AZ90" t="s">
        <v>74</v>
      </c>
      <c r="BA90" t="s">
        <v>74</v>
      </c>
      <c r="BB90">
        <v>490</v>
      </c>
      <c r="BC90">
        <v>507</v>
      </c>
      <c r="BD90" t="s">
        <v>74</v>
      </c>
      <c r="BE90" t="s">
        <v>11095</v>
      </c>
      <c r="BF90" t="str">
        <f>HYPERLINK("http://dx.doi.org/10.1177/1940161216658373","http://dx.doi.org/10.1177/1940161216658373")</f>
        <v>http://dx.doi.org/10.1177/1940161216658373</v>
      </c>
      <c r="BG90" t="s">
        <v>74</v>
      </c>
      <c r="BH90" t="s">
        <v>74</v>
      </c>
      <c r="BI90">
        <v>18</v>
      </c>
      <c r="BJ90" t="s">
        <v>10199</v>
      </c>
      <c r="BK90" t="s">
        <v>156</v>
      </c>
      <c r="BL90" t="s">
        <v>9325</v>
      </c>
      <c r="BM90" t="s">
        <v>11096</v>
      </c>
      <c r="BN90" t="s">
        <v>74</v>
      </c>
      <c r="BO90" t="s">
        <v>74</v>
      </c>
      <c r="BP90" t="s">
        <v>74</v>
      </c>
      <c r="BQ90" t="s">
        <v>74</v>
      </c>
      <c r="BR90" t="s">
        <v>106</v>
      </c>
      <c r="BS90" t="s">
        <v>11097</v>
      </c>
      <c r="BT90" t="str">
        <f>HYPERLINK("https%3A%2F%2Fwww.webofscience.com%2Fwos%2Fwoscc%2Ffull-record%2FWOS:000383390200004","View Full Record in Web of Science")</f>
        <v>View Full Record in Web of Science</v>
      </c>
    </row>
    <row r="91" spans="1:72" x14ac:dyDescent="0.25">
      <c r="A91" t="s">
        <v>72</v>
      </c>
      <c r="B91" t="s">
        <v>3780</v>
      </c>
      <c r="C91" t="s">
        <v>74</v>
      </c>
      <c r="D91" t="s">
        <v>74</v>
      </c>
      <c r="E91" t="s">
        <v>74</v>
      </c>
      <c r="F91" t="s">
        <v>3781</v>
      </c>
      <c r="G91" t="s">
        <v>74</v>
      </c>
      <c r="H91" t="s">
        <v>74</v>
      </c>
      <c r="I91" s="1" t="s">
        <v>3782</v>
      </c>
      <c r="J91" t="s">
        <v>77</v>
      </c>
      <c r="K91" t="s">
        <v>74</v>
      </c>
      <c r="L91" t="s">
        <v>74</v>
      </c>
      <c r="M91" t="s">
        <v>78</v>
      </c>
      <c r="N91" t="s">
        <v>79</v>
      </c>
      <c r="O91" t="s">
        <v>74</v>
      </c>
      <c r="P91" t="s">
        <v>74</v>
      </c>
      <c r="Q91" t="s">
        <v>74</v>
      </c>
      <c r="R91" t="s">
        <v>74</v>
      </c>
      <c r="S91" t="s">
        <v>74</v>
      </c>
      <c r="T91" s="1" t="s">
        <v>3783</v>
      </c>
      <c r="U91" s="1" t="s">
        <v>3784</v>
      </c>
      <c r="V91" s="1" t="s">
        <v>3785</v>
      </c>
      <c r="W91" t="s">
        <v>3786</v>
      </c>
      <c r="X91" t="s">
        <v>3787</v>
      </c>
      <c r="Y91" t="s">
        <v>3788</v>
      </c>
      <c r="Z91" t="s">
        <v>3789</v>
      </c>
      <c r="AA91" t="s">
        <v>3790</v>
      </c>
      <c r="AB91" t="s">
        <v>3791</v>
      </c>
      <c r="AC91" t="s">
        <v>3792</v>
      </c>
      <c r="AD91" t="s">
        <v>3793</v>
      </c>
      <c r="AE91" t="s">
        <v>3794</v>
      </c>
      <c r="AF91" t="s">
        <v>74</v>
      </c>
      <c r="AG91">
        <v>90</v>
      </c>
      <c r="AH91">
        <v>19</v>
      </c>
      <c r="AI91">
        <v>19</v>
      </c>
      <c r="AJ91">
        <v>6</v>
      </c>
      <c r="AK91">
        <v>12</v>
      </c>
      <c r="AL91" t="s">
        <v>92</v>
      </c>
      <c r="AM91" t="s">
        <v>93</v>
      </c>
      <c r="AN91" t="s">
        <v>94</v>
      </c>
      <c r="AO91" t="s">
        <v>95</v>
      </c>
      <c r="AP91" t="s">
        <v>96</v>
      </c>
      <c r="AQ91" t="s">
        <v>74</v>
      </c>
      <c r="AR91" t="s">
        <v>97</v>
      </c>
      <c r="AS91" t="s">
        <v>98</v>
      </c>
      <c r="AT91" t="s">
        <v>356</v>
      </c>
      <c r="AU91">
        <v>2022</v>
      </c>
      <c r="AV91">
        <v>171</v>
      </c>
      <c r="AW91" t="s">
        <v>74</v>
      </c>
      <c r="AX91" t="s">
        <v>74</v>
      </c>
      <c r="AY91" t="s">
        <v>74</v>
      </c>
      <c r="AZ91" t="s">
        <v>74</v>
      </c>
      <c r="BA91" t="s">
        <v>74</v>
      </c>
      <c r="BB91" t="s">
        <v>74</v>
      </c>
      <c r="BC91" t="s">
        <v>74</v>
      </c>
      <c r="BD91">
        <v>108428</v>
      </c>
      <c r="BE91" t="s">
        <v>3795</v>
      </c>
      <c r="BF91" t="str">
        <f>HYPERLINK("http://dx.doi.org/10.1016/j.cie.2022.108428","http://dx.doi.org/10.1016/j.cie.2022.108428")</f>
        <v>http://dx.doi.org/10.1016/j.cie.2022.108428</v>
      </c>
      <c r="BG91" t="s">
        <v>74</v>
      </c>
      <c r="BH91" t="s">
        <v>3746</v>
      </c>
      <c r="BI91">
        <v>12</v>
      </c>
      <c r="BJ91" t="s">
        <v>101</v>
      </c>
      <c r="BK91" t="s">
        <v>102</v>
      </c>
      <c r="BL91" t="s">
        <v>103</v>
      </c>
      <c r="BM91" t="s">
        <v>3796</v>
      </c>
      <c r="BN91" t="s">
        <v>74</v>
      </c>
      <c r="BO91" t="s">
        <v>1539</v>
      </c>
      <c r="BP91" t="s">
        <v>74</v>
      </c>
      <c r="BQ91" t="s">
        <v>74</v>
      </c>
      <c r="BR91" t="s">
        <v>106</v>
      </c>
      <c r="BS91" t="s">
        <v>3797</v>
      </c>
      <c r="BT91" t="str">
        <f>HYPERLINK("https%3A%2F%2Fwww.webofscience.com%2Fwos%2Fwoscc%2Ffull-record%2FWOS:000838907100011","View Full Record in Web of Science")</f>
        <v>View Full Record in Web of Science</v>
      </c>
    </row>
    <row r="92" spans="1:72" x14ac:dyDescent="0.25">
      <c r="A92" t="s">
        <v>72</v>
      </c>
      <c r="B92" t="s">
        <v>6308</v>
      </c>
      <c r="C92" t="s">
        <v>74</v>
      </c>
      <c r="D92" t="s">
        <v>74</v>
      </c>
      <c r="E92" t="s">
        <v>74</v>
      </c>
      <c r="F92" t="s">
        <v>6309</v>
      </c>
      <c r="G92" t="s">
        <v>74</v>
      </c>
      <c r="H92" t="s">
        <v>74</v>
      </c>
      <c r="I92" s="1" t="s">
        <v>6310</v>
      </c>
      <c r="J92" t="s">
        <v>5427</v>
      </c>
      <c r="K92" t="s">
        <v>74</v>
      </c>
      <c r="L92" t="s">
        <v>74</v>
      </c>
      <c r="M92" t="s">
        <v>78</v>
      </c>
      <c r="N92" t="s">
        <v>79</v>
      </c>
      <c r="O92" t="s">
        <v>74</v>
      </c>
      <c r="P92" t="s">
        <v>74</v>
      </c>
      <c r="Q92" t="s">
        <v>74</v>
      </c>
      <c r="R92" t="s">
        <v>74</v>
      </c>
      <c r="S92" t="s">
        <v>74</v>
      </c>
      <c r="T92" s="1" t="s">
        <v>6311</v>
      </c>
      <c r="U92" s="1" t="s">
        <v>6312</v>
      </c>
      <c r="V92" s="1" t="s">
        <v>6313</v>
      </c>
      <c r="W92" t="s">
        <v>6314</v>
      </c>
      <c r="X92" t="s">
        <v>6315</v>
      </c>
      <c r="Y92" t="s">
        <v>6316</v>
      </c>
      <c r="Z92" t="s">
        <v>6317</v>
      </c>
      <c r="AA92" t="s">
        <v>6318</v>
      </c>
      <c r="AB92" t="s">
        <v>6319</v>
      </c>
      <c r="AC92" t="s">
        <v>6320</v>
      </c>
      <c r="AD92" t="s">
        <v>6321</v>
      </c>
      <c r="AE92" t="s">
        <v>6322</v>
      </c>
      <c r="AF92" t="s">
        <v>74</v>
      </c>
      <c r="AG92">
        <v>133</v>
      </c>
      <c r="AH92">
        <v>19</v>
      </c>
      <c r="AI92">
        <v>19</v>
      </c>
      <c r="AJ92">
        <v>5</v>
      </c>
      <c r="AK92">
        <v>21</v>
      </c>
      <c r="AL92" t="s">
        <v>202</v>
      </c>
      <c r="AM92" t="s">
        <v>203</v>
      </c>
      <c r="AN92" t="s">
        <v>204</v>
      </c>
      <c r="AO92" t="s">
        <v>74</v>
      </c>
      <c r="AP92" t="s">
        <v>5440</v>
      </c>
      <c r="AQ92" t="s">
        <v>74</v>
      </c>
      <c r="AR92" t="s">
        <v>5427</v>
      </c>
      <c r="AS92" t="s">
        <v>5441</v>
      </c>
      <c r="AT92" t="s">
        <v>1138</v>
      </c>
      <c r="AU92">
        <v>2021</v>
      </c>
      <c r="AV92">
        <v>14</v>
      </c>
      <c r="AW92">
        <v>11</v>
      </c>
      <c r="AX92" t="s">
        <v>74</v>
      </c>
      <c r="AY92" t="s">
        <v>74</v>
      </c>
      <c r="AZ92" t="s">
        <v>74</v>
      </c>
      <c r="BA92" t="s">
        <v>74</v>
      </c>
      <c r="BB92" t="s">
        <v>74</v>
      </c>
      <c r="BC92" t="s">
        <v>74</v>
      </c>
      <c r="BD92">
        <v>3034</v>
      </c>
      <c r="BE92" t="s">
        <v>6323</v>
      </c>
      <c r="BF92" t="str">
        <f>HYPERLINK("http://dx.doi.org/10.3390/en14113034","http://dx.doi.org/10.3390/en14113034")</f>
        <v>http://dx.doi.org/10.3390/en14113034</v>
      </c>
      <c r="BG92" t="s">
        <v>74</v>
      </c>
      <c r="BH92" t="s">
        <v>74</v>
      </c>
      <c r="BI92">
        <v>25</v>
      </c>
      <c r="BJ92" t="s">
        <v>5443</v>
      </c>
      <c r="BK92" t="s">
        <v>102</v>
      </c>
      <c r="BL92" t="s">
        <v>5443</v>
      </c>
      <c r="BM92" t="s">
        <v>6324</v>
      </c>
      <c r="BN92" t="s">
        <v>74</v>
      </c>
      <c r="BO92" t="s">
        <v>186</v>
      </c>
      <c r="BP92" t="s">
        <v>74</v>
      </c>
      <c r="BQ92" t="s">
        <v>74</v>
      </c>
      <c r="BR92" t="s">
        <v>106</v>
      </c>
      <c r="BS92" t="s">
        <v>6325</v>
      </c>
      <c r="BT92" t="str">
        <f>HYPERLINK("https%3A%2F%2Fwww.webofscience.com%2Fwos%2Fwoscc%2Ffull-record%2FWOS:000659845500001","View Full Record in Web of Science")</f>
        <v>View Full Record in Web of Science</v>
      </c>
    </row>
    <row r="93" spans="1:72" x14ac:dyDescent="0.25">
      <c r="A93" t="s">
        <v>72</v>
      </c>
      <c r="B93" t="s">
        <v>8705</v>
      </c>
      <c r="C93" t="s">
        <v>74</v>
      </c>
      <c r="D93" t="s">
        <v>74</v>
      </c>
      <c r="E93" t="s">
        <v>74</v>
      </c>
      <c r="F93" t="s">
        <v>8706</v>
      </c>
      <c r="G93" t="s">
        <v>74</v>
      </c>
      <c r="H93" t="s">
        <v>74</v>
      </c>
      <c r="I93" s="1" t="s">
        <v>8707</v>
      </c>
      <c r="J93" t="s">
        <v>8708</v>
      </c>
      <c r="K93" t="s">
        <v>74</v>
      </c>
      <c r="L93" t="s">
        <v>74</v>
      </c>
      <c r="M93" t="s">
        <v>78</v>
      </c>
      <c r="N93" t="s">
        <v>79</v>
      </c>
      <c r="O93" t="s">
        <v>74</v>
      </c>
      <c r="P93" t="s">
        <v>74</v>
      </c>
      <c r="Q93" t="s">
        <v>74</v>
      </c>
      <c r="R93" t="s">
        <v>74</v>
      </c>
      <c r="S93" t="s">
        <v>74</v>
      </c>
      <c r="T93" s="1" t="s">
        <v>8709</v>
      </c>
      <c r="U93" s="1" t="s">
        <v>8710</v>
      </c>
      <c r="V93" s="1" t="s">
        <v>8711</v>
      </c>
      <c r="W93" t="s">
        <v>8712</v>
      </c>
      <c r="X93" t="s">
        <v>8713</v>
      </c>
      <c r="Y93" t="s">
        <v>8714</v>
      </c>
      <c r="Z93" t="s">
        <v>8715</v>
      </c>
      <c r="AA93" t="s">
        <v>8716</v>
      </c>
      <c r="AB93" t="s">
        <v>8717</v>
      </c>
      <c r="AC93" t="s">
        <v>8718</v>
      </c>
      <c r="AD93" t="s">
        <v>8718</v>
      </c>
      <c r="AE93" t="s">
        <v>8719</v>
      </c>
      <c r="AF93" t="s">
        <v>74</v>
      </c>
      <c r="AG93">
        <v>83</v>
      </c>
      <c r="AH93">
        <v>19</v>
      </c>
      <c r="AI93">
        <v>19</v>
      </c>
      <c r="AJ93">
        <v>11</v>
      </c>
      <c r="AK93">
        <v>125</v>
      </c>
      <c r="AL93" t="s">
        <v>715</v>
      </c>
      <c r="AM93" t="s">
        <v>716</v>
      </c>
      <c r="AN93" t="s">
        <v>717</v>
      </c>
      <c r="AO93" t="s">
        <v>8720</v>
      </c>
      <c r="AP93" t="s">
        <v>8721</v>
      </c>
      <c r="AQ93" t="s">
        <v>74</v>
      </c>
      <c r="AR93" t="s">
        <v>8722</v>
      </c>
      <c r="AS93" t="s">
        <v>8723</v>
      </c>
      <c r="AT93" t="s">
        <v>8724</v>
      </c>
      <c r="AU93">
        <v>2019</v>
      </c>
      <c r="AV93">
        <v>53</v>
      </c>
      <c r="AW93">
        <v>11</v>
      </c>
      <c r="AX93" t="s">
        <v>74</v>
      </c>
      <c r="AY93" t="s">
        <v>74</v>
      </c>
      <c r="AZ93" t="s">
        <v>74</v>
      </c>
      <c r="BA93" t="s">
        <v>74</v>
      </c>
      <c r="BB93">
        <v>2451</v>
      </c>
      <c r="BC93">
        <v>2479</v>
      </c>
      <c r="BD93" t="s">
        <v>74</v>
      </c>
      <c r="BE93" t="s">
        <v>8725</v>
      </c>
      <c r="BF93" t="str">
        <f>HYPERLINK("http://dx.doi.org/10.1108/EJM-11-2016-0619","http://dx.doi.org/10.1108/EJM-11-2016-0619")</f>
        <v>http://dx.doi.org/10.1108/EJM-11-2016-0619</v>
      </c>
      <c r="BG93" t="s">
        <v>74</v>
      </c>
      <c r="BH93" t="s">
        <v>74</v>
      </c>
      <c r="BI93">
        <v>29</v>
      </c>
      <c r="BJ93" t="s">
        <v>1023</v>
      </c>
      <c r="BK93" t="s">
        <v>156</v>
      </c>
      <c r="BL93" t="s">
        <v>265</v>
      </c>
      <c r="BM93" t="s">
        <v>8726</v>
      </c>
      <c r="BN93" t="s">
        <v>74</v>
      </c>
      <c r="BO93" t="s">
        <v>74</v>
      </c>
      <c r="BP93" t="s">
        <v>74</v>
      </c>
      <c r="BQ93" t="s">
        <v>74</v>
      </c>
      <c r="BR93" t="s">
        <v>106</v>
      </c>
      <c r="BS93" t="s">
        <v>8727</v>
      </c>
      <c r="BT93" t="str">
        <f>HYPERLINK("https%3A%2F%2Fwww.webofscience.com%2Fwos%2Fwoscc%2Ffull-record%2FWOS:000487036200009","View Full Record in Web of Science")</f>
        <v>View Full Record in Web of Science</v>
      </c>
    </row>
    <row r="94" spans="1:72" x14ac:dyDescent="0.25">
      <c r="A94" t="s">
        <v>72</v>
      </c>
      <c r="B94" t="s">
        <v>9840</v>
      </c>
      <c r="C94" t="s">
        <v>74</v>
      </c>
      <c r="D94" t="s">
        <v>74</v>
      </c>
      <c r="E94" t="s">
        <v>74</v>
      </c>
      <c r="F94" t="s">
        <v>9841</v>
      </c>
      <c r="G94" t="s">
        <v>74</v>
      </c>
      <c r="H94" t="s">
        <v>74</v>
      </c>
      <c r="I94" s="1" t="s">
        <v>9842</v>
      </c>
      <c r="J94" t="s">
        <v>9843</v>
      </c>
      <c r="K94" t="s">
        <v>74</v>
      </c>
      <c r="L94" t="s">
        <v>74</v>
      </c>
      <c r="M94" t="s">
        <v>78</v>
      </c>
      <c r="N94" t="s">
        <v>79</v>
      </c>
      <c r="O94" t="s">
        <v>74</v>
      </c>
      <c r="P94" t="s">
        <v>74</v>
      </c>
      <c r="Q94" t="s">
        <v>74</v>
      </c>
      <c r="R94" t="s">
        <v>74</v>
      </c>
      <c r="S94" t="s">
        <v>74</v>
      </c>
      <c r="T94" s="1" t="s">
        <v>74</v>
      </c>
      <c r="U94" s="1" t="s">
        <v>74</v>
      </c>
      <c r="V94" s="1" t="s">
        <v>9844</v>
      </c>
      <c r="W94" t="s">
        <v>9845</v>
      </c>
      <c r="X94" t="s">
        <v>9846</v>
      </c>
      <c r="Y94" t="s">
        <v>9847</v>
      </c>
      <c r="Z94" t="s">
        <v>9848</v>
      </c>
      <c r="AA94" t="s">
        <v>74</v>
      </c>
      <c r="AB94" t="s">
        <v>9849</v>
      </c>
      <c r="AC94" t="s">
        <v>74</v>
      </c>
      <c r="AD94" t="s">
        <v>74</v>
      </c>
      <c r="AE94" t="s">
        <v>74</v>
      </c>
      <c r="AF94" t="s">
        <v>74</v>
      </c>
      <c r="AG94">
        <v>28</v>
      </c>
      <c r="AH94">
        <v>19</v>
      </c>
      <c r="AI94">
        <v>19</v>
      </c>
      <c r="AJ94">
        <v>0</v>
      </c>
      <c r="AK94">
        <v>9</v>
      </c>
      <c r="AL94" t="s">
        <v>9850</v>
      </c>
      <c r="AM94" t="s">
        <v>9851</v>
      </c>
      <c r="AN94" t="s">
        <v>9852</v>
      </c>
      <c r="AO94" t="s">
        <v>9853</v>
      </c>
      <c r="AP94" t="s">
        <v>9854</v>
      </c>
      <c r="AQ94" t="s">
        <v>74</v>
      </c>
      <c r="AR94" t="s">
        <v>9855</v>
      </c>
      <c r="AS94" t="s">
        <v>9856</v>
      </c>
      <c r="AT94" t="s">
        <v>1138</v>
      </c>
      <c r="AU94">
        <v>2018</v>
      </c>
      <c r="AV94">
        <v>17</v>
      </c>
      <c r="AW94">
        <v>2</v>
      </c>
      <c r="AX94" t="s">
        <v>74</v>
      </c>
      <c r="AY94" t="s">
        <v>74</v>
      </c>
      <c r="AZ94" t="s">
        <v>74</v>
      </c>
      <c r="BA94" t="s">
        <v>74</v>
      </c>
      <c r="BB94">
        <v>89</v>
      </c>
      <c r="BC94">
        <v>107</v>
      </c>
      <c r="BD94" t="s">
        <v>74</v>
      </c>
      <c r="BE94" t="s">
        <v>74</v>
      </c>
      <c r="BF94" t="s">
        <v>74</v>
      </c>
      <c r="BG94" t="s">
        <v>74</v>
      </c>
      <c r="BH94" t="s">
        <v>74</v>
      </c>
      <c r="BI94">
        <v>19</v>
      </c>
      <c r="BJ94" t="s">
        <v>3601</v>
      </c>
      <c r="BK94" t="s">
        <v>156</v>
      </c>
      <c r="BL94" t="s">
        <v>3602</v>
      </c>
      <c r="BM94" t="s">
        <v>9857</v>
      </c>
      <c r="BN94" t="s">
        <v>74</v>
      </c>
      <c r="BO94" t="s">
        <v>74</v>
      </c>
      <c r="BP94" t="s">
        <v>74</v>
      </c>
      <c r="BQ94" t="s">
        <v>74</v>
      </c>
      <c r="BR94" t="s">
        <v>106</v>
      </c>
      <c r="BS94" t="s">
        <v>9858</v>
      </c>
      <c r="BT94" t="str">
        <f>HYPERLINK("https%3A%2F%2Fwww.webofscience.com%2Fwos%2Fwoscc%2Ffull-record%2FWOS:000435505500001","View Full Record in Web of Science")</f>
        <v>View Full Record in Web of Science</v>
      </c>
    </row>
    <row r="95" spans="1:72" x14ac:dyDescent="0.25">
      <c r="A95" t="s">
        <v>72</v>
      </c>
      <c r="B95" t="s">
        <v>10664</v>
      </c>
      <c r="C95" t="s">
        <v>74</v>
      </c>
      <c r="D95" t="s">
        <v>74</v>
      </c>
      <c r="E95" t="s">
        <v>74</v>
      </c>
      <c r="F95" t="s">
        <v>10665</v>
      </c>
      <c r="G95" t="s">
        <v>74</v>
      </c>
      <c r="H95" t="s">
        <v>74</v>
      </c>
      <c r="I95" s="1" t="s">
        <v>10666</v>
      </c>
      <c r="J95" t="s">
        <v>10667</v>
      </c>
      <c r="K95" t="s">
        <v>74</v>
      </c>
      <c r="L95" t="s">
        <v>74</v>
      </c>
      <c r="M95" t="s">
        <v>78</v>
      </c>
      <c r="N95" t="s">
        <v>79</v>
      </c>
      <c r="O95" t="s">
        <v>74</v>
      </c>
      <c r="P95" t="s">
        <v>74</v>
      </c>
      <c r="Q95" t="s">
        <v>74</v>
      </c>
      <c r="R95" t="s">
        <v>74</v>
      </c>
      <c r="S95" t="s">
        <v>74</v>
      </c>
      <c r="T95" s="1" t="s">
        <v>10668</v>
      </c>
      <c r="U95" s="1" t="s">
        <v>10669</v>
      </c>
      <c r="V95" s="1" t="s">
        <v>10670</v>
      </c>
      <c r="W95" t="s">
        <v>10671</v>
      </c>
      <c r="X95" t="s">
        <v>74</v>
      </c>
      <c r="Y95" t="s">
        <v>10672</v>
      </c>
      <c r="Z95" t="s">
        <v>10673</v>
      </c>
      <c r="AA95" t="s">
        <v>8119</v>
      </c>
      <c r="AB95" t="s">
        <v>8120</v>
      </c>
      <c r="AC95" t="s">
        <v>74</v>
      </c>
      <c r="AD95" t="s">
        <v>74</v>
      </c>
      <c r="AE95" t="s">
        <v>74</v>
      </c>
      <c r="AF95" t="s">
        <v>74</v>
      </c>
      <c r="AG95">
        <v>44</v>
      </c>
      <c r="AH95">
        <v>19</v>
      </c>
      <c r="AI95">
        <v>21</v>
      </c>
      <c r="AJ95">
        <v>1</v>
      </c>
      <c r="AK95">
        <v>109</v>
      </c>
      <c r="AL95" t="s">
        <v>10674</v>
      </c>
      <c r="AM95" t="s">
        <v>10675</v>
      </c>
      <c r="AN95" t="s">
        <v>10676</v>
      </c>
      <c r="AO95" t="s">
        <v>10677</v>
      </c>
      <c r="AP95" t="s">
        <v>10678</v>
      </c>
      <c r="AQ95" t="s">
        <v>74</v>
      </c>
      <c r="AR95" t="s">
        <v>10679</v>
      </c>
      <c r="AS95" t="s">
        <v>10680</v>
      </c>
      <c r="AT95" t="s">
        <v>74</v>
      </c>
      <c r="AU95">
        <v>2017</v>
      </c>
      <c r="AV95">
        <v>15</v>
      </c>
      <c r="AW95">
        <v>2</v>
      </c>
      <c r="AX95" t="s">
        <v>74</v>
      </c>
      <c r="AY95" t="s">
        <v>74</v>
      </c>
      <c r="AZ95" t="s">
        <v>74</v>
      </c>
      <c r="BA95" t="s">
        <v>74</v>
      </c>
      <c r="BB95">
        <v>27</v>
      </c>
      <c r="BC95">
        <v>40</v>
      </c>
      <c r="BD95" t="s">
        <v>74</v>
      </c>
      <c r="BE95" t="s">
        <v>10681</v>
      </c>
      <c r="BF95" t="str">
        <f>HYPERLINK("http://dx.doi.org/10.15665/rde.v15i2.976","http://dx.doi.org/10.15665/rde.v15i2.976")</f>
        <v>http://dx.doi.org/10.15665/rde.v15i2.976</v>
      </c>
      <c r="BG95" t="s">
        <v>74</v>
      </c>
      <c r="BH95" t="s">
        <v>74</v>
      </c>
      <c r="BI95">
        <v>14</v>
      </c>
      <c r="BJ95" t="s">
        <v>521</v>
      </c>
      <c r="BK95" t="s">
        <v>183</v>
      </c>
      <c r="BL95" t="s">
        <v>265</v>
      </c>
      <c r="BM95" t="s">
        <v>10682</v>
      </c>
      <c r="BN95" t="s">
        <v>74</v>
      </c>
      <c r="BO95" t="s">
        <v>2162</v>
      </c>
      <c r="BP95" t="s">
        <v>74</v>
      </c>
      <c r="BQ95" t="s">
        <v>74</v>
      </c>
      <c r="BR95" t="s">
        <v>106</v>
      </c>
      <c r="BS95" t="s">
        <v>10683</v>
      </c>
      <c r="BT95" t="str">
        <f>HYPERLINK("https%3A%2F%2Fwww.webofscience.com%2Fwos%2Fwoscc%2Ffull-record%2FWOS:000417379200003","View Full Record in Web of Science")</f>
        <v>View Full Record in Web of Science</v>
      </c>
    </row>
    <row r="96" spans="1:72" x14ac:dyDescent="0.25">
      <c r="A96" t="s">
        <v>72</v>
      </c>
      <c r="B96" t="s">
        <v>7369</v>
      </c>
      <c r="C96" t="s">
        <v>74</v>
      </c>
      <c r="D96" t="s">
        <v>74</v>
      </c>
      <c r="E96" t="s">
        <v>74</v>
      </c>
      <c r="F96" t="s">
        <v>7370</v>
      </c>
      <c r="G96" t="s">
        <v>74</v>
      </c>
      <c r="H96" t="s">
        <v>74</v>
      </c>
      <c r="I96" s="1" t="s">
        <v>7371</v>
      </c>
      <c r="J96" t="s">
        <v>7372</v>
      </c>
      <c r="K96" t="s">
        <v>74</v>
      </c>
      <c r="L96" t="s">
        <v>74</v>
      </c>
      <c r="M96" t="s">
        <v>78</v>
      </c>
      <c r="N96" t="s">
        <v>79</v>
      </c>
      <c r="O96" t="s">
        <v>74</v>
      </c>
      <c r="P96" t="s">
        <v>74</v>
      </c>
      <c r="Q96" t="s">
        <v>74</v>
      </c>
      <c r="R96" t="s">
        <v>74</v>
      </c>
      <c r="S96" t="s">
        <v>74</v>
      </c>
      <c r="T96" s="1" t="s">
        <v>7373</v>
      </c>
      <c r="U96" s="1" t="s">
        <v>7374</v>
      </c>
      <c r="V96" s="1" t="s">
        <v>7375</v>
      </c>
      <c r="W96" t="s">
        <v>7376</v>
      </c>
      <c r="X96" t="s">
        <v>6413</v>
      </c>
      <c r="Y96" t="s">
        <v>7377</v>
      </c>
      <c r="Z96" t="s">
        <v>7378</v>
      </c>
      <c r="AA96" t="s">
        <v>7379</v>
      </c>
      <c r="AB96" t="s">
        <v>7380</v>
      </c>
      <c r="AC96" t="s">
        <v>74</v>
      </c>
      <c r="AD96" t="s">
        <v>74</v>
      </c>
      <c r="AE96" t="s">
        <v>74</v>
      </c>
      <c r="AF96" t="s">
        <v>74</v>
      </c>
      <c r="AG96">
        <v>81</v>
      </c>
      <c r="AH96">
        <v>18</v>
      </c>
      <c r="AI96">
        <v>18</v>
      </c>
      <c r="AJ96">
        <v>1</v>
      </c>
      <c r="AK96">
        <v>13</v>
      </c>
      <c r="AL96" t="s">
        <v>1636</v>
      </c>
      <c r="AM96" t="s">
        <v>93</v>
      </c>
      <c r="AN96" t="s">
        <v>1637</v>
      </c>
      <c r="AO96" t="s">
        <v>7381</v>
      </c>
      <c r="AP96" t="s">
        <v>7382</v>
      </c>
      <c r="AQ96" t="s">
        <v>74</v>
      </c>
      <c r="AR96" t="s">
        <v>7372</v>
      </c>
      <c r="AS96" t="s">
        <v>7383</v>
      </c>
      <c r="AT96" t="s">
        <v>2068</v>
      </c>
      <c r="AU96">
        <v>2021</v>
      </c>
      <c r="AV96">
        <v>108</v>
      </c>
      <c r="AW96" t="s">
        <v>74</v>
      </c>
      <c r="AX96" t="s">
        <v>74</v>
      </c>
      <c r="AY96" t="s">
        <v>74</v>
      </c>
      <c r="AZ96" t="s">
        <v>74</v>
      </c>
      <c r="BA96" t="s">
        <v>74</v>
      </c>
      <c r="BB96" t="s">
        <v>74</v>
      </c>
      <c r="BC96" t="s">
        <v>74</v>
      </c>
      <c r="BD96">
        <v>102938</v>
      </c>
      <c r="BE96" t="s">
        <v>7384</v>
      </c>
      <c r="BF96" t="str">
        <f>HYPERLINK("http://dx.doi.org/10.1016/j.cities.2020.102938","http://dx.doi.org/10.1016/j.cities.2020.102938")</f>
        <v>http://dx.doi.org/10.1016/j.cities.2020.102938</v>
      </c>
      <c r="BG96" t="s">
        <v>74</v>
      </c>
      <c r="BH96" t="s">
        <v>74</v>
      </c>
      <c r="BI96">
        <v>13</v>
      </c>
      <c r="BJ96" t="s">
        <v>2621</v>
      </c>
      <c r="BK96" t="s">
        <v>156</v>
      </c>
      <c r="BL96" t="s">
        <v>2621</v>
      </c>
      <c r="BM96" t="s">
        <v>7385</v>
      </c>
      <c r="BN96" t="s">
        <v>74</v>
      </c>
      <c r="BO96" t="s">
        <v>74</v>
      </c>
      <c r="BP96" t="s">
        <v>74</v>
      </c>
      <c r="BQ96" t="s">
        <v>74</v>
      </c>
      <c r="BR96" t="s">
        <v>106</v>
      </c>
      <c r="BS96" t="s">
        <v>7386</v>
      </c>
      <c r="BT96" t="str">
        <f>HYPERLINK("https%3A%2F%2Fwww.webofscience.com%2Fwos%2Fwoscc%2Ffull-record%2FWOS:000597406700008","View Full Record in Web of Science")</f>
        <v>View Full Record in Web of Science</v>
      </c>
    </row>
    <row r="97" spans="1:72" x14ac:dyDescent="0.25">
      <c r="A97" t="s">
        <v>72</v>
      </c>
      <c r="B97" t="s">
        <v>8011</v>
      </c>
      <c r="C97" t="s">
        <v>74</v>
      </c>
      <c r="D97" t="s">
        <v>74</v>
      </c>
      <c r="E97" t="s">
        <v>74</v>
      </c>
      <c r="F97" t="s">
        <v>8012</v>
      </c>
      <c r="G97" t="s">
        <v>74</v>
      </c>
      <c r="H97" t="s">
        <v>74</v>
      </c>
      <c r="I97" s="1" t="s">
        <v>8013</v>
      </c>
      <c r="J97" t="s">
        <v>8014</v>
      </c>
      <c r="K97" t="s">
        <v>74</v>
      </c>
      <c r="L97" t="s">
        <v>74</v>
      </c>
      <c r="M97" t="s">
        <v>78</v>
      </c>
      <c r="N97" t="s">
        <v>79</v>
      </c>
      <c r="O97" t="s">
        <v>74</v>
      </c>
      <c r="P97" t="s">
        <v>74</v>
      </c>
      <c r="Q97" t="s">
        <v>74</v>
      </c>
      <c r="R97" t="s">
        <v>74</v>
      </c>
      <c r="S97" t="s">
        <v>74</v>
      </c>
      <c r="T97" s="1" t="s">
        <v>8015</v>
      </c>
      <c r="U97" s="1" t="s">
        <v>8016</v>
      </c>
      <c r="V97" s="1" t="s">
        <v>8017</v>
      </c>
      <c r="W97" t="s">
        <v>8018</v>
      </c>
      <c r="X97" t="s">
        <v>8019</v>
      </c>
      <c r="Y97" t="s">
        <v>8020</v>
      </c>
      <c r="Z97" t="s">
        <v>8021</v>
      </c>
      <c r="AA97" t="s">
        <v>74</v>
      </c>
      <c r="AB97" t="s">
        <v>74</v>
      </c>
      <c r="AC97" t="s">
        <v>74</v>
      </c>
      <c r="AD97" t="s">
        <v>74</v>
      </c>
      <c r="AE97" t="s">
        <v>74</v>
      </c>
      <c r="AF97" t="s">
        <v>74</v>
      </c>
      <c r="AG97">
        <v>57</v>
      </c>
      <c r="AH97">
        <v>18</v>
      </c>
      <c r="AI97">
        <v>18</v>
      </c>
      <c r="AJ97">
        <v>1</v>
      </c>
      <c r="AK97">
        <v>56</v>
      </c>
      <c r="AL97" t="s">
        <v>715</v>
      </c>
      <c r="AM97" t="s">
        <v>716</v>
      </c>
      <c r="AN97" t="s">
        <v>717</v>
      </c>
      <c r="AO97" t="s">
        <v>8022</v>
      </c>
      <c r="AP97" t="s">
        <v>8023</v>
      </c>
      <c r="AQ97" t="s">
        <v>74</v>
      </c>
      <c r="AR97" t="s">
        <v>8024</v>
      </c>
      <c r="AS97" t="s">
        <v>8025</v>
      </c>
      <c r="AT97" t="s">
        <v>8026</v>
      </c>
      <c r="AU97">
        <v>2020</v>
      </c>
      <c r="AV97">
        <v>21</v>
      </c>
      <c r="AW97">
        <v>6</v>
      </c>
      <c r="AX97" t="s">
        <v>74</v>
      </c>
      <c r="AY97" t="s">
        <v>74</v>
      </c>
      <c r="AZ97" t="s">
        <v>74</v>
      </c>
      <c r="BA97" t="s">
        <v>74</v>
      </c>
      <c r="BB97">
        <v>835</v>
      </c>
      <c r="BC97">
        <v>851</v>
      </c>
      <c r="BD97" t="s">
        <v>74</v>
      </c>
      <c r="BE97" t="s">
        <v>8027</v>
      </c>
      <c r="BF97" t="str">
        <f>HYPERLINK("http://dx.doi.org/10.1108/JIC-05-2019-0130","http://dx.doi.org/10.1108/JIC-05-2019-0130")</f>
        <v>http://dx.doi.org/10.1108/JIC-05-2019-0130</v>
      </c>
      <c r="BG97" t="s">
        <v>74</v>
      </c>
      <c r="BH97" t="s">
        <v>8028</v>
      </c>
      <c r="BI97">
        <v>17</v>
      </c>
      <c r="BJ97" t="s">
        <v>264</v>
      </c>
      <c r="BK97" t="s">
        <v>156</v>
      </c>
      <c r="BL97" t="s">
        <v>265</v>
      </c>
      <c r="BM97" t="s">
        <v>8029</v>
      </c>
      <c r="BN97" t="s">
        <v>74</v>
      </c>
      <c r="BO97" t="s">
        <v>74</v>
      </c>
      <c r="BP97" t="s">
        <v>74</v>
      </c>
      <c r="BQ97" t="s">
        <v>74</v>
      </c>
      <c r="BR97" t="s">
        <v>106</v>
      </c>
      <c r="BS97" t="s">
        <v>8030</v>
      </c>
      <c r="BT97" t="str">
        <f>HYPERLINK("https%3A%2F%2Fwww.webofscience.com%2Fwos%2Fwoscc%2Ffull-record%2FWOS:000526902200001","View Full Record in Web of Science")</f>
        <v>View Full Record in Web of Science</v>
      </c>
    </row>
    <row r="98" spans="1:72" x14ac:dyDescent="0.25">
      <c r="A98" t="s">
        <v>72</v>
      </c>
      <c r="B98" t="s">
        <v>9054</v>
      </c>
      <c r="C98" t="s">
        <v>74</v>
      </c>
      <c r="D98" t="s">
        <v>74</v>
      </c>
      <c r="E98" t="s">
        <v>74</v>
      </c>
      <c r="F98" t="s">
        <v>9055</v>
      </c>
      <c r="G98" t="s">
        <v>74</v>
      </c>
      <c r="H98" t="s">
        <v>74</v>
      </c>
      <c r="I98" s="1" t="s">
        <v>9056</v>
      </c>
      <c r="J98" t="s">
        <v>9057</v>
      </c>
      <c r="K98" t="s">
        <v>74</v>
      </c>
      <c r="L98" t="s">
        <v>74</v>
      </c>
      <c r="M98" t="s">
        <v>78</v>
      </c>
      <c r="N98" t="s">
        <v>79</v>
      </c>
      <c r="O98" t="s">
        <v>74</v>
      </c>
      <c r="P98" t="s">
        <v>74</v>
      </c>
      <c r="Q98" t="s">
        <v>74</v>
      </c>
      <c r="R98" t="s">
        <v>74</v>
      </c>
      <c r="S98" t="s">
        <v>74</v>
      </c>
      <c r="T98" s="1" t="s">
        <v>9058</v>
      </c>
      <c r="U98" s="1" t="s">
        <v>9059</v>
      </c>
      <c r="V98" s="1" t="s">
        <v>9060</v>
      </c>
      <c r="W98" t="s">
        <v>9061</v>
      </c>
      <c r="X98" t="s">
        <v>9062</v>
      </c>
      <c r="Y98" t="s">
        <v>9063</v>
      </c>
      <c r="Z98" t="s">
        <v>9064</v>
      </c>
      <c r="AA98" t="s">
        <v>74</v>
      </c>
      <c r="AB98" t="s">
        <v>9065</v>
      </c>
      <c r="AC98" t="s">
        <v>74</v>
      </c>
      <c r="AD98" t="s">
        <v>74</v>
      </c>
      <c r="AE98" t="s">
        <v>74</v>
      </c>
      <c r="AF98" t="s">
        <v>74</v>
      </c>
      <c r="AG98">
        <v>44</v>
      </c>
      <c r="AH98">
        <v>18</v>
      </c>
      <c r="AI98">
        <v>18</v>
      </c>
      <c r="AJ98">
        <v>12</v>
      </c>
      <c r="AK98">
        <v>72</v>
      </c>
      <c r="AL98" t="s">
        <v>3083</v>
      </c>
      <c r="AM98" t="s">
        <v>3084</v>
      </c>
      <c r="AN98" t="s">
        <v>3085</v>
      </c>
      <c r="AO98" t="s">
        <v>9066</v>
      </c>
      <c r="AP98" t="s">
        <v>9067</v>
      </c>
      <c r="AQ98" t="s">
        <v>74</v>
      </c>
      <c r="AR98" t="s">
        <v>9068</v>
      </c>
      <c r="AS98" t="s">
        <v>9069</v>
      </c>
      <c r="AT98" t="s">
        <v>9070</v>
      </c>
      <c r="AU98">
        <v>2019</v>
      </c>
      <c r="AV98">
        <v>21</v>
      </c>
      <c r="AW98">
        <v>1</v>
      </c>
      <c r="AX98" t="s">
        <v>74</v>
      </c>
      <c r="AY98" t="s">
        <v>74</v>
      </c>
      <c r="AZ98" t="s">
        <v>74</v>
      </c>
      <c r="BA98" t="s">
        <v>74</v>
      </c>
      <c r="BB98" t="s">
        <v>74</v>
      </c>
      <c r="BC98" t="s">
        <v>74</v>
      </c>
      <c r="BD98" t="s">
        <v>9071</v>
      </c>
      <c r="BE98" t="s">
        <v>9072</v>
      </c>
      <c r="BF98" t="str">
        <f>HYPERLINK("http://dx.doi.org/10.4102/sajim.v21i1.995","http://dx.doi.org/10.4102/sajim.v21i1.995")</f>
        <v>http://dx.doi.org/10.4102/sajim.v21i1.995</v>
      </c>
      <c r="BG98" t="s">
        <v>74</v>
      </c>
      <c r="BH98" t="s">
        <v>74</v>
      </c>
      <c r="BI98">
        <v>10</v>
      </c>
      <c r="BJ98" t="s">
        <v>3050</v>
      </c>
      <c r="BK98" t="s">
        <v>183</v>
      </c>
      <c r="BL98" t="s">
        <v>3050</v>
      </c>
      <c r="BM98" t="s">
        <v>9073</v>
      </c>
      <c r="BN98" t="s">
        <v>74</v>
      </c>
      <c r="BO98" t="s">
        <v>2162</v>
      </c>
      <c r="BP98" t="s">
        <v>74</v>
      </c>
      <c r="BQ98" t="s">
        <v>74</v>
      </c>
      <c r="BR98" t="s">
        <v>106</v>
      </c>
      <c r="BS98" t="s">
        <v>9074</v>
      </c>
      <c r="BT98" t="str">
        <f>HYPERLINK("https%3A%2F%2Fwww.webofscience.com%2Fwos%2Fwoscc%2Ffull-record%2FWOS:000467547400001","View Full Record in Web of Science")</f>
        <v>View Full Record in Web of Science</v>
      </c>
    </row>
    <row r="99" spans="1:72" x14ac:dyDescent="0.25">
      <c r="A99" t="s">
        <v>72</v>
      </c>
      <c r="B99" t="s">
        <v>10159</v>
      </c>
      <c r="C99" t="s">
        <v>74</v>
      </c>
      <c r="D99" t="s">
        <v>74</v>
      </c>
      <c r="E99" t="s">
        <v>74</v>
      </c>
      <c r="F99" t="s">
        <v>10160</v>
      </c>
      <c r="G99" t="s">
        <v>74</v>
      </c>
      <c r="H99" t="s">
        <v>74</v>
      </c>
      <c r="I99" s="1" t="s">
        <v>10161</v>
      </c>
      <c r="J99" t="s">
        <v>10162</v>
      </c>
      <c r="K99" t="s">
        <v>74</v>
      </c>
      <c r="L99" t="s">
        <v>74</v>
      </c>
      <c r="M99" t="s">
        <v>78</v>
      </c>
      <c r="N99" t="s">
        <v>79</v>
      </c>
      <c r="O99" t="s">
        <v>74</v>
      </c>
      <c r="P99" t="s">
        <v>74</v>
      </c>
      <c r="Q99" t="s">
        <v>74</v>
      </c>
      <c r="R99" t="s">
        <v>74</v>
      </c>
      <c r="S99" t="s">
        <v>74</v>
      </c>
      <c r="T99" s="1" t="s">
        <v>10163</v>
      </c>
      <c r="U99" s="1" t="s">
        <v>74</v>
      </c>
      <c r="V99" s="1" t="s">
        <v>10164</v>
      </c>
      <c r="W99" t="s">
        <v>10165</v>
      </c>
      <c r="X99" t="s">
        <v>74</v>
      </c>
      <c r="Y99" t="s">
        <v>10166</v>
      </c>
      <c r="Z99" t="s">
        <v>10167</v>
      </c>
      <c r="AA99" t="s">
        <v>10168</v>
      </c>
      <c r="AB99" t="s">
        <v>74</v>
      </c>
      <c r="AC99" t="s">
        <v>74</v>
      </c>
      <c r="AD99" t="s">
        <v>74</v>
      </c>
      <c r="AE99" t="s">
        <v>74</v>
      </c>
      <c r="AF99" t="s">
        <v>74</v>
      </c>
      <c r="AG99">
        <v>16</v>
      </c>
      <c r="AH99">
        <v>18</v>
      </c>
      <c r="AI99">
        <v>19</v>
      </c>
      <c r="AJ99">
        <v>24</v>
      </c>
      <c r="AK99">
        <v>187</v>
      </c>
      <c r="AL99" t="s">
        <v>10169</v>
      </c>
      <c r="AM99" t="s">
        <v>10170</v>
      </c>
      <c r="AN99" t="s">
        <v>10171</v>
      </c>
      <c r="AO99" t="s">
        <v>10172</v>
      </c>
      <c r="AP99" t="s">
        <v>10173</v>
      </c>
      <c r="AQ99" t="s">
        <v>74</v>
      </c>
      <c r="AR99" t="s">
        <v>10174</v>
      </c>
      <c r="AS99" t="s">
        <v>10175</v>
      </c>
      <c r="AT99" t="s">
        <v>74</v>
      </c>
      <c r="AU99">
        <v>2018</v>
      </c>
      <c r="AV99">
        <v>23</v>
      </c>
      <c r="AW99">
        <v>1</v>
      </c>
      <c r="AX99" t="s">
        <v>74</v>
      </c>
      <c r="AY99" t="s">
        <v>74</v>
      </c>
      <c r="AZ99" t="s">
        <v>74</v>
      </c>
      <c r="BA99" t="s">
        <v>74</v>
      </c>
      <c r="BB99">
        <v>29</v>
      </c>
      <c r="BC99">
        <v>35</v>
      </c>
      <c r="BD99" t="s">
        <v>74</v>
      </c>
      <c r="BE99" t="s">
        <v>10176</v>
      </c>
      <c r="BF99" t="str">
        <f>HYPERLINK("http://dx.doi.org/10.5937/StraMan1801029K","http://dx.doi.org/10.5937/StraMan1801029K")</f>
        <v>http://dx.doi.org/10.5937/StraMan1801029K</v>
      </c>
      <c r="BG99" t="s">
        <v>74</v>
      </c>
      <c r="BH99" t="s">
        <v>74</v>
      </c>
      <c r="BI99">
        <v>7</v>
      </c>
      <c r="BJ99" t="s">
        <v>315</v>
      </c>
      <c r="BK99" t="s">
        <v>183</v>
      </c>
      <c r="BL99" t="s">
        <v>265</v>
      </c>
      <c r="BM99" t="s">
        <v>10177</v>
      </c>
      <c r="BN99" t="s">
        <v>74</v>
      </c>
      <c r="BO99" t="s">
        <v>2730</v>
      </c>
      <c r="BP99" t="s">
        <v>74</v>
      </c>
      <c r="BQ99" t="s">
        <v>74</v>
      </c>
      <c r="BR99" t="s">
        <v>106</v>
      </c>
      <c r="BS99" t="s">
        <v>10178</v>
      </c>
      <c r="BT99" t="str">
        <f>HYPERLINK("https%3A%2F%2Fwww.webofscience.com%2Fwos%2Fwoscc%2Ffull-record%2FWOS:000430105100004","View Full Record in Web of Science")</f>
        <v>View Full Record in Web of Science</v>
      </c>
    </row>
    <row r="100" spans="1:72" x14ac:dyDescent="0.25">
      <c r="A100" t="s">
        <v>72</v>
      </c>
      <c r="B100" t="s">
        <v>12406</v>
      </c>
      <c r="C100" t="s">
        <v>74</v>
      </c>
      <c r="D100" t="s">
        <v>74</v>
      </c>
      <c r="E100" t="s">
        <v>74</v>
      </c>
      <c r="F100" t="s">
        <v>12407</v>
      </c>
      <c r="G100" t="s">
        <v>74</v>
      </c>
      <c r="H100" t="s">
        <v>74</v>
      </c>
      <c r="I100" s="1" t="s">
        <v>12408</v>
      </c>
      <c r="J100" t="s">
        <v>4969</v>
      </c>
      <c r="K100" t="s">
        <v>74</v>
      </c>
      <c r="L100" t="s">
        <v>74</v>
      </c>
      <c r="M100" t="s">
        <v>78</v>
      </c>
      <c r="N100" t="s">
        <v>79</v>
      </c>
      <c r="O100" t="s">
        <v>74</v>
      </c>
      <c r="P100" t="s">
        <v>74</v>
      </c>
      <c r="Q100" t="s">
        <v>74</v>
      </c>
      <c r="R100" t="s">
        <v>74</v>
      </c>
      <c r="S100" t="s">
        <v>74</v>
      </c>
      <c r="T100" s="1" t="s">
        <v>74</v>
      </c>
      <c r="U100" s="1" t="s">
        <v>74</v>
      </c>
      <c r="V100" s="1" t="s">
        <v>12409</v>
      </c>
      <c r="W100" t="s">
        <v>12410</v>
      </c>
      <c r="X100" t="s">
        <v>11410</v>
      </c>
      <c r="Y100" t="s">
        <v>12411</v>
      </c>
      <c r="Z100" t="s">
        <v>12412</v>
      </c>
      <c r="AA100" t="s">
        <v>12413</v>
      </c>
      <c r="AB100" t="s">
        <v>12414</v>
      </c>
      <c r="AC100" t="s">
        <v>74</v>
      </c>
      <c r="AD100" t="s">
        <v>74</v>
      </c>
      <c r="AE100" t="s">
        <v>74</v>
      </c>
      <c r="AF100" t="s">
        <v>74</v>
      </c>
      <c r="AG100">
        <v>54</v>
      </c>
      <c r="AH100">
        <v>18</v>
      </c>
      <c r="AI100">
        <v>18</v>
      </c>
      <c r="AJ100">
        <v>0</v>
      </c>
      <c r="AK100">
        <v>13</v>
      </c>
      <c r="AL100" t="s">
        <v>4977</v>
      </c>
      <c r="AM100" t="s">
        <v>4978</v>
      </c>
      <c r="AN100" t="s">
        <v>4979</v>
      </c>
      <c r="AO100" t="s">
        <v>4980</v>
      </c>
      <c r="AP100" t="s">
        <v>74</v>
      </c>
      <c r="AQ100" t="s">
        <v>74</v>
      </c>
      <c r="AR100" t="s">
        <v>4981</v>
      </c>
      <c r="AS100" t="s">
        <v>4982</v>
      </c>
      <c r="AT100" t="s">
        <v>74</v>
      </c>
      <c r="AU100">
        <v>2011</v>
      </c>
      <c r="AV100">
        <v>5</v>
      </c>
      <c r="AW100" t="s">
        <v>74</v>
      </c>
      <c r="AX100" t="s">
        <v>74</v>
      </c>
      <c r="AY100" t="s">
        <v>74</v>
      </c>
      <c r="AZ100" t="s">
        <v>74</v>
      </c>
      <c r="BA100" t="s">
        <v>74</v>
      </c>
      <c r="BB100">
        <v>215</v>
      </c>
      <c r="BC100">
        <v>232</v>
      </c>
      <c r="BD100" t="s">
        <v>74</v>
      </c>
      <c r="BE100" t="s">
        <v>74</v>
      </c>
      <c r="BF100" t="s">
        <v>74</v>
      </c>
      <c r="BG100" t="s">
        <v>74</v>
      </c>
      <c r="BH100" t="s">
        <v>74</v>
      </c>
      <c r="BI100">
        <v>18</v>
      </c>
      <c r="BJ100" t="s">
        <v>2218</v>
      </c>
      <c r="BK100" t="s">
        <v>156</v>
      </c>
      <c r="BL100" t="s">
        <v>2218</v>
      </c>
      <c r="BM100" t="s">
        <v>12415</v>
      </c>
      <c r="BN100" t="s">
        <v>74</v>
      </c>
      <c r="BO100" t="s">
        <v>74</v>
      </c>
      <c r="BP100" t="s">
        <v>74</v>
      </c>
      <c r="BQ100" t="s">
        <v>74</v>
      </c>
      <c r="BR100" t="s">
        <v>106</v>
      </c>
      <c r="BS100" t="s">
        <v>12416</v>
      </c>
      <c r="BT100" t="str">
        <f>HYPERLINK("https%3A%2F%2Fwww.webofscience.com%2Fwos%2Fwoscc%2Ffull-record%2FWOS:000299221300019","View Full Record in Web of Science")</f>
        <v>View Full Record in Web of Science</v>
      </c>
    </row>
    <row r="101" spans="1:72" x14ac:dyDescent="0.25">
      <c r="A101" t="s">
        <v>72</v>
      </c>
      <c r="B101" t="s">
        <v>4562</v>
      </c>
      <c r="C101" t="s">
        <v>74</v>
      </c>
      <c r="D101" t="s">
        <v>74</v>
      </c>
      <c r="E101" t="s">
        <v>74</v>
      </c>
      <c r="F101" t="s">
        <v>4563</v>
      </c>
      <c r="G101" t="s">
        <v>74</v>
      </c>
      <c r="H101" t="s">
        <v>74</v>
      </c>
      <c r="I101" s="1" t="s">
        <v>4564</v>
      </c>
      <c r="J101" t="s">
        <v>4565</v>
      </c>
      <c r="K101" t="s">
        <v>74</v>
      </c>
      <c r="L101" t="s">
        <v>74</v>
      </c>
      <c r="M101" t="s">
        <v>78</v>
      </c>
      <c r="N101" t="s">
        <v>79</v>
      </c>
      <c r="O101" t="s">
        <v>74</v>
      </c>
      <c r="P101" t="s">
        <v>74</v>
      </c>
      <c r="Q101" t="s">
        <v>74</v>
      </c>
      <c r="R101" t="s">
        <v>74</v>
      </c>
      <c r="S101" t="s">
        <v>74</v>
      </c>
      <c r="T101" s="1" t="s">
        <v>4566</v>
      </c>
      <c r="U101" s="1" t="s">
        <v>4567</v>
      </c>
      <c r="V101" s="1" t="s">
        <v>4568</v>
      </c>
      <c r="W101" t="s">
        <v>4569</v>
      </c>
      <c r="X101" t="s">
        <v>4570</v>
      </c>
      <c r="Y101" t="s">
        <v>4571</v>
      </c>
      <c r="Z101" t="s">
        <v>4572</v>
      </c>
      <c r="AA101" t="s">
        <v>4573</v>
      </c>
      <c r="AB101" t="s">
        <v>4574</v>
      </c>
      <c r="AC101" t="s">
        <v>74</v>
      </c>
      <c r="AD101" t="s">
        <v>74</v>
      </c>
      <c r="AE101" t="s">
        <v>74</v>
      </c>
      <c r="AF101" t="s">
        <v>74</v>
      </c>
      <c r="AG101">
        <v>132</v>
      </c>
      <c r="AH101">
        <v>17</v>
      </c>
      <c r="AI101">
        <v>17</v>
      </c>
      <c r="AJ101">
        <v>29</v>
      </c>
      <c r="AK101">
        <v>152</v>
      </c>
      <c r="AL101" t="s">
        <v>231</v>
      </c>
      <c r="AM101" t="s">
        <v>232</v>
      </c>
      <c r="AN101" t="s">
        <v>233</v>
      </c>
      <c r="AO101" t="s">
        <v>4575</v>
      </c>
      <c r="AP101" t="s">
        <v>4576</v>
      </c>
      <c r="AQ101" t="s">
        <v>74</v>
      </c>
      <c r="AR101" t="s">
        <v>4577</v>
      </c>
      <c r="AS101" t="s">
        <v>4578</v>
      </c>
      <c r="AT101" t="s">
        <v>476</v>
      </c>
      <c r="AU101">
        <v>2022</v>
      </c>
      <c r="AV101">
        <v>28</v>
      </c>
      <c r="AW101">
        <v>4</v>
      </c>
      <c r="AX101" t="s">
        <v>74</v>
      </c>
      <c r="AY101" t="s">
        <v>74</v>
      </c>
      <c r="AZ101" t="s">
        <v>74</v>
      </c>
      <c r="BA101" t="s">
        <v>74</v>
      </c>
      <c r="BB101" t="s">
        <v>74</v>
      </c>
      <c r="BC101" t="s">
        <v>74</v>
      </c>
      <c r="BD101">
        <v>100947</v>
      </c>
      <c r="BE101" t="s">
        <v>4579</v>
      </c>
      <c r="BF101" t="str">
        <f>HYPERLINK("http://dx.doi.org/10.1016/j.intman.2022.100947","http://dx.doi.org/10.1016/j.intman.2022.100947")</f>
        <v>http://dx.doi.org/10.1016/j.intman.2022.100947</v>
      </c>
      <c r="BG101" t="s">
        <v>74</v>
      </c>
      <c r="BH101" t="s">
        <v>4559</v>
      </c>
      <c r="BI101">
        <v>22</v>
      </c>
      <c r="BJ101" t="s">
        <v>315</v>
      </c>
      <c r="BK101" t="s">
        <v>156</v>
      </c>
      <c r="BL101" t="s">
        <v>265</v>
      </c>
      <c r="BM101" t="s">
        <v>4580</v>
      </c>
      <c r="BN101" t="s">
        <v>74</v>
      </c>
      <c r="BO101" t="s">
        <v>2427</v>
      </c>
      <c r="BP101" t="s">
        <v>74</v>
      </c>
      <c r="BQ101" t="s">
        <v>74</v>
      </c>
      <c r="BR101" t="s">
        <v>106</v>
      </c>
      <c r="BS101" t="s">
        <v>4581</v>
      </c>
      <c r="BT101" t="str">
        <f>HYPERLINK("https%3A%2F%2Fwww.webofscience.com%2Fwos%2Fwoscc%2Ffull-record%2FWOS:000793116100001","View Full Record in Web of Science")</f>
        <v>View Full Record in Web of Science</v>
      </c>
    </row>
    <row r="102" spans="1:72" x14ac:dyDescent="0.25">
      <c r="A102" t="s">
        <v>72</v>
      </c>
      <c r="B102" t="s">
        <v>4597</v>
      </c>
      <c r="C102" t="s">
        <v>74</v>
      </c>
      <c r="D102" t="s">
        <v>74</v>
      </c>
      <c r="E102" t="s">
        <v>74</v>
      </c>
      <c r="F102" t="s">
        <v>4598</v>
      </c>
      <c r="G102" t="s">
        <v>74</v>
      </c>
      <c r="H102" t="s">
        <v>74</v>
      </c>
      <c r="I102" s="1" t="s">
        <v>4599</v>
      </c>
      <c r="J102" t="s">
        <v>1567</v>
      </c>
      <c r="K102" t="s">
        <v>74</v>
      </c>
      <c r="L102" t="s">
        <v>74</v>
      </c>
      <c r="M102" t="s">
        <v>78</v>
      </c>
      <c r="N102" t="s">
        <v>79</v>
      </c>
      <c r="O102" t="s">
        <v>74</v>
      </c>
      <c r="P102" t="s">
        <v>74</v>
      </c>
      <c r="Q102" t="s">
        <v>74</v>
      </c>
      <c r="R102" t="s">
        <v>74</v>
      </c>
      <c r="S102" t="s">
        <v>74</v>
      </c>
      <c r="T102" s="1" t="s">
        <v>4600</v>
      </c>
      <c r="U102" s="1" t="s">
        <v>597</v>
      </c>
      <c r="V102" s="1" t="s">
        <v>4601</v>
      </c>
      <c r="W102" t="s">
        <v>4602</v>
      </c>
      <c r="X102" t="s">
        <v>4603</v>
      </c>
      <c r="Y102" t="s">
        <v>4604</v>
      </c>
      <c r="Z102" t="s">
        <v>4605</v>
      </c>
      <c r="AA102" t="s">
        <v>4606</v>
      </c>
      <c r="AB102" t="s">
        <v>4607</v>
      </c>
      <c r="AC102" t="s">
        <v>74</v>
      </c>
      <c r="AD102" t="s">
        <v>74</v>
      </c>
      <c r="AE102" t="s">
        <v>74</v>
      </c>
      <c r="AF102" t="s">
        <v>74</v>
      </c>
      <c r="AG102">
        <v>45</v>
      </c>
      <c r="AH102">
        <v>17</v>
      </c>
      <c r="AI102">
        <v>18</v>
      </c>
      <c r="AJ102">
        <v>6</v>
      </c>
      <c r="AK102">
        <v>49</v>
      </c>
      <c r="AL102" t="s">
        <v>1382</v>
      </c>
      <c r="AM102" t="s">
        <v>1383</v>
      </c>
      <c r="AN102" t="s">
        <v>1384</v>
      </c>
      <c r="AO102" t="s">
        <v>74</v>
      </c>
      <c r="AP102" t="s">
        <v>1579</v>
      </c>
      <c r="AQ102" t="s">
        <v>74</v>
      </c>
      <c r="AR102" t="s">
        <v>1580</v>
      </c>
      <c r="AS102" t="s">
        <v>1581</v>
      </c>
      <c r="AT102" t="s">
        <v>4608</v>
      </c>
      <c r="AU102">
        <v>2022</v>
      </c>
      <c r="AV102">
        <v>10</v>
      </c>
      <c r="AW102" t="s">
        <v>74</v>
      </c>
      <c r="AX102" t="s">
        <v>74</v>
      </c>
      <c r="AY102" t="s">
        <v>74</v>
      </c>
      <c r="AZ102" t="s">
        <v>74</v>
      </c>
      <c r="BA102" t="s">
        <v>74</v>
      </c>
      <c r="BB102" t="s">
        <v>74</v>
      </c>
      <c r="BC102" t="s">
        <v>74</v>
      </c>
      <c r="BD102">
        <v>857003</v>
      </c>
      <c r="BE102" t="s">
        <v>4609</v>
      </c>
      <c r="BF102" t="str">
        <f>HYPERLINK("http://dx.doi.org/10.3389/fpubh.2022.857003","http://dx.doi.org/10.3389/fpubh.2022.857003")</f>
        <v>http://dx.doi.org/10.3389/fpubh.2022.857003</v>
      </c>
      <c r="BG102" t="s">
        <v>74</v>
      </c>
      <c r="BH102" t="s">
        <v>74</v>
      </c>
      <c r="BI102">
        <v>10</v>
      </c>
      <c r="BJ102" t="s">
        <v>1584</v>
      </c>
      <c r="BK102" t="s">
        <v>211</v>
      </c>
      <c r="BL102" t="s">
        <v>1584</v>
      </c>
      <c r="BM102" t="s">
        <v>4610</v>
      </c>
      <c r="BN102">
        <v>35359767</v>
      </c>
      <c r="BO102" t="s">
        <v>422</v>
      </c>
      <c r="BP102" t="s">
        <v>74</v>
      </c>
      <c r="BQ102" t="s">
        <v>74</v>
      </c>
      <c r="BR102" t="s">
        <v>106</v>
      </c>
      <c r="BS102" t="s">
        <v>4611</v>
      </c>
      <c r="BT102" t="str">
        <f>HYPERLINK("https%3A%2F%2Fwww.webofscience.com%2Fwos%2Fwoscc%2Ffull-record%2FWOS:000778515400001","View Full Record in Web of Science")</f>
        <v>View Full Record in Web of Science</v>
      </c>
    </row>
    <row r="103" spans="1:72" x14ac:dyDescent="0.25">
      <c r="A103" t="s">
        <v>72</v>
      </c>
      <c r="B103" t="s">
        <v>6486</v>
      </c>
      <c r="C103" t="s">
        <v>74</v>
      </c>
      <c r="D103" t="s">
        <v>74</v>
      </c>
      <c r="E103" t="s">
        <v>74</v>
      </c>
      <c r="F103" t="s">
        <v>6487</v>
      </c>
      <c r="G103" t="s">
        <v>74</v>
      </c>
      <c r="H103" t="s">
        <v>74</v>
      </c>
      <c r="I103" s="1" t="s">
        <v>6488</v>
      </c>
      <c r="J103" t="s">
        <v>6489</v>
      </c>
      <c r="K103" t="s">
        <v>74</v>
      </c>
      <c r="L103" t="s">
        <v>74</v>
      </c>
      <c r="M103" t="s">
        <v>78</v>
      </c>
      <c r="N103" t="s">
        <v>79</v>
      </c>
      <c r="O103" t="s">
        <v>74</v>
      </c>
      <c r="P103" t="s">
        <v>74</v>
      </c>
      <c r="Q103" t="s">
        <v>74</v>
      </c>
      <c r="R103" t="s">
        <v>74</v>
      </c>
      <c r="S103" t="s">
        <v>74</v>
      </c>
      <c r="T103" s="1" t="s">
        <v>6490</v>
      </c>
      <c r="U103" s="1" t="s">
        <v>74</v>
      </c>
      <c r="V103" s="1" t="s">
        <v>6491</v>
      </c>
      <c r="W103" t="s">
        <v>6492</v>
      </c>
      <c r="X103" t="s">
        <v>6493</v>
      </c>
      <c r="Y103" t="s">
        <v>6494</v>
      </c>
      <c r="Z103" t="s">
        <v>6495</v>
      </c>
      <c r="AA103" t="s">
        <v>74</v>
      </c>
      <c r="AB103" t="s">
        <v>6496</v>
      </c>
      <c r="AC103" t="s">
        <v>74</v>
      </c>
      <c r="AD103" t="s">
        <v>74</v>
      </c>
      <c r="AE103" t="s">
        <v>74</v>
      </c>
      <c r="AF103" t="s">
        <v>74</v>
      </c>
      <c r="AG103">
        <v>89</v>
      </c>
      <c r="AH103">
        <v>17</v>
      </c>
      <c r="AI103">
        <v>17</v>
      </c>
      <c r="AJ103">
        <v>14</v>
      </c>
      <c r="AK103">
        <v>97</v>
      </c>
      <c r="AL103" t="s">
        <v>1013</v>
      </c>
      <c r="AM103" t="s">
        <v>493</v>
      </c>
      <c r="AN103" t="s">
        <v>1014</v>
      </c>
      <c r="AO103" t="s">
        <v>6497</v>
      </c>
      <c r="AP103" t="s">
        <v>6498</v>
      </c>
      <c r="AQ103" t="s">
        <v>74</v>
      </c>
      <c r="AR103" t="s">
        <v>6499</v>
      </c>
      <c r="AS103" t="s">
        <v>6500</v>
      </c>
      <c r="AT103" t="s">
        <v>6501</v>
      </c>
      <c r="AU103">
        <v>2022</v>
      </c>
      <c r="AV103">
        <v>32</v>
      </c>
      <c r="AW103">
        <v>1</v>
      </c>
      <c r="AX103" t="s">
        <v>74</v>
      </c>
      <c r="AY103" t="s">
        <v>74</v>
      </c>
      <c r="AZ103" t="s">
        <v>74</v>
      </c>
      <c r="BA103" t="s">
        <v>74</v>
      </c>
      <c r="BB103">
        <v>79</v>
      </c>
      <c r="BC103">
        <v>109</v>
      </c>
      <c r="BD103" t="s">
        <v>74</v>
      </c>
      <c r="BE103" t="s">
        <v>6502</v>
      </c>
      <c r="BF103" t="str">
        <f>HYPERLINK("http://dx.doi.org/10.1080/12460125.2021.1908934","http://dx.doi.org/10.1080/12460125.2021.1908934")</f>
        <v>http://dx.doi.org/10.1080/12460125.2021.1908934</v>
      </c>
      <c r="BG103" t="s">
        <v>74</v>
      </c>
      <c r="BH103" t="s">
        <v>6460</v>
      </c>
      <c r="BI103">
        <v>31</v>
      </c>
      <c r="BJ103" t="s">
        <v>6503</v>
      </c>
      <c r="BK103" t="s">
        <v>183</v>
      </c>
      <c r="BL103" t="s">
        <v>6503</v>
      </c>
      <c r="BM103" t="s">
        <v>6504</v>
      </c>
      <c r="BN103" t="s">
        <v>74</v>
      </c>
      <c r="BO103" t="s">
        <v>74</v>
      </c>
      <c r="BP103" t="s">
        <v>74</v>
      </c>
      <c r="BQ103" t="s">
        <v>74</v>
      </c>
      <c r="BR103" t="s">
        <v>106</v>
      </c>
      <c r="BS103" t="s">
        <v>6505</v>
      </c>
      <c r="BT103" t="str">
        <f>HYPERLINK("https%3A%2F%2Fwww.webofscience.com%2Fwos%2Fwoscc%2Ffull-record%2FWOS:000640580200001","View Full Record in Web of Science")</f>
        <v>View Full Record in Web of Science</v>
      </c>
    </row>
    <row r="104" spans="1:72" x14ac:dyDescent="0.25">
      <c r="A104" t="s">
        <v>72</v>
      </c>
      <c r="B104" t="s">
        <v>9630</v>
      </c>
      <c r="C104" t="s">
        <v>74</v>
      </c>
      <c r="D104" t="s">
        <v>74</v>
      </c>
      <c r="E104" t="s">
        <v>74</v>
      </c>
      <c r="F104" t="s">
        <v>9631</v>
      </c>
      <c r="G104" t="s">
        <v>74</v>
      </c>
      <c r="H104" t="s">
        <v>74</v>
      </c>
      <c r="I104" s="1" t="s">
        <v>9632</v>
      </c>
      <c r="J104" t="s">
        <v>9633</v>
      </c>
      <c r="K104" t="s">
        <v>74</v>
      </c>
      <c r="L104" t="s">
        <v>74</v>
      </c>
      <c r="M104" t="s">
        <v>78</v>
      </c>
      <c r="N104" t="s">
        <v>79</v>
      </c>
      <c r="O104" t="s">
        <v>74</v>
      </c>
      <c r="P104" t="s">
        <v>74</v>
      </c>
      <c r="Q104" t="s">
        <v>74</v>
      </c>
      <c r="R104" t="s">
        <v>74</v>
      </c>
      <c r="S104" t="s">
        <v>74</v>
      </c>
      <c r="T104" s="1" t="s">
        <v>74</v>
      </c>
      <c r="U104" s="1" t="s">
        <v>9634</v>
      </c>
      <c r="V104" s="1" t="s">
        <v>9635</v>
      </c>
      <c r="W104" t="s">
        <v>9636</v>
      </c>
      <c r="X104" t="s">
        <v>9637</v>
      </c>
      <c r="Y104" t="s">
        <v>9638</v>
      </c>
      <c r="Z104" t="s">
        <v>9639</v>
      </c>
      <c r="AA104" t="s">
        <v>9640</v>
      </c>
      <c r="AB104" t="s">
        <v>9641</v>
      </c>
      <c r="AC104" t="s">
        <v>9642</v>
      </c>
      <c r="AD104" t="s">
        <v>9643</v>
      </c>
      <c r="AE104" t="s">
        <v>9644</v>
      </c>
      <c r="AF104" t="s">
        <v>74</v>
      </c>
      <c r="AG104">
        <v>47</v>
      </c>
      <c r="AH104">
        <v>17</v>
      </c>
      <c r="AI104">
        <v>17</v>
      </c>
      <c r="AJ104">
        <v>7</v>
      </c>
      <c r="AK104">
        <v>33</v>
      </c>
      <c r="AL104" t="s">
        <v>9645</v>
      </c>
      <c r="AM104" t="s">
        <v>9646</v>
      </c>
      <c r="AN104" t="s">
        <v>9647</v>
      </c>
      <c r="AO104" t="s">
        <v>9648</v>
      </c>
      <c r="AP104" t="s">
        <v>74</v>
      </c>
      <c r="AQ104" t="s">
        <v>74</v>
      </c>
      <c r="AR104" t="s">
        <v>9649</v>
      </c>
      <c r="AS104" t="s">
        <v>9650</v>
      </c>
      <c r="AT104" t="s">
        <v>2871</v>
      </c>
      <c r="AU104">
        <v>2018</v>
      </c>
      <c r="AV104">
        <v>6</v>
      </c>
      <c r="AW104" t="s">
        <v>74</v>
      </c>
      <c r="AX104" t="s">
        <v>74</v>
      </c>
      <c r="AY104">
        <v>1</v>
      </c>
      <c r="AZ104" t="s">
        <v>74</v>
      </c>
      <c r="BA104" t="s">
        <v>74</v>
      </c>
      <c r="BB104" t="s">
        <v>9651</v>
      </c>
      <c r="BC104" t="s">
        <v>9652</v>
      </c>
      <c r="BD104" t="s">
        <v>74</v>
      </c>
      <c r="BE104" t="s">
        <v>9653</v>
      </c>
      <c r="BF104" t="str">
        <f>HYPERLINK("http://dx.doi.org/10.9745/GHSP-D-18-00271","http://dx.doi.org/10.9745/GHSP-D-18-00271")</f>
        <v>http://dx.doi.org/10.9745/GHSP-D-18-00271</v>
      </c>
      <c r="BG104" t="s">
        <v>74</v>
      </c>
      <c r="BH104" t="s">
        <v>74</v>
      </c>
      <c r="BI104">
        <v>12</v>
      </c>
      <c r="BJ104" t="s">
        <v>1584</v>
      </c>
      <c r="BK104" t="s">
        <v>211</v>
      </c>
      <c r="BL104" t="s">
        <v>1584</v>
      </c>
      <c r="BM104" t="s">
        <v>9654</v>
      </c>
      <c r="BN104">
        <v>30305337</v>
      </c>
      <c r="BO104" t="s">
        <v>614</v>
      </c>
      <c r="BP104" t="s">
        <v>74</v>
      </c>
      <c r="BQ104" t="s">
        <v>74</v>
      </c>
      <c r="BR104" t="s">
        <v>106</v>
      </c>
      <c r="BS104" t="s">
        <v>9655</v>
      </c>
      <c r="BT104" t="str">
        <f>HYPERLINK("https%3A%2F%2Fwww.webofscience.com%2Fwos%2Fwoscc%2Ffull-record%2FWOS:000464985500004","View Full Record in Web of Science")</f>
        <v>View Full Record in Web of Science</v>
      </c>
    </row>
    <row r="105" spans="1:72" x14ac:dyDescent="0.25">
      <c r="A105" t="s">
        <v>72</v>
      </c>
      <c r="B105" t="s">
        <v>9744</v>
      </c>
      <c r="C105" t="s">
        <v>74</v>
      </c>
      <c r="D105" t="s">
        <v>74</v>
      </c>
      <c r="E105" t="s">
        <v>74</v>
      </c>
      <c r="F105" t="s">
        <v>9745</v>
      </c>
      <c r="G105" t="s">
        <v>74</v>
      </c>
      <c r="H105" t="s">
        <v>74</v>
      </c>
      <c r="I105" s="1" t="s">
        <v>9746</v>
      </c>
      <c r="J105" t="s">
        <v>9747</v>
      </c>
      <c r="K105" t="s">
        <v>74</v>
      </c>
      <c r="L105" t="s">
        <v>74</v>
      </c>
      <c r="M105" t="s">
        <v>78</v>
      </c>
      <c r="N105" t="s">
        <v>79</v>
      </c>
      <c r="O105" t="s">
        <v>74</v>
      </c>
      <c r="P105" t="s">
        <v>74</v>
      </c>
      <c r="Q105" t="s">
        <v>74</v>
      </c>
      <c r="R105" t="s">
        <v>74</v>
      </c>
      <c r="S105" t="s">
        <v>74</v>
      </c>
      <c r="T105" s="1" t="s">
        <v>9748</v>
      </c>
      <c r="U105" s="1" t="s">
        <v>9749</v>
      </c>
      <c r="V105" s="1" t="s">
        <v>9750</v>
      </c>
      <c r="W105" t="s">
        <v>9751</v>
      </c>
      <c r="X105" t="s">
        <v>9752</v>
      </c>
      <c r="Y105" t="s">
        <v>9753</v>
      </c>
      <c r="Z105" t="s">
        <v>9754</v>
      </c>
      <c r="AA105" t="s">
        <v>9755</v>
      </c>
      <c r="AB105" t="s">
        <v>9756</v>
      </c>
      <c r="AC105" t="s">
        <v>74</v>
      </c>
      <c r="AD105" t="s">
        <v>74</v>
      </c>
      <c r="AE105" t="s">
        <v>74</v>
      </c>
      <c r="AF105" t="s">
        <v>74</v>
      </c>
      <c r="AG105">
        <v>81</v>
      </c>
      <c r="AH105">
        <v>17</v>
      </c>
      <c r="AI105">
        <v>18</v>
      </c>
      <c r="AJ105">
        <v>0</v>
      </c>
      <c r="AK105">
        <v>57</v>
      </c>
      <c r="AL105" t="s">
        <v>9757</v>
      </c>
      <c r="AM105" t="s">
        <v>9758</v>
      </c>
      <c r="AN105" t="s">
        <v>9759</v>
      </c>
      <c r="AO105" t="s">
        <v>9760</v>
      </c>
      <c r="AP105" t="s">
        <v>9761</v>
      </c>
      <c r="AQ105" t="s">
        <v>74</v>
      </c>
      <c r="AR105" t="s">
        <v>9747</v>
      </c>
      <c r="AS105" t="s">
        <v>9762</v>
      </c>
      <c r="AT105" t="s">
        <v>356</v>
      </c>
      <c r="AU105">
        <v>2018</v>
      </c>
      <c r="AV105">
        <v>21</v>
      </c>
      <c r="AW105">
        <v>3</v>
      </c>
      <c r="AX105" t="s">
        <v>74</v>
      </c>
      <c r="AY105" t="s">
        <v>74</v>
      </c>
      <c r="AZ105" t="s">
        <v>74</v>
      </c>
      <c r="BA105" t="s">
        <v>74</v>
      </c>
      <c r="BB105">
        <v>831</v>
      </c>
      <c r="BC105">
        <v>859</v>
      </c>
      <c r="BD105" t="s">
        <v>74</v>
      </c>
      <c r="BE105" t="s">
        <v>9763</v>
      </c>
      <c r="BF105" t="str">
        <f>HYPERLINK("http://dx.doi.org/10.5294/pacla.2018.21.3.8","http://dx.doi.org/10.5294/pacla.2018.21.3.8")</f>
        <v>http://dx.doi.org/10.5294/pacla.2018.21.3.8</v>
      </c>
      <c r="BG105" t="s">
        <v>74</v>
      </c>
      <c r="BH105" t="s">
        <v>74</v>
      </c>
      <c r="BI105">
        <v>29</v>
      </c>
      <c r="BJ105" t="s">
        <v>2218</v>
      </c>
      <c r="BK105" t="s">
        <v>183</v>
      </c>
      <c r="BL105" t="s">
        <v>2218</v>
      </c>
      <c r="BM105" t="s">
        <v>9764</v>
      </c>
      <c r="BN105" t="s">
        <v>74</v>
      </c>
      <c r="BO105" t="s">
        <v>9765</v>
      </c>
      <c r="BP105" t="s">
        <v>74</v>
      </c>
      <c r="BQ105" t="s">
        <v>74</v>
      </c>
      <c r="BR105" t="s">
        <v>106</v>
      </c>
      <c r="BS105" t="s">
        <v>9766</v>
      </c>
      <c r="BT105" t="str">
        <f>HYPERLINK("https%3A%2F%2Fwww.webofscience.com%2Fwos%2Fwoscc%2Ffull-record%2FWOS:000436284200007","View Full Record in Web of Science")</f>
        <v>View Full Record in Web of Science</v>
      </c>
    </row>
    <row r="106" spans="1:72" x14ac:dyDescent="0.25">
      <c r="A106" t="s">
        <v>72</v>
      </c>
      <c r="B106" t="s">
        <v>10904</v>
      </c>
      <c r="C106" t="s">
        <v>74</v>
      </c>
      <c r="D106" t="s">
        <v>74</v>
      </c>
      <c r="E106" t="s">
        <v>74</v>
      </c>
      <c r="F106" t="s">
        <v>10905</v>
      </c>
      <c r="G106" t="s">
        <v>74</v>
      </c>
      <c r="H106" t="s">
        <v>74</v>
      </c>
      <c r="I106" s="1" t="s">
        <v>10906</v>
      </c>
      <c r="J106" t="s">
        <v>10907</v>
      </c>
      <c r="K106" t="s">
        <v>74</v>
      </c>
      <c r="L106" t="s">
        <v>74</v>
      </c>
      <c r="M106" t="s">
        <v>78</v>
      </c>
      <c r="N106" t="s">
        <v>79</v>
      </c>
      <c r="O106" t="s">
        <v>74</v>
      </c>
      <c r="P106" t="s">
        <v>74</v>
      </c>
      <c r="Q106" t="s">
        <v>74</v>
      </c>
      <c r="R106" t="s">
        <v>74</v>
      </c>
      <c r="S106" t="s">
        <v>74</v>
      </c>
      <c r="T106" s="1" t="s">
        <v>10908</v>
      </c>
      <c r="U106" s="1" t="s">
        <v>10909</v>
      </c>
      <c r="V106" s="1" t="s">
        <v>10910</v>
      </c>
      <c r="W106" t="s">
        <v>10911</v>
      </c>
      <c r="X106" t="s">
        <v>8209</v>
      </c>
      <c r="Y106" t="s">
        <v>10912</v>
      </c>
      <c r="Z106" t="s">
        <v>10913</v>
      </c>
      <c r="AA106" t="s">
        <v>74</v>
      </c>
      <c r="AB106" t="s">
        <v>10914</v>
      </c>
      <c r="AC106" t="s">
        <v>10915</v>
      </c>
      <c r="AD106" t="s">
        <v>10916</v>
      </c>
      <c r="AE106" t="s">
        <v>10917</v>
      </c>
      <c r="AF106" t="s">
        <v>74</v>
      </c>
      <c r="AG106">
        <v>93</v>
      </c>
      <c r="AH106">
        <v>17</v>
      </c>
      <c r="AI106">
        <v>17</v>
      </c>
      <c r="AJ106">
        <v>0</v>
      </c>
      <c r="AK106">
        <v>14</v>
      </c>
      <c r="AL106" t="s">
        <v>492</v>
      </c>
      <c r="AM106" t="s">
        <v>493</v>
      </c>
      <c r="AN106" t="s">
        <v>494</v>
      </c>
      <c r="AO106" t="s">
        <v>10918</v>
      </c>
      <c r="AP106" t="s">
        <v>10919</v>
      </c>
      <c r="AQ106" t="s">
        <v>74</v>
      </c>
      <c r="AR106" t="s">
        <v>10920</v>
      </c>
      <c r="AS106" t="s">
        <v>10921</v>
      </c>
      <c r="AT106" t="s">
        <v>74</v>
      </c>
      <c r="AU106">
        <v>2017</v>
      </c>
      <c r="AV106">
        <v>14</v>
      </c>
      <c r="AW106">
        <v>3</v>
      </c>
      <c r="AX106" t="s">
        <v>74</v>
      </c>
      <c r="AY106" t="s">
        <v>74</v>
      </c>
      <c r="AZ106" t="s">
        <v>74</v>
      </c>
      <c r="BA106" t="s">
        <v>74</v>
      </c>
      <c r="BB106">
        <v>315</v>
      </c>
      <c r="BC106">
        <v>349</v>
      </c>
      <c r="BD106" t="s">
        <v>74</v>
      </c>
      <c r="BE106" t="s">
        <v>10922</v>
      </c>
      <c r="BF106" t="str">
        <f>HYPERLINK("http://dx.doi.org/10.1080/14780887.2017.1290177","http://dx.doi.org/10.1080/14780887.2017.1290177")</f>
        <v>http://dx.doi.org/10.1080/14780887.2017.1290177</v>
      </c>
      <c r="BG106" t="s">
        <v>74</v>
      </c>
      <c r="BH106" t="s">
        <v>74</v>
      </c>
      <c r="BI106">
        <v>35</v>
      </c>
      <c r="BJ106" t="s">
        <v>1664</v>
      </c>
      <c r="BK106" t="s">
        <v>156</v>
      </c>
      <c r="BL106" t="s">
        <v>1665</v>
      </c>
      <c r="BM106" t="s">
        <v>10923</v>
      </c>
      <c r="BN106" t="s">
        <v>74</v>
      </c>
      <c r="BO106" t="s">
        <v>1539</v>
      </c>
      <c r="BP106" t="s">
        <v>74</v>
      </c>
      <c r="BQ106" t="s">
        <v>74</v>
      </c>
      <c r="BR106" t="s">
        <v>106</v>
      </c>
      <c r="BS106" t="s">
        <v>10924</v>
      </c>
      <c r="BT106" t="str">
        <f>HYPERLINK("https%3A%2F%2Fwww.webofscience.com%2Fwos%2Fwoscc%2Ffull-record%2FWOS:000403920100004","View Full Record in Web of Science")</f>
        <v>View Full Record in Web of Science</v>
      </c>
    </row>
    <row r="107" spans="1:72" x14ac:dyDescent="0.25">
      <c r="A107" t="s">
        <v>72</v>
      </c>
      <c r="B107" t="s">
        <v>11441</v>
      </c>
      <c r="C107" t="s">
        <v>74</v>
      </c>
      <c r="D107" t="s">
        <v>74</v>
      </c>
      <c r="E107" t="s">
        <v>74</v>
      </c>
      <c r="F107" t="s">
        <v>11442</v>
      </c>
      <c r="G107" t="s">
        <v>74</v>
      </c>
      <c r="H107" t="s">
        <v>74</v>
      </c>
      <c r="I107" s="1" t="s">
        <v>11443</v>
      </c>
      <c r="J107" t="s">
        <v>11444</v>
      </c>
      <c r="K107" t="s">
        <v>74</v>
      </c>
      <c r="L107" t="s">
        <v>74</v>
      </c>
      <c r="M107" t="s">
        <v>78</v>
      </c>
      <c r="N107" t="s">
        <v>79</v>
      </c>
      <c r="O107" t="s">
        <v>74</v>
      </c>
      <c r="P107" t="s">
        <v>74</v>
      </c>
      <c r="Q107" t="s">
        <v>74</v>
      </c>
      <c r="R107" t="s">
        <v>74</v>
      </c>
      <c r="S107" t="s">
        <v>74</v>
      </c>
      <c r="T107" s="1" t="s">
        <v>11445</v>
      </c>
      <c r="U107" s="1" t="s">
        <v>11446</v>
      </c>
      <c r="V107" s="1" t="s">
        <v>11447</v>
      </c>
      <c r="W107" t="s">
        <v>11448</v>
      </c>
      <c r="X107" t="s">
        <v>11449</v>
      </c>
      <c r="Y107" t="s">
        <v>11450</v>
      </c>
      <c r="Z107" t="s">
        <v>11451</v>
      </c>
      <c r="AA107" t="s">
        <v>74</v>
      </c>
      <c r="AB107" t="s">
        <v>11452</v>
      </c>
      <c r="AC107" t="s">
        <v>74</v>
      </c>
      <c r="AD107" t="s">
        <v>74</v>
      </c>
      <c r="AE107" t="s">
        <v>74</v>
      </c>
      <c r="AF107" t="s">
        <v>74</v>
      </c>
      <c r="AG107">
        <v>32</v>
      </c>
      <c r="AH107">
        <v>17</v>
      </c>
      <c r="AI107">
        <v>18</v>
      </c>
      <c r="AJ107">
        <v>1</v>
      </c>
      <c r="AK107">
        <v>3</v>
      </c>
      <c r="AL107" t="s">
        <v>492</v>
      </c>
      <c r="AM107" t="s">
        <v>493</v>
      </c>
      <c r="AN107" t="s">
        <v>494</v>
      </c>
      <c r="AO107" t="s">
        <v>11453</v>
      </c>
      <c r="AP107" t="s">
        <v>11454</v>
      </c>
      <c r="AQ107" t="s">
        <v>74</v>
      </c>
      <c r="AR107" t="s">
        <v>11455</v>
      </c>
      <c r="AS107" t="s">
        <v>11456</v>
      </c>
      <c r="AT107" t="s">
        <v>74</v>
      </c>
      <c r="AU107">
        <v>2016</v>
      </c>
      <c r="AV107">
        <v>48</v>
      </c>
      <c r="AW107">
        <v>4</v>
      </c>
      <c r="AX107" t="s">
        <v>74</v>
      </c>
      <c r="AY107" t="s">
        <v>74</v>
      </c>
      <c r="AZ107" t="s">
        <v>74</v>
      </c>
      <c r="BA107" t="s">
        <v>74</v>
      </c>
      <c r="BB107">
        <v>274</v>
      </c>
      <c r="BC107">
        <v>289</v>
      </c>
      <c r="BD107" t="s">
        <v>74</v>
      </c>
      <c r="BE107" t="s">
        <v>11457</v>
      </c>
      <c r="BF107" t="str">
        <f>HYPERLINK("http://dx.doi.org/10.1080/15391523.2016.1212632","http://dx.doi.org/10.1080/15391523.2016.1212632")</f>
        <v>http://dx.doi.org/10.1080/15391523.2016.1212632</v>
      </c>
      <c r="BG107" t="s">
        <v>74</v>
      </c>
      <c r="BH107" t="s">
        <v>74</v>
      </c>
      <c r="BI107">
        <v>16</v>
      </c>
      <c r="BJ107" t="s">
        <v>1326</v>
      </c>
      <c r="BK107" t="s">
        <v>183</v>
      </c>
      <c r="BL107" t="s">
        <v>1326</v>
      </c>
      <c r="BM107" t="s">
        <v>11458</v>
      </c>
      <c r="BN107" t="s">
        <v>74</v>
      </c>
      <c r="BO107" t="s">
        <v>74</v>
      </c>
      <c r="BP107" t="s">
        <v>74</v>
      </c>
      <c r="BQ107" t="s">
        <v>74</v>
      </c>
      <c r="BR107" t="s">
        <v>106</v>
      </c>
      <c r="BS107" t="s">
        <v>11459</v>
      </c>
      <c r="BT107" t="str">
        <f>HYPERLINK("https%3A%2F%2Fwww.webofscience.com%2Fwos%2Fwoscc%2Ffull-record%2FWOS:000407688700003","View Full Record in Web of Science")</f>
        <v>View Full Record in Web of Science</v>
      </c>
    </row>
    <row r="108" spans="1:72" x14ac:dyDescent="0.25">
      <c r="A108" t="s">
        <v>72</v>
      </c>
      <c r="B108" t="s">
        <v>1816</v>
      </c>
      <c r="C108" t="s">
        <v>74</v>
      </c>
      <c r="D108" t="s">
        <v>74</v>
      </c>
      <c r="E108" t="s">
        <v>74</v>
      </c>
      <c r="F108" t="s">
        <v>1817</v>
      </c>
      <c r="G108" t="s">
        <v>74</v>
      </c>
      <c r="H108" t="s">
        <v>74</v>
      </c>
      <c r="I108" s="1" t="s">
        <v>1818</v>
      </c>
      <c r="J108" t="s">
        <v>1819</v>
      </c>
      <c r="K108" t="s">
        <v>74</v>
      </c>
      <c r="L108" t="s">
        <v>74</v>
      </c>
      <c r="M108" t="s">
        <v>78</v>
      </c>
      <c r="N108" t="s">
        <v>79</v>
      </c>
      <c r="O108" t="s">
        <v>74</v>
      </c>
      <c r="P108" t="s">
        <v>74</v>
      </c>
      <c r="Q108" t="s">
        <v>74</v>
      </c>
      <c r="R108" t="s">
        <v>74</v>
      </c>
      <c r="S108" t="s">
        <v>74</v>
      </c>
      <c r="T108" s="1" t="s">
        <v>1820</v>
      </c>
      <c r="U108" s="1" t="s">
        <v>1821</v>
      </c>
      <c r="V108" s="1" t="s">
        <v>1822</v>
      </c>
      <c r="W108" t="s">
        <v>1823</v>
      </c>
      <c r="X108" t="s">
        <v>1824</v>
      </c>
      <c r="Y108" t="s">
        <v>1825</v>
      </c>
      <c r="Z108" t="s">
        <v>1826</v>
      </c>
      <c r="AA108" t="s">
        <v>1827</v>
      </c>
      <c r="AB108" t="s">
        <v>1828</v>
      </c>
      <c r="AC108" t="s">
        <v>1829</v>
      </c>
      <c r="AD108" t="s">
        <v>1830</v>
      </c>
      <c r="AE108" t="s">
        <v>1831</v>
      </c>
      <c r="AF108" t="s">
        <v>74</v>
      </c>
      <c r="AG108">
        <v>75</v>
      </c>
      <c r="AH108">
        <v>16</v>
      </c>
      <c r="AI108">
        <v>16</v>
      </c>
      <c r="AJ108">
        <v>130</v>
      </c>
      <c r="AK108">
        <v>146</v>
      </c>
      <c r="AL108" t="s">
        <v>1636</v>
      </c>
      <c r="AM108" t="s">
        <v>93</v>
      </c>
      <c r="AN108" t="s">
        <v>1637</v>
      </c>
      <c r="AO108" t="s">
        <v>1832</v>
      </c>
      <c r="AP108" t="s">
        <v>1833</v>
      </c>
      <c r="AQ108" t="s">
        <v>74</v>
      </c>
      <c r="AR108" t="s">
        <v>1834</v>
      </c>
      <c r="AS108" t="s">
        <v>1835</v>
      </c>
      <c r="AT108" t="s">
        <v>1836</v>
      </c>
      <c r="AU108">
        <v>2023</v>
      </c>
      <c r="AV108">
        <v>393</v>
      </c>
      <c r="AW108" t="s">
        <v>74</v>
      </c>
      <c r="AX108" t="s">
        <v>74</v>
      </c>
      <c r="AY108" t="s">
        <v>74</v>
      </c>
      <c r="AZ108" t="s">
        <v>74</v>
      </c>
      <c r="BA108" t="s">
        <v>74</v>
      </c>
      <c r="BB108" t="s">
        <v>74</v>
      </c>
      <c r="BC108" t="s">
        <v>74</v>
      </c>
      <c r="BD108">
        <v>136278</v>
      </c>
      <c r="BE108" t="s">
        <v>1837</v>
      </c>
      <c r="BF108" t="str">
        <f>HYPERLINK("http://dx.doi.org/10.1016/j.jclepro.2023.136278","http://dx.doi.org/10.1016/j.jclepro.2023.136278")</f>
        <v>http://dx.doi.org/10.1016/j.jclepro.2023.136278</v>
      </c>
      <c r="BG108" t="s">
        <v>74</v>
      </c>
      <c r="BH108" t="s">
        <v>1792</v>
      </c>
      <c r="BI108">
        <v>12</v>
      </c>
      <c r="BJ108" t="s">
        <v>1838</v>
      </c>
      <c r="BK108" t="s">
        <v>102</v>
      </c>
      <c r="BL108" t="s">
        <v>1839</v>
      </c>
      <c r="BM108" t="s">
        <v>1840</v>
      </c>
      <c r="BN108" t="s">
        <v>74</v>
      </c>
      <c r="BO108" t="s">
        <v>74</v>
      </c>
      <c r="BP108" t="s">
        <v>74</v>
      </c>
      <c r="BQ108" t="s">
        <v>74</v>
      </c>
      <c r="BR108" t="s">
        <v>106</v>
      </c>
      <c r="BS108" t="s">
        <v>1841</v>
      </c>
      <c r="BT108" t="str">
        <f>HYPERLINK("https%3A%2F%2Fwww.webofscience.com%2Fwos%2Fwoscc%2Ffull-record%2FWOS:000966229300001","View Full Record in Web of Science")</f>
        <v>View Full Record in Web of Science</v>
      </c>
    </row>
    <row r="109" spans="1:72" x14ac:dyDescent="0.25">
      <c r="A109" t="s">
        <v>72</v>
      </c>
      <c r="B109" t="s">
        <v>3748</v>
      </c>
      <c r="C109" t="s">
        <v>74</v>
      </c>
      <c r="D109" t="s">
        <v>74</v>
      </c>
      <c r="E109" t="s">
        <v>74</v>
      </c>
      <c r="F109" t="s">
        <v>3749</v>
      </c>
      <c r="G109" t="s">
        <v>74</v>
      </c>
      <c r="H109" t="s">
        <v>74</v>
      </c>
      <c r="I109" s="1" t="s">
        <v>3750</v>
      </c>
      <c r="J109" t="s">
        <v>3751</v>
      </c>
      <c r="K109" t="s">
        <v>74</v>
      </c>
      <c r="L109" t="s">
        <v>74</v>
      </c>
      <c r="M109" t="s">
        <v>78</v>
      </c>
      <c r="N109" t="s">
        <v>79</v>
      </c>
      <c r="O109" t="s">
        <v>74</v>
      </c>
      <c r="P109" t="s">
        <v>74</v>
      </c>
      <c r="Q109" t="s">
        <v>74</v>
      </c>
      <c r="R109" t="s">
        <v>74</v>
      </c>
      <c r="S109" t="s">
        <v>74</v>
      </c>
      <c r="T109" s="1" t="s">
        <v>3752</v>
      </c>
      <c r="U109" s="1" t="s">
        <v>3753</v>
      </c>
      <c r="V109" s="1" t="s">
        <v>3754</v>
      </c>
      <c r="W109" t="s">
        <v>3755</v>
      </c>
      <c r="X109" t="s">
        <v>3756</v>
      </c>
      <c r="Y109" t="s">
        <v>3757</v>
      </c>
      <c r="Z109" t="s">
        <v>3758</v>
      </c>
      <c r="AA109" t="s">
        <v>3759</v>
      </c>
      <c r="AB109" t="s">
        <v>3760</v>
      </c>
      <c r="AC109" t="s">
        <v>74</v>
      </c>
      <c r="AD109" t="s">
        <v>74</v>
      </c>
      <c r="AE109" t="s">
        <v>74</v>
      </c>
      <c r="AF109" t="s">
        <v>74</v>
      </c>
      <c r="AG109">
        <v>120</v>
      </c>
      <c r="AH109">
        <v>16</v>
      </c>
      <c r="AI109">
        <v>16</v>
      </c>
      <c r="AJ109">
        <v>66</v>
      </c>
      <c r="AK109">
        <v>260</v>
      </c>
      <c r="AL109" t="s">
        <v>332</v>
      </c>
      <c r="AM109" t="s">
        <v>122</v>
      </c>
      <c r="AN109" t="s">
        <v>333</v>
      </c>
      <c r="AO109" t="s">
        <v>3761</v>
      </c>
      <c r="AP109" t="s">
        <v>3762</v>
      </c>
      <c r="AQ109" t="s">
        <v>74</v>
      </c>
      <c r="AR109" t="s">
        <v>3763</v>
      </c>
      <c r="AS109" t="s">
        <v>3764</v>
      </c>
      <c r="AT109" t="s">
        <v>99</v>
      </c>
      <c r="AU109">
        <v>2022</v>
      </c>
      <c r="AV109">
        <v>152</v>
      </c>
      <c r="AW109" t="s">
        <v>74</v>
      </c>
      <c r="AX109" t="s">
        <v>74</v>
      </c>
      <c r="AY109" t="s">
        <v>74</v>
      </c>
      <c r="AZ109" t="s">
        <v>74</v>
      </c>
      <c r="BA109" t="s">
        <v>74</v>
      </c>
      <c r="BB109">
        <v>29</v>
      </c>
      <c r="BC109">
        <v>41</v>
      </c>
      <c r="BD109" t="s">
        <v>74</v>
      </c>
      <c r="BE109" t="s">
        <v>3765</v>
      </c>
      <c r="BF109" t="str">
        <f>HYPERLINK("http://dx.doi.org/10.1016/j.jbusres.2022.07.020","http://dx.doi.org/10.1016/j.jbusres.2022.07.020")</f>
        <v>http://dx.doi.org/10.1016/j.jbusres.2022.07.020</v>
      </c>
      <c r="BG109" t="s">
        <v>74</v>
      </c>
      <c r="BH109" t="s">
        <v>3746</v>
      </c>
      <c r="BI109">
        <v>13</v>
      </c>
      <c r="BJ109" t="s">
        <v>1023</v>
      </c>
      <c r="BK109" t="s">
        <v>156</v>
      </c>
      <c r="BL109" t="s">
        <v>265</v>
      </c>
      <c r="BM109" t="s">
        <v>3766</v>
      </c>
      <c r="BN109" t="s">
        <v>74</v>
      </c>
      <c r="BO109" t="s">
        <v>105</v>
      </c>
      <c r="BP109" t="s">
        <v>74</v>
      </c>
      <c r="BQ109" t="s">
        <v>74</v>
      </c>
      <c r="BR109" t="s">
        <v>106</v>
      </c>
      <c r="BS109" t="s">
        <v>3767</v>
      </c>
      <c r="BT109" t="str">
        <f>HYPERLINK("https%3A%2F%2Fwww.webofscience.com%2Fwos%2Fwoscc%2Ffull-record%2FWOS:000837844200003","View Full Record in Web of Science")</f>
        <v>View Full Record in Web of Science</v>
      </c>
    </row>
    <row r="110" spans="1:72" x14ac:dyDescent="0.25">
      <c r="A110" t="s">
        <v>72</v>
      </c>
      <c r="B110" t="s">
        <v>6201</v>
      </c>
      <c r="C110" t="s">
        <v>74</v>
      </c>
      <c r="D110" t="s">
        <v>74</v>
      </c>
      <c r="E110" t="s">
        <v>74</v>
      </c>
      <c r="F110" t="s">
        <v>6202</v>
      </c>
      <c r="G110" t="s">
        <v>74</v>
      </c>
      <c r="H110" t="s">
        <v>74</v>
      </c>
      <c r="I110" s="1" t="s">
        <v>6203</v>
      </c>
      <c r="J110" t="s">
        <v>6204</v>
      </c>
      <c r="K110" t="s">
        <v>74</v>
      </c>
      <c r="L110" t="s">
        <v>74</v>
      </c>
      <c r="M110" t="s">
        <v>78</v>
      </c>
      <c r="N110" t="s">
        <v>79</v>
      </c>
      <c r="O110" t="s">
        <v>74</v>
      </c>
      <c r="P110" t="s">
        <v>74</v>
      </c>
      <c r="Q110" t="s">
        <v>74</v>
      </c>
      <c r="R110" t="s">
        <v>74</v>
      </c>
      <c r="S110" t="s">
        <v>74</v>
      </c>
      <c r="T110" s="1" t="s">
        <v>6205</v>
      </c>
      <c r="U110" s="1" t="s">
        <v>6206</v>
      </c>
      <c r="V110" s="1" t="s">
        <v>6207</v>
      </c>
      <c r="W110" t="s">
        <v>6208</v>
      </c>
      <c r="X110" t="s">
        <v>6209</v>
      </c>
      <c r="Y110" t="s">
        <v>6210</v>
      </c>
      <c r="Z110" t="s">
        <v>6211</v>
      </c>
      <c r="AA110" t="s">
        <v>6212</v>
      </c>
      <c r="AB110" t="s">
        <v>6213</v>
      </c>
      <c r="AC110" t="s">
        <v>6214</v>
      </c>
      <c r="AD110" t="s">
        <v>605</v>
      </c>
      <c r="AE110" t="s">
        <v>6215</v>
      </c>
      <c r="AF110" t="s">
        <v>74</v>
      </c>
      <c r="AG110">
        <v>82</v>
      </c>
      <c r="AH110">
        <v>16</v>
      </c>
      <c r="AI110">
        <v>16</v>
      </c>
      <c r="AJ110">
        <v>24</v>
      </c>
      <c r="AK110">
        <v>124</v>
      </c>
      <c r="AL110" t="s">
        <v>715</v>
      </c>
      <c r="AM110" t="s">
        <v>716</v>
      </c>
      <c r="AN110" t="s">
        <v>717</v>
      </c>
      <c r="AO110" t="s">
        <v>6216</v>
      </c>
      <c r="AP110" t="s">
        <v>6217</v>
      </c>
      <c r="AQ110" t="s">
        <v>74</v>
      </c>
      <c r="AR110" t="s">
        <v>6218</v>
      </c>
      <c r="AS110" t="s">
        <v>6219</v>
      </c>
      <c r="AT110" t="s">
        <v>6220</v>
      </c>
      <c r="AU110">
        <v>2022</v>
      </c>
      <c r="AV110">
        <v>14</v>
      </c>
      <c r="AW110">
        <v>1</v>
      </c>
      <c r="AX110" t="s">
        <v>74</v>
      </c>
      <c r="AY110" t="s">
        <v>74</v>
      </c>
      <c r="AZ110" t="s">
        <v>74</v>
      </c>
      <c r="BA110" t="s">
        <v>74</v>
      </c>
      <c r="BB110">
        <v>1</v>
      </c>
      <c r="BC110">
        <v>20</v>
      </c>
      <c r="BD110" t="s">
        <v>74</v>
      </c>
      <c r="BE110" t="s">
        <v>6221</v>
      </c>
      <c r="BF110" t="str">
        <f>HYPERLINK("http://dx.doi.org/10.1108/IJIS-01-2021-0007","http://dx.doi.org/10.1108/IJIS-01-2021-0007")</f>
        <v>http://dx.doi.org/10.1108/IJIS-01-2021-0007</v>
      </c>
      <c r="BG110" t="s">
        <v>74</v>
      </c>
      <c r="BH110" t="s">
        <v>6177</v>
      </c>
      <c r="BI110">
        <v>20</v>
      </c>
      <c r="BJ110" t="s">
        <v>1023</v>
      </c>
      <c r="BK110" t="s">
        <v>183</v>
      </c>
      <c r="BL110" t="s">
        <v>265</v>
      </c>
      <c r="BM110" t="s">
        <v>6222</v>
      </c>
      <c r="BN110" t="s">
        <v>74</v>
      </c>
      <c r="BO110" t="s">
        <v>74</v>
      </c>
      <c r="BP110" t="s">
        <v>74</v>
      </c>
      <c r="BQ110" t="s">
        <v>74</v>
      </c>
      <c r="BR110" t="s">
        <v>106</v>
      </c>
      <c r="BS110" t="s">
        <v>6223</v>
      </c>
      <c r="BT110" t="str">
        <f>HYPERLINK("https%3A%2F%2Fwww.webofscience.com%2Fwos%2Fwoscc%2Ffull-record%2FWOS:000663140300001","View Full Record in Web of Science")</f>
        <v>View Full Record in Web of Science</v>
      </c>
    </row>
    <row r="111" spans="1:72" x14ac:dyDescent="0.25">
      <c r="A111" t="s">
        <v>72</v>
      </c>
      <c r="B111" t="s">
        <v>6911</v>
      </c>
      <c r="C111" t="s">
        <v>74</v>
      </c>
      <c r="D111" t="s">
        <v>74</v>
      </c>
      <c r="E111" t="s">
        <v>74</v>
      </c>
      <c r="F111" t="s">
        <v>6912</v>
      </c>
      <c r="G111" t="s">
        <v>74</v>
      </c>
      <c r="H111" t="s">
        <v>74</v>
      </c>
      <c r="I111" s="1" t="s">
        <v>6913</v>
      </c>
      <c r="J111" t="s">
        <v>573</v>
      </c>
      <c r="K111" t="s">
        <v>74</v>
      </c>
      <c r="L111" t="s">
        <v>74</v>
      </c>
      <c r="M111" t="s">
        <v>78</v>
      </c>
      <c r="N111" t="s">
        <v>79</v>
      </c>
      <c r="O111" t="s">
        <v>74</v>
      </c>
      <c r="P111" t="s">
        <v>74</v>
      </c>
      <c r="Q111" t="s">
        <v>74</v>
      </c>
      <c r="R111" t="s">
        <v>74</v>
      </c>
      <c r="S111" t="s">
        <v>74</v>
      </c>
      <c r="T111" s="1" t="s">
        <v>6914</v>
      </c>
      <c r="U111" s="1" t="s">
        <v>74</v>
      </c>
      <c r="V111" s="1" t="s">
        <v>6915</v>
      </c>
      <c r="W111" t="s">
        <v>6916</v>
      </c>
      <c r="X111" t="s">
        <v>6917</v>
      </c>
      <c r="Y111" t="s">
        <v>6918</v>
      </c>
      <c r="Z111" t="s">
        <v>6919</v>
      </c>
      <c r="AA111" t="s">
        <v>6920</v>
      </c>
      <c r="AB111" t="s">
        <v>6921</v>
      </c>
      <c r="AC111" t="s">
        <v>6922</v>
      </c>
      <c r="AD111" t="s">
        <v>6922</v>
      </c>
      <c r="AE111" t="s">
        <v>6923</v>
      </c>
      <c r="AF111" t="s">
        <v>74</v>
      </c>
      <c r="AG111">
        <v>29</v>
      </c>
      <c r="AH111">
        <v>16</v>
      </c>
      <c r="AI111">
        <v>16</v>
      </c>
      <c r="AJ111">
        <v>8</v>
      </c>
      <c r="AK111">
        <v>24</v>
      </c>
      <c r="AL111" t="s">
        <v>492</v>
      </c>
      <c r="AM111" t="s">
        <v>493</v>
      </c>
      <c r="AN111" t="s">
        <v>494</v>
      </c>
      <c r="AO111" t="s">
        <v>583</v>
      </c>
      <c r="AP111" t="s">
        <v>584</v>
      </c>
      <c r="AQ111" t="s">
        <v>74</v>
      </c>
      <c r="AR111" t="s">
        <v>585</v>
      </c>
      <c r="AS111" t="s">
        <v>586</v>
      </c>
      <c r="AT111" t="s">
        <v>3505</v>
      </c>
      <c r="AU111">
        <v>2021</v>
      </c>
      <c r="AV111">
        <v>24</v>
      </c>
      <c r="AW111">
        <v>1</v>
      </c>
      <c r="AX111" t="s">
        <v>74</v>
      </c>
      <c r="AY111" t="s">
        <v>74</v>
      </c>
      <c r="AZ111" t="s">
        <v>74</v>
      </c>
      <c r="BA111" t="s">
        <v>74</v>
      </c>
      <c r="BB111">
        <v>35</v>
      </c>
      <c r="BC111">
        <v>51</v>
      </c>
      <c r="BD111" t="s">
        <v>74</v>
      </c>
      <c r="BE111" t="s">
        <v>6924</v>
      </c>
      <c r="BF111" t="str">
        <f>HYPERLINK("http://dx.doi.org/10.1080/1369118X.2019.1629612","http://dx.doi.org/10.1080/1369118X.2019.1629612")</f>
        <v>http://dx.doi.org/10.1080/1369118X.2019.1629612</v>
      </c>
      <c r="BG111" t="s">
        <v>74</v>
      </c>
      <c r="BH111" t="s">
        <v>74</v>
      </c>
      <c r="BI111">
        <v>17</v>
      </c>
      <c r="BJ111" t="s">
        <v>589</v>
      </c>
      <c r="BK111" t="s">
        <v>156</v>
      </c>
      <c r="BL111" t="s">
        <v>589</v>
      </c>
      <c r="BM111" t="s">
        <v>6925</v>
      </c>
      <c r="BN111" t="s">
        <v>74</v>
      </c>
      <c r="BO111" t="s">
        <v>74</v>
      </c>
      <c r="BP111" t="s">
        <v>74</v>
      </c>
      <c r="BQ111" t="s">
        <v>74</v>
      </c>
      <c r="BR111" t="s">
        <v>106</v>
      </c>
      <c r="BS111" t="s">
        <v>6926</v>
      </c>
      <c r="BT111" t="str">
        <f>HYPERLINK("https%3A%2F%2Fwww.webofscience.com%2Fwos%2Fwoscc%2Ffull-record%2FWOS:000770688600001","View Full Record in Web of Science")</f>
        <v>View Full Record in Web of Science</v>
      </c>
    </row>
    <row r="112" spans="1:72" x14ac:dyDescent="0.25">
      <c r="A112" t="s">
        <v>72</v>
      </c>
      <c r="B112" t="s">
        <v>7051</v>
      </c>
      <c r="C112" t="s">
        <v>74</v>
      </c>
      <c r="D112" t="s">
        <v>74</v>
      </c>
      <c r="E112" t="s">
        <v>74</v>
      </c>
      <c r="F112" t="s">
        <v>7052</v>
      </c>
      <c r="G112" t="s">
        <v>74</v>
      </c>
      <c r="H112" t="s">
        <v>74</v>
      </c>
      <c r="I112" s="1" t="s">
        <v>7053</v>
      </c>
      <c r="J112" t="s">
        <v>7054</v>
      </c>
      <c r="K112" t="s">
        <v>74</v>
      </c>
      <c r="L112" t="s">
        <v>74</v>
      </c>
      <c r="M112" t="s">
        <v>78</v>
      </c>
      <c r="N112" t="s">
        <v>79</v>
      </c>
      <c r="O112" t="s">
        <v>74</v>
      </c>
      <c r="P112" t="s">
        <v>74</v>
      </c>
      <c r="Q112" t="s">
        <v>74</v>
      </c>
      <c r="R112" t="s">
        <v>74</v>
      </c>
      <c r="S112" t="s">
        <v>74</v>
      </c>
      <c r="T112" s="1" t="s">
        <v>7055</v>
      </c>
      <c r="U112" s="1" t="s">
        <v>7056</v>
      </c>
      <c r="V112" s="1" t="s">
        <v>7057</v>
      </c>
      <c r="W112" t="s">
        <v>7058</v>
      </c>
      <c r="X112" t="s">
        <v>7059</v>
      </c>
      <c r="Y112" t="s">
        <v>7060</v>
      </c>
      <c r="Z112" t="s">
        <v>7061</v>
      </c>
      <c r="AA112" t="s">
        <v>7062</v>
      </c>
      <c r="AB112" t="s">
        <v>7063</v>
      </c>
      <c r="AC112" t="s">
        <v>74</v>
      </c>
      <c r="AD112" t="s">
        <v>74</v>
      </c>
      <c r="AE112" t="s">
        <v>74</v>
      </c>
      <c r="AF112" t="s">
        <v>74</v>
      </c>
      <c r="AG112">
        <v>145</v>
      </c>
      <c r="AH112">
        <v>16</v>
      </c>
      <c r="AI112">
        <v>16</v>
      </c>
      <c r="AJ112">
        <v>6</v>
      </c>
      <c r="AK112">
        <v>200</v>
      </c>
      <c r="AL112" t="s">
        <v>202</v>
      </c>
      <c r="AM112" t="s">
        <v>203</v>
      </c>
      <c r="AN112" t="s">
        <v>204</v>
      </c>
      <c r="AO112" t="s">
        <v>7064</v>
      </c>
      <c r="AP112" t="s">
        <v>74</v>
      </c>
      <c r="AQ112" t="s">
        <v>74</v>
      </c>
      <c r="AR112" t="s">
        <v>7065</v>
      </c>
      <c r="AS112" t="s">
        <v>7066</v>
      </c>
      <c r="AT112" t="s">
        <v>2068</v>
      </c>
      <c r="AU112">
        <v>2021</v>
      </c>
      <c r="AV112">
        <v>16</v>
      </c>
      <c r="AW112">
        <v>1</v>
      </c>
      <c r="AX112" t="s">
        <v>74</v>
      </c>
      <c r="AY112" t="s">
        <v>74</v>
      </c>
      <c r="AZ112" t="s">
        <v>74</v>
      </c>
      <c r="BA112" t="s">
        <v>74</v>
      </c>
      <c r="BB112">
        <v>18</v>
      </c>
      <c r="BC112">
        <v>36</v>
      </c>
      <c r="BD112" t="s">
        <v>74</v>
      </c>
      <c r="BE112" t="s">
        <v>7067</v>
      </c>
      <c r="BF112" t="str">
        <f>HYPERLINK("http://dx.doi.org/10.4067/S0718-18762021000100103","http://dx.doi.org/10.4067/S0718-18762021000100103")</f>
        <v>http://dx.doi.org/10.4067/S0718-18762021000100103</v>
      </c>
      <c r="BG112" t="s">
        <v>74</v>
      </c>
      <c r="BH112" t="s">
        <v>74</v>
      </c>
      <c r="BI112">
        <v>19</v>
      </c>
      <c r="BJ112" t="s">
        <v>1023</v>
      </c>
      <c r="BK112" t="s">
        <v>156</v>
      </c>
      <c r="BL112" t="s">
        <v>265</v>
      </c>
      <c r="BM112" t="s">
        <v>7068</v>
      </c>
      <c r="BN112" t="s">
        <v>74</v>
      </c>
      <c r="BO112" t="s">
        <v>186</v>
      </c>
      <c r="BP112" t="s">
        <v>74</v>
      </c>
      <c r="BQ112" t="s">
        <v>74</v>
      </c>
      <c r="BR112" t="s">
        <v>106</v>
      </c>
      <c r="BS112" t="s">
        <v>7069</v>
      </c>
      <c r="BT112" t="str">
        <f>HYPERLINK("https%3A%2F%2Fwww.webofscience.com%2Fwos%2Fwoscc%2Ffull-record%2FWOS:000536451200003","View Full Record in Web of Science")</f>
        <v>View Full Record in Web of Science</v>
      </c>
    </row>
    <row r="113" spans="1:72" x14ac:dyDescent="0.25">
      <c r="A113" t="s">
        <v>72</v>
      </c>
      <c r="B113" t="s">
        <v>7855</v>
      </c>
      <c r="C113" t="s">
        <v>74</v>
      </c>
      <c r="D113" t="s">
        <v>74</v>
      </c>
      <c r="E113" t="s">
        <v>74</v>
      </c>
      <c r="F113" t="s">
        <v>7856</v>
      </c>
      <c r="G113" t="s">
        <v>74</v>
      </c>
      <c r="H113" t="s">
        <v>74</v>
      </c>
      <c r="I113" s="1" t="s">
        <v>7857</v>
      </c>
      <c r="J113" t="s">
        <v>7858</v>
      </c>
      <c r="K113" t="s">
        <v>74</v>
      </c>
      <c r="L113" t="s">
        <v>74</v>
      </c>
      <c r="M113" t="s">
        <v>78</v>
      </c>
      <c r="N113" t="s">
        <v>79</v>
      </c>
      <c r="O113" t="s">
        <v>74</v>
      </c>
      <c r="P113" t="s">
        <v>74</v>
      </c>
      <c r="Q113" t="s">
        <v>74</v>
      </c>
      <c r="R113" t="s">
        <v>74</v>
      </c>
      <c r="S113" t="s">
        <v>74</v>
      </c>
      <c r="T113" s="1" t="s">
        <v>7859</v>
      </c>
      <c r="U113" s="1" t="s">
        <v>7860</v>
      </c>
      <c r="V113" s="1" t="s">
        <v>7861</v>
      </c>
      <c r="W113" t="s">
        <v>7862</v>
      </c>
      <c r="X113" t="s">
        <v>7863</v>
      </c>
      <c r="Y113" t="s">
        <v>7864</v>
      </c>
      <c r="Z113" t="s">
        <v>7865</v>
      </c>
      <c r="AA113" t="s">
        <v>7866</v>
      </c>
      <c r="AB113" t="s">
        <v>7867</v>
      </c>
      <c r="AC113" t="s">
        <v>7868</v>
      </c>
      <c r="AD113" t="s">
        <v>7869</v>
      </c>
      <c r="AE113" t="s">
        <v>7870</v>
      </c>
      <c r="AF113" t="s">
        <v>74</v>
      </c>
      <c r="AG113">
        <v>88</v>
      </c>
      <c r="AH113">
        <v>16</v>
      </c>
      <c r="AI113">
        <v>16</v>
      </c>
      <c r="AJ113">
        <v>0</v>
      </c>
      <c r="AK113">
        <v>4</v>
      </c>
      <c r="AL113" t="s">
        <v>1382</v>
      </c>
      <c r="AM113" t="s">
        <v>1383</v>
      </c>
      <c r="AN113" t="s">
        <v>1384</v>
      </c>
      <c r="AO113" t="s">
        <v>7871</v>
      </c>
      <c r="AP113" t="s">
        <v>74</v>
      </c>
      <c r="AQ113" t="s">
        <v>74</v>
      </c>
      <c r="AR113" t="s">
        <v>7872</v>
      </c>
      <c r="AS113" t="s">
        <v>7873</v>
      </c>
      <c r="AT113" t="s">
        <v>7874</v>
      </c>
      <c r="AU113">
        <v>2020</v>
      </c>
      <c r="AV113">
        <v>11</v>
      </c>
      <c r="AW113" t="s">
        <v>74</v>
      </c>
      <c r="AX113" t="s">
        <v>74</v>
      </c>
      <c r="AY113" t="s">
        <v>74</v>
      </c>
      <c r="AZ113" t="s">
        <v>74</v>
      </c>
      <c r="BA113" t="s">
        <v>74</v>
      </c>
      <c r="BB113" t="s">
        <v>74</v>
      </c>
      <c r="BC113" t="s">
        <v>74</v>
      </c>
      <c r="BD113">
        <v>445</v>
      </c>
      <c r="BE113" t="s">
        <v>7875</v>
      </c>
      <c r="BF113" t="str">
        <f>HYPERLINK("http://dx.doi.org/10.3389/fneur.2020.00445","http://dx.doi.org/10.3389/fneur.2020.00445")</f>
        <v>http://dx.doi.org/10.3389/fneur.2020.00445</v>
      </c>
      <c r="BG113" t="s">
        <v>74</v>
      </c>
      <c r="BH113" t="s">
        <v>74</v>
      </c>
      <c r="BI113">
        <v>7</v>
      </c>
      <c r="BJ113" t="s">
        <v>7876</v>
      </c>
      <c r="BK113" t="s">
        <v>102</v>
      </c>
      <c r="BL113" t="s">
        <v>7877</v>
      </c>
      <c r="BM113" t="s">
        <v>7878</v>
      </c>
      <c r="BN113">
        <v>32612566</v>
      </c>
      <c r="BO113" t="s">
        <v>614</v>
      </c>
      <c r="BP113" t="s">
        <v>74</v>
      </c>
      <c r="BQ113" t="s">
        <v>74</v>
      </c>
      <c r="BR113" t="s">
        <v>106</v>
      </c>
      <c r="BS113" t="s">
        <v>7879</v>
      </c>
      <c r="BT113" t="str">
        <f>HYPERLINK("https%3A%2F%2Fwww.webofscience.com%2Fwos%2Fwoscc%2Ffull-record%2FWOS:000546087300001","View Full Record in Web of Science")</f>
        <v>View Full Record in Web of Science</v>
      </c>
    </row>
    <row r="114" spans="1:72" x14ac:dyDescent="0.25">
      <c r="A114" t="s">
        <v>72</v>
      </c>
      <c r="B114" t="s">
        <v>8574</v>
      </c>
      <c r="C114" t="s">
        <v>74</v>
      </c>
      <c r="D114" t="s">
        <v>74</v>
      </c>
      <c r="E114" t="s">
        <v>74</v>
      </c>
      <c r="F114" t="s">
        <v>8575</v>
      </c>
      <c r="G114" t="s">
        <v>74</v>
      </c>
      <c r="H114" t="s">
        <v>74</v>
      </c>
      <c r="I114" s="1" t="s">
        <v>8576</v>
      </c>
      <c r="J114" t="s">
        <v>8577</v>
      </c>
      <c r="K114" t="s">
        <v>74</v>
      </c>
      <c r="L114" t="s">
        <v>74</v>
      </c>
      <c r="M114" t="s">
        <v>78</v>
      </c>
      <c r="N114" t="s">
        <v>79</v>
      </c>
      <c r="O114" t="s">
        <v>74</v>
      </c>
      <c r="P114" t="s">
        <v>74</v>
      </c>
      <c r="Q114" t="s">
        <v>74</v>
      </c>
      <c r="R114" t="s">
        <v>74</v>
      </c>
      <c r="S114" t="s">
        <v>74</v>
      </c>
      <c r="T114" s="1" t="s">
        <v>8578</v>
      </c>
      <c r="U114" s="1" t="s">
        <v>8579</v>
      </c>
      <c r="V114" s="1" t="s">
        <v>8580</v>
      </c>
      <c r="W114" t="s">
        <v>8581</v>
      </c>
      <c r="X114" t="s">
        <v>8582</v>
      </c>
      <c r="Y114" t="s">
        <v>8583</v>
      </c>
      <c r="Z114" t="s">
        <v>8584</v>
      </c>
      <c r="AA114" t="s">
        <v>8585</v>
      </c>
      <c r="AB114" t="s">
        <v>8586</v>
      </c>
      <c r="AC114" t="s">
        <v>8587</v>
      </c>
      <c r="AD114" t="s">
        <v>1278</v>
      </c>
      <c r="AE114" t="s">
        <v>8588</v>
      </c>
      <c r="AF114" t="s">
        <v>74</v>
      </c>
      <c r="AG114">
        <v>46</v>
      </c>
      <c r="AH114">
        <v>16</v>
      </c>
      <c r="AI114">
        <v>17</v>
      </c>
      <c r="AJ114">
        <v>17</v>
      </c>
      <c r="AK114">
        <v>214</v>
      </c>
      <c r="AL114" t="s">
        <v>492</v>
      </c>
      <c r="AM114" t="s">
        <v>493</v>
      </c>
      <c r="AN114" t="s">
        <v>494</v>
      </c>
      <c r="AO114" t="s">
        <v>8589</v>
      </c>
      <c r="AP114" t="s">
        <v>8590</v>
      </c>
      <c r="AQ114" t="s">
        <v>74</v>
      </c>
      <c r="AR114" t="s">
        <v>8591</v>
      </c>
      <c r="AS114" t="s">
        <v>8592</v>
      </c>
      <c r="AT114" t="s">
        <v>3505</v>
      </c>
      <c r="AU114">
        <v>2020</v>
      </c>
      <c r="AV114">
        <v>28</v>
      </c>
      <c r="AW114">
        <v>1</v>
      </c>
      <c r="AX114" t="s">
        <v>74</v>
      </c>
      <c r="AY114" t="s">
        <v>74</v>
      </c>
      <c r="AZ114" t="s">
        <v>74</v>
      </c>
      <c r="BA114" t="s">
        <v>74</v>
      </c>
      <c r="BB114">
        <v>77</v>
      </c>
      <c r="BC114">
        <v>93</v>
      </c>
      <c r="BD114" t="s">
        <v>74</v>
      </c>
      <c r="BE114" t="s">
        <v>8593</v>
      </c>
      <c r="BF114" t="str">
        <f>HYPERLINK("http://dx.doi.org/10.1080/19761597.2019.1700384","http://dx.doi.org/10.1080/19761597.2019.1700384")</f>
        <v>http://dx.doi.org/10.1080/19761597.2019.1700384</v>
      </c>
      <c r="BG114" t="s">
        <v>74</v>
      </c>
      <c r="BH114" t="s">
        <v>8594</v>
      </c>
      <c r="BI114">
        <v>17</v>
      </c>
      <c r="BJ114" t="s">
        <v>5288</v>
      </c>
      <c r="BK114" t="s">
        <v>156</v>
      </c>
      <c r="BL114" t="s">
        <v>265</v>
      </c>
      <c r="BM114" t="s">
        <v>8595</v>
      </c>
      <c r="BN114" t="s">
        <v>74</v>
      </c>
      <c r="BO114" t="s">
        <v>791</v>
      </c>
      <c r="BP114" t="s">
        <v>74</v>
      </c>
      <c r="BQ114" t="s">
        <v>74</v>
      </c>
      <c r="BR114" t="s">
        <v>106</v>
      </c>
      <c r="BS114" t="s">
        <v>8596</v>
      </c>
      <c r="BT114" t="str">
        <f>HYPERLINK("https%3A%2F%2Fwww.webofscience.com%2Fwos%2Fwoscc%2Ffull-record%2FWOS:000501095100001","View Full Record in Web of Science")</f>
        <v>View Full Record in Web of Science</v>
      </c>
    </row>
    <row r="115" spans="1:72" x14ac:dyDescent="0.25">
      <c r="A115" t="s">
        <v>72</v>
      </c>
      <c r="B115" t="s">
        <v>9341</v>
      </c>
      <c r="C115" t="s">
        <v>74</v>
      </c>
      <c r="D115" t="s">
        <v>74</v>
      </c>
      <c r="E115" t="s">
        <v>74</v>
      </c>
      <c r="F115" t="s">
        <v>9342</v>
      </c>
      <c r="G115" t="s">
        <v>74</v>
      </c>
      <c r="H115" t="s">
        <v>74</v>
      </c>
      <c r="I115" s="1" t="s">
        <v>9343</v>
      </c>
      <c r="J115" t="s">
        <v>9344</v>
      </c>
      <c r="K115" t="s">
        <v>74</v>
      </c>
      <c r="L115" t="s">
        <v>74</v>
      </c>
      <c r="M115" t="s">
        <v>78</v>
      </c>
      <c r="N115" t="s">
        <v>79</v>
      </c>
      <c r="O115" t="s">
        <v>74</v>
      </c>
      <c r="P115" t="s">
        <v>74</v>
      </c>
      <c r="Q115" t="s">
        <v>74</v>
      </c>
      <c r="R115" t="s">
        <v>74</v>
      </c>
      <c r="S115" t="s">
        <v>74</v>
      </c>
      <c r="T115" s="1" t="s">
        <v>9345</v>
      </c>
      <c r="U115" s="1" t="s">
        <v>9346</v>
      </c>
      <c r="V115" s="1" t="s">
        <v>9347</v>
      </c>
      <c r="W115" t="s">
        <v>9348</v>
      </c>
      <c r="X115" t="s">
        <v>9349</v>
      </c>
      <c r="Y115" t="s">
        <v>9350</v>
      </c>
      <c r="Z115" t="s">
        <v>9351</v>
      </c>
      <c r="AA115" t="s">
        <v>9352</v>
      </c>
      <c r="AB115" t="s">
        <v>9353</v>
      </c>
      <c r="AC115" t="s">
        <v>74</v>
      </c>
      <c r="AD115" t="s">
        <v>74</v>
      </c>
      <c r="AE115" t="s">
        <v>74</v>
      </c>
      <c r="AF115" t="s">
        <v>74</v>
      </c>
      <c r="AG115">
        <v>63</v>
      </c>
      <c r="AH115">
        <v>16</v>
      </c>
      <c r="AI115">
        <v>16</v>
      </c>
      <c r="AJ115">
        <v>12</v>
      </c>
      <c r="AK115">
        <v>76</v>
      </c>
      <c r="AL115" t="s">
        <v>9354</v>
      </c>
      <c r="AM115" t="s">
        <v>9355</v>
      </c>
      <c r="AN115" t="s">
        <v>9356</v>
      </c>
      <c r="AO115" t="s">
        <v>9357</v>
      </c>
      <c r="AP115" t="s">
        <v>9358</v>
      </c>
      <c r="AQ115" t="s">
        <v>74</v>
      </c>
      <c r="AR115" t="s">
        <v>9359</v>
      </c>
      <c r="AS115" t="s">
        <v>9360</v>
      </c>
      <c r="AT115" t="s">
        <v>74</v>
      </c>
      <c r="AU115">
        <v>2019</v>
      </c>
      <c r="AV115">
        <v>24</v>
      </c>
      <c r="AW115">
        <v>3</v>
      </c>
      <c r="AX115" t="s">
        <v>74</v>
      </c>
      <c r="AY115" t="s">
        <v>74</v>
      </c>
      <c r="AZ115" t="s">
        <v>74</v>
      </c>
      <c r="BA115" t="s">
        <v>74</v>
      </c>
      <c r="BB115">
        <v>315</v>
      </c>
      <c r="BC115">
        <v>327</v>
      </c>
      <c r="BD115" t="s">
        <v>74</v>
      </c>
      <c r="BE115" t="s">
        <v>9361</v>
      </c>
      <c r="BF115" t="str">
        <f>HYPERLINK("http://dx.doi.org/10.3727/108354219X15511864843876","http://dx.doi.org/10.3727/108354219X15511864843876")</f>
        <v>http://dx.doi.org/10.3727/108354219X15511864843876</v>
      </c>
      <c r="BG115" t="s">
        <v>74</v>
      </c>
      <c r="BH115" t="s">
        <v>74</v>
      </c>
      <c r="BI115">
        <v>13</v>
      </c>
      <c r="BJ115" t="s">
        <v>4630</v>
      </c>
      <c r="BK115" t="s">
        <v>183</v>
      </c>
      <c r="BL115" t="s">
        <v>943</v>
      </c>
      <c r="BM115" t="s">
        <v>9362</v>
      </c>
      <c r="BN115" t="s">
        <v>74</v>
      </c>
      <c r="BO115" t="s">
        <v>9363</v>
      </c>
      <c r="BP115" t="s">
        <v>74</v>
      </c>
      <c r="BQ115" t="s">
        <v>74</v>
      </c>
      <c r="BR115" t="s">
        <v>106</v>
      </c>
      <c r="BS115" t="s">
        <v>9364</v>
      </c>
      <c r="BT115" t="str">
        <f>HYPERLINK("https%3A%2F%2Fwww.webofscience.com%2Fwos%2Fwoscc%2Ffull-record%2FWOS:000476871600006","View Full Record in Web of Science")</f>
        <v>View Full Record in Web of Science</v>
      </c>
    </row>
    <row r="116" spans="1:72" x14ac:dyDescent="0.25">
      <c r="A116" t="s">
        <v>72</v>
      </c>
      <c r="B116" t="s">
        <v>9365</v>
      </c>
      <c r="C116" t="s">
        <v>74</v>
      </c>
      <c r="D116" t="s">
        <v>74</v>
      </c>
      <c r="E116" t="s">
        <v>74</v>
      </c>
      <c r="F116" t="s">
        <v>9366</v>
      </c>
      <c r="G116" t="s">
        <v>74</v>
      </c>
      <c r="H116" t="s">
        <v>74</v>
      </c>
      <c r="I116" s="1" t="s">
        <v>9367</v>
      </c>
      <c r="J116" t="s">
        <v>633</v>
      </c>
      <c r="K116" t="s">
        <v>74</v>
      </c>
      <c r="L116" t="s">
        <v>74</v>
      </c>
      <c r="M116" t="s">
        <v>78</v>
      </c>
      <c r="N116" t="s">
        <v>79</v>
      </c>
      <c r="O116" t="s">
        <v>74</v>
      </c>
      <c r="P116" t="s">
        <v>74</v>
      </c>
      <c r="Q116" t="s">
        <v>74</v>
      </c>
      <c r="R116" t="s">
        <v>74</v>
      </c>
      <c r="S116" t="s">
        <v>74</v>
      </c>
      <c r="T116" s="1" t="s">
        <v>9368</v>
      </c>
      <c r="U116" s="1" t="s">
        <v>9369</v>
      </c>
      <c r="V116" s="1" t="s">
        <v>9370</v>
      </c>
      <c r="W116" t="s">
        <v>9371</v>
      </c>
      <c r="X116" t="s">
        <v>9372</v>
      </c>
      <c r="Y116" t="s">
        <v>9373</v>
      </c>
      <c r="Z116" t="s">
        <v>9374</v>
      </c>
      <c r="AA116" t="s">
        <v>74</v>
      </c>
      <c r="AB116" t="s">
        <v>74</v>
      </c>
      <c r="AC116" t="s">
        <v>9375</v>
      </c>
      <c r="AD116" t="s">
        <v>9376</v>
      </c>
      <c r="AE116" t="s">
        <v>9377</v>
      </c>
      <c r="AF116" t="s">
        <v>74</v>
      </c>
      <c r="AG116">
        <v>44</v>
      </c>
      <c r="AH116">
        <v>16</v>
      </c>
      <c r="AI116">
        <v>16</v>
      </c>
      <c r="AJ116">
        <v>0</v>
      </c>
      <c r="AK116">
        <v>6</v>
      </c>
      <c r="AL116" t="s">
        <v>644</v>
      </c>
      <c r="AM116" t="s">
        <v>645</v>
      </c>
      <c r="AN116" t="s">
        <v>646</v>
      </c>
      <c r="AO116" t="s">
        <v>647</v>
      </c>
      <c r="AP116" t="s">
        <v>74</v>
      </c>
      <c r="AQ116" t="s">
        <v>74</v>
      </c>
      <c r="AR116" t="s">
        <v>648</v>
      </c>
      <c r="AS116" t="s">
        <v>649</v>
      </c>
      <c r="AT116" t="s">
        <v>2068</v>
      </c>
      <c r="AU116">
        <v>2019</v>
      </c>
      <c r="AV116">
        <v>10</v>
      </c>
      <c r="AW116">
        <v>1</v>
      </c>
      <c r="AX116" t="s">
        <v>74</v>
      </c>
      <c r="AY116" t="s">
        <v>74</v>
      </c>
      <c r="AZ116" t="s">
        <v>74</v>
      </c>
      <c r="BA116" t="s">
        <v>74</v>
      </c>
      <c r="BB116">
        <v>19</v>
      </c>
      <c r="BC116">
        <v>27</v>
      </c>
      <c r="BD116" t="s">
        <v>74</v>
      </c>
      <c r="BE116" t="s">
        <v>9378</v>
      </c>
      <c r="BF116" t="str">
        <f>HYPERLINK("http://dx.doi.org/10.1055/s-0038-1676807","http://dx.doi.org/10.1055/s-0038-1676807")</f>
        <v>http://dx.doi.org/10.1055/s-0038-1676807</v>
      </c>
      <c r="BG116" t="s">
        <v>74</v>
      </c>
      <c r="BH116" t="s">
        <v>74</v>
      </c>
      <c r="BI116">
        <v>9</v>
      </c>
      <c r="BJ116" t="s">
        <v>651</v>
      </c>
      <c r="BK116" t="s">
        <v>211</v>
      </c>
      <c r="BL116" t="s">
        <v>651</v>
      </c>
      <c r="BM116" t="s">
        <v>9379</v>
      </c>
      <c r="BN116">
        <v>30625501</v>
      </c>
      <c r="BO116" t="s">
        <v>2033</v>
      </c>
      <c r="BP116" t="s">
        <v>74</v>
      </c>
      <c r="BQ116" t="s">
        <v>74</v>
      </c>
      <c r="BR116" t="s">
        <v>106</v>
      </c>
      <c r="BS116" t="s">
        <v>9380</v>
      </c>
      <c r="BT116" t="str">
        <f>HYPERLINK("https%3A%2F%2Fwww.webofscience.com%2Fwos%2Fwoscc%2Ffull-record%2FWOS:000455220200001","View Full Record in Web of Science")</f>
        <v>View Full Record in Web of Science</v>
      </c>
    </row>
    <row r="117" spans="1:72" x14ac:dyDescent="0.25">
      <c r="A117" t="s">
        <v>72</v>
      </c>
      <c r="B117" t="s">
        <v>9859</v>
      </c>
      <c r="C117" t="s">
        <v>74</v>
      </c>
      <c r="D117" t="s">
        <v>74</v>
      </c>
      <c r="E117" t="s">
        <v>74</v>
      </c>
      <c r="F117" t="s">
        <v>9860</v>
      </c>
      <c r="G117" t="s">
        <v>74</v>
      </c>
      <c r="H117" t="s">
        <v>74</v>
      </c>
      <c r="I117" s="1" t="s">
        <v>9861</v>
      </c>
      <c r="J117" t="s">
        <v>8111</v>
      </c>
      <c r="K117" t="s">
        <v>74</v>
      </c>
      <c r="L117" t="s">
        <v>74</v>
      </c>
      <c r="M117" t="s">
        <v>78</v>
      </c>
      <c r="N117" t="s">
        <v>79</v>
      </c>
      <c r="O117" t="s">
        <v>74</v>
      </c>
      <c r="P117" t="s">
        <v>74</v>
      </c>
      <c r="Q117" t="s">
        <v>74</v>
      </c>
      <c r="R117" t="s">
        <v>74</v>
      </c>
      <c r="S117" t="s">
        <v>74</v>
      </c>
      <c r="T117" s="1" t="s">
        <v>9862</v>
      </c>
      <c r="U117" s="1" t="s">
        <v>8948</v>
      </c>
      <c r="V117" s="1" t="s">
        <v>9863</v>
      </c>
      <c r="W117" t="s">
        <v>9864</v>
      </c>
      <c r="X117" t="s">
        <v>9865</v>
      </c>
      <c r="Y117" t="s">
        <v>9866</v>
      </c>
      <c r="Z117" t="s">
        <v>9867</v>
      </c>
      <c r="AA117" t="s">
        <v>8119</v>
      </c>
      <c r="AB117" t="s">
        <v>8120</v>
      </c>
      <c r="AC117" t="s">
        <v>74</v>
      </c>
      <c r="AD117" t="s">
        <v>74</v>
      </c>
      <c r="AE117" t="s">
        <v>74</v>
      </c>
      <c r="AF117" t="s">
        <v>74</v>
      </c>
      <c r="AG117">
        <v>33</v>
      </c>
      <c r="AH117">
        <v>16</v>
      </c>
      <c r="AI117">
        <v>16</v>
      </c>
      <c r="AJ117">
        <v>3</v>
      </c>
      <c r="AK117">
        <v>104</v>
      </c>
      <c r="AL117" t="s">
        <v>8121</v>
      </c>
      <c r="AM117" t="s">
        <v>8122</v>
      </c>
      <c r="AN117" t="s">
        <v>8123</v>
      </c>
      <c r="AO117" t="s">
        <v>8124</v>
      </c>
      <c r="AP117" t="s">
        <v>8125</v>
      </c>
      <c r="AQ117" t="s">
        <v>74</v>
      </c>
      <c r="AR117" t="s">
        <v>8126</v>
      </c>
      <c r="AS117" t="s">
        <v>8127</v>
      </c>
      <c r="AT117" t="s">
        <v>1348</v>
      </c>
      <c r="AU117">
        <v>2018</v>
      </c>
      <c r="AV117">
        <v>18</v>
      </c>
      <c r="AW117">
        <v>2</v>
      </c>
      <c r="AX117" t="s">
        <v>74</v>
      </c>
      <c r="AY117" t="s">
        <v>74</v>
      </c>
      <c r="AZ117" t="s">
        <v>74</v>
      </c>
      <c r="BA117" t="s">
        <v>74</v>
      </c>
      <c r="BB117">
        <v>70</v>
      </c>
      <c r="BC117">
        <v>99</v>
      </c>
      <c r="BD117" t="s">
        <v>74</v>
      </c>
      <c r="BE117" t="s">
        <v>9868</v>
      </c>
      <c r="BF117" t="str">
        <f>HYPERLINK("http://dx.doi.org/10.20397/2177-6652/2018.v18i2.1316","http://dx.doi.org/10.20397/2177-6652/2018.v18i2.1316")</f>
        <v>http://dx.doi.org/10.20397/2177-6652/2018.v18i2.1316</v>
      </c>
      <c r="BG117" t="s">
        <v>74</v>
      </c>
      <c r="BH117" t="s">
        <v>74</v>
      </c>
      <c r="BI117">
        <v>30</v>
      </c>
      <c r="BJ117" t="s">
        <v>315</v>
      </c>
      <c r="BK117" t="s">
        <v>183</v>
      </c>
      <c r="BL117" t="s">
        <v>265</v>
      </c>
      <c r="BM117" t="s">
        <v>9869</v>
      </c>
      <c r="BN117" t="s">
        <v>74</v>
      </c>
      <c r="BO117" t="s">
        <v>614</v>
      </c>
      <c r="BP117" t="s">
        <v>74</v>
      </c>
      <c r="BQ117" t="s">
        <v>74</v>
      </c>
      <c r="BR117" t="s">
        <v>106</v>
      </c>
      <c r="BS117" t="s">
        <v>9870</v>
      </c>
      <c r="BT117" t="str">
        <f>HYPERLINK("https%3A%2F%2Fwww.webofscience.com%2Fwos%2Fwoscc%2Ffull-record%2FWOS:000437533900005","View Full Record in Web of Science")</f>
        <v>View Full Record in Web of Science</v>
      </c>
    </row>
    <row r="118" spans="1:72" x14ac:dyDescent="0.25">
      <c r="A118" t="s">
        <v>72</v>
      </c>
      <c r="B118" t="s">
        <v>10841</v>
      </c>
      <c r="C118" t="s">
        <v>74</v>
      </c>
      <c r="D118" t="s">
        <v>74</v>
      </c>
      <c r="E118" t="s">
        <v>74</v>
      </c>
      <c r="F118" t="s">
        <v>10842</v>
      </c>
      <c r="G118" t="s">
        <v>74</v>
      </c>
      <c r="H118" t="s">
        <v>74</v>
      </c>
      <c r="I118" s="1" t="s">
        <v>10843</v>
      </c>
      <c r="J118" t="s">
        <v>10844</v>
      </c>
      <c r="K118" t="s">
        <v>74</v>
      </c>
      <c r="L118" t="s">
        <v>74</v>
      </c>
      <c r="M118" t="s">
        <v>78</v>
      </c>
      <c r="N118" t="s">
        <v>79</v>
      </c>
      <c r="O118" t="s">
        <v>74</v>
      </c>
      <c r="P118" t="s">
        <v>74</v>
      </c>
      <c r="Q118" t="s">
        <v>74</v>
      </c>
      <c r="R118" t="s">
        <v>74</v>
      </c>
      <c r="S118" t="s">
        <v>74</v>
      </c>
      <c r="T118" s="1" t="s">
        <v>10845</v>
      </c>
      <c r="U118" s="1" t="s">
        <v>10846</v>
      </c>
      <c r="V118" s="1" t="s">
        <v>10847</v>
      </c>
      <c r="W118" t="s">
        <v>10848</v>
      </c>
      <c r="X118" t="s">
        <v>10849</v>
      </c>
      <c r="Y118" t="s">
        <v>10850</v>
      </c>
      <c r="Z118" t="s">
        <v>10851</v>
      </c>
      <c r="AA118" t="s">
        <v>10852</v>
      </c>
      <c r="AB118" t="s">
        <v>10853</v>
      </c>
      <c r="AC118" t="s">
        <v>74</v>
      </c>
      <c r="AD118" t="s">
        <v>74</v>
      </c>
      <c r="AE118" t="s">
        <v>74</v>
      </c>
      <c r="AF118" t="s">
        <v>74</v>
      </c>
      <c r="AG118">
        <v>64</v>
      </c>
      <c r="AH118">
        <v>16</v>
      </c>
      <c r="AI118">
        <v>17</v>
      </c>
      <c r="AJ118">
        <v>3</v>
      </c>
      <c r="AK118">
        <v>32</v>
      </c>
      <c r="AL118" t="s">
        <v>715</v>
      </c>
      <c r="AM118" t="s">
        <v>716</v>
      </c>
      <c r="AN118" t="s">
        <v>717</v>
      </c>
      <c r="AO118" t="s">
        <v>10854</v>
      </c>
      <c r="AP118" t="s">
        <v>10855</v>
      </c>
      <c r="AQ118" t="s">
        <v>74</v>
      </c>
      <c r="AR118" t="s">
        <v>10856</v>
      </c>
      <c r="AS118" t="s">
        <v>10857</v>
      </c>
      <c r="AT118" t="s">
        <v>74</v>
      </c>
      <c r="AU118">
        <v>2017</v>
      </c>
      <c r="AV118">
        <v>119</v>
      </c>
      <c r="AW118">
        <v>11</v>
      </c>
      <c r="AX118" t="s">
        <v>74</v>
      </c>
      <c r="AY118" t="s">
        <v>74</v>
      </c>
      <c r="AZ118" t="s">
        <v>1020</v>
      </c>
      <c r="BA118" t="s">
        <v>74</v>
      </c>
      <c r="BB118">
        <v>2294</v>
      </c>
      <c r="BC118">
        <v>2308</v>
      </c>
      <c r="BD118" t="s">
        <v>74</v>
      </c>
      <c r="BE118" t="s">
        <v>10858</v>
      </c>
      <c r="BF118" t="str">
        <f>HYPERLINK("http://dx.doi.org/10.1108/BFJ-02-2017-0110","http://dx.doi.org/10.1108/BFJ-02-2017-0110")</f>
        <v>http://dx.doi.org/10.1108/BFJ-02-2017-0110</v>
      </c>
      <c r="BG118" t="s">
        <v>74</v>
      </c>
      <c r="BH118" t="s">
        <v>74</v>
      </c>
      <c r="BI118">
        <v>15</v>
      </c>
      <c r="BJ118" t="s">
        <v>10859</v>
      </c>
      <c r="BK118" t="s">
        <v>211</v>
      </c>
      <c r="BL118" t="s">
        <v>10860</v>
      </c>
      <c r="BM118" t="s">
        <v>10861</v>
      </c>
      <c r="BN118" t="s">
        <v>74</v>
      </c>
      <c r="BO118" t="s">
        <v>74</v>
      </c>
      <c r="BP118" t="s">
        <v>74</v>
      </c>
      <c r="BQ118" t="s">
        <v>74</v>
      </c>
      <c r="BR118" t="s">
        <v>106</v>
      </c>
      <c r="BS118" t="s">
        <v>10862</v>
      </c>
      <c r="BT118" t="str">
        <f>HYPERLINK("https%3A%2F%2Fwww.webofscience.com%2Fwos%2Fwoscc%2Ffull-record%2FWOS:000416122000002","View Full Record in Web of Science")</f>
        <v>View Full Record in Web of Science</v>
      </c>
    </row>
    <row r="119" spans="1:72" x14ac:dyDescent="0.25">
      <c r="A119" t="s">
        <v>72</v>
      </c>
      <c r="B119" t="s">
        <v>4763</v>
      </c>
      <c r="C119" t="s">
        <v>74</v>
      </c>
      <c r="D119" t="s">
        <v>74</v>
      </c>
      <c r="E119" t="s">
        <v>74</v>
      </c>
      <c r="F119" t="s">
        <v>4764</v>
      </c>
      <c r="G119" t="s">
        <v>74</v>
      </c>
      <c r="H119" t="s">
        <v>74</v>
      </c>
      <c r="I119" s="1" t="s">
        <v>4765</v>
      </c>
      <c r="J119" t="s">
        <v>4766</v>
      </c>
      <c r="K119" t="s">
        <v>74</v>
      </c>
      <c r="L119" t="s">
        <v>74</v>
      </c>
      <c r="M119" t="s">
        <v>78</v>
      </c>
      <c r="N119" t="s">
        <v>79</v>
      </c>
      <c r="O119" t="s">
        <v>74</v>
      </c>
      <c r="P119" t="s">
        <v>74</v>
      </c>
      <c r="Q119" t="s">
        <v>74</v>
      </c>
      <c r="R119" t="s">
        <v>74</v>
      </c>
      <c r="S119" t="s">
        <v>74</v>
      </c>
      <c r="T119" s="1" t="s">
        <v>4767</v>
      </c>
      <c r="U119" s="1" t="s">
        <v>4768</v>
      </c>
      <c r="V119" s="1" t="s">
        <v>4769</v>
      </c>
      <c r="W119" t="s">
        <v>4770</v>
      </c>
      <c r="X119" t="s">
        <v>4771</v>
      </c>
      <c r="Y119" t="s">
        <v>4772</v>
      </c>
      <c r="Z119" t="s">
        <v>4773</v>
      </c>
      <c r="AA119" t="s">
        <v>74</v>
      </c>
      <c r="AB119" t="s">
        <v>4774</v>
      </c>
      <c r="AC119" t="s">
        <v>74</v>
      </c>
      <c r="AD119" t="s">
        <v>74</v>
      </c>
      <c r="AE119" t="s">
        <v>74</v>
      </c>
      <c r="AF119" t="s">
        <v>74</v>
      </c>
      <c r="AG119">
        <v>79</v>
      </c>
      <c r="AH119">
        <v>15</v>
      </c>
      <c r="AI119">
        <v>15</v>
      </c>
      <c r="AJ119">
        <v>15</v>
      </c>
      <c r="AK119">
        <v>173</v>
      </c>
      <c r="AL119" t="s">
        <v>4775</v>
      </c>
      <c r="AM119" t="s">
        <v>4776</v>
      </c>
      <c r="AN119" t="s">
        <v>4777</v>
      </c>
      <c r="AO119" t="s">
        <v>4778</v>
      </c>
      <c r="AP119" t="s">
        <v>4779</v>
      </c>
      <c r="AQ119" t="s">
        <v>74</v>
      </c>
      <c r="AR119" t="s">
        <v>4780</v>
      </c>
      <c r="AS119" t="s">
        <v>4781</v>
      </c>
      <c r="AT119" t="s">
        <v>1302</v>
      </c>
      <c r="AU119">
        <v>2022</v>
      </c>
      <c r="AV119">
        <v>24</v>
      </c>
      <c r="AW119">
        <v>3</v>
      </c>
      <c r="AX119" t="s">
        <v>74</v>
      </c>
      <c r="AY119" t="s">
        <v>74</v>
      </c>
      <c r="AZ119" t="s">
        <v>74</v>
      </c>
      <c r="BA119" t="s">
        <v>74</v>
      </c>
      <c r="BB119">
        <v>1388</v>
      </c>
      <c r="BC119">
        <v>1405</v>
      </c>
      <c r="BD119" t="s">
        <v>74</v>
      </c>
      <c r="BE119" t="s">
        <v>4782</v>
      </c>
      <c r="BF119" t="str">
        <f>HYPERLINK("http://dx.doi.org/10.1287/msom.2021.1075","http://dx.doi.org/10.1287/msom.2021.1075")</f>
        <v>http://dx.doi.org/10.1287/msom.2021.1075</v>
      </c>
      <c r="BG119" t="s">
        <v>74</v>
      </c>
      <c r="BH119" t="s">
        <v>4783</v>
      </c>
      <c r="BI119">
        <v>18</v>
      </c>
      <c r="BJ119" t="s">
        <v>4784</v>
      </c>
      <c r="BK119" t="s">
        <v>211</v>
      </c>
      <c r="BL119" t="s">
        <v>4785</v>
      </c>
      <c r="BM119" t="s">
        <v>4786</v>
      </c>
      <c r="BN119" t="s">
        <v>74</v>
      </c>
      <c r="BO119" t="s">
        <v>74</v>
      </c>
      <c r="BP119" t="s">
        <v>74</v>
      </c>
      <c r="BQ119" t="s">
        <v>74</v>
      </c>
      <c r="BR119" t="s">
        <v>106</v>
      </c>
      <c r="BS119" t="s">
        <v>4787</v>
      </c>
      <c r="BT119" t="str">
        <f>HYPERLINK("https%3A%2F%2Fwww.webofscience.com%2Fwos%2Fwoscc%2Ffull-record%2FWOS:000748655300001","View Full Record in Web of Science")</f>
        <v>View Full Record in Web of Science</v>
      </c>
    </row>
    <row r="120" spans="1:72" x14ac:dyDescent="0.25">
      <c r="A120" t="s">
        <v>72</v>
      </c>
      <c r="B120" t="s">
        <v>4822</v>
      </c>
      <c r="C120" t="s">
        <v>74</v>
      </c>
      <c r="D120" t="s">
        <v>74</v>
      </c>
      <c r="E120" t="s">
        <v>74</v>
      </c>
      <c r="F120" t="s">
        <v>4823</v>
      </c>
      <c r="G120" t="s">
        <v>74</v>
      </c>
      <c r="H120" t="s">
        <v>74</v>
      </c>
      <c r="I120" s="1" t="s">
        <v>4824</v>
      </c>
      <c r="J120" t="s">
        <v>4825</v>
      </c>
      <c r="K120" t="s">
        <v>74</v>
      </c>
      <c r="L120" t="s">
        <v>74</v>
      </c>
      <c r="M120" t="s">
        <v>78</v>
      </c>
      <c r="N120" t="s">
        <v>79</v>
      </c>
      <c r="O120" t="s">
        <v>74</v>
      </c>
      <c r="P120" t="s">
        <v>74</v>
      </c>
      <c r="Q120" t="s">
        <v>74</v>
      </c>
      <c r="R120" t="s">
        <v>74</v>
      </c>
      <c r="S120" t="s">
        <v>74</v>
      </c>
      <c r="T120" s="1" t="s">
        <v>4826</v>
      </c>
      <c r="U120" s="1" t="s">
        <v>4827</v>
      </c>
      <c r="V120" s="1" t="s">
        <v>4828</v>
      </c>
      <c r="W120" t="s">
        <v>4829</v>
      </c>
      <c r="X120" t="s">
        <v>4830</v>
      </c>
      <c r="Y120" t="s">
        <v>4831</v>
      </c>
      <c r="Z120" t="s">
        <v>4832</v>
      </c>
      <c r="AA120" t="s">
        <v>4833</v>
      </c>
      <c r="AB120" t="s">
        <v>4834</v>
      </c>
      <c r="AC120" t="s">
        <v>4835</v>
      </c>
      <c r="AD120" t="s">
        <v>4835</v>
      </c>
      <c r="AE120" t="s">
        <v>4836</v>
      </c>
      <c r="AF120" t="s">
        <v>74</v>
      </c>
      <c r="AG120">
        <v>88</v>
      </c>
      <c r="AH120">
        <v>15</v>
      </c>
      <c r="AI120">
        <v>15</v>
      </c>
      <c r="AJ120">
        <v>53</v>
      </c>
      <c r="AK120">
        <v>204</v>
      </c>
      <c r="AL120" t="s">
        <v>2153</v>
      </c>
      <c r="AM120" t="s">
        <v>2154</v>
      </c>
      <c r="AN120" t="s">
        <v>2155</v>
      </c>
      <c r="AO120" t="s">
        <v>4837</v>
      </c>
      <c r="AP120" t="s">
        <v>4838</v>
      </c>
      <c r="AQ120" t="s">
        <v>74</v>
      </c>
      <c r="AR120" t="s">
        <v>4839</v>
      </c>
      <c r="AS120" t="s">
        <v>4840</v>
      </c>
      <c r="AT120" t="s">
        <v>837</v>
      </c>
      <c r="AU120">
        <v>2023</v>
      </c>
      <c r="AV120">
        <v>70</v>
      </c>
      <c r="AW120">
        <v>7</v>
      </c>
      <c r="AX120" t="s">
        <v>74</v>
      </c>
      <c r="AY120" t="s">
        <v>74</v>
      </c>
      <c r="AZ120" t="s">
        <v>74</v>
      </c>
      <c r="BA120" t="s">
        <v>74</v>
      </c>
      <c r="BB120">
        <v>2493</v>
      </c>
      <c r="BC120">
        <v>2506</v>
      </c>
      <c r="BD120" t="s">
        <v>74</v>
      </c>
      <c r="BE120" t="s">
        <v>4841</v>
      </c>
      <c r="BF120" t="str">
        <f>HYPERLINK("http://dx.doi.org/10.1109/TEM.2021.3131605","http://dx.doi.org/10.1109/TEM.2021.3131605")</f>
        <v>http://dx.doi.org/10.1109/TEM.2021.3131605</v>
      </c>
      <c r="BG120" t="s">
        <v>74</v>
      </c>
      <c r="BH120" t="s">
        <v>4783</v>
      </c>
      <c r="BI120">
        <v>14</v>
      </c>
      <c r="BJ120" t="s">
        <v>4842</v>
      </c>
      <c r="BK120" t="s">
        <v>211</v>
      </c>
      <c r="BL120" t="s">
        <v>4843</v>
      </c>
      <c r="BM120" t="s">
        <v>4844</v>
      </c>
      <c r="BN120" t="s">
        <v>74</v>
      </c>
      <c r="BO120" t="s">
        <v>2623</v>
      </c>
      <c r="BP120" t="s">
        <v>74</v>
      </c>
      <c r="BQ120" t="s">
        <v>74</v>
      </c>
      <c r="BR120" t="s">
        <v>106</v>
      </c>
      <c r="BS120" t="s">
        <v>4845</v>
      </c>
      <c r="BT120" t="str">
        <f>HYPERLINK("https%3A%2F%2Fwww.webofscience.com%2Fwos%2Fwoscc%2Ffull-record%2FWOS:000750226100001","View Full Record in Web of Science")</f>
        <v>View Full Record in Web of Science</v>
      </c>
    </row>
    <row r="121" spans="1:72" x14ac:dyDescent="0.25">
      <c r="A121" t="s">
        <v>72</v>
      </c>
      <c r="B121" t="s">
        <v>5912</v>
      </c>
      <c r="C121" t="s">
        <v>74</v>
      </c>
      <c r="D121" t="s">
        <v>74</v>
      </c>
      <c r="E121" t="s">
        <v>74</v>
      </c>
      <c r="F121" t="s">
        <v>5913</v>
      </c>
      <c r="G121" t="s">
        <v>74</v>
      </c>
      <c r="H121" t="s">
        <v>74</v>
      </c>
      <c r="I121" s="1" t="s">
        <v>5914</v>
      </c>
      <c r="J121" t="s">
        <v>4022</v>
      </c>
      <c r="K121" t="s">
        <v>74</v>
      </c>
      <c r="L121" t="s">
        <v>74</v>
      </c>
      <c r="M121" t="s">
        <v>78</v>
      </c>
      <c r="N121" t="s">
        <v>79</v>
      </c>
      <c r="O121" t="s">
        <v>74</v>
      </c>
      <c r="P121" t="s">
        <v>74</v>
      </c>
      <c r="Q121" t="s">
        <v>74</v>
      </c>
      <c r="R121" t="s">
        <v>74</v>
      </c>
      <c r="S121" t="s">
        <v>74</v>
      </c>
      <c r="T121" s="1" t="s">
        <v>5915</v>
      </c>
      <c r="U121" s="1" t="s">
        <v>5916</v>
      </c>
      <c r="V121" s="1" t="s">
        <v>5917</v>
      </c>
      <c r="W121" t="s">
        <v>5918</v>
      </c>
      <c r="X121" t="s">
        <v>5919</v>
      </c>
      <c r="Y121" t="s">
        <v>5920</v>
      </c>
      <c r="Z121" t="s">
        <v>5921</v>
      </c>
      <c r="AA121" t="s">
        <v>5922</v>
      </c>
      <c r="AB121" t="s">
        <v>5923</v>
      </c>
      <c r="AC121" t="s">
        <v>5924</v>
      </c>
      <c r="AD121" t="s">
        <v>5925</v>
      </c>
      <c r="AE121" t="s">
        <v>5926</v>
      </c>
      <c r="AF121" t="s">
        <v>74</v>
      </c>
      <c r="AG121">
        <v>146</v>
      </c>
      <c r="AH121">
        <v>15</v>
      </c>
      <c r="AI121">
        <v>15</v>
      </c>
      <c r="AJ121">
        <v>21</v>
      </c>
      <c r="AK121">
        <v>120</v>
      </c>
      <c r="AL121" t="s">
        <v>3188</v>
      </c>
      <c r="AM121" t="s">
        <v>3189</v>
      </c>
      <c r="AN121" t="s">
        <v>3190</v>
      </c>
      <c r="AO121" t="s">
        <v>4031</v>
      </c>
      <c r="AP121" t="s">
        <v>4032</v>
      </c>
      <c r="AQ121" t="s">
        <v>74</v>
      </c>
      <c r="AR121" t="s">
        <v>4033</v>
      </c>
      <c r="AS121" t="s">
        <v>4034</v>
      </c>
      <c r="AT121" t="s">
        <v>4210</v>
      </c>
      <c r="AU121">
        <v>2023</v>
      </c>
      <c r="AV121">
        <v>61</v>
      </c>
      <c r="AW121">
        <v>3</v>
      </c>
      <c r="AX121" t="s">
        <v>74</v>
      </c>
      <c r="AY121" t="s">
        <v>74</v>
      </c>
      <c r="AZ121" t="s">
        <v>1020</v>
      </c>
      <c r="BA121" t="s">
        <v>74</v>
      </c>
      <c r="BB121">
        <v>1278</v>
      </c>
      <c r="BC121">
        <v>1313</v>
      </c>
      <c r="BD121" t="s">
        <v>74</v>
      </c>
      <c r="BE121" t="s">
        <v>5927</v>
      </c>
      <c r="BF121" t="str">
        <f>HYPERLINK("http://dx.doi.org/10.1080/00472778.2021.1955127","http://dx.doi.org/10.1080/00472778.2021.1955127")</f>
        <v>http://dx.doi.org/10.1080/00472778.2021.1955127</v>
      </c>
      <c r="BG121" t="s">
        <v>74</v>
      </c>
      <c r="BH121" t="s">
        <v>5928</v>
      </c>
      <c r="BI121">
        <v>36</v>
      </c>
      <c r="BJ121" t="s">
        <v>315</v>
      </c>
      <c r="BK121" t="s">
        <v>156</v>
      </c>
      <c r="BL121" t="s">
        <v>265</v>
      </c>
      <c r="BM121" t="s">
        <v>5929</v>
      </c>
      <c r="BN121" t="s">
        <v>74</v>
      </c>
      <c r="BO121" t="s">
        <v>74</v>
      </c>
      <c r="BP121" t="s">
        <v>74</v>
      </c>
      <c r="BQ121" t="s">
        <v>74</v>
      </c>
      <c r="BR121" t="s">
        <v>106</v>
      </c>
      <c r="BS121" t="s">
        <v>5930</v>
      </c>
      <c r="BT121" t="str">
        <f>HYPERLINK("https%3A%2F%2Fwww.webofscience.com%2Fwos%2Fwoscc%2Ffull-record%2FWOS:000686398500001","View Full Record in Web of Science")</f>
        <v>View Full Record in Web of Science</v>
      </c>
    </row>
    <row r="122" spans="1:72" x14ac:dyDescent="0.25">
      <c r="A122" t="s">
        <v>72</v>
      </c>
      <c r="B122" t="s">
        <v>5991</v>
      </c>
      <c r="C122" t="s">
        <v>74</v>
      </c>
      <c r="D122" t="s">
        <v>74</v>
      </c>
      <c r="E122" t="s">
        <v>74</v>
      </c>
      <c r="F122" t="s">
        <v>5992</v>
      </c>
      <c r="G122" t="s">
        <v>74</v>
      </c>
      <c r="H122" t="s">
        <v>74</v>
      </c>
      <c r="I122" s="1" t="s">
        <v>5993</v>
      </c>
      <c r="J122" t="s">
        <v>5994</v>
      </c>
      <c r="K122" t="s">
        <v>74</v>
      </c>
      <c r="L122" t="s">
        <v>74</v>
      </c>
      <c r="M122" t="s">
        <v>78</v>
      </c>
      <c r="N122" t="s">
        <v>79</v>
      </c>
      <c r="O122" t="s">
        <v>74</v>
      </c>
      <c r="P122" t="s">
        <v>74</v>
      </c>
      <c r="Q122" t="s">
        <v>74</v>
      </c>
      <c r="R122" t="s">
        <v>74</v>
      </c>
      <c r="S122" t="s">
        <v>74</v>
      </c>
      <c r="T122" s="1" t="s">
        <v>5995</v>
      </c>
      <c r="U122" s="1" t="s">
        <v>5996</v>
      </c>
      <c r="V122" s="1" t="s">
        <v>5997</v>
      </c>
      <c r="W122" t="s">
        <v>5998</v>
      </c>
      <c r="X122" t="s">
        <v>5999</v>
      </c>
      <c r="Y122" t="s">
        <v>6000</v>
      </c>
      <c r="Z122" t="s">
        <v>6001</v>
      </c>
      <c r="AA122" t="s">
        <v>6002</v>
      </c>
      <c r="AB122" t="s">
        <v>6003</v>
      </c>
      <c r="AC122" t="s">
        <v>6004</v>
      </c>
      <c r="AD122" t="s">
        <v>6005</v>
      </c>
      <c r="AE122" t="s">
        <v>6006</v>
      </c>
      <c r="AF122" t="s">
        <v>74</v>
      </c>
      <c r="AG122">
        <v>101</v>
      </c>
      <c r="AH122">
        <v>15</v>
      </c>
      <c r="AI122">
        <v>15</v>
      </c>
      <c r="AJ122">
        <v>52</v>
      </c>
      <c r="AK122">
        <v>262</v>
      </c>
      <c r="AL122" t="s">
        <v>231</v>
      </c>
      <c r="AM122" t="s">
        <v>232</v>
      </c>
      <c r="AN122" t="s">
        <v>233</v>
      </c>
      <c r="AO122" t="s">
        <v>6007</v>
      </c>
      <c r="AP122" t="s">
        <v>6008</v>
      </c>
      <c r="AQ122" t="s">
        <v>74</v>
      </c>
      <c r="AR122" t="s">
        <v>6009</v>
      </c>
      <c r="AS122" t="s">
        <v>6010</v>
      </c>
      <c r="AT122" t="s">
        <v>356</v>
      </c>
      <c r="AU122">
        <v>2021</v>
      </c>
      <c r="AV122">
        <v>30</v>
      </c>
      <c r="AW122">
        <v>3</v>
      </c>
      <c r="AX122" t="s">
        <v>74</v>
      </c>
      <c r="AY122" t="s">
        <v>74</v>
      </c>
      <c r="AZ122" t="s">
        <v>74</v>
      </c>
      <c r="BA122" t="s">
        <v>74</v>
      </c>
      <c r="BB122" t="s">
        <v>74</v>
      </c>
      <c r="BC122" t="s">
        <v>74</v>
      </c>
      <c r="BD122">
        <v>101682</v>
      </c>
      <c r="BE122" t="s">
        <v>6011</v>
      </c>
      <c r="BF122" t="str">
        <f>HYPERLINK("http://dx.doi.org/10.1016/j.jsis.2021.101682","http://dx.doi.org/10.1016/j.jsis.2021.101682")</f>
        <v>http://dx.doi.org/10.1016/j.jsis.2021.101682</v>
      </c>
      <c r="BG122" t="s">
        <v>74</v>
      </c>
      <c r="BH122" t="s">
        <v>6012</v>
      </c>
      <c r="BI122">
        <v>17</v>
      </c>
      <c r="BJ122" t="s">
        <v>2581</v>
      </c>
      <c r="BK122" t="s">
        <v>211</v>
      </c>
      <c r="BL122" t="s">
        <v>767</v>
      </c>
      <c r="BM122" t="s">
        <v>6013</v>
      </c>
      <c r="BN122" t="s">
        <v>74</v>
      </c>
      <c r="BO122" t="s">
        <v>6014</v>
      </c>
      <c r="BP122" t="s">
        <v>74</v>
      </c>
      <c r="BQ122" t="s">
        <v>74</v>
      </c>
      <c r="BR122" t="s">
        <v>106</v>
      </c>
      <c r="BS122" t="s">
        <v>6015</v>
      </c>
      <c r="BT122" t="str">
        <f>HYPERLINK("https%3A%2F%2Fwww.webofscience.com%2Fwos%2Fwoscc%2Ffull-record%2FWOS:000696790200004","View Full Record in Web of Science")</f>
        <v>View Full Record in Web of Science</v>
      </c>
    </row>
    <row r="123" spans="1:72" x14ac:dyDescent="0.25">
      <c r="A123" t="s">
        <v>72</v>
      </c>
      <c r="B123" t="s">
        <v>4523</v>
      </c>
      <c r="C123" t="s">
        <v>74</v>
      </c>
      <c r="D123" t="s">
        <v>74</v>
      </c>
      <c r="E123" t="s">
        <v>74</v>
      </c>
      <c r="F123" t="s">
        <v>6258</v>
      </c>
      <c r="G123" t="s">
        <v>74</v>
      </c>
      <c r="H123" t="s">
        <v>74</v>
      </c>
      <c r="I123" s="1" t="s">
        <v>6259</v>
      </c>
      <c r="J123" t="s">
        <v>2607</v>
      </c>
      <c r="K123" t="s">
        <v>74</v>
      </c>
      <c r="L123" t="s">
        <v>74</v>
      </c>
      <c r="M123" t="s">
        <v>78</v>
      </c>
      <c r="N123" t="s">
        <v>79</v>
      </c>
      <c r="O123" t="s">
        <v>74</v>
      </c>
      <c r="P123" t="s">
        <v>74</v>
      </c>
      <c r="Q123" t="s">
        <v>74</v>
      </c>
      <c r="R123" t="s">
        <v>74</v>
      </c>
      <c r="S123" t="s">
        <v>74</v>
      </c>
      <c r="T123" s="1" t="s">
        <v>6260</v>
      </c>
      <c r="U123" s="1" t="s">
        <v>6261</v>
      </c>
      <c r="V123" s="1" t="s">
        <v>6262</v>
      </c>
      <c r="W123" t="s">
        <v>6263</v>
      </c>
      <c r="X123" t="s">
        <v>6264</v>
      </c>
      <c r="Y123" t="s">
        <v>6265</v>
      </c>
      <c r="Z123" t="s">
        <v>4532</v>
      </c>
      <c r="AA123" t="s">
        <v>6266</v>
      </c>
      <c r="AB123" t="s">
        <v>6267</v>
      </c>
      <c r="AC123" t="s">
        <v>74</v>
      </c>
      <c r="AD123" t="s">
        <v>74</v>
      </c>
      <c r="AE123" t="s">
        <v>74</v>
      </c>
      <c r="AF123" t="s">
        <v>74</v>
      </c>
      <c r="AG123">
        <v>35</v>
      </c>
      <c r="AH123">
        <v>15</v>
      </c>
      <c r="AI123">
        <v>16</v>
      </c>
      <c r="AJ123">
        <v>2</v>
      </c>
      <c r="AK123">
        <v>14</v>
      </c>
      <c r="AL123" t="s">
        <v>231</v>
      </c>
      <c r="AM123" t="s">
        <v>232</v>
      </c>
      <c r="AN123" t="s">
        <v>233</v>
      </c>
      <c r="AO123" t="s">
        <v>2615</v>
      </c>
      <c r="AP123" t="s">
        <v>2616</v>
      </c>
      <c r="AQ123" t="s">
        <v>74</v>
      </c>
      <c r="AR123" t="s">
        <v>2617</v>
      </c>
      <c r="AS123" t="s">
        <v>2618</v>
      </c>
      <c r="AT123" t="s">
        <v>1138</v>
      </c>
      <c r="AU123">
        <v>2021</v>
      </c>
      <c r="AV123">
        <v>10</v>
      </c>
      <c r="AW123">
        <v>2</v>
      </c>
      <c r="AX123" t="s">
        <v>74</v>
      </c>
      <c r="AY123" t="s">
        <v>74</v>
      </c>
      <c r="AZ123" t="s">
        <v>1020</v>
      </c>
      <c r="BA123" t="s">
        <v>74</v>
      </c>
      <c r="BB123">
        <v>97</v>
      </c>
      <c r="BC123">
        <v>109</v>
      </c>
      <c r="BD123" t="s">
        <v>74</v>
      </c>
      <c r="BE123" t="s">
        <v>6268</v>
      </c>
      <c r="BF123" t="str">
        <f>HYPERLINK("http://dx.doi.org/10.1016/j.jum.2021.04.002","http://dx.doi.org/10.1016/j.jum.2021.04.002")</f>
        <v>http://dx.doi.org/10.1016/j.jum.2021.04.002</v>
      </c>
      <c r="BG123" t="s">
        <v>74</v>
      </c>
      <c r="BH123" t="s">
        <v>6177</v>
      </c>
      <c r="BI123">
        <v>13</v>
      </c>
      <c r="BJ123" t="s">
        <v>2621</v>
      </c>
      <c r="BK123" t="s">
        <v>183</v>
      </c>
      <c r="BL123" t="s">
        <v>2621</v>
      </c>
      <c r="BM123" t="s">
        <v>6269</v>
      </c>
      <c r="BN123" t="s">
        <v>74</v>
      </c>
      <c r="BO123" t="s">
        <v>422</v>
      </c>
      <c r="BP123" t="s">
        <v>74</v>
      </c>
      <c r="BQ123" t="s">
        <v>74</v>
      </c>
      <c r="BR123" t="s">
        <v>106</v>
      </c>
      <c r="BS123" t="s">
        <v>6270</v>
      </c>
      <c r="BT123" t="str">
        <f>HYPERLINK("https%3A%2F%2Fwww.webofscience.com%2Fwos%2Fwoscc%2Ffull-record%2FWOS:000660009100002","View Full Record in Web of Science")</f>
        <v>View Full Record in Web of Science</v>
      </c>
    </row>
    <row r="124" spans="1:72" x14ac:dyDescent="0.25">
      <c r="A124" t="s">
        <v>72</v>
      </c>
      <c r="B124" t="s">
        <v>6642</v>
      </c>
      <c r="C124" t="s">
        <v>74</v>
      </c>
      <c r="D124" t="s">
        <v>74</v>
      </c>
      <c r="E124" t="s">
        <v>74</v>
      </c>
      <c r="F124" t="s">
        <v>6643</v>
      </c>
      <c r="G124" t="s">
        <v>74</v>
      </c>
      <c r="H124" t="s">
        <v>74</v>
      </c>
      <c r="I124" s="1" t="s">
        <v>6644</v>
      </c>
      <c r="J124" t="s">
        <v>6645</v>
      </c>
      <c r="K124" t="s">
        <v>74</v>
      </c>
      <c r="L124" t="s">
        <v>74</v>
      </c>
      <c r="M124" t="s">
        <v>78</v>
      </c>
      <c r="N124" t="s">
        <v>6646</v>
      </c>
      <c r="O124" t="s">
        <v>74</v>
      </c>
      <c r="P124" t="s">
        <v>74</v>
      </c>
      <c r="Q124" t="s">
        <v>74</v>
      </c>
      <c r="R124" t="s">
        <v>74</v>
      </c>
      <c r="S124" t="s">
        <v>74</v>
      </c>
      <c r="T124" s="1" t="s">
        <v>6647</v>
      </c>
      <c r="U124" s="1" t="s">
        <v>74</v>
      </c>
      <c r="V124" s="1" t="s">
        <v>6648</v>
      </c>
      <c r="W124" t="s">
        <v>6649</v>
      </c>
      <c r="X124" t="s">
        <v>6650</v>
      </c>
      <c r="Y124" t="s">
        <v>6651</v>
      </c>
      <c r="Z124" t="s">
        <v>6652</v>
      </c>
      <c r="AA124" t="s">
        <v>6653</v>
      </c>
      <c r="AB124" t="s">
        <v>6654</v>
      </c>
      <c r="AC124" t="s">
        <v>74</v>
      </c>
      <c r="AD124" t="s">
        <v>74</v>
      </c>
      <c r="AE124" t="s">
        <v>74</v>
      </c>
      <c r="AF124" t="s">
        <v>74</v>
      </c>
      <c r="AG124">
        <v>28</v>
      </c>
      <c r="AH124">
        <v>15</v>
      </c>
      <c r="AI124">
        <v>16</v>
      </c>
      <c r="AJ124">
        <v>10</v>
      </c>
      <c r="AK124">
        <v>128</v>
      </c>
      <c r="AL124" t="s">
        <v>121</v>
      </c>
      <c r="AM124" t="s">
        <v>122</v>
      </c>
      <c r="AN124" t="s">
        <v>123</v>
      </c>
      <c r="AO124" t="s">
        <v>6655</v>
      </c>
      <c r="AP124" t="s">
        <v>6656</v>
      </c>
      <c r="AQ124" t="s">
        <v>74</v>
      </c>
      <c r="AR124" t="s">
        <v>6657</v>
      </c>
      <c r="AS124" t="s">
        <v>6658</v>
      </c>
      <c r="AT124" t="s">
        <v>837</v>
      </c>
      <c r="AU124">
        <v>2021</v>
      </c>
      <c r="AV124">
        <v>26</v>
      </c>
      <c r="AW124">
        <v>4</v>
      </c>
      <c r="AX124" t="s">
        <v>74</v>
      </c>
      <c r="AY124" t="s">
        <v>74</v>
      </c>
      <c r="AZ124" t="s">
        <v>74</v>
      </c>
      <c r="BA124" t="s">
        <v>74</v>
      </c>
      <c r="BB124">
        <v>4537</v>
      </c>
      <c r="BC124">
        <v>4551</v>
      </c>
      <c r="BD124" t="s">
        <v>74</v>
      </c>
      <c r="BE124" t="s">
        <v>6659</v>
      </c>
      <c r="BF124" t="str">
        <f>HYPERLINK("http://dx.doi.org/10.1007/s10639-021-10467-6","http://dx.doi.org/10.1007/s10639-021-10467-6")</f>
        <v>http://dx.doi.org/10.1007/s10639-021-10467-6</v>
      </c>
      <c r="BG124" t="s">
        <v>74</v>
      </c>
      <c r="BH124" t="s">
        <v>6639</v>
      </c>
      <c r="BI124">
        <v>15</v>
      </c>
      <c r="BJ124" t="s">
        <v>1326</v>
      </c>
      <c r="BK124" t="s">
        <v>156</v>
      </c>
      <c r="BL124" t="s">
        <v>1326</v>
      </c>
      <c r="BM124" t="s">
        <v>6660</v>
      </c>
      <c r="BN124" t="s">
        <v>74</v>
      </c>
      <c r="BO124" t="s">
        <v>4521</v>
      </c>
      <c r="BP124" t="s">
        <v>74</v>
      </c>
      <c r="BQ124" t="s">
        <v>74</v>
      </c>
      <c r="BR124" t="s">
        <v>106</v>
      </c>
      <c r="BS124" t="s">
        <v>6661</v>
      </c>
      <c r="BT124" t="str">
        <f>HYPERLINK("https%3A%2F%2Fwww.webofscience.com%2Fwos%2Fwoscc%2Ffull-record%2FWOS:000626820200001","View Full Record in Web of Science")</f>
        <v>View Full Record in Web of Science</v>
      </c>
    </row>
    <row r="125" spans="1:72" x14ac:dyDescent="0.25">
      <c r="A125" t="s">
        <v>72</v>
      </c>
      <c r="B125" t="s">
        <v>11898</v>
      </c>
      <c r="C125" t="s">
        <v>74</v>
      </c>
      <c r="D125" t="s">
        <v>74</v>
      </c>
      <c r="E125" t="s">
        <v>74</v>
      </c>
      <c r="F125" t="s">
        <v>11899</v>
      </c>
      <c r="G125" t="s">
        <v>74</v>
      </c>
      <c r="H125" t="s">
        <v>74</v>
      </c>
      <c r="I125" s="1" t="s">
        <v>11900</v>
      </c>
      <c r="J125" t="s">
        <v>11901</v>
      </c>
      <c r="K125" t="s">
        <v>74</v>
      </c>
      <c r="L125" t="s">
        <v>74</v>
      </c>
      <c r="M125" t="s">
        <v>929</v>
      </c>
      <c r="N125" t="s">
        <v>79</v>
      </c>
      <c r="O125" t="s">
        <v>74</v>
      </c>
      <c r="P125" t="s">
        <v>74</v>
      </c>
      <c r="Q125" t="s">
        <v>74</v>
      </c>
      <c r="R125" t="s">
        <v>74</v>
      </c>
      <c r="S125" t="s">
        <v>74</v>
      </c>
      <c r="T125" s="1" t="s">
        <v>11902</v>
      </c>
      <c r="U125" s="1" t="s">
        <v>74</v>
      </c>
      <c r="V125" s="1" t="s">
        <v>11903</v>
      </c>
      <c r="W125" t="s">
        <v>11904</v>
      </c>
      <c r="X125" t="s">
        <v>11905</v>
      </c>
      <c r="Y125" t="s">
        <v>11906</v>
      </c>
      <c r="Z125" t="s">
        <v>11907</v>
      </c>
      <c r="AA125" t="s">
        <v>11908</v>
      </c>
      <c r="AB125" t="s">
        <v>11909</v>
      </c>
      <c r="AC125" t="s">
        <v>74</v>
      </c>
      <c r="AD125" t="s">
        <v>74</v>
      </c>
      <c r="AE125" t="s">
        <v>74</v>
      </c>
      <c r="AF125" t="s">
        <v>74</v>
      </c>
      <c r="AG125">
        <v>30</v>
      </c>
      <c r="AH125">
        <v>15</v>
      </c>
      <c r="AI125">
        <v>17</v>
      </c>
      <c r="AJ125">
        <v>3</v>
      </c>
      <c r="AK125">
        <v>18</v>
      </c>
      <c r="AL125" t="s">
        <v>11910</v>
      </c>
      <c r="AM125" t="s">
        <v>7006</v>
      </c>
      <c r="AN125" t="s">
        <v>11911</v>
      </c>
      <c r="AO125" t="s">
        <v>11912</v>
      </c>
      <c r="AP125" t="s">
        <v>11913</v>
      </c>
      <c r="AQ125" t="s">
        <v>74</v>
      </c>
      <c r="AR125" t="s">
        <v>11901</v>
      </c>
      <c r="AS125" t="s">
        <v>11914</v>
      </c>
      <c r="AT125" t="s">
        <v>2390</v>
      </c>
      <c r="AU125">
        <v>2014</v>
      </c>
      <c r="AV125">
        <v>21</v>
      </c>
      <c r="AW125">
        <v>42</v>
      </c>
      <c r="AX125" t="s">
        <v>74</v>
      </c>
      <c r="AY125" t="s">
        <v>74</v>
      </c>
      <c r="AZ125" t="s">
        <v>74</v>
      </c>
      <c r="BA125" t="s">
        <v>74</v>
      </c>
      <c r="BB125">
        <v>199</v>
      </c>
      <c r="BC125">
        <v>207</v>
      </c>
      <c r="BD125" t="s">
        <v>74</v>
      </c>
      <c r="BE125" t="s">
        <v>11915</v>
      </c>
      <c r="BF125" t="str">
        <f>HYPERLINK("http://dx.doi.org/10.3916/C42-2014-20","http://dx.doi.org/10.3916/C42-2014-20")</f>
        <v>http://dx.doi.org/10.3916/C42-2014-20</v>
      </c>
      <c r="BG125" t="s">
        <v>74</v>
      </c>
      <c r="BH125" t="s">
        <v>74</v>
      </c>
      <c r="BI125">
        <v>9</v>
      </c>
      <c r="BJ125" t="s">
        <v>11916</v>
      </c>
      <c r="BK125" t="s">
        <v>156</v>
      </c>
      <c r="BL125" t="s">
        <v>11916</v>
      </c>
      <c r="BM125" t="s">
        <v>11917</v>
      </c>
      <c r="BN125" t="s">
        <v>74</v>
      </c>
      <c r="BO125" t="s">
        <v>11918</v>
      </c>
      <c r="BP125" t="s">
        <v>74</v>
      </c>
      <c r="BQ125" t="s">
        <v>74</v>
      </c>
      <c r="BR125" t="s">
        <v>106</v>
      </c>
      <c r="BS125" t="s">
        <v>11919</v>
      </c>
      <c r="BT125" t="str">
        <f>HYPERLINK("https%3A%2F%2Fwww.webofscience.com%2Fwos%2Fwoscc%2Ffull-record%2FWOS:000329135100022","View Full Record in Web of Science")</f>
        <v>View Full Record in Web of Science</v>
      </c>
    </row>
    <row r="126" spans="1:72" x14ac:dyDescent="0.25">
      <c r="A126" t="s">
        <v>72</v>
      </c>
      <c r="B126" t="s">
        <v>12064</v>
      </c>
      <c r="C126" t="s">
        <v>74</v>
      </c>
      <c r="D126" t="s">
        <v>74</v>
      </c>
      <c r="E126" t="s">
        <v>74</v>
      </c>
      <c r="F126" t="s">
        <v>12065</v>
      </c>
      <c r="G126" t="s">
        <v>74</v>
      </c>
      <c r="H126" t="s">
        <v>74</v>
      </c>
      <c r="I126" s="1" t="s">
        <v>12066</v>
      </c>
      <c r="J126" t="s">
        <v>12067</v>
      </c>
      <c r="K126" t="s">
        <v>74</v>
      </c>
      <c r="L126" t="s">
        <v>74</v>
      </c>
      <c r="M126" t="s">
        <v>78</v>
      </c>
      <c r="N126" t="s">
        <v>79</v>
      </c>
      <c r="O126" t="s">
        <v>74</v>
      </c>
      <c r="P126" t="s">
        <v>74</v>
      </c>
      <c r="Q126" t="s">
        <v>74</v>
      </c>
      <c r="R126" t="s">
        <v>74</v>
      </c>
      <c r="S126" t="s">
        <v>74</v>
      </c>
      <c r="T126" s="1" t="s">
        <v>12068</v>
      </c>
      <c r="U126" s="1" t="s">
        <v>12069</v>
      </c>
      <c r="V126" s="1" t="s">
        <v>12070</v>
      </c>
      <c r="W126" t="s">
        <v>12071</v>
      </c>
      <c r="X126" t="s">
        <v>12072</v>
      </c>
      <c r="Y126" t="s">
        <v>12073</v>
      </c>
      <c r="Z126" t="s">
        <v>12074</v>
      </c>
      <c r="AA126" t="s">
        <v>12075</v>
      </c>
      <c r="AB126" t="s">
        <v>12076</v>
      </c>
      <c r="AC126" t="s">
        <v>74</v>
      </c>
      <c r="AD126" t="s">
        <v>74</v>
      </c>
      <c r="AE126" t="s">
        <v>74</v>
      </c>
      <c r="AF126" t="s">
        <v>74</v>
      </c>
      <c r="AG126">
        <v>11</v>
      </c>
      <c r="AH126">
        <v>15</v>
      </c>
      <c r="AI126">
        <v>15</v>
      </c>
      <c r="AJ126">
        <v>0</v>
      </c>
      <c r="AK126">
        <v>2</v>
      </c>
      <c r="AL126" t="s">
        <v>9779</v>
      </c>
      <c r="AM126" t="s">
        <v>232</v>
      </c>
      <c r="AN126" t="s">
        <v>9780</v>
      </c>
      <c r="AO126" t="s">
        <v>12077</v>
      </c>
      <c r="AP126" t="s">
        <v>74</v>
      </c>
      <c r="AQ126" t="s">
        <v>74</v>
      </c>
      <c r="AR126" t="s">
        <v>12078</v>
      </c>
      <c r="AS126" t="s">
        <v>12079</v>
      </c>
      <c r="AT126" t="s">
        <v>626</v>
      </c>
      <c r="AU126">
        <v>2013</v>
      </c>
      <c r="AV126">
        <v>115</v>
      </c>
      <c r="AW126">
        <v>8</v>
      </c>
      <c r="AX126" t="s">
        <v>74</v>
      </c>
      <c r="AY126" t="s">
        <v>74</v>
      </c>
      <c r="AZ126" t="s">
        <v>74</v>
      </c>
      <c r="BA126" t="s">
        <v>74</v>
      </c>
      <c r="BB126">
        <v>1313</v>
      </c>
      <c r="BC126">
        <v>1316</v>
      </c>
      <c r="BD126" t="s">
        <v>74</v>
      </c>
      <c r="BE126" t="s">
        <v>12080</v>
      </c>
      <c r="BF126" t="str">
        <f>HYPERLINK("http://dx.doi.org/10.1016/j.clineuro.2012.12.015","http://dx.doi.org/10.1016/j.clineuro.2012.12.015")</f>
        <v>http://dx.doi.org/10.1016/j.clineuro.2012.12.015</v>
      </c>
      <c r="BG126" t="s">
        <v>74</v>
      </c>
      <c r="BH126" t="s">
        <v>74</v>
      </c>
      <c r="BI126">
        <v>4</v>
      </c>
      <c r="BJ126" t="s">
        <v>12081</v>
      </c>
      <c r="BK126" t="s">
        <v>102</v>
      </c>
      <c r="BL126" t="s">
        <v>12082</v>
      </c>
      <c r="BM126" t="s">
        <v>12083</v>
      </c>
      <c r="BN126">
        <v>23298975</v>
      </c>
      <c r="BO126" t="s">
        <v>74</v>
      </c>
      <c r="BP126" t="s">
        <v>74</v>
      </c>
      <c r="BQ126" t="s">
        <v>74</v>
      </c>
      <c r="BR126" t="s">
        <v>106</v>
      </c>
      <c r="BS126" t="s">
        <v>12084</v>
      </c>
      <c r="BT126" t="str">
        <f>HYPERLINK("https%3A%2F%2Fwww.webofscience.com%2Fwos%2Fwoscc%2Ffull-record%2FWOS:000322929300021","View Full Record in Web of Science")</f>
        <v>View Full Record in Web of Science</v>
      </c>
    </row>
    <row r="127" spans="1:72" x14ac:dyDescent="0.25">
      <c r="A127" t="s">
        <v>72</v>
      </c>
      <c r="B127" t="s">
        <v>12818</v>
      </c>
      <c r="C127" t="s">
        <v>74</v>
      </c>
      <c r="D127" t="s">
        <v>74</v>
      </c>
      <c r="E127" t="s">
        <v>74</v>
      </c>
      <c r="F127" t="s">
        <v>12819</v>
      </c>
      <c r="G127" t="s">
        <v>74</v>
      </c>
      <c r="H127" t="s">
        <v>74</v>
      </c>
      <c r="I127" s="1" t="s">
        <v>12820</v>
      </c>
      <c r="J127" t="s">
        <v>12534</v>
      </c>
      <c r="K127" t="s">
        <v>74</v>
      </c>
      <c r="L127" t="s">
        <v>74</v>
      </c>
      <c r="M127" t="s">
        <v>78</v>
      </c>
      <c r="N127" t="s">
        <v>79</v>
      </c>
      <c r="O127" t="s">
        <v>74</v>
      </c>
      <c r="P127" t="s">
        <v>74</v>
      </c>
      <c r="Q127" t="s">
        <v>74</v>
      </c>
      <c r="R127" t="s">
        <v>74</v>
      </c>
      <c r="S127" t="s">
        <v>74</v>
      </c>
      <c r="T127" s="1" t="s">
        <v>12821</v>
      </c>
      <c r="U127" s="1" t="s">
        <v>74</v>
      </c>
      <c r="V127" s="1" t="s">
        <v>12822</v>
      </c>
      <c r="W127" t="s">
        <v>12823</v>
      </c>
      <c r="X127" t="s">
        <v>12443</v>
      </c>
      <c r="Y127" t="s">
        <v>12824</v>
      </c>
      <c r="Z127" t="s">
        <v>74</v>
      </c>
      <c r="AA127" t="s">
        <v>74</v>
      </c>
      <c r="AB127" t="s">
        <v>74</v>
      </c>
      <c r="AC127" t="s">
        <v>74</v>
      </c>
      <c r="AD127" t="s">
        <v>74</v>
      </c>
      <c r="AE127" t="s">
        <v>74</v>
      </c>
      <c r="AF127" t="s">
        <v>74</v>
      </c>
      <c r="AG127">
        <v>8</v>
      </c>
      <c r="AH127">
        <v>15</v>
      </c>
      <c r="AI127">
        <v>15</v>
      </c>
      <c r="AJ127">
        <v>0</v>
      </c>
      <c r="AK127">
        <v>1</v>
      </c>
      <c r="AL127" t="s">
        <v>492</v>
      </c>
      <c r="AM127" t="s">
        <v>493</v>
      </c>
      <c r="AN127" t="s">
        <v>494</v>
      </c>
      <c r="AO127" t="s">
        <v>12541</v>
      </c>
      <c r="AP127" t="s">
        <v>12542</v>
      </c>
      <c r="AQ127" t="s">
        <v>74</v>
      </c>
      <c r="AR127" t="s">
        <v>12689</v>
      </c>
      <c r="AS127" t="s">
        <v>12690</v>
      </c>
      <c r="AT127" t="s">
        <v>74</v>
      </c>
      <c r="AU127">
        <v>2006</v>
      </c>
      <c r="AV127">
        <v>3</v>
      </c>
      <c r="AW127">
        <v>1</v>
      </c>
      <c r="AX127" t="s">
        <v>74</v>
      </c>
      <c r="AY127" t="s">
        <v>74</v>
      </c>
      <c r="AZ127" t="s">
        <v>74</v>
      </c>
      <c r="BA127" t="s">
        <v>74</v>
      </c>
      <c r="BB127">
        <v>33</v>
      </c>
      <c r="BC127">
        <v>51</v>
      </c>
      <c r="BD127" t="s">
        <v>74</v>
      </c>
      <c r="BE127" t="s">
        <v>12825</v>
      </c>
      <c r="BF127" t="str">
        <f>HYPERLINK("http://dx.doi.org/10.1080/16522354.2006.11073438","http://dx.doi.org/10.1080/16522354.2006.11073438")</f>
        <v>http://dx.doi.org/10.1080/16522354.2006.11073438</v>
      </c>
      <c r="BG127" t="s">
        <v>74</v>
      </c>
      <c r="BH127" t="s">
        <v>74</v>
      </c>
      <c r="BI127">
        <v>19</v>
      </c>
      <c r="BJ127" t="s">
        <v>1023</v>
      </c>
      <c r="BK127" t="s">
        <v>183</v>
      </c>
      <c r="BL127" t="s">
        <v>265</v>
      </c>
      <c r="BM127" t="s">
        <v>12826</v>
      </c>
      <c r="BN127" t="s">
        <v>74</v>
      </c>
      <c r="BO127" t="s">
        <v>74</v>
      </c>
      <c r="BP127" t="s">
        <v>74</v>
      </c>
      <c r="BQ127" t="s">
        <v>74</v>
      </c>
      <c r="BR127" t="s">
        <v>106</v>
      </c>
      <c r="BS127" t="s">
        <v>12827</v>
      </c>
      <c r="BT127" t="str">
        <f>HYPERLINK("https%3A%2F%2Fwww.webofscience.com%2Fwos%2Fwoscc%2Ffull-record%2FWOS:000409701800003","View Full Record in Web of Science")</f>
        <v>View Full Record in Web of Science</v>
      </c>
    </row>
    <row r="128" spans="1:72" x14ac:dyDescent="0.25">
      <c r="A128" t="s">
        <v>72</v>
      </c>
      <c r="B128" t="s">
        <v>4788</v>
      </c>
      <c r="C128" t="s">
        <v>74</v>
      </c>
      <c r="D128" t="s">
        <v>74</v>
      </c>
      <c r="E128" t="s">
        <v>74</v>
      </c>
      <c r="F128" t="s">
        <v>4789</v>
      </c>
      <c r="G128" t="s">
        <v>74</v>
      </c>
      <c r="H128" t="s">
        <v>74</v>
      </c>
      <c r="I128" s="1" t="s">
        <v>4790</v>
      </c>
      <c r="J128" t="s">
        <v>1798</v>
      </c>
      <c r="K128" t="s">
        <v>74</v>
      </c>
      <c r="L128" t="s">
        <v>74</v>
      </c>
      <c r="M128" t="s">
        <v>78</v>
      </c>
      <c r="N128" t="s">
        <v>79</v>
      </c>
      <c r="O128" t="s">
        <v>74</v>
      </c>
      <c r="P128" t="s">
        <v>74</v>
      </c>
      <c r="Q128" t="s">
        <v>74</v>
      </c>
      <c r="R128" t="s">
        <v>74</v>
      </c>
      <c r="S128" t="s">
        <v>74</v>
      </c>
      <c r="T128" s="1" t="s">
        <v>4791</v>
      </c>
      <c r="U128" s="1" t="s">
        <v>4792</v>
      </c>
      <c r="V128" s="1" t="s">
        <v>4793</v>
      </c>
      <c r="W128" t="s">
        <v>4794</v>
      </c>
      <c r="X128" t="s">
        <v>4795</v>
      </c>
      <c r="Y128" t="s">
        <v>4796</v>
      </c>
      <c r="Z128" t="s">
        <v>4797</v>
      </c>
      <c r="AA128" t="s">
        <v>74</v>
      </c>
      <c r="AB128" t="s">
        <v>4798</v>
      </c>
      <c r="AC128" t="s">
        <v>74</v>
      </c>
      <c r="AD128" t="s">
        <v>74</v>
      </c>
      <c r="AE128" t="s">
        <v>74</v>
      </c>
      <c r="AF128" t="s">
        <v>74</v>
      </c>
      <c r="AG128">
        <v>61</v>
      </c>
      <c r="AH128">
        <v>14</v>
      </c>
      <c r="AI128">
        <v>14</v>
      </c>
      <c r="AJ128">
        <v>8</v>
      </c>
      <c r="AK128">
        <v>47</v>
      </c>
      <c r="AL128" t="s">
        <v>715</v>
      </c>
      <c r="AM128" t="s">
        <v>716</v>
      </c>
      <c r="AN128" t="s">
        <v>717</v>
      </c>
      <c r="AO128" t="s">
        <v>1808</v>
      </c>
      <c r="AP128" t="s">
        <v>1809</v>
      </c>
      <c r="AQ128" t="s">
        <v>74</v>
      </c>
      <c r="AR128" t="s">
        <v>1810</v>
      </c>
      <c r="AS128" t="s">
        <v>1811</v>
      </c>
      <c r="AT128" t="s">
        <v>4799</v>
      </c>
      <c r="AU128">
        <v>2022</v>
      </c>
      <c r="AV128">
        <v>37</v>
      </c>
      <c r="AW128">
        <v>10</v>
      </c>
      <c r="AX128" t="s">
        <v>74</v>
      </c>
      <c r="AY128" t="s">
        <v>74</v>
      </c>
      <c r="AZ128" t="s">
        <v>1020</v>
      </c>
      <c r="BA128" t="s">
        <v>74</v>
      </c>
      <c r="BB128">
        <v>2050</v>
      </c>
      <c r="BC128">
        <v>2063</v>
      </c>
      <c r="BD128" t="s">
        <v>74</v>
      </c>
      <c r="BE128" t="s">
        <v>4800</v>
      </c>
      <c r="BF128" t="str">
        <f>HYPERLINK("http://dx.doi.org/10.1108/JBIM-01-2021-0005","http://dx.doi.org/10.1108/JBIM-01-2021-0005")</f>
        <v>http://dx.doi.org/10.1108/JBIM-01-2021-0005</v>
      </c>
      <c r="BG128" t="s">
        <v>74</v>
      </c>
      <c r="BH128" t="s">
        <v>4783</v>
      </c>
      <c r="BI128">
        <v>14</v>
      </c>
      <c r="BJ128" t="s">
        <v>1023</v>
      </c>
      <c r="BK128" t="s">
        <v>156</v>
      </c>
      <c r="BL128" t="s">
        <v>265</v>
      </c>
      <c r="BM128" t="s">
        <v>4801</v>
      </c>
      <c r="BN128" t="s">
        <v>74</v>
      </c>
      <c r="BO128" t="s">
        <v>74</v>
      </c>
      <c r="BP128" t="s">
        <v>74</v>
      </c>
      <c r="BQ128" t="s">
        <v>74</v>
      </c>
      <c r="BR128" t="s">
        <v>106</v>
      </c>
      <c r="BS128" t="s">
        <v>4802</v>
      </c>
      <c r="BT128" t="str">
        <f>HYPERLINK("https%3A%2F%2Fwww.webofscience.com%2Fwos%2Fwoscc%2Ffull-record%2FWOS:000751085600001","View Full Record in Web of Science")</f>
        <v>View Full Record in Web of Science</v>
      </c>
    </row>
    <row r="129" spans="1:72" x14ac:dyDescent="0.25">
      <c r="A129" t="s">
        <v>72</v>
      </c>
      <c r="B129" t="s">
        <v>5869</v>
      </c>
      <c r="C129" t="s">
        <v>74</v>
      </c>
      <c r="D129" t="s">
        <v>74</v>
      </c>
      <c r="E129" t="s">
        <v>74</v>
      </c>
      <c r="F129" t="s">
        <v>5870</v>
      </c>
      <c r="G129" t="s">
        <v>74</v>
      </c>
      <c r="H129" t="s">
        <v>74</v>
      </c>
      <c r="I129" s="1" t="s">
        <v>5871</v>
      </c>
      <c r="J129" t="s">
        <v>2810</v>
      </c>
      <c r="K129" t="s">
        <v>74</v>
      </c>
      <c r="L129" t="s">
        <v>74</v>
      </c>
      <c r="M129" t="s">
        <v>78</v>
      </c>
      <c r="N129" t="s">
        <v>79</v>
      </c>
      <c r="O129" t="s">
        <v>74</v>
      </c>
      <c r="P129" t="s">
        <v>74</v>
      </c>
      <c r="Q129" t="s">
        <v>74</v>
      </c>
      <c r="R129" t="s">
        <v>74</v>
      </c>
      <c r="S129" t="s">
        <v>74</v>
      </c>
      <c r="T129" s="1" t="s">
        <v>5872</v>
      </c>
      <c r="U129" s="1" t="s">
        <v>5873</v>
      </c>
      <c r="V129" s="1" t="s">
        <v>5874</v>
      </c>
      <c r="W129" t="s">
        <v>5875</v>
      </c>
      <c r="X129" t="s">
        <v>5876</v>
      </c>
      <c r="Y129" t="s">
        <v>5877</v>
      </c>
      <c r="Z129" t="s">
        <v>5878</v>
      </c>
      <c r="AA129" t="s">
        <v>5879</v>
      </c>
      <c r="AB129" t="s">
        <v>5880</v>
      </c>
      <c r="AC129" t="s">
        <v>74</v>
      </c>
      <c r="AD129" t="s">
        <v>74</v>
      </c>
      <c r="AE129" t="s">
        <v>74</v>
      </c>
      <c r="AF129" t="s">
        <v>74</v>
      </c>
      <c r="AG129">
        <v>71</v>
      </c>
      <c r="AH129">
        <v>14</v>
      </c>
      <c r="AI129">
        <v>14</v>
      </c>
      <c r="AJ129">
        <v>32</v>
      </c>
      <c r="AK129">
        <v>164</v>
      </c>
      <c r="AL129" t="s">
        <v>2818</v>
      </c>
      <c r="AM129" t="s">
        <v>2819</v>
      </c>
      <c r="AN129" t="s">
        <v>2820</v>
      </c>
      <c r="AO129" t="s">
        <v>2821</v>
      </c>
      <c r="AP129" t="s">
        <v>2822</v>
      </c>
      <c r="AQ129" t="s">
        <v>74</v>
      </c>
      <c r="AR129" t="s">
        <v>2823</v>
      </c>
      <c r="AS129" t="s">
        <v>2824</v>
      </c>
      <c r="AT129" t="s">
        <v>356</v>
      </c>
      <c r="AU129">
        <v>2021</v>
      </c>
      <c r="AV129">
        <v>30</v>
      </c>
      <c r="AW129">
        <v>5</v>
      </c>
      <c r="AX129" t="s">
        <v>74</v>
      </c>
      <c r="AY129" t="s">
        <v>74</v>
      </c>
      <c r="AZ129" t="s">
        <v>1020</v>
      </c>
      <c r="BA129" t="s">
        <v>74</v>
      </c>
      <c r="BB129">
        <v>421</v>
      </c>
      <c r="BC129">
        <v>441</v>
      </c>
      <c r="BD129" t="s">
        <v>74</v>
      </c>
      <c r="BE129" t="s">
        <v>5881</v>
      </c>
      <c r="BF129" t="str">
        <f>HYPERLINK("http://dx.doi.org/10.1002/jsc.2459","http://dx.doi.org/10.1002/jsc.2459")</f>
        <v>http://dx.doi.org/10.1002/jsc.2459</v>
      </c>
      <c r="BG129" t="s">
        <v>74</v>
      </c>
      <c r="BH129" t="s">
        <v>74</v>
      </c>
      <c r="BI129">
        <v>21</v>
      </c>
      <c r="BJ129" t="s">
        <v>479</v>
      </c>
      <c r="BK129" t="s">
        <v>183</v>
      </c>
      <c r="BL129" t="s">
        <v>265</v>
      </c>
      <c r="BM129" t="s">
        <v>5882</v>
      </c>
      <c r="BN129" t="s">
        <v>74</v>
      </c>
      <c r="BO129" t="s">
        <v>74</v>
      </c>
      <c r="BP129" t="s">
        <v>74</v>
      </c>
      <c r="BQ129" t="s">
        <v>74</v>
      </c>
      <c r="BR129" t="s">
        <v>106</v>
      </c>
      <c r="BS129" t="s">
        <v>5883</v>
      </c>
      <c r="BT129" t="str">
        <f>HYPERLINK("https%3A%2F%2Fwww.webofscience.com%2Fwos%2Fwoscc%2Ffull-record%2FWOS:000692505100003","View Full Record in Web of Science")</f>
        <v>View Full Record in Web of Science</v>
      </c>
    </row>
    <row r="130" spans="1:72" x14ac:dyDescent="0.25">
      <c r="A130" t="s">
        <v>72</v>
      </c>
      <c r="B130" t="s">
        <v>6765</v>
      </c>
      <c r="C130" t="s">
        <v>74</v>
      </c>
      <c r="D130" t="s">
        <v>74</v>
      </c>
      <c r="E130" t="s">
        <v>74</v>
      </c>
      <c r="F130" t="s">
        <v>6766</v>
      </c>
      <c r="G130" t="s">
        <v>74</v>
      </c>
      <c r="H130" t="s">
        <v>74</v>
      </c>
      <c r="I130" s="1" t="s">
        <v>6767</v>
      </c>
      <c r="J130" t="s">
        <v>6768</v>
      </c>
      <c r="K130" t="s">
        <v>74</v>
      </c>
      <c r="L130" t="s">
        <v>74</v>
      </c>
      <c r="M130" t="s">
        <v>78</v>
      </c>
      <c r="N130" t="s">
        <v>79</v>
      </c>
      <c r="O130" t="s">
        <v>74</v>
      </c>
      <c r="P130" t="s">
        <v>74</v>
      </c>
      <c r="Q130" t="s">
        <v>74</v>
      </c>
      <c r="R130" t="s">
        <v>74</v>
      </c>
      <c r="S130" t="s">
        <v>74</v>
      </c>
      <c r="T130" s="1" t="s">
        <v>6769</v>
      </c>
      <c r="U130" s="1" t="s">
        <v>74</v>
      </c>
      <c r="V130" s="1" t="s">
        <v>6770</v>
      </c>
      <c r="W130" t="s">
        <v>6771</v>
      </c>
      <c r="X130" t="s">
        <v>2705</v>
      </c>
      <c r="Y130" t="s">
        <v>6772</v>
      </c>
      <c r="Z130" t="s">
        <v>6773</v>
      </c>
      <c r="AA130" t="s">
        <v>6774</v>
      </c>
      <c r="AB130" t="s">
        <v>6775</v>
      </c>
      <c r="AC130" t="s">
        <v>6776</v>
      </c>
      <c r="AD130" t="s">
        <v>6776</v>
      </c>
      <c r="AE130" t="s">
        <v>6777</v>
      </c>
      <c r="AF130" t="s">
        <v>74</v>
      </c>
      <c r="AG130">
        <v>51</v>
      </c>
      <c r="AH130">
        <v>14</v>
      </c>
      <c r="AI130">
        <v>14</v>
      </c>
      <c r="AJ130">
        <v>0</v>
      </c>
      <c r="AK130">
        <v>15</v>
      </c>
      <c r="AL130" t="s">
        <v>202</v>
      </c>
      <c r="AM130" t="s">
        <v>203</v>
      </c>
      <c r="AN130" t="s">
        <v>204</v>
      </c>
      <c r="AO130" t="s">
        <v>74</v>
      </c>
      <c r="AP130" t="s">
        <v>6778</v>
      </c>
      <c r="AQ130" t="s">
        <v>74</v>
      </c>
      <c r="AR130" t="s">
        <v>6768</v>
      </c>
      <c r="AS130" t="s">
        <v>6779</v>
      </c>
      <c r="AT130" t="s">
        <v>1904</v>
      </c>
      <c r="AU130">
        <v>2021</v>
      </c>
      <c r="AV130">
        <v>13</v>
      </c>
      <c r="AW130">
        <v>2</v>
      </c>
      <c r="AX130" t="s">
        <v>74</v>
      </c>
      <c r="AY130" t="s">
        <v>74</v>
      </c>
      <c r="AZ130" t="s">
        <v>74</v>
      </c>
      <c r="BA130" t="s">
        <v>74</v>
      </c>
      <c r="BB130" t="s">
        <v>74</v>
      </c>
      <c r="BC130" t="s">
        <v>74</v>
      </c>
      <c r="BD130">
        <v>35</v>
      </c>
      <c r="BE130" t="s">
        <v>6780</v>
      </c>
      <c r="BF130" t="str">
        <f>HYPERLINK("http://dx.doi.org/10.3390/fi13020035","http://dx.doi.org/10.3390/fi13020035")</f>
        <v>http://dx.doi.org/10.3390/fi13020035</v>
      </c>
      <c r="BG130" t="s">
        <v>74</v>
      </c>
      <c r="BH130" t="s">
        <v>74</v>
      </c>
      <c r="BI130">
        <v>24</v>
      </c>
      <c r="BJ130" t="s">
        <v>1217</v>
      </c>
      <c r="BK130" t="s">
        <v>183</v>
      </c>
      <c r="BL130" t="s">
        <v>399</v>
      </c>
      <c r="BM130" t="s">
        <v>6781</v>
      </c>
      <c r="BN130" t="s">
        <v>74</v>
      </c>
      <c r="BO130" t="s">
        <v>186</v>
      </c>
      <c r="BP130" t="s">
        <v>74</v>
      </c>
      <c r="BQ130" t="s">
        <v>74</v>
      </c>
      <c r="BR130" t="s">
        <v>106</v>
      </c>
      <c r="BS130" t="s">
        <v>6782</v>
      </c>
      <c r="BT130" t="str">
        <f>HYPERLINK("https%3A%2F%2Fwww.webofscience.com%2Fwos%2Fwoscc%2Ffull-record%2FWOS:000622556300001","View Full Record in Web of Science")</f>
        <v>View Full Record in Web of Science</v>
      </c>
    </row>
    <row r="131" spans="1:72" x14ac:dyDescent="0.25">
      <c r="A131" t="s">
        <v>72</v>
      </c>
      <c r="B131" t="s">
        <v>8179</v>
      </c>
      <c r="C131" t="s">
        <v>74</v>
      </c>
      <c r="D131" t="s">
        <v>74</v>
      </c>
      <c r="E131" t="s">
        <v>74</v>
      </c>
      <c r="F131" t="s">
        <v>8180</v>
      </c>
      <c r="G131" t="s">
        <v>74</v>
      </c>
      <c r="H131" t="s">
        <v>74</v>
      </c>
      <c r="I131" s="1" t="s">
        <v>8181</v>
      </c>
      <c r="J131" t="s">
        <v>8182</v>
      </c>
      <c r="K131" t="s">
        <v>74</v>
      </c>
      <c r="L131" t="s">
        <v>74</v>
      </c>
      <c r="M131" t="s">
        <v>78</v>
      </c>
      <c r="N131" t="s">
        <v>79</v>
      </c>
      <c r="O131" t="s">
        <v>74</v>
      </c>
      <c r="P131" t="s">
        <v>74</v>
      </c>
      <c r="Q131" t="s">
        <v>74</v>
      </c>
      <c r="R131" t="s">
        <v>74</v>
      </c>
      <c r="S131" t="s">
        <v>74</v>
      </c>
      <c r="T131" s="1" t="s">
        <v>74</v>
      </c>
      <c r="U131" s="1" t="s">
        <v>8183</v>
      </c>
      <c r="V131" s="1" t="s">
        <v>8184</v>
      </c>
      <c r="W131" t="s">
        <v>8185</v>
      </c>
      <c r="X131" t="s">
        <v>8186</v>
      </c>
      <c r="Y131" t="s">
        <v>8187</v>
      </c>
      <c r="Z131" t="s">
        <v>74</v>
      </c>
      <c r="AA131" t="s">
        <v>8188</v>
      </c>
      <c r="AB131" t="s">
        <v>8189</v>
      </c>
      <c r="AC131" t="s">
        <v>74</v>
      </c>
      <c r="AD131" t="s">
        <v>74</v>
      </c>
      <c r="AE131" t="s">
        <v>74</v>
      </c>
      <c r="AF131" t="s">
        <v>74</v>
      </c>
      <c r="AG131">
        <v>67</v>
      </c>
      <c r="AH131">
        <v>14</v>
      </c>
      <c r="AI131">
        <v>14</v>
      </c>
      <c r="AJ131">
        <v>3</v>
      </c>
      <c r="AK131">
        <v>15</v>
      </c>
      <c r="AL131" t="s">
        <v>8190</v>
      </c>
      <c r="AM131" t="s">
        <v>93</v>
      </c>
      <c r="AN131" t="s">
        <v>8191</v>
      </c>
      <c r="AO131" t="s">
        <v>8192</v>
      </c>
      <c r="AP131" t="s">
        <v>8193</v>
      </c>
      <c r="AQ131" t="s">
        <v>74</v>
      </c>
      <c r="AR131" t="s">
        <v>8194</v>
      </c>
      <c r="AS131" t="s">
        <v>8195</v>
      </c>
      <c r="AT131" t="s">
        <v>1683</v>
      </c>
      <c r="AU131">
        <v>2020</v>
      </c>
      <c r="AV131">
        <v>64</v>
      </c>
      <c r="AW131">
        <v>1</v>
      </c>
      <c r="AX131" t="s">
        <v>74</v>
      </c>
      <c r="AY131" t="s">
        <v>74</v>
      </c>
      <c r="AZ131" t="s">
        <v>74</v>
      </c>
      <c r="BA131" t="s">
        <v>74</v>
      </c>
      <c r="BB131">
        <v>159</v>
      </c>
      <c r="BC131">
        <v>167</v>
      </c>
      <c r="BD131" t="s">
        <v>74</v>
      </c>
      <c r="BE131" t="s">
        <v>8196</v>
      </c>
      <c r="BF131" t="str">
        <f>HYPERLINK("http://dx.doi.org/10.1093/isq/sqz052","http://dx.doi.org/10.1093/isq/sqz052")</f>
        <v>http://dx.doi.org/10.1093/isq/sqz052</v>
      </c>
      <c r="BG131" t="s">
        <v>74</v>
      </c>
      <c r="BH131" t="s">
        <v>74</v>
      </c>
      <c r="BI131">
        <v>9</v>
      </c>
      <c r="BJ131" t="s">
        <v>8197</v>
      </c>
      <c r="BK131" t="s">
        <v>156</v>
      </c>
      <c r="BL131" t="s">
        <v>8198</v>
      </c>
      <c r="BM131" t="s">
        <v>8199</v>
      </c>
      <c r="BN131" t="s">
        <v>74</v>
      </c>
      <c r="BO131" t="s">
        <v>791</v>
      </c>
      <c r="BP131" t="s">
        <v>74</v>
      </c>
      <c r="BQ131" t="s">
        <v>74</v>
      </c>
      <c r="BR131" t="s">
        <v>106</v>
      </c>
      <c r="BS131" t="s">
        <v>8200</v>
      </c>
      <c r="BT131" t="str">
        <f>HYPERLINK("https%3A%2F%2Fwww.webofscience.com%2Fwos%2Fwoscc%2Ffull-record%2FWOS:000536436600014","View Full Record in Web of Science")</f>
        <v>View Full Record in Web of Science</v>
      </c>
    </row>
    <row r="132" spans="1:72" x14ac:dyDescent="0.25">
      <c r="A132" t="s">
        <v>72</v>
      </c>
      <c r="B132" t="s">
        <v>10272</v>
      </c>
      <c r="C132" t="s">
        <v>74</v>
      </c>
      <c r="D132" t="s">
        <v>74</v>
      </c>
      <c r="E132" t="s">
        <v>74</v>
      </c>
      <c r="F132" t="s">
        <v>10273</v>
      </c>
      <c r="G132" t="s">
        <v>74</v>
      </c>
      <c r="H132" t="s">
        <v>74</v>
      </c>
      <c r="I132" s="1" t="s">
        <v>10274</v>
      </c>
      <c r="J132" t="s">
        <v>10275</v>
      </c>
      <c r="K132" t="s">
        <v>74</v>
      </c>
      <c r="L132" t="s">
        <v>74</v>
      </c>
      <c r="M132" t="s">
        <v>78</v>
      </c>
      <c r="N132" t="s">
        <v>79</v>
      </c>
      <c r="O132" t="s">
        <v>74</v>
      </c>
      <c r="P132" t="s">
        <v>74</v>
      </c>
      <c r="Q132" t="s">
        <v>74</v>
      </c>
      <c r="R132" t="s">
        <v>74</v>
      </c>
      <c r="S132" t="s">
        <v>74</v>
      </c>
      <c r="T132" s="1" t="s">
        <v>10276</v>
      </c>
      <c r="U132" s="1" t="s">
        <v>10277</v>
      </c>
      <c r="V132" s="1" t="s">
        <v>10278</v>
      </c>
      <c r="W132" t="s">
        <v>10279</v>
      </c>
      <c r="X132" t="s">
        <v>10280</v>
      </c>
      <c r="Y132" t="s">
        <v>10281</v>
      </c>
      <c r="Z132" t="s">
        <v>10282</v>
      </c>
      <c r="AA132" t="s">
        <v>74</v>
      </c>
      <c r="AB132" t="s">
        <v>10283</v>
      </c>
      <c r="AC132" t="s">
        <v>74</v>
      </c>
      <c r="AD132" t="s">
        <v>74</v>
      </c>
      <c r="AE132" t="s">
        <v>74</v>
      </c>
      <c r="AF132" t="s">
        <v>74</v>
      </c>
      <c r="AG132">
        <v>55</v>
      </c>
      <c r="AH132">
        <v>14</v>
      </c>
      <c r="AI132">
        <v>14</v>
      </c>
      <c r="AJ132">
        <v>1</v>
      </c>
      <c r="AK132">
        <v>7</v>
      </c>
      <c r="AL132" t="s">
        <v>10284</v>
      </c>
      <c r="AM132" t="s">
        <v>10285</v>
      </c>
      <c r="AN132" t="s">
        <v>10286</v>
      </c>
      <c r="AO132" t="s">
        <v>10287</v>
      </c>
      <c r="AP132" t="s">
        <v>74</v>
      </c>
      <c r="AQ132" t="s">
        <v>74</v>
      </c>
      <c r="AR132" t="s">
        <v>10288</v>
      </c>
      <c r="AS132" t="s">
        <v>10289</v>
      </c>
      <c r="AT132" t="s">
        <v>74</v>
      </c>
      <c r="AU132">
        <v>2018</v>
      </c>
      <c r="AV132">
        <v>21</v>
      </c>
      <c r="AW132">
        <v>2</v>
      </c>
      <c r="AX132" t="s">
        <v>74</v>
      </c>
      <c r="AY132" t="s">
        <v>74</v>
      </c>
      <c r="AZ132" t="s">
        <v>74</v>
      </c>
      <c r="BA132" t="s">
        <v>74</v>
      </c>
      <c r="BB132">
        <v>115</v>
      </c>
      <c r="BC132">
        <v>131</v>
      </c>
      <c r="BD132" t="s">
        <v>74</v>
      </c>
      <c r="BE132" t="s">
        <v>74</v>
      </c>
      <c r="BF132" t="s">
        <v>74</v>
      </c>
      <c r="BG132" t="s">
        <v>74</v>
      </c>
      <c r="BH132" t="s">
        <v>74</v>
      </c>
      <c r="BI132">
        <v>17</v>
      </c>
      <c r="BJ132" t="s">
        <v>743</v>
      </c>
      <c r="BK132" t="s">
        <v>102</v>
      </c>
      <c r="BL132" t="s">
        <v>743</v>
      </c>
      <c r="BM132" t="s">
        <v>10290</v>
      </c>
      <c r="BN132">
        <v>29967904</v>
      </c>
      <c r="BO132" t="s">
        <v>74</v>
      </c>
      <c r="BP132" t="s">
        <v>74</v>
      </c>
      <c r="BQ132" t="s">
        <v>74</v>
      </c>
      <c r="BR132" t="s">
        <v>106</v>
      </c>
      <c r="BS132" t="s">
        <v>10291</v>
      </c>
      <c r="BT132" t="str">
        <f>HYPERLINK("https%3A%2F%2Fwww.webofscience.com%2Fwos%2Fwoscc%2Ffull-record%2FWOS:000448224100005","View Full Record in Web of Science")</f>
        <v>View Full Record in Web of Science</v>
      </c>
    </row>
    <row r="133" spans="1:72" x14ac:dyDescent="0.25">
      <c r="A133" t="s">
        <v>72</v>
      </c>
      <c r="B133" t="s">
        <v>10565</v>
      </c>
      <c r="C133" t="s">
        <v>74</v>
      </c>
      <c r="D133" t="s">
        <v>74</v>
      </c>
      <c r="E133" t="s">
        <v>74</v>
      </c>
      <c r="F133" t="s">
        <v>10566</v>
      </c>
      <c r="G133" t="s">
        <v>74</v>
      </c>
      <c r="H133" t="s">
        <v>74</v>
      </c>
      <c r="I133" s="1" t="s">
        <v>10567</v>
      </c>
      <c r="J133" t="s">
        <v>10568</v>
      </c>
      <c r="K133" t="s">
        <v>74</v>
      </c>
      <c r="L133" t="s">
        <v>74</v>
      </c>
      <c r="M133" t="s">
        <v>78</v>
      </c>
      <c r="N133" t="s">
        <v>79</v>
      </c>
      <c r="O133" t="s">
        <v>74</v>
      </c>
      <c r="P133" t="s">
        <v>74</v>
      </c>
      <c r="Q133" t="s">
        <v>74</v>
      </c>
      <c r="R133" t="s">
        <v>74</v>
      </c>
      <c r="S133" t="s">
        <v>74</v>
      </c>
      <c r="T133" s="1" t="s">
        <v>10569</v>
      </c>
      <c r="U133" s="1" t="s">
        <v>10570</v>
      </c>
      <c r="V133" s="1" t="s">
        <v>10571</v>
      </c>
      <c r="W133" t="s">
        <v>10572</v>
      </c>
      <c r="X133" t="s">
        <v>10573</v>
      </c>
      <c r="Y133" t="s">
        <v>10574</v>
      </c>
      <c r="Z133" t="s">
        <v>10575</v>
      </c>
      <c r="AA133" t="s">
        <v>10576</v>
      </c>
      <c r="AB133" t="s">
        <v>74</v>
      </c>
      <c r="AC133" t="s">
        <v>74</v>
      </c>
      <c r="AD133" t="s">
        <v>74</v>
      </c>
      <c r="AE133" t="s">
        <v>74</v>
      </c>
      <c r="AF133" t="s">
        <v>74</v>
      </c>
      <c r="AG133">
        <v>63</v>
      </c>
      <c r="AH133">
        <v>14</v>
      </c>
      <c r="AI133">
        <v>14</v>
      </c>
      <c r="AJ133">
        <v>1</v>
      </c>
      <c r="AK133">
        <v>7</v>
      </c>
      <c r="AL133" t="s">
        <v>1468</v>
      </c>
      <c r="AM133" t="s">
        <v>175</v>
      </c>
      <c r="AN133" t="s">
        <v>1469</v>
      </c>
      <c r="AO133" t="s">
        <v>10577</v>
      </c>
      <c r="AP133" t="s">
        <v>74</v>
      </c>
      <c r="AQ133" t="s">
        <v>74</v>
      </c>
      <c r="AR133" t="s">
        <v>10578</v>
      </c>
      <c r="AS133" t="s">
        <v>10579</v>
      </c>
      <c r="AT133" t="s">
        <v>4456</v>
      </c>
      <c r="AU133">
        <v>2017</v>
      </c>
      <c r="AV133">
        <v>3</v>
      </c>
      <c r="AW133">
        <v>2</v>
      </c>
      <c r="AX133" t="s">
        <v>74</v>
      </c>
      <c r="AY133" t="s">
        <v>74</v>
      </c>
      <c r="AZ133" t="s">
        <v>74</v>
      </c>
      <c r="BA133" t="s">
        <v>74</v>
      </c>
      <c r="BB133" t="s">
        <v>74</v>
      </c>
      <c r="BC133" t="s">
        <v>74</v>
      </c>
      <c r="BD133">
        <v>2056305117714230</v>
      </c>
      <c r="BE133" t="s">
        <v>10580</v>
      </c>
      <c r="BF133" t="str">
        <f>HYPERLINK("http://dx.doi.org/10.1177/2056305117714237","http://dx.doi.org/10.1177/2056305117714237")</f>
        <v>http://dx.doi.org/10.1177/2056305117714237</v>
      </c>
      <c r="BG133" t="s">
        <v>74</v>
      </c>
      <c r="BH133" t="s">
        <v>74</v>
      </c>
      <c r="BI133">
        <v>11</v>
      </c>
      <c r="BJ133" t="s">
        <v>2218</v>
      </c>
      <c r="BK133" t="s">
        <v>156</v>
      </c>
      <c r="BL133" t="s">
        <v>2218</v>
      </c>
      <c r="BM133" t="s">
        <v>10581</v>
      </c>
      <c r="BN133" t="s">
        <v>74</v>
      </c>
      <c r="BO133" t="s">
        <v>186</v>
      </c>
      <c r="BP133" t="s">
        <v>74</v>
      </c>
      <c r="BQ133" t="s">
        <v>74</v>
      </c>
      <c r="BR133" t="s">
        <v>106</v>
      </c>
      <c r="BS133" t="s">
        <v>10582</v>
      </c>
      <c r="BT133" t="str">
        <f>HYPERLINK("https%3A%2F%2Fwww.webofscience.com%2Fwos%2Fwoscc%2Ffull-record%2FWOS:000443460300022","View Full Record in Web of Science")</f>
        <v>View Full Record in Web of Science</v>
      </c>
    </row>
    <row r="134" spans="1:72" x14ac:dyDescent="0.25">
      <c r="A134" t="s">
        <v>72</v>
      </c>
      <c r="B134" t="s">
        <v>10644</v>
      </c>
      <c r="C134" t="s">
        <v>74</v>
      </c>
      <c r="D134" t="s">
        <v>74</v>
      </c>
      <c r="E134" t="s">
        <v>74</v>
      </c>
      <c r="F134" t="s">
        <v>10645</v>
      </c>
      <c r="G134" t="s">
        <v>74</v>
      </c>
      <c r="H134" t="s">
        <v>74</v>
      </c>
      <c r="I134" s="1" t="s">
        <v>11534</v>
      </c>
      <c r="J134" t="s">
        <v>11353</v>
      </c>
      <c r="K134" t="s">
        <v>74</v>
      </c>
      <c r="L134" t="s">
        <v>74</v>
      </c>
      <c r="M134" t="s">
        <v>78</v>
      </c>
      <c r="N134" t="s">
        <v>79</v>
      </c>
      <c r="O134" t="s">
        <v>74</v>
      </c>
      <c r="P134" t="s">
        <v>74</v>
      </c>
      <c r="Q134" t="s">
        <v>74</v>
      </c>
      <c r="R134" t="s">
        <v>74</v>
      </c>
      <c r="S134" t="s">
        <v>74</v>
      </c>
      <c r="T134" s="1" t="s">
        <v>11535</v>
      </c>
      <c r="U134" s="1" t="s">
        <v>11536</v>
      </c>
      <c r="V134" s="1" t="s">
        <v>11537</v>
      </c>
      <c r="W134" t="s">
        <v>11538</v>
      </c>
      <c r="X134" t="s">
        <v>10652</v>
      </c>
      <c r="Y134" t="s">
        <v>11539</v>
      </c>
      <c r="Z134" t="s">
        <v>10654</v>
      </c>
      <c r="AA134" t="s">
        <v>10655</v>
      </c>
      <c r="AB134" t="s">
        <v>10656</v>
      </c>
      <c r="AC134" t="s">
        <v>74</v>
      </c>
      <c r="AD134" t="s">
        <v>74</v>
      </c>
      <c r="AE134" t="s">
        <v>74</v>
      </c>
      <c r="AF134" t="s">
        <v>74</v>
      </c>
      <c r="AG134">
        <v>75</v>
      </c>
      <c r="AH134">
        <v>14</v>
      </c>
      <c r="AI134">
        <v>14</v>
      </c>
      <c r="AJ134">
        <v>1</v>
      </c>
      <c r="AK134">
        <v>10</v>
      </c>
      <c r="AL134" t="s">
        <v>11363</v>
      </c>
      <c r="AM134" t="s">
        <v>11364</v>
      </c>
      <c r="AN134" t="s">
        <v>11365</v>
      </c>
      <c r="AO134" t="s">
        <v>11366</v>
      </c>
      <c r="AP134" t="s">
        <v>11367</v>
      </c>
      <c r="AQ134" t="s">
        <v>74</v>
      </c>
      <c r="AR134" t="s">
        <v>11368</v>
      </c>
      <c r="AS134" t="s">
        <v>11369</v>
      </c>
      <c r="AT134" t="s">
        <v>74</v>
      </c>
      <c r="AU134">
        <v>2015</v>
      </c>
      <c r="AV134">
        <v>6</v>
      </c>
      <c r="AW134">
        <v>2</v>
      </c>
      <c r="AX134" t="s">
        <v>74</v>
      </c>
      <c r="AY134" t="s">
        <v>74</v>
      </c>
      <c r="AZ134" t="s">
        <v>74</v>
      </c>
      <c r="BA134" t="s">
        <v>74</v>
      </c>
      <c r="BB134">
        <v>85</v>
      </c>
      <c r="BC134">
        <v>130</v>
      </c>
      <c r="BD134" t="s">
        <v>74</v>
      </c>
      <c r="BE134" t="s">
        <v>11540</v>
      </c>
      <c r="BF134" t="str">
        <f>HYPERLINK("http://dx.doi.org/10.1504/IJKBD.2015.071469","http://dx.doi.org/10.1504/IJKBD.2015.071469")</f>
        <v>http://dx.doi.org/10.1504/IJKBD.2015.071469</v>
      </c>
      <c r="BG134" t="s">
        <v>74</v>
      </c>
      <c r="BH134" t="s">
        <v>74</v>
      </c>
      <c r="BI134">
        <v>46</v>
      </c>
      <c r="BJ134" t="s">
        <v>2621</v>
      </c>
      <c r="BK134" t="s">
        <v>183</v>
      </c>
      <c r="BL134" t="s">
        <v>2621</v>
      </c>
      <c r="BM134" t="s">
        <v>11541</v>
      </c>
      <c r="BN134" t="s">
        <v>74</v>
      </c>
      <c r="BO134" t="s">
        <v>74</v>
      </c>
      <c r="BP134" t="s">
        <v>74</v>
      </c>
      <c r="BQ134" t="s">
        <v>74</v>
      </c>
      <c r="BR134" t="s">
        <v>106</v>
      </c>
      <c r="BS134" t="s">
        <v>11542</v>
      </c>
      <c r="BT134" t="str">
        <f>HYPERLINK("https%3A%2F%2Fwww.webofscience.com%2Fwos%2Fwoscc%2Ffull-record%2FWOS:000437435200002","View Full Record in Web of Science")</f>
        <v>View Full Record in Web of Science</v>
      </c>
    </row>
    <row r="135" spans="1:72" x14ac:dyDescent="0.25">
      <c r="A135" t="s">
        <v>72</v>
      </c>
      <c r="B135" t="s">
        <v>6604</v>
      </c>
      <c r="C135" t="s">
        <v>74</v>
      </c>
      <c r="D135" t="s">
        <v>74</v>
      </c>
      <c r="E135" t="s">
        <v>74</v>
      </c>
      <c r="F135" t="s">
        <v>6605</v>
      </c>
      <c r="G135" t="s">
        <v>74</v>
      </c>
      <c r="H135" t="s">
        <v>74</v>
      </c>
      <c r="I135" s="1" t="s">
        <v>6606</v>
      </c>
      <c r="J135" t="s">
        <v>6607</v>
      </c>
      <c r="K135" t="s">
        <v>74</v>
      </c>
      <c r="L135" t="s">
        <v>74</v>
      </c>
      <c r="M135" t="s">
        <v>78</v>
      </c>
      <c r="N135" t="s">
        <v>79</v>
      </c>
      <c r="O135" t="s">
        <v>74</v>
      </c>
      <c r="P135" t="s">
        <v>74</v>
      </c>
      <c r="Q135" t="s">
        <v>74</v>
      </c>
      <c r="R135" t="s">
        <v>74</v>
      </c>
      <c r="S135" t="s">
        <v>74</v>
      </c>
      <c r="T135" s="1" t="s">
        <v>6608</v>
      </c>
      <c r="U135" s="1" t="s">
        <v>6609</v>
      </c>
      <c r="V135" s="1" t="s">
        <v>6610</v>
      </c>
      <c r="W135" t="s">
        <v>6611</v>
      </c>
      <c r="X135" t="s">
        <v>6612</v>
      </c>
      <c r="Y135" t="s">
        <v>6613</v>
      </c>
      <c r="Z135" t="s">
        <v>6614</v>
      </c>
      <c r="AA135" t="s">
        <v>6615</v>
      </c>
      <c r="AB135" t="s">
        <v>6616</v>
      </c>
      <c r="AC135" t="s">
        <v>6617</v>
      </c>
      <c r="AD135" t="s">
        <v>6618</v>
      </c>
      <c r="AE135" t="s">
        <v>6619</v>
      </c>
      <c r="AF135" t="s">
        <v>74</v>
      </c>
      <c r="AG135">
        <v>36</v>
      </c>
      <c r="AH135">
        <v>13</v>
      </c>
      <c r="AI135">
        <v>13</v>
      </c>
      <c r="AJ135">
        <v>0</v>
      </c>
      <c r="AK135">
        <v>2</v>
      </c>
      <c r="AL135" t="s">
        <v>4079</v>
      </c>
      <c r="AM135" t="s">
        <v>4080</v>
      </c>
      <c r="AN135" t="s">
        <v>4081</v>
      </c>
      <c r="AO135" t="s">
        <v>6620</v>
      </c>
      <c r="AP135" t="s">
        <v>6621</v>
      </c>
      <c r="AQ135" t="s">
        <v>74</v>
      </c>
      <c r="AR135" t="s">
        <v>6622</v>
      </c>
      <c r="AS135" t="s">
        <v>6623</v>
      </c>
      <c r="AT135" t="s">
        <v>1448</v>
      </c>
      <c r="AU135">
        <v>2021</v>
      </c>
      <c r="AV135">
        <v>190</v>
      </c>
      <c r="AW135">
        <v>4</v>
      </c>
      <c r="AX135" t="s">
        <v>74</v>
      </c>
      <c r="AY135" t="s">
        <v>74</v>
      </c>
      <c r="AZ135" t="s">
        <v>74</v>
      </c>
      <c r="BA135" t="s">
        <v>74</v>
      </c>
      <c r="BB135">
        <v>681</v>
      </c>
      <c r="BC135">
        <v>695</v>
      </c>
      <c r="BD135" t="s">
        <v>74</v>
      </c>
      <c r="BE135" t="s">
        <v>6624</v>
      </c>
      <c r="BF135" t="str">
        <f>HYPERLINK("http://dx.doi.org/10.1093/aje/kwaa226","http://dx.doi.org/10.1093/aje/kwaa226")</f>
        <v>http://dx.doi.org/10.1093/aje/kwaa226</v>
      </c>
      <c r="BG135" t="s">
        <v>74</v>
      </c>
      <c r="BH135" t="s">
        <v>74</v>
      </c>
      <c r="BI135">
        <v>15</v>
      </c>
      <c r="BJ135" t="s">
        <v>1584</v>
      </c>
      <c r="BK135" t="s">
        <v>211</v>
      </c>
      <c r="BL135" t="s">
        <v>1584</v>
      </c>
      <c r="BM135" t="s">
        <v>6625</v>
      </c>
      <c r="BN135">
        <v>33057684</v>
      </c>
      <c r="BO135" t="s">
        <v>1539</v>
      </c>
      <c r="BP135" t="s">
        <v>74</v>
      </c>
      <c r="BQ135" t="s">
        <v>74</v>
      </c>
      <c r="BR135" t="s">
        <v>106</v>
      </c>
      <c r="BS135" t="s">
        <v>6626</v>
      </c>
      <c r="BT135" t="str">
        <f>HYPERLINK("https%3A%2F%2Fwww.webofscience.com%2Fwos%2Fwoscc%2Ffull-record%2FWOS:000644497600020","View Full Record in Web of Science")</f>
        <v>View Full Record in Web of Science</v>
      </c>
    </row>
    <row r="136" spans="1:72" x14ac:dyDescent="0.25">
      <c r="A136" t="s">
        <v>72</v>
      </c>
      <c r="B136" t="s">
        <v>8243</v>
      </c>
      <c r="C136" t="s">
        <v>74</v>
      </c>
      <c r="D136" t="s">
        <v>74</v>
      </c>
      <c r="E136" t="s">
        <v>74</v>
      </c>
      <c r="F136" t="s">
        <v>8244</v>
      </c>
      <c r="G136" t="s">
        <v>74</v>
      </c>
      <c r="H136" t="s">
        <v>74</v>
      </c>
      <c r="I136" s="1" t="s">
        <v>8245</v>
      </c>
      <c r="J136" t="s">
        <v>191</v>
      </c>
      <c r="K136" t="s">
        <v>74</v>
      </c>
      <c r="L136" t="s">
        <v>74</v>
      </c>
      <c r="M136" t="s">
        <v>78</v>
      </c>
      <c r="N136" t="s">
        <v>79</v>
      </c>
      <c r="O136" t="s">
        <v>74</v>
      </c>
      <c r="P136" t="s">
        <v>74</v>
      </c>
      <c r="Q136" t="s">
        <v>74</v>
      </c>
      <c r="R136" t="s">
        <v>74</v>
      </c>
      <c r="S136" t="s">
        <v>74</v>
      </c>
      <c r="T136" s="1" t="s">
        <v>8246</v>
      </c>
      <c r="U136" s="1" t="s">
        <v>8247</v>
      </c>
      <c r="V136" s="1" t="s">
        <v>8248</v>
      </c>
      <c r="W136" t="s">
        <v>8249</v>
      </c>
      <c r="X136" t="s">
        <v>8250</v>
      </c>
      <c r="Y136" t="s">
        <v>8251</v>
      </c>
      <c r="Z136" t="s">
        <v>8252</v>
      </c>
      <c r="AA136" t="s">
        <v>8253</v>
      </c>
      <c r="AB136" t="s">
        <v>8254</v>
      </c>
      <c r="AC136" t="s">
        <v>74</v>
      </c>
      <c r="AD136" t="s">
        <v>74</v>
      </c>
      <c r="AE136" t="s">
        <v>74</v>
      </c>
      <c r="AF136" t="s">
        <v>74</v>
      </c>
      <c r="AG136">
        <v>22</v>
      </c>
      <c r="AH136">
        <v>13</v>
      </c>
      <c r="AI136">
        <v>13</v>
      </c>
      <c r="AJ136">
        <v>24</v>
      </c>
      <c r="AK136">
        <v>104</v>
      </c>
      <c r="AL136" t="s">
        <v>202</v>
      </c>
      <c r="AM136" t="s">
        <v>203</v>
      </c>
      <c r="AN136" t="s">
        <v>204</v>
      </c>
      <c r="AO136" t="s">
        <v>74</v>
      </c>
      <c r="AP136" t="s">
        <v>205</v>
      </c>
      <c r="AQ136" t="s">
        <v>74</v>
      </c>
      <c r="AR136" t="s">
        <v>206</v>
      </c>
      <c r="AS136" t="s">
        <v>207</v>
      </c>
      <c r="AT136" t="s">
        <v>1904</v>
      </c>
      <c r="AU136">
        <v>2020</v>
      </c>
      <c r="AV136">
        <v>12</v>
      </c>
      <c r="AW136">
        <v>3</v>
      </c>
      <c r="AX136" t="s">
        <v>74</v>
      </c>
      <c r="AY136" t="s">
        <v>74</v>
      </c>
      <c r="AZ136" t="s">
        <v>74</v>
      </c>
      <c r="BA136" t="s">
        <v>74</v>
      </c>
      <c r="BB136" t="s">
        <v>74</v>
      </c>
      <c r="BC136" t="s">
        <v>74</v>
      </c>
      <c r="BD136">
        <v>1003</v>
      </c>
      <c r="BE136" t="s">
        <v>8255</v>
      </c>
      <c r="BF136" t="str">
        <f>HYPERLINK("http://dx.doi.org/10.3390/su12031003","http://dx.doi.org/10.3390/su12031003")</f>
        <v>http://dx.doi.org/10.3390/su12031003</v>
      </c>
      <c r="BG136" t="s">
        <v>74</v>
      </c>
      <c r="BH136" t="s">
        <v>74</v>
      </c>
      <c r="BI136">
        <v>5</v>
      </c>
      <c r="BJ136" t="s">
        <v>210</v>
      </c>
      <c r="BK136" t="s">
        <v>211</v>
      </c>
      <c r="BL136" t="s">
        <v>212</v>
      </c>
      <c r="BM136" t="s">
        <v>8256</v>
      </c>
      <c r="BN136" t="s">
        <v>74</v>
      </c>
      <c r="BO136" t="s">
        <v>422</v>
      </c>
      <c r="BP136" t="s">
        <v>74</v>
      </c>
      <c r="BQ136" t="s">
        <v>74</v>
      </c>
      <c r="BR136" t="s">
        <v>106</v>
      </c>
      <c r="BS136" t="s">
        <v>8257</v>
      </c>
      <c r="BT136" t="str">
        <f>HYPERLINK("https%3A%2F%2Fwww.webofscience.com%2Fwos%2Fwoscc%2Ffull-record%2FWOS:000519135105002","View Full Record in Web of Science")</f>
        <v>View Full Record in Web of Science</v>
      </c>
    </row>
    <row r="137" spans="1:72" x14ac:dyDescent="0.25">
      <c r="A137" t="s">
        <v>72</v>
      </c>
      <c r="B137" t="s">
        <v>8455</v>
      </c>
      <c r="C137" t="s">
        <v>74</v>
      </c>
      <c r="D137" t="s">
        <v>74</v>
      </c>
      <c r="E137" t="s">
        <v>74</v>
      </c>
      <c r="F137" t="s">
        <v>8456</v>
      </c>
      <c r="G137" t="s">
        <v>74</v>
      </c>
      <c r="H137" t="s">
        <v>74</v>
      </c>
      <c r="I137" s="1" t="s">
        <v>8457</v>
      </c>
      <c r="J137" t="s">
        <v>8458</v>
      </c>
      <c r="K137" t="s">
        <v>74</v>
      </c>
      <c r="L137" t="s">
        <v>74</v>
      </c>
      <c r="M137" t="s">
        <v>78</v>
      </c>
      <c r="N137" t="s">
        <v>79</v>
      </c>
      <c r="O137" t="s">
        <v>74</v>
      </c>
      <c r="P137" t="s">
        <v>74</v>
      </c>
      <c r="Q137" t="s">
        <v>74</v>
      </c>
      <c r="R137" t="s">
        <v>74</v>
      </c>
      <c r="S137" t="s">
        <v>74</v>
      </c>
      <c r="T137" s="1" t="s">
        <v>8459</v>
      </c>
      <c r="U137" s="1" t="s">
        <v>74</v>
      </c>
      <c r="V137" s="1" t="s">
        <v>8460</v>
      </c>
      <c r="W137" t="s">
        <v>8461</v>
      </c>
      <c r="X137" t="s">
        <v>8462</v>
      </c>
      <c r="Y137" t="s">
        <v>8463</v>
      </c>
      <c r="Z137" t="s">
        <v>8464</v>
      </c>
      <c r="AA137" t="s">
        <v>74</v>
      </c>
      <c r="AB137" t="s">
        <v>74</v>
      </c>
      <c r="AC137" t="s">
        <v>74</v>
      </c>
      <c r="AD137" t="s">
        <v>74</v>
      </c>
      <c r="AE137" t="s">
        <v>74</v>
      </c>
      <c r="AF137" t="s">
        <v>74</v>
      </c>
      <c r="AG137">
        <v>65</v>
      </c>
      <c r="AH137">
        <v>13</v>
      </c>
      <c r="AI137">
        <v>14</v>
      </c>
      <c r="AJ137">
        <v>5</v>
      </c>
      <c r="AK137">
        <v>31</v>
      </c>
      <c r="AL137" t="s">
        <v>1074</v>
      </c>
      <c r="AM137" t="s">
        <v>1075</v>
      </c>
      <c r="AN137" t="s">
        <v>1076</v>
      </c>
      <c r="AO137" t="s">
        <v>8465</v>
      </c>
      <c r="AP137" t="s">
        <v>8466</v>
      </c>
      <c r="AQ137" t="s">
        <v>74</v>
      </c>
      <c r="AR137" t="s">
        <v>8458</v>
      </c>
      <c r="AS137" t="s">
        <v>8467</v>
      </c>
      <c r="AT137" t="s">
        <v>2068</v>
      </c>
      <c r="AU137">
        <v>2020</v>
      </c>
      <c r="AV137">
        <v>21</v>
      </c>
      <c r="AW137">
        <v>1</v>
      </c>
      <c r="AX137" t="s">
        <v>74</v>
      </c>
      <c r="AY137" t="s">
        <v>74</v>
      </c>
      <c r="AZ137" t="s">
        <v>74</v>
      </c>
      <c r="BA137" t="s">
        <v>74</v>
      </c>
      <c r="BB137">
        <v>73</v>
      </c>
      <c r="BC137">
        <v>94</v>
      </c>
      <c r="BD137" t="s">
        <v>74</v>
      </c>
      <c r="BE137" t="s">
        <v>8468</v>
      </c>
      <c r="BF137" t="str">
        <f>HYPERLINK("http://dx.doi.org/10.1177/1464884917719145","http://dx.doi.org/10.1177/1464884917719145")</f>
        <v>http://dx.doi.org/10.1177/1464884917719145</v>
      </c>
      <c r="BG137" t="s">
        <v>74</v>
      </c>
      <c r="BH137" t="s">
        <v>74</v>
      </c>
      <c r="BI137">
        <v>22</v>
      </c>
      <c r="BJ137" t="s">
        <v>2218</v>
      </c>
      <c r="BK137" t="s">
        <v>156</v>
      </c>
      <c r="BL137" t="s">
        <v>2218</v>
      </c>
      <c r="BM137" t="s">
        <v>8469</v>
      </c>
      <c r="BN137" t="s">
        <v>74</v>
      </c>
      <c r="BO137" t="s">
        <v>74</v>
      </c>
      <c r="BP137" t="s">
        <v>74</v>
      </c>
      <c r="BQ137" t="s">
        <v>74</v>
      </c>
      <c r="BR137" t="s">
        <v>106</v>
      </c>
      <c r="BS137" t="s">
        <v>8470</v>
      </c>
      <c r="BT137" t="str">
        <f>HYPERLINK("https%3A%2F%2Fwww.webofscience.com%2Fwos%2Fwoscc%2Ffull-record%2FWOS:000506236000005","View Full Record in Web of Science")</f>
        <v>View Full Record in Web of Science</v>
      </c>
    </row>
    <row r="138" spans="1:72" x14ac:dyDescent="0.25">
      <c r="A138" t="s">
        <v>72</v>
      </c>
      <c r="B138" t="s">
        <v>11060</v>
      </c>
      <c r="C138" t="s">
        <v>74</v>
      </c>
      <c r="D138" t="s">
        <v>74</v>
      </c>
      <c r="E138" t="s">
        <v>74</v>
      </c>
      <c r="F138" t="s">
        <v>11061</v>
      </c>
      <c r="G138" t="s">
        <v>74</v>
      </c>
      <c r="H138" t="s">
        <v>74</v>
      </c>
      <c r="I138" s="1" t="s">
        <v>11505</v>
      </c>
      <c r="J138" t="s">
        <v>11506</v>
      </c>
      <c r="K138" t="s">
        <v>74</v>
      </c>
      <c r="L138" t="s">
        <v>74</v>
      </c>
      <c r="M138" t="s">
        <v>78</v>
      </c>
      <c r="N138" t="s">
        <v>79</v>
      </c>
      <c r="O138" t="s">
        <v>74</v>
      </c>
      <c r="P138" t="s">
        <v>74</v>
      </c>
      <c r="Q138" t="s">
        <v>74</v>
      </c>
      <c r="R138" t="s">
        <v>74</v>
      </c>
      <c r="S138" t="s">
        <v>74</v>
      </c>
      <c r="T138" s="1" t="s">
        <v>11507</v>
      </c>
      <c r="U138" s="1" t="s">
        <v>11508</v>
      </c>
      <c r="V138" s="1" t="s">
        <v>11509</v>
      </c>
      <c r="W138" t="s">
        <v>11510</v>
      </c>
      <c r="X138" t="s">
        <v>11068</v>
      </c>
      <c r="Y138" t="s">
        <v>11511</v>
      </c>
      <c r="Z138" t="s">
        <v>10654</v>
      </c>
      <c r="AA138" t="s">
        <v>11512</v>
      </c>
      <c r="AB138" t="s">
        <v>11513</v>
      </c>
      <c r="AC138" t="s">
        <v>74</v>
      </c>
      <c r="AD138" t="s">
        <v>74</v>
      </c>
      <c r="AE138" t="s">
        <v>74</v>
      </c>
      <c r="AF138" t="s">
        <v>74</v>
      </c>
      <c r="AG138">
        <v>48</v>
      </c>
      <c r="AH138">
        <v>13</v>
      </c>
      <c r="AI138">
        <v>13</v>
      </c>
      <c r="AJ138">
        <v>1</v>
      </c>
      <c r="AK138">
        <v>18</v>
      </c>
      <c r="AL138" t="s">
        <v>492</v>
      </c>
      <c r="AM138" t="s">
        <v>493</v>
      </c>
      <c r="AN138" t="s">
        <v>494</v>
      </c>
      <c r="AO138" t="s">
        <v>11514</v>
      </c>
      <c r="AP138" t="s">
        <v>11515</v>
      </c>
      <c r="AQ138" t="s">
        <v>74</v>
      </c>
      <c r="AR138" t="s">
        <v>11516</v>
      </c>
      <c r="AS138" t="s">
        <v>11517</v>
      </c>
      <c r="AT138" t="s">
        <v>3505</v>
      </c>
      <c r="AU138">
        <v>2015</v>
      </c>
      <c r="AV138">
        <v>52</v>
      </c>
      <c r="AW138">
        <v>1</v>
      </c>
      <c r="AX138" t="s">
        <v>74</v>
      </c>
      <c r="AY138" t="s">
        <v>74</v>
      </c>
      <c r="AZ138" t="s">
        <v>74</v>
      </c>
      <c r="BA138" t="s">
        <v>74</v>
      </c>
      <c r="BB138">
        <v>35</v>
      </c>
      <c r="BC138">
        <v>41</v>
      </c>
      <c r="BD138" t="s">
        <v>74</v>
      </c>
      <c r="BE138" t="s">
        <v>11518</v>
      </c>
      <c r="BF138" t="str">
        <f>HYPERLINK("http://dx.doi.org/10.1080/07293682.2015.1019753","http://dx.doi.org/10.1080/07293682.2015.1019753")</f>
        <v>http://dx.doi.org/10.1080/07293682.2015.1019753</v>
      </c>
      <c r="BG138" t="s">
        <v>74</v>
      </c>
      <c r="BH138" t="s">
        <v>74</v>
      </c>
      <c r="BI138">
        <v>7</v>
      </c>
      <c r="BJ138" t="s">
        <v>11077</v>
      </c>
      <c r="BK138" t="s">
        <v>183</v>
      </c>
      <c r="BL138" t="s">
        <v>1477</v>
      </c>
      <c r="BM138" t="s">
        <v>11519</v>
      </c>
      <c r="BN138" t="s">
        <v>74</v>
      </c>
      <c r="BO138" t="s">
        <v>2623</v>
      </c>
      <c r="BP138" t="s">
        <v>74</v>
      </c>
      <c r="BQ138" t="s">
        <v>74</v>
      </c>
      <c r="BR138" t="s">
        <v>106</v>
      </c>
      <c r="BS138" t="s">
        <v>11520</v>
      </c>
      <c r="BT138" t="str">
        <f>HYPERLINK("https%3A%2F%2Fwww.webofscience.com%2Fwos%2Fwoscc%2Ffull-record%2FWOS:000354277800005","View Full Record in Web of Science")</f>
        <v>View Full Record in Web of Science</v>
      </c>
    </row>
    <row r="139" spans="1:72" x14ac:dyDescent="0.25">
      <c r="A139" t="s">
        <v>72</v>
      </c>
      <c r="B139" t="s">
        <v>11809</v>
      </c>
      <c r="C139" t="s">
        <v>74</v>
      </c>
      <c r="D139" t="s">
        <v>74</v>
      </c>
      <c r="E139" t="s">
        <v>74</v>
      </c>
      <c r="F139" t="s">
        <v>11810</v>
      </c>
      <c r="G139" t="s">
        <v>74</v>
      </c>
      <c r="H139" t="s">
        <v>74</v>
      </c>
      <c r="I139" s="1" t="s">
        <v>11811</v>
      </c>
      <c r="J139" t="s">
        <v>3390</v>
      </c>
      <c r="K139" t="s">
        <v>74</v>
      </c>
      <c r="L139" t="s">
        <v>74</v>
      </c>
      <c r="M139" t="s">
        <v>78</v>
      </c>
      <c r="N139" t="s">
        <v>79</v>
      </c>
      <c r="O139" t="s">
        <v>74</v>
      </c>
      <c r="P139" t="s">
        <v>74</v>
      </c>
      <c r="Q139" t="s">
        <v>74</v>
      </c>
      <c r="R139" t="s">
        <v>74</v>
      </c>
      <c r="S139" t="s">
        <v>74</v>
      </c>
      <c r="T139" s="1" t="s">
        <v>11812</v>
      </c>
      <c r="U139" s="1" t="s">
        <v>11813</v>
      </c>
      <c r="V139" s="1" t="s">
        <v>11814</v>
      </c>
      <c r="W139" t="s">
        <v>11815</v>
      </c>
      <c r="X139" t="s">
        <v>11816</v>
      </c>
      <c r="Y139" t="s">
        <v>11817</v>
      </c>
      <c r="Z139" t="s">
        <v>11818</v>
      </c>
      <c r="AA139" t="s">
        <v>11819</v>
      </c>
      <c r="AB139" t="s">
        <v>11820</v>
      </c>
      <c r="AC139" t="s">
        <v>11821</v>
      </c>
      <c r="AD139" t="s">
        <v>11821</v>
      </c>
      <c r="AE139" t="s">
        <v>11822</v>
      </c>
      <c r="AF139" t="s">
        <v>74</v>
      </c>
      <c r="AG139">
        <v>28</v>
      </c>
      <c r="AH139">
        <v>13</v>
      </c>
      <c r="AI139">
        <v>13</v>
      </c>
      <c r="AJ139">
        <v>0</v>
      </c>
      <c r="AK139">
        <v>20</v>
      </c>
      <c r="AL139" t="s">
        <v>1636</v>
      </c>
      <c r="AM139" t="s">
        <v>93</v>
      </c>
      <c r="AN139" t="s">
        <v>1637</v>
      </c>
      <c r="AO139" t="s">
        <v>3399</v>
      </c>
      <c r="AP139" t="s">
        <v>3400</v>
      </c>
      <c r="AQ139" t="s">
        <v>74</v>
      </c>
      <c r="AR139" t="s">
        <v>3401</v>
      </c>
      <c r="AS139" t="s">
        <v>3402</v>
      </c>
      <c r="AT139" t="s">
        <v>11823</v>
      </c>
      <c r="AU139">
        <v>2014</v>
      </c>
      <c r="AV139">
        <v>38</v>
      </c>
      <c r="AW139" t="s">
        <v>10717</v>
      </c>
      <c r="AX139" t="s">
        <v>74</v>
      </c>
      <c r="AY139" t="s">
        <v>74</v>
      </c>
      <c r="AZ139" t="s">
        <v>1020</v>
      </c>
      <c r="BA139" t="s">
        <v>74</v>
      </c>
      <c r="BB139">
        <v>530</v>
      </c>
      <c r="BC139">
        <v>538</v>
      </c>
      <c r="BD139" t="s">
        <v>74</v>
      </c>
      <c r="BE139" t="s">
        <v>11824</v>
      </c>
      <c r="BF139" t="str">
        <f>HYPERLINK("http://dx.doi.org/10.1016/j.telpol.2013.12.007","http://dx.doi.org/10.1016/j.telpol.2013.12.007")</f>
        <v>http://dx.doi.org/10.1016/j.telpol.2013.12.007</v>
      </c>
      <c r="BG139" t="s">
        <v>74</v>
      </c>
      <c r="BH139" t="s">
        <v>74</v>
      </c>
      <c r="BI139">
        <v>9</v>
      </c>
      <c r="BJ139" t="s">
        <v>3404</v>
      </c>
      <c r="BK139" t="s">
        <v>211</v>
      </c>
      <c r="BL139" t="s">
        <v>3404</v>
      </c>
      <c r="BM139" t="s">
        <v>11825</v>
      </c>
      <c r="BN139" t="s">
        <v>74</v>
      </c>
      <c r="BO139" t="s">
        <v>74</v>
      </c>
      <c r="BP139" t="s">
        <v>74</v>
      </c>
      <c r="BQ139" t="s">
        <v>74</v>
      </c>
      <c r="BR139" t="s">
        <v>106</v>
      </c>
      <c r="BS139" t="s">
        <v>11826</v>
      </c>
      <c r="BT139" t="str">
        <f>HYPERLINK("https%3A%2F%2Fwww.webofscience.com%2Fwos%2Fwoscc%2Ffull-record%2FWOS:000338822900011","View Full Record in Web of Science")</f>
        <v>View Full Record in Web of Science</v>
      </c>
    </row>
    <row r="140" spans="1:72" x14ac:dyDescent="0.25">
      <c r="A140" t="s">
        <v>72</v>
      </c>
      <c r="B140" t="s">
        <v>12188</v>
      </c>
      <c r="C140" t="s">
        <v>74</v>
      </c>
      <c r="D140" t="s">
        <v>74</v>
      </c>
      <c r="E140" t="s">
        <v>74</v>
      </c>
      <c r="F140" t="s">
        <v>12189</v>
      </c>
      <c r="G140" t="s">
        <v>74</v>
      </c>
      <c r="H140" t="s">
        <v>74</v>
      </c>
      <c r="I140" s="1" t="s">
        <v>12190</v>
      </c>
      <c r="J140" t="s">
        <v>12191</v>
      </c>
      <c r="K140" t="s">
        <v>74</v>
      </c>
      <c r="L140" t="s">
        <v>74</v>
      </c>
      <c r="M140" t="s">
        <v>78</v>
      </c>
      <c r="N140" t="s">
        <v>79</v>
      </c>
      <c r="O140" t="s">
        <v>74</v>
      </c>
      <c r="P140" t="s">
        <v>74</v>
      </c>
      <c r="Q140" t="s">
        <v>74</v>
      </c>
      <c r="R140" t="s">
        <v>74</v>
      </c>
      <c r="S140" t="s">
        <v>74</v>
      </c>
      <c r="T140" s="1" t="s">
        <v>12192</v>
      </c>
      <c r="U140" s="1" t="s">
        <v>12193</v>
      </c>
      <c r="V140" s="1" t="s">
        <v>12194</v>
      </c>
      <c r="W140" t="s">
        <v>12195</v>
      </c>
      <c r="X140" t="s">
        <v>2974</v>
      </c>
      <c r="Y140" t="s">
        <v>12196</v>
      </c>
      <c r="Z140" t="s">
        <v>12197</v>
      </c>
      <c r="AA140" t="s">
        <v>74</v>
      </c>
      <c r="AB140" t="s">
        <v>74</v>
      </c>
      <c r="AC140" t="s">
        <v>74</v>
      </c>
      <c r="AD140" t="s">
        <v>74</v>
      </c>
      <c r="AE140" t="s">
        <v>74</v>
      </c>
      <c r="AF140" t="s">
        <v>74</v>
      </c>
      <c r="AG140">
        <v>46</v>
      </c>
      <c r="AH140">
        <v>13</v>
      </c>
      <c r="AI140">
        <v>13</v>
      </c>
      <c r="AJ140">
        <v>0</v>
      </c>
      <c r="AK140">
        <v>0</v>
      </c>
      <c r="AL140" t="s">
        <v>12198</v>
      </c>
      <c r="AM140" t="s">
        <v>12199</v>
      </c>
      <c r="AN140" t="s">
        <v>12200</v>
      </c>
      <c r="AO140" t="s">
        <v>12201</v>
      </c>
      <c r="AP140" t="s">
        <v>12202</v>
      </c>
      <c r="AQ140" t="s">
        <v>74</v>
      </c>
      <c r="AR140" t="s">
        <v>12203</v>
      </c>
      <c r="AS140" t="s">
        <v>12204</v>
      </c>
      <c r="AT140" t="s">
        <v>74</v>
      </c>
      <c r="AU140">
        <v>2013</v>
      </c>
      <c r="AV140">
        <v>8</v>
      </c>
      <c r="AW140" t="s">
        <v>5946</v>
      </c>
      <c r="AX140" t="s">
        <v>74</v>
      </c>
      <c r="AY140" t="s">
        <v>74</v>
      </c>
      <c r="AZ140" t="s">
        <v>74</v>
      </c>
      <c r="BA140" t="s">
        <v>74</v>
      </c>
      <c r="BB140">
        <v>32</v>
      </c>
      <c r="BC140">
        <v>48</v>
      </c>
      <c r="BD140" t="s">
        <v>74</v>
      </c>
      <c r="BE140" t="s">
        <v>74</v>
      </c>
      <c r="BF140" t="s">
        <v>74</v>
      </c>
      <c r="BG140" t="s">
        <v>74</v>
      </c>
      <c r="BH140" t="s">
        <v>74</v>
      </c>
      <c r="BI140">
        <v>17</v>
      </c>
      <c r="BJ140" t="s">
        <v>1326</v>
      </c>
      <c r="BK140" t="s">
        <v>183</v>
      </c>
      <c r="BL140" t="s">
        <v>1326</v>
      </c>
      <c r="BM140" t="s">
        <v>12205</v>
      </c>
      <c r="BN140" t="s">
        <v>74</v>
      </c>
      <c r="BO140" t="s">
        <v>74</v>
      </c>
      <c r="BP140" t="s">
        <v>74</v>
      </c>
      <c r="BQ140" t="s">
        <v>74</v>
      </c>
      <c r="BR140" t="s">
        <v>106</v>
      </c>
      <c r="BS140" t="s">
        <v>12206</v>
      </c>
      <c r="BT140" t="str">
        <f>HYPERLINK("https%3A%2F%2Fwww.webofscience.com%2Fwos%2Fwoscc%2Ffull-record%2FWOS:000436010000003","View Full Record in Web of Science")</f>
        <v>View Full Record in Web of Science</v>
      </c>
    </row>
    <row r="141" spans="1:72" x14ac:dyDescent="0.25">
      <c r="A141" t="s">
        <v>72</v>
      </c>
      <c r="B141" t="s">
        <v>2429</v>
      </c>
      <c r="C141" t="s">
        <v>74</v>
      </c>
      <c r="D141" t="s">
        <v>74</v>
      </c>
      <c r="E141" t="s">
        <v>74</v>
      </c>
      <c r="F141" t="s">
        <v>2430</v>
      </c>
      <c r="G141" t="s">
        <v>74</v>
      </c>
      <c r="H141" t="s">
        <v>74</v>
      </c>
      <c r="I141" s="1" t="s">
        <v>2431</v>
      </c>
      <c r="J141" t="s">
        <v>2432</v>
      </c>
      <c r="K141" t="s">
        <v>74</v>
      </c>
      <c r="L141" t="s">
        <v>74</v>
      </c>
      <c r="M141" t="s">
        <v>78</v>
      </c>
      <c r="N141" t="s">
        <v>79</v>
      </c>
      <c r="O141" t="s">
        <v>74</v>
      </c>
      <c r="P141" t="s">
        <v>74</v>
      </c>
      <c r="Q141" t="s">
        <v>74</v>
      </c>
      <c r="R141" t="s">
        <v>74</v>
      </c>
      <c r="S141" t="s">
        <v>74</v>
      </c>
      <c r="T141" s="1" t="s">
        <v>2433</v>
      </c>
      <c r="U141" s="1" t="s">
        <v>2434</v>
      </c>
      <c r="V141" s="1" t="s">
        <v>2435</v>
      </c>
      <c r="W141" t="s">
        <v>2436</v>
      </c>
      <c r="X141" t="s">
        <v>2437</v>
      </c>
      <c r="Y141" t="s">
        <v>2438</v>
      </c>
      <c r="Z141" t="s">
        <v>2439</v>
      </c>
      <c r="AA141" t="s">
        <v>74</v>
      </c>
      <c r="AB141" t="s">
        <v>2440</v>
      </c>
      <c r="AC141" t="s">
        <v>2441</v>
      </c>
      <c r="AD141" t="s">
        <v>2442</v>
      </c>
      <c r="AE141" t="s">
        <v>2443</v>
      </c>
      <c r="AF141" t="s">
        <v>74</v>
      </c>
      <c r="AG141">
        <v>80</v>
      </c>
      <c r="AH141">
        <v>12</v>
      </c>
      <c r="AI141">
        <v>12</v>
      </c>
      <c r="AJ141">
        <v>27</v>
      </c>
      <c r="AK141">
        <v>42</v>
      </c>
      <c r="AL141" t="s">
        <v>1701</v>
      </c>
      <c r="AM141" t="s">
        <v>1702</v>
      </c>
      <c r="AN141" t="s">
        <v>1703</v>
      </c>
      <c r="AO141" t="s">
        <v>2444</v>
      </c>
      <c r="AP141" t="s">
        <v>2445</v>
      </c>
      <c r="AQ141" t="s">
        <v>74</v>
      </c>
      <c r="AR141" t="s">
        <v>2446</v>
      </c>
      <c r="AS141" t="s">
        <v>2447</v>
      </c>
      <c r="AT141" t="s">
        <v>1683</v>
      </c>
      <c r="AU141">
        <v>2023</v>
      </c>
      <c r="AV141">
        <v>10</v>
      </c>
      <c r="AW141">
        <v>1</v>
      </c>
      <c r="AX141" t="s">
        <v>74</v>
      </c>
      <c r="AY141" t="s">
        <v>74</v>
      </c>
      <c r="AZ141" t="s">
        <v>74</v>
      </c>
      <c r="BA141" t="s">
        <v>74</v>
      </c>
      <c r="BB141">
        <v>39</v>
      </c>
      <c r="BC141">
        <v>50</v>
      </c>
      <c r="BD141" t="s">
        <v>74</v>
      </c>
      <c r="BE141" t="s">
        <v>2448</v>
      </c>
      <c r="BF141" t="str">
        <f>HYPERLINK("http://dx.doi.org/10.1007/s42524-022-0230-4","http://dx.doi.org/10.1007/s42524-022-0230-4")</f>
        <v>http://dx.doi.org/10.1007/s42524-022-0230-4</v>
      </c>
      <c r="BG141" t="s">
        <v>74</v>
      </c>
      <c r="BH141" t="s">
        <v>2368</v>
      </c>
      <c r="BI141">
        <v>12</v>
      </c>
      <c r="BJ141" t="s">
        <v>2449</v>
      </c>
      <c r="BK141" t="s">
        <v>183</v>
      </c>
      <c r="BL141" t="s">
        <v>1685</v>
      </c>
      <c r="BM141" t="s">
        <v>2450</v>
      </c>
      <c r="BN141" t="s">
        <v>74</v>
      </c>
      <c r="BO141" t="s">
        <v>791</v>
      </c>
      <c r="BP141" t="s">
        <v>74</v>
      </c>
      <c r="BQ141" t="s">
        <v>74</v>
      </c>
      <c r="BR141" t="s">
        <v>106</v>
      </c>
      <c r="BS141" t="s">
        <v>2451</v>
      </c>
      <c r="BT141" t="str">
        <f>HYPERLINK("https%3A%2F%2Fwww.webofscience.com%2Fwos%2Fwoscc%2Ffull-record%2FWOS:000900054200001","View Full Record in Web of Science")</f>
        <v>View Full Record in Web of Science</v>
      </c>
    </row>
    <row r="142" spans="1:72" x14ac:dyDescent="0.25">
      <c r="A142" t="s">
        <v>72</v>
      </c>
      <c r="B142" t="s">
        <v>4725</v>
      </c>
      <c r="C142" t="s">
        <v>74</v>
      </c>
      <c r="D142" t="s">
        <v>74</v>
      </c>
      <c r="E142" t="s">
        <v>74</v>
      </c>
      <c r="F142" t="s">
        <v>4726</v>
      </c>
      <c r="G142" t="s">
        <v>74</v>
      </c>
      <c r="H142" t="s">
        <v>74</v>
      </c>
      <c r="I142" s="1" t="s">
        <v>4727</v>
      </c>
      <c r="J142" t="s">
        <v>4728</v>
      </c>
      <c r="K142" t="s">
        <v>74</v>
      </c>
      <c r="L142" t="s">
        <v>74</v>
      </c>
      <c r="M142" t="s">
        <v>78</v>
      </c>
      <c r="N142" t="s">
        <v>79</v>
      </c>
      <c r="O142" t="s">
        <v>74</v>
      </c>
      <c r="P142" t="s">
        <v>74</v>
      </c>
      <c r="Q142" t="s">
        <v>74</v>
      </c>
      <c r="R142" t="s">
        <v>74</v>
      </c>
      <c r="S142" t="s">
        <v>74</v>
      </c>
      <c r="T142" s="1" t="s">
        <v>4729</v>
      </c>
      <c r="U142" s="1" t="s">
        <v>4730</v>
      </c>
      <c r="V142" s="1" t="s">
        <v>4731</v>
      </c>
      <c r="W142" t="s">
        <v>4732</v>
      </c>
      <c r="X142" t="s">
        <v>4733</v>
      </c>
      <c r="Y142" t="s">
        <v>4734</v>
      </c>
      <c r="Z142" t="s">
        <v>4735</v>
      </c>
      <c r="AA142" t="s">
        <v>4736</v>
      </c>
      <c r="AB142" t="s">
        <v>4737</v>
      </c>
      <c r="AC142" t="s">
        <v>74</v>
      </c>
      <c r="AD142" t="s">
        <v>74</v>
      </c>
      <c r="AE142" t="s">
        <v>74</v>
      </c>
      <c r="AF142" t="s">
        <v>74</v>
      </c>
      <c r="AG142">
        <v>68</v>
      </c>
      <c r="AH142">
        <v>12</v>
      </c>
      <c r="AI142">
        <v>12</v>
      </c>
      <c r="AJ142">
        <v>0</v>
      </c>
      <c r="AK142">
        <v>18</v>
      </c>
      <c r="AL142" t="s">
        <v>202</v>
      </c>
      <c r="AM142" t="s">
        <v>203</v>
      </c>
      <c r="AN142" t="s">
        <v>204</v>
      </c>
      <c r="AO142" t="s">
        <v>74</v>
      </c>
      <c r="AP142" t="s">
        <v>4738</v>
      </c>
      <c r="AQ142" t="s">
        <v>74</v>
      </c>
      <c r="AR142" t="s">
        <v>4739</v>
      </c>
      <c r="AS142" t="s">
        <v>4740</v>
      </c>
      <c r="AT142" t="s">
        <v>1904</v>
      </c>
      <c r="AU142">
        <v>2022</v>
      </c>
      <c r="AV142">
        <v>11</v>
      </c>
      <c r="AW142">
        <v>3</v>
      </c>
      <c r="AX142" t="s">
        <v>74</v>
      </c>
      <c r="AY142" t="s">
        <v>74</v>
      </c>
      <c r="AZ142" t="s">
        <v>74</v>
      </c>
      <c r="BA142" t="s">
        <v>74</v>
      </c>
      <c r="BB142" t="s">
        <v>74</v>
      </c>
      <c r="BC142" t="s">
        <v>74</v>
      </c>
      <c r="BD142">
        <v>293</v>
      </c>
      <c r="BE142" t="s">
        <v>4741</v>
      </c>
      <c r="BF142" t="str">
        <f>HYPERLINK("http://dx.doi.org/10.3390/electronics11030293","http://dx.doi.org/10.3390/electronics11030293")</f>
        <v>http://dx.doi.org/10.3390/electronics11030293</v>
      </c>
      <c r="BG142" t="s">
        <v>74</v>
      </c>
      <c r="BH142" t="s">
        <v>74</v>
      </c>
      <c r="BI142">
        <v>20</v>
      </c>
      <c r="BJ142" t="s">
        <v>4742</v>
      </c>
      <c r="BK142" t="s">
        <v>211</v>
      </c>
      <c r="BL142" t="s">
        <v>4743</v>
      </c>
      <c r="BM142" t="s">
        <v>4744</v>
      </c>
      <c r="BN142" t="s">
        <v>74</v>
      </c>
      <c r="BO142" t="s">
        <v>186</v>
      </c>
      <c r="BP142" t="s">
        <v>74</v>
      </c>
      <c r="BQ142" t="s">
        <v>74</v>
      </c>
      <c r="BR142" t="s">
        <v>106</v>
      </c>
      <c r="BS142" t="s">
        <v>4745</v>
      </c>
      <c r="BT142" t="str">
        <f>HYPERLINK("https%3A%2F%2Fwww.webofscience.com%2Fwos%2Fwoscc%2Ffull-record%2FWOS:000756024500001","View Full Record in Web of Science")</f>
        <v>View Full Record in Web of Science</v>
      </c>
    </row>
    <row r="143" spans="1:72" x14ac:dyDescent="0.25">
      <c r="A143" t="s">
        <v>72</v>
      </c>
      <c r="B143" t="s">
        <v>5562</v>
      </c>
      <c r="C143" t="s">
        <v>74</v>
      </c>
      <c r="D143" t="s">
        <v>74</v>
      </c>
      <c r="E143" t="s">
        <v>74</v>
      </c>
      <c r="F143" t="s">
        <v>5563</v>
      </c>
      <c r="G143" t="s">
        <v>74</v>
      </c>
      <c r="H143" t="s">
        <v>74</v>
      </c>
      <c r="I143" s="1" t="s">
        <v>5564</v>
      </c>
      <c r="J143" t="s">
        <v>321</v>
      </c>
      <c r="K143" t="s">
        <v>74</v>
      </c>
      <c r="L143" t="s">
        <v>74</v>
      </c>
      <c r="M143" t="s">
        <v>78</v>
      </c>
      <c r="N143" t="s">
        <v>79</v>
      </c>
      <c r="O143" t="s">
        <v>74</v>
      </c>
      <c r="P143" t="s">
        <v>74</v>
      </c>
      <c r="Q143" t="s">
        <v>74</v>
      </c>
      <c r="R143" t="s">
        <v>74</v>
      </c>
      <c r="S143" t="s">
        <v>74</v>
      </c>
      <c r="T143" s="1" t="s">
        <v>5565</v>
      </c>
      <c r="U143" s="1" t="s">
        <v>5566</v>
      </c>
      <c r="V143" s="1" t="s">
        <v>5567</v>
      </c>
      <c r="W143" t="s">
        <v>5568</v>
      </c>
      <c r="X143" t="s">
        <v>5569</v>
      </c>
      <c r="Y143" t="s">
        <v>5570</v>
      </c>
      <c r="Z143" t="s">
        <v>5571</v>
      </c>
      <c r="AA143" t="s">
        <v>5572</v>
      </c>
      <c r="AB143" t="s">
        <v>5573</v>
      </c>
      <c r="AC143" t="s">
        <v>74</v>
      </c>
      <c r="AD143" t="s">
        <v>74</v>
      </c>
      <c r="AE143" t="s">
        <v>74</v>
      </c>
      <c r="AF143" t="s">
        <v>74</v>
      </c>
      <c r="AG143">
        <v>127</v>
      </c>
      <c r="AH143">
        <v>12</v>
      </c>
      <c r="AI143">
        <v>12</v>
      </c>
      <c r="AJ143">
        <v>20</v>
      </c>
      <c r="AK143">
        <v>127</v>
      </c>
      <c r="AL143" t="s">
        <v>332</v>
      </c>
      <c r="AM143" t="s">
        <v>122</v>
      </c>
      <c r="AN143" t="s">
        <v>333</v>
      </c>
      <c r="AO143" t="s">
        <v>334</v>
      </c>
      <c r="AP143" t="s">
        <v>335</v>
      </c>
      <c r="AQ143" t="s">
        <v>74</v>
      </c>
      <c r="AR143" t="s">
        <v>336</v>
      </c>
      <c r="AS143" t="s">
        <v>337</v>
      </c>
      <c r="AT143" t="s">
        <v>2068</v>
      </c>
      <c r="AU143">
        <v>2022</v>
      </c>
      <c r="AV143">
        <v>174</v>
      </c>
      <c r="AW143" t="s">
        <v>74</v>
      </c>
      <c r="AX143" t="s">
        <v>74</v>
      </c>
      <c r="AY143" t="s">
        <v>74</v>
      </c>
      <c r="AZ143" t="s">
        <v>74</v>
      </c>
      <c r="BA143" t="s">
        <v>74</v>
      </c>
      <c r="BB143" t="s">
        <v>74</v>
      </c>
      <c r="BC143" t="s">
        <v>74</v>
      </c>
      <c r="BD143">
        <v>121293</v>
      </c>
      <c r="BE143" t="s">
        <v>5574</v>
      </c>
      <c r="BF143" t="str">
        <f>HYPERLINK("http://dx.doi.org/10.1016/j.techfore.2021.121293","http://dx.doi.org/10.1016/j.techfore.2021.121293")</f>
        <v>http://dx.doi.org/10.1016/j.techfore.2021.121293</v>
      </c>
      <c r="BG143" t="s">
        <v>74</v>
      </c>
      <c r="BH143" t="s">
        <v>5559</v>
      </c>
      <c r="BI143">
        <v>13</v>
      </c>
      <c r="BJ143" t="s">
        <v>339</v>
      </c>
      <c r="BK143" t="s">
        <v>156</v>
      </c>
      <c r="BL143" t="s">
        <v>340</v>
      </c>
      <c r="BM143" t="s">
        <v>5575</v>
      </c>
      <c r="BN143" t="s">
        <v>74</v>
      </c>
      <c r="BO143" t="s">
        <v>4521</v>
      </c>
      <c r="BP143" t="s">
        <v>74</v>
      </c>
      <c r="BQ143" t="s">
        <v>74</v>
      </c>
      <c r="BR143" t="s">
        <v>106</v>
      </c>
      <c r="BS143" t="s">
        <v>5576</v>
      </c>
      <c r="BT143" t="str">
        <f>HYPERLINK("https%3A%2F%2Fwww.webofscience.com%2Fwos%2Fwoscc%2Ffull-record%2FWOS:000719370700002","View Full Record in Web of Science")</f>
        <v>View Full Record in Web of Science</v>
      </c>
    </row>
    <row r="144" spans="1:72" x14ac:dyDescent="0.25">
      <c r="A144" t="s">
        <v>72</v>
      </c>
      <c r="B144" t="s">
        <v>5899</v>
      </c>
      <c r="C144" t="s">
        <v>74</v>
      </c>
      <c r="D144" t="s">
        <v>74</v>
      </c>
      <c r="E144" t="s">
        <v>74</v>
      </c>
      <c r="F144" t="s">
        <v>5900</v>
      </c>
      <c r="G144" t="s">
        <v>74</v>
      </c>
      <c r="H144" t="s">
        <v>74</v>
      </c>
      <c r="I144" s="1" t="s">
        <v>5901</v>
      </c>
      <c r="J144" t="s">
        <v>191</v>
      </c>
      <c r="K144" t="s">
        <v>74</v>
      </c>
      <c r="L144" t="s">
        <v>74</v>
      </c>
      <c r="M144" t="s">
        <v>78</v>
      </c>
      <c r="N144" t="s">
        <v>79</v>
      </c>
      <c r="O144" t="s">
        <v>74</v>
      </c>
      <c r="P144" t="s">
        <v>74</v>
      </c>
      <c r="Q144" t="s">
        <v>74</v>
      </c>
      <c r="R144" t="s">
        <v>74</v>
      </c>
      <c r="S144" t="s">
        <v>74</v>
      </c>
      <c r="T144" s="1" t="s">
        <v>5902</v>
      </c>
      <c r="U144" s="1" t="s">
        <v>5903</v>
      </c>
      <c r="V144" s="1" t="s">
        <v>5904</v>
      </c>
      <c r="W144" t="s">
        <v>5905</v>
      </c>
      <c r="X144" t="s">
        <v>5906</v>
      </c>
      <c r="Y144" t="s">
        <v>5907</v>
      </c>
      <c r="Z144" t="s">
        <v>5908</v>
      </c>
      <c r="AA144" t="s">
        <v>74</v>
      </c>
      <c r="AB144" t="s">
        <v>74</v>
      </c>
      <c r="AC144" t="s">
        <v>74</v>
      </c>
      <c r="AD144" t="s">
        <v>74</v>
      </c>
      <c r="AE144" t="s">
        <v>74</v>
      </c>
      <c r="AF144" t="s">
        <v>74</v>
      </c>
      <c r="AG144">
        <v>43</v>
      </c>
      <c r="AH144">
        <v>12</v>
      </c>
      <c r="AI144">
        <v>12</v>
      </c>
      <c r="AJ144">
        <v>50</v>
      </c>
      <c r="AK144">
        <v>320</v>
      </c>
      <c r="AL144" t="s">
        <v>202</v>
      </c>
      <c r="AM144" t="s">
        <v>203</v>
      </c>
      <c r="AN144" t="s">
        <v>204</v>
      </c>
      <c r="AO144" t="s">
        <v>74</v>
      </c>
      <c r="AP144" t="s">
        <v>205</v>
      </c>
      <c r="AQ144" t="s">
        <v>74</v>
      </c>
      <c r="AR144" t="s">
        <v>206</v>
      </c>
      <c r="AS144" t="s">
        <v>207</v>
      </c>
      <c r="AT144" t="s">
        <v>356</v>
      </c>
      <c r="AU144">
        <v>2021</v>
      </c>
      <c r="AV144">
        <v>13</v>
      </c>
      <c r="AW144">
        <v>17</v>
      </c>
      <c r="AX144" t="s">
        <v>74</v>
      </c>
      <c r="AY144" t="s">
        <v>74</v>
      </c>
      <c r="AZ144" t="s">
        <v>74</v>
      </c>
      <c r="BA144" t="s">
        <v>74</v>
      </c>
      <c r="BB144" t="s">
        <v>74</v>
      </c>
      <c r="BC144" t="s">
        <v>74</v>
      </c>
      <c r="BD144">
        <v>9766</v>
      </c>
      <c r="BE144" t="s">
        <v>5909</v>
      </c>
      <c r="BF144" t="str">
        <f>HYPERLINK("http://dx.doi.org/10.3390/su13179766","http://dx.doi.org/10.3390/su13179766")</f>
        <v>http://dx.doi.org/10.3390/su13179766</v>
      </c>
      <c r="BG144" t="s">
        <v>74</v>
      </c>
      <c r="BH144" t="s">
        <v>74</v>
      </c>
      <c r="BI144">
        <v>15</v>
      </c>
      <c r="BJ144" t="s">
        <v>210</v>
      </c>
      <c r="BK144" t="s">
        <v>211</v>
      </c>
      <c r="BL144" t="s">
        <v>212</v>
      </c>
      <c r="BM144" t="s">
        <v>5910</v>
      </c>
      <c r="BN144" t="s">
        <v>74</v>
      </c>
      <c r="BO144" t="s">
        <v>186</v>
      </c>
      <c r="BP144" t="s">
        <v>74</v>
      </c>
      <c r="BQ144" t="s">
        <v>74</v>
      </c>
      <c r="BR144" t="s">
        <v>106</v>
      </c>
      <c r="BS144" t="s">
        <v>5911</v>
      </c>
      <c r="BT144" t="str">
        <f>HYPERLINK("https%3A%2F%2Fwww.webofscience.com%2Fwos%2Fwoscc%2Ffull-record%2FWOS:000694471200001","View Full Record in Web of Science")</f>
        <v>View Full Record in Web of Science</v>
      </c>
    </row>
    <row r="145" spans="1:72" x14ac:dyDescent="0.25">
      <c r="A145" t="s">
        <v>72</v>
      </c>
      <c r="B145" t="s">
        <v>7387</v>
      </c>
      <c r="C145" t="s">
        <v>74</v>
      </c>
      <c r="D145" t="s">
        <v>74</v>
      </c>
      <c r="E145" t="s">
        <v>74</v>
      </c>
      <c r="F145" t="s">
        <v>7388</v>
      </c>
      <c r="G145" t="s">
        <v>74</v>
      </c>
      <c r="H145" t="s">
        <v>74</v>
      </c>
      <c r="I145" s="1" t="s">
        <v>7389</v>
      </c>
      <c r="J145" t="s">
        <v>7390</v>
      </c>
      <c r="K145" t="s">
        <v>74</v>
      </c>
      <c r="L145" t="s">
        <v>74</v>
      </c>
      <c r="M145" t="s">
        <v>78</v>
      </c>
      <c r="N145" t="s">
        <v>79</v>
      </c>
      <c r="O145" t="s">
        <v>74</v>
      </c>
      <c r="P145" t="s">
        <v>74</v>
      </c>
      <c r="Q145" t="s">
        <v>74</v>
      </c>
      <c r="R145" t="s">
        <v>74</v>
      </c>
      <c r="S145" t="s">
        <v>74</v>
      </c>
      <c r="T145" s="1" t="s">
        <v>7391</v>
      </c>
      <c r="U145" s="1" t="s">
        <v>7392</v>
      </c>
      <c r="V145" s="1" t="s">
        <v>7393</v>
      </c>
      <c r="W145" t="s">
        <v>7394</v>
      </c>
      <c r="X145" t="s">
        <v>7395</v>
      </c>
      <c r="Y145" t="s">
        <v>7396</v>
      </c>
      <c r="Z145" t="s">
        <v>7397</v>
      </c>
      <c r="AA145" t="s">
        <v>74</v>
      </c>
      <c r="AB145" t="s">
        <v>74</v>
      </c>
      <c r="AC145" t="s">
        <v>7398</v>
      </c>
      <c r="AD145" t="s">
        <v>7398</v>
      </c>
      <c r="AE145" t="s">
        <v>7399</v>
      </c>
      <c r="AF145" t="s">
        <v>74</v>
      </c>
      <c r="AG145">
        <v>41</v>
      </c>
      <c r="AH145">
        <v>12</v>
      </c>
      <c r="AI145">
        <v>12</v>
      </c>
      <c r="AJ145">
        <v>1</v>
      </c>
      <c r="AK145">
        <v>29</v>
      </c>
      <c r="AL145" t="s">
        <v>231</v>
      </c>
      <c r="AM145" t="s">
        <v>232</v>
      </c>
      <c r="AN145" t="s">
        <v>233</v>
      </c>
      <c r="AO145" t="s">
        <v>7400</v>
      </c>
      <c r="AP145" t="s">
        <v>7401</v>
      </c>
      <c r="AQ145" t="s">
        <v>74</v>
      </c>
      <c r="AR145" t="s">
        <v>7402</v>
      </c>
      <c r="AS145" t="s">
        <v>7403</v>
      </c>
      <c r="AT145" t="s">
        <v>2068</v>
      </c>
      <c r="AU145">
        <v>2021</v>
      </c>
      <c r="AV145">
        <v>64</v>
      </c>
      <c r="AW145" t="s">
        <v>74</v>
      </c>
      <c r="AX145" t="s">
        <v>74</v>
      </c>
      <c r="AY145" t="s">
        <v>74</v>
      </c>
      <c r="AZ145" t="s">
        <v>74</v>
      </c>
      <c r="BA145" t="s">
        <v>74</v>
      </c>
      <c r="BB145">
        <v>158</v>
      </c>
      <c r="BC145">
        <v>172</v>
      </c>
      <c r="BD145" t="s">
        <v>74</v>
      </c>
      <c r="BE145" t="s">
        <v>7404</v>
      </c>
      <c r="BF145" t="str">
        <f>HYPERLINK("http://dx.doi.org/10.1016/j.socnet.2020.09.005","http://dx.doi.org/10.1016/j.socnet.2020.09.005")</f>
        <v>http://dx.doi.org/10.1016/j.socnet.2020.09.005</v>
      </c>
      <c r="BG145" t="s">
        <v>74</v>
      </c>
      <c r="BH145" t="s">
        <v>74</v>
      </c>
      <c r="BI145">
        <v>15</v>
      </c>
      <c r="BJ145" t="s">
        <v>7405</v>
      </c>
      <c r="BK145" t="s">
        <v>156</v>
      </c>
      <c r="BL145" t="s">
        <v>7405</v>
      </c>
      <c r="BM145" t="s">
        <v>7406</v>
      </c>
      <c r="BN145" t="s">
        <v>74</v>
      </c>
      <c r="BO145" t="s">
        <v>2623</v>
      </c>
      <c r="BP145" t="s">
        <v>74</v>
      </c>
      <c r="BQ145" t="s">
        <v>74</v>
      </c>
      <c r="BR145" t="s">
        <v>106</v>
      </c>
      <c r="BS145" t="s">
        <v>7407</v>
      </c>
      <c r="BT145" t="str">
        <f>HYPERLINK("https%3A%2F%2Fwww.webofscience.com%2Fwos%2Fwoscc%2Ffull-record%2FWOS:000591504700004","View Full Record in Web of Science")</f>
        <v>View Full Record in Web of Science</v>
      </c>
    </row>
    <row r="146" spans="1:72" s="6" customFormat="1" x14ac:dyDescent="0.25">
      <c r="A146" s="6" t="s">
        <v>72</v>
      </c>
      <c r="B146" s="6" t="s">
        <v>7651</v>
      </c>
      <c r="C146" s="6" t="s">
        <v>74</v>
      </c>
      <c r="D146" s="6" t="s">
        <v>74</v>
      </c>
      <c r="E146" s="6" t="s">
        <v>74</v>
      </c>
      <c r="F146" s="6" t="s">
        <v>7652</v>
      </c>
      <c r="G146" s="6" t="s">
        <v>74</v>
      </c>
      <c r="H146" s="6" t="s">
        <v>74</v>
      </c>
      <c r="I146" s="6" t="s">
        <v>7653</v>
      </c>
      <c r="J146" s="6" t="s">
        <v>1145</v>
      </c>
      <c r="K146" s="6" t="s">
        <v>74</v>
      </c>
      <c r="L146" s="6" t="s">
        <v>74</v>
      </c>
      <c r="M146" s="6" t="s">
        <v>78</v>
      </c>
      <c r="N146" s="6" t="s">
        <v>79</v>
      </c>
      <c r="O146" s="6" t="s">
        <v>74</v>
      </c>
      <c r="P146" s="6" t="s">
        <v>74</v>
      </c>
      <c r="Q146" s="6" t="s">
        <v>74</v>
      </c>
      <c r="R146" s="6" t="s">
        <v>74</v>
      </c>
      <c r="S146" s="6" t="s">
        <v>74</v>
      </c>
      <c r="T146" s="6" t="s">
        <v>7654</v>
      </c>
      <c r="U146" s="6" t="s">
        <v>7655</v>
      </c>
      <c r="V146" s="6" t="s">
        <v>7656</v>
      </c>
      <c r="W146" s="6" t="s">
        <v>7657</v>
      </c>
      <c r="X146" s="6" t="s">
        <v>7658</v>
      </c>
      <c r="Y146" s="6" t="s">
        <v>7659</v>
      </c>
      <c r="Z146" s="6" t="s">
        <v>7660</v>
      </c>
      <c r="AA146" s="6" t="s">
        <v>7661</v>
      </c>
      <c r="AB146" s="6" t="s">
        <v>7662</v>
      </c>
      <c r="AC146" s="6" t="s">
        <v>74</v>
      </c>
      <c r="AD146" s="6" t="s">
        <v>74</v>
      </c>
      <c r="AE146" s="6" t="s">
        <v>74</v>
      </c>
      <c r="AF146" s="6" t="s">
        <v>74</v>
      </c>
      <c r="AG146" s="6">
        <v>68</v>
      </c>
      <c r="AH146" s="6">
        <v>12</v>
      </c>
      <c r="AI146" s="6">
        <v>13</v>
      </c>
      <c r="AJ146" s="6">
        <v>24</v>
      </c>
      <c r="AK146" s="6">
        <v>192</v>
      </c>
      <c r="AL146" s="6" t="s">
        <v>1154</v>
      </c>
      <c r="AM146" s="6" t="s">
        <v>1155</v>
      </c>
      <c r="AN146" s="6" t="s">
        <v>1156</v>
      </c>
      <c r="AO146" s="6" t="s">
        <v>1157</v>
      </c>
      <c r="AP146" s="6" t="s">
        <v>1158</v>
      </c>
      <c r="AQ146" s="6" t="s">
        <v>74</v>
      </c>
      <c r="AR146" s="6" t="s">
        <v>1159</v>
      </c>
      <c r="AS146" s="6" t="s">
        <v>1160</v>
      </c>
      <c r="AT146" s="6" t="s">
        <v>476</v>
      </c>
      <c r="AU146" s="6">
        <v>2020</v>
      </c>
      <c r="AV146" s="6">
        <v>25</v>
      </c>
      <c r="AW146" s="6">
        <v>2</v>
      </c>
      <c r="AX146" s="6" t="s">
        <v>74</v>
      </c>
      <c r="AY146" s="6" t="s">
        <v>74</v>
      </c>
      <c r="AZ146" s="6" t="s">
        <v>74</v>
      </c>
      <c r="BA146" s="6" t="s">
        <v>74</v>
      </c>
      <c r="BB146" s="6">
        <v>111</v>
      </c>
      <c r="BC146" s="6">
        <v>132</v>
      </c>
      <c r="BD146" s="6" t="s">
        <v>74</v>
      </c>
      <c r="BE146" s="6" t="s">
        <v>7663</v>
      </c>
      <c r="BF146" s="6" t="str">
        <f>HYPERLINK("http://dx.doi.org/10.30924/mjcmi.25.2.6","http://dx.doi.org/10.30924/mjcmi.25.2.6")</f>
        <v>http://dx.doi.org/10.30924/mjcmi.25.2.6</v>
      </c>
      <c r="BG146" s="6" t="s">
        <v>74</v>
      </c>
      <c r="BH146" s="6" t="s">
        <v>74</v>
      </c>
      <c r="BI146" s="6">
        <v>22</v>
      </c>
      <c r="BJ146" s="6" t="s">
        <v>315</v>
      </c>
      <c r="BK146" s="6" t="s">
        <v>183</v>
      </c>
      <c r="BL146" s="6" t="s">
        <v>265</v>
      </c>
      <c r="BM146" s="6" t="s">
        <v>7664</v>
      </c>
      <c r="BN146" s="6" t="s">
        <v>74</v>
      </c>
      <c r="BO146" s="6" t="s">
        <v>186</v>
      </c>
      <c r="BP146" s="6" t="s">
        <v>74</v>
      </c>
      <c r="BQ146" s="6" t="s">
        <v>74</v>
      </c>
      <c r="BR146" s="6" t="s">
        <v>106</v>
      </c>
      <c r="BS146" s="6" t="s">
        <v>7665</v>
      </c>
      <c r="BT146" s="6" t="str">
        <f>HYPERLINK("https%3A%2F%2Fwww.webofscience.com%2Fwos%2Fwoscc%2Ffull-record%2FWOS:000602684700006","View Full Record in Web of Science")</f>
        <v>View Full Record in Web of Science</v>
      </c>
    </row>
    <row r="147" spans="1:72" x14ac:dyDescent="0.25">
      <c r="A147" t="s">
        <v>72</v>
      </c>
      <c r="B147" t="s">
        <v>2604</v>
      </c>
      <c r="C147" t="s">
        <v>74</v>
      </c>
      <c r="D147" t="s">
        <v>74</v>
      </c>
      <c r="E147" t="s">
        <v>74</v>
      </c>
      <c r="F147" t="s">
        <v>9767</v>
      </c>
      <c r="G147" t="s">
        <v>74</v>
      </c>
      <c r="H147" t="s">
        <v>74</v>
      </c>
      <c r="I147" s="1" t="s">
        <v>9768</v>
      </c>
      <c r="J147" t="s">
        <v>9769</v>
      </c>
      <c r="K147" t="s">
        <v>74</v>
      </c>
      <c r="L147" t="s">
        <v>74</v>
      </c>
      <c r="M147" t="s">
        <v>78</v>
      </c>
      <c r="N147" t="s">
        <v>79</v>
      </c>
      <c r="O147" t="s">
        <v>74</v>
      </c>
      <c r="P147" t="s">
        <v>74</v>
      </c>
      <c r="Q147" t="s">
        <v>74</v>
      </c>
      <c r="R147" t="s">
        <v>74</v>
      </c>
      <c r="S147" t="s">
        <v>74</v>
      </c>
      <c r="T147" s="1" t="s">
        <v>9770</v>
      </c>
      <c r="U147" s="1" t="s">
        <v>9771</v>
      </c>
      <c r="V147" s="1" t="s">
        <v>9772</v>
      </c>
      <c r="W147" t="s">
        <v>9773</v>
      </c>
      <c r="X147" t="s">
        <v>2249</v>
      </c>
      <c r="Y147" t="s">
        <v>9774</v>
      </c>
      <c r="Z147" t="s">
        <v>2613</v>
      </c>
      <c r="AA147" t="s">
        <v>9775</v>
      </c>
      <c r="AB147" t="s">
        <v>2614</v>
      </c>
      <c r="AC147" t="s">
        <v>9776</v>
      </c>
      <c r="AD147" t="s">
        <v>9777</v>
      </c>
      <c r="AE147" t="s">
        <v>9778</v>
      </c>
      <c r="AF147" t="s">
        <v>74</v>
      </c>
      <c r="AG147">
        <v>70</v>
      </c>
      <c r="AH147">
        <v>12</v>
      </c>
      <c r="AI147">
        <v>13</v>
      </c>
      <c r="AJ147">
        <v>2</v>
      </c>
      <c r="AK147">
        <v>32</v>
      </c>
      <c r="AL147" t="s">
        <v>9779</v>
      </c>
      <c r="AM147" t="s">
        <v>232</v>
      </c>
      <c r="AN147" t="s">
        <v>9780</v>
      </c>
      <c r="AO147" t="s">
        <v>9781</v>
      </c>
      <c r="AP147" t="s">
        <v>74</v>
      </c>
      <c r="AQ147" t="s">
        <v>74</v>
      </c>
      <c r="AR147" t="s">
        <v>9782</v>
      </c>
      <c r="AS147" t="s">
        <v>9783</v>
      </c>
      <c r="AT147" t="s">
        <v>626</v>
      </c>
      <c r="AU147">
        <v>2018</v>
      </c>
      <c r="AV147">
        <v>35</v>
      </c>
      <c r="AW147">
        <v>5</v>
      </c>
      <c r="AX147" t="s">
        <v>74</v>
      </c>
      <c r="AY147" t="s">
        <v>74</v>
      </c>
      <c r="AZ147" t="s">
        <v>74</v>
      </c>
      <c r="BA147" t="s">
        <v>74</v>
      </c>
      <c r="BB147">
        <v>1082</v>
      </c>
      <c r="BC147">
        <v>1096</v>
      </c>
      <c r="BD147" t="s">
        <v>74</v>
      </c>
      <c r="BE147" t="s">
        <v>9784</v>
      </c>
      <c r="BF147" t="str">
        <f>HYPERLINK("http://dx.doi.org/10.1016/j.tele.2018.01.005","http://dx.doi.org/10.1016/j.tele.2018.01.005")</f>
        <v>http://dx.doi.org/10.1016/j.tele.2018.01.005</v>
      </c>
      <c r="BG147" t="s">
        <v>74</v>
      </c>
      <c r="BH147" t="s">
        <v>74</v>
      </c>
      <c r="BI147">
        <v>15</v>
      </c>
      <c r="BJ147" t="s">
        <v>3050</v>
      </c>
      <c r="BK147" t="s">
        <v>156</v>
      </c>
      <c r="BL147" t="s">
        <v>3050</v>
      </c>
      <c r="BM147" t="s">
        <v>9785</v>
      </c>
      <c r="BN147" t="s">
        <v>74</v>
      </c>
      <c r="BO147" t="s">
        <v>74</v>
      </c>
      <c r="BP147" t="s">
        <v>74</v>
      </c>
      <c r="BQ147" t="s">
        <v>74</v>
      </c>
      <c r="BR147" t="s">
        <v>106</v>
      </c>
      <c r="BS147" t="s">
        <v>9786</v>
      </c>
      <c r="BT147" t="str">
        <f>HYPERLINK("https%3A%2F%2Fwww.webofscience.com%2Fwos%2Fwoscc%2Ffull-record%2FWOS:000438480500002","View Full Record in Web of Science")</f>
        <v>View Full Record in Web of Science</v>
      </c>
    </row>
    <row r="148" spans="1:72" x14ac:dyDescent="0.25">
      <c r="A148" t="s">
        <v>72</v>
      </c>
      <c r="B148" t="s">
        <v>9894</v>
      </c>
      <c r="C148" t="s">
        <v>74</v>
      </c>
      <c r="D148" t="s">
        <v>74</v>
      </c>
      <c r="E148" t="s">
        <v>74</v>
      </c>
      <c r="F148" t="s">
        <v>9895</v>
      </c>
      <c r="G148" t="s">
        <v>74</v>
      </c>
      <c r="H148" t="s">
        <v>74</v>
      </c>
      <c r="I148" s="1" t="s">
        <v>9896</v>
      </c>
      <c r="J148" t="s">
        <v>9897</v>
      </c>
      <c r="K148" t="s">
        <v>74</v>
      </c>
      <c r="L148" t="s">
        <v>74</v>
      </c>
      <c r="M148" t="s">
        <v>78</v>
      </c>
      <c r="N148" t="s">
        <v>79</v>
      </c>
      <c r="O148" t="s">
        <v>74</v>
      </c>
      <c r="P148" t="s">
        <v>74</v>
      </c>
      <c r="Q148" t="s">
        <v>74</v>
      </c>
      <c r="R148" t="s">
        <v>74</v>
      </c>
      <c r="S148" t="s">
        <v>74</v>
      </c>
      <c r="T148" s="1" t="s">
        <v>74</v>
      </c>
      <c r="U148" s="1" t="s">
        <v>9898</v>
      </c>
      <c r="V148" s="1" t="s">
        <v>9899</v>
      </c>
      <c r="W148" t="s">
        <v>9900</v>
      </c>
      <c r="X148" t="s">
        <v>9901</v>
      </c>
      <c r="Y148" t="s">
        <v>9902</v>
      </c>
      <c r="Z148" t="s">
        <v>9903</v>
      </c>
      <c r="AA148" t="s">
        <v>9904</v>
      </c>
      <c r="AB148" t="s">
        <v>9905</v>
      </c>
      <c r="AC148" t="s">
        <v>9906</v>
      </c>
      <c r="AD148" t="s">
        <v>9907</v>
      </c>
      <c r="AE148" t="s">
        <v>9908</v>
      </c>
      <c r="AF148" t="s">
        <v>74</v>
      </c>
      <c r="AG148">
        <v>63</v>
      </c>
      <c r="AH148">
        <v>12</v>
      </c>
      <c r="AI148">
        <v>12</v>
      </c>
      <c r="AJ148">
        <v>0</v>
      </c>
      <c r="AK148">
        <v>36</v>
      </c>
      <c r="AL148" t="s">
        <v>8190</v>
      </c>
      <c r="AM148" t="s">
        <v>93</v>
      </c>
      <c r="AN148" t="s">
        <v>8191</v>
      </c>
      <c r="AO148" t="s">
        <v>9909</v>
      </c>
      <c r="AP148" t="s">
        <v>9910</v>
      </c>
      <c r="AQ148" t="s">
        <v>74</v>
      </c>
      <c r="AR148" t="s">
        <v>9911</v>
      </c>
      <c r="AS148" t="s">
        <v>9912</v>
      </c>
      <c r="AT148" t="s">
        <v>1448</v>
      </c>
      <c r="AU148">
        <v>2018</v>
      </c>
      <c r="AV148">
        <v>33</v>
      </c>
      <c r="AW148">
        <v>2</v>
      </c>
      <c r="AX148" t="s">
        <v>74</v>
      </c>
      <c r="AY148" t="s">
        <v>74</v>
      </c>
      <c r="AZ148" t="s">
        <v>74</v>
      </c>
      <c r="BA148" t="s">
        <v>74</v>
      </c>
      <c r="BB148">
        <v>125</v>
      </c>
      <c r="BC148">
        <v>144</v>
      </c>
      <c r="BD148" t="s">
        <v>74</v>
      </c>
      <c r="BE148" t="s">
        <v>9913</v>
      </c>
      <c r="BF148" t="str">
        <f>HYPERLINK("http://dx.doi.org/10.1093/her/cyx076","http://dx.doi.org/10.1093/her/cyx076")</f>
        <v>http://dx.doi.org/10.1093/her/cyx076</v>
      </c>
      <c r="BG148" t="s">
        <v>74</v>
      </c>
      <c r="BH148" t="s">
        <v>74</v>
      </c>
      <c r="BI148">
        <v>20</v>
      </c>
      <c r="BJ148" t="s">
        <v>7539</v>
      </c>
      <c r="BK148" t="s">
        <v>156</v>
      </c>
      <c r="BL148" t="s">
        <v>7539</v>
      </c>
      <c r="BM148" t="s">
        <v>9914</v>
      </c>
      <c r="BN148">
        <v>29329436</v>
      </c>
      <c r="BO148" t="s">
        <v>2033</v>
      </c>
      <c r="BP148" t="s">
        <v>74</v>
      </c>
      <c r="BQ148" t="s">
        <v>74</v>
      </c>
      <c r="BR148" t="s">
        <v>106</v>
      </c>
      <c r="BS148" t="s">
        <v>9915</v>
      </c>
      <c r="BT148" t="str">
        <f>HYPERLINK("https%3A%2F%2Fwww.webofscience.com%2Fwos%2Fwoscc%2Ffull-record%2FWOS:000428659700004","View Full Record in Web of Science")</f>
        <v>View Full Record in Web of Science</v>
      </c>
    </row>
    <row r="149" spans="1:72" x14ac:dyDescent="0.25">
      <c r="A149" t="s">
        <v>72</v>
      </c>
      <c r="B149" t="s">
        <v>10292</v>
      </c>
      <c r="C149" t="s">
        <v>74</v>
      </c>
      <c r="D149" t="s">
        <v>74</v>
      </c>
      <c r="E149" t="s">
        <v>74</v>
      </c>
      <c r="F149" t="s">
        <v>10293</v>
      </c>
      <c r="G149" t="s">
        <v>74</v>
      </c>
      <c r="H149" t="s">
        <v>74</v>
      </c>
      <c r="I149" s="1" t="s">
        <v>10294</v>
      </c>
      <c r="J149" t="s">
        <v>10144</v>
      </c>
      <c r="K149" t="s">
        <v>74</v>
      </c>
      <c r="L149" t="s">
        <v>74</v>
      </c>
      <c r="M149" t="s">
        <v>78</v>
      </c>
      <c r="N149" t="s">
        <v>79</v>
      </c>
      <c r="O149" t="s">
        <v>74</v>
      </c>
      <c r="P149" t="s">
        <v>74</v>
      </c>
      <c r="Q149" t="s">
        <v>74</v>
      </c>
      <c r="R149" t="s">
        <v>74</v>
      </c>
      <c r="S149" t="s">
        <v>74</v>
      </c>
      <c r="T149" s="1" t="s">
        <v>10295</v>
      </c>
      <c r="U149" s="1" t="s">
        <v>10296</v>
      </c>
      <c r="V149" s="1" t="s">
        <v>10297</v>
      </c>
      <c r="W149" t="s">
        <v>10298</v>
      </c>
      <c r="X149" t="s">
        <v>10299</v>
      </c>
      <c r="Y149" t="s">
        <v>10300</v>
      </c>
      <c r="Z149" t="s">
        <v>10301</v>
      </c>
      <c r="AA149" t="s">
        <v>10302</v>
      </c>
      <c r="AB149" t="s">
        <v>10303</v>
      </c>
      <c r="AC149" t="s">
        <v>74</v>
      </c>
      <c r="AD149" t="s">
        <v>74</v>
      </c>
      <c r="AE149" t="s">
        <v>74</v>
      </c>
      <c r="AF149" t="s">
        <v>74</v>
      </c>
      <c r="AG149">
        <v>21</v>
      </c>
      <c r="AH149">
        <v>12</v>
      </c>
      <c r="AI149">
        <v>12</v>
      </c>
      <c r="AJ149">
        <v>0</v>
      </c>
      <c r="AK149">
        <v>12</v>
      </c>
      <c r="AL149" t="s">
        <v>715</v>
      </c>
      <c r="AM149" t="s">
        <v>716</v>
      </c>
      <c r="AN149" t="s">
        <v>717</v>
      </c>
      <c r="AO149" t="s">
        <v>10153</v>
      </c>
      <c r="AP149" t="s">
        <v>10154</v>
      </c>
      <c r="AQ149" t="s">
        <v>74</v>
      </c>
      <c r="AR149" t="s">
        <v>10144</v>
      </c>
      <c r="AS149" t="s">
        <v>10155</v>
      </c>
      <c r="AT149" t="s">
        <v>74</v>
      </c>
      <c r="AU149">
        <v>2018</v>
      </c>
      <c r="AV149">
        <v>31</v>
      </c>
      <c r="AW149">
        <v>1</v>
      </c>
      <c r="AX149" t="s">
        <v>74</v>
      </c>
      <c r="AY149" t="s">
        <v>74</v>
      </c>
      <c r="AZ149" t="s">
        <v>74</v>
      </c>
      <c r="BA149" t="s">
        <v>74</v>
      </c>
      <c r="BB149">
        <v>2</v>
      </c>
      <c r="BC149">
        <v>15</v>
      </c>
      <c r="BD149" t="s">
        <v>74</v>
      </c>
      <c r="BE149" t="s">
        <v>10304</v>
      </c>
      <c r="BF149" t="str">
        <f>HYPERLINK("http://dx.doi.org/10.1108/BL-12-2017-0035","http://dx.doi.org/10.1108/BL-12-2017-0035")</f>
        <v>http://dx.doi.org/10.1108/BL-12-2017-0035</v>
      </c>
      <c r="BG149" t="s">
        <v>74</v>
      </c>
      <c r="BH149" t="s">
        <v>74</v>
      </c>
      <c r="BI149">
        <v>14</v>
      </c>
      <c r="BJ149" t="s">
        <v>3050</v>
      </c>
      <c r="BK149" t="s">
        <v>183</v>
      </c>
      <c r="BL149" t="s">
        <v>3050</v>
      </c>
      <c r="BM149" t="s">
        <v>10305</v>
      </c>
      <c r="BN149" t="s">
        <v>74</v>
      </c>
      <c r="BO149" t="s">
        <v>2805</v>
      </c>
      <c r="BP149" t="s">
        <v>74</v>
      </c>
      <c r="BQ149" t="s">
        <v>74</v>
      </c>
      <c r="BR149" t="s">
        <v>106</v>
      </c>
      <c r="BS149" t="s">
        <v>10306</v>
      </c>
      <c r="BT149" t="str">
        <f>HYPERLINK("https%3A%2F%2Fwww.webofscience.com%2Fwos%2Fwoscc%2Ffull-record%2FWOS:000426785000001","View Full Record in Web of Science")</f>
        <v>View Full Record in Web of Science</v>
      </c>
    </row>
    <row r="150" spans="1:72" x14ac:dyDescent="0.25">
      <c r="A150" t="s">
        <v>72</v>
      </c>
      <c r="B150" t="s">
        <v>12436</v>
      </c>
      <c r="C150" t="s">
        <v>74</v>
      </c>
      <c r="D150" t="s">
        <v>74</v>
      </c>
      <c r="E150" t="s">
        <v>74</v>
      </c>
      <c r="F150" t="s">
        <v>12437</v>
      </c>
      <c r="G150" t="s">
        <v>74</v>
      </c>
      <c r="H150" t="s">
        <v>74</v>
      </c>
      <c r="I150" s="1" t="s">
        <v>12438</v>
      </c>
      <c r="J150" t="s">
        <v>12439</v>
      </c>
      <c r="K150" t="s">
        <v>74</v>
      </c>
      <c r="L150" t="s">
        <v>74</v>
      </c>
      <c r="M150" t="s">
        <v>78</v>
      </c>
      <c r="N150" t="s">
        <v>79</v>
      </c>
      <c r="O150" t="s">
        <v>74</v>
      </c>
      <c r="P150" t="s">
        <v>74</v>
      </c>
      <c r="Q150" t="s">
        <v>74</v>
      </c>
      <c r="R150" t="s">
        <v>74</v>
      </c>
      <c r="S150" t="s">
        <v>74</v>
      </c>
      <c r="T150" s="1" t="s">
        <v>12440</v>
      </c>
      <c r="U150" s="1" t="s">
        <v>74</v>
      </c>
      <c r="V150" s="1" t="s">
        <v>12441</v>
      </c>
      <c r="W150" t="s">
        <v>12442</v>
      </c>
      <c r="X150" t="s">
        <v>12443</v>
      </c>
      <c r="Y150" t="s">
        <v>12444</v>
      </c>
      <c r="Z150" t="s">
        <v>74</v>
      </c>
      <c r="AA150" t="s">
        <v>74</v>
      </c>
      <c r="AB150" t="s">
        <v>74</v>
      </c>
      <c r="AC150" t="s">
        <v>74</v>
      </c>
      <c r="AD150" t="s">
        <v>74</v>
      </c>
      <c r="AE150" t="s">
        <v>74</v>
      </c>
      <c r="AF150" t="s">
        <v>74</v>
      </c>
      <c r="AG150">
        <v>30</v>
      </c>
      <c r="AH150">
        <v>12</v>
      </c>
      <c r="AI150">
        <v>12</v>
      </c>
      <c r="AJ150">
        <v>0</v>
      </c>
      <c r="AK150">
        <v>13</v>
      </c>
      <c r="AL150" t="s">
        <v>6574</v>
      </c>
      <c r="AM150" t="s">
        <v>2129</v>
      </c>
      <c r="AN150" t="s">
        <v>6575</v>
      </c>
      <c r="AO150" t="s">
        <v>12445</v>
      </c>
      <c r="AP150" t="s">
        <v>12446</v>
      </c>
      <c r="AQ150" t="s">
        <v>74</v>
      </c>
      <c r="AR150" t="s">
        <v>12447</v>
      </c>
      <c r="AS150" t="s">
        <v>12448</v>
      </c>
      <c r="AT150" t="s">
        <v>208</v>
      </c>
      <c r="AU150">
        <v>2010</v>
      </c>
      <c r="AV150">
        <v>42</v>
      </c>
      <c r="AW150">
        <v>1</v>
      </c>
      <c r="AX150" t="s">
        <v>74</v>
      </c>
      <c r="AY150" t="s">
        <v>74</v>
      </c>
      <c r="AZ150" t="s">
        <v>74</v>
      </c>
      <c r="BA150" t="s">
        <v>74</v>
      </c>
      <c r="BB150">
        <v>1</v>
      </c>
      <c r="BC150">
        <v>15</v>
      </c>
      <c r="BD150" t="s">
        <v>74</v>
      </c>
      <c r="BE150" t="s">
        <v>12449</v>
      </c>
      <c r="BF150" t="str">
        <f>HYPERLINK("http://dx.doi.org/10.3138/jsp.42.1.1","http://dx.doi.org/10.3138/jsp.42.1.1")</f>
        <v>http://dx.doi.org/10.3138/jsp.42.1.1</v>
      </c>
      <c r="BG150" t="s">
        <v>74</v>
      </c>
      <c r="BH150" t="s">
        <v>74</v>
      </c>
      <c r="BI150">
        <v>15</v>
      </c>
      <c r="BJ150" t="s">
        <v>12450</v>
      </c>
      <c r="BK150" t="s">
        <v>4436</v>
      </c>
      <c r="BL150" t="s">
        <v>12451</v>
      </c>
      <c r="BM150" t="s">
        <v>12452</v>
      </c>
      <c r="BN150" t="s">
        <v>74</v>
      </c>
      <c r="BO150" t="s">
        <v>74</v>
      </c>
      <c r="BP150" t="s">
        <v>74</v>
      </c>
      <c r="BQ150" t="s">
        <v>74</v>
      </c>
      <c r="BR150" t="s">
        <v>106</v>
      </c>
      <c r="BS150" t="s">
        <v>12453</v>
      </c>
      <c r="BT150" t="str">
        <f>HYPERLINK("https%3A%2F%2Fwww.webofscience.com%2Fwos%2Fwoscc%2Ffull-record%2FWOS:000283640400001","View Full Record in Web of Science")</f>
        <v>View Full Record in Web of Science</v>
      </c>
    </row>
    <row r="151" spans="1:72" x14ac:dyDescent="0.25">
      <c r="A151" t="s">
        <v>72</v>
      </c>
      <c r="B151" t="s">
        <v>12454</v>
      </c>
      <c r="C151" t="s">
        <v>74</v>
      </c>
      <c r="D151" t="s">
        <v>74</v>
      </c>
      <c r="E151" t="s">
        <v>74</v>
      </c>
      <c r="F151" t="s">
        <v>12455</v>
      </c>
      <c r="G151" t="s">
        <v>74</v>
      </c>
      <c r="H151" t="s">
        <v>74</v>
      </c>
      <c r="I151" s="1" t="s">
        <v>12456</v>
      </c>
      <c r="J151" t="s">
        <v>11988</v>
      </c>
      <c r="K151" t="s">
        <v>74</v>
      </c>
      <c r="L151" t="s">
        <v>74</v>
      </c>
      <c r="M151" t="s">
        <v>78</v>
      </c>
      <c r="N151" t="s">
        <v>79</v>
      </c>
      <c r="O151" t="s">
        <v>74</v>
      </c>
      <c r="P151" t="s">
        <v>74</v>
      </c>
      <c r="Q151" t="s">
        <v>74</v>
      </c>
      <c r="R151" t="s">
        <v>74</v>
      </c>
      <c r="S151" t="s">
        <v>74</v>
      </c>
      <c r="T151" s="1" t="s">
        <v>12457</v>
      </c>
      <c r="U151" s="1" t="s">
        <v>74</v>
      </c>
      <c r="V151" s="1" t="s">
        <v>12458</v>
      </c>
      <c r="W151" t="s">
        <v>74</v>
      </c>
      <c r="X151" t="s">
        <v>74</v>
      </c>
      <c r="Y151" t="s">
        <v>12459</v>
      </c>
      <c r="Z151" t="s">
        <v>12460</v>
      </c>
      <c r="AA151" t="s">
        <v>74</v>
      </c>
      <c r="AB151" t="s">
        <v>74</v>
      </c>
      <c r="AC151" t="s">
        <v>74</v>
      </c>
      <c r="AD151" t="s">
        <v>74</v>
      </c>
      <c r="AE151" t="s">
        <v>74</v>
      </c>
      <c r="AF151" t="s">
        <v>74</v>
      </c>
      <c r="AG151">
        <v>0</v>
      </c>
      <c r="AH151">
        <v>12</v>
      </c>
      <c r="AI151">
        <v>12</v>
      </c>
      <c r="AJ151">
        <v>0</v>
      </c>
      <c r="AK151">
        <v>2</v>
      </c>
      <c r="AL151" t="s">
        <v>121</v>
      </c>
      <c r="AM151" t="s">
        <v>122</v>
      </c>
      <c r="AN151" t="s">
        <v>11993</v>
      </c>
      <c r="AO151" t="s">
        <v>11994</v>
      </c>
      <c r="AP151" t="s">
        <v>11995</v>
      </c>
      <c r="AQ151" t="s">
        <v>74</v>
      </c>
      <c r="AR151" t="s">
        <v>11996</v>
      </c>
      <c r="AS151" t="s">
        <v>11997</v>
      </c>
      <c r="AT151" t="s">
        <v>356</v>
      </c>
      <c r="AU151">
        <v>2010</v>
      </c>
      <c r="AV151">
        <v>26</v>
      </c>
      <c r="AW151">
        <v>3</v>
      </c>
      <c r="AX151" t="s">
        <v>74</v>
      </c>
      <c r="AY151" t="s">
        <v>74</v>
      </c>
      <c r="AZ151" t="s">
        <v>74</v>
      </c>
      <c r="BA151" t="s">
        <v>74</v>
      </c>
      <c r="BB151">
        <v>168</v>
      </c>
      <c r="BC151">
        <v>175</v>
      </c>
      <c r="BD151" t="s">
        <v>74</v>
      </c>
      <c r="BE151" t="s">
        <v>12461</v>
      </c>
      <c r="BF151" t="str">
        <f>HYPERLINK("http://dx.doi.org/10.1007/s12109-010-9172-5","http://dx.doi.org/10.1007/s12109-010-9172-5")</f>
        <v>http://dx.doi.org/10.1007/s12109-010-9172-5</v>
      </c>
      <c r="BG151" t="s">
        <v>74</v>
      </c>
      <c r="BH151" t="s">
        <v>74</v>
      </c>
      <c r="BI151">
        <v>8</v>
      </c>
      <c r="BJ151" t="s">
        <v>3050</v>
      </c>
      <c r="BK151" t="s">
        <v>183</v>
      </c>
      <c r="BL151" t="s">
        <v>3050</v>
      </c>
      <c r="BM151" t="s">
        <v>12462</v>
      </c>
      <c r="BN151" t="s">
        <v>74</v>
      </c>
      <c r="BO151" t="s">
        <v>74</v>
      </c>
      <c r="BP151" t="s">
        <v>74</v>
      </c>
      <c r="BQ151" t="s">
        <v>74</v>
      </c>
      <c r="BR151" t="s">
        <v>106</v>
      </c>
      <c r="BS151" t="s">
        <v>12463</v>
      </c>
      <c r="BT151" t="str">
        <f>HYPERLINK("https%3A%2F%2Fwww.webofscience.com%2Fwos%2Fwoscc%2Ffull-record%2FWOS:000448336500002","View Full Record in Web of Science")</f>
        <v>View Full Record in Web of Science</v>
      </c>
    </row>
    <row r="152" spans="1:72" x14ac:dyDescent="0.25">
      <c r="A152" t="s">
        <v>72</v>
      </c>
      <c r="B152" t="s">
        <v>5363</v>
      </c>
      <c r="C152" t="s">
        <v>74</v>
      </c>
      <c r="D152" t="s">
        <v>74</v>
      </c>
      <c r="E152" t="s">
        <v>74</v>
      </c>
      <c r="F152" t="s">
        <v>5364</v>
      </c>
      <c r="G152" t="s">
        <v>74</v>
      </c>
      <c r="H152" t="s">
        <v>74</v>
      </c>
      <c r="I152" s="1" t="s">
        <v>5365</v>
      </c>
      <c r="J152" t="s">
        <v>5366</v>
      </c>
      <c r="K152" t="s">
        <v>74</v>
      </c>
      <c r="L152" t="s">
        <v>74</v>
      </c>
      <c r="M152" t="s">
        <v>78</v>
      </c>
      <c r="N152" t="s">
        <v>79</v>
      </c>
      <c r="O152" t="s">
        <v>74</v>
      </c>
      <c r="P152" t="s">
        <v>74</v>
      </c>
      <c r="Q152" t="s">
        <v>74</v>
      </c>
      <c r="R152" t="s">
        <v>74</v>
      </c>
      <c r="S152" t="s">
        <v>74</v>
      </c>
      <c r="T152" s="1" t="s">
        <v>74</v>
      </c>
      <c r="U152" s="1" t="s">
        <v>74</v>
      </c>
      <c r="V152" s="1" t="s">
        <v>5367</v>
      </c>
      <c r="W152" t="s">
        <v>5368</v>
      </c>
      <c r="X152" t="s">
        <v>5369</v>
      </c>
      <c r="Y152" t="s">
        <v>5370</v>
      </c>
      <c r="Z152" t="s">
        <v>5371</v>
      </c>
      <c r="AA152" t="s">
        <v>5372</v>
      </c>
      <c r="AB152" t="s">
        <v>5373</v>
      </c>
      <c r="AC152" t="s">
        <v>74</v>
      </c>
      <c r="AD152" t="s">
        <v>74</v>
      </c>
      <c r="AE152" t="s">
        <v>74</v>
      </c>
      <c r="AF152" t="s">
        <v>74</v>
      </c>
      <c r="AG152">
        <v>31</v>
      </c>
      <c r="AH152">
        <v>11</v>
      </c>
      <c r="AI152">
        <v>11</v>
      </c>
      <c r="AJ152">
        <v>6</v>
      </c>
      <c r="AK152">
        <v>23</v>
      </c>
      <c r="AL152" t="s">
        <v>3433</v>
      </c>
      <c r="AM152" t="s">
        <v>878</v>
      </c>
      <c r="AN152" t="s">
        <v>3434</v>
      </c>
      <c r="AO152" t="s">
        <v>5374</v>
      </c>
      <c r="AP152" t="s">
        <v>5375</v>
      </c>
      <c r="AQ152" t="s">
        <v>74</v>
      </c>
      <c r="AR152" t="s">
        <v>5376</v>
      </c>
      <c r="AS152" t="s">
        <v>5377</v>
      </c>
      <c r="AT152" t="s">
        <v>476</v>
      </c>
      <c r="AU152">
        <v>2021</v>
      </c>
      <c r="AV152">
        <v>12</v>
      </c>
      <c r="AW152">
        <v>4</v>
      </c>
      <c r="AX152" t="s">
        <v>74</v>
      </c>
      <c r="AY152" t="s">
        <v>74</v>
      </c>
      <c r="AZ152" t="s">
        <v>74</v>
      </c>
      <c r="BA152" t="s">
        <v>74</v>
      </c>
      <c r="BB152">
        <v>758</v>
      </c>
      <c r="BC152">
        <v>774</v>
      </c>
      <c r="BD152" t="s">
        <v>74</v>
      </c>
      <c r="BE152" t="s">
        <v>5378</v>
      </c>
      <c r="BF152" t="str">
        <f>HYPERLINK("http://dx.doi.org/10.1017/err.2021.8","http://dx.doi.org/10.1017/err.2021.8")</f>
        <v>http://dx.doi.org/10.1017/err.2021.8</v>
      </c>
      <c r="BG152" t="s">
        <v>74</v>
      </c>
      <c r="BH152" t="s">
        <v>74</v>
      </c>
      <c r="BI152">
        <v>17</v>
      </c>
      <c r="BJ152" t="s">
        <v>378</v>
      </c>
      <c r="BK152" t="s">
        <v>183</v>
      </c>
      <c r="BL152" t="s">
        <v>379</v>
      </c>
      <c r="BM152" t="s">
        <v>5379</v>
      </c>
      <c r="BN152" t="s">
        <v>74</v>
      </c>
      <c r="BO152" t="s">
        <v>1539</v>
      </c>
      <c r="BP152" t="s">
        <v>74</v>
      </c>
      <c r="BQ152" t="s">
        <v>74</v>
      </c>
      <c r="BR152" t="s">
        <v>106</v>
      </c>
      <c r="BS152" t="s">
        <v>5380</v>
      </c>
      <c r="BT152" t="str">
        <f>HYPERLINK("https%3A%2F%2Fwww.webofscience.com%2Fwos%2Fwoscc%2Ffull-record%2FWOS:000722706200004","View Full Record in Web of Science")</f>
        <v>View Full Record in Web of Science</v>
      </c>
    </row>
    <row r="153" spans="1:72" x14ac:dyDescent="0.25">
      <c r="A153" t="s">
        <v>72</v>
      </c>
      <c r="B153" t="s">
        <v>6386</v>
      </c>
      <c r="C153" t="s">
        <v>74</v>
      </c>
      <c r="D153" t="s">
        <v>74</v>
      </c>
      <c r="E153" t="s">
        <v>74</v>
      </c>
      <c r="F153" t="s">
        <v>6387</v>
      </c>
      <c r="G153" t="s">
        <v>74</v>
      </c>
      <c r="H153" t="s">
        <v>74</v>
      </c>
      <c r="I153" s="1" t="s">
        <v>6388</v>
      </c>
      <c r="J153" t="s">
        <v>6389</v>
      </c>
      <c r="K153" t="s">
        <v>74</v>
      </c>
      <c r="L153" t="s">
        <v>74</v>
      </c>
      <c r="M153" t="s">
        <v>78</v>
      </c>
      <c r="N153" t="s">
        <v>79</v>
      </c>
      <c r="O153" t="s">
        <v>74</v>
      </c>
      <c r="P153" t="s">
        <v>74</v>
      </c>
      <c r="Q153" t="s">
        <v>74</v>
      </c>
      <c r="R153" t="s">
        <v>74</v>
      </c>
      <c r="S153" t="s">
        <v>74</v>
      </c>
      <c r="T153" s="1" t="s">
        <v>6390</v>
      </c>
      <c r="U153" s="1" t="s">
        <v>6391</v>
      </c>
      <c r="V153" s="1" t="s">
        <v>6392</v>
      </c>
      <c r="W153" t="s">
        <v>6393</v>
      </c>
      <c r="X153" t="s">
        <v>6394</v>
      </c>
      <c r="Y153" t="s">
        <v>6395</v>
      </c>
      <c r="Z153" t="s">
        <v>6396</v>
      </c>
      <c r="AA153" t="s">
        <v>74</v>
      </c>
      <c r="AB153" t="s">
        <v>6397</v>
      </c>
      <c r="AC153" t="s">
        <v>74</v>
      </c>
      <c r="AD153" t="s">
        <v>74</v>
      </c>
      <c r="AE153" t="s">
        <v>74</v>
      </c>
      <c r="AF153" t="s">
        <v>74</v>
      </c>
      <c r="AG153">
        <v>48</v>
      </c>
      <c r="AH153">
        <v>11</v>
      </c>
      <c r="AI153">
        <v>11</v>
      </c>
      <c r="AJ153">
        <v>8</v>
      </c>
      <c r="AK153">
        <v>88</v>
      </c>
      <c r="AL153" t="s">
        <v>715</v>
      </c>
      <c r="AM153" t="s">
        <v>716</v>
      </c>
      <c r="AN153" t="s">
        <v>717</v>
      </c>
      <c r="AO153" t="s">
        <v>6398</v>
      </c>
      <c r="AP153" t="s">
        <v>6399</v>
      </c>
      <c r="AQ153" t="s">
        <v>74</v>
      </c>
      <c r="AR153" t="s">
        <v>6400</v>
      </c>
      <c r="AS153" t="s">
        <v>6401</v>
      </c>
      <c r="AT153" t="s">
        <v>6402</v>
      </c>
      <c r="AU153">
        <v>2022</v>
      </c>
      <c r="AV153">
        <v>12</v>
      </c>
      <c r="AW153">
        <v>4</v>
      </c>
      <c r="AX153" t="s">
        <v>74</v>
      </c>
      <c r="AY153" t="s">
        <v>74</v>
      </c>
      <c r="AZ153" t="s">
        <v>74</v>
      </c>
      <c r="BA153" t="s">
        <v>74</v>
      </c>
      <c r="BB153">
        <v>876</v>
      </c>
      <c r="BC153">
        <v>891</v>
      </c>
      <c r="BD153" t="s">
        <v>74</v>
      </c>
      <c r="BE153" t="s">
        <v>6403</v>
      </c>
      <c r="BF153" t="str">
        <f>HYPERLINK("http://dx.doi.org/10.1108/JFBM-12-2020-0117","http://dx.doi.org/10.1108/JFBM-12-2020-0117")</f>
        <v>http://dx.doi.org/10.1108/JFBM-12-2020-0117</v>
      </c>
      <c r="BG153" t="s">
        <v>74</v>
      </c>
      <c r="BH153" t="s">
        <v>6383</v>
      </c>
      <c r="BI153">
        <v>16</v>
      </c>
      <c r="BJ153" t="s">
        <v>315</v>
      </c>
      <c r="BK153" t="s">
        <v>183</v>
      </c>
      <c r="BL153" t="s">
        <v>265</v>
      </c>
      <c r="BM153" t="s">
        <v>6404</v>
      </c>
      <c r="BN153" t="s">
        <v>74</v>
      </c>
      <c r="BO153" t="s">
        <v>74</v>
      </c>
      <c r="BP153" t="s">
        <v>74</v>
      </c>
      <c r="BQ153" t="s">
        <v>74</v>
      </c>
      <c r="BR153" t="s">
        <v>106</v>
      </c>
      <c r="BS153" t="s">
        <v>6405</v>
      </c>
      <c r="BT153" t="str">
        <f>HYPERLINK("https%3A%2F%2Fwww.webofscience.com%2Fwos%2Fwoscc%2Ffull-record%2FWOS:000651880300001","View Full Record in Web of Science")</f>
        <v>View Full Record in Web of Science</v>
      </c>
    </row>
    <row r="154" spans="1:72" x14ac:dyDescent="0.25">
      <c r="A154" t="s">
        <v>72</v>
      </c>
      <c r="B154" t="s">
        <v>6427</v>
      </c>
      <c r="C154" t="s">
        <v>74</v>
      </c>
      <c r="D154" t="s">
        <v>74</v>
      </c>
      <c r="E154" t="s">
        <v>74</v>
      </c>
      <c r="F154" t="s">
        <v>6428</v>
      </c>
      <c r="G154" t="s">
        <v>74</v>
      </c>
      <c r="H154" t="s">
        <v>74</v>
      </c>
      <c r="I154" s="1" t="s">
        <v>6429</v>
      </c>
      <c r="J154" t="s">
        <v>6430</v>
      </c>
      <c r="K154" t="s">
        <v>74</v>
      </c>
      <c r="L154" t="s">
        <v>74</v>
      </c>
      <c r="M154" t="s">
        <v>78</v>
      </c>
      <c r="N154" t="s">
        <v>79</v>
      </c>
      <c r="O154" t="s">
        <v>74</v>
      </c>
      <c r="P154" t="s">
        <v>74</v>
      </c>
      <c r="Q154" t="s">
        <v>74</v>
      </c>
      <c r="R154" t="s">
        <v>74</v>
      </c>
      <c r="S154" t="s">
        <v>74</v>
      </c>
      <c r="T154" s="1" t="s">
        <v>6431</v>
      </c>
      <c r="U154" s="1" t="s">
        <v>74</v>
      </c>
      <c r="V154" s="1" t="s">
        <v>6432</v>
      </c>
      <c r="W154" t="s">
        <v>6433</v>
      </c>
      <c r="X154" t="s">
        <v>6434</v>
      </c>
      <c r="Y154" t="s">
        <v>6435</v>
      </c>
      <c r="Z154" t="s">
        <v>6436</v>
      </c>
      <c r="AA154" t="s">
        <v>74</v>
      </c>
      <c r="AB154" t="s">
        <v>74</v>
      </c>
      <c r="AC154" t="s">
        <v>74</v>
      </c>
      <c r="AD154" t="s">
        <v>74</v>
      </c>
      <c r="AE154" t="s">
        <v>74</v>
      </c>
      <c r="AF154" t="s">
        <v>74</v>
      </c>
      <c r="AG154">
        <v>105</v>
      </c>
      <c r="AH154">
        <v>11</v>
      </c>
      <c r="AI154">
        <v>11</v>
      </c>
      <c r="AJ154">
        <v>32</v>
      </c>
      <c r="AK154">
        <v>154</v>
      </c>
      <c r="AL154" t="s">
        <v>146</v>
      </c>
      <c r="AM154" t="s">
        <v>147</v>
      </c>
      <c r="AN154" t="s">
        <v>148</v>
      </c>
      <c r="AO154" t="s">
        <v>6437</v>
      </c>
      <c r="AP154" t="s">
        <v>6438</v>
      </c>
      <c r="AQ154" t="s">
        <v>74</v>
      </c>
      <c r="AR154" t="s">
        <v>6439</v>
      </c>
      <c r="AS154" t="s">
        <v>6440</v>
      </c>
      <c r="AT154" t="s">
        <v>99</v>
      </c>
      <c r="AU154">
        <v>2021</v>
      </c>
      <c r="AV154">
        <v>58</v>
      </c>
      <c r="AW154">
        <v>7</v>
      </c>
      <c r="AX154" t="s">
        <v>74</v>
      </c>
      <c r="AY154" t="s">
        <v>74</v>
      </c>
      <c r="AZ154" t="s">
        <v>1020</v>
      </c>
      <c r="BA154" t="s">
        <v>74</v>
      </c>
      <c r="BB154">
        <v>1832</v>
      </c>
      <c r="BC154">
        <v>1868</v>
      </c>
      <c r="BD154" t="s">
        <v>74</v>
      </c>
      <c r="BE154" t="s">
        <v>6441</v>
      </c>
      <c r="BF154" t="str">
        <f>HYPERLINK("http://dx.doi.org/10.1111/joms.12701","http://dx.doi.org/10.1111/joms.12701")</f>
        <v>http://dx.doi.org/10.1111/joms.12701</v>
      </c>
      <c r="BG154" t="s">
        <v>74</v>
      </c>
      <c r="BH154" t="s">
        <v>6383</v>
      </c>
      <c r="BI154">
        <v>37</v>
      </c>
      <c r="BJ154" t="s">
        <v>264</v>
      </c>
      <c r="BK154" t="s">
        <v>156</v>
      </c>
      <c r="BL154" t="s">
        <v>265</v>
      </c>
      <c r="BM154" t="s">
        <v>6442</v>
      </c>
      <c r="BN154" t="s">
        <v>74</v>
      </c>
      <c r="BO154" t="s">
        <v>2623</v>
      </c>
      <c r="BP154" t="s">
        <v>74</v>
      </c>
      <c r="BQ154" t="s">
        <v>74</v>
      </c>
      <c r="BR154" t="s">
        <v>106</v>
      </c>
      <c r="BS154" t="s">
        <v>6443</v>
      </c>
      <c r="BT154" t="str">
        <f>HYPERLINK("https%3A%2F%2Fwww.webofscience.com%2Fwos%2Fwoscc%2Ffull-record%2FWOS:000646325900001","View Full Record in Web of Science")</f>
        <v>View Full Record in Web of Science</v>
      </c>
    </row>
    <row r="155" spans="1:72" x14ac:dyDescent="0.25">
      <c r="A155" t="s">
        <v>72</v>
      </c>
      <c r="B155" t="s">
        <v>7904</v>
      </c>
      <c r="C155" t="s">
        <v>74</v>
      </c>
      <c r="D155" t="s">
        <v>74</v>
      </c>
      <c r="E155" t="s">
        <v>74</v>
      </c>
      <c r="F155" t="s">
        <v>7905</v>
      </c>
      <c r="G155" t="s">
        <v>74</v>
      </c>
      <c r="H155" t="s">
        <v>74</v>
      </c>
      <c r="I155" s="1" t="s">
        <v>7906</v>
      </c>
      <c r="J155" t="s">
        <v>5994</v>
      </c>
      <c r="K155" t="s">
        <v>74</v>
      </c>
      <c r="L155" t="s">
        <v>74</v>
      </c>
      <c r="M155" t="s">
        <v>78</v>
      </c>
      <c r="N155" t="s">
        <v>79</v>
      </c>
      <c r="O155" t="s">
        <v>74</v>
      </c>
      <c r="P155" t="s">
        <v>74</v>
      </c>
      <c r="Q155" t="s">
        <v>74</v>
      </c>
      <c r="R155" t="s">
        <v>74</v>
      </c>
      <c r="S155" t="s">
        <v>74</v>
      </c>
      <c r="T155" s="1" t="s">
        <v>7907</v>
      </c>
      <c r="U155" s="1" t="s">
        <v>7908</v>
      </c>
      <c r="V155" s="1" t="s">
        <v>7909</v>
      </c>
      <c r="W155" t="s">
        <v>7910</v>
      </c>
      <c r="X155" t="s">
        <v>7911</v>
      </c>
      <c r="Y155" t="s">
        <v>7912</v>
      </c>
      <c r="Z155" t="s">
        <v>7913</v>
      </c>
      <c r="AA155" t="s">
        <v>74</v>
      </c>
      <c r="AB155" t="s">
        <v>7914</v>
      </c>
      <c r="AC155" t="s">
        <v>7915</v>
      </c>
      <c r="AD155" t="s">
        <v>7915</v>
      </c>
      <c r="AE155" t="s">
        <v>7916</v>
      </c>
      <c r="AF155" t="s">
        <v>74</v>
      </c>
      <c r="AG155">
        <v>95</v>
      </c>
      <c r="AH155">
        <v>11</v>
      </c>
      <c r="AI155">
        <v>11</v>
      </c>
      <c r="AJ155">
        <v>14</v>
      </c>
      <c r="AK155">
        <v>99</v>
      </c>
      <c r="AL155" t="s">
        <v>231</v>
      </c>
      <c r="AM155" t="s">
        <v>232</v>
      </c>
      <c r="AN155" t="s">
        <v>233</v>
      </c>
      <c r="AO155" t="s">
        <v>6007</v>
      </c>
      <c r="AP155" t="s">
        <v>6008</v>
      </c>
      <c r="AQ155" t="s">
        <v>74</v>
      </c>
      <c r="AR155" t="s">
        <v>6009</v>
      </c>
      <c r="AS155" t="s">
        <v>6010</v>
      </c>
      <c r="AT155" t="s">
        <v>1138</v>
      </c>
      <c r="AU155">
        <v>2020</v>
      </c>
      <c r="AV155">
        <v>29</v>
      </c>
      <c r="AW155">
        <v>2</v>
      </c>
      <c r="AX155" t="s">
        <v>74</v>
      </c>
      <c r="AY155" t="s">
        <v>74</v>
      </c>
      <c r="AZ155" t="s">
        <v>1020</v>
      </c>
      <c r="BA155" t="s">
        <v>74</v>
      </c>
      <c r="BB155" t="s">
        <v>74</v>
      </c>
      <c r="BC155" t="s">
        <v>74</v>
      </c>
      <c r="BD155">
        <v>101615</v>
      </c>
      <c r="BE155" t="s">
        <v>7917</v>
      </c>
      <c r="BF155" t="str">
        <f>HYPERLINK("http://dx.doi.org/10.1016/j.jsis.2020.101615","http://dx.doi.org/10.1016/j.jsis.2020.101615")</f>
        <v>http://dx.doi.org/10.1016/j.jsis.2020.101615</v>
      </c>
      <c r="BG155" t="s">
        <v>74</v>
      </c>
      <c r="BH155" t="s">
        <v>74</v>
      </c>
      <c r="BI155">
        <v>26</v>
      </c>
      <c r="BJ155" t="s">
        <v>2581</v>
      </c>
      <c r="BK155" t="s">
        <v>211</v>
      </c>
      <c r="BL155" t="s">
        <v>767</v>
      </c>
      <c r="BM155" t="s">
        <v>7918</v>
      </c>
      <c r="BN155" t="s">
        <v>74</v>
      </c>
      <c r="BO155" t="s">
        <v>105</v>
      </c>
      <c r="BP155" t="s">
        <v>74</v>
      </c>
      <c r="BQ155" t="s">
        <v>74</v>
      </c>
      <c r="BR155" t="s">
        <v>106</v>
      </c>
      <c r="BS155" t="s">
        <v>7919</v>
      </c>
      <c r="BT155" t="str">
        <f>HYPERLINK("https%3A%2F%2Fwww.webofscience.com%2Fwos%2Fwoscc%2Ffull-record%2FWOS:000564547600007","View Full Record in Web of Science")</f>
        <v>View Full Record in Web of Science</v>
      </c>
    </row>
    <row r="156" spans="1:72" x14ac:dyDescent="0.25">
      <c r="A156" t="s">
        <v>72</v>
      </c>
      <c r="B156" t="s">
        <v>10370</v>
      </c>
      <c r="C156" t="s">
        <v>74</v>
      </c>
      <c r="D156" t="s">
        <v>74</v>
      </c>
      <c r="E156" t="s">
        <v>74</v>
      </c>
      <c r="F156" t="s">
        <v>10371</v>
      </c>
      <c r="G156" t="s">
        <v>74</v>
      </c>
      <c r="H156" t="s">
        <v>74</v>
      </c>
      <c r="I156" s="1" t="s">
        <v>10372</v>
      </c>
      <c r="J156" t="s">
        <v>10373</v>
      </c>
      <c r="K156" t="s">
        <v>74</v>
      </c>
      <c r="L156" t="s">
        <v>74</v>
      </c>
      <c r="M156" t="s">
        <v>78</v>
      </c>
      <c r="N156" t="s">
        <v>79</v>
      </c>
      <c r="O156" t="s">
        <v>74</v>
      </c>
      <c r="P156" t="s">
        <v>74</v>
      </c>
      <c r="Q156" t="s">
        <v>74</v>
      </c>
      <c r="R156" t="s">
        <v>74</v>
      </c>
      <c r="S156" t="s">
        <v>74</v>
      </c>
      <c r="T156" s="1" t="s">
        <v>10374</v>
      </c>
      <c r="U156" s="1" t="s">
        <v>10375</v>
      </c>
      <c r="V156" s="1" t="s">
        <v>10376</v>
      </c>
      <c r="W156" t="s">
        <v>10377</v>
      </c>
      <c r="X156" t="s">
        <v>10378</v>
      </c>
      <c r="Y156" t="s">
        <v>10379</v>
      </c>
      <c r="Z156" t="s">
        <v>10380</v>
      </c>
      <c r="AA156" t="s">
        <v>10381</v>
      </c>
      <c r="AB156" t="s">
        <v>10382</v>
      </c>
      <c r="AC156" t="s">
        <v>10383</v>
      </c>
      <c r="AD156" t="s">
        <v>10383</v>
      </c>
      <c r="AE156" t="s">
        <v>10384</v>
      </c>
      <c r="AF156" t="s">
        <v>74</v>
      </c>
      <c r="AG156">
        <v>61</v>
      </c>
      <c r="AH156">
        <v>11</v>
      </c>
      <c r="AI156">
        <v>11</v>
      </c>
      <c r="AJ156">
        <v>3</v>
      </c>
      <c r="AK156">
        <v>25</v>
      </c>
      <c r="AL156" t="s">
        <v>715</v>
      </c>
      <c r="AM156" t="s">
        <v>716</v>
      </c>
      <c r="AN156" t="s">
        <v>717</v>
      </c>
      <c r="AO156" t="s">
        <v>10385</v>
      </c>
      <c r="AP156" t="s">
        <v>10386</v>
      </c>
      <c r="AQ156" t="s">
        <v>74</v>
      </c>
      <c r="AR156" t="s">
        <v>10387</v>
      </c>
      <c r="AS156" t="s">
        <v>10388</v>
      </c>
      <c r="AT156" t="s">
        <v>74</v>
      </c>
      <c r="AU156">
        <v>2018</v>
      </c>
      <c r="AV156">
        <v>32</v>
      </c>
      <c r="AW156">
        <v>3</v>
      </c>
      <c r="AX156" t="s">
        <v>74</v>
      </c>
      <c r="AY156" t="s">
        <v>74</v>
      </c>
      <c r="AZ156" t="s">
        <v>74</v>
      </c>
      <c r="BA156" t="s">
        <v>74</v>
      </c>
      <c r="BB156">
        <v>511</v>
      </c>
      <c r="BC156">
        <v>524</v>
      </c>
      <c r="BD156" t="s">
        <v>74</v>
      </c>
      <c r="BE156" t="s">
        <v>10389</v>
      </c>
      <c r="BF156" t="str">
        <f>HYPERLINK("http://dx.doi.org/10.1108/IJEM-12-2016-0268","http://dx.doi.org/10.1108/IJEM-12-2016-0268")</f>
        <v>http://dx.doi.org/10.1108/IJEM-12-2016-0268</v>
      </c>
      <c r="BG156" t="s">
        <v>74</v>
      </c>
      <c r="BH156" t="s">
        <v>74</v>
      </c>
      <c r="BI156">
        <v>14</v>
      </c>
      <c r="BJ156" t="s">
        <v>315</v>
      </c>
      <c r="BK156" t="s">
        <v>183</v>
      </c>
      <c r="BL156" t="s">
        <v>265</v>
      </c>
      <c r="BM156" t="s">
        <v>10390</v>
      </c>
      <c r="BN156" t="s">
        <v>74</v>
      </c>
      <c r="BO156" t="s">
        <v>74</v>
      </c>
      <c r="BP156" t="s">
        <v>74</v>
      </c>
      <c r="BQ156" t="s">
        <v>74</v>
      </c>
      <c r="BR156" t="s">
        <v>106</v>
      </c>
      <c r="BS156" t="s">
        <v>10391</v>
      </c>
      <c r="BT156" t="str">
        <f>HYPERLINK("https%3A%2F%2Fwww.webofscience.com%2Fwos%2Fwoscc%2Ffull-record%2FWOS:000430192200012","View Full Record in Web of Science")</f>
        <v>View Full Record in Web of Science</v>
      </c>
    </row>
    <row r="157" spans="1:72" x14ac:dyDescent="0.25">
      <c r="A157" t="s">
        <v>72</v>
      </c>
      <c r="B157" t="s">
        <v>11491</v>
      </c>
      <c r="C157" t="s">
        <v>74</v>
      </c>
      <c r="D157" t="s">
        <v>74</v>
      </c>
      <c r="E157" t="s">
        <v>74</v>
      </c>
      <c r="F157" t="s">
        <v>11492</v>
      </c>
      <c r="G157" t="s">
        <v>74</v>
      </c>
      <c r="H157" t="s">
        <v>74</v>
      </c>
      <c r="I157" s="1" t="s">
        <v>11493</v>
      </c>
      <c r="J157" t="s">
        <v>10647</v>
      </c>
      <c r="K157" t="s">
        <v>74</v>
      </c>
      <c r="L157" t="s">
        <v>74</v>
      </c>
      <c r="M157" t="s">
        <v>78</v>
      </c>
      <c r="N157" t="s">
        <v>79</v>
      </c>
      <c r="O157" t="s">
        <v>74</v>
      </c>
      <c r="P157" t="s">
        <v>74</v>
      </c>
      <c r="Q157" t="s">
        <v>74</v>
      </c>
      <c r="R157" t="s">
        <v>74</v>
      </c>
      <c r="S157" t="s">
        <v>74</v>
      </c>
      <c r="T157" s="1" t="s">
        <v>11494</v>
      </c>
      <c r="U157" s="1" t="s">
        <v>7372</v>
      </c>
      <c r="V157" s="1" t="s">
        <v>11495</v>
      </c>
      <c r="W157" t="s">
        <v>11496</v>
      </c>
      <c r="X157" t="s">
        <v>11497</v>
      </c>
      <c r="Y157" t="s">
        <v>11498</v>
      </c>
      <c r="Z157" t="s">
        <v>11499</v>
      </c>
      <c r="AA157" t="s">
        <v>11500</v>
      </c>
      <c r="AB157" t="s">
        <v>11501</v>
      </c>
      <c r="AC157" t="s">
        <v>74</v>
      </c>
      <c r="AD157" t="s">
        <v>74</v>
      </c>
      <c r="AE157" t="s">
        <v>74</v>
      </c>
      <c r="AF157" t="s">
        <v>74</v>
      </c>
      <c r="AG157">
        <v>32</v>
      </c>
      <c r="AH157">
        <v>11</v>
      </c>
      <c r="AI157">
        <v>12</v>
      </c>
      <c r="AJ157">
        <v>1</v>
      </c>
      <c r="AK157">
        <v>20</v>
      </c>
      <c r="AL157" t="s">
        <v>492</v>
      </c>
      <c r="AM157" t="s">
        <v>493</v>
      </c>
      <c r="AN157" t="s">
        <v>11275</v>
      </c>
      <c r="AO157" t="s">
        <v>10657</v>
      </c>
      <c r="AP157" t="s">
        <v>10658</v>
      </c>
      <c r="AQ157" t="s">
        <v>74</v>
      </c>
      <c r="AR157" t="s">
        <v>10659</v>
      </c>
      <c r="AS157" t="s">
        <v>10660</v>
      </c>
      <c r="AT157" t="s">
        <v>5945</v>
      </c>
      <c r="AU157">
        <v>2015</v>
      </c>
      <c r="AV157">
        <v>22</v>
      </c>
      <c r="AW157">
        <v>2</v>
      </c>
      <c r="AX157" t="s">
        <v>74</v>
      </c>
      <c r="AY157" t="s">
        <v>74</v>
      </c>
      <c r="AZ157" t="s">
        <v>74</v>
      </c>
      <c r="BA157" t="s">
        <v>74</v>
      </c>
      <c r="BB157">
        <v>63</v>
      </c>
      <c r="BC157">
        <v>83</v>
      </c>
      <c r="BD157" t="s">
        <v>74</v>
      </c>
      <c r="BE157" t="s">
        <v>11502</v>
      </c>
      <c r="BF157" t="str">
        <f>HYPERLINK("http://dx.doi.org/10.1080/10630732.2014.971536","http://dx.doi.org/10.1080/10630732.2014.971536")</f>
        <v>http://dx.doi.org/10.1080/10630732.2014.971536</v>
      </c>
      <c r="BG157" t="s">
        <v>74</v>
      </c>
      <c r="BH157" t="s">
        <v>74</v>
      </c>
      <c r="BI157">
        <v>21</v>
      </c>
      <c r="BJ157" t="s">
        <v>2621</v>
      </c>
      <c r="BK157" t="s">
        <v>156</v>
      </c>
      <c r="BL157" t="s">
        <v>2621</v>
      </c>
      <c r="BM157" t="s">
        <v>11503</v>
      </c>
      <c r="BN157" t="s">
        <v>74</v>
      </c>
      <c r="BO157" t="s">
        <v>74</v>
      </c>
      <c r="BP157" t="s">
        <v>74</v>
      </c>
      <c r="BQ157" t="s">
        <v>74</v>
      </c>
      <c r="BR157" t="s">
        <v>106</v>
      </c>
      <c r="BS157" t="s">
        <v>11504</v>
      </c>
      <c r="BT157" t="str">
        <f>HYPERLINK("https%3A%2F%2Fwww.webofscience.com%2Fwos%2Fwoscc%2Ffull-record%2FWOS:000359698500002","View Full Record in Web of Science")</f>
        <v>View Full Record in Web of Science</v>
      </c>
    </row>
    <row r="158" spans="1:72" x14ac:dyDescent="0.25">
      <c r="A158" t="s">
        <v>72</v>
      </c>
      <c r="B158" t="s">
        <v>12045</v>
      </c>
      <c r="C158" t="s">
        <v>74</v>
      </c>
      <c r="D158" t="s">
        <v>74</v>
      </c>
      <c r="E158" t="s">
        <v>74</v>
      </c>
      <c r="F158" t="s">
        <v>12046</v>
      </c>
      <c r="G158" t="s">
        <v>74</v>
      </c>
      <c r="H158" t="s">
        <v>74</v>
      </c>
      <c r="I158" s="1" t="s">
        <v>12047</v>
      </c>
      <c r="J158" t="s">
        <v>12048</v>
      </c>
      <c r="K158" t="s">
        <v>74</v>
      </c>
      <c r="L158" t="s">
        <v>74</v>
      </c>
      <c r="M158" t="s">
        <v>78</v>
      </c>
      <c r="N158" t="s">
        <v>79</v>
      </c>
      <c r="O158" t="s">
        <v>74</v>
      </c>
      <c r="P158" t="s">
        <v>74</v>
      </c>
      <c r="Q158" t="s">
        <v>74</v>
      </c>
      <c r="R158" t="s">
        <v>74</v>
      </c>
      <c r="S158" t="s">
        <v>74</v>
      </c>
      <c r="T158" s="1" t="s">
        <v>12049</v>
      </c>
      <c r="U158" s="1" t="s">
        <v>12050</v>
      </c>
      <c r="V158" s="1" t="s">
        <v>12051</v>
      </c>
      <c r="W158" t="s">
        <v>12052</v>
      </c>
      <c r="X158" t="s">
        <v>12053</v>
      </c>
      <c r="Y158" t="s">
        <v>12054</v>
      </c>
      <c r="Z158" t="s">
        <v>12055</v>
      </c>
      <c r="AA158" t="s">
        <v>12056</v>
      </c>
      <c r="AB158" t="s">
        <v>12057</v>
      </c>
      <c r="AC158" t="s">
        <v>74</v>
      </c>
      <c r="AD158" t="s">
        <v>74</v>
      </c>
      <c r="AE158" t="s">
        <v>74</v>
      </c>
      <c r="AF158" t="s">
        <v>74</v>
      </c>
      <c r="AG158">
        <v>36</v>
      </c>
      <c r="AH158">
        <v>11</v>
      </c>
      <c r="AI158">
        <v>11</v>
      </c>
      <c r="AJ158">
        <v>2</v>
      </c>
      <c r="AK158">
        <v>75</v>
      </c>
      <c r="AL158" t="s">
        <v>4775</v>
      </c>
      <c r="AM158" t="s">
        <v>4776</v>
      </c>
      <c r="AN158" t="s">
        <v>4777</v>
      </c>
      <c r="AO158" t="s">
        <v>12058</v>
      </c>
      <c r="AP158" t="s">
        <v>74</v>
      </c>
      <c r="AQ158" t="s">
        <v>74</v>
      </c>
      <c r="AR158" t="s">
        <v>12059</v>
      </c>
      <c r="AS158" t="s">
        <v>12060</v>
      </c>
      <c r="AT158" t="s">
        <v>3130</v>
      </c>
      <c r="AU158">
        <v>2013</v>
      </c>
      <c r="AV158">
        <v>32</v>
      </c>
      <c r="AW158">
        <v>5</v>
      </c>
      <c r="AX158" t="s">
        <v>74</v>
      </c>
      <c r="AY158" t="s">
        <v>74</v>
      </c>
      <c r="AZ158" t="s">
        <v>74</v>
      </c>
      <c r="BA158" t="s">
        <v>74</v>
      </c>
      <c r="BB158">
        <v>716</v>
      </c>
      <c r="BC158">
        <v>732</v>
      </c>
      <c r="BD158" t="s">
        <v>74</v>
      </c>
      <c r="BE158" t="s">
        <v>12061</v>
      </c>
      <c r="BF158" t="str">
        <f>HYPERLINK("http://dx.doi.org/10.1287/mksc.2013.0790","http://dx.doi.org/10.1287/mksc.2013.0790")</f>
        <v>http://dx.doi.org/10.1287/mksc.2013.0790</v>
      </c>
      <c r="BG158" t="s">
        <v>74</v>
      </c>
      <c r="BH158" t="s">
        <v>74</v>
      </c>
      <c r="BI158">
        <v>17</v>
      </c>
      <c r="BJ158" t="s">
        <v>1023</v>
      </c>
      <c r="BK158" t="s">
        <v>156</v>
      </c>
      <c r="BL158" t="s">
        <v>265</v>
      </c>
      <c r="BM158" t="s">
        <v>12062</v>
      </c>
      <c r="BN158" t="s">
        <v>74</v>
      </c>
      <c r="BO158" t="s">
        <v>74</v>
      </c>
      <c r="BP158" t="s">
        <v>74</v>
      </c>
      <c r="BQ158" t="s">
        <v>74</v>
      </c>
      <c r="BR158" t="s">
        <v>106</v>
      </c>
      <c r="BS158" t="s">
        <v>12063</v>
      </c>
      <c r="BT158" t="str">
        <f>HYPERLINK("https%3A%2F%2Fwww.webofscience.com%2Fwos%2Fwoscc%2Ffull-record%2FWOS:000325305900003","View Full Record in Web of Science")</f>
        <v>View Full Record in Web of Science</v>
      </c>
    </row>
    <row r="159" spans="1:72" x14ac:dyDescent="0.25">
      <c r="A159" t="s">
        <v>72</v>
      </c>
      <c r="B159" t="s">
        <v>3357</v>
      </c>
      <c r="C159" t="s">
        <v>74</v>
      </c>
      <c r="D159" t="s">
        <v>74</v>
      </c>
      <c r="E159" t="s">
        <v>74</v>
      </c>
      <c r="F159" t="s">
        <v>3358</v>
      </c>
      <c r="G159" t="s">
        <v>74</v>
      </c>
      <c r="H159" t="s">
        <v>74</v>
      </c>
      <c r="I159" s="1" t="s">
        <v>3359</v>
      </c>
      <c r="J159" t="s">
        <v>1332</v>
      </c>
      <c r="K159" t="s">
        <v>74</v>
      </c>
      <c r="L159" t="s">
        <v>74</v>
      </c>
      <c r="M159" t="s">
        <v>78</v>
      </c>
      <c r="N159" t="s">
        <v>79</v>
      </c>
      <c r="O159" t="s">
        <v>74</v>
      </c>
      <c r="P159" t="s">
        <v>74</v>
      </c>
      <c r="Q159" t="s">
        <v>74</v>
      </c>
      <c r="R159" t="s">
        <v>74</v>
      </c>
      <c r="S159" t="s">
        <v>74</v>
      </c>
      <c r="T159" s="1" t="s">
        <v>3360</v>
      </c>
      <c r="U159" s="1" t="s">
        <v>3361</v>
      </c>
      <c r="V159" s="1" t="s">
        <v>3362</v>
      </c>
      <c r="W159" t="s">
        <v>3363</v>
      </c>
      <c r="X159" t="s">
        <v>3364</v>
      </c>
      <c r="Y159" t="s">
        <v>3365</v>
      </c>
      <c r="Z159" t="s">
        <v>3366</v>
      </c>
      <c r="AA159" t="s">
        <v>3367</v>
      </c>
      <c r="AB159" t="s">
        <v>3368</v>
      </c>
      <c r="AC159" t="s">
        <v>74</v>
      </c>
      <c r="AD159" t="s">
        <v>74</v>
      </c>
      <c r="AE159" t="s">
        <v>74</v>
      </c>
      <c r="AF159" t="s">
        <v>74</v>
      </c>
      <c r="AG159">
        <v>31</v>
      </c>
      <c r="AH159">
        <v>10</v>
      </c>
      <c r="AI159">
        <v>10</v>
      </c>
      <c r="AJ159">
        <v>3</v>
      </c>
      <c r="AK159">
        <v>10</v>
      </c>
      <c r="AL159" t="s">
        <v>1341</v>
      </c>
      <c r="AM159" t="s">
        <v>1342</v>
      </c>
      <c r="AN159" t="s">
        <v>1343</v>
      </c>
      <c r="AO159" t="s">
        <v>1344</v>
      </c>
      <c r="AP159" t="s">
        <v>1345</v>
      </c>
      <c r="AQ159" t="s">
        <v>74</v>
      </c>
      <c r="AR159" t="s">
        <v>1346</v>
      </c>
      <c r="AS159" t="s">
        <v>1347</v>
      </c>
      <c r="AT159" t="s">
        <v>376</v>
      </c>
      <c r="AU159">
        <v>2022</v>
      </c>
      <c r="AV159">
        <v>13</v>
      </c>
      <c r="AW159">
        <v>38</v>
      </c>
      <c r="AX159" t="s">
        <v>74</v>
      </c>
      <c r="AY159" t="s">
        <v>74</v>
      </c>
      <c r="AZ159" t="s">
        <v>74</v>
      </c>
      <c r="BA159" t="s">
        <v>74</v>
      </c>
      <c r="BB159">
        <v>680</v>
      </c>
      <c r="BC159">
        <v>695</v>
      </c>
      <c r="BD159" t="s">
        <v>74</v>
      </c>
      <c r="BE159" t="s">
        <v>3369</v>
      </c>
      <c r="BF159" t="str">
        <f>HYPERLINK("http://dx.doi.org/10.46925//rdluz.38.37","http://dx.doi.org/10.46925//rdluz.38.37")</f>
        <v>http://dx.doi.org/10.46925//rdluz.38.37</v>
      </c>
      <c r="BG159" t="s">
        <v>74</v>
      </c>
      <c r="BH159" t="s">
        <v>74</v>
      </c>
      <c r="BI159">
        <v>16</v>
      </c>
      <c r="BJ159" t="s">
        <v>942</v>
      </c>
      <c r="BK159" t="s">
        <v>183</v>
      </c>
      <c r="BL159" t="s">
        <v>943</v>
      </c>
      <c r="BM159" t="s">
        <v>3370</v>
      </c>
      <c r="BN159" t="s">
        <v>74</v>
      </c>
      <c r="BO159" t="s">
        <v>3371</v>
      </c>
      <c r="BP159" t="s">
        <v>74</v>
      </c>
      <c r="BQ159" t="s">
        <v>74</v>
      </c>
      <c r="BR159" t="s">
        <v>106</v>
      </c>
      <c r="BS159" t="s">
        <v>3372</v>
      </c>
      <c r="BT159" t="str">
        <f>HYPERLINK("https%3A%2F%2Fwww.webofscience.com%2Fwos%2Fwoscc%2Ffull-record%2FWOS:000865512800035","View Full Record in Web of Science")</f>
        <v>View Full Record in Web of Science</v>
      </c>
    </row>
    <row r="160" spans="1:72" x14ac:dyDescent="0.25">
      <c r="A160" t="s">
        <v>72</v>
      </c>
      <c r="B160" t="s">
        <v>6242</v>
      </c>
      <c r="C160" t="s">
        <v>74</v>
      </c>
      <c r="D160" t="s">
        <v>74</v>
      </c>
      <c r="E160" t="s">
        <v>74</v>
      </c>
      <c r="F160" t="s">
        <v>6243</v>
      </c>
      <c r="G160" t="s">
        <v>74</v>
      </c>
      <c r="H160" t="s">
        <v>74</v>
      </c>
      <c r="I160" s="1" t="s">
        <v>6244</v>
      </c>
      <c r="J160" t="s">
        <v>4825</v>
      </c>
      <c r="K160" t="s">
        <v>74</v>
      </c>
      <c r="L160" t="s">
        <v>74</v>
      </c>
      <c r="M160" t="s">
        <v>78</v>
      </c>
      <c r="N160" t="s">
        <v>79</v>
      </c>
      <c r="O160" t="s">
        <v>74</v>
      </c>
      <c r="P160" t="s">
        <v>74</v>
      </c>
      <c r="Q160" t="s">
        <v>74</v>
      </c>
      <c r="R160" t="s">
        <v>74</v>
      </c>
      <c r="S160" t="s">
        <v>74</v>
      </c>
      <c r="T160" s="1" t="s">
        <v>6245</v>
      </c>
      <c r="U160" s="1" t="s">
        <v>6246</v>
      </c>
      <c r="V160" s="1" t="s">
        <v>6247</v>
      </c>
      <c r="W160" t="s">
        <v>6248</v>
      </c>
      <c r="X160" t="s">
        <v>6249</v>
      </c>
      <c r="Y160" t="s">
        <v>6250</v>
      </c>
      <c r="Z160" t="s">
        <v>6251</v>
      </c>
      <c r="AA160" t="s">
        <v>74</v>
      </c>
      <c r="AB160" t="s">
        <v>6252</v>
      </c>
      <c r="AC160" t="s">
        <v>6253</v>
      </c>
      <c r="AD160" t="s">
        <v>6253</v>
      </c>
      <c r="AE160" t="s">
        <v>6254</v>
      </c>
      <c r="AF160" t="s">
        <v>74</v>
      </c>
      <c r="AG160">
        <v>48</v>
      </c>
      <c r="AH160">
        <v>10</v>
      </c>
      <c r="AI160">
        <v>10</v>
      </c>
      <c r="AJ160">
        <v>58</v>
      </c>
      <c r="AK160">
        <v>166</v>
      </c>
      <c r="AL160" t="s">
        <v>2153</v>
      </c>
      <c r="AM160" t="s">
        <v>2154</v>
      </c>
      <c r="AN160" t="s">
        <v>2155</v>
      </c>
      <c r="AO160" t="s">
        <v>4837</v>
      </c>
      <c r="AP160" t="s">
        <v>4838</v>
      </c>
      <c r="AQ160" t="s">
        <v>74</v>
      </c>
      <c r="AR160" t="s">
        <v>4839</v>
      </c>
      <c r="AS160" t="s">
        <v>4840</v>
      </c>
      <c r="AT160" t="s">
        <v>356</v>
      </c>
      <c r="AU160">
        <v>2023</v>
      </c>
      <c r="AV160">
        <v>70</v>
      </c>
      <c r="AW160">
        <v>9</v>
      </c>
      <c r="AX160" t="s">
        <v>74</v>
      </c>
      <c r="AY160" t="s">
        <v>74</v>
      </c>
      <c r="AZ160" t="s">
        <v>74</v>
      </c>
      <c r="BA160" t="s">
        <v>74</v>
      </c>
      <c r="BB160">
        <v>3183</v>
      </c>
      <c r="BC160">
        <v>3197</v>
      </c>
      <c r="BD160" t="s">
        <v>74</v>
      </c>
      <c r="BE160" t="s">
        <v>6255</v>
      </c>
      <c r="BF160" t="str">
        <f>HYPERLINK("http://dx.doi.org/10.1109/TEM.2021.3079347","http://dx.doi.org/10.1109/TEM.2021.3079347")</f>
        <v>http://dx.doi.org/10.1109/TEM.2021.3079347</v>
      </c>
      <c r="BG160" t="s">
        <v>74</v>
      </c>
      <c r="BH160" t="s">
        <v>6177</v>
      </c>
      <c r="BI160">
        <v>15</v>
      </c>
      <c r="BJ160" t="s">
        <v>4842</v>
      </c>
      <c r="BK160" t="s">
        <v>211</v>
      </c>
      <c r="BL160" t="s">
        <v>4843</v>
      </c>
      <c r="BM160" t="s">
        <v>6256</v>
      </c>
      <c r="BN160" t="s">
        <v>74</v>
      </c>
      <c r="BO160" t="s">
        <v>74</v>
      </c>
      <c r="BP160" t="s">
        <v>74</v>
      </c>
      <c r="BQ160" t="s">
        <v>74</v>
      </c>
      <c r="BR160" t="s">
        <v>106</v>
      </c>
      <c r="BS160" t="s">
        <v>6257</v>
      </c>
      <c r="BT160" t="str">
        <f>HYPERLINK("https%3A%2F%2Fwww.webofscience.com%2Fwos%2Fwoscc%2Ffull-record%2FWOS:000732678400001","View Full Record in Web of Science")</f>
        <v>View Full Record in Web of Science</v>
      </c>
    </row>
    <row r="161" spans="1:72" x14ac:dyDescent="0.25">
      <c r="A161" t="s">
        <v>72</v>
      </c>
      <c r="B161" t="s">
        <v>11858</v>
      </c>
      <c r="C161" t="s">
        <v>74</v>
      </c>
      <c r="D161" t="s">
        <v>74</v>
      </c>
      <c r="E161" t="s">
        <v>74</v>
      </c>
      <c r="F161" t="s">
        <v>11859</v>
      </c>
      <c r="G161" t="s">
        <v>74</v>
      </c>
      <c r="H161" t="s">
        <v>74</v>
      </c>
      <c r="I161" s="1" t="s">
        <v>11860</v>
      </c>
      <c r="J161" t="s">
        <v>9769</v>
      </c>
      <c r="K161" t="s">
        <v>74</v>
      </c>
      <c r="L161" t="s">
        <v>74</v>
      </c>
      <c r="M161" t="s">
        <v>78</v>
      </c>
      <c r="N161" t="s">
        <v>79</v>
      </c>
      <c r="O161" t="s">
        <v>74</v>
      </c>
      <c r="P161" t="s">
        <v>74</v>
      </c>
      <c r="Q161" t="s">
        <v>74</v>
      </c>
      <c r="R161" t="s">
        <v>74</v>
      </c>
      <c r="S161" t="s">
        <v>74</v>
      </c>
      <c r="T161" s="1" t="s">
        <v>11861</v>
      </c>
      <c r="U161" s="1" t="s">
        <v>11862</v>
      </c>
      <c r="V161" s="1" t="s">
        <v>11863</v>
      </c>
      <c r="W161" t="s">
        <v>11864</v>
      </c>
      <c r="X161" t="s">
        <v>11865</v>
      </c>
      <c r="Y161" t="s">
        <v>11866</v>
      </c>
      <c r="Z161" t="s">
        <v>11867</v>
      </c>
      <c r="AA161" t="s">
        <v>11868</v>
      </c>
      <c r="AB161" t="s">
        <v>11869</v>
      </c>
      <c r="AC161" t="s">
        <v>74</v>
      </c>
      <c r="AD161" t="s">
        <v>74</v>
      </c>
      <c r="AE161" t="s">
        <v>74</v>
      </c>
      <c r="AF161" t="s">
        <v>74</v>
      </c>
      <c r="AG161">
        <v>68</v>
      </c>
      <c r="AH161">
        <v>10</v>
      </c>
      <c r="AI161">
        <v>12</v>
      </c>
      <c r="AJ161">
        <v>2</v>
      </c>
      <c r="AK161">
        <v>45</v>
      </c>
      <c r="AL161" t="s">
        <v>9779</v>
      </c>
      <c r="AM161" t="s">
        <v>232</v>
      </c>
      <c r="AN161" t="s">
        <v>9780</v>
      </c>
      <c r="AO161" t="s">
        <v>9781</v>
      </c>
      <c r="AP161" t="s">
        <v>74</v>
      </c>
      <c r="AQ161" t="s">
        <v>74</v>
      </c>
      <c r="AR161" t="s">
        <v>9782</v>
      </c>
      <c r="AS161" t="s">
        <v>9783</v>
      </c>
      <c r="AT161" t="s">
        <v>1904</v>
      </c>
      <c r="AU161">
        <v>2014</v>
      </c>
      <c r="AV161">
        <v>31</v>
      </c>
      <c r="AW161">
        <v>1</v>
      </c>
      <c r="AX161" t="s">
        <v>74</v>
      </c>
      <c r="AY161" t="s">
        <v>74</v>
      </c>
      <c r="AZ161" t="s">
        <v>74</v>
      </c>
      <c r="BA161" t="s">
        <v>74</v>
      </c>
      <c r="BB161">
        <v>98</v>
      </c>
      <c r="BC161">
        <v>114</v>
      </c>
      <c r="BD161" t="s">
        <v>74</v>
      </c>
      <c r="BE161" t="s">
        <v>11870</v>
      </c>
      <c r="BF161" t="str">
        <f>HYPERLINK("http://dx.doi.org/10.1016/j.tele.2013.05.001","http://dx.doi.org/10.1016/j.tele.2013.05.001")</f>
        <v>http://dx.doi.org/10.1016/j.tele.2013.05.001</v>
      </c>
      <c r="BG161" t="s">
        <v>74</v>
      </c>
      <c r="BH161" t="s">
        <v>74</v>
      </c>
      <c r="BI161">
        <v>17</v>
      </c>
      <c r="BJ161" t="s">
        <v>3050</v>
      </c>
      <c r="BK161" t="s">
        <v>156</v>
      </c>
      <c r="BL161" t="s">
        <v>3050</v>
      </c>
      <c r="BM161" t="s">
        <v>11871</v>
      </c>
      <c r="BN161" t="s">
        <v>74</v>
      </c>
      <c r="BO161" t="s">
        <v>74</v>
      </c>
      <c r="BP161" t="s">
        <v>74</v>
      </c>
      <c r="BQ161" t="s">
        <v>74</v>
      </c>
      <c r="BR161" t="s">
        <v>106</v>
      </c>
      <c r="BS161" t="s">
        <v>11872</v>
      </c>
      <c r="BT161" t="str">
        <f>HYPERLINK("https%3A%2F%2Fwww.webofscience.com%2Fwos%2Fwoscc%2Ffull-record%2FWOS:000327001400010","View Full Record in Web of Science")</f>
        <v>View Full Record in Web of Science</v>
      </c>
    </row>
    <row r="162" spans="1:72" x14ac:dyDescent="0.25">
      <c r="A162" t="s">
        <v>72</v>
      </c>
      <c r="B162" t="s">
        <v>5291</v>
      </c>
      <c r="C162" t="s">
        <v>74</v>
      </c>
      <c r="D162" t="s">
        <v>74</v>
      </c>
      <c r="E162" t="s">
        <v>74</v>
      </c>
      <c r="F162" t="s">
        <v>5292</v>
      </c>
      <c r="G162" t="s">
        <v>74</v>
      </c>
      <c r="H162" t="s">
        <v>74</v>
      </c>
      <c r="I162" s="1" t="s">
        <v>5293</v>
      </c>
      <c r="J162" t="s">
        <v>5294</v>
      </c>
      <c r="K162" t="s">
        <v>74</v>
      </c>
      <c r="L162" t="s">
        <v>74</v>
      </c>
      <c r="M162" t="s">
        <v>78</v>
      </c>
      <c r="N162" t="s">
        <v>79</v>
      </c>
      <c r="O162" t="s">
        <v>74</v>
      </c>
      <c r="P162" t="s">
        <v>74</v>
      </c>
      <c r="Q162" t="s">
        <v>74</v>
      </c>
      <c r="R162" t="s">
        <v>74</v>
      </c>
      <c r="S162" t="s">
        <v>74</v>
      </c>
      <c r="T162" s="1" t="s">
        <v>5295</v>
      </c>
      <c r="U162" s="1" t="s">
        <v>5296</v>
      </c>
      <c r="V162" s="1" t="s">
        <v>5297</v>
      </c>
      <c r="W162" t="s">
        <v>5298</v>
      </c>
      <c r="X162" t="s">
        <v>5299</v>
      </c>
      <c r="Y162" t="s">
        <v>5300</v>
      </c>
      <c r="Z162" t="s">
        <v>5301</v>
      </c>
      <c r="AA162" t="s">
        <v>74</v>
      </c>
      <c r="AB162" t="s">
        <v>74</v>
      </c>
      <c r="AC162" t="s">
        <v>5299</v>
      </c>
      <c r="AD162" t="s">
        <v>5299</v>
      </c>
      <c r="AE162" t="s">
        <v>5302</v>
      </c>
      <c r="AF162" t="s">
        <v>74</v>
      </c>
      <c r="AG162">
        <v>33</v>
      </c>
      <c r="AH162">
        <v>9</v>
      </c>
      <c r="AI162">
        <v>9</v>
      </c>
      <c r="AJ162">
        <v>38</v>
      </c>
      <c r="AK162">
        <v>56</v>
      </c>
      <c r="AL162" t="s">
        <v>5303</v>
      </c>
      <c r="AM162" t="s">
        <v>5304</v>
      </c>
      <c r="AN162" t="s">
        <v>5305</v>
      </c>
      <c r="AO162" t="s">
        <v>74</v>
      </c>
      <c r="AP162" t="s">
        <v>5306</v>
      </c>
      <c r="AQ162" t="s">
        <v>74</v>
      </c>
      <c r="AR162" t="s">
        <v>5307</v>
      </c>
      <c r="AS162" t="s">
        <v>5308</v>
      </c>
      <c r="AT162" t="s">
        <v>74</v>
      </c>
      <c r="AU162">
        <v>2022</v>
      </c>
      <c r="AV162">
        <v>4</v>
      </c>
      <c r="AW162">
        <v>3</v>
      </c>
      <c r="AX162" t="s">
        <v>74</v>
      </c>
      <c r="AY162" t="s">
        <v>74</v>
      </c>
      <c r="AZ162" t="s">
        <v>74</v>
      </c>
      <c r="BA162" t="s">
        <v>74</v>
      </c>
      <c r="BB162">
        <v>251</v>
      </c>
      <c r="BC162">
        <v>272</v>
      </c>
      <c r="BD162" t="s">
        <v>74</v>
      </c>
      <c r="BE162" t="s">
        <v>5309</v>
      </c>
      <c r="BF162" t="str">
        <f>HYPERLINK("http://dx.doi.org/10.3934/NAR.2022015","http://dx.doi.org/10.3934/NAR.2022015")</f>
        <v>http://dx.doi.org/10.3934/NAR.2022015</v>
      </c>
      <c r="BG162" t="s">
        <v>74</v>
      </c>
      <c r="BH162" t="s">
        <v>74</v>
      </c>
      <c r="BI162">
        <v>22</v>
      </c>
      <c r="BJ162" t="s">
        <v>5310</v>
      </c>
      <c r="BK162" t="s">
        <v>183</v>
      </c>
      <c r="BL162" t="s">
        <v>265</v>
      </c>
      <c r="BM162" t="s">
        <v>5311</v>
      </c>
      <c r="BN162" t="s">
        <v>74</v>
      </c>
      <c r="BO162" t="s">
        <v>186</v>
      </c>
      <c r="BP162" t="s">
        <v>74</v>
      </c>
      <c r="BQ162" t="s">
        <v>74</v>
      </c>
      <c r="BR162" t="s">
        <v>106</v>
      </c>
      <c r="BS162" t="s">
        <v>5312</v>
      </c>
      <c r="BT162" t="str">
        <f>HYPERLINK("https%3A%2F%2Fwww.webofscience.com%2Fwos%2Fwoscc%2Ffull-record%2FWOS:000906531700003","View Full Record in Web of Science")</f>
        <v>View Full Record in Web of Science</v>
      </c>
    </row>
    <row r="163" spans="1:72" x14ac:dyDescent="0.25">
      <c r="A163" t="s">
        <v>72</v>
      </c>
      <c r="B163" t="s">
        <v>5966</v>
      </c>
      <c r="C163" t="s">
        <v>74</v>
      </c>
      <c r="D163" t="s">
        <v>74</v>
      </c>
      <c r="E163" t="s">
        <v>74</v>
      </c>
      <c r="F163" t="s">
        <v>5967</v>
      </c>
      <c r="G163" t="s">
        <v>74</v>
      </c>
      <c r="H163" t="s">
        <v>74</v>
      </c>
      <c r="I163" s="1" t="s">
        <v>5968</v>
      </c>
      <c r="J163" t="s">
        <v>5969</v>
      </c>
      <c r="K163" t="s">
        <v>74</v>
      </c>
      <c r="L163" t="s">
        <v>74</v>
      </c>
      <c r="M163" t="s">
        <v>78</v>
      </c>
      <c r="N163" t="s">
        <v>79</v>
      </c>
      <c r="O163" t="s">
        <v>74</v>
      </c>
      <c r="P163" t="s">
        <v>74</v>
      </c>
      <c r="Q163" t="s">
        <v>74</v>
      </c>
      <c r="R163" t="s">
        <v>74</v>
      </c>
      <c r="S163" t="s">
        <v>74</v>
      </c>
      <c r="T163" s="1" t="s">
        <v>5970</v>
      </c>
      <c r="U163" s="1" t="s">
        <v>5971</v>
      </c>
      <c r="V163" s="1" t="s">
        <v>5972</v>
      </c>
      <c r="W163" t="s">
        <v>5973</v>
      </c>
      <c r="X163" t="s">
        <v>5974</v>
      </c>
      <c r="Y163" t="s">
        <v>5975</v>
      </c>
      <c r="Z163" t="s">
        <v>5976</v>
      </c>
      <c r="AA163" t="s">
        <v>5977</v>
      </c>
      <c r="AB163" t="s">
        <v>5978</v>
      </c>
      <c r="AC163" t="s">
        <v>5979</v>
      </c>
      <c r="AD163" t="s">
        <v>5980</v>
      </c>
      <c r="AE163" t="s">
        <v>5981</v>
      </c>
      <c r="AF163" t="s">
        <v>74</v>
      </c>
      <c r="AG163">
        <v>37</v>
      </c>
      <c r="AH163">
        <v>9</v>
      </c>
      <c r="AI163">
        <v>9</v>
      </c>
      <c r="AJ163">
        <v>10</v>
      </c>
      <c r="AK163">
        <v>52</v>
      </c>
      <c r="AL163" t="s">
        <v>1013</v>
      </c>
      <c r="AM163" t="s">
        <v>493</v>
      </c>
      <c r="AN163" t="s">
        <v>1014</v>
      </c>
      <c r="AO163" t="s">
        <v>5982</v>
      </c>
      <c r="AP163" t="s">
        <v>5983</v>
      </c>
      <c r="AQ163" t="s">
        <v>74</v>
      </c>
      <c r="AR163" t="s">
        <v>5984</v>
      </c>
      <c r="AS163" t="s">
        <v>5985</v>
      </c>
      <c r="AT163" t="s">
        <v>3237</v>
      </c>
      <c r="AU163">
        <v>2021</v>
      </c>
      <c r="AV163">
        <v>34</v>
      </c>
      <c r="AW163">
        <v>9</v>
      </c>
      <c r="AX163" t="s">
        <v>74</v>
      </c>
      <c r="AY163" t="s">
        <v>74</v>
      </c>
      <c r="AZ163" t="s">
        <v>74</v>
      </c>
      <c r="BA163" t="s">
        <v>74</v>
      </c>
      <c r="BB163">
        <v>920</v>
      </c>
      <c r="BC163">
        <v>932</v>
      </c>
      <c r="BD163" t="s">
        <v>74</v>
      </c>
      <c r="BE163" t="s">
        <v>5986</v>
      </c>
      <c r="BF163" t="str">
        <f>HYPERLINK("http://dx.doi.org/10.1080/0951192X.2021.1946858","http://dx.doi.org/10.1080/0951192X.2021.1946858")</f>
        <v>http://dx.doi.org/10.1080/0951192X.2021.1946858</v>
      </c>
      <c r="BG163" t="s">
        <v>74</v>
      </c>
      <c r="BH163" t="s">
        <v>5928</v>
      </c>
      <c r="BI163">
        <v>13</v>
      </c>
      <c r="BJ163" t="s">
        <v>5987</v>
      </c>
      <c r="BK163" t="s">
        <v>102</v>
      </c>
      <c r="BL163" t="s">
        <v>5988</v>
      </c>
      <c r="BM163" t="s">
        <v>5989</v>
      </c>
      <c r="BN163" t="s">
        <v>74</v>
      </c>
      <c r="BO163" t="s">
        <v>74</v>
      </c>
      <c r="BP163" t="s">
        <v>74</v>
      </c>
      <c r="BQ163" t="s">
        <v>74</v>
      </c>
      <c r="BR163" t="s">
        <v>106</v>
      </c>
      <c r="BS163" t="s">
        <v>5990</v>
      </c>
      <c r="BT163" t="str">
        <f>HYPERLINK("https%3A%2F%2Fwww.webofscience.com%2Fwos%2Fwoscc%2Ffull-record%2FWOS:000680740800001","View Full Record in Web of Science")</f>
        <v>View Full Record in Web of Science</v>
      </c>
    </row>
    <row r="164" spans="1:72" x14ac:dyDescent="0.25">
      <c r="A164" t="s">
        <v>72</v>
      </c>
      <c r="B164" t="s">
        <v>6016</v>
      </c>
      <c r="C164" t="s">
        <v>74</v>
      </c>
      <c r="D164" t="s">
        <v>74</v>
      </c>
      <c r="E164" t="s">
        <v>74</v>
      </c>
      <c r="F164" t="s">
        <v>6017</v>
      </c>
      <c r="G164" t="s">
        <v>74</v>
      </c>
      <c r="H164" t="s">
        <v>74</v>
      </c>
      <c r="I164" s="1" t="s">
        <v>6018</v>
      </c>
      <c r="J164" t="s">
        <v>6019</v>
      </c>
      <c r="K164" t="s">
        <v>74</v>
      </c>
      <c r="L164" t="s">
        <v>74</v>
      </c>
      <c r="M164" t="s">
        <v>78</v>
      </c>
      <c r="N164" t="s">
        <v>112</v>
      </c>
      <c r="O164" t="s">
        <v>74</v>
      </c>
      <c r="P164" t="s">
        <v>74</v>
      </c>
      <c r="Q164" t="s">
        <v>74</v>
      </c>
      <c r="R164" t="s">
        <v>74</v>
      </c>
      <c r="S164" t="s">
        <v>74</v>
      </c>
      <c r="T164" s="1" t="s">
        <v>6020</v>
      </c>
      <c r="U164" s="1" t="s">
        <v>6021</v>
      </c>
      <c r="V164" s="1" t="s">
        <v>6022</v>
      </c>
      <c r="W164" t="s">
        <v>6023</v>
      </c>
      <c r="X164" t="s">
        <v>6024</v>
      </c>
      <c r="Y164" t="s">
        <v>6025</v>
      </c>
      <c r="Z164" t="s">
        <v>6026</v>
      </c>
      <c r="AA164" t="s">
        <v>6027</v>
      </c>
      <c r="AB164" t="s">
        <v>6028</v>
      </c>
      <c r="AC164" t="s">
        <v>74</v>
      </c>
      <c r="AD164" t="s">
        <v>74</v>
      </c>
      <c r="AE164" t="s">
        <v>74</v>
      </c>
      <c r="AF164" t="s">
        <v>74</v>
      </c>
      <c r="AG164">
        <v>42</v>
      </c>
      <c r="AH164">
        <v>9</v>
      </c>
      <c r="AI164">
        <v>9</v>
      </c>
      <c r="AJ164">
        <v>1</v>
      </c>
      <c r="AK164">
        <v>16</v>
      </c>
      <c r="AL164" t="s">
        <v>492</v>
      </c>
      <c r="AM164" t="s">
        <v>493</v>
      </c>
      <c r="AN164" t="s">
        <v>494</v>
      </c>
      <c r="AO164" t="s">
        <v>6029</v>
      </c>
      <c r="AP164" t="s">
        <v>6030</v>
      </c>
      <c r="AQ164" t="s">
        <v>74</v>
      </c>
      <c r="AR164" t="s">
        <v>6031</v>
      </c>
      <c r="AS164" t="s">
        <v>6032</v>
      </c>
      <c r="AT164" t="s">
        <v>6033</v>
      </c>
      <c r="AU164">
        <v>2021</v>
      </c>
      <c r="AV164" t="s">
        <v>74</v>
      </c>
      <c r="AW164" t="s">
        <v>74</v>
      </c>
      <c r="AX164" t="s">
        <v>74</v>
      </c>
      <c r="AY164" t="s">
        <v>74</v>
      </c>
      <c r="AZ164" t="s">
        <v>74</v>
      </c>
      <c r="BA164" t="s">
        <v>74</v>
      </c>
      <c r="BB164" t="s">
        <v>74</v>
      </c>
      <c r="BC164" t="s">
        <v>74</v>
      </c>
      <c r="BD164" t="s">
        <v>74</v>
      </c>
      <c r="BE164" t="s">
        <v>6034</v>
      </c>
      <c r="BF164" t="str">
        <f>HYPERLINK("http://dx.doi.org/10.1080/0965254X.2021.1959629","http://dx.doi.org/10.1080/0965254X.2021.1959629")</f>
        <v>http://dx.doi.org/10.1080/0965254X.2021.1959629</v>
      </c>
      <c r="BG164" t="s">
        <v>74</v>
      </c>
      <c r="BH164" t="s">
        <v>6012</v>
      </c>
      <c r="BI164">
        <v>16</v>
      </c>
      <c r="BJ164" t="s">
        <v>1023</v>
      </c>
      <c r="BK164" t="s">
        <v>183</v>
      </c>
      <c r="BL164" t="s">
        <v>265</v>
      </c>
      <c r="BM164" t="s">
        <v>6035</v>
      </c>
      <c r="BN164" t="s">
        <v>74</v>
      </c>
      <c r="BO164" t="s">
        <v>4521</v>
      </c>
      <c r="BP164" t="s">
        <v>74</v>
      </c>
      <c r="BQ164" t="s">
        <v>74</v>
      </c>
      <c r="BR164" t="s">
        <v>106</v>
      </c>
      <c r="BS164" t="s">
        <v>6036</v>
      </c>
      <c r="BT164" t="str">
        <f>HYPERLINK("https%3A%2F%2Fwww.webofscience.com%2Fwos%2Fwoscc%2Ffull-record%2FWOS:000686474100001","View Full Record in Web of Science")</f>
        <v>View Full Record in Web of Science</v>
      </c>
    </row>
    <row r="165" spans="1:72" x14ac:dyDescent="0.25">
      <c r="A165" t="s">
        <v>72</v>
      </c>
      <c r="B165" t="s">
        <v>6287</v>
      </c>
      <c r="C165" t="s">
        <v>74</v>
      </c>
      <c r="D165" t="s">
        <v>74</v>
      </c>
      <c r="E165" t="s">
        <v>74</v>
      </c>
      <c r="F165" t="s">
        <v>6288</v>
      </c>
      <c r="G165" t="s">
        <v>74</v>
      </c>
      <c r="H165" t="s">
        <v>74</v>
      </c>
      <c r="I165" s="1" t="s">
        <v>6289</v>
      </c>
      <c r="J165" t="s">
        <v>6290</v>
      </c>
      <c r="K165" t="s">
        <v>74</v>
      </c>
      <c r="L165" t="s">
        <v>74</v>
      </c>
      <c r="M165" t="s">
        <v>78</v>
      </c>
      <c r="N165" t="s">
        <v>79</v>
      </c>
      <c r="O165" t="s">
        <v>74</v>
      </c>
      <c r="P165" t="s">
        <v>74</v>
      </c>
      <c r="Q165" t="s">
        <v>74</v>
      </c>
      <c r="R165" t="s">
        <v>74</v>
      </c>
      <c r="S165" t="s">
        <v>74</v>
      </c>
      <c r="T165" s="1" t="s">
        <v>6291</v>
      </c>
      <c r="U165" s="1" t="s">
        <v>74</v>
      </c>
      <c r="V165" s="1" t="s">
        <v>6292</v>
      </c>
      <c r="W165" t="s">
        <v>6293</v>
      </c>
      <c r="X165" t="s">
        <v>74</v>
      </c>
      <c r="Y165" t="s">
        <v>6294</v>
      </c>
      <c r="Z165" t="s">
        <v>6295</v>
      </c>
      <c r="AA165" t="s">
        <v>6296</v>
      </c>
      <c r="AB165" t="s">
        <v>6297</v>
      </c>
      <c r="AC165" t="s">
        <v>6298</v>
      </c>
      <c r="AD165" t="s">
        <v>6299</v>
      </c>
      <c r="AE165" t="s">
        <v>6300</v>
      </c>
      <c r="AF165" t="s">
        <v>74</v>
      </c>
      <c r="AG165">
        <v>29</v>
      </c>
      <c r="AH165">
        <v>9</v>
      </c>
      <c r="AI165">
        <v>9</v>
      </c>
      <c r="AJ165">
        <v>3</v>
      </c>
      <c r="AK165">
        <v>10</v>
      </c>
      <c r="AL165" t="s">
        <v>2128</v>
      </c>
      <c r="AM165" t="s">
        <v>2129</v>
      </c>
      <c r="AN165" t="s">
        <v>3823</v>
      </c>
      <c r="AO165" t="s">
        <v>6301</v>
      </c>
      <c r="AP165" t="s">
        <v>74</v>
      </c>
      <c r="AQ165" t="s">
        <v>74</v>
      </c>
      <c r="AR165" t="s">
        <v>6302</v>
      </c>
      <c r="AS165" t="s">
        <v>6303</v>
      </c>
      <c r="AT165" t="s">
        <v>1138</v>
      </c>
      <c r="AU165">
        <v>2021</v>
      </c>
      <c r="AV165">
        <v>7</v>
      </c>
      <c r="AW165">
        <v>6</v>
      </c>
      <c r="AX165" t="s">
        <v>74</v>
      </c>
      <c r="AY165" t="s">
        <v>74</v>
      </c>
      <c r="AZ165" t="s">
        <v>74</v>
      </c>
      <c r="BA165" t="s">
        <v>74</v>
      </c>
      <c r="BB165" t="s">
        <v>74</v>
      </c>
      <c r="BC165" t="s">
        <v>74</v>
      </c>
      <c r="BD165" t="s">
        <v>6304</v>
      </c>
      <c r="BE165" t="s">
        <v>6305</v>
      </c>
      <c r="BF165" t="str">
        <f>HYPERLINK("http://dx.doi.org/10.2196/28643","http://dx.doi.org/10.2196/28643")</f>
        <v>http://dx.doi.org/10.2196/28643</v>
      </c>
      <c r="BG165" t="s">
        <v>74</v>
      </c>
      <c r="BH165" t="s">
        <v>74</v>
      </c>
      <c r="BI165">
        <v>8</v>
      </c>
      <c r="BJ165" t="s">
        <v>1584</v>
      </c>
      <c r="BK165" t="s">
        <v>211</v>
      </c>
      <c r="BL165" t="s">
        <v>1584</v>
      </c>
      <c r="BM165" t="s">
        <v>6306</v>
      </c>
      <c r="BN165">
        <v>34101613</v>
      </c>
      <c r="BO165" t="s">
        <v>422</v>
      </c>
      <c r="BP165" t="s">
        <v>74</v>
      </c>
      <c r="BQ165" t="s">
        <v>74</v>
      </c>
      <c r="BR165" t="s">
        <v>106</v>
      </c>
      <c r="BS165" t="s">
        <v>6307</v>
      </c>
      <c r="BT165" t="str">
        <f>HYPERLINK("https%3A%2F%2Fwww.webofscience.com%2Fwos%2Fwoscc%2Ffull-record%2FWOS:000738510300001","View Full Record in Web of Science")</f>
        <v>View Full Record in Web of Science</v>
      </c>
    </row>
    <row r="166" spans="1:72" x14ac:dyDescent="0.25">
      <c r="A166" t="s">
        <v>72</v>
      </c>
      <c r="B166" t="s">
        <v>10644</v>
      </c>
      <c r="C166" t="s">
        <v>74</v>
      </c>
      <c r="D166" t="s">
        <v>74</v>
      </c>
      <c r="E166" t="s">
        <v>74</v>
      </c>
      <c r="F166" t="s">
        <v>10645</v>
      </c>
      <c r="G166" t="s">
        <v>74</v>
      </c>
      <c r="H166" t="s">
        <v>74</v>
      </c>
      <c r="I166" s="1" t="s">
        <v>10646</v>
      </c>
      <c r="J166" t="s">
        <v>10647</v>
      </c>
      <c r="K166" t="s">
        <v>74</v>
      </c>
      <c r="L166" t="s">
        <v>74</v>
      </c>
      <c r="M166" t="s">
        <v>78</v>
      </c>
      <c r="N166" t="s">
        <v>79</v>
      </c>
      <c r="O166" t="s">
        <v>74</v>
      </c>
      <c r="P166" t="s">
        <v>74</v>
      </c>
      <c r="Q166" t="s">
        <v>74</v>
      </c>
      <c r="R166" t="s">
        <v>74</v>
      </c>
      <c r="S166" t="s">
        <v>74</v>
      </c>
      <c r="T166" s="1" t="s">
        <v>10648</v>
      </c>
      <c r="U166" s="1" t="s">
        <v>10649</v>
      </c>
      <c r="V166" s="1" t="s">
        <v>10650</v>
      </c>
      <c r="W166" t="s">
        <v>10651</v>
      </c>
      <c r="X166" t="s">
        <v>10652</v>
      </c>
      <c r="Y166" t="s">
        <v>10653</v>
      </c>
      <c r="Z166" t="s">
        <v>10654</v>
      </c>
      <c r="AA166" t="s">
        <v>10655</v>
      </c>
      <c r="AB166" t="s">
        <v>10656</v>
      </c>
      <c r="AC166" t="s">
        <v>74</v>
      </c>
      <c r="AD166" t="s">
        <v>74</v>
      </c>
      <c r="AE166" t="s">
        <v>74</v>
      </c>
      <c r="AF166" t="s">
        <v>74</v>
      </c>
      <c r="AG166">
        <v>87</v>
      </c>
      <c r="AH166">
        <v>9</v>
      </c>
      <c r="AI166">
        <v>9</v>
      </c>
      <c r="AJ166">
        <v>2</v>
      </c>
      <c r="AK166">
        <v>47</v>
      </c>
      <c r="AL166" t="s">
        <v>492</v>
      </c>
      <c r="AM166" t="s">
        <v>493</v>
      </c>
      <c r="AN166" t="s">
        <v>494</v>
      </c>
      <c r="AO166" t="s">
        <v>10657</v>
      </c>
      <c r="AP166" t="s">
        <v>10658</v>
      </c>
      <c r="AQ166" t="s">
        <v>74</v>
      </c>
      <c r="AR166" t="s">
        <v>10659</v>
      </c>
      <c r="AS166" t="s">
        <v>10660</v>
      </c>
      <c r="AT166" t="s">
        <v>74</v>
      </c>
      <c r="AU166">
        <v>2017</v>
      </c>
      <c r="AV166">
        <v>24</v>
      </c>
      <c r="AW166">
        <v>2</v>
      </c>
      <c r="AX166" t="s">
        <v>74</v>
      </c>
      <c r="AY166" t="s">
        <v>74</v>
      </c>
      <c r="AZ166" t="s">
        <v>74</v>
      </c>
      <c r="BA166" t="s">
        <v>74</v>
      </c>
      <c r="BB166">
        <v>35</v>
      </c>
      <c r="BC166">
        <v>49</v>
      </c>
      <c r="BD166" t="s">
        <v>74</v>
      </c>
      <c r="BE166" t="s">
        <v>10661</v>
      </c>
      <c r="BF166" t="str">
        <f>HYPERLINK("http://dx.doi.org/10.1080/10630732.2017.1285125","http://dx.doi.org/10.1080/10630732.2017.1285125")</f>
        <v>http://dx.doi.org/10.1080/10630732.2017.1285125</v>
      </c>
      <c r="BG166" t="s">
        <v>74</v>
      </c>
      <c r="BH166" t="s">
        <v>74</v>
      </c>
      <c r="BI166">
        <v>15</v>
      </c>
      <c r="BJ166" t="s">
        <v>2621</v>
      </c>
      <c r="BK166" t="s">
        <v>156</v>
      </c>
      <c r="BL166" t="s">
        <v>2621</v>
      </c>
      <c r="BM166" t="s">
        <v>10662</v>
      </c>
      <c r="BN166" t="s">
        <v>74</v>
      </c>
      <c r="BO166" t="s">
        <v>74</v>
      </c>
      <c r="BP166" t="s">
        <v>74</v>
      </c>
      <c r="BQ166" t="s">
        <v>74</v>
      </c>
      <c r="BR166" t="s">
        <v>106</v>
      </c>
      <c r="BS166" t="s">
        <v>10663</v>
      </c>
      <c r="BT166" t="str">
        <f>HYPERLINK("https%3A%2F%2Fwww.webofscience.com%2Fwos%2Fwoscc%2Ffull-record%2FWOS:000404844900003","View Full Record in Web of Science")</f>
        <v>View Full Record in Web of Science</v>
      </c>
    </row>
    <row r="167" spans="1:72" x14ac:dyDescent="0.25">
      <c r="A167" t="s">
        <v>72</v>
      </c>
      <c r="B167" t="s">
        <v>11060</v>
      </c>
      <c r="C167" t="s">
        <v>74</v>
      </c>
      <c r="D167" t="s">
        <v>74</v>
      </c>
      <c r="E167" t="s">
        <v>74</v>
      </c>
      <c r="F167" t="s">
        <v>11061</v>
      </c>
      <c r="G167" t="s">
        <v>74</v>
      </c>
      <c r="H167" t="s">
        <v>74</v>
      </c>
      <c r="I167" s="1" t="s">
        <v>11062</v>
      </c>
      <c r="J167" t="s">
        <v>11063</v>
      </c>
      <c r="K167" t="s">
        <v>74</v>
      </c>
      <c r="L167" t="s">
        <v>74</v>
      </c>
      <c r="M167" t="s">
        <v>78</v>
      </c>
      <c r="N167" t="s">
        <v>79</v>
      </c>
      <c r="O167" t="s">
        <v>74</v>
      </c>
      <c r="P167" t="s">
        <v>74</v>
      </c>
      <c r="Q167" t="s">
        <v>74</v>
      </c>
      <c r="R167" t="s">
        <v>74</v>
      </c>
      <c r="S167" t="s">
        <v>74</v>
      </c>
      <c r="T167" s="1" t="s">
        <v>11064</v>
      </c>
      <c r="U167" s="1" t="s">
        <v>11065</v>
      </c>
      <c r="V167" s="1" t="s">
        <v>11066</v>
      </c>
      <c r="W167" t="s">
        <v>11067</v>
      </c>
      <c r="X167" t="s">
        <v>11068</v>
      </c>
      <c r="Y167" t="s">
        <v>11069</v>
      </c>
      <c r="Z167" t="s">
        <v>74</v>
      </c>
      <c r="AA167" t="s">
        <v>11070</v>
      </c>
      <c r="AB167" t="s">
        <v>11071</v>
      </c>
      <c r="AC167" t="s">
        <v>74</v>
      </c>
      <c r="AD167" t="s">
        <v>74</v>
      </c>
      <c r="AE167" t="s">
        <v>74</v>
      </c>
      <c r="AF167" t="s">
        <v>74</v>
      </c>
      <c r="AG167">
        <v>67</v>
      </c>
      <c r="AH167">
        <v>9</v>
      </c>
      <c r="AI167">
        <v>9</v>
      </c>
      <c r="AJ167">
        <v>0</v>
      </c>
      <c r="AK167">
        <v>20</v>
      </c>
      <c r="AL167" t="s">
        <v>2573</v>
      </c>
      <c r="AM167" t="s">
        <v>2574</v>
      </c>
      <c r="AN167" t="s">
        <v>2575</v>
      </c>
      <c r="AO167" t="s">
        <v>11072</v>
      </c>
      <c r="AP167" t="s">
        <v>11073</v>
      </c>
      <c r="AQ167" t="s">
        <v>74</v>
      </c>
      <c r="AR167" t="s">
        <v>11074</v>
      </c>
      <c r="AS167" t="s">
        <v>11075</v>
      </c>
      <c r="AT167" t="s">
        <v>2911</v>
      </c>
      <c r="AU167">
        <v>2016</v>
      </c>
      <c r="AV167">
        <v>5</v>
      </c>
      <c r="AW167">
        <v>4</v>
      </c>
      <c r="AX167" t="s">
        <v>74</v>
      </c>
      <c r="AY167" t="s">
        <v>74</v>
      </c>
      <c r="AZ167" t="s">
        <v>74</v>
      </c>
      <c r="BA167" t="s">
        <v>74</v>
      </c>
      <c r="BB167">
        <v>1</v>
      </c>
      <c r="BC167">
        <v>15</v>
      </c>
      <c r="BD167" t="s">
        <v>74</v>
      </c>
      <c r="BE167" t="s">
        <v>11076</v>
      </c>
      <c r="BF167" t="str">
        <f>HYPERLINK("http://dx.doi.org/10.4018/IJEPR.2016100101","http://dx.doi.org/10.4018/IJEPR.2016100101")</f>
        <v>http://dx.doi.org/10.4018/IJEPR.2016100101</v>
      </c>
      <c r="BG167" t="s">
        <v>74</v>
      </c>
      <c r="BH167" t="s">
        <v>74</v>
      </c>
      <c r="BI167">
        <v>15</v>
      </c>
      <c r="BJ167" t="s">
        <v>11077</v>
      </c>
      <c r="BK167" t="s">
        <v>183</v>
      </c>
      <c r="BL167" t="s">
        <v>1477</v>
      </c>
      <c r="BM167" t="s">
        <v>11078</v>
      </c>
      <c r="BN167" t="s">
        <v>74</v>
      </c>
      <c r="BO167" t="s">
        <v>74</v>
      </c>
      <c r="BP167" t="s">
        <v>74</v>
      </c>
      <c r="BQ167" t="s">
        <v>74</v>
      </c>
      <c r="BR167" t="s">
        <v>106</v>
      </c>
      <c r="BS167" t="s">
        <v>11079</v>
      </c>
      <c r="BT167" t="str">
        <f>HYPERLINK("https%3A%2F%2Fwww.webofscience.com%2Fwos%2Fwoscc%2Ffull-record%2FWOS:000413154900002","View Full Record in Web of Science")</f>
        <v>View Full Record in Web of Science</v>
      </c>
    </row>
    <row r="168" spans="1:72" x14ac:dyDescent="0.25">
      <c r="A168" t="s">
        <v>72</v>
      </c>
      <c r="B168" t="s">
        <v>12021</v>
      </c>
      <c r="C168" t="s">
        <v>74</v>
      </c>
      <c r="D168" t="s">
        <v>74</v>
      </c>
      <c r="E168" t="s">
        <v>74</v>
      </c>
      <c r="F168" t="s">
        <v>12022</v>
      </c>
      <c r="G168" t="s">
        <v>74</v>
      </c>
      <c r="H168" t="s">
        <v>74</v>
      </c>
      <c r="I168" s="1" t="s">
        <v>12023</v>
      </c>
      <c r="J168" t="s">
        <v>12024</v>
      </c>
      <c r="K168" t="s">
        <v>74</v>
      </c>
      <c r="L168" t="s">
        <v>74</v>
      </c>
      <c r="M168" t="s">
        <v>78</v>
      </c>
      <c r="N168" t="s">
        <v>79</v>
      </c>
      <c r="O168" t="s">
        <v>74</v>
      </c>
      <c r="P168" t="s">
        <v>74</v>
      </c>
      <c r="Q168" t="s">
        <v>74</v>
      </c>
      <c r="R168" t="s">
        <v>74</v>
      </c>
      <c r="S168" t="s">
        <v>74</v>
      </c>
      <c r="T168" s="1" t="s">
        <v>12025</v>
      </c>
      <c r="U168" s="1" t="s">
        <v>12026</v>
      </c>
      <c r="V168" s="1" t="s">
        <v>12027</v>
      </c>
      <c r="W168" t="s">
        <v>12028</v>
      </c>
      <c r="X168" t="s">
        <v>12029</v>
      </c>
      <c r="Y168" t="s">
        <v>12030</v>
      </c>
      <c r="Z168" t="s">
        <v>12031</v>
      </c>
      <c r="AA168" t="s">
        <v>12032</v>
      </c>
      <c r="AB168" t="s">
        <v>12033</v>
      </c>
      <c r="AC168" t="s">
        <v>12034</v>
      </c>
      <c r="AD168" t="s">
        <v>12035</v>
      </c>
      <c r="AE168" t="s">
        <v>12036</v>
      </c>
      <c r="AF168" t="s">
        <v>74</v>
      </c>
      <c r="AG168">
        <v>29</v>
      </c>
      <c r="AH168">
        <v>9</v>
      </c>
      <c r="AI168">
        <v>10</v>
      </c>
      <c r="AJ168">
        <v>2</v>
      </c>
      <c r="AK168">
        <v>9</v>
      </c>
      <c r="AL168" t="s">
        <v>121</v>
      </c>
      <c r="AM168" t="s">
        <v>122</v>
      </c>
      <c r="AN168" t="s">
        <v>11993</v>
      </c>
      <c r="AO168" t="s">
        <v>12037</v>
      </c>
      <c r="AP168" t="s">
        <v>12038</v>
      </c>
      <c r="AQ168" t="s">
        <v>74</v>
      </c>
      <c r="AR168" t="s">
        <v>12039</v>
      </c>
      <c r="AS168" t="s">
        <v>12040</v>
      </c>
      <c r="AT168" t="s">
        <v>99</v>
      </c>
      <c r="AU168">
        <v>2013</v>
      </c>
      <c r="AV168">
        <v>17</v>
      </c>
      <c r="AW168">
        <v>11</v>
      </c>
      <c r="AX168" t="s">
        <v>74</v>
      </c>
      <c r="AY168" t="s">
        <v>74</v>
      </c>
      <c r="AZ168" t="s">
        <v>1020</v>
      </c>
      <c r="BA168" t="s">
        <v>74</v>
      </c>
      <c r="BB168">
        <v>2163</v>
      </c>
      <c r="BC168">
        <v>2180</v>
      </c>
      <c r="BD168" t="s">
        <v>74</v>
      </c>
      <c r="BE168" t="s">
        <v>12041</v>
      </c>
      <c r="BF168" t="str">
        <f>HYPERLINK("http://dx.doi.org/10.1007/s00500-013-1040-8","http://dx.doi.org/10.1007/s00500-013-1040-8")</f>
        <v>http://dx.doi.org/10.1007/s00500-013-1040-8</v>
      </c>
      <c r="BG168" t="s">
        <v>74</v>
      </c>
      <c r="BH168" t="s">
        <v>74</v>
      </c>
      <c r="BI168">
        <v>18</v>
      </c>
      <c r="BJ168" t="s">
        <v>12042</v>
      </c>
      <c r="BK168" t="s">
        <v>102</v>
      </c>
      <c r="BL168" t="s">
        <v>399</v>
      </c>
      <c r="BM168" t="s">
        <v>12043</v>
      </c>
      <c r="BN168" t="s">
        <v>74</v>
      </c>
      <c r="BO168" t="s">
        <v>74</v>
      </c>
      <c r="BP168" t="s">
        <v>74</v>
      </c>
      <c r="BQ168" t="s">
        <v>74</v>
      </c>
      <c r="BR168" t="s">
        <v>106</v>
      </c>
      <c r="BS168" t="s">
        <v>12044</v>
      </c>
      <c r="BT168" t="str">
        <f>HYPERLINK("https%3A%2F%2Fwww.webofscience.com%2Fwos%2Fwoscc%2Ffull-record%2FWOS:000325822900017","View Full Record in Web of Science")</f>
        <v>View Full Record in Web of Science</v>
      </c>
    </row>
    <row r="169" spans="1:72" x14ac:dyDescent="0.25">
      <c r="A169" t="s">
        <v>72</v>
      </c>
      <c r="B169" t="s">
        <v>12362</v>
      </c>
      <c r="C169" t="s">
        <v>74</v>
      </c>
      <c r="D169" t="s">
        <v>74</v>
      </c>
      <c r="E169" t="s">
        <v>74</v>
      </c>
      <c r="F169" t="s">
        <v>12363</v>
      </c>
      <c r="G169" t="s">
        <v>74</v>
      </c>
      <c r="H169" t="s">
        <v>74</v>
      </c>
      <c r="I169" s="1" t="s">
        <v>12364</v>
      </c>
      <c r="J169" t="s">
        <v>12365</v>
      </c>
      <c r="K169" t="s">
        <v>74</v>
      </c>
      <c r="L169" t="s">
        <v>74</v>
      </c>
      <c r="M169" t="s">
        <v>78</v>
      </c>
      <c r="N169" t="s">
        <v>79</v>
      </c>
      <c r="O169" t="s">
        <v>74</v>
      </c>
      <c r="P169" t="s">
        <v>74</v>
      </c>
      <c r="Q169" t="s">
        <v>74</v>
      </c>
      <c r="R169" t="s">
        <v>74</v>
      </c>
      <c r="S169" t="s">
        <v>74</v>
      </c>
      <c r="T169" s="1" t="s">
        <v>12366</v>
      </c>
      <c r="U169" s="1" t="s">
        <v>74</v>
      </c>
      <c r="V169" s="1" t="s">
        <v>12367</v>
      </c>
      <c r="W169" t="s">
        <v>12368</v>
      </c>
      <c r="X169" t="s">
        <v>12369</v>
      </c>
      <c r="Y169" t="s">
        <v>12370</v>
      </c>
      <c r="Z169" t="s">
        <v>12371</v>
      </c>
      <c r="AA169" t="s">
        <v>12372</v>
      </c>
      <c r="AB169" t="s">
        <v>12373</v>
      </c>
      <c r="AC169" t="s">
        <v>74</v>
      </c>
      <c r="AD169" t="s">
        <v>74</v>
      </c>
      <c r="AE169" t="s">
        <v>74</v>
      </c>
      <c r="AF169" t="s">
        <v>74</v>
      </c>
      <c r="AG169">
        <v>22</v>
      </c>
      <c r="AH169">
        <v>9</v>
      </c>
      <c r="AI169">
        <v>10</v>
      </c>
      <c r="AJ169">
        <v>1</v>
      </c>
      <c r="AK169">
        <v>52</v>
      </c>
      <c r="AL169" t="s">
        <v>254</v>
      </c>
      <c r="AM169" t="s">
        <v>255</v>
      </c>
      <c r="AN169" t="s">
        <v>256</v>
      </c>
      <c r="AO169" t="s">
        <v>12374</v>
      </c>
      <c r="AP169" t="s">
        <v>12375</v>
      </c>
      <c r="AQ169" t="s">
        <v>74</v>
      </c>
      <c r="AR169" t="s">
        <v>12376</v>
      </c>
      <c r="AS169" t="s">
        <v>12377</v>
      </c>
      <c r="AT169" t="s">
        <v>626</v>
      </c>
      <c r="AU169">
        <v>2011</v>
      </c>
      <c r="AV169">
        <v>11</v>
      </c>
      <c r="AW169">
        <v>2</v>
      </c>
      <c r="AX169" t="s">
        <v>74</v>
      </c>
      <c r="AY169" t="s">
        <v>74</v>
      </c>
      <c r="AZ169" t="s">
        <v>1020</v>
      </c>
      <c r="BA169" t="s">
        <v>74</v>
      </c>
      <c r="BB169">
        <v>149</v>
      </c>
      <c r="BC169">
        <v>169</v>
      </c>
      <c r="BD169" t="s">
        <v>74</v>
      </c>
      <c r="BE169" t="s">
        <v>12378</v>
      </c>
      <c r="BF169" t="str">
        <f>HYPERLINK("http://dx.doi.org/10.1007/s12351-009-0046-6","http://dx.doi.org/10.1007/s12351-009-0046-6")</f>
        <v>http://dx.doi.org/10.1007/s12351-009-0046-6</v>
      </c>
      <c r="BG169" t="s">
        <v>74</v>
      </c>
      <c r="BH169" t="s">
        <v>74</v>
      </c>
      <c r="BI169">
        <v>21</v>
      </c>
      <c r="BJ169" t="s">
        <v>6503</v>
      </c>
      <c r="BK169" t="s">
        <v>102</v>
      </c>
      <c r="BL169" t="s">
        <v>6503</v>
      </c>
      <c r="BM169" t="s">
        <v>12379</v>
      </c>
      <c r="BN169" t="s">
        <v>74</v>
      </c>
      <c r="BO169" t="s">
        <v>74</v>
      </c>
      <c r="BP169" t="s">
        <v>74</v>
      </c>
      <c r="BQ169" t="s">
        <v>74</v>
      </c>
      <c r="BR169" t="s">
        <v>106</v>
      </c>
      <c r="BS169" t="s">
        <v>12380</v>
      </c>
      <c r="BT169" t="str">
        <f>HYPERLINK("https%3A%2F%2Fwww.webofscience.com%2Fwos%2Fwoscc%2Ffull-record%2FWOS:000208874100003","View Full Record in Web of Science")</f>
        <v>View Full Record in Web of Science</v>
      </c>
    </row>
    <row r="170" spans="1:72" x14ac:dyDescent="0.25">
      <c r="A170" t="s">
        <v>72</v>
      </c>
      <c r="B170" t="s">
        <v>2984</v>
      </c>
      <c r="C170" t="s">
        <v>74</v>
      </c>
      <c r="D170" t="s">
        <v>74</v>
      </c>
      <c r="E170" t="s">
        <v>74</v>
      </c>
      <c r="F170" t="s">
        <v>2985</v>
      </c>
      <c r="G170" t="s">
        <v>74</v>
      </c>
      <c r="H170" t="s">
        <v>74</v>
      </c>
      <c r="I170" s="1" t="s">
        <v>2986</v>
      </c>
      <c r="J170" t="s">
        <v>2987</v>
      </c>
      <c r="K170" t="s">
        <v>74</v>
      </c>
      <c r="L170" t="s">
        <v>74</v>
      </c>
      <c r="M170" t="s">
        <v>78</v>
      </c>
      <c r="N170" t="s">
        <v>79</v>
      </c>
      <c r="O170" t="s">
        <v>74</v>
      </c>
      <c r="P170" t="s">
        <v>74</v>
      </c>
      <c r="Q170" t="s">
        <v>74</v>
      </c>
      <c r="R170" t="s">
        <v>74</v>
      </c>
      <c r="S170" t="s">
        <v>74</v>
      </c>
      <c r="T170" s="1" t="s">
        <v>2988</v>
      </c>
      <c r="U170" s="1" t="s">
        <v>2989</v>
      </c>
      <c r="V170" s="1" t="s">
        <v>2990</v>
      </c>
      <c r="W170" t="s">
        <v>2991</v>
      </c>
      <c r="X170" t="s">
        <v>2992</v>
      </c>
      <c r="Y170" t="s">
        <v>2993</v>
      </c>
      <c r="Z170" t="s">
        <v>2994</v>
      </c>
      <c r="AA170" t="s">
        <v>2995</v>
      </c>
      <c r="AB170" t="s">
        <v>2996</v>
      </c>
      <c r="AC170" t="s">
        <v>74</v>
      </c>
      <c r="AD170" t="s">
        <v>74</v>
      </c>
      <c r="AE170" t="s">
        <v>74</v>
      </c>
      <c r="AF170" t="s">
        <v>74</v>
      </c>
      <c r="AG170">
        <v>108</v>
      </c>
      <c r="AH170">
        <v>8</v>
      </c>
      <c r="AI170">
        <v>8</v>
      </c>
      <c r="AJ170">
        <v>6</v>
      </c>
      <c r="AK170">
        <v>8</v>
      </c>
      <c r="AL170" t="s">
        <v>202</v>
      </c>
      <c r="AM170" t="s">
        <v>203</v>
      </c>
      <c r="AN170" t="s">
        <v>204</v>
      </c>
      <c r="AO170" t="s">
        <v>74</v>
      </c>
      <c r="AP170" t="s">
        <v>2997</v>
      </c>
      <c r="AQ170" t="s">
        <v>74</v>
      </c>
      <c r="AR170" t="s">
        <v>2987</v>
      </c>
      <c r="AS170" t="s">
        <v>2998</v>
      </c>
      <c r="AT170" t="s">
        <v>208</v>
      </c>
      <c r="AU170">
        <v>2022</v>
      </c>
      <c r="AV170">
        <v>10</v>
      </c>
      <c r="AW170">
        <v>10</v>
      </c>
      <c r="AX170" t="s">
        <v>74</v>
      </c>
      <c r="AY170" t="s">
        <v>74</v>
      </c>
      <c r="AZ170" t="s">
        <v>74</v>
      </c>
      <c r="BA170" t="s">
        <v>74</v>
      </c>
      <c r="BB170" t="s">
        <v>74</v>
      </c>
      <c r="BC170" t="s">
        <v>74</v>
      </c>
      <c r="BD170">
        <v>1995</v>
      </c>
      <c r="BE170" t="s">
        <v>2999</v>
      </c>
      <c r="BF170" t="str">
        <f>HYPERLINK("http://dx.doi.org/10.3390/pr10101995","http://dx.doi.org/10.3390/pr10101995")</f>
        <v>http://dx.doi.org/10.3390/pr10101995</v>
      </c>
      <c r="BG170" t="s">
        <v>74</v>
      </c>
      <c r="BH170" t="s">
        <v>74</v>
      </c>
      <c r="BI170">
        <v>25</v>
      </c>
      <c r="BJ170" t="s">
        <v>2849</v>
      </c>
      <c r="BK170" t="s">
        <v>102</v>
      </c>
      <c r="BL170" t="s">
        <v>1685</v>
      </c>
      <c r="BM170" t="s">
        <v>3000</v>
      </c>
      <c r="BN170" t="s">
        <v>74</v>
      </c>
      <c r="BO170" t="s">
        <v>186</v>
      </c>
      <c r="BP170" t="s">
        <v>74</v>
      </c>
      <c r="BQ170" t="s">
        <v>74</v>
      </c>
      <c r="BR170" t="s">
        <v>106</v>
      </c>
      <c r="BS170" t="s">
        <v>3001</v>
      </c>
      <c r="BT170" t="str">
        <f>HYPERLINK("https%3A%2F%2Fwww.webofscience.com%2Fwos%2Fwoscc%2Ffull-record%2FWOS:000873527800001","View Full Record in Web of Science")</f>
        <v>View Full Record in Web of Science</v>
      </c>
    </row>
    <row r="171" spans="1:72" x14ac:dyDescent="0.25">
      <c r="A171" t="s">
        <v>72</v>
      </c>
      <c r="B171" t="s">
        <v>5313</v>
      </c>
      <c r="C171" t="s">
        <v>74</v>
      </c>
      <c r="D171" t="s">
        <v>74</v>
      </c>
      <c r="E171" t="s">
        <v>74</v>
      </c>
      <c r="F171" t="s">
        <v>5314</v>
      </c>
      <c r="G171" t="s">
        <v>74</v>
      </c>
      <c r="H171" t="s">
        <v>74</v>
      </c>
      <c r="I171" s="1" t="s">
        <v>5315</v>
      </c>
      <c r="J171" t="s">
        <v>77</v>
      </c>
      <c r="K171" t="s">
        <v>74</v>
      </c>
      <c r="L171" t="s">
        <v>74</v>
      </c>
      <c r="M171" t="s">
        <v>78</v>
      </c>
      <c r="N171" t="s">
        <v>79</v>
      </c>
      <c r="O171" t="s">
        <v>74</v>
      </c>
      <c r="P171" t="s">
        <v>74</v>
      </c>
      <c r="Q171" t="s">
        <v>74</v>
      </c>
      <c r="R171" t="s">
        <v>74</v>
      </c>
      <c r="S171" t="s">
        <v>74</v>
      </c>
      <c r="T171" s="1" t="s">
        <v>5316</v>
      </c>
      <c r="U171" s="1" t="s">
        <v>5317</v>
      </c>
      <c r="V171" s="1" t="s">
        <v>5318</v>
      </c>
      <c r="W171" t="s">
        <v>5319</v>
      </c>
      <c r="X171" t="s">
        <v>5320</v>
      </c>
      <c r="Y171" t="s">
        <v>5321</v>
      </c>
      <c r="Z171" t="s">
        <v>5322</v>
      </c>
      <c r="AA171" t="s">
        <v>5323</v>
      </c>
      <c r="AB171" t="s">
        <v>5324</v>
      </c>
      <c r="AC171" t="s">
        <v>5325</v>
      </c>
      <c r="AD171" t="s">
        <v>5326</v>
      </c>
      <c r="AE171" t="s">
        <v>5327</v>
      </c>
      <c r="AF171" t="s">
        <v>74</v>
      </c>
      <c r="AG171">
        <v>61</v>
      </c>
      <c r="AH171">
        <v>8</v>
      </c>
      <c r="AI171">
        <v>8</v>
      </c>
      <c r="AJ171">
        <v>7</v>
      </c>
      <c r="AK171">
        <v>31</v>
      </c>
      <c r="AL171" t="s">
        <v>92</v>
      </c>
      <c r="AM171" t="s">
        <v>93</v>
      </c>
      <c r="AN171" t="s">
        <v>94</v>
      </c>
      <c r="AO171" t="s">
        <v>95</v>
      </c>
      <c r="AP171" t="s">
        <v>96</v>
      </c>
      <c r="AQ171" t="s">
        <v>74</v>
      </c>
      <c r="AR171" t="s">
        <v>97</v>
      </c>
      <c r="AS171" t="s">
        <v>98</v>
      </c>
      <c r="AT171" t="s">
        <v>1904</v>
      </c>
      <c r="AU171">
        <v>2022</v>
      </c>
      <c r="AV171">
        <v>164</v>
      </c>
      <c r="AW171" t="s">
        <v>74</v>
      </c>
      <c r="AX171" t="s">
        <v>74</v>
      </c>
      <c r="AY171" t="s">
        <v>74</v>
      </c>
      <c r="AZ171" t="s">
        <v>74</v>
      </c>
      <c r="BA171" t="s">
        <v>74</v>
      </c>
      <c r="BB171" t="s">
        <v>74</v>
      </c>
      <c r="BC171" t="s">
        <v>74</v>
      </c>
      <c r="BD171">
        <v>107896</v>
      </c>
      <c r="BE171" t="s">
        <v>5328</v>
      </c>
      <c r="BF171" t="str">
        <f>HYPERLINK("http://dx.doi.org/10.1016/j.cie.2021.107896","http://dx.doi.org/10.1016/j.cie.2021.107896")</f>
        <v>http://dx.doi.org/10.1016/j.cie.2021.107896</v>
      </c>
      <c r="BG171" t="s">
        <v>74</v>
      </c>
      <c r="BH171" t="s">
        <v>5329</v>
      </c>
      <c r="BI171">
        <v>16</v>
      </c>
      <c r="BJ171" t="s">
        <v>101</v>
      </c>
      <c r="BK171" t="s">
        <v>102</v>
      </c>
      <c r="BL171" t="s">
        <v>103</v>
      </c>
      <c r="BM171" t="s">
        <v>5330</v>
      </c>
      <c r="BN171">
        <v>36569781</v>
      </c>
      <c r="BO171" t="s">
        <v>2623</v>
      </c>
      <c r="BP171" t="s">
        <v>74</v>
      </c>
      <c r="BQ171" t="s">
        <v>74</v>
      </c>
      <c r="BR171" t="s">
        <v>106</v>
      </c>
      <c r="BS171" t="s">
        <v>5331</v>
      </c>
      <c r="BT171" t="str">
        <f>HYPERLINK("https%3A%2F%2Fwww.webofscience.com%2Fwos%2Fwoscc%2Ffull-record%2FWOS:000740319900002","View Full Record in Web of Science")</f>
        <v>View Full Record in Web of Science</v>
      </c>
    </row>
    <row r="172" spans="1:72" x14ac:dyDescent="0.25">
      <c r="A172" t="s">
        <v>72</v>
      </c>
      <c r="B172" t="s">
        <v>5772</v>
      </c>
      <c r="C172" t="s">
        <v>74</v>
      </c>
      <c r="D172" t="s">
        <v>74</v>
      </c>
      <c r="E172" t="s">
        <v>74</v>
      </c>
      <c r="F172" t="s">
        <v>5773</v>
      </c>
      <c r="G172" t="s">
        <v>74</v>
      </c>
      <c r="H172" t="s">
        <v>74</v>
      </c>
      <c r="I172" s="1" t="s">
        <v>5774</v>
      </c>
      <c r="J172" t="s">
        <v>5775</v>
      </c>
      <c r="K172" t="s">
        <v>74</v>
      </c>
      <c r="L172" t="s">
        <v>74</v>
      </c>
      <c r="M172" t="s">
        <v>78</v>
      </c>
      <c r="N172" t="s">
        <v>79</v>
      </c>
      <c r="O172" t="s">
        <v>74</v>
      </c>
      <c r="P172" t="s">
        <v>74</v>
      </c>
      <c r="Q172" t="s">
        <v>74</v>
      </c>
      <c r="R172" t="s">
        <v>74</v>
      </c>
      <c r="S172" t="s">
        <v>74</v>
      </c>
      <c r="T172" s="1" t="s">
        <v>5776</v>
      </c>
      <c r="U172" s="1" t="s">
        <v>5777</v>
      </c>
      <c r="V172" s="1" t="s">
        <v>5778</v>
      </c>
      <c r="W172" t="s">
        <v>5779</v>
      </c>
      <c r="X172" t="s">
        <v>5780</v>
      </c>
      <c r="Y172" t="s">
        <v>5781</v>
      </c>
      <c r="Z172" t="s">
        <v>5782</v>
      </c>
      <c r="AA172" t="s">
        <v>74</v>
      </c>
      <c r="AB172" t="s">
        <v>5783</v>
      </c>
      <c r="AC172" t="s">
        <v>74</v>
      </c>
      <c r="AD172" t="s">
        <v>74</v>
      </c>
      <c r="AE172" t="s">
        <v>74</v>
      </c>
      <c r="AF172" t="s">
        <v>74</v>
      </c>
      <c r="AG172">
        <v>72</v>
      </c>
      <c r="AH172">
        <v>8</v>
      </c>
      <c r="AI172">
        <v>8</v>
      </c>
      <c r="AJ172">
        <v>35</v>
      </c>
      <c r="AK172">
        <v>164</v>
      </c>
      <c r="AL172" t="s">
        <v>715</v>
      </c>
      <c r="AM172" t="s">
        <v>716</v>
      </c>
      <c r="AN172" t="s">
        <v>717</v>
      </c>
      <c r="AO172" t="s">
        <v>5784</v>
      </c>
      <c r="AP172" t="s">
        <v>5785</v>
      </c>
      <c r="AQ172" t="s">
        <v>74</v>
      </c>
      <c r="AR172" t="s">
        <v>5786</v>
      </c>
      <c r="AS172" t="s">
        <v>5787</v>
      </c>
      <c r="AT172" t="s">
        <v>5788</v>
      </c>
      <c r="AU172">
        <v>2022</v>
      </c>
      <c r="AV172">
        <v>60</v>
      </c>
      <c r="AW172">
        <v>4</v>
      </c>
      <c r="AX172" t="s">
        <v>74</v>
      </c>
      <c r="AY172" t="s">
        <v>74</v>
      </c>
      <c r="AZ172" t="s">
        <v>1020</v>
      </c>
      <c r="BA172" t="s">
        <v>74</v>
      </c>
      <c r="BB172">
        <v>1095</v>
      </c>
      <c r="BC172">
        <v>1115</v>
      </c>
      <c r="BD172" t="s">
        <v>74</v>
      </c>
      <c r="BE172" t="s">
        <v>5789</v>
      </c>
      <c r="BF172" t="str">
        <f>HYPERLINK("http://dx.doi.org/10.1108/MD-02-2021-0182","http://dx.doi.org/10.1108/MD-02-2021-0182")</f>
        <v>http://dx.doi.org/10.1108/MD-02-2021-0182</v>
      </c>
      <c r="BG172" t="s">
        <v>74</v>
      </c>
      <c r="BH172" t="s">
        <v>5683</v>
      </c>
      <c r="BI172">
        <v>21</v>
      </c>
      <c r="BJ172" t="s">
        <v>264</v>
      </c>
      <c r="BK172" t="s">
        <v>156</v>
      </c>
      <c r="BL172" t="s">
        <v>265</v>
      </c>
      <c r="BM172" t="s">
        <v>5790</v>
      </c>
      <c r="BN172" t="s">
        <v>74</v>
      </c>
      <c r="BO172" t="s">
        <v>74</v>
      </c>
      <c r="BP172" t="s">
        <v>74</v>
      </c>
      <c r="BQ172" t="s">
        <v>74</v>
      </c>
      <c r="BR172" t="s">
        <v>106</v>
      </c>
      <c r="BS172" t="s">
        <v>5791</v>
      </c>
      <c r="BT172" t="str">
        <f>HYPERLINK("https%3A%2F%2Fwww.webofscience.com%2Fwos%2Fwoscc%2Ffull-record%2FWOS:000696595900001","View Full Record in Web of Science")</f>
        <v>View Full Record in Web of Science</v>
      </c>
    </row>
    <row r="173" spans="1:72" x14ac:dyDescent="0.25">
      <c r="A173" t="s">
        <v>72</v>
      </c>
      <c r="B173" t="s">
        <v>5884</v>
      </c>
      <c r="C173" t="s">
        <v>74</v>
      </c>
      <c r="D173" t="s">
        <v>74</v>
      </c>
      <c r="E173" t="s">
        <v>74</v>
      </c>
      <c r="F173" t="s">
        <v>5885</v>
      </c>
      <c r="G173" t="s">
        <v>74</v>
      </c>
      <c r="H173" t="s">
        <v>74</v>
      </c>
      <c r="I173" s="1" t="s">
        <v>5886</v>
      </c>
      <c r="J173" t="s">
        <v>2052</v>
      </c>
      <c r="K173" t="s">
        <v>74</v>
      </c>
      <c r="L173" t="s">
        <v>74</v>
      </c>
      <c r="M173" t="s">
        <v>78</v>
      </c>
      <c r="N173" t="s">
        <v>79</v>
      </c>
      <c r="O173" t="s">
        <v>74</v>
      </c>
      <c r="P173" t="s">
        <v>74</v>
      </c>
      <c r="Q173" t="s">
        <v>74</v>
      </c>
      <c r="R173" t="s">
        <v>74</v>
      </c>
      <c r="S173" t="s">
        <v>74</v>
      </c>
      <c r="T173" s="1" t="s">
        <v>5887</v>
      </c>
      <c r="U173" s="1" t="s">
        <v>5888</v>
      </c>
      <c r="V173" s="1" t="s">
        <v>5889</v>
      </c>
      <c r="W173" t="s">
        <v>5890</v>
      </c>
      <c r="X173" t="s">
        <v>5891</v>
      </c>
      <c r="Y173" t="s">
        <v>5892</v>
      </c>
      <c r="Z173" t="s">
        <v>5893</v>
      </c>
      <c r="AA173" t="s">
        <v>5894</v>
      </c>
      <c r="AB173" t="s">
        <v>5895</v>
      </c>
      <c r="AC173" t="s">
        <v>74</v>
      </c>
      <c r="AD173" t="s">
        <v>74</v>
      </c>
      <c r="AE173" t="s">
        <v>74</v>
      </c>
      <c r="AF173" t="s">
        <v>74</v>
      </c>
      <c r="AG173">
        <v>52</v>
      </c>
      <c r="AH173">
        <v>8</v>
      </c>
      <c r="AI173">
        <v>8</v>
      </c>
      <c r="AJ173">
        <v>1</v>
      </c>
      <c r="AK173">
        <v>11</v>
      </c>
      <c r="AL173" t="s">
        <v>202</v>
      </c>
      <c r="AM173" t="s">
        <v>203</v>
      </c>
      <c r="AN173" t="s">
        <v>204</v>
      </c>
      <c r="AO173" t="s">
        <v>74</v>
      </c>
      <c r="AP173" t="s">
        <v>2065</v>
      </c>
      <c r="AQ173" t="s">
        <v>74</v>
      </c>
      <c r="AR173" t="s">
        <v>2066</v>
      </c>
      <c r="AS173" t="s">
        <v>2067</v>
      </c>
      <c r="AT173" t="s">
        <v>356</v>
      </c>
      <c r="AU173">
        <v>2021</v>
      </c>
      <c r="AV173">
        <v>18</v>
      </c>
      <c r="AW173">
        <v>18</v>
      </c>
      <c r="AX173" t="s">
        <v>74</v>
      </c>
      <c r="AY173" t="s">
        <v>74</v>
      </c>
      <c r="AZ173" t="s">
        <v>74</v>
      </c>
      <c r="BA173" t="s">
        <v>74</v>
      </c>
      <c r="BB173" t="s">
        <v>74</v>
      </c>
      <c r="BC173" t="s">
        <v>74</v>
      </c>
      <c r="BD173">
        <v>9844</v>
      </c>
      <c r="BE173" t="s">
        <v>5896</v>
      </c>
      <c r="BF173" t="str">
        <f>HYPERLINK("http://dx.doi.org/10.3390/ijerph18189844","http://dx.doi.org/10.3390/ijerph18189844")</f>
        <v>http://dx.doi.org/10.3390/ijerph18189844</v>
      </c>
      <c r="BG173" t="s">
        <v>74</v>
      </c>
      <c r="BH173" t="s">
        <v>74</v>
      </c>
      <c r="BI173">
        <v>16</v>
      </c>
      <c r="BJ173" t="s">
        <v>2070</v>
      </c>
      <c r="BK173" t="s">
        <v>211</v>
      </c>
      <c r="BL173" t="s">
        <v>2071</v>
      </c>
      <c r="BM173" t="s">
        <v>5897</v>
      </c>
      <c r="BN173">
        <v>34574766</v>
      </c>
      <c r="BO173" t="s">
        <v>614</v>
      </c>
      <c r="BP173" t="s">
        <v>74</v>
      </c>
      <c r="BQ173" t="s">
        <v>74</v>
      </c>
      <c r="BR173" t="s">
        <v>106</v>
      </c>
      <c r="BS173" t="s">
        <v>5898</v>
      </c>
      <c r="BT173" t="str">
        <f>HYPERLINK("https%3A%2F%2Fwww.webofscience.com%2Fwos%2Fwoscc%2Ffull-record%2FWOS:000699530300001","View Full Record in Web of Science")</f>
        <v>View Full Record in Web of Science</v>
      </c>
    </row>
    <row r="174" spans="1:72" x14ac:dyDescent="0.25">
      <c r="A174" t="s">
        <v>72</v>
      </c>
      <c r="B174" t="s">
        <v>6506</v>
      </c>
      <c r="C174" t="s">
        <v>74</v>
      </c>
      <c r="D174" t="s">
        <v>74</v>
      </c>
      <c r="E174" t="s">
        <v>74</v>
      </c>
      <c r="F174" t="s">
        <v>6507</v>
      </c>
      <c r="G174" t="s">
        <v>74</v>
      </c>
      <c r="H174" t="s">
        <v>74</v>
      </c>
      <c r="I174" s="1" t="s">
        <v>6508</v>
      </c>
      <c r="J174" t="s">
        <v>6509</v>
      </c>
      <c r="K174" t="s">
        <v>74</v>
      </c>
      <c r="L174" t="s">
        <v>74</v>
      </c>
      <c r="M174" t="s">
        <v>78</v>
      </c>
      <c r="N174" t="s">
        <v>79</v>
      </c>
      <c r="O174" t="s">
        <v>74</v>
      </c>
      <c r="P174" t="s">
        <v>74</v>
      </c>
      <c r="Q174" t="s">
        <v>74</v>
      </c>
      <c r="R174" t="s">
        <v>74</v>
      </c>
      <c r="S174" t="s">
        <v>74</v>
      </c>
      <c r="T174" s="1" t="s">
        <v>6510</v>
      </c>
      <c r="U174" s="1" t="s">
        <v>74</v>
      </c>
      <c r="V174" s="1" t="s">
        <v>6511</v>
      </c>
      <c r="W174" t="s">
        <v>6512</v>
      </c>
      <c r="X174" t="s">
        <v>6513</v>
      </c>
      <c r="Y174" t="s">
        <v>6514</v>
      </c>
      <c r="Z174" t="s">
        <v>6515</v>
      </c>
      <c r="AA174" t="s">
        <v>6516</v>
      </c>
      <c r="AB174" t="s">
        <v>6517</v>
      </c>
      <c r="AC174" t="s">
        <v>74</v>
      </c>
      <c r="AD174" t="s">
        <v>74</v>
      </c>
      <c r="AE174" t="s">
        <v>74</v>
      </c>
      <c r="AF174" t="s">
        <v>74</v>
      </c>
      <c r="AG174">
        <v>53</v>
      </c>
      <c r="AH174">
        <v>8</v>
      </c>
      <c r="AI174">
        <v>8</v>
      </c>
      <c r="AJ174">
        <v>20</v>
      </c>
      <c r="AK174">
        <v>92</v>
      </c>
      <c r="AL174" t="s">
        <v>492</v>
      </c>
      <c r="AM174" t="s">
        <v>493</v>
      </c>
      <c r="AN174" t="s">
        <v>494</v>
      </c>
      <c r="AO174" t="s">
        <v>6518</v>
      </c>
      <c r="AP174" t="s">
        <v>6519</v>
      </c>
      <c r="AQ174" t="s">
        <v>74</v>
      </c>
      <c r="AR174" t="s">
        <v>6520</v>
      </c>
      <c r="AS174" t="s">
        <v>6521</v>
      </c>
      <c r="AT174" t="s">
        <v>2390</v>
      </c>
      <c r="AU174">
        <v>2022</v>
      </c>
      <c r="AV174">
        <v>31</v>
      </c>
      <c r="AW174">
        <v>1</v>
      </c>
      <c r="AX174" t="s">
        <v>74</v>
      </c>
      <c r="AY174" t="s">
        <v>74</v>
      </c>
      <c r="AZ174" t="s">
        <v>74</v>
      </c>
      <c r="BA174" t="s">
        <v>74</v>
      </c>
      <c r="BB174">
        <v>3</v>
      </c>
      <c r="BC174">
        <v>22</v>
      </c>
      <c r="BD174" t="s">
        <v>74</v>
      </c>
      <c r="BE174" t="s">
        <v>6522</v>
      </c>
      <c r="BF174" t="str">
        <f>HYPERLINK("http://dx.doi.org/10.1080/09548963.2021.1910490","http://dx.doi.org/10.1080/09548963.2021.1910490")</f>
        <v>http://dx.doi.org/10.1080/09548963.2021.1910490</v>
      </c>
      <c r="BG174" t="s">
        <v>74</v>
      </c>
      <c r="BH174" t="s">
        <v>6460</v>
      </c>
      <c r="BI174">
        <v>20</v>
      </c>
      <c r="BJ174" t="s">
        <v>6523</v>
      </c>
      <c r="BK174" t="s">
        <v>4436</v>
      </c>
      <c r="BL174" t="s">
        <v>6524</v>
      </c>
      <c r="BM174" t="s">
        <v>6525</v>
      </c>
      <c r="BN174" t="s">
        <v>74</v>
      </c>
      <c r="BO174" t="s">
        <v>74</v>
      </c>
      <c r="BP174" t="s">
        <v>74</v>
      </c>
      <c r="BQ174" t="s">
        <v>74</v>
      </c>
      <c r="BR174" t="s">
        <v>106</v>
      </c>
      <c r="BS174" t="s">
        <v>6526</v>
      </c>
      <c r="BT174" t="str">
        <f>HYPERLINK("https%3A%2F%2Fwww.webofscience.com%2Fwos%2Fwoscc%2Ffull-record%2FWOS:000639710300001","View Full Record in Web of Science")</f>
        <v>View Full Record in Web of Science</v>
      </c>
    </row>
    <row r="175" spans="1:72" x14ac:dyDescent="0.25">
      <c r="A175" t="s">
        <v>72</v>
      </c>
      <c r="B175" t="s">
        <v>6741</v>
      </c>
      <c r="C175" t="s">
        <v>74</v>
      </c>
      <c r="D175" t="s">
        <v>74</v>
      </c>
      <c r="E175" t="s">
        <v>74</v>
      </c>
      <c r="F175" t="s">
        <v>6742</v>
      </c>
      <c r="G175" t="s">
        <v>74</v>
      </c>
      <c r="H175" t="s">
        <v>74</v>
      </c>
      <c r="I175" s="1" t="s">
        <v>6743</v>
      </c>
      <c r="J175" t="s">
        <v>6744</v>
      </c>
      <c r="K175" t="s">
        <v>74</v>
      </c>
      <c r="L175" t="s">
        <v>74</v>
      </c>
      <c r="M175" t="s">
        <v>78</v>
      </c>
      <c r="N175" t="s">
        <v>79</v>
      </c>
      <c r="O175" t="s">
        <v>74</v>
      </c>
      <c r="P175" t="s">
        <v>74</v>
      </c>
      <c r="Q175" t="s">
        <v>74</v>
      </c>
      <c r="R175" t="s">
        <v>74</v>
      </c>
      <c r="S175" t="s">
        <v>74</v>
      </c>
      <c r="T175" s="1" t="s">
        <v>74</v>
      </c>
      <c r="U175" s="1" t="s">
        <v>6745</v>
      </c>
      <c r="V175" s="1" t="s">
        <v>6746</v>
      </c>
      <c r="W175" t="s">
        <v>6747</v>
      </c>
      <c r="X175" t="s">
        <v>6748</v>
      </c>
      <c r="Y175" t="s">
        <v>6749</v>
      </c>
      <c r="Z175" t="s">
        <v>6750</v>
      </c>
      <c r="AA175" t="s">
        <v>6751</v>
      </c>
      <c r="AB175" t="s">
        <v>6752</v>
      </c>
      <c r="AC175" t="s">
        <v>6753</v>
      </c>
      <c r="AD175" t="s">
        <v>6754</v>
      </c>
      <c r="AE175" t="s">
        <v>6755</v>
      </c>
      <c r="AF175" t="s">
        <v>74</v>
      </c>
      <c r="AG175">
        <v>160</v>
      </c>
      <c r="AH175">
        <v>8</v>
      </c>
      <c r="AI175">
        <v>8</v>
      </c>
      <c r="AJ175">
        <v>2</v>
      </c>
      <c r="AK175">
        <v>39</v>
      </c>
      <c r="AL175" t="s">
        <v>5744</v>
      </c>
      <c r="AM175" t="s">
        <v>5745</v>
      </c>
      <c r="AN175" t="s">
        <v>5746</v>
      </c>
      <c r="AO175" t="s">
        <v>6756</v>
      </c>
      <c r="AP175" t="s">
        <v>74</v>
      </c>
      <c r="AQ175" t="s">
        <v>74</v>
      </c>
      <c r="AR175" t="s">
        <v>6757</v>
      </c>
      <c r="AS175" t="s">
        <v>6758</v>
      </c>
      <c r="AT175" t="s">
        <v>6759</v>
      </c>
      <c r="AU175">
        <v>2021</v>
      </c>
      <c r="AV175">
        <v>9</v>
      </c>
      <c r="AW175">
        <v>2</v>
      </c>
      <c r="AX175" t="s">
        <v>74</v>
      </c>
      <c r="AY175" t="s">
        <v>74</v>
      </c>
      <c r="AZ175" t="s">
        <v>74</v>
      </c>
      <c r="BA175" t="s">
        <v>74</v>
      </c>
      <c r="BB175" t="s">
        <v>74</v>
      </c>
      <c r="BC175" t="s">
        <v>74</v>
      </c>
      <c r="BD175">
        <v>20904</v>
      </c>
      <c r="BE175" t="s">
        <v>6760</v>
      </c>
      <c r="BF175" t="str">
        <f>HYPERLINK("http://dx.doi.org/10.1063/5.0026817","http://dx.doi.org/10.1063/5.0026817")</f>
        <v>http://dx.doi.org/10.1063/5.0026817</v>
      </c>
      <c r="BG175" t="s">
        <v>74</v>
      </c>
      <c r="BH175" t="s">
        <v>74</v>
      </c>
      <c r="BI175">
        <v>12</v>
      </c>
      <c r="BJ175" t="s">
        <v>6761</v>
      </c>
      <c r="BK175" t="s">
        <v>102</v>
      </c>
      <c r="BL175" t="s">
        <v>6762</v>
      </c>
      <c r="BM175" t="s">
        <v>6763</v>
      </c>
      <c r="BN175" t="s">
        <v>74</v>
      </c>
      <c r="BO175" t="s">
        <v>2162</v>
      </c>
      <c r="BP175" t="s">
        <v>74</v>
      </c>
      <c r="BQ175" t="s">
        <v>74</v>
      </c>
      <c r="BR175" t="s">
        <v>106</v>
      </c>
      <c r="BS175" t="s">
        <v>6764</v>
      </c>
      <c r="BT175" t="str">
        <f>HYPERLINK("https%3A%2F%2Fwww.webofscience.com%2Fwos%2Fwoscc%2Ffull-record%2FWOS:000630910500004","View Full Record in Web of Science")</f>
        <v>View Full Record in Web of Science</v>
      </c>
    </row>
    <row r="176" spans="1:72" x14ac:dyDescent="0.25">
      <c r="A176" t="s">
        <v>72</v>
      </c>
      <c r="B176" t="s">
        <v>7523</v>
      </c>
      <c r="C176" t="s">
        <v>74</v>
      </c>
      <c r="D176" t="s">
        <v>74</v>
      </c>
      <c r="E176" t="s">
        <v>74</v>
      </c>
      <c r="F176" t="s">
        <v>7524</v>
      </c>
      <c r="G176" t="s">
        <v>74</v>
      </c>
      <c r="H176" t="s">
        <v>74</v>
      </c>
      <c r="I176" s="1" t="s">
        <v>7525</v>
      </c>
      <c r="J176" t="s">
        <v>7526</v>
      </c>
      <c r="K176" t="s">
        <v>74</v>
      </c>
      <c r="L176" t="s">
        <v>74</v>
      </c>
      <c r="M176" t="s">
        <v>78</v>
      </c>
      <c r="N176" t="s">
        <v>79</v>
      </c>
      <c r="O176" t="s">
        <v>74</v>
      </c>
      <c r="P176" t="s">
        <v>74</v>
      </c>
      <c r="Q176" t="s">
        <v>74</v>
      </c>
      <c r="R176" t="s">
        <v>74</v>
      </c>
      <c r="S176" t="s">
        <v>74</v>
      </c>
      <c r="T176" s="1" t="s">
        <v>7527</v>
      </c>
      <c r="U176" s="1" t="s">
        <v>74</v>
      </c>
      <c r="V176" s="1" t="s">
        <v>7528</v>
      </c>
      <c r="W176" t="s">
        <v>7529</v>
      </c>
      <c r="X176" t="s">
        <v>74</v>
      </c>
      <c r="Y176" t="s">
        <v>7530</v>
      </c>
      <c r="Z176" t="s">
        <v>7531</v>
      </c>
      <c r="AA176" t="s">
        <v>74</v>
      </c>
      <c r="AB176" t="s">
        <v>74</v>
      </c>
      <c r="AC176" t="s">
        <v>7532</v>
      </c>
      <c r="AD176" t="s">
        <v>7532</v>
      </c>
      <c r="AE176" t="s">
        <v>7533</v>
      </c>
      <c r="AF176" t="s">
        <v>74</v>
      </c>
      <c r="AG176">
        <v>38</v>
      </c>
      <c r="AH176">
        <v>8</v>
      </c>
      <c r="AI176">
        <v>8</v>
      </c>
      <c r="AJ176">
        <v>2</v>
      </c>
      <c r="AK176">
        <v>14</v>
      </c>
      <c r="AL176" t="s">
        <v>1468</v>
      </c>
      <c r="AM176" t="s">
        <v>175</v>
      </c>
      <c r="AN176" t="s">
        <v>1469</v>
      </c>
      <c r="AO176" t="s">
        <v>7534</v>
      </c>
      <c r="AP176" t="s">
        <v>7535</v>
      </c>
      <c r="AQ176" t="s">
        <v>74</v>
      </c>
      <c r="AR176" t="s">
        <v>7536</v>
      </c>
      <c r="AS176" t="s">
        <v>7537</v>
      </c>
      <c r="AT176" t="s">
        <v>1138</v>
      </c>
      <c r="AU176">
        <v>2021</v>
      </c>
      <c r="AV176">
        <v>80</v>
      </c>
      <c r="AW176">
        <v>4</v>
      </c>
      <c r="AX176" t="s">
        <v>74</v>
      </c>
      <c r="AY176" t="s">
        <v>74</v>
      </c>
      <c r="AZ176" t="s">
        <v>74</v>
      </c>
      <c r="BA176" t="s">
        <v>74</v>
      </c>
      <c r="BB176">
        <v>413</v>
      </c>
      <c r="BC176">
        <v>424</v>
      </c>
      <c r="BD176">
        <v>17896920981122</v>
      </c>
      <c r="BE176" t="s">
        <v>7538</v>
      </c>
      <c r="BF176" t="str">
        <f>HYPERLINK("http://dx.doi.org/10.1177/0017896920981122","http://dx.doi.org/10.1177/0017896920981122")</f>
        <v>http://dx.doi.org/10.1177/0017896920981122</v>
      </c>
      <c r="BG176" t="s">
        <v>74</v>
      </c>
      <c r="BH176" t="s">
        <v>7520</v>
      </c>
      <c r="BI176">
        <v>12</v>
      </c>
      <c r="BJ176" t="s">
        <v>7539</v>
      </c>
      <c r="BK176" t="s">
        <v>156</v>
      </c>
      <c r="BL176" t="s">
        <v>7539</v>
      </c>
      <c r="BM176" t="s">
        <v>7540</v>
      </c>
      <c r="BN176" t="s">
        <v>74</v>
      </c>
      <c r="BO176" t="s">
        <v>74</v>
      </c>
      <c r="BP176" t="s">
        <v>74</v>
      </c>
      <c r="BQ176" t="s">
        <v>74</v>
      </c>
      <c r="BR176" t="s">
        <v>106</v>
      </c>
      <c r="BS176" t="s">
        <v>7541</v>
      </c>
      <c r="BT176" t="str">
        <f>HYPERLINK("https%3A%2F%2Fwww.webofscience.com%2Fwos%2Fwoscc%2Ffull-record%2FWOS:000627100200001","View Full Record in Web of Science")</f>
        <v>View Full Record in Web of Science</v>
      </c>
    </row>
    <row r="177" spans="1:72" x14ac:dyDescent="0.25">
      <c r="A177" t="s">
        <v>72</v>
      </c>
      <c r="B177" t="s">
        <v>7880</v>
      </c>
      <c r="C177" t="s">
        <v>74</v>
      </c>
      <c r="D177" t="s">
        <v>74</v>
      </c>
      <c r="E177" t="s">
        <v>74</v>
      </c>
      <c r="F177" t="s">
        <v>7881</v>
      </c>
      <c r="G177" t="s">
        <v>74</v>
      </c>
      <c r="H177" t="s">
        <v>74</v>
      </c>
      <c r="I177" s="1" t="s">
        <v>7882</v>
      </c>
      <c r="J177" t="s">
        <v>7883</v>
      </c>
      <c r="K177" t="s">
        <v>74</v>
      </c>
      <c r="L177" t="s">
        <v>74</v>
      </c>
      <c r="M177" t="s">
        <v>78</v>
      </c>
      <c r="N177" t="s">
        <v>7247</v>
      </c>
      <c r="O177" t="s">
        <v>7884</v>
      </c>
      <c r="P177" t="s">
        <v>7885</v>
      </c>
      <c r="Q177" t="s">
        <v>7886</v>
      </c>
      <c r="R177" t="s">
        <v>74</v>
      </c>
      <c r="S177" t="s">
        <v>7887</v>
      </c>
      <c r="T177" s="1" t="s">
        <v>7888</v>
      </c>
      <c r="U177" s="1" t="s">
        <v>7889</v>
      </c>
      <c r="V177" s="1" t="s">
        <v>7890</v>
      </c>
      <c r="W177" t="s">
        <v>7891</v>
      </c>
      <c r="X177" t="s">
        <v>74</v>
      </c>
      <c r="Y177" t="s">
        <v>7892</v>
      </c>
      <c r="Z177" t="s">
        <v>7893</v>
      </c>
      <c r="AA177" t="s">
        <v>7894</v>
      </c>
      <c r="AB177" t="s">
        <v>74</v>
      </c>
      <c r="AC177" t="s">
        <v>74</v>
      </c>
      <c r="AD177" t="s">
        <v>74</v>
      </c>
      <c r="AE177" t="s">
        <v>74</v>
      </c>
      <c r="AF177" t="s">
        <v>74</v>
      </c>
      <c r="AG177">
        <v>40</v>
      </c>
      <c r="AH177">
        <v>8</v>
      </c>
      <c r="AI177">
        <v>9</v>
      </c>
      <c r="AJ177">
        <v>6</v>
      </c>
      <c r="AK177">
        <v>69</v>
      </c>
      <c r="AL177" t="s">
        <v>715</v>
      </c>
      <c r="AM177" t="s">
        <v>716</v>
      </c>
      <c r="AN177" t="s">
        <v>717</v>
      </c>
      <c r="AO177" t="s">
        <v>7895</v>
      </c>
      <c r="AP177" t="s">
        <v>7896</v>
      </c>
      <c r="AQ177" t="s">
        <v>74</v>
      </c>
      <c r="AR177" t="s">
        <v>7897</v>
      </c>
      <c r="AS177" t="s">
        <v>7898</v>
      </c>
      <c r="AT177" t="s">
        <v>7899</v>
      </c>
      <c r="AU177">
        <v>2020</v>
      </c>
      <c r="AV177">
        <v>26</v>
      </c>
      <c r="AW177">
        <v>3</v>
      </c>
      <c r="AX177" t="s">
        <v>74</v>
      </c>
      <c r="AY177" t="s">
        <v>74</v>
      </c>
      <c r="AZ177" t="s">
        <v>1020</v>
      </c>
      <c r="BA177" t="s">
        <v>74</v>
      </c>
      <c r="BB177">
        <v>707</v>
      </c>
      <c r="BC177">
        <v>720</v>
      </c>
      <c r="BD177" t="s">
        <v>74</v>
      </c>
      <c r="BE177" t="s">
        <v>7900</v>
      </c>
      <c r="BF177" t="str">
        <f>HYPERLINK("http://dx.doi.org/10.1108/BPMJ-01-2019-0001","http://dx.doi.org/10.1108/BPMJ-01-2019-0001")</f>
        <v>http://dx.doi.org/10.1108/BPMJ-01-2019-0001</v>
      </c>
      <c r="BG177" t="s">
        <v>74</v>
      </c>
      <c r="BH177" t="s">
        <v>74</v>
      </c>
      <c r="BI177">
        <v>14</v>
      </c>
      <c r="BJ177" t="s">
        <v>264</v>
      </c>
      <c r="BK177" t="s">
        <v>7901</v>
      </c>
      <c r="BL177" t="s">
        <v>265</v>
      </c>
      <c r="BM177" t="s">
        <v>7902</v>
      </c>
      <c r="BN177" t="s">
        <v>74</v>
      </c>
      <c r="BO177" t="s">
        <v>74</v>
      </c>
      <c r="BP177" t="s">
        <v>74</v>
      </c>
      <c r="BQ177" t="s">
        <v>74</v>
      </c>
      <c r="BR177" t="s">
        <v>106</v>
      </c>
      <c r="BS177" t="s">
        <v>7903</v>
      </c>
      <c r="BT177" t="str">
        <f>HYPERLINK("https%3A%2F%2Fwww.webofscience.com%2Fwos%2Fwoscc%2Ffull-record%2FWOS:000542965300004","View Full Record in Web of Science")</f>
        <v>View Full Record in Web of Science</v>
      </c>
    </row>
    <row r="178" spans="1:72" x14ac:dyDescent="0.25">
      <c r="A178" t="s">
        <v>72</v>
      </c>
      <c r="B178" t="s">
        <v>7996</v>
      </c>
      <c r="C178" t="s">
        <v>74</v>
      </c>
      <c r="D178" t="s">
        <v>74</v>
      </c>
      <c r="E178" t="s">
        <v>74</v>
      </c>
      <c r="F178" t="s">
        <v>7997</v>
      </c>
      <c r="G178" t="s">
        <v>74</v>
      </c>
      <c r="H178" t="s">
        <v>74</v>
      </c>
      <c r="I178" s="1" t="s">
        <v>7998</v>
      </c>
      <c r="J178" t="s">
        <v>7999</v>
      </c>
      <c r="K178" t="s">
        <v>74</v>
      </c>
      <c r="L178" t="s">
        <v>74</v>
      </c>
      <c r="M178" t="s">
        <v>78</v>
      </c>
      <c r="N178" t="s">
        <v>79</v>
      </c>
      <c r="O178" t="s">
        <v>74</v>
      </c>
      <c r="P178" t="s">
        <v>74</v>
      </c>
      <c r="Q178" t="s">
        <v>74</v>
      </c>
      <c r="R178" t="s">
        <v>74</v>
      </c>
      <c r="S178" t="s">
        <v>74</v>
      </c>
      <c r="T178" s="1" t="s">
        <v>74</v>
      </c>
      <c r="U178" s="1" t="s">
        <v>74</v>
      </c>
      <c r="V178" s="1" t="s">
        <v>74</v>
      </c>
      <c r="W178" t="s">
        <v>8000</v>
      </c>
      <c r="X178" t="s">
        <v>8001</v>
      </c>
      <c r="Y178" t="s">
        <v>8002</v>
      </c>
      <c r="Z178" t="s">
        <v>74</v>
      </c>
      <c r="AA178" t="s">
        <v>74</v>
      </c>
      <c r="AB178" t="s">
        <v>74</v>
      </c>
      <c r="AC178" t="s">
        <v>74</v>
      </c>
      <c r="AD178" t="s">
        <v>74</v>
      </c>
      <c r="AE178" t="s">
        <v>74</v>
      </c>
      <c r="AF178" t="s">
        <v>74</v>
      </c>
      <c r="AG178">
        <v>0</v>
      </c>
      <c r="AH178">
        <v>8</v>
      </c>
      <c r="AI178">
        <v>8</v>
      </c>
      <c r="AJ178">
        <v>13</v>
      </c>
      <c r="AK178">
        <v>157</v>
      </c>
      <c r="AL178" t="s">
        <v>8003</v>
      </c>
      <c r="AM178" t="s">
        <v>8004</v>
      </c>
      <c r="AN178" t="s">
        <v>8005</v>
      </c>
      <c r="AO178" t="s">
        <v>8006</v>
      </c>
      <c r="AP178" t="s">
        <v>74</v>
      </c>
      <c r="AQ178" t="s">
        <v>74</v>
      </c>
      <c r="AR178" t="s">
        <v>8007</v>
      </c>
      <c r="AS178" t="s">
        <v>8008</v>
      </c>
      <c r="AT178" t="s">
        <v>1302</v>
      </c>
      <c r="AU178">
        <v>2020</v>
      </c>
      <c r="AV178">
        <v>98</v>
      </c>
      <c r="AW178">
        <v>3</v>
      </c>
      <c r="AX178" t="s">
        <v>74</v>
      </c>
      <c r="AY178" t="s">
        <v>74</v>
      </c>
      <c r="AZ178" t="s">
        <v>74</v>
      </c>
      <c r="BA178" t="s">
        <v>74</v>
      </c>
      <c r="BB178">
        <v>125</v>
      </c>
      <c r="BC178">
        <v>133</v>
      </c>
      <c r="BD178" t="s">
        <v>74</v>
      </c>
      <c r="BE178" t="s">
        <v>74</v>
      </c>
      <c r="BF178" t="s">
        <v>74</v>
      </c>
      <c r="BG178" t="s">
        <v>74</v>
      </c>
      <c r="BH178" t="s">
        <v>74</v>
      </c>
      <c r="BI178">
        <v>9</v>
      </c>
      <c r="BJ178" t="s">
        <v>264</v>
      </c>
      <c r="BK178" t="s">
        <v>156</v>
      </c>
      <c r="BL178" t="s">
        <v>265</v>
      </c>
      <c r="BM178" t="s">
        <v>8009</v>
      </c>
      <c r="BN178" t="s">
        <v>74</v>
      </c>
      <c r="BO178" t="s">
        <v>74</v>
      </c>
      <c r="BP178" t="s">
        <v>74</v>
      </c>
      <c r="BQ178" t="s">
        <v>74</v>
      </c>
      <c r="BR178" t="s">
        <v>106</v>
      </c>
      <c r="BS178" t="s">
        <v>8010</v>
      </c>
      <c r="BT178" t="str">
        <f>HYPERLINK("https%3A%2F%2Fwww.webofscience.com%2Fwos%2Fwoscc%2Ffull-record%2FWOS:000535316400025","View Full Record in Web of Science")</f>
        <v>View Full Record in Web of Science</v>
      </c>
    </row>
    <row r="179" spans="1:72" x14ac:dyDescent="0.25">
      <c r="A179" t="s">
        <v>72</v>
      </c>
      <c r="B179" t="s">
        <v>9307</v>
      </c>
      <c r="C179" t="s">
        <v>74</v>
      </c>
      <c r="D179" t="s">
        <v>74</v>
      </c>
      <c r="E179" t="s">
        <v>74</v>
      </c>
      <c r="F179" t="s">
        <v>9308</v>
      </c>
      <c r="G179" t="s">
        <v>74</v>
      </c>
      <c r="H179" t="s">
        <v>74</v>
      </c>
      <c r="I179" s="1" t="s">
        <v>9309</v>
      </c>
      <c r="J179" t="s">
        <v>9310</v>
      </c>
      <c r="K179" t="s">
        <v>74</v>
      </c>
      <c r="L179" t="s">
        <v>74</v>
      </c>
      <c r="M179" t="s">
        <v>78</v>
      </c>
      <c r="N179" t="s">
        <v>79</v>
      </c>
      <c r="O179" t="s">
        <v>74</v>
      </c>
      <c r="P179" t="s">
        <v>74</v>
      </c>
      <c r="Q179" t="s">
        <v>74</v>
      </c>
      <c r="R179" t="s">
        <v>74</v>
      </c>
      <c r="S179" t="s">
        <v>74</v>
      </c>
      <c r="T179" s="1" t="s">
        <v>9311</v>
      </c>
      <c r="U179" s="1" t="s">
        <v>9312</v>
      </c>
      <c r="V179" s="1" t="s">
        <v>9313</v>
      </c>
      <c r="W179" t="s">
        <v>9314</v>
      </c>
      <c r="X179" t="s">
        <v>9315</v>
      </c>
      <c r="Y179" t="s">
        <v>9316</v>
      </c>
      <c r="Z179" t="s">
        <v>9317</v>
      </c>
      <c r="AA179" t="s">
        <v>74</v>
      </c>
      <c r="AB179" t="s">
        <v>74</v>
      </c>
      <c r="AC179" t="s">
        <v>74</v>
      </c>
      <c r="AD179" t="s">
        <v>74</v>
      </c>
      <c r="AE179" t="s">
        <v>74</v>
      </c>
      <c r="AF179" t="s">
        <v>74</v>
      </c>
      <c r="AG179">
        <v>119</v>
      </c>
      <c r="AH179">
        <v>8</v>
      </c>
      <c r="AI179">
        <v>8</v>
      </c>
      <c r="AJ179">
        <v>3</v>
      </c>
      <c r="AK179">
        <v>7</v>
      </c>
      <c r="AL179" t="s">
        <v>9318</v>
      </c>
      <c r="AM179" t="s">
        <v>693</v>
      </c>
      <c r="AN179" t="s">
        <v>9319</v>
      </c>
      <c r="AO179" t="s">
        <v>9320</v>
      </c>
      <c r="AP179" t="s">
        <v>74</v>
      </c>
      <c r="AQ179" t="s">
        <v>74</v>
      </c>
      <c r="AR179" t="s">
        <v>9321</v>
      </c>
      <c r="AS179" t="s">
        <v>9322</v>
      </c>
      <c r="AT179" t="s">
        <v>74</v>
      </c>
      <c r="AU179">
        <v>2019</v>
      </c>
      <c r="AV179">
        <v>8</v>
      </c>
      <c r="AW179">
        <v>4</v>
      </c>
      <c r="AX179" t="s">
        <v>74</v>
      </c>
      <c r="AY179" t="s">
        <v>74</v>
      </c>
      <c r="AZ179" t="s">
        <v>74</v>
      </c>
      <c r="BA179" t="s">
        <v>74</v>
      </c>
      <c r="BB179" t="s">
        <v>74</v>
      </c>
      <c r="BC179" t="s">
        <v>74</v>
      </c>
      <c r="BD179" t="s">
        <v>74</v>
      </c>
      <c r="BE179" t="s">
        <v>9323</v>
      </c>
      <c r="BF179" t="str">
        <f>HYPERLINK("http://dx.doi.org/10.14763/2019.4.1443","http://dx.doi.org/10.14763/2019.4.1443")</f>
        <v>http://dx.doi.org/10.14763/2019.4.1443</v>
      </c>
      <c r="BG179" t="s">
        <v>74</v>
      </c>
      <c r="BH179" t="s">
        <v>74</v>
      </c>
      <c r="BI179">
        <v>23</v>
      </c>
      <c r="BJ179" t="s">
        <v>9324</v>
      </c>
      <c r="BK179" t="s">
        <v>183</v>
      </c>
      <c r="BL179" t="s">
        <v>9325</v>
      </c>
      <c r="BM179" t="s">
        <v>9326</v>
      </c>
      <c r="BN179" t="s">
        <v>74</v>
      </c>
      <c r="BO179" t="s">
        <v>2730</v>
      </c>
      <c r="BP179" t="s">
        <v>74</v>
      </c>
      <c r="BQ179" t="s">
        <v>74</v>
      </c>
      <c r="BR179" t="s">
        <v>106</v>
      </c>
      <c r="BS179" t="s">
        <v>9327</v>
      </c>
      <c r="BT179" t="str">
        <f>HYPERLINK("https%3A%2F%2Fwww.webofscience.com%2Fwos%2Fwoscc%2Ffull-record%2FWOS:000509764900019","View Full Record in Web of Science")</f>
        <v>View Full Record in Web of Science</v>
      </c>
    </row>
    <row r="180" spans="1:72" x14ac:dyDescent="0.25">
      <c r="A180" t="s">
        <v>72</v>
      </c>
      <c r="B180" t="s">
        <v>10047</v>
      </c>
      <c r="C180" t="s">
        <v>74</v>
      </c>
      <c r="D180" t="s">
        <v>74</v>
      </c>
      <c r="E180" t="s">
        <v>74</v>
      </c>
      <c r="F180" t="s">
        <v>10048</v>
      </c>
      <c r="G180" t="s">
        <v>74</v>
      </c>
      <c r="H180" t="s">
        <v>74</v>
      </c>
      <c r="I180" s="1" t="s">
        <v>10049</v>
      </c>
      <c r="J180" t="s">
        <v>10050</v>
      </c>
      <c r="K180" t="s">
        <v>74</v>
      </c>
      <c r="L180" t="s">
        <v>74</v>
      </c>
      <c r="M180" t="s">
        <v>78</v>
      </c>
      <c r="N180" t="s">
        <v>79</v>
      </c>
      <c r="O180" t="s">
        <v>74</v>
      </c>
      <c r="P180" t="s">
        <v>74</v>
      </c>
      <c r="Q180" t="s">
        <v>74</v>
      </c>
      <c r="R180" t="s">
        <v>74</v>
      </c>
      <c r="S180" t="s">
        <v>74</v>
      </c>
      <c r="T180" s="1" t="s">
        <v>74</v>
      </c>
      <c r="U180" s="1" t="s">
        <v>10051</v>
      </c>
      <c r="V180" s="1" t="s">
        <v>10052</v>
      </c>
      <c r="W180" t="s">
        <v>10053</v>
      </c>
      <c r="X180" t="s">
        <v>10054</v>
      </c>
      <c r="Y180" t="s">
        <v>10055</v>
      </c>
      <c r="Z180" t="s">
        <v>10056</v>
      </c>
      <c r="AA180" t="s">
        <v>74</v>
      </c>
      <c r="AB180" t="s">
        <v>74</v>
      </c>
      <c r="AC180" t="s">
        <v>74</v>
      </c>
      <c r="AD180" t="s">
        <v>74</v>
      </c>
      <c r="AE180" t="s">
        <v>74</v>
      </c>
      <c r="AF180" t="s">
        <v>74</v>
      </c>
      <c r="AG180">
        <v>59</v>
      </c>
      <c r="AH180">
        <v>8</v>
      </c>
      <c r="AI180">
        <v>8</v>
      </c>
      <c r="AJ180">
        <v>2</v>
      </c>
      <c r="AK180">
        <v>6</v>
      </c>
      <c r="AL180" t="s">
        <v>1013</v>
      </c>
      <c r="AM180" t="s">
        <v>493</v>
      </c>
      <c r="AN180" t="s">
        <v>1014</v>
      </c>
      <c r="AO180" t="s">
        <v>10057</v>
      </c>
      <c r="AP180" t="s">
        <v>10058</v>
      </c>
      <c r="AQ180" t="s">
        <v>74</v>
      </c>
      <c r="AR180" t="s">
        <v>10059</v>
      </c>
      <c r="AS180" t="s">
        <v>10060</v>
      </c>
      <c r="AT180" t="s">
        <v>74</v>
      </c>
      <c r="AU180">
        <v>2018</v>
      </c>
      <c r="AV180">
        <v>39</v>
      </c>
      <c r="AW180">
        <v>3</v>
      </c>
      <c r="AX180" t="s">
        <v>74</v>
      </c>
      <c r="AY180" t="s">
        <v>74</v>
      </c>
      <c r="AZ180" t="s">
        <v>1020</v>
      </c>
      <c r="BA180" t="s">
        <v>74</v>
      </c>
      <c r="BB180">
        <v>244</v>
      </c>
      <c r="BC180">
        <v>265</v>
      </c>
      <c r="BD180" t="s">
        <v>74</v>
      </c>
      <c r="BE180" t="s">
        <v>10061</v>
      </c>
      <c r="BF180" t="str">
        <f>HYPERLINK("http://dx.doi.org/10.1080/10641734.2018.1491435","http://dx.doi.org/10.1080/10641734.2018.1491435")</f>
        <v>http://dx.doi.org/10.1080/10641734.2018.1491435</v>
      </c>
      <c r="BG180" t="s">
        <v>74</v>
      </c>
      <c r="BH180" t="s">
        <v>74</v>
      </c>
      <c r="BI180">
        <v>22</v>
      </c>
      <c r="BJ180" t="s">
        <v>5662</v>
      </c>
      <c r="BK180" t="s">
        <v>183</v>
      </c>
      <c r="BL180" t="s">
        <v>5663</v>
      </c>
      <c r="BM180" t="s">
        <v>10062</v>
      </c>
      <c r="BN180" t="s">
        <v>74</v>
      </c>
      <c r="BO180" t="s">
        <v>74</v>
      </c>
      <c r="BP180" t="s">
        <v>74</v>
      </c>
      <c r="BQ180" t="s">
        <v>74</v>
      </c>
      <c r="BR180" t="s">
        <v>106</v>
      </c>
      <c r="BS180" t="s">
        <v>10063</v>
      </c>
      <c r="BT180" t="str">
        <f>HYPERLINK("https%3A%2F%2Fwww.webofscience.com%2Fwos%2Fwoscc%2Ffull-record%2FWOS:000558680500004","View Full Record in Web of Science")</f>
        <v>View Full Record in Web of Science</v>
      </c>
    </row>
    <row r="181" spans="1:72" x14ac:dyDescent="0.25">
      <c r="A181" t="s">
        <v>72</v>
      </c>
      <c r="B181" t="s">
        <v>10462</v>
      </c>
      <c r="C181" t="s">
        <v>74</v>
      </c>
      <c r="D181" t="s">
        <v>74</v>
      </c>
      <c r="E181" t="s">
        <v>74</v>
      </c>
      <c r="F181" t="s">
        <v>10463</v>
      </c>
      <c r="G181" t="s">
        <v>74</v>
      </c>
      <c r="H181" t="s">
        <v>74</v>
      </c>
      <c r="I181" s="1" t="s">
        <v>10464</v>
      </c>
      <c r="J181" t="s">
        <v>10465</v>
      </c>
      <c r="K181" t="s">
        <v>74</v>
      </c>
      <c r="L181" t="s">
        <v>74</v>
      </c>
      <c r="M181" t="s">
        <v>78</v>
      </c>
      <c r="N181" t="s">
        <v>79</v>
      </c>
      <c r="O181" t="s">
        <v>74</v>
      </c>
      <c r="P181" t="s">
        <v>74</v>
      </c>
      <c r="Q181" t="s">
        <v>74</v>
      </c>
      <c r="R181" t="s">
        <v>74</v>
      </c>
      <c r="S181" t="s">
        <v>74</v>
      </c>
      <c r="T181" s="1" t="s">
        <v>10466</v>
      </c>
      <c r="U181" s="1" t="s">
        <v>10467</v>
      </c>
      <c r="V181" s="1" t="s">
        <v>10468</v>
      </c>
      <c r="W181" t="s">
        <v>10469</v>
      </c>
      <c r="X181" t="s">
        <v>10470</v>
      </c>
      <c r="Y181" t="s">
        <v>10471</v>
      </c>
      <c r="Z181" t="s">
        <v>10472</v>
      </c>
      <c r="AA181" t="s">
        <v>74</v>
      </c>
      <c r="AB181" t="s">
        <v>10473</v>
      </c>
      <c r="AC181" t="s">
        <v>74</v>
      </c>
      <c r="AD181" t="s">
        <v>74</v>
      </c>
      <c r="AE181" t="s">
        <v>74</v>
      </c>
      <c r="AF181" t="s">
        <v>74</v>
      </c>
      <c r="AG181">
        <v>96</v>
      </c>
      <c r="AH181">
        <v>8</v>
      </c>
      <c r="AI181">
        <v>8</v>
      </c>
      <c r="AJ181">
        <v>4</v>
      </c>
      <c r="AK181">
        <v>12</v>
      </c>
      <c r="AL181" t="s">
        <v>1074</v>
      </c>
      <c r="AM181" t="s">
        <v>1075</v>
      </c>
      <c r="AN181" t="s">
        <v>1076</v>
      </c>
      <c r="AO181" t="s">
        <v>10474</v>
      </c>
      <c r="AP181" t="s">
        <v>74</v>
      </c>
      <c r="AQ181" t="s">
        <v>74</v>
      </c>
      <c r="AR181" t="s">
        <v>10475</v>
      </c>
      <c r="AS181" t="s">
        <v>10476</v>
      </c>
      <c r="AT181" t="s">
        <v>10477</v>
      </c>
      <c r="AU181">
        <v>2017</v>
      </c>
      <c r="AV181">
        <v>4</v>
      </c>
      <c r="AW181">
        <v>2</v>
      </c>
      <c r="AX181" t="s">
        <v>74</v>
      </c>
      <c r="AY181" t="s">
        <v>74</v>
      </c>
      <c r="AZ181" t="s">
        <v>74</v>
      </c>
      <c r="BA181" t="s">
        <v>74</v>
      </c>
      <c r="BB181" t="s">
        <v>74</v>
      </c>
      <c r="BC181" t="s">
        <v>74</v>
      </c>
      <c r="BD181">
        <v>2053951717742410</v>
      </c>
      <c r="BE181" t="s">
        <v>10478</v>
      </c>
      <c r="BF181" t="str">
        <f>HYPERLINK("http://dx.doi.org/10.1177/2053951717742419","http://dx.doi.org/10.1177/2053951717742419")</f>
        <v>http://dx.doi.org/10.1177/2053951717742419</v>
      </c>
      <c r="BG181" t="s">
        <v>74</v>
      </c>
      <c r="BH181" t="s">
        <v>74</v>
      </c>
      <c r="BI181">
        <v>14</v>
      </c>
      <c r="BJ181" t="s">
        <v>942</v>
      </c>
      <c r="BK181" t="s">
        <v>156</v>
      </c>
      <c r="BL181" t="s">
        <v>943</v>
      </c>
      <c r="BM181" t="s">
        <v>10479</v>
      </c>
      <c r="BN181" t="s">
        <v>74</v>
      </c>
      <c r="BO181" t="s">
        <v>422</v>
      </c>
      <c r="BP181" t="s">
        <v>74</v>
      </c>
      <c r="BQ181" t="s">
        <v>74</v>
      </c>
      <c r="BR181" t="s">
        <v>106</v>
      </c>
      <c r="BS181" t="s">
        <v>10480</v>
      </c>
      <c r="BT181" t="str">
        <f>HYPERLINK("https%3A%2F%2Fwww.webofscience.com%2Fwos%2Fwoscc%2Ffull-record%2FWOS:000415351600001","View Full Record in Web of Science")</f>
        <v>View Full Record in Web of Science</v>
      </c>
    </row>
    <row r="182" spans="1:72" x14ac:dyDescent="0.25">
      <c r="A182" t="s">
        <v>72</v>
      </c>
      <c r="B182" t="s">
        <v>11051</v>
      </c>
      <c r="C182" t="s">
        <v>74</v>
      </c>
      <c r="D182" t="s">
        <v>74</v>
      </c>
      <c r="E182" t="s">
        <v>74</v>
      </c>
      <c r="F182" t="s">
        <v>11052</v>
      </c>
      <c r="G182" t="s">
        <v>74</v>
      </c>
      <c r="H182" t="s">
        <v>74</v>
      </c>
      <c r="I182" s="1" t="s">
        <v>11053</v>
      </c>
      <c r="J182" t="s">
        <v>7999</v>
      </c>
      <c r="K182" t="s">
        <v>74</v>
      </c>
      <c r="L182" t="s">
        <v>74</v>
      </c>
      <c r="M182" t="s">
        <v>78</v>
      </c>
      <c r="N182" t="s">
        <v>79</v>
      </c>
      <c r="O182" t="s">
        <v>74</v>
      </c>
      <c r="P182" t="s">
        <v>74</v>
      </c>
      <c r="Q182" t="s">
        <v>74</v>
      </c>
      <c r="R182" t="s">
        <v>74</v>
      </c>
      <c r="S182" t="s">
        <v>74</v>
      </c>
      <c r="T182" s="1" t="s">
        <v>74</v>
      </c>
      <c r="U182" s="1" t="s">
        <v>74</v>
      </c>
      <c r="V182" s="1" t="s">
        <v>11054</v>
      </c>
      <c r="W182" t="s">
        <v>11055</v>
      </c>
      <c r="X182" t="s">
        <v>74</v>
      </c>
      <c r="Y182" t="s">
        <v>11056</v>
      </c>
      <c r="Z182" t="s">
        <v>74</v>
      </c>
      <c r="AA182" t="s">
        <v>74</v>
      </c>
      <c r="AB182" t="s">
        <v>74</v>
      </c>
      <c r="AC182" t="s">
        <v>74</v>
      </c>
      <c r="AD182" t="s">
        <v>74</v>
      </c>
      <c r="AE182" t="s">
        <v>74</v>
      </c>
      <c r="AF182" t="s">
        <v>74</v>
      </c>
      <c r="AG182">
        <v>0</v>
      </c>
      <c r="AH182">
        <v>8</v>
      </c>
      <c r="AI182">
        <v>8</v>
      </c>
      <c r="AJ182">
        <v>0</v>
      </c>
      <c r="AK182">
        <v>69</v>
      </c>
      <c r="AL182" t="s">
        <v>8003</v>
      </c>
      <c r="AM182" t="s">
        <v>8004</v>
      </c>
      <c r="AN182" t="s">
        <v>8005</v>
      </c>
      <c r="AO182" t="s">
        <v>8006</v>
      </c>
      <c r="AP182" t="s">
        <v>74</v>
      </c>
      <c r="AQ182" t="s">
        <v>74</v>
      </c>
      <c r="AR182" t="s">
        <v>8007</v>
      </c>
      <c r="AS182" t="s">
        <v>8008</v>
      </c>
      <c r="AT182" t="s">
        <v>99</v>
      </c>
      <c r="AU182">
        <v>2016</v>
      </c>
      <c r="AV182">
        <v>94</v>
      </c>
      <c r="AW182">
        <v>11</v>
      </c>
      <c r="AX182" t="s">
        <v>74</v>
      </c>
      <c r="AY182" t="s">
        <v>74</v>
      </c>
      <c r="AZ182" t="s">
        <v>74</v>
      </c>
      <c r="BA182" t="s">
        <v>74</v>
      </c>
      <c r="BB182">
        <v>68</v>
      </c>
      <c r="BC182" t="s">
        <v>11057</v>
      </c>
      <c r="BD182" t="s">
        <v>74</v>
      </c>
      <c r="BE182" t="s">
        <v>74</v>
      </c>
      <c r="BF182" t="s">
        <v>74</v>
      </c>
      <c r="BG182" t="s">
        <v>74</v>
      </c>
      <c r="BH182" t="s">
        <v>74</v>
      </c>
      <c r="BI182">
        <v>8</v>
      </c>
      <c r="BJ182" t="s">
        <v>264</v>
      </c>
      <c r="BK182" t="s">
        <v>156</v>
      </c>
      <c r="BL182" t="s">
        <v>265</v>
      </c>
      <c r="BM182" t="s">
        <v>11058</v>
      </c>
      <c r="BN182" t="s">
        <v>74</v>
      </c>
      <c r="BO182" t="s">
        <v>74</v>
      </c>
      <c r="BP182" t="s">
        <v>74</v>
      </c>
      <c r="BQ182" t="s">
        <v>74</v>
      </c>
      <c r="BR182" t="s">
        <v>106</v>
      </c>
      <c r="BS182" t="s">
        <v>11059</v>
      </c>
      <c r="BT182" t="str">
        <f>HYPERLINK("https%3A%2F%2Fwww.webofscience.com%2Fwos%2Fwoscc%2Ffull-record%2FWOS:000385474200012","View Full Record in Web of Science")</f>
        <v>View Full Record in Web of Science</v>
      </c>
    </row>
    <row r="183" spans="1:72" x14ac:dyDescent="0.25">
      <c r="A183" t="s">
        <v>72</v>
      </c>
      <c r="B183" t="s">
        <v>12694</v>
      </c>
      <c r="C183" t="s">
        <v>74</v>
      </c>
      <c r="D183" t="s">
        <v>74</v>
      </c>
      <c r="E183" t="s">
        <v>74</v>
      </c>
      <c r="F183" t="s">
        <v>12695</v>
      </c>
      <c r="G183" t="s">
        <v>74</v>
      </c>
      <c r="H183" t="s">
        <v>74</v>
      </c>
      <c r="I183" s="1" t="s">
        <v>12696</v>
      </c>
      <c r="J183" t="s">
        <v>12697</v>
      </c>
      <c r="K183" t="s">
        <v>74</v>
      </c>
      <c r="L183" t="s">
        <v>74</v>
      </c>
      <c r="M183" t="s">
        <v>78</v>
      </c>
      <c r="N183" t="s">
        <v>79</v>
      </c>
      <c r="O183" t="s">
        <v>74</v>
      </c>
      <c r="P183" t="s">
        <v>74</v>
      </c>
      <c r="Q183" t="s">
        <v>74</v>
      </c>
      <c r="R183" t="s">
        <v>74</v>
      </c>
      <c r="S183" t="s">
        <v>74</v>
      </c>
      <c r="T183" s="1" t="s">
        <v>74</v>
      </c>
      <c r="U183" s="1" t="s">
        <v>74</v>
      </c>
      <c r="V183" s="1" t="s">
        <v>12698</v>
      </c>
      <c r="W183" t="s">
        <v>12699</v>
      </c>
      <c r="X183" t="s">
        <v>12700</v>
      </c>
      <c r="Y183" t="s">
        <v>12701</v>
      </c>
      <c r="Z183" t="s">
        <v>12702</v>
      </c>
      <c r="AA183" t="s">
        <v>74</v>
      </c>
      <c r="AB183" t="s">
        <v>74</v>
      </c>
      <c r="AC183" t="s">
        <v>74</v>
      </c>
      <c r="AD183" t="s">
        <v>74</v>
      </c>
      <c r="AE183" t="s">
        <v>74</v>
      </c>
      <c r="AF183" t="s">
        <v>74</v>
      </c>
      <c r="AG183">
        <v>49</v>
      </c>
      <c r="AH183">
        <v>8</v>
      </c>
      <c r="AI183">
        <v>9</v>
      </c>
      <c r="AJ183">
        <v>2</v>
      </c>
      <c r="AK183">
        <v>11</v>
      </c>
      <c r="AL183" t="s">
        <v>146</v>
      </c>
      <c r="AM183" t="s">
        <v>147</v>
      </c>
      <c r="AN183" t="s">
        <v>148</v>
      </c>
      <c r="AO183" t="s">
        <v>12703</v>
      </c>
      <c r="AP183" t="s">
        <v>12704</v>
      </c>
      <c r="AQ183" t="s">
        <v>74</v>
      </c>
      <c r="AR183" t="s">
        <v>12705</v>
      </c>
      <c r="AS183" t="s">
        <v>12706</v>
      </c>
      <c r="AT183" t="s">
        <v>356</v>
      </c>
      <c r="AU183">
        <v>2007</v>
      </c>
      <c r="AV183">
        <v>6</v>
      </c>
      <c r="AW183">
        <v>3</v>
      </c>
      <c r="AX183" t="s">
        <v>74</v>
      </c>
      <c r="AY183" t="s">
        <v>74</v>
      </c>
      <c r="AZ183" t="s">
        <v>74</v>
      </c>
      <c r="BA183" t="s">
        <v>74</v>
      </c>
      <c r="BB183">
        <v>211</v>
      </c>
      <c r="BC183">
        <v>229</v>
      </c>
      <c r="BD183" t="s">
        <v>74</v>
      </c>
      <c r="BE183" t="s">
        <v>12707</v>
      </c>
      <c r="BF183" t="str">
        <f>HYPERLINK("http://dx.doi.org/10.1111/j.1540-6040.2007.00214.x","http://dx.doi.org/10.1111/j.1540-6040.2007.00214.x")</f>
        <v>http://dx.doi.org/10.1111/j.1540-6040.2007.00214.x</v>
      </c>
      <c r="BG183" t="s">
        <v>74</v>
      </c>
      <c r="BH183" t="s">
        <v>74</v>
      </c>
      <c r="BI183">
        <v>19</v>
      </c>
      <c r="BJ183" t="s">
        <v>12708</v>
      </c>
      <c r="BK183" t="s">
        <v>156</v>
      </c>
      <c r="BL183" t="s">
        <v>12708</v>
      </c>
      <c r="BM183" t="s">
        <v>12709</v>
      </c>
      <c r="BN183" t="s">
        <v>74</v>
      </c>
      <c r="BO183" t="s">
        <v>74</v>
      </c>
      <c r="BP183" t="s">
        <v>74</v>
      </c>
      <c r="BQ183" t="s">
        <v>74</v>
      </c>
      <c r="BR183" t="s">
        <v>106</v>
      </c>
      <c r="BS183" t="s">
        <v>12710</v>
      </c>
      <c r="BT183" t="str">
        <f>HYPERLINK("https%3A%2F%2Fwww.webofscience.com%2Fwos%2Fwoscc%2Ffull-record%2FWOS:000259048400004","View Full Record in Web of Science")</f>
        <v>View Full Record in Web of Science</v>
      </c>
    </row>
    <row r="184" spans="1:72" x14ac:dyDescent="0.25">
      <c r="A184" t="s">
        <v>72</v>
      </c>
      <c r="B184" t="s">
        <v>12737</v>
      </c>
      <c r="C184" t="s">
        <v>74</v>
      </c>
      <c r="D184" t="s">
        <v>74</v>
      </c>
      <c r="E184" t="s">
        <v>74</v>
      </c>
      <c r="F184" t="s">
        <v>12738</v>
      </c>
      <c r="G184" t="s">
        <v>74</v>
      </c>
      <c r="H184" t="s">
        <v>74</v>
      </c>
      <c r="I184" s="1" t="s">
        <v>12739</v>
      </c>
      <c r="J184" t="s">
        <v>12740</v>
      </c>
      <c r="K184" t="s">
        <v>74</v>
      </c>
      <c r="L184" t="s">
        <v>74</v>
      </c>
      <c r="M184" t="s">
        <v>78</v>
      </c>
      <c r="N184" t="s">
        <v>79</v>
      </c>
      <c r="O184" t="s">
        <v>74</v>
      </c>
      <c r="P184" t="s">
        <v>74</v>
      </c>
      <c r="Q184" t="s">
        <v>74</v>
      </c>
      <c r="R184" t="s">
        <v>74</v>
      </c>
      <c r="S184" t="s">
        <v>74</v>
      </c>
      <c r="T184" s="1" t="s">
        <v>74</v>
      </c>
      <c r="U184" s="1" t="s">
        <v>74</v>
      </c>
      <c r="V184" s="1" t="s">
        <v>12741</v>
      </c>
      <c r="W184" t="s">
        <v>12742</v>
      </c>
      <c r="X184" t="s">
        <v>12743</v>
      </c>
      <c r="Y184" t="s">
        <v>12744</v>
      </c>
      <c r="Z184" t="s">
        <v>12745</v>
      </c>
      <c r="AA184" t="s">
        <v>74</v>
      </c>
      <c r="AB184" t="s">
        <v>12746</v>
      </c>
      <c r="AC184" t="s">
        <v>74</v>
      </c>
      <c r="AD184" t="s">
        <v>74</v>
      </c>
      <c r="AE184" t="s">
        <v>74</v>
      </c>
      <c r="AF184" t="s">
        <v>74</v>
      </c>
      <c r="AG184">
        <v>62</v>
      </c>
      <c r="AH184">
        <v>8</v>
      </c>
      <c r="AI184">
        <v>9</v>
      </c>
      <c r="AJ184">
        <v>1</v>
      </c>
      <c r="AK184">
        <v>26</v>
      </c>
      <c r="AL184" t="s">
        <v>492</v>
      </c>
      <c r="AM184" t="s">
        <v>493</v>
      </c>
      <c r="AN184" t="s">
        <v>494</v>
      </c>
      <c r="AO184" t="s">
        <v>12747</v>
      </c>
      <c r="AP184" t="s">
        <v>12748</v>
      </c>
      <c r="AQ184" t="s">
        <v>74</v>
      </c>
      <c r="AR184" t="s">
        <v>12749</v>
      </c>
      <c r="AS184" t="s">
        <v>12750</v>
      </c>
      <c r="AT184" t="s">
        <v>1448</v>
      </c>
      <c r="AU184">
        <v>2007</v>
      </c>
      <c r="AV184">
        <v>14</v>
      </c>
      <c r="AW184">
        <v>1</v>
      </c>
      <c r="AX184" t="s">
        <v>74</v>
      </c>
      <c r="AY184" t="s">
        <v>74</v>
      </c>
      <c r="AZ184" t="s">
        <v>74</v>
      </c>
      <c r="BA184" t="s">
        <v>74</v>
      </c>
      <c r="BB184">
        <v>39</v>
      </c>
      <c r="BC184">
        <v>55</v>
      </c>
      <c r="BD184" t="s">
        <v>74</v>
      </c>
      <c r="BE184" t="s">
        <v>12751</v>
      </c>
      <c r="BF184" t="str">
        <f>HYPERLINK("http://dx.doi.org/10.1080/13183222.2007.11008935","http://dx.doi.org/10.1080/13183222.2007.11008935")</f>
        <v>http://dx.doi.org/10.1080/13183222.2007.11008935</v>
      </c>
      <c r="BG184" t="s">
        <v>74</v>
      </c>
      <c r="BH184" t="s">
        <v>74</v>
      </c>
      <c r="BI184">
        <v>17</v>
      </c>
      <c r="BJ184" t="s">
        <v>2218</v>
      </c>
      <c r="BK184" t="s">
        <v>156</v>
      </c>
      <c r="BL184" t="s">
        <v>2218</v>
      </c>
      <c r="BM184" t="s">
        <v>12752</v>
      </c>
      <c r="BN184" t="s">
        <v>74</v>
      </c>
      <c r="BO184" t="s">
        <v>74</v>
      </c>
      <c r="BP184" t="s">
        <v>74</v>
      </c>
      <c r="BQ184" t="s">
        <v>74</v>
      </c>
      <c r="BR184" t="s">
        <v>106</v>
      </c>
      <c r="BS184" t="s">
        <v>12753</v>
      </c>
      <c r="BT184" t="str">
        <f>HYPERLINK("https%3A%2F%2Fwww.webofscience.com%2Fwos%2Fwoscc%2Ffull-record%2FWOS:000247843900003","View Full Record in Web of Science")</f>
        <v>View Full Record in Web of Science</v>
      </c>
    </row>
    <row r="185" spans="1:72" x14ac:dyDescent="0.25">
      <c r="A185" t="s">
        <v>72</v>
      </c>
      <c r="B185" t="s">
        <v>2492</v>
      </c>
      <c r="C185" t="s">
        <v>74</v>
      </c>
      <c r="D185" t="s">
        <v>74</v>
      </c>
      <c r="E185" t="s">
        <v>74</v>
      </c>
      <c r="F185" t="s">
        <v>2493</v>
      </c>
      <c r="G185" t="s">
        <v>74</v>
      </c>
      <c r="H185" t="s">
        <v>74</v>
      </c>
      <c r="I185" s="1" t="s">
        <v>2494</v>
      </c>
      <c r="J185" t="s">
        <v>218</v>
      </c>
      <c r="K185" t="s">
        <v>74</v>
      </c>
      <c r="L185" t="s">
        <v>74</v>
      </c>
      <c r="M185" t="s">
        <v>78</v>
      </c>
      <c r="N185" t="s">
        <v>79</v>
      </c>
      <c r="O185" t="s">
        <v>74</v>
      </c>
      <c r="P185" t="s">
        <v>74</v>
      </c>
      <c r="Q185" t="s">
        <v>74</v>
      </c>
      <c r="R185" t="s">
        <v>74</v>
      </c>
      <c r="S185" t="s">
        <v>74</v>
      </c>
      <c r="T185" s="1" t="s">
        <v>2495</v>
      </c>
      <c r="U185" s="1" t="s">
        <v>2496</v>
      </c>
      <c r="V185" s="1" t="s">
        <v>2497</v>
      </c>
      <c r="W185" t="s">
        <v>2498</v>
      </c>
      <c r="X185" t="s">
        <v>2499</v>
      </c>
      <c r="Y185" t="s">
        <v>2500</v>
      </c>
      <c r="Z185" t="s">
        <v>2501</v>
      </c>
      <c r="AA185" t="s">
        <v>2502</v>
      </c>
      <c r="AB185" t="s">
        <v>2503</v>
      </c>
      <c r="AC185" t="s">
        <v>2504</v>
      </c>
      <c r="AD185" t="s">
        <v>2505</v>
      </c>
      <c r="AE185" t="s">
        <v>2506</v>
      </c>
      <c r="AF185" t="s">
        <v>74</v>
      </c>
      <c r="AG185">
        <v>137</v>
      </c>
      <c r="AH185">
        <v>7</v>
      </c>
      <c r="AI185">
        <v>7</v>
      </c>
      <c r="AJ185">
        <v>74</v>
      </c>
      <c r="AK185">
        <v>148</v>
      </c>
      <c r="AL185" t="s">
        <v>231</v>
      </c>
      <c r="AM185" t="s">
        <v>232</v>
      </c>
      <c r="AN185" t="s">
        <v>233</v>
      </c>
      <c r="AO185" t="s">
        <v>234</v>
      </c>
      <c r="AP185" t="s">
        <v>235</v>
      </c>
      <c r="AQ185" t="s">
        <v>74</v>
      </c>
      <c r="AR185" t="s">
        <v>236</v>
      </c>
      <c r="AS185" t="s">
        <v>237</v>
      </c>
      <c r="AT185" t="s">
        <v>626</v>
      </c>
      <c r="AU185">
        <v>2022</v>
      </c>
      <c r="AV185">
        <v>250</v>
      </c>
      <c r="AW185" t="s">
        <v>74</v>
      </c>
      <c r="AX185" t="s">
        <v>74</v>
      </c>
      <c r="AY185" t="s">
        <v>74</v>
      </c>
      <c r="AZ185" t="s">
        <v>1020</v>
      </c>
      <c r="BA185" t="s">
        <v>74</v>
      </c>
      <c r="BB185" t="s">
        <v>74</v>
      </c>
      <c r="BC185" t="s">
        <v>74</v>
      </c>
      <c r="BD185">
        <v>108668</v>
      </c>
      <c r="BE185" t="s">
        <v>2507</v>
      </c>
      <c r="BF185" t="str">
        <f>HYPERLINK("http://dx.doi.org/10.1016/j.ijpe.2022.108668","http://dx.doi.org/10.1016/j.ijpe.2022.108668")</f>
        <v>http://dx.doi.org/10.1016/j.ijpe.2022.108668</v>
      </c>
      <c r="BG185" t="s">
        <v>74</v>
      </c>
      <c r="BH185" t="s">
        <v>2368</v>
      </c>
      <c r="BI185">
        <v>18</v>
      </c>
      <c r="BJ185" t="s">
        <v>239</v>
      </c>
      <c r="BK185" t="s">
        <v>102</v>
      </c>
      <c r="BL185" t="s">
        <v>240</v>
      </c>
      <c r="BM185" t="s">
        <v>2508</v>
      </c>
      <c r="BN185" t="s">
        <v>74</v>
      </c>
      <c r="BO185" t="s">
        <v>74</v>
      </c>
      <c r="BP185" t="s">
        <v>74</v>
      </c>
      <c r="BQ185" t="s">
        <v>74</v>
      </c>
      <c r="BR185" t="s">
        <v>106</v>
      </c>
      <c r="BS185" t="s">
        <v>2509</v>
      </c>
      <c r="BT185" t="str">
        <f>HYPERLINK("https%3A%2F%2Fwww.webofscience.com%2Fwos%2Fwoscc%2Ffull-record%2FWOS:000905154500001","View Full Record in Web of Science")</f>
        <v>View Full Record in Web of Science</v>
      </c>
    </row>
    <row r="186" spans="1:72" x14ac:dyDescent="0.25">
      <c r="A186" t="s">
        <v>72</v>
      </c>
      <c r="B186" t="s">
        <v>2540</v>
      </c>
      <c r="C186" t="s">
        <v>74</v>
      </c>
      <c r="D186" t="s">
        <v>74</v>
      </c>
      <c r="E186" t="s">
        <v>74</v>
      </c>
      <c r="F186" t="s">
        <v>2541</v>
      </c>
      <c r="G186" t="s">
        <v>74</v>
      </c>
      <c r="H186" t="s">
        <v>74</v>
      </c>
      <c r="I186" s="1" t="s">
        <v>2542</v>
      </c>
      <c r="J186" t="s">
        <v>2543</v>
      </c>
      <c r="K186" t="s">
        <v>74</v>
      </c>
      <c r="L186" t="s">
        <v>74</v>
      </c>
      <c r="M186" t="s">
        <v>78</v>
      </c>
      <c r="N186" t="s">
        <v>79</v>
      </c>
      <c r="O186" t="s">
        <v>74</v>
      </c>
      <c r="P186" t="s">
        <v>74</v>
      </c>
      <c r="Q186" t="s">
        <v>74</v>
      </c>
      <c r="R186" t="s">
        <v>74</v>
      </c>
      <c r="S186" t="s">
        <v>74</v>
      </c>
      <c r="T186" s="1" t="s">
        <v>2544</v>
      </c>
      <c r="U186" s="1" t="s">
        <v>2545</v>
      </c>
      <c r="V186" s="1" t="s">
        <v>2546</v>
      </c>
      <c r="W186" t="s">
        <v>2547</v>
      </c>
      <c r="X186" t="s">
        <v>2548</v>
      </c>
      <c r="Y186" t="s">
        <v>2549</v>
      </c>
      <c r="Z186" t="s">
        <v>2550</v>
      </c>
      <c r="AA186" t="s">
        <v>2551</v>
      </c>
      <c r="AB186" t="s">
        <v>2552</v>
      </c>
      <c r="AC186" t="s">
        <v>74</v>
      </c>
      <c r="AD186" t="s">
        <v>74</v>
      </c>
      <c r="AE186" t="s">
        <v>74</v>
      </c>
      <c r="AF186" t="s">
        <v>74</v>
      </c>
      <c r="AG186">
        <v>163</v>
      </c>
      <c r="AH186">
        <v>7</v>
      </c>
      <c r="AI186">
        <v>7</v>
      </c>
      <c r="AJ186">
        <v>18</v>
      </c>
      <c r="AK186">
        <v>32</v>
      </c>
      <c r="AL186" t="s">
        <v>202</v>
      </c>
      <c r="AM186" t="s">
        <v>203</v>
      </c>
      <c r="AN186" t="s">
        <v>204</v>
      </c>
      <c r="AO186" t="s">
        <v>74</v>
      </c>
      <c r="AP186" t="s">
        <v>2553</v>
      </c>
      <c r="AQ186" t="s">
        <v>74</v>
      </c>
      <c r="AR186" t="s">
        <v>2543</v>
      </c>
      <c r="AS186" t="s">
        <v>2554</v>
      </c>
      <c r="AT186" t="s">
        <v>476</v>
      </c>
      <c r="AU186">
        <v>2022</v>
      </c>
      <c r="AV186">
        <v>11</v>
      </c>
      <c r="AW186">
        <v>12</v>
      </c>
      <c r="AX186" t="s">
        <v>74</v>
      </c>
      <c r="AY186" t="s">
        <v>74</v>
      </c>
      <c r="AZ186" t="s">
        <v>74</v>
      </c>
      <c r="BA186" t="s">
        <v>74</v>
      </c>
      <c r="BB186" t="s">
        <v>74</v>
      </c>
      <c r="BC186" t="s">
        <v>74</v>
      </c>
      <c r="BD186">
        <v>709</v>
      </c>
      <c r="BE186" t="s">
        <v>2555</v>
      </c>
      <c r="BF186" t="str">
        <f>HYPERLINK("http://dx.doi.org/10.3390/axioms11120709","http://dx.doi.org/10.3390/axioms11120709")</f>
        <v>http://dx.doi.org/10.3390/axioms11120709</v>
      </c>
      <c r="BG186" t="s">
        <v>74</v>
      </c>
      <c r="BH186" t="s">
        <v>74</v>
      </c>
      <c r="BI186">
        <v>25</v>
      </c>
      <c r="BJ186" t="s">
        <v>2556</v>
      </c>
      <c r="BK186" t="s">
        <v>102</v>
      </c>
      <c r="BL186" t="s">
        <v>2557</v>
      </c>
      <c r="BM186" t="s">
        <v>2558</v>
      </c>
      <c r="BN186" t="s">
        <v>74</v>
      </c>
      <c r="BO186" t="s">
        <v>186</v>
      </c>
      <c r="BP186" t="s">
        <v>74</v>
      </c>
      <c r="BQ186" t="s">
        <v>74</v>
      </c>
      <c r="BR186" t="s">
        <v>106</v>
      </c>
      <c r="BS186" t="s">
        <v>2559</v>
      </c>
      <c r="BT186" t="str">
        <f>HYPERLINK("https%3A%2F%2Fwww.webofscience.com%2Fwos%2Fwoscc%2Ffull-record%2FWOS:000900342400001","View Full Record in Web of Science")</f>
        <v>View Full Record in Web of Science</v>
      </c>
    </row>
    <row r="187" spans="1:72" x14ac:dyDescent="0.25">
      <c r="A187" t="s">
        <v>72</v>
      </c>
      <c r="B187" t="s">
        <v>3661</v>
      </c>
      <c r="C187" t="s">
        <v>74</v>
      </c>
      <c r="D187" t="s">
        <v>74</v>
      </c>
      <c r="E187" t="s">
        <v>74</v>
      </c>
      <c r="F187" t="s">
        <v>3662</v>
      </c>
      <c r="G187" t="s">
        <v>74</v>
      </c>
      <c r="H187" t="s">
        <v>74</v>
      </c>
      <c r="I187" s="1" t="s">
        <v>3663</v>
      </c>
      <c r="J187" t="s">
        <v>3664</v>
      </c>
      <c r="K187" t="s">
        <v>74</v>
      </c>
      <c r="L187" t="s">
        <v>74</v>
      </c>
      <c r="M187" t="s">
        <v>78</v>
      </c>
      <c r="N187" t="s">
        <v>112</v>
      </c>
      <c r="O187" t="s">
        <v>74</v>
      </c>
      <c r="P187" t="s">
        <v>74</v>
      </c>
      <c r="Q187" t="s">
        <v>74</v>
      </c>
      <c r="R187" t="s">
        <v>74</v>
      </c>
      <c r="S187" t="s">
        <v>74</v>
      </c>
      <c r="T187" s="1" t="s">
        <v>3665</v>
      </c>
      <c r="U187" s="1" t="s">
        <v>3666</v>
      </c>
      <c r="V187" s="1" t="s">
        <v>3667</v>
      </c>
      <c r="W187" t="s">
        <v>3668</v>
      </c>
      <c r="X187" t="s">
        <v>3669</v>
      </c>
      <c r="Y187" t="s">
        <v>3670</v>
      </c>
      <c r="Z187" t="s">
        <v>3671</v>
      </c>
      <c r="AA187" t="s">
        <v>3672</v>
      </c>
      <c r="AB187" t="s">
        <v>3673</v>
      </c>
      <c r="AC187" t="s">
        <v>74</v>
      </c>
      <c r="AD187" t="s">
        <v>74</v>
      </c>
      <c r="AE187" t="s">
        <v>74</v>
      </c>
      <c r="AF187" t="s">
        <v>74</v>
      </c>
      <c r="AG187">
        <v>71</v>
      </c>
      <c r="AH187">
        <v>7</v>
      </c>
      <c r="AI187">
        <v>7</v>
      </c>
      <c r="AJ187">
        <v>19</v>
      </c>
      <c r="AK187">
        <v>42</v>
      </c>
      <c r="AL187" t="s">
        <v>715</v>
      </c>
      <c r="AM187" t="s">
        <v>716</v>
      </c>
      <c r="AN187" t="s">
        <v>717</v>
      </c>
      <c r="AO187" t="s">
        <v>3674</v>
      </c>
      <c r="AP187" t="s">
        <v>3675</v>
      </c>
      <c r="AQ187" t="s">
        <v>74</v>
      </c>
      <c r="AR187" t="s">
        <v>3676</v>
      </c>
      <c r="AS187" t="s">
        <v>3677</v>
      </c>
      <c r="AT187" t="s">
        <v>3678</v>
      </c>
      <c r="AU187">
        <v>2022</v>
      </c>
      <c r="AV187" t="s">
        <v>74</v>
      </c>
      <c r="AW187" t="s">
        <v>74</v>
      </c>
      <c r="AX187" t="s">
        <v>74</v>
      </c>
      <c r="AY187" t="s">
        <v>74</v>
      </c>
      <c r="AZ187" t="s">
        <v>74</v>
      </c>
      <c r="BA187" t="s">
        <v>74</v>
      </c>
      <c r="BB187" t="s">
        <v>74</v>
      </c>
      <c r="BC187" t="s">
        <v>74</v>
      </c>
      <c r="BD187" t="s">
        <v>74</v>
      </c>
      <c r="BE187" t="s">
        <v>3679</v>
      </c>
      <c r="BF187" t="str">
        <f>HYPERLINK("http://dx.doi.org/10.1108/BIJ-12-2021-0782","http://dx.doi.org/10.1108/BIJ-12-2021-0782")</f>
        <v>http://dx.doi.org/10.1108/BIJ-12-2021-0782</v>
      </c>
      <c r="BG187" t="s">
        <v>74</v>
      </c>
      <c r="BH187" t="s">
        <v>3464</v>
      </c>
      <c r="BI187">
        <v>27</v>
      </c>
      <c r="BJ187" t="s">
        <v>315</v>
      </c>
      <c r="BK187" t="s">
        <v>183</v>
      </c>
      <c r="BL187" t="s">
        <v>265</v>
      </c>
      <c r="BM187" t="s">
        <v>3680</v>
      </c>
      <c r="BN187" t="s">
        <v>74</v>
      </c>
      <c r="BO187" t="s">
        <v>74</v>
      </c>
      <c r="BP187" t="s">
        <v>74</v>
      </c>
      <c r="BQ187" t="s">
        <v>74</v>
      </c>
      <c r="BR187" t="s">
        <v>106</v>
      </c>
      <c r="BS187" t="s">
        <v>3681</v>
      </c>
      <c r="BT187" t="str">
        <f>HYPERLINK("https%3A%2F%2Fwww.webofscience.com%2Fwos%2Fwoscc%2Ffull-record%2FWOS:000836281300001","View Full Record in Web of Science")</f>
        <v>View Full Record in Web of Science</v>
      </c>
    </row>
    <row r="188" spans="1:72" x14ac:dyDescent="0.25">
      <c r="A188" t="s">
        <v>72</v>
      </c>
      <c r="B188" t="s">
        <v>3733</v>
      </c>
      <c r="C188" t="s">
        <v>74</v>
      </c>
      <c r="D188" t="s">
        <v>74</v>
      </c>
      <c r="E188" t="s">
        <v>74</v>
      </c>
      <c r="F188" t="s">
        <v>3734</v>
      </c>
      <c r="G188" t="s">
        <v>74</v>
      </c>
      <c r="H188" t="s">
        <v>74</v>
      </c>
      <c r="I188" s="1" t="s">
        <v>3735</v>
      </c>
      <c r="J188" t="s">
        <v>1911</v>
      </c>
      <c r="K188" t="s">
        <v>74</v>
      </c>
      <c r="L188" t="s">
        <v>74</v>
      </c>
      <c r="M188" t="s">
        <v>78</v>
      </c>
      <c r="N188" t="s">
        <v>79</v>
      </c>
      <c r="O188" t="s">
        <v>74</v>
      </c>
      <c r="P188" t="s">
        <v>74</v>
      </c>
      <c r="Q188" t="s">
        <v>74</v>
      </c>
      <c r="R188" t="s">
        <v>74</v>
      </c>
      <c r="S188" t="s">
        <v>74</v>
      </c>
      <c r="T188" s="1" t="s">
        <v>3736</v>
      </c>
      <c r="U188" s="1" t="s">
        <v>3737</v>
      </c>
      <c r="V188" s="1" t="s">
        <v>3738</v>
      </c>
      <c r="W188" t="s">
        <v>3739</v>
      </c>
      <c r="X188" t="s">
        <v>3740</v>
      </c>
      <c r="Y188" t="s">
        <v>3741</v>
      </c>
      <c r="Z188" t="s">
        <v>3742</v>
      </c>
      <c r="AA188" t="s">
        <v>3743</v>
      </c>
      <c r="AB188" t="s">
        <v>3744</v>
      </c>
      <c r="AC188" t="s">
        <v>74</v>
      </c>
      <c r="AD188" t="s">
        <v>74</v>
      </c>
      <c r="AE188" t="s">
        <v>74</v>
      </c>
      <c r="AF188" t="s">
        <v>74</v>
      </c>
      <c r="AG188">
        <v>82</v>
      </c>
      <c r="AH188">
        <v>7</v>
      </c>
      <c r="AI188">
        <v>7</v>
      </c>
      <c r="AJ188">
        <v>5</v>
      </c>
      <c r="AK188">
        <v>23</v>
      </c>
      <c r="AL188" t="s">
        <v>1919</v>
      </c>
      <c r="AM188" t="s">
        <v>1920</v>
      </c>
      <c r="AN188" t="s">
        <v>1921</v>
      </c>
      <c r="AO188" t="s">
        <v>1922</v>
      </c>
      <c r="AP188" t="s">
        <v>1923</v>
      </c>
      <c r="AQ188" t="s">
        <v>74</v>
      </c>
      <c r="AR188" t="s">
        <v>1924</v>
      </c>
      <c r="AS188" t="s">
        <v>1925</v>
      </c>
      <c r="AT188" t="s">
        <v>1448</v>
      </c>
      <c r="AU188">
        <v>2022</v>
      </c>
      <c r="AV188">
        <v>26</v>
      </c>
      <c r="AW188">
        <v>3</v>
      </c>
      <c r="AX188" t="s">
        <v>74</v>
      </c>
      <c r="AY188" t="s">
        <v>74</v>
      </c>
      <c r="AZ188" t="s">
        <v>74</v>
      </c>
      <c r="BA188" t="s">
        <v>74</v>
      </c>
      <c r="BB188" t="s">
        <v>74</v>
      </c>
      <c r="BC188" t="s">
        <v>74</v>
      </c>
      <c r="BD188">
        <v>2240007</v>
      </c>
      <c r="BE188" t="s">
        <v>3745</v>
      </c>
      <c r="BF188" t="str">
        <f>HYPERLINK("http://dx.doi.org/10.1142/S1363919622400072","http://dx.doi.org/10.1142/S1363919622400072")</f>
        <v>http://dx.doi.org/10.1142/S1363919622400072</v>
      </c>
      <c r="BG188" t="s">
        <v>74</v>
      </c>
      <c r="BH188" t="s">
        <v>3746</v>
      </c>
      <c r="BI188">
        <v>34</v>
      </c>
      <c r="BJ188" t="s">
        <v>315</v>
      </c>
      <c r="BK188" t="s">
        <v>183</v>
      </c>
      <c r="BL188" t="s">
        <v>265</v>
      </c>
      <c r="BM188" t="s">
        <v>3659</v>
      </c>
      <c r="BN188" t="s">
        <v>74</v>
      </c>
      <c r="BO188" t="s">
        <v>74</v>
      </c>
      <c r="BP188" t="s">
        <v>74</v>
      </c>
      <c r="BQ188" t="s">
        <v>74</v>
      </c>
      <c r="BR188" t="s">
        <v>106</v>
      </c>
      <c r="BS188" t="s">
        <v>3747</v>
      </c>
      <c r="BT188" t="str">
        <f>HYPERLINK("https%3A%2F%2Fwww.webofscience.com%2Fwos%2Fwoscc%2Ffull-record%2FWOS:000848605600004","View Full Record in Web of Science")</f>
        <v>View Full Record in Web of Science</v>
      </c>
    </row>
    <row r="189" spans="1:72" x14ac:dyDescent="0.25">
      <c r="A189" t="s">
        <v>72</v>
      </c>
      <c r="B189" t="s">
        <v>6224</v>
      </c>
      <c r="C189" t="s">
        <v>74</v>
      </c>
      <c r="D189" t="s">
        <v>74</v>
      </c>
      <c r="E189" t="s">
        <v>74</v>
      </c>
      <c r="F189" t="s">
        <v>6225</v>
      </c>
      <c r="G189" t="s">
        <v>74</v>
      </c>
      <c r="H189" t="s">
        <v>74</v>
      </c>
      <c r="I189" s="1" t="s">
        <v>6226</v>
      </c>
      <c r="J189" t="s">
        <v>6227</v>
      </c>
      <c r="K189" t="s">
        <v>74</v>
      </c>
      <c r="L189" t="s">
        <v>74</v>
      </c>
      <c r="M189" t="s">
        <v>78</v>
      </c>
      <c r="N189" t="s">
        <v>79</v>
      </c>
      <c r="O189" t="s">
        <v>74</v>
      </c>
      <c r="P189" t="s">
        <v>74</v>
      </c>
      <c r="Q189" t="s">
        <v>74</v>
      </c>
      <c r="R189" t="s">
        <v>74</v>
      </c>
      <c r="S189" t="s">
        <v>74</v>
      </c>
      <c r="T189" s="1" t="s">
        <v>6228</v>
      </c>
      <c r="U189" s="1" t="s">
        <v>6229</v>
      </c>
      <c r="V189" s="1" t="s">
        <v>6230</v>
      </c>
      <c r="W189" t="s">
        <v>6231</v>
      </c>
      <c r="X189" t="s">
        <v>6232</v>
      </c>
      <c r="Y189" t="s">
        <v>6233</v>
      </c>
      <c r="Z189" t="s">
        <v>6234</v>
      </c>
      <c r="AA189" t="s">
        <v>74</v>
      </c>
      <c r="AB189" t="s">
        <v>74</v>
      </c>
      <c r="AC189" t="s">
        <v>74</v>
      </c>
      <c r="AD189" t="s">
        <v>74</v>
      </c>
      <c r="AE189" t="s">
        <v>74</v>
      </c>
      <c r="AF189" t="s">
        <v>74</v>
      </c>
      <c r="AG189">
        <v>67</v>
      </c>
      <c r="AH189">
        <v>7</v>
      </c>
      <c r="AI189">
        <v>7</v>
      </c>
      <c r="AJ189">
        <v>1</v>
      </c>
      <c r="AK189">
        <v>18</v>
      </c>
      <c r="AL189" t="s">
        <v>715</v>
      </c>
      <c r="AM189" t="s">
        <v>716</v>
      </c>
      <c r="AN189" t="s">
        <v>717</v>
      </c>
      <c r="AO189" t="s">
        <v>6235</v>
      </c>
      <c r="AP189" t="s">
        <v>6236</v>
      </c>
      <c r="AQ189" t="s">
        <v>74</v>
      </c>
      <c r="AR189" t="s">
        <v>6237</v>
      </c>
      <c r="AS189" t="s">
        <v>6238</v>
      </c>
      <c r="AT189" t="s">
        <v>5751</v>
      </c>
      <c r="AU189">
        <v>2022</v>
      </c>
      <c r="AV189">
        <v>23</v>
      </c>
      <c r="AW189">
        <v>5</v>
      </c>
      <c r="AX189" t="s">
        <v>74</v>
      </c>
      <c r="AY189" t="s">
        <v>74</v>
      </c>
      <c r="AZ189" t="s">
        <v>1020</v>
      </c>
      <c r="BA189" t="s">
        <v>74</v>
      </c>
      <c r="BB189">
        <v>934</v>
      </c>
      <c r="BC189">
        <v>949</v>
      </c>
      <c r="BD189" t="s">
        <v>74</v>
      </c>
      <c r="BE189" t="s">
        <v>6239</v>
      </c>
      <c r="BF189" t="str">
        <f>HYPERLINK("http://dx.doi.org/10.1108/IJSMS-02-2021-0032","http://dx.doi.org/10.1108/IJSMS-02-2021-0032")</f>
        <v>http://dx.doi.org/10.1108/IJSMS-02-2021-0032</v>
      </c>
      <c r="BG189" t="s">
        <v>74</v>
      </c>
      <c r="BH189" t="s">
        <v>6177</v>
      </c>
      <c r="BI189">
        <v>16</v>
      </c>
      <c r="BJ189" t="s">
        <v>4630</v>
      </c>
      <c r="BK189" t="s">
        <v>156</v>
      </c>
      <c r="BL189" t="s">
        <v>943</v>
      </c>
      <c r="BM189" t="s">
        <v>6240</v>
      </c>
      <c r="BN189" t="s">
        <v>74</v>
      </c>
      <c r="BO189" t="s">
        <v>74</v>
      </c>
      <c r="BP189" t="s">
        <v>74</v>
      </c>
      <c r="BQ189" t="s">
        <v>74</v>
      </c>
      <c r="BR189" t="s">
        <v>106</v>
      </c>
      <c r="BS189" t="s">
        <v>6241</v>
      </c>
      <c r="BT189" t="str">
        <f>HYPERLINK("https%3A%2F%2Fwww.webofscience.com%2Fwos%2Fwoscc%2Ffull-record%2FWOS:000663118500001","View Full Record in Web of Science")</f>
        <v>View Full Record in Web of Science</v>
      </c>
    </row>
    <row r="190" spans="1:72" x14ac:dyDescent="0.25">
      <c r="A190" t="s">
        <v>72</v>
      </c>
      <c r="B190" t="s">
        <v>8031</v>
      </c>
      <c r="C190" t="s">
        <v>74</v>
      </c>
      <c r="D190" t="s">
        <v>74</v>
      </c>
      <c r="E190" t="s">
        <v>74</v>
      </c>
      <c r="F190" t="s">
        <v>8032</v>
      </c>
      <c r="G190" t="s">
        <v>74</v>
      </c>
      <c r="H190" t="s">
        <v>74</v>
      </c>
      <c r="I190" s="1" t="s">
        <v>8033</v>
      </c>
      <c r="J190" t="s">
        <v>8034</v>
      </c>
      <c r="K190" t="s">
        <v>74</v>
      </c>
      <c r="L190" t="s">
        <v>74</v>
      </c>
      <c r="M190" t="s">
        <v>78</v>
      </c>
      <c r="N190" t="s">
        <v>79</v>
      </c>
      <c r="O190" t="s">
        <v>74</v>
      </c>
      <c r="P190" t="s">
        <v>74</v>
      </c>
      <c r="Q190" t="s">
        <v>74</v>
      </c>
      <c r="R190" t="s">
        <v>74</v>
      </c>
      <c r="S190" t="s">
        <v>74</v>
      </c>
      <c r="T190" s="1" t="s">
        <v>8035</v>
      </c>
      <c r="U190" s="1" t="s">
        <v>74</v>
      </c>
      <c r="V190" s="1" t="s">
        <v>8036</v>
      </c>
      <c r="W190" t="s">
        <v>8037</v>
      </c>
      <c r="X190" t="s">
        <v>8038</v>
      </c>
      <c r="Y190" t="s">
        <v>8039</v>
      </c>
      <c r="Z190" t="s">
        <v>8040</v>
      </c>
      <c r="AA190" t="s">
        <v>8041</v>
      </c>
      <c r="AB190" t="s">
        <v>8042</v>
      </c>
      <c r="AC190" t="s">
        <v>74</v>
      </c>
      <c r="AD190" t="s">
        <v>74</v>
      </c>
      <c r="AE190" t="s">
        <v>74</v>
      </c>
      <c r="AF190" t="s">
        <v>74</v>
      </c>
      <c r="AG190">
        <v>33</v>
      </c>
      <c r="AH190">
        <v>7</v>
      </c>
      <c r="AI190">
        <v>7</v>
      </c>
      <c r="AJ190">
        <v>6</v>
      </c>
      <c r="AK190">
        <v>33</v>
      </c>
      <c r="AL190" t="s">
        <v>492</v>
      </c>
      <c r="AM190" t="s">
        <v>493</v>
      </c>
      <c r="AN190" t="s">
        <v>494</v>
      </c>
      <c r="AO190" t="s">
        <v>8043</v>
      </c>
      <c r="AP190" t="s">
        <v>8044</v>
      </c>
      <c r="AQ190" t="s">
        <v>74</v>
      </c>
      <c r="AR190" t="s">
        <v>8045</v>
      </c>
      <c r="AS190" t="s">
        <v>8046</v>
      </c>
      <c r="AT190" t="s">
        <v>8047</v>
      </c>
      <c r="AU190">
        <v>2020</v>
      </c>
      <c r="AV190">
        <v>27</v>
      </c>
      <c r="AW190">
        <v>2</v>
      </c>
      <c r="AX190" t="s">
        <v>74</v>
      </c>
      <c r="AY190" t="s">
        <v>74</v>
      </c>
      <c r="AZ190" t="s">
        <v>74</v>
      </c>
      <c r="BA190" t="s">
        <v>74</v>
      </c>
      <c r="BB190">
        <v>175</v>
      </c>
      <c r="BC190">
        <v>186</v>
      </c>
      <c r="BD190" t="s">
        <v>74</v>
      </c>
      <c r="BE190" t="s">
        <v>8048</v>
      </c>
      <c r="BF190" t="str">
        <f>HYPERLINK("http://dx.doi.org/10.1080/1051712X.2020.1748377","http://dx.doi.org/10.1080/1051712X.2020.1748377")</f>
        <v>http://dx.doi.org/10.1080/1051712X.2020.1748377</v>
      </c>
      <c r="BG190" t="s">
        <v>74</v>
      </c>
      <c r="BH190" t="s">
        <v>74</v>
      </c>
      <c r="BI190">
        <v>12</v>
      </c>
      <c r="BJ190" t="s">
        <v>1023</v>
      </c>
      <c r="BK190" t="s">
        <v>156</v>
      </c>
      <c r="BL190" t="s">
        <v>265</v>
      </c>
      <c r="BM190" t="s">
        <v>8049</v>
      </c>
      <c r="BN190" t="s">
        <v>74</v>
      </c>
      <c r="BO190" t="s">
        <v>74</v>
      </c>
      <c r="BP190" t="s">
        <v>74</v>
      </c>
      <c r="BQ190" t="s">
        <v>74</v>
      </c>
      <c r="BR190" t="s">
        <v>106</v>
      </c>
      <c r="BS190" t="s">
        <v>8050</v>
      </c>
      <c r="BT190" t="str">
        <f>HYPERLINK("https%3A%2F%2Fwww.webofscience.com%2Fwos%2Fwoscc%2Ffull-record%2FWOS:000532587300005","View Full Record in Web of Science")</f>
        <v>View Full Record in Web of Science</v>
      </c>
    </row>
    <row r="191" spans="1:72" x14ac:dyDescent="0.25">
      <c r="A191" t="s">
        <v>72</v>
      </c>
      <c r="B191" t="s">
        <v>8070</v>
      </c>
      <c r="C191" t="s">
        <v>74</v>
      </c>
      <c r="D191" t="s">
        <v>74</v>
      </c>
      <c r="E191" t="s">
        <v>74</v>
      </c>
      <c r="F191" t="s">
        <v>8071</v>
      </c>
      <c r="G191" t="s">
        <v>74</v>
      </c>
      <c r="H191" t="s">
        <v>74</v>
      </c>
      <c r="I191" s="1" t="s">
        <v>8072</v>
      </c>
      <c r="J191" t="s">
        <v>2969</v>
      </c>
      <c r="K191" t="s">
        <v>74</v>
      </c>
      <c r="L191" t="s">
        <v>74</v>
      </c>
      <c r="M191" t="s">
        <v>78</v>
      </c>
      <c r="N191" t="s">
        <v>79</v>
      </c>
      <c r="O191" t="s">
        <v>74</v>
      </c>
      <c r="P191" t="s">
        <v>74</v>
      </c>
      <c r="Q191" t="s">
        <v>74</v>
      </c>
      <c r="R191" t="s">
        <v>74</v>
      </c>
      <c r="S191" t="s">
        <v>74</v>
      </c>
      <c r="T191" s="1" t="s">
        <v>8073</v>
      </c>
      <c r="U191" s="1" t="s">
        <v>8074</v>
      </c>
      <c r="V191" s="1" t="s">
        <v>8075</v>
      </c>
      <c r="W191" t="s">
        <v>8076</v>
      </c>
      <c r="X191" t="s">
        <v>8077</v>
      </c>
      <c r="Y191" t="s">
        <v>8078</v>
      </c>
      <c r="Z191" t="s">
        <v>8079</v>
      </c>
      <c r="AA191" t="s">
        <v>74</v>
      </c>
      <c r="AB191" t="s">
        <v>8080</v>
      </c>
      <c r="AC191" t="s">
        <v>8081</v>
      </c>
      <c r="AD191" t="s">
        <v>8082</v>
      </c>
      <c r="AE191" t="s">
        <v>8083</v>
      </c>
      <c r="AF191" t="s">
        <v>74</v>
      </c>
      <c r="AG191">
        <v>37</v>
      </c>
      <c r="AH191">
        <v>7</v>
      </c>
      <c r="AI191">
        <v>7</v>
      </c>
      <c r="AJ191">
        <v>1</v>
      </c>
      <c r="AK191">
        <v>7</v>
      </c>
      <c r="AL191" t="s">
        <v>202</v>
      </c>
      <c r="AM191" t="s">
        <v>203</v>
      </c>
      <c r="AN191" t="s">
        <v>204</v>
      </c>
      <c r="AO191" t="s">
        <v>74</v>
      </c>
      <c r="AP191" t="s">
        <v>2978</v>
      </c>
      <c r="AQ191" t="s">
        <v>74</v>
      </c>
      <c r="AR191" t="s">
        <v>2979</v>
      </c>
      <c r="AS191" t="s">
        <v>2980</v>
      </c>
      <c r="AT191" t="s">
        <v>1448</v>
      </c>
      <c r="AU191">
        <v>2020</v>
      </c>
      <c r="AV191">
        <v>10</v>
      </c>
      <c r="AW191">
        <v>4</v>
      </c>
      <c r="AX191" t="s">
        <v>74</v>
      </c>
      <c r="AY191" t="s">
        <v>74</v>
      </c>
      <c r="AZ191" t="s">
        <v>74</v>
      </c>
      <c r="BA191" t="s">
        <v>74</v>
      </c>
      <c r="BB191" t="s">
        <v>74</v>
      </c>
      <c r="BC191" t="s">
        <v>74</v>
      </c>
      <c r="BD191">
        <v>99</v>
      </c>
      <c r="BE191" t="s">
        <v>8084</v>
      </c>
      <c r="BF191" t="str">
        <f>HYPERLINK("http://dx.doi.org/10.3390/educsci10040099","http://dx.doi.org/10.3390/educsci10040099")</f>
        <v>http://dx.doi.org/10.3390/educsci10040099</v>
      </c>
      <c r="BG191" t="s">
        <v>74</v>
      </c>
      <c r="BH191" t="s">
        <v>74</v>
      </c>
      <c r="BI191">
        <v>24</v>
      </c>
      <c r="BJ191" t="s">
        <v>1326</v>
      </c>
      <c r="BK191" t="s">
        <v>183</v>
      </c>
      <c r="BL191" t="s">
        <v>1326</v>
      </c>
      <c r="BM191" t="s">
        <v>8085</v>
      </c>
      <c r="BN191" t="s">
        <v>74</v>
      </c>
      <c r="BO191" t="s">
        <v>614</v>
      </c>
      <c r="BP191" t="s">
        <v>74</v>
      </c>
      <c r="BQ191" t="s">
        <v>74</v>
      </c>
      <c r="BR191" t="s">
        <v>106</v>
      </c>
      <c r="BS191" t="s">
        <v>8086</v>
      </c>
      <c r="BT191" t="str">
        <f>HYPERLINK("https%3A%2F%2Fwww.webofscience.com%2Fwos%2Fwoscc%2Ffull-record%2FWOS:000533889600029","View Full Record in Web of Science")</f>
        <v>View Full Record in Web of Science</v>
      </c>
    </row>
    <row r="192" spans="1:72" x14ac:dyDescent="0.25">
      <c r="A192" t="s">
        <v>72</v>
      </c>
      <c r="B192" t="s">
        <v>8393</v>
      </c>
      <c r="C192" t="s">
        <v>74</v>
      </c>
      <c r="D192" t="s">
        <v>74</v>
      </c>
      <c r="E192" t="s">
        <v>74</v>
      </c>
      <c r="F192" t="s">
        <v>8394</v>
      </c>
      <c r="G192" t="s">
        <v>74</v>
      </c>
      <c r="H192" t="s">
        <v>74</v>
      </c>
      <c r="I192" s="1" t="s">
        <v>8395</v>
      </c>
      <c r="J192" t="s">
        <v>4969</v>
      </c>
      <c r="K192" t="s">
        <v>74</v>
      </c>
      <c r="L192" t="s">
        <v>74</v>
      </c>
      <c r="M192" t="s">
        <v>78</v>
      </c>
      <c r="N192" t="s">
        <v>79</v>
      </c>
      <c r="O192" t="s">
        <v>74</v>
      </c>
      <c r="P192" t="s">
        <v>74</v>
      </c>
      <c r="Q192" t="s">
        <v>74</v>
      </c>
      <c r="R192" t="s">
        <v>74</v>
      </c>
      <c r="S192" t="s">
        <v>74</v>
      </c>
      <c r="T192" s="1" t="s">
        <v>8396</v>
      </c>
      <c r="U192" s="1" t="s">
        <v>74</v>
      </c>
      <c r="V192" s="1" t="s">
        <v>8397</v>
      </c>
      <c r="W192" t="s">
        <v>8398</v>
      </c>
      <c r="X192" t="s">
        <v>8399</v>
      </c>
      <c r="Y192" t="s">
        <v>8400</v>
      </c>
      <c r="Z192" t="s">
        <v>8401</v>
      </c>
      <c r="AA192" t="s">
        <v>74</v>
      </c>
      <c r="AB192" t="s">
        <v>74</v>
      </c>
      <c r="AC192" t="s">
        <v>74</v>
      </c>
      <c r="AD192" t="s">
        <v>74</v>
      </c>
      <c r="AE192" t="s">
        <v>74</v>
      </c>
      <c r="AF192" t="s">
        <v>74</v>
      </c>
      <c r="AG192">
        <v>39</v>
      </c>
      <c r="AH192">
        <v>7</v>
      </c>
      <c r="AI192">
        <v>7</v>
      </c>
      <c r="AJ192">
        <v>0</v>
      </c>
      <c r="AK192">
        <v>9</v>
      </c>
      <c r="AL192" t="s">
        <v>4977</v>
      </c>
      <c r="AM192" t="s">
        <v>4978</v>
      </c>
      <c r="AN192" t="s">
        <v>4979</v>
      </c>
      <c r="AO192" t="s">
        <v>4980</v>
      </c>
      <c r="AP192" t="s">
        <v>74</v>
      </c>
      <c r="AQ192" t="s">
        <v>74</v>
      </c>
      <c r="AR192" t="s">
        <v>4981</v>
      </c>
      <c r="AS192" t="s">
        <v>4982</v>
      </c>
      <c r="AT192" t="s">
        <v>74</v>
      </c>
      <c r="AU192">
        <v>2020</v>
      </c>
      <c r="AV192">
        <v>14</v>
      </c>
      <c r="AW192" t="s">
        <v>74</v>
      </c>
      <c r="AX192" t="s">
        <v>74</v>
      </c>
      <c r="AY192" t="s">
        <v>74</v>
      </c>
      <c r="AZ192" t="s">
        <v>74</v>
      </c>
      <c r="BA192" t="s">
        <v>74</v>
      </c>
      <c r="BB192">
        <v>1888</v>
      </c>
      <c r="BC192">
        <v>1910</v>
      </c>
      <c r="BD192" t="s">
        <v>74</v>
      </c>
      <c r="BE192" t="s">
        <v>74</v>
      </c>
      <c r="BF192" t="s">
        <v>74</v>
      </c>
      <c r="BG192" t="s">
        <v>74</v>
      </c>
      <c r="BH192" t="s">
        <v>74</v>
      </c>
      <c r="BI192">
        <v>23</v>
      </c>
      <c r="BJ192" t="s">
        <v>2218</v>
      </c>
      <c r="BK192" t="s">
        <v>156</v>
      </c>
      <c r="BL192" t="s">
        <v>2218</v>
      </c>
      <c r="BM192" t="s">
        <v>8402</v>
      </c>
      <c r="BN192" t="s">
        <v>74</v>
      </c>
      <c r="BO192" t="s">
        <v>74</v>
      </c>
      <c r="BP192" t="s">
        <v>74</v>
      </c>
      <c r="BQ192" t="s">
        <v>74</v>
      </c>
      <c r="BR192" t="s">
        <v>106</v>
      </c>
      <c r="BS192" t="s">
        <v>8403</v>
      </c>
      <c r="BT192" t="str">
        <f>HYPERLINK("https%3A%2F%2Fwww.webofscience.com%2Fwos%2Fwoscc%2Ffull-record%2FWOS:000525770900008","View Full Record in Web of Science")</f>
        <v>View Full Record in Web of Science</v>
      </c>
    </row>
    <row r="193" spans="1:72" x14ac:dyDescent="0.25">
      <c r="A193" t="s">
        <v>72</v>
      </c>
      <c r="B193" t="s">
        <v>9088</v>
      </c>
      <c r="C193" t="s">
        <v>74</v>
      </c>
      <c r="D193" t="s">
        <v>74</v>
      </c>
      <c r="E193" t="s">
        <v>74</v>
      </c>
      <c r="F193" t="s">
        <v>9089</v>
      </c>
      <c r="G193" t="s">
        <v>74</v>
      </c>
      <c r="H193" t="s">
        <v>74</v>
      </c>
      <c r="I193" s="1" t="s">
        <v>9090</v>
      </c>
      <c r="J193" t="s">
        <v>9091</v>
      </c>
      <c r="K193" t="s">
        <v>74</v>
      </c>
      <c r="L193" t="s">
        <v>74</v>
      </c>
      <c r="M193" t="s">
        <v>1030</v>
      </c>
      <c r="N193" t="s">
        <v>79</v>
      </c>
      <c r="O193" t="s">
        <v>74</v>
      </c>
      <c r="P193" t="s">
        <v>74</v>
      </c>
      <c r="Q193" t="s">
        <v>74</v>
      </c>
      <c r="R193" t="s">
        <v>74</v>
      </c>
      <c r="S193" t="s">
        <v>74</v>
      </c>
      <c r="T193" s="1" t="s">
        <v>9092</v>
      </c>
      <c r="U193" s="1" t="s">
        <v>9093</v>
      </c>
      <c r="V193" s="1" t="s">
        <v>9094</v>
      </c>
      <c r="W193" t="s">
        <v>9095</v>
      </c>
      <c r="X193" t="s">
        <v>9096</v>
      </c>
      <c r="Y193" t="s">
        <v>9097</v>
      </c>
      <c r="Z193" t="s">
        <v>9098</v>
      </c>
      <c r="AA193" t="s">
        <v>9099</v>
      </c>
      <c r="AB193" t="s">
        <v>9100</v>
      </c>
      <c r="AC193" t="s">
        <v>74</v>
      </c>
      <c r="AD193" t="s">
        <v>74</v>
      </c>
      <c r="AE193" t="s">
        <v>74</v>
      </c>
      <c r="AF193" t="s">
        <v>74</v>
      </c>
      <c r="AG193">
        <v>25</v>
      </c>
      <c r="AH193">
        <v>7</v>
      </c>
      <c r="AI193">
        <v>7</v>
      </c>
      <c r="AJ193">
        <v>0</v>
      </c>
      <c r="AK193">
        <v>6</v>
      </c>
      <c r="AL193" t="s">
        <v>644</v>
      </c>
      <c r="AM193" t="s">
        <v>645</v>
      </c>
      <c r="AN193" t="s">
        <v>646</v>
      </c>
      <c r="AO193" t="s">
        <v>9101</v>
      </c>
      <c r="AP193" t="s">
        <v>9102</v>
      </c>
      <c r="AQ193" t="s">
        <v>74</v>
      </c>
      <c r="AR193" t="s">
        <v>9103</v>
      </c>
      <c r="AS193" t="s">
        <v>9104</v>
      </c>
      <c r="AT193" t="s">
        <v>1448</v>
      </c>
      <c r="AU193">
        <v>2019</v>
      </c>
      <c r="AV193">
        <v>144</v>
      </c>
      <c r="AW193">
        <v>7</v>
      </c>
      <c r="AX193" t="s">
        <v>74</v>
      </c>
      <c r="AY193" t="s">
        <v>74</v>
      </c>
      <c r="AZ193" t="s">
        <v>74</v>
      </c>
      <c r="BA193" t="s">
        <v>74</v>
      </c>
      <c r="BB193">
        <v>464</v>
      </c>
      <c r="BC193">
        <v>469</v>
      </c>
      <c r="BD193" t="s">
        <v>74</v>
      </c>
      <c r="BE193" t="s">
        <v>9105</v>
      </c>
      <c r="BF193" t="str">
        <f>HYPERLINK("http://dx.doi.org/10.1055/a-0740-8773","http://dx.doi.org/10.1055/a-0740-8773")</f>
        <v>http://dx.doi.org/10.1055/a-0740-8773</v>
      </c>
      <c r="BG193" t="s">
        <v>74</v>
      </c>
      <c r="BH193" t="s">
        <v>74</v>
      </c>
      <c r="BI193">
        <v>6</v>
      </c>
      <c r="BJ193" t="s">
        <v>840</v>
      </c>
      <c r="BK193" t="s">
        <v>102</v>
      </c>
      <c r="BL193" t="s">
        <v>841</v>
      </c>
      <c r="BM193" t="s">
        <v>9106</v>
      </c>
      <c r="BN193">
        <v>30925601</v>
      </c>
      <c r="BO193" t="s">
        <v>74</v>
      </c>
      <c r="BP193" t="s">
        <v>74</v>
      </c>
      <c r="BQ193" t="s">
        <v>74</v>
      </c>
      <c r="BR193" t="s">
        <v>106</v>
      </c>
      <c r="BS193" t="s">
        <v>9107</v>
      </c>
      <c r="BT193" t="str">
        <f>HYPERLINK("https%3A%2F%2Fwww.webofscience.com%2Fwos%2Fwoscc%2Ffull-record%2FWOS:000463608100008","View Full Record in Web of Science")</f>
        <v>View Full Record in Web of Science</v>
      </c>
    </row>
    <row r="194" spans="1:72" x14ac:dyDescent="0.25">
      <c r="A194" t="s">
        <v>72</v>
      </c>
      <c r="B194" t="s">
        <v>9545</v>
      </c>
      <c r="C194" t="s">
        <v>74</v>
      </c>
      <c r="D194" t="s">
        <v>74</v>
      </c>
      <c r="E194" t="s">
        <v>74</v>
      </c>
      <c r="F194" t="s">
        <v>9546</v>
      </c>
      <c r="G194" t="s">
        <v>74</v>
      </c>
      <c r="H194" t="s">
        <v>74</v>
      </c>
      <c r="I194" s="1" t="s">
        <v>9547</v>
      </c>
      <c r="J194" t="s">
        <v>9548</v>
      </c>
      <c r="K194" t="s">
        <v>74</v>
      </c>
      <c r="L194" t="s">
        <v>74</v>
      </c>
      <c r="M194" t="s">
        <v>78</v>
      </c>
      <c r="N194" t="s">
        <v>79</v>
      </c>
      <c r="O194" t="s">
        <v>74</v>
      </c>
      <c r="P194" t="s">
        <v>74</v>
      </c>
      <c r="Q194" t="s">
        <v>74</v>
      </c>
      <c r="R194" t="s">
        <v>74</v>
      </c>
      <c r="S194" t="s">
        <v>74</v>
      </c>
      <c r="T194" s="1" t="s">
        <v>9549</v>
      </c>
      <c r="U194" s="1" t="s">
        <v>9550</v>
      </c>
      <c r="V194" s="1" t="s">
        <v>9551</v>
      </c>
      <c r="W194" t="s">
        <v>9552</v>
      </c>
      <c r="X194" t="s">
        <v>9553</v>
      </c>
      <c r="Y194" t="s">
        <v>9554</v>
      </c>
      <c r="Z194" t="s">
        <v>9555</v>
      </c>
      <c r="AA194" t="s">
        <v>9556</v>
      </c>
      <c r="AB194" t="s">
        <v>9557</v>
      </c>
      <c r="AC194" t="s">
        <v>74</v>
      </c>
      <c r="AD194" t="s">
        <v>74</v>
      </c>
      <c r="AE194" t="s">
        <v>74</v>
      </c>
      <c r="AF194" t="s">
        <v>74</v>
      </c>
      <c r="AG194">
        <v>150</v>
      </c>
      <c r="AH194">
        <v>7</v>
      </c>
      <c r="AI194">
        <v>8</v>
      </c>
      <c r="AJ194">
        <v>2</v>
      </c>
      <c r="AK194">
        <v>11</v>
      </c>
      <c r="AL194" t="s">
        <v>9558</v>
      </c>
      <c r="AM194" t="s">
        <v>232</v>
      </c>
      <c r="AN194" t="s">
        <v>9559</v>
      </c>
      <c r="AO194" t="s">
        <v>9560</v>
      </c>
      <c r="AP194" t="s">
        <v>9561</v>
      </c>
      <c r="AQ194" t="s">
        <v>74</v>
      </c>
      <c r="AR194" t="s">
        <v>9562</v>
      </c>
      <c r="AS194" t="s">
        <v>9563</v>
      </c>
      <c r="AT194" t="s">
        <v>74</v>
      </c>
      <c r="AU194">
        <v>2019</v>
      </c>
      <c r="AV194">
        <v>24</v>
      </c>
      <c r="AW194">
        <v>3</v>
      </c>
      <c r="AX194" t="s">
        <v>74</v>
      </c>
      <c r="AY194" t="s">
        <v>74</v>
      </c>
      <c r="AZ194" t="s">
        <v>74</v>
      </c>
      <c r="BA194" t="s">
        <v>74</v>
      </c>
      <c r="BB194">
        <v>305</v>
      </c>
      <c r="BC194">
        <v>324</v>
      </c>
      <c r="BD194" t="s">
        <v>74</v>
      </c>
      <c r="BE194" t="s">
        <v>9564</v>
      </c>
      <c r="BF194" t="str">
        <f>HYPERLINK("http://dx.doi.org/10.3233/IP-190129","http://dx.doi.org/10.3233/IP-190129")</f>
        <v>http://dx.doi.org/10.3233/IP-190129</v>
      </c>
      <c r="BG194" t="s">
        <v>74</v>
      </c>
      <c r="BH194" t="s">
        <v>74</v>
      </c>
      <c r="BI194">
        <v>20</v>
      </c>
      <c r="BJ194" t="s">
        <v>3050</v>
      </c>
      <c r="BK194" t="s">
        <v>183</v>
      </c>
      <c r="BL194" t="s">
        <v>3050</v>
      </c>
      <c r="BM194" t="s">
        <v>9565</v>
      </c>
      <c r="BN194" t="s">
        <v>74</v>
      </c>
      <c r="BO194" t="s">
        <v>74</v>
      </c>
      <c r="BP194" t="s">
        <v>74</v>
      </c>
      <c r="BQ194" t="s">
        <v>74</v>
      </c>
      <c r="BR194" t="s">
        <v>106</v>
      </c>
      <c r="BS194" t="s">
        <v>9566</v>
      </c>
      <c r="BT194" t="str">
        <f>HYPERLINK("https%3A%2F%2Fwww.webofscience.com%2Fwos%2Fwoscc%2Ffull-record%2FWOS:000484819400006","View Full Record in Web of Science")</f>
        <v>View Full Record in Web of Science</v>
      </c>
    </row>
    <row r="195" spans="1:72" x14ac:dyDescent="0.25">
      <c r="A195" t="s">
        <v>72</v>
      </c>
      <c r="B195" t="s">
        <v>9676</v>
      </c>
      <c r="C195" t="s">
        <v>74</v>
      </c>
      <c r="D195" t="s">
        <v>74</v>
      </c>
      <c r="E195" t="s">
        <v>74</v>
      </c>
      <c r="F195" t="s">
        <v>9677</v>
      </c>
      <c r="G195" t="s">
        <v>74</v>
      </c>
      <c r="H195" t="s">
        <v>74</v>
      </c>
      <c r="I195" s="1" t="s">
        <v>9678</v>
      </c>
      <c r="J195" t="s">
        <v>9679</v>
      </c>
      <c r="K195" t="s">
        <v>74</v>
      </c>
      <c r="L195" t="s">
        <v>74</v>
      </c>
      <c r="M195" t="s">
        <v>78</v>
      </c>
      <c r="N195" t="s">
        <v>79</v>
      </c>
      <c r="O195" t="s">
        <v>74</v>
      </c>
      <c r="P195" t="s">
        <v>74</v>
      </c>
      <c r="Q195" t="s">
        <v>74</v>
      </c>
      <c r="R195" t="s">
        <v>74</v>
      </c>
      <c r="S195" t="s">
        <v>74</v>
      </c>
      <c r="T195" s="1" t="s">
        <v>9680</v>
      </c>
      <c r="U195" s="1" t="s">
        <v>9681</v>
      </c>
      <c r="V195" s="1" t="s">
        <v>9682</v>
      </c>
      <c r="W195" t="s">
        <v>9683</v>
      </c>
      <c r="X195" t="s">
        <v>9684</v>
      </c>
      <c r="Y195" t="s">
        <v>9685</v>
      </c>
      <c r="Z195" t="s">
        <v>9686</v>
      </c>
      <c r="AA195" t="s">
        <v>9687</v>
      </c>
      <c r="AB195" t="s">
        <v>9688</v>
      </c>
      <c r="AC195" t="s">
        <v>9689</v>
      </c>
      <c r="AD195" t="s">
        <v>9689</v>
      </c>
      <c r="AE195" t="s">
        <v>9690</v>
      </c>
      <c r="AF195" t="s">
        <v>74</v>
      </c>
      <c r="AG195">
        <v>55</v>
      </c>
      <c r="AH195">
        <v>7</v>
      </c>
      <c r="AI195">
        <v>7</v>
      </c>
      <c r="AJ195">
        <v>0</v>
      </c>
      <c r="AK195">
        <v>20</v>
      </c>
      <c r="AL195" t="s">
        <v>146</v>
      </c>
      <c r="AM195" t="s">
        <v>147</v>
      </c>
      <c r="AN195" t="s">
        <v>148</v>
      </c>
      <c r="AO195" t="s">
        <v>9691</v>
      </c>
      <c r="AP195" t="s">
        <v>9692</v>
      </c>
      <c r="AQ195" t="s">
        <v>74</v>
      </c>
      <c r="AR195" t="s">
        <v>9693</v>
      </c>
      <c r="AS195" t="s">
        <v>9694</v>
      </c>
      <c r="AT195" t="s">
        <v>208</v>
      </c>
      <c r="AU195">
        <v>2018</v>
      </c>
      <c r="AV195">
        <v>35</v>
      </c>
      <c r="AW195">
        <v>5</v>
      </c>
      <c r="AX195" t="s">
        <v>74</v>
      </c>
      <c r="AY195" t="s">
        <v>74</v>
      </c>
      <c r="AZ195" t="s">
        <v>1020</v>
      </c>
      <c r="BA195" t="s">
        <v>74</v>
      </c>
      <c r="BB195" t="s">
        <v>74</v>
      </c>
      <c r="BC195" t="s">
        <v>74</v>
      </c>
      <c r="BD195" t="s">
        <v>9695</v>
      </c>
      <c r="BE195" t="s">
        <v>9696</v>
      </c>
      <c r="BF195" t="str">
        <f>HYPERLINK("http://dx.doi.org/10.1111/exsy.12259","http://dx.doi.org/10.1111/exsy.12259")</f>
        <v>http://dx.doi.org/10.1111/exsy.12259</v>
      </c>
      <c r="BG195" t="s">
        <v>74</v>
      </c>
      <c r="BH195" t="s">
        <v>74</v>
      </c>
      <c r="BI195">
        <v>12</v>
      </c>
      <c r="BJ195" t="s">
        <v>9697</v>
      </c>
      <c r="BK195" t="s">
        <v>102</v>
      </c>
      <c r="BL195" t="s">
        <v>399</v>
      </c>
      <c r="BM195" t="s">
        <v>9698</v>
      </c>
      <c r="BN195" t="s">
        <v>74</v>
      </c>
      <c r="BO195" t="s">
        <v>74</v>
      </c>
      <c r="BP195" t="s">
        <v>74</v>
      </c>
      <c r="BQ195" t="s">
        <v>74</v>
      </c>
      <c r="BR195" t="s">
        <v>106</v>
      </c>
      <c r="BS195" t="s">
        <v>9699</v>
      </c>
      <c r="BT195" t="str">
        <f>HYPERLINK("https%3A%2F%2Fwww.webofscience.com%2Fwos%2Fwoscc%2Ffull-record%2FWOS:000446560700001","View Full Record in Web of Science")</f>
        <v>View Full Record in Web of Science</v>
      </c>
    </row>
    <row r="196" spans="1:72" x14ac:dyDescent="0.25">
      <c r="A196" t="s">
        <v>72</v>
      </c>
      <c r="B196" t="s">
        <v>10202</v>
      </c>
      <c r="C196" t="s">
        <v>74</v>
      </c>
      <c r="D196" t="s">
        <v>74</v>
      </c>
      <c r="E196" t="s">
        <v>74</v>
      </c>
      <c r="F196" t="s">
        <v>10203</v>
      </c>
      <c r="G196" t="s">
        <v>74</v>
      </c>
      <c r="H196" t="s">
        <v>74</v>
      </c>
      <c r="I196" s="1" t="s">
        <v>10204</v>
      </c>
      <c r="J196" t="s">
        <v>10205</v>
      </c>
      <c r="K196" t="s">
        <v>74</v>
      </c>
      <c r="L196" t="s">
        <v>74</v>
      </c>
      <c r="M196" t="s">
        <v>78</v>
      </c>
      <c r="N196" t="s">
        <v>79</v>
      </c>
      <c r="O196" t="s">
        <v>74</v>
      </c>
      <c r="P196" t="s">
        <v>74</v>
      </c>
      <c r="Q196" t="s">
        <v>74</v>
      </c>
      <c r="R196" t="s">
        <v>74</v>
      </c>
      <c r="S196" t="s">
        <v>74</v>
      </c>
      <c r="T196" s="1" t="s">
        <v>74</v>
      </c>
      <c r="U196" s="1" t="s">
        <v>10206</v>
      </c>
      <c r="V196" s="1" t="s">
        <v>10207</v>
      </c>
      <c r="W196" t="s">
        <v>10208</v>
      </c>
      <c r="X196" t="s">
        <v>10209</v>
      </c>
      <c r="Y196" t="s">
        <v>10210</v>
      </c>
      <c r="Z196" t="s">
        <v>10211</v>
      </c>
      <c r="AA196" t="s">
        <v>10212</v>
      </c>
      <c r="AB196" t="s">
        <v>10213</v>
      </c>
      <c r="AC196" t="s">
        <v>10214</v>
      </c>
      <c r="AD196" t="s">
        <v>10214</v>
      </c>
      <c r="AE196" t="s">
        <v>10215</v>
      </c>
      <c r="AF196" t="s">
        <v>74</v>
      </c>
      <c r="AG196">
        <v>37</v>
      </c>
      <c r="AH196">
        <v>7</v>
      </c>
      <c r="AI196">
        <v>8</v>
      </c>
      <c r="AJ196">
        <v>1</v>
      </c>
      <c r="AK196">
        <v>1</v>
      </c>
      <c r="AL196" t="s">
        <v>3146</v>
      </c>
      <c r="AM196" t="s">
        <v>175</v>
      </c>
      <c r="AN196" t="s">
        <v>3147</v>
      </c>
      <c r="AO196" t="s">
        <v>10216</v>
      </c>
      <c r="AP196" t="s">
        <v>10217</v>
      </c>
      <c r="AQ196" t="s">
        <v>74</v>
      </c>
      <c r="AR196" t="s">
        <v>10218</v>
      </c>
      <c r="AS196" t="s">
        <v>10219</v>
      </c>
      <c r="AT196" t="s">
        <v>74</v>
      </c>
      <c r="AU196">
        <v>2018</v>
      </c>
      <c r="AV196">
        <v>2018</v>
      </c>
      <c r="AW196" t="s">
        <v>74</v>
      </c>
      <c r="AX196" t="s">
        <v>74</v>
      </c>
      <c r="AY196" t="s">
        <v>74</v>
      </c>
      <c r="AZ196" t="s">
        <v>74</v>
      </c>
      <c r="BA196" t="s">
        <v>74</v>
      </c>
      <c r="BB196" t="s">
        <v>74</v>
      </c>
      <c r="BC196" t="s">
        <v>74</v>
      </c>
      <c r="BD196">
        <v>6241856</v>
      </c>
      <c r="BE196" t="s">
        <v>10220</v>
      </c>
      <c r="BF196" t="str">
        <f>HYPERLINK("http://dx.doi.org/10.1155/2018/6241856","http://dx.doi.org/10.1155/2018/6241856")</f>
        <v>http://dx.doi.org/10.1155/2018/6241856</v>
      </c>
      <c r="BG196" t="s">
        <v>74</v>
      </c>
      <c r="BH196" t="s">
        <v>74</v>
      </c>
      <c r="BI196">
        <v>12</v>
      </c>
      <c r="BJ196" t="s">
        <v>612</v>
      </c>
      <c r="BK196" t="s">
        <v>102</v>
      </c>
      <c r="BL196" t="s">
        <v>612</v>
      </c>
      <c r="BM196" t="s">
        <v>10221</v>
      </c>
      <c r="BN196">
        <v>30581549</v>
      </c>
      <c r="BO196" t="s">
        <v>10222</v>
      </c>
      <c r="BP196" t="s">
        <v>74</v>
      </c>
      <c r="BQ196" t="s">
        <v>74</v>
      </c>
      <c r="BR196" t="s">
        <v>106</v>
      </c>
      <c r="BS196" t="s">
        <v>10223</v>
      </c>
      <c r="BT196" t="str">
        <f>HYPERLINK("https%3A%2F%2Fwww.webofscience.com%2Fwos%2Fwoscc%2Ffull-record%2FWOS:000449823600001","View Full Record in Web of Science")</f>
        <v>View Full Record in Web of Science</v>
      </c>
    </row>
    <row r="197" spans="1:72" x14ac:dyDescent="0.25">
      <c r="A197" t="s">
        <v>72</v>
      </c>
      <c r="B197" t="s">
        <v>11156</v>
      </c>
      <c r="C197" t="s">
        <v>74</v>
      </c>
      <c r="D197" t="s">
        <v>74</v>
      </c>
      <c r="E197" t="s">
        <v>74</v>
      </c>
      <c r="F197" t="s">
        <v>11157</v>
      </c>
      <c r="G197" t="s">
        <v>74</v>
      </c>
      <c r="H197" t="s">
        <v>74</v>
      </c>
      <c r="I197" s="1" t="s">
        <v>11158</v>
      </c>
      <c r="J197" t="s">
        <v>11159</v>
      </c>
      <c r="K197" t="s">
        <v>74</v>
      </c>
      <c r="L197" t="s">
        <v>74</v>
      </c>
      <c r="M197" t="s">
        <v>929</v>
      </c>
      <c r="N197" t="s">
        <v>79</v>
      </c>
      <c r="O197" t="s">
        <v>74</v>
      </c>
      <c r="P197" t="s">
        <v>74</v>
      </c>
      <c r="Q197" t="s">
        <v>74</v>
      </c>
      <c r="R197" t="s">
        <v>74</v>
      </c>
      <c r="S197" t="s">
        <v>74</v>
      </c>
      <c r="T197" s="1" t="s">
        <v>11160</v>
      </c>
      <c r="U197" s="1" t="s">
        <v>11161</v>
      </c>
      <c r="V197" s="1" t="s">
        <v>11162</v>
      </c>
      <c r="W197" t="s">
        <v>11163</v>
      </c>
      <c r="X197" t="s">
        <v>11164</v>
      </c>
      <c r="Y197" t="s">
        <v>11165</v>
      </c>
      <c r="Z197" t="s">
        <v>11166</v>
      </c>
      <c r="AA197" t="s">
        <v>74</v>
      </c>
      <c r="AB197" t="s">
        <v>11167</v>
      </c>
      <c r="AC197" t="s">
        <v>74</v>
      </c>
      <c r="AD197" t="s">
        <v>74</v>
      </c>
      <c r="AE197" t="s">
        <v>74</v>
      </c>
      <c r="AF197" t="s">
        <v>74</v>
      </c>
      <c r="AG197">
        <v>62</v>
      </c>
      <c r="AH197">
        <v>7</v>
      </c>
      <c r="AI197">
        <v>10</v>
      </c>
      <c r="AJ197">
        <v>1</v>
      </c>
      <c r="AK197">
        <v>14</v>
      </c>
      <c r="AL197" t="s">
        <v>11168</v>
      </c>
      <c r="AM197" t="s">
        <v>7234</v>
      </c>
      <c r="AN197" t="s">
        <v>11169</v>
      </c>
      <c r="AO197" t="s">
        <v>11170</v>
      </c>
      <c r="AP197" t="s">
        <v>11171</v>
      </c>
      <c r="AQ197" t="s">
        <v>74</v>
      </c>
      <c r="AR197" t="s">
        <v>11172</v>
      </c>
      <c r="AS197" t="s">
        <v>11173</v>
      </c>
      <c r="AT197" t="s">
        <v>11174</v>
      </c>
      <c r="AU197">
        <v>2016</v>
      </c>
      <c r="AV197">
        <v>59</v>
      </c>
      <c r="AW197">
        <v>3</v>
      </c>
      <c r="AX197" t="s">
        <v>74</v>
      </c>
      <c r="AY197" t="s">
        <v>74</v>
      </c>
      <c r="AZ197" t="s">
        <v>74</v>
      </c>
      <c r="BA197" t="s">
        <v>74</v>
      </c>
      <c r="BB197">
        <v>755</v>
      </c>
      <c r="BC197">
        <v>822</v>
      </c>
      <c r="BD197" t="s">
        <v>74</v>
      </c>
      <c r="BE197" t="s">
        <v>11175</v>
      </c>
      <c r="BF197" t="str">
        <f>HYPERLINK("http://dx.doi.org/10.1590/00115258201691","http://dx.doi.org/10.1590/00115258201691")</f>
        <v>http://dx.doi.org/10.1590/00115258201691</v>
      </c>
      <c r="BG197" t="s">
        <v>74</v>
      </c>
      <c r="BH197" t="s">
        <v>74</v>
      </c>
      <c r="BI197">
        <v>67</v>
      </c>
      <c r="BJ197" t="s">
        <v>942</v>
      </c>
      <c r="BK197" t="s">
        <v>156</v>
      </c>
      <c r="BL197" t="s">
        <v>943</v>
      </c>
      <c r="BM197" t="s">
        <v>11176</v>
      </c>
      <c r="BN197" t="s">
        <v>74</v>
      </c>
      <c r="BO197" t="s">
        <v>4460</v>
      </c>
      <c r="BP197" t="s">
        <v>74</v>
      </c>
      <c r="BQ197" t="s">
        <v>74</v>
      </c>
      <c r="BR197" t="s">
        <v>106</v>
      </c>
      <c r="BS197" t="s">
        <v>11177</v>
      </c>
      <c r="BT197" t="str">
        <f>HYPERLINK("https%3A%2F%2Fwww.webofscience.com%2Fwos%2Fwoscc%2Ffull-record%2FWOS:000391437000004","View Full Record in Web of Science")</f>
        <v>View Full Record in Web of Science</v>
      </c>
    </row>
    <row r="198" spans="1:72" x14ac:dyDescent="0.25">
      <c r="A198" t="s">
        <v>72</v>
      </c>
      <c r="B198" t="s">
        <v>11521</v>
      </c>
      <c r="C198" t="s">
        <v>74</v>
      </c>
      <c r="D198" t="s">
        <v>74</v>
      </c>
      <c r="E198" t="s">
        <v>74</v>
      </c>
      <c r="F198" t="s">
        <v>11522</v>
      </c>
      <c r="G198" t="s">
        <v>74</v>
      </c>
      <c r="H198" t="s">
        <v>74</v>
      </c>
      <c r="I198" s="1" t="s">
        <v>11523</v>
      </c>
      <c r="J198" t="s">
        <v>573</v>
      </c>
      <c r="K198" t="s">
        <v>74</v>
      </c>
      <c r="L198" t="s">
        <v>74</v>
      </c>
      <c r="M198" t="s">
        <v>78</v>
      </c>
      <c r="N198" t="s">
        <v>79</v>
      </c>
      <c r="O198" t="s">
        <v>74</v>
      </c>
      <c r="P198" t="s">
        <v>74</v>
      </c>
      <c r="Q198" t="s">
        <v>74</v>
      </c>
      <c r="R198" t="s">
        <v>74</v>
      </c>
      <c r="S198" t="s">
        <v>74</v>
      </c>
      <c r="T198" s="1" t="s">
        <v>11524</v>
      </c>
      <c r="U198" s="1" t="s">
        <v>11525</v>
      </c>
      <c r="V198" s="1" t="s">
        <v>11526</v>
      </c>
      <c r="W198" t="s">
        <v>11527</v>
      </c>
      <c r="X198" t="s">
        <v>2974</v>
      </c>
      <c r="Y198" t="s">
        <v>11528</v>
      </c>
      <c r="Z198" t="s">
        <v>11529</v>
      </c>
      <c r="AA198" t="s">
        <v>74</v>
      </c>
      <c r="AB198" t="s">
        <v>11530</v>
      </c>
      <c r="AC198" t="s">
        <v>74</v>
      </c>
      <c r="AD198" t="s">
        <v>74</v>
      </c>
      <c r="AE198" t="s">
        <v>74</v>
      </c>
      <c r="AF198" t="s">
        <v>74</v>
      </c>
      <c r="AG198">
        <v>38</v>
      </c>
      <c r="AH198">
        <v>7</v>
      </c>
      <c r="AI198">
        <v>7</v>
      </c>
      <c r="AJ198">
        <v>0</v>
      </c>
      <c r="AK198">
        <v>115</v>
      </c>
      <c r="AL198" t="s">
        <v>492</v>
      </c>
      <c r="AM198" t="s">
        <v>493</v>
      </c>
      <c r="AN198" t="s">
        <v>494</v>
      </c>
      <c r="AO198" t="s">
        <v>583</v>
      </c>
      <c r="AP198" t="s">
        <v>584</v>
      </c>
      <c r="AQ198" t="s">
        <v>74</v>
      </c>
      <c r="AR198" t="s">
        <v>585</v>
      </c>
      <c r="AS198" t="s">
        <v>586</v>
      </c>
      <c r="AT198" t="s">
        <v>3505</v>
      </c>
      <c r="AU198">
        <v>2015</v>
      </c>
      <c r="AV198">
        <v>18</v>
      </c>
      <c r="AW198">
        <v>1</v>
      </c>
      <c r="AX198" t="s">
        <v>74</v>
      </c>
      <c r="AY198" t="s">
        <v>74</v>
      </c>
      <c r="AZ198" t="s">
        <v>74</v>
      </c>
      <c r="BA198" t="s">
        <v>74</v>
      </c>
      <c r="BB198">
        <v>32</v>
      </c>
      <c r="BC198">
        <v>47</v>
      </c>
      <c r="BD198" t="s">
        <v>74</v>
      </c>
      <c r="BE198" t="s">
        <v>11531</v>
      </c>
      <c r="BF198" t="str">
        <f>HYPERLINK("http://dx.doi.org/10.1080/1369118X.2014.924982","http://dx.doi.org/10.1080/1369118X.2014.924982")</f>
        <v>http://dx.doi.org/10.1080/1369118X.2014.924982</v>
      </c>
      <c r="BG198" t="s">
        <v>74</v>
      </c>
      <c r="BH198" t="s">
        <v>74</v>
      </c>
      <c r="BI198">
        <v>16</v>
      </c>
      <c r="BJ198" t="s">
        <v>589</v>
      </c>
      <c r="BK198" t="s">
        <v>156</v>
      </c>
      <c r="BL198" t="s">
        <v>589</v>
      </c>
      <c r="BM198" t="s">
        <v>11532</v>
      </c>
      <c r="BN198" t="s">
        <v>74</v>
      </c>
      <c r="BO198" t="s">
        <v>74</v>
      </c>
      <c r="BP198" t="s">
        <v>74</v>
      </c>
      <c r="BQ198" t="s">
        <v>74</v>
      </c>
      <c r="BR198" t="s">
        <v>106</v>
      </c>
      <c r="BS198" t="s">
        <v>11533</v>
      </c>
      <c r="BT198" t="str">
        <f>HYPERLINK("https%3A%2F%2Fwww.webofscience.com%2Fwos%2Fwoscc%2Ffull-record%2FWOS:000343233500003","View Full Record in Web of Science")</f>
        <v>View Full Record in Web of Science</v>
      </c>
    </row>
    <row r="199" spans="1:72" x14ac:dyDescent="0.25">
      <c r="A199" t="s">
        <v>72</v>
      </c>
      <c r="B199" t="s">
        <v>11570</v>
      </c>
      <c r="C199" t="s">
        <v>74</v>
      </c>
      <c r="D199" t="s">
        <v>74</v>
      </c>
      <c r="E199" t="s">
        <v>74</v>
      </c>
      <c r="F199" t="s">
        <v>11571</v>
      </c>
      <c r="G199" t="s">
        <v>74</v>
      </c>
      <c r="H199" t="s">
        <v>74</v>
      </c>
      <c r="I199" s="1" t="s">
        <v>11572</v>
      </c>
      <c r="J199" t="s">
        <v>6447</v>
      </c>
      <c r="K199" t="s">
        <v>74</v>
      </c>
      <c r="L199" t="s">
        <v>74</v>
      </c>
      <c r="M199" t="s">
        <v>78</v>
      </c>
      <c r="N199" t="s">
        <v>79</v>
      </c>
      <c r="O199" t="s">
        <v>74</v>
      </c>
      <c r="P199" t="s">
        <v>74</v>
      </c>
      <c r="Q199" t="s">
        <v>74</v>
      </c>
      <c r="R199" t="s">
        <v>74</v>
      </c>
      <c r="S199" t="s">
        <v>74</v>
      </c>
      <c r="T199" s="1" t="s">
        <v>11573</v>
      </c>
      <c r="U199" s="1" t="s">
        <v>11574</v>
      </c>
      <c r="V199" s="1" t="s">
        <v>11575</v>
      </c>
      <c r="W199" t="s">
        <v>11576</v>
      </c>
      <c r="X199" t="s">
        <v>11577</v>
      </c>
      <c r="Y199" t="s">
        <v>11578</v>
      </c>
      <c r="Z199" t="s">
        <v>11579</v>
      </c>
      <c r="AA199" t="s">
        <v>11580</v>
      </c>
      <c r="AB199" t="s">
        <v>11581</v>
      </c>
      <c r="AC199" t="s">
        <v>11582</v>
      </c>
      <c r="AD199" t="s">
        <v>11582</v>
      </c>
      <c r="AE199" t="s">
        <v>11583</v>
      </c>
      <c r="AF199" t="s">
        <v>74</v>
      </c>
      <c r="AG199">
        <v>29</v>
      </c>
      <c r="AH199">
        <v>7</v>
      </c>
      <c r="AI199">
        <v>7</v>
      </c>
      <c r="AJ199">
        <v>1</v>
      </c>
      <c r="AK199">
        <v>6</v>
      </c>
      <c r="AL199" t="s">
        <v>492</v>
      </c>
      <c r="AM199" t="s">
        <v>493</v>
      </c>
      <c r="AN199" t="s">
        <v>494</v>
      </c>
      <c r="AO199" t="s">
        <v>6455</v>
      </c>
      <c r="AP199" t="s">
        <v>6456</v>
      </c>
      <c r="AQ199" t="s">
        <v>74</v>
      </c>
      <c r="AR199" t="s">
        <v>6457</v>
      </c>
      <c r="AS199" t="s">
        <v>6458</v>
      </c>
      <c r="AT199" t="s">
        <v>74</v>
      </c>
      <c r="AU199">
        <v>2015</v>
      </c>
      <c r="AV199">
        <v>34</v>
      </c>
      <c r="AW199">
        <v>4</v>
      </c>
      <c r="AX199" t="s">
        <v>74</v>
      </c>
      <c r="AY199" t="s">
        <v>74</v>
      </c>
      <c r="AZ199" t="s">
        <v>74</v>
      </c>
      <c r="BA199" t="s">
        <v>74</v>
      </c>
      <c r="BB199">
        <v>355</v>
      </c>
      <c r="BC199">
        <v>378</v>
      </c>
      <c r="BD199" t="s">
        <v>74</v>
      </c>
      <c r="BE199" t="s">
        <v>11584</v>
      </c>
      <c r="BF199" t="str">
        <f>HYPERLINK("http://dx.doi.org/10.1080/03323315.2015.1128348","http://dx.doi.org/10.1080/03323315.2015.1128348")</f>
        <v>http://dx.doi.org/10.1080/03323315.2015.1128348</v>
      </c>
      <c r="BG199" t="s">
        <v>74</v>
      </c>
      <c r="BH199" t="s">
        <v>74</v>
      </c>
      <c r="BI199">
        <v>24</v>
      </c>
      <c r="BJ199" t="s">
        <v>1326</v>
      </c>
      <c r="BK199" t="s">
        <v>156</v>
      </c>
      <c r="BL199" t="s">
        <v>1326</v>
      </c>
      <c r="BM199" t="s">
        <v>11585</v>
      </c>
      <c r="BN199" t="s">
        <v>74</v>
      </c>
      <c r="BO199" t="s">
        <v>4521</v>
      </c>
      <c r="BP199" t="s">
        <v>74</v>
      </c>
      <c r="BQ199" t="s">
        <v>74</v>
      </c>
      <c r="BR199" t="s">
        <v>106</v>
      </c>
      <c r="BS199" t="s">
        <v>11586</v>
      </c>
      <c r="BT199" t="str">
        <f>HYPERLINK("https%3A%2F%2Fwww.webofscience.com%2Fwos%2Fwoscc%2Ffull-record%2FWOS:000379776700005","View Full Record in Web of Science")</f>
        <v>View Full Record in Web of Science</v>
      </c>
    </row>
    <row r="200" spans="1:72" x14ac:dyDescent="0.25">
      <c r="A200" t="s">
        <v>72</v>
      </c>
      <c r="B200" t="s">
        <v>11608</v>
      </c>
      <c r="C200" t="s">
        <v>74</v>
      </c>
      <c r="D200" t="s">
        <v>74</v>
      </c>
      <c r="E200" t="s">
        <v>74</v>
      </c>
      <c r="F200" t="s">
        <v>11609</v>
      </c>
      <c r="G200" t="s">
        <v>74</v>
      </c>
      <c r="H200" t="s">
        <v>74</v>
      </c>
      <c r="I200" s="1" t="s">
        <v>11610</v>
      </c>
      <c r="J200" t="s">
        <v>11611</v>
      </c>
      <c r="K200" t="s">
        <v>74</v>
      </c>
      <c r="L200" t="s">
        <v>74</v>
      </c>
      <c r="M200" t="s">
        <v>78</v>
      </c>
      <c r="N200" t="s">
        <v>79</v>
      </c>
      <c r="O200" t="s">
        <v>74</v>
      </c>
      <c r="P200" t="s">
        <v>74</v>
      </c>
      <c r="Q200" t="s">
        <v>74</v>
      </c>
      <c r="R200" t="s">
        <v>74</v>
      </c>
      <c r="S200" t="s">
        <v>74</v>
      </c>
      <c r="T200" s="1" t="s">
        <v>11612</v>
      </c>
      <c r="U200" s="1" t="s">
        <v>74</v>
      </c>
      <c r="V200" s="1" t="s">
        <v>11613</v>
      </c>
      <c r="W200" t="s">
        <v>11614</v>
      </c>
      <c r="X200" t="s">
        <v>5135</v>
      </c>
      <c r="Y200" t="s">
        <v>11615</v>
      </c>
      <c r="Z200" t="s">
        <v>11616</v>
      </c>
      <c r="AA200" t="s">
        <v>74</v>
      </c>
      <c r="AB200" t="s">
        <v>11617</v>
      </c>
      <c r="AC200" t="s">
        <v>74</v>
      </c>
      <c r="AD200" t="s">
        <v>74</v>
      </c>
      <c r="AE200" t="s">
        <v>74</v>
      </c>
      <c r="AF200" t="s">
        <v>74</v>
      </c>
      <c r="AG200">
        <v>13</v>
      </c>
      <c r="AH200">
        <v>7</v>
      </c>
      <c r="AI200">
        <v>7</v>
      </c>
      <c r="AJ200">
        <v>0</v>
      </c>
      <c r="AK200">
        <v>19</v>
      </c>
      <c r="AL200" t="s">
        <v>1468</v>
      </c>
      <c r="AM200" t="s">
        <v>175</v>
      </c>
      <c r="AN200" t="s">
        <v>1469</v>
      </c>
      <c r="AO200" t="s">
        <v>11618</v>
      </c>
      <c r="AP200" t="s">
        <v>11619</v>
      </c>
      <c r="AQ200" t="s">
        <v>74</v>
      </c>
      <c r="AR200" t="s">
        <v>11620</v>
      </c>
      <c r="AS200" t="s">
        <v>11621</v>
      </c>
      <c r="AT200" t="s">
        <v>2068</v>
      </c>
      <c r="AU200">
        <v>2015</v>
      </c>
      <c r="AV200">
        <v>37</v>
      </c>
      <c r="AW200">
        <v>1</v>
      </c>
      <c r="AX200" t="s">
        <v>74</v>
      </c>
      <c r="AY200" t="s">
        <v>74</v>
      </c>
      <c r="AZ200" t="s">
        <v>74</v>
      </c>
      <c r="BA200" t="s">
        <v>74</v>
      </c>
      <c r="BB200">
        <v>134</v>
      </c>
      <c r="BC200">
        <v>143</v>
      </c>
      <c r="BD200" t="s">
        <v>74</v>
      </c>
      <c r="BE200" t="s">
        <v>11622</v>
      </c>
      <c r="BF200" t="str">
        <f>HYPERLINK("http://dx.doi.org/10.1177/0163443714553563","http://dx.doi.org/10.1177/0163443714553563")</f>
        <v>http://dx.doi.org/10.1177/0163443714553563</v>
      </c>
      <c r="BG200" t="s">
        <v>74</v>
      </c>
      <c r="BH200" t="s">
        <v>74</v>
      </c>
      <c r="BI200">
        <v>10</v>
      </c>
      <c r="BJ200" t="s">
        <v>589</v>
      </c>
      <c r="BK200" t="s">
        <v>156</v>
      </c>
      <c r="BL200" t="s">
        <v>589</v>
      </c>
      <c r="BM200" t="s">
        <v>11623</v>
      </c>
      <c r="BN200" t="s">
        <v>74</v>
      </c>
      <c r="BO200" t="s">
        <v>74</v>
      </c>
      <c r="BP200" t="s">
        <v>74</v>
      </c>
      <c r="BQ200" t="s">
        <v>74</v>
      </c>
      <c r="BR200" t="s">
        <v>106</v>
      </c>
      <c r="BS200" t="s">
        <v>11624</v>
      </c>
      <c r="BT200" t="str">
        <f>HYPERLINK("https%3A%2F%2Fwww.webofscience.com%2Fwos%2Fwoscc%2Ffull-record%2FWOS:000347994200011","View Full Record in Web of Science")</f>
        <v>View Full Record in Web of Science</v>
      </c>
    </row>
    <row r="201" spans="1:72" x14ac:dyDescent="0.25">
      <c r="A201" t="s">
        <v>72</v>
      </c>
      <c r="B201" t="s">
        <v>11639</v>
      </c>
      <c r="C201" t="s">
        <v>74</v>
      </c>
      <c r="D201" t="s">
        <v>74</v>
      </c>
      <c r="E201" t="s">
        <v>74</v>
      </c>
      <c r="F201" t="s">
        <v>11640</v>
      </c>
      <c r="G201" t="s">
        <v>74</v>
      </c>
      <c r="H201" t="s">
        <v>74</v>
      </c>
      <c r="I201" s="1" t="s">
        <v>11641</v>
      </c>
      <c r="J201" t="s">
        <v>11642</v>
      </c>
      <c r="K201" t="s">
        <v>74</v>
      </c>
      <c r="L201" t="s">
        <v>74</v>
      </c>
      <c r="M201" t="s">
        <v>929</v>
      </c>
      <c r="N201" t="s">
        <v>79</v>
      </c>
      <c r="O201" t="s">
        <v>74</v>
      </c>
      <c r="P201" t="s">
        <v>74</v>
      </c>
      <c r="Q201" t="s">
        <v>74</v>
      </c>
      <c r="R201" t="s">
        <v>74</v>
      </c>
      <c r="S201" t="s">
        <v>74</v>
      </c>
      <c r="T201" s="1" t="s">
        <v>11643</v>
      </c>
      <c r="U201" s="1" t="s">
        <v>74</v>
      </c>
      <c r="V201" s="1" t="s">
        <v>11644</v>
      </c>
      <c r="W201" t="s">
        <v>11645</v>
      </c>
      <c r="X201" t="s">
        <v>11646</v>
      </c>
      <c r="Y201" t="s">
        <v>11647</v>
      </c>
      <c r="Z201" t="s">
        <v>11648</v>
      </c>
      <c r="AA201" t="s">
        <v>74</v>
      </c>
      <c r="AB201" t="s">
        <v>74</v>
      </c>
      <c r="AC201" t="s">
        <v>74</v>
      </c>
      <c r="AD201" t="s">
        <v>74</v>
      </c>
      <c r="AE201" t="s">
        <v>74</v>
      </c>
      <c r="AF201" t="s">
        <v>74</v>
      </c>
      <c r="AG201">
        <v>25</v>
      </c>
      <c r="AH201">
        <v>7</v>
      </c>
      <c r="AI201">
        <v>7</v>
      </c>
      <c r="AJ201">
        <v>0</v>
      </c>
      <c r="AK201">
        <v>22</v>
      </c>
      <c r="AL201" t="s">
        <v>11649</v>
      </c>
      <c r="AM201" t="s">
        <v>11650</v>
      </c>
      <c r="AN201" t="s">
        <v>11651</v>
      </c>
      <c r="AO201" t="s">
        <v>11652</v>
      </c>
      <c r="AP201" t="s">
        <v>74</v>
      </c>
      <c r="AQ201" t="s">
        <v>74</v>
      </c>
      <c r="AR201" t="s">
        <v>11653</v>
      </c>
      <c r="AS201" t="s">
        <v>11654</v>
      </c>
      <c r="AT201" t="s">
        <v>6990</v>
      </c>
      <c r="AU201">
        <v>2015</v>
      </c>
      <c r="AV201">
        <v>60</v>
      </c>
      <c r="AW201">
        <v>223</v>
      </c>
      <c r="AX201" t="s">
        <v>74</v>
      </c>
      <c r="AY201" t="s">
        <v>74</v>
      </c>
      <c r="AZ201" t="s">
        <v>74</v>
      </c>
      <c r="BA201" t="s">
        <v>74</v>
      </c>
      <c r="BB201">
        <v>265</v>
      </c>
      <c r="BC201">
        <v>285</v>
      </c>
      <c r="BD201" t="s">
        <v>74</v>
      </c>
      <c r="BE201" t="s">
        <v>74</v>
      </c>
      <c r="BF201" t="s">
        <v>74</v>
      </c>
      <c r="BG201" t="s">
        <v>74</v>
      </c>
      <c r="BH201" t="s">
        <v>74</v>
      </c>
      <c r="BI201">
        <v>21</v>
      </c>
      <c r="BJ201" t="s">
        <v>942</v>
      </c>
      <c r="BK201" t="s">
        <v>183</v>
      </c>
      <c r="BL201" t="s">
        <v>943</v>
      </c>
      <c r="BM201" t="s">
        <v>11655</v>
      </c>
      <c r="BN201" t="s">
        <v>74</v>
      </c>
      <c r="BO201" t="s">
        <v>74</v>
      </c>
      <c r="BP201" t="s">
        <v>74</v>
      </c>
      <c r="BQ201" t="s">
        <v>74</v>
      </c>
      <c r="BR201" t="s">
        <v>106</v>
      </c>
      <c r="BS201" t="s">
        <v>11656</v>
      </c>
      <c r="BT201" t="str">
        <f>HYPERLINK("https%3A%2F%2Fwww.webofscience.com%2Fwos%2Fwoscc%2Ffull-record%2FWOS:000363526500010","View Full Record in Web of Science")</f>
        <v>View Full Record in Web of Science</v>
      </c>
    </row>
    <row r="202" spans="1:72" x14ac:dyDescent="0.25">
      <c r="A202" t="s">
        <v>72</v>
      </c>
      <c r="B202" t="s">
        <v>11674</v>
      </c>
      <c r="C202" t="s">
        <v>74</v>
      </c>
      <c r="D202" t="s">
        <v>74</v>
      </c>
      <c r="E202" t="s">
        <v>74</v>
      </c>
      <c r="F202" t="s">
        <v>11675</v>
      </c>
      <c r="G202" t="s">
        <v>74</v>
      </c>
      <c r="H202" t="s">
        <v>74</v>
      </c>
      <c r="I202" s="1" t="s">
        <v>11676</v>
      </c>
      <c r="J202" t="s">
        <v>11611</v>
      </c>
      <c r="K202" t="s">
        <v>74</v>
      </c>
      <c r="L202" t="s">
        <v>74</v>
      </c>
      <c r="M202" t="s">
        <v>78</v>
      </c>
      <c r="N202" t="s">
        <v>79</v>
      </c>
      <c r="O202" t="s">
        <v>74</v>
      </c>
      <c r="P202" t="s">
        <v>74</v>
      </c>
      <c r="Q202" t="s">
        <v>74</v>
      </c>
      <c r="R202" t="s">
        <v>74</v>
      </c>
      <c r="S202" t="s">
        <v>74</v>
      </c>
      <c r="T202" s="1" t="s">
        <v>11677</v>
      </c>
      <c r="U202" s="1" t="s">
        <v>74</v>
      </c>
      <c r="V202" s="1" t="s">
        <v>11678</v>
      </c>
      <c r="W202" t="s">
        <v>11679</v>
      </c>
      <c r="X202" t="s">
        <v>2974</v>
      </c>
      <c r="Y202" t="s">
        <v>11680</v>
      </c>
      <c r="Z202" t="s">
        <v>11681</v>
      </c>
      <c r="AA202" t="s">
        <v>74</v>
      </c>
      <c r="AB202" t="s">
        <v>74</v>
      </c>
      <c r="AC202" t="s">
        <v>74</v>
      </c>
      <c r="AD202" t="s">
        <v>74</v>
      </c>
      <c r="AE202" t="s">
        <v>74</v>
      </c>
      <c r="AF202" t="s">
        <v>74</v>
      </c>
      <c r="AG202">
        <v>9</v>
      </c>
      <c r="AH202">
        <v>7</v>
      </c>
      <c r="AI202">
        <v>7</v>
      </c>
      <c r="AJ202">
        <v>2</v>
      </c>
      <c r="AK202">
        <v>25</v>
      </c>
      <c r="AL202" t="s">
        <v>1468</v>
      </c>
      <c r="AM202" t="s">
        <v>175</v>
      </c>
      <c r="AN202" t="s">
        <v>1469</v>
      </c>
      <c r="AO202" t="s">
        <v>11618</v>
      </c>
      <c r="AP202" t="s">
        <v>11619</v>
      </c>
      <c r="AQ202" t="s">
        <v>74</v>
      </c>
      <c r="AR202" t="s">
        <v>11620</v>
      </c>
      <c r="AS202" t="s">
        <v>11621</v>
      </c>
      <c r="AT202" t="s">
        <v>2068</v>
      </c>
      <c r="AU202">
        <v>2015</v>
      </c>
      <c r="AV202">
        <v>37</v>
      </c>
      <c r="AW202">
        <v>1</v>
      </c>
      <c r="AX202" t="s">
        <v>74</v>
      </c>
      <c r="AY202" t="s">
        <v>74</v>
      </c>
      <c r="AZ202" t="s">
        <v>74</v>
      </c>
      <c r="BA202" t="s">
        <v>74</v>
      </c>
      <c r="BB202">
        <v>124</v>
      </c>
      <c r="BC202">
        <v>133</v>
      </c>
      <c r="BD202" t="s">
        <v>74</v>
      </c>
      <c r="BE202" t="s">
        <v>11682</v>
      </c>
      <c r="BF202" t="str">
        <f>HYPERLINK("http://dx.doi.org/10.1177/0163443714553566","http://dx.doi.org/10.1177/0163443714553566")</f>
        <v>http://dx.doi.org/10.1177/0163443714553566</v>
      </c>
      <c r="BG202" t="s">
        <v>74</v>
      </c>
      <c r="BH202" t="s">
        <v>74</v>
      </c>
      <c r="BI202">
        <v>10</v>
      </c>
      <c r="BJ202" t="s">
        <v>589</v>
      </c>
      <c r="BK202" t="s">
        <v>156</v>
      </c>
      <c r="BL202" t="s">
        <v>589</v>
      </c>
      <c r="BM202" t="s">
        <v>11623</v>
      </c>
      <c r="BN202" t="s">
        <v>74</v>
      </c>
      <c r="BO202" t="s">
        <v>74</v>
      </c>
      <c r="BP202" t="s">
        <v>74</v>
      </c>
      <c r="BQ202" t="s">
        <v>74</v>
      </c>
      <c r="BR202" t="s">
        <v>106</v>
      </c>
      <c r="BS202" t="s">
        <v>11683</v>
      </c>
      <c r="BT202" t="str">
        <f>HYPERLINK("https%3A%2F%2Fwww.webofscience.com%2Fwos%2Fwoscc%2Ffull-record%2FWOS:000347994200010","View Full Record in Web of Science")</f>
        <v>View Full Record in Web of Science</v>
      </c>
    </row>
    <row r="203" spans="1:72" x14ac:dyDescent="0.25">
      <c r="A203" t="s">
        <v>7120</v>
      </c>
      <c r="B203" t="s">
        <v>12207</v>
      </c>
      <c r="C203" t="s">
        <v>74</v>
      </c>
      <c r="D203" t="s">
        <v>12208</v>
      </c>
      <c r="E203" t="s">
        <v>74</v>
      </c>
      <c r="F203" t="s">
        <v>12209</v>
      </c>
      <c r="G203" t="s">
        <v>74</v>
      </c>
      <c r="H203" t="s">
        <v>74</v>
      </c>
      <c r="I203" s="1" t="s">
        <v>12210</v>
      </c>
      <c r="J203" t="s">
        <v>12211</v>
      </c>
      <c r="K203" t="s">
        <v>12212</v>
      </c>
      <c r="L203" t="s">
        <v>74</v>
      </c>
      <c r="M203" t="s">
        <v>78</v>
      </c>
      <c r="N203" t="s">
        <v>4932</v>
      </c>
      <c r="O203" t="s">
        <v>74</v>
      </c>
      <c r="P203" t="s">
        <v>74</v>
      </c>
      <c r="Q203" t="s">
        <v>74</v>
      </c>
      <c r="R203" t="s">
        <v>74</v>
      </c>
      <c r="S203" t="s">
        <v>74</v>
      </c>
      <c r="T203" s="1" t="s">
        <v>12213</v>
      </c>
      <c r="U203" s="1" t="s">
        <v>12214</v>
      </c>
      <c r="V203" s="1" t="s">
        <v>12215</v>
      </c>
      <c r="W203" t="s">
        <v>12216</v>
      </c>
      <c r="X203" t="s">
        <v>12217</v>
      </c>
      <c r="Y203" t="s">
        <v>12218</v>
      </c>
      <c r="Z203" t="s">
        <v>74</v>
      </c>
      <c r="AA203" t="s">
        <v>74</v>
      </c>
      <c r="AB203" t="s">
        <v>74</v>
      </c>
      <c r="AC203" t="s">
        <v>74</v>
      </c>
      <c r="AD203" t="s">
        <v>74</v>
      </c>
      <c r="AE203" t="s">
        <v>74</v>
      </c>
      <c r="AF203" t="s">
        <v>74</v>
      </c>
      <c r="AG203">
        <v>47</v>
      </c>
      <c r="AH203">
        <v>7</v>
      </c>
      <c r="AI203">
        <v>8</v>
      </c>
      <c r="AJ203">
        <v>2</v>
      </c>
      <c r="AK203">
        <v>5</v>
      </c>
      <c r="AL203" t="s">
        <v>715</v>
      </c>
      <c r="AM203" t="s">
        <v>716</v>
      </c>
      <c r="AN203" t="s">
        <v>9298</v>
      </c>
      <c r="AO203" t="s">
        <v>12219</v>
      </c>
      <c r="AP203" t="s">
        <v>74</v>
      </c>
      <c r="AQ203" t="s">
        <v>12220</v>
      </c>
      <c r="AR203" t="s">
        <v>12221</v>
      </c>
      <c r="AS203" t="s">
        <v>74</v>
      </c>
      <c r="AT203" t="s">
        <v>74</v>
      </c>
      <c r="AU203">
        <v>2013</v>
      </c>
      <c r="AV203">
        <v>3</v>
      </c>
      <c r="AW203" t="s">
        <v>74</v>
      </c>
      <c r="AX203" t="s">
        <v>74</v>
      </c>
      <c r="AY203" t="s">
        <v>74</v>
      </c>
      <c r="AZ203" t="s">
        <v>74</v>
      </c>
      <c r="BA203" t="s">
        <v>74</v>
      </c>
      <c r="BB203">
        <v>79</v>
      </c>
      <c r="BC203">
        <v>97</v>
      </c>
      <c r="BD203" t="s">
        <v>74</v>
      </c>
      <c r="BE203" t="s">
        <v>12222</v>
      </c>
      <c r="BF203" t="str">
        <f>HYPERLINK("http://dx.doi.org/10.1108/S2048-0458(2013)0000003008","http://dx.doi.org/10.1108/S2048-0458(2013)0000003008")</f>
        <v>http://dx.doi.org/10.1108/S2048-0458(2013)0000003008</v>
      </c>
      <c r="BG203" t="s">
        <v>12223</v>
      </c>
      <c r="BH203" t="s">
        <v>74</v>
      </c>
      <c r="BI203">
        <v>19</v>
      </c>
      <c r="BJ203" t="s">
        <v>12224</v>
      </c>
      <c r="BK203" t="s">
        <v>4943</v>
      </c>
      <c r="BL203" t="s">
        <v>1326</v>
      </c>
      <c r="BM203" t="s">
        <v>12225</v>
      </c>
      <c r="BN203" t="s">
        <v>74</v>
      </c>
      <c r="BO203" t="s">
        <v>74</v>
      </c>
      <c r="BP203" t="s">
        <v>74</v>
      </c>
      <c r="BQ203" t="s">
        <v>74</v>
      </c>
      <c r="BR203" t="s">
        <v>106</v>
      </c>
      <c r="BS203" t="s">
        <v>12226</v>
      </c>
      <c r="BT203" t="str">
        <f>HYPERLINK("https%3A%2F%2Fwww.webofscience.com%2Fwos%2Fwoscc%2Ffull-record%2FWOS:000372917200006","View Full Record in Web of Science")</f>
        <v>View Full Record in Web of Science</v>
      </c>
    </row>
    <row r="204" spans="1:72" x14ac:dyDescent="0.25">
      <c r="A204" t="s">
        <v>72</v>
      </c>
      <c r="B204" t="s">
        <v>3053</v>
      </c>
      <c r="C204" t="s">
        <v>74</v>
      </c>
      <c r="D204" t="s">
        <v>74</v>
      </c>
      <c r="E204" t="s">
        <v>74</v>
      </c>
      <c r="F204" t="s">
        <v>3054</v>
      </c>
      <c r="G204" t="s">
        <v>74</v>
      </c>
      <c r="H204" t="s">
        <v>74</v>
      </c>
      <c r="I204" s="1" t="s">
        <v>3055</v>
      </c>
      <c r="J204" t="s">
        <v>321</v>
      </c>
      <c r="K204" t="s">
        <v>74</v>
      </c>
      <c r="L204" t="s">
        <v>74</v>
      </c>
      <c r="M204" t="s">
        <v>78</v>
      </c>
      <c r="N204" t="s">
        <v>79</v>
      </c>
      <c r="O204" t="s">
        <v>74</v>
      </c>
      <c r="P204" t="s">
        <v>74</v>
      </c>
      <c r="Q204" t="s">
        <v>74</v>
      </c>
      <c r="R204" t="s">
        <v>74</v>
      </c>
      <c r="S204" t="s">
        <v>74</v>
      </c>
      <c r="T204" s="1" t="s">
        <v>3056</v>
      </c>
      <c r="U204" s="1" t="s">
        <v>3057</v>
      </c>
      <c r="V204" s="1" t="s">
        <v>3058</v>
      </c>
      <c r="W204" t="s">
        <v>3059</v>
      </c>
      <c r="X204" t="s">
        <v>3060</v>
      </c>
      <c r="Y204" t="s">
        <v>3061</v>
      </c>
      <c r="Z204" t="s">
        <v>3062</v>
      </c>
      <c r="AA204" t="s">
        <v>74</v>
      </c>
      <c r="AB204" t="s">
        <v>3063</v>
      </c>
      <c r="AC204" t="s">
        <v>3064</v>
      </c>
      <c r="AD204" t="s">
        <v>3064</v>
      </c>
      <c r="AE204" t="s">
        <v>3065</v>
      </c>
      <c r="AF204" t="s">
        <v>74</v>
      </c>
      <c r="AG204">
        <v>93</v>
      </c>
      <c r="AH204">
        <v>6</v>
      </c>
      <c r="AI204">
        <v>6</v>
      </c>
      <c r="AJ204">
        <v>23</v>
      </c>
      <c r="AK204">
        <v>84</v>
      </c>
      <c r="AL204" t="s">
        <v>332</v>
      </c>
      <c r="AM204" t="s">
        <v>122</v>
      </c>
      <c r="AN204" t="s">
        <v>333</v>
      </c>
      <c r="AO204" t="s">
        <v>334</v>
      </c>
      <c r="AP204" t="s">
        <v>335</v>
      </c>
      <c r="AQ204" t="s">
        <v>74</v>
      </c>
      <c r="AR204" t="s">
        <v>336</v>
      </c>
      <c r="AS204" t="s">
        <v>337</v>
      </c>
      <c r="AT204" t="s">
        <v>476</v>
      </c>
      <c r="AU204">
        <v>2022</v>
      </c>
      <c r="AV204">
        <v>185</v>
      </c>
      <c r="AW204" t="s">
        <v>74</v>
      </c>
      <c r="AX204" t="s">
        <v>74</v>
      </c>
      <c r="AY204" t="s">
        <v>74</v>
      </c>
      <c r="AZ204" t="s">
        <v>74</v>
      </c>
      <c r="BA204" t="s">
        <v>74</v>
      </c>
      <c r="BB204" t="s">
        <v>74</v>
      </c>
      <c r="BC204" t="s">
        <v>74</v>
      </c>
      <c r="BD204">
        <v>122036</v>
      </c>
      <c r="BE204" t="s">
        <v>3066</v>
      </c>
      <c r="BF204" t="str">
        <f>HYPERLINK("http://dx.doi.org/10.1016/j.techfore.2022.122036","http://dx.doi.org/10.1016/j.techfore.2022.122036")</f>
        <v>http://dx.doi.org/10.1016/j.techfore.2022.122036</v>
      </c>
      <c r="BG204" t="s">
        <v>74</v>
      </c>
      <c r="BH204" t="s">
        <v>3049</v>
      </c>
      <c r="BI204">
        <v>13</v>
      </c>
      <c r="BJ204" t="s">
        <v>339</v>
      </c>
      <c r="BK204" t="s">
        <v>156</v>
      </c>
      <c r="BL204" t="s">
        <v>340</v>
      </c>
      <c r="BM204" t="s">
        <v>3067</v>
      </c>
      <c r="BN204" t="s">
        <v>74</v>
      </c>
      <c r="BO204" t="s">
        <v>3068</v>
      </c>
      <c r="BP204" t="s">
        <v>74</v>
      </c>
      <c r="BQ204" t="s">
        <v>74</v>
      </c>
      <c r="BR204" t="s">
        <v>106</v>
      </c>
      <c r="BS204" t="s">
        <v>3069</v>
      </c>
      <c r="BT204" t="str">
        <f>HYPERLINK("https%3A%2F%2Fwww.webofscience.com%2Fwos%2Fwoscc%2Ffull-record%2FWOS:000863209400005","View Full Record in Web of Science")</f>
        <v>View Full Record in Web of Science</v>
      </c>
    </row>
    <row r="205" spans="1:72" x14ac:dyDescent="0.25">
      <c r="A205" t="s">
        <v>72</v>
      </c>
      <c r="B205" t="s">
        <v>4019</v>
      </c>
      <c r="C205" t="s">
        <v>74</v>
      </c>
      <c r="D205" t="s">
        <v>74</v>
      </c>
      <c r="E205" t="s">
        <v>74</v>
      </c>
      <c r="F205" t="s">
        <v>4020</v>
      </c>
      <c r="G205" t="s">
        <v>74</v>
      </c>
      <c r="H205" t="s">
        <v>74</v>
      </c>
      <c r="I205" s="1" t="s">
        <v>4021</v>
      </c>
      <c r="J205" t="s">
        <v>4022</v>
      </c>
      <c r="K205" t="s">
        <v>74</v>
      </c>
      <c r="L205" t="s">
        <v>74</v>
      </c>
      <c r="M205" t="s">
        <v>78</v>
      </c>
      <c r="N205" t="s">
        <v>112</v>
      </c>
      <c r="O205" t="s">
        <v>74</v>
      </c>
      <c r="P205" t="s">
        <v>74</v>
      </c>
      <c r="Q205" t="s">
        <v>74</v>
      </c>
      <c r="R205" t="s">
        <v>74</v>
      </c>
      <c r="S205" t="s">
        <v>74</v>
      </c>
      <c r="T205" s="1" t="s">
        <v>4023</v>
      </c>
      <c r="U205" s="1" t="s">
        <v>4024</v>
      </c>
      <c r="V205" s="1" t="s">
        <v>4025</v>
      </c>
      <c r="W205" t="s">
        <v>4026</v>
      </c>
      <c r="X205" t="s">
        <v>4027</v>
      </c>
      <c r="Y205" t="s">
        <v>4028</v>
      </c>
      <c r="Z205" t="s">
        <v>4029</v>
      </c>
      <c r="AA205" t="s">
        <v>74</v>
      </c>
      <c r="AB205" t="s">
        <v>4030</v>
      </c>
      <c r="AC205" t="s">
        <v>74</v>
      </c>
      <c r="AD205" t="s">
        <v>74</v>
      </c>
      <c r="AE205" t="s">
        <v>74</v>
      </c>
      <c r="AF205" t="s">
        <v>74</v>
      </c>
      <c r="AG205">
        <v>100</v>
      </c>
      <c r="AH205">
        <v>6</v>
      </c>
      <c r="AI205">
        <v>6</v>
      </c>
      <c r="AJ205">
        <v>12</v>
      </c>
      <c r="AK205">
        <v>49</v>
      </c>
      <c r="AL205" t="s">
        <v>3188</v>
      </c>
      <c r="AM205" t="s">
        <v>3189</v>
      </c>
      <c r="AN205" t="s">
        <v>3190</v>
      </c>
      <c r="AO205" t="s">
        <v>4031</v>
      </c>
      <c r="AP205" t="s">
        <v>4032</v>
      </c>
      <c r="AQ205" t="s">
        <v>74</v>
      </c>
      <c r="AR205" t="s">
        <v>4033</v>
      </c>
      <c r="AS205" t="s">
        <v>4034</v>
      </c>
      <c r="AT205" t="s">
        <v>4035</v>
      </c>
      <c r="AU205">
        <v>2022</v>
      </c>
      <c r="AV205" t="s">
        <v>74</v>
      </c>
      <c r="AW205" t="s">
        <v>74</v>
      </c>
      <c r="AX205" t="s">
        <v>74</v>
      </c>
      <c r="AY205" t="s">
        <v>74</v>
      </c>
      <c r="AZ205" t="s">
        <v>74</v>
      </c>
      <c r="BA205" t="s">
        <v>74</v>
      </c>
      <c r="BB205" t="s">
        <v>74</v>
      </c>
      <c r="BC205" t="s">
        <v>74</v>
      </c>
      <c r="BD205" t="s">
        <v>74</v>
      </c>
      <c r="BE205" t="s">
        <v>4036</v>
      </c>
      <c r="BF205" t="str">
        <f>HYPERLINK("http://dx.doi.org/10.1080/00472778.2022.2073361","http://dx.doi.org/10.1080/00472778.2022.2073361")</f>
        <v>http://dx.doi.org/10.1080/00472778.2022.2073361</v>
      </c>
      <c r="BG205" t="s">
        <v>74</v>
      </c>
      <c r="BH205" t="s">
        <v>4037</v>
      </c>
      <c r="BI205">
        <v>28</v>
      </c>
      <c r="BJ205" t="s">
        <v>315</v>
      </c>
      <c r="BK205" t="s">
        <v>156</v>
      </c>
      <c r="BL205" t="s">
        <v>265</v>
      </c>
      <c r="BM205" t="s">
        <v>4038</v>
      </c>
      <c r="BN205" t="s">
        <v>74</v>
      </c>
      <c r="BO205" t="s">
        <v>105</v>
      </c>
      <c r="BP205" t="s">
        <v>74</v>
      </c>
      <c r="BQ205" t="s">
        <v>74</v>
      </c>
      <c r="BR205" t="s">
        <v>106</v>
      </c>
      <c r="BS205" t="s">
        <v>4039</v>
      </c>
      <c r="BT205" t="str">
        <f>HYPERLINK("https%3A%2F%2Fwww.webofscience.com%2Fwos%2Fwoscc%2Ffull-record%2FWOS:000800518200001","View Full Record in Web of Science")</f>
        <v>View Full Record in Web of Science</v>
      </c>
    </row>
    <row r="206" spans="1:72" x14ac:dyDescent="0.25">
      <c r="A206" t="s">
        <v>72</v>
      </c>
      <c r="B206" t="s">
        <v>4094</v>
      </c>
      <c r="C206" t="s">
        <v>74</v>
      </c>
      <c r="D206" t="s">
        <v>74</v>
      </c>
      <c r="E206" t="s">
        <v>74</v>
      </c>
      <c r="F206" t="s">
        <v>4095</v>
      </c>
      <c r="G206" t="s">
        <v>74</v>
      </c>
      <c r="H206" t="s">
        <v>74</v>
      </c>
      <c r="I206" s="1" t="s">
        <v>4096</v>
      </c>
      <c r="J206" t="s">
        <v>4066</v>
      </c>
      <c r="K206" t="s">
        <v>74</v>
      </c>
      <c r="L206" t="s">
        <v>74</v>
      </c>
      <c r="M206" t="s">
        <v>78</v>
      </c>
      <c r="N206" t="s">
        <v>79</v>
      </c>
      <c r="O206" t="s">
        <v>74</v>
      </c>
      <c r="P206" t="s">
        <v>74</v>
      </c>
      <c r="Q206" t="s">
        <v>74</v>
      </c>
      <c r="R206" t="s">
        <v>74</v>
      </c>
      <c r="S206" t="s">
        <v>74</v>
      </c>
      <c r="T206" s="1" t="s">
        <v>4097</v>
      </c>
      <c r="U206" s="1" t="s">
        <v>4098</v>
      </c>
      <c r="V206" s="1" t="s">
        <v>4099</v>
      </c>
      <c r="W206" t="s">
        <v>4100</v>
      </c>
      <c r="X206" t="s">
        <v>4101</v>
      </c>
      <c r="Y206" t="s">
        <v>4102</v>
      </c>
      <c r="Z206" t="s">
        <v>4103</v>
      </c>
      <c r="AA206" t="s">
        <v>4104</v>
      </c>
      <c r="AB206" t="s">
        <v>4105</v>
      </c>
      <c r="AC206" t="s">
        <v>4106</v>
      </c>
      <c r="AD206" t="s">
        <v>4106</v>
      </c>
      <c r="AE206" t="s">
        <v>4107</v>
      </c>
      <c r="AF206" t="s">
        <v>74</v>
      </c>
      <c r="AG206">
        <v>40</v>
      </c>
      <c r="AH206">
        <v>6</v>
      </c>
      <c r="AI206">
        <v>6</v>
      </c>
      <c r="AJ206">
        <v>1</v>
      </c>
      <c r="AK206">
        <v>5</v>
      </c>
      <c r="AL206" t="s">
        <v>4079</v>
      </c>
      <c r="AM206" t="s">
        <v>4080</v>
      </c>
      <c r="AN206" t="s">
        <v>4081</v>
      </c>
      <c r="AO206" t="s">
        <v>4082</v>
      </c>
      <c r="AP206" t="s">
        <v>4083</v>
      </c>
      <c r="AQ206" t="s">
        <v>74</v>
      </c>
      <c r="AR206" t="s">
        <v>4084</v>
      </c>
      <c r="AS206" t="s">
        <v>4085</v>
      </c>
      <c r="AT206" t="s">
        <v>4086</v>
      </c>
      <c r="AU206">
        <v>2022</v>
      </c>
      <c r="AV206">
        <v>74</v>
      </c>
      <c r="AW206" t="s">
        <v>4087</v>
      </c>
      <c r="AX206" t="s">
        <v>74</v>
      </c>
      <c r="AY206">
        <v>3</v>
      </c>
      <c r="AZ206" t="s">
        <v>1020</v>
      </c>
      <c r="BA206" t="s">
        <v>74</v>
      </c>
      <c r="BB206" t="s">
        <v>4108</v>
      </c>
      <c r="BC206" t="s">
        <v>4109</v>
      </c>
      <c r="BD206" t="s">
        <v>74</v>
      </c>
      <c r="BE206" t="s">
        <v>4110</v>
      </c>
      <c r="BF206" t="str">
        <f>HYPERLINK("http://dx.doi.org/10.1093/cid/ciac048","http://dx.doi.org/10.1093/cid/ciac048")</f>
        <v>http://dx.doi.org/10.1093/cid/ciac048</v>
      </c>
      <c r="BG206" t="s">
        <v>74</v>
      </c>
      <c r="BH206" t="s">
        <v>74</v>
      </c>
      <c r="BI206">
        <v>7</v>
      </c>
      <c r="BJ206" t="s">
        <v>4091</v>
      </c>
      <c r="BK206" t="s">
        <v>102</v>
      </c>
      <c r="BL206" t="s">
        <v>4091</v>
      </c>
      <c r="BM206" t="s">
        <v>4092</v>
      </c>
      <c r="BN206">
        <v>35568480</v>
      </c>
      <c r="BO206" t="s">
        <v>2033</v>
      </c>
      <c r="BP206" t="s">
        <v>74</v>
      </c>
      <c r="BQ206" t="s">
        <v>74</v>
      </c>
      <c r="BR206" t="s">
        <v>106</v>
      </c>
      <c r="BS206" t="s">
        <v>4111</v>
      </c>
      <c r="BT206" t="str">
        <f>HYPERLINK("https%3A%2F%2Fwww.webofscience.com%2Fwos%2Fwoscc%2Ffull-record%2FWOS:000796257700010","View Full Record in Web of Science")</f>
        <v>View Full Record in Web of Science</v>
      </c>
    </row>
    <row r="207" spans="1:72" x14ac:dyDescent="0.25">
      <c r="A207" t="s">
        <v>72</v>
      </c>
      <c r="B207" t="s">
        <v>4112</v>
      </c>
      <c r="C207" t="s">
        <v>74</v>
      </c>
      <c r="D207" t="s">
        <v>74</v>
      </c>
      <c r="E207" t="s">
        <v>74</v>
      </c>
      <c r="F207" t="s">
        <v>4113</v>
      </c>
      <c r="G207" t="s">
        <v>74</v>
      </c>
      <c r="H207" t="s">
        <v>74</v>
      </c>
      <c r="I207" s="1" t="s">
        <v>4114</v>
      </c>
      <c r="J207" t="s">
        <v>4115</v>
      </c>
      <c r="K207" t="s">
        <v>74</v>
      </c>
      <c r="L207" t="s">
        <v>74</v>
      </c>
      <c r="M207" t="s">
        <v>78</v>
      </c>
      <c r="N207" t="s">
        <v>79</v>
      </c>
      <c r="O207" t="s">
        <v>74</v>
      </c>
      <c r="P207" t="s">
        <v>74</v>
      </c>
      <c r="Q207" t="s">
        <v>74</v>
      </c>
      <c r="R207" t="s">
        <v>74</v>
      </c>
      <c r="S207" t="s">
        <v>74</v>
      </c>
      <c r="T207" s="1" t="s">
        <v>4116</v>
      </c>
      <c r="U207" s="1" t="s">
        <v>4117</v>
      </c>
      <c r="V207" s="1" t="s">
        <v>4118</v>
      </c>
      <c r="W207" t="s">
        <v>4119</v>
      </c>
      <c r="X207" t="s">
        <v>4120</v>
      </c>
      <c r="Y207" t="s">
        <v>4121</v>
      </c>
      <c r="Z207" t="s">
        <v>4122</v>
      </c>
      <c r="AA207" t="s">
        <v>4123</v>
      </c>
      <c r="AB207" t="s">
        <v>4124</v>
      </c>
      <c r="AC207" t="s">
        <v>74</v>
      </c>
      <c r="AD207" t="s">
        <v>74</v>
      </c>
      <c r="AE207" t="s">
        <v>74</v>
      </c>
      <c r="AF207" t="s">
        <v>74</v>
      </c>
      <c r="AG207">
        <v>58</v>
      </c>
      <c r="AH207">
        <v>6</v>
      </c>
      <c r="AI207">
        <v>6</v>
      </c>
      <c r="AJ207">
        <v>5</v>
      </c>
      <c r="AK207">
        <v>15</v>
      </c>
      <c r="AL207" t="s">
        <v>715</v>
      </c>
      <c r="AM207" t="s">
        <v>716</v>
      </c>
      <c r="AN207" t="s">
        <v>717</v>
      </c>
      <c r="AO207" t="s">
        <v>4125</v>
      </c>
      <c r="AP207" t="s">
        <v>4126</v>
      </c>
      <c r="AQ207" t="s">
        <v>74</v>
      </c>
      <c r="AR207" t="s">
        <v>4127</v>
      </c>
      <c r="AS207" t="s">
        <v>4128</v>
      </c>
      <c r="AT207" t="s">
        <v>4129</v>
      </c>
      <c r="AU207">
        <v>2023</v>
      </c>
      <c r="AV207">
        <v>31</v>
      </c>
      <c r="AW207">
        <v>1</v>
      </c>
      <c r="AX207" t="s">
        <v>74</v>
      </c>
      <c r="AY207" t="s">
        <v>74</v>
      </c>
      <c r="AZ207" t="s">
        <v>1020</v>
      </c>
      <c r="BA207" t="s">
        <v>74</v>
      </c>
      <c r="BB207">
        <v>149</v>
      </c>
      <c r="BC207">
        <v>167</v>
      </c>
      <c r="BD207" t="s">
        <v>74</v>
      </c>
      <c r="BE207" t="s">
        <v>4130</v>
      </c>
      <c r="BF207" t="str">
        <f>HYPERLINK("http://dx.doi.org/10.1108/IJOA-10-2021-2987","http://dx.doi.org/10.1108/IJOA-10-2021-2987")</f>
        <v>http://dx.doi.org/10.1108/IJOA-10-2021-2987</v>
      </c>
      <c r="BG207" t="s">
        <v>74</v>
      </c>
      <c r="BH207" t="s">
        <v>4037</v>
      </c>
      <c r="BI207">
        <v>19</v>
      </c>
      <c r="BJ207" t="s">
        <v>315</v>
      </c>
      <c r="BK207" t="s">
        <v>183</v>
      </c>
      <c r="BL207" t="s">
        <v>265</v>
      </c>
      <c r="BM207" t="s">
        <v>4131</v>
      </c>
      <c r="BN207" t="s">
        <v>74</v>
      </c>
      <c r="BO207" t="s">
        <v>74</v>
      </c>
      <c r="BP207" t="s">
        <v>74</v>
      </c>
      <c r="BQ207" t="s">
        <v>74</v>
      </c>
      <c r="BR207" t="s">
        <v>106</v>
      </c>
      <c r="BS207" t="s">
        <v>4132</v>
      </c>
      <c r="BT207" t="str">
        <f>HYPERLINK("https%3A%2F%2Fwww.webofscience.com%2Fwos%2Fwoscc%2Ffull-record%2FWOS:000793338200001","View Full Record in Web of Science")</f>
        <v>View Full Record in Web of Science</v>
      </c>
    </row>
    <row r="208" spans="1:72" x14ac:dyDescent="0.25">
      <c r="A208" t="s">
        <v>72</v>
      </c>
      <c r="B208" t="s">
        <v>4244</v>
      </c>
      <c r="C208" t="s">
        <v>74</v>
      </c>
      <c r="D208" t="s">
        <v>74</v>
      </c>
      <c r="E208" t="s">
        <v>74</v>
      </c>
      <c r="F208" t="s">
        <v>4245</v>
      </c>
      <c r="G208" t="s">
        <v>74</v>
      </c>
      <c r="H208" t="s">
        <v>74</v>
      </c>
      <c r="I208" s="1" t="s">
        <v>4246</v>
      </c>
      <c r="J208" t="s">
        <v>323</v>
      </c>
      <c r="K208" t="s">
        <v>74</v>
      </c>
      <c r="L208" t="s">
        <v>74</v>
      </c>
      <c r="M208" t="s">
        <v>78</v>
      </c>
      <c r="N208" t="s">
        <v>79</v>
      </c>
      <c r="O208" t="s">
        <v>74</v>
      </c>
      <c r="P208" t="s">
        <v>74</v>
      </c>
      <c r="Q208" t="s">
        <v>74</v>
      </c>
      <c r="R208" t="s">
        <v>74</v>
      </c>
      <c r="S208" t="s">
        <v>74</v>
      </c>
      <c r="T208" s="1" t="s">
        <v>4247</v>
      </c>
      <c r="U208" s="1" t="s">
        <v>4248</v>
      </c>
      <c r="V208" s="1" t="s">
        <v>4249</v>
      </c>
      <c r="W208" t="s">
        <v>4250</v>
      </c>
      <c r="X208" t="s">
        <v>74</v>
      </c>
      <c r="Y208" t="s">
        <v>4251</v>
      </c>
      <c r="Z208" t="s">
        <v>4252</v>
      </c>
      <c r="AA208" t="s">
        <v>74</v>
      </c>
      <c r="AB208" t="s">
        <v>74</v>
      </c>
      <c r="AC208" t="s">
        <v>74</v>
      </c>
      <c r="AD208" t="s">
        <v>74</v>
      </c>
      <c r="AE208" t="s">
        <v>74</v>
      </c>
      <c r="AF208" t="s">
        <v>74</v>
      </c>
      <c r="AG208">
        <v>65</v>
      </c>
      <c r="AH208">
        <v>6</v>
      </c>
      <c r="AI208">
        <v>6</v>
      </c>
      <c r="AJ208">
        <v>12</v>
      </c>
      <c r="AK208">
        <v>42</v>
      </c>
      <c r="AL208" t="s">
        <v>202</v>
      </c>
      <c r="AM208" t="s">
        <v>203</v>
      </c>
      <c r="AN208" t="s">
        <v>204</v>
      </c>
      <c r="AO208" t="s">
        <v>74</v>
      </c>
      <c r="AP208" t="s">
        <v>3382</v>
      </c>
      <c r="AQ208" t="s">
        <v>74</v>
      </c>
      <c r="AR208" t="s">
        <v>323</v>
      </c>
      <c r="AS208" t="s">
        <v>3383</v>
      </c>
      <c r="AT208" t="s">
        <v>1280</v>
      </c>
      <c r="AU208">
        <v>2022</v>
      </c>
      <c r="AV208">
        <v>13</v>
      </c>
      <c r="AW208">
        <v>5</v>
      </c>
      <c r="AX208" t="s">
        <v>74</v>
      </c>
      <c r="AY208" t="s">
        <v>74</v>
      </c>
      <c r="AZ208" t="s">
        <v>74</v>
      </c>
      <c r="BA208" t="s">
        <v>74</v>
      </c>
      <c r="BB208" t="s">
        <v>74</v>
      </c>
      <c r="BC208" t="s">
        <v>74</v>
      </c>
      <c r="BD208">
        <v>253</v>
      </c>
      <c r="BE208" t="s">
        <v>4253</v>
      </c>
      <c r="BF208" t="str">
        <f>HYPERLINK("http://dx.doi.org/10.3390/info13050253","http://dx.doi.org/10.3390/info13050253")</f>
        <v>http://dx.doi.org/10.3390/info13050253</v>
      </c>
      <c r="BG208" t="s">
        <v>74</v>
      </c>
      <c r="BH208" t="s">
        <v>74</v>
      </c>
      <c r="BI208">
        <v>15</v>
      </c>
      <c r="BJ208" t="s">
        <v>1217</v>
      </c>
      <c r="BK208" t="s">
        <v>183</v>
      </c>
      <c r="BL208" t="s">
        <v>399</v>
      </c>
      <c r="BM208" t="s">
        <v>4254</v>
      </c>
      <c r="BN208" t="s">
        <v>74</v>
      </c>
      <c r="BO208" t="s">
        <v>186</v>
      </c>
      <c r="BP208" t="s">
        <v>74</v>
      </c>
      <c r="BQ208" t="s">
        <v>74</v>
      </c>
      <c r="BR208" t="s">
        <v>106</v>
      </c>
      <c r="BS208" t="s">
        <v>4255</v>
      </c>
      <c r="BT208" t="str">
        <f>HYPERLINK("https%3A%2F%2Fwww.webofscience.com%2Fwos%2Fwoscc%2Ffull-record%2FWOS:000803320500001","View Full Record in Web of Science")</f>
        <v>View Full Record in Web of Science</v>
      </c>
    </row>
    <row r="209" spans="1:72" x14ac:dyDescent="0.25">
      <c r="A209" t="s">
        <v>72</v>
      </c>
      <c r="B209" t="s">
        <v>5446</v>
      </c>
      <c r="C209" t="s">
        <v>74</v>
      </c>
      <c r="D209" t="s">
        <v>74</v>
      </c>
      <c r="E209" t="s">
        <v>74</v>
      </c>
      <c r="F209" t="s">
        <v>5447</v>
      </c>
      <c r="G209" t="s">
        <v>74</v>
      </c>
      <c r="H209" t="s">
        <v>74</v>
      </c>
      <c r="I209" s="1" t="s">
        <v>5448</v>
      </c>
      <c r="J209" t="s">
        <v>5449</v>
      </c>
      <c r="K209" t="s">
        <v>74</v>
      </c>
      <c r="L209" t="s">
        <v>74</v>
      </c>
      <c r="M209" t="s">
        <v>78</v>
      </c>
      <c r="N209" t="s">
        <v>79</v>
      </c>
      <c r="O209" t="s">
        <v>74</v>
      </c>
      <c r="P209" t="s">
        <v>74</v>
      </c>
      <c r="Q209" t="s">
        <v>74</v>
      </c>
      <c r="R209" t="s">
        <v>74</v>
      </c>
      <c r="S209" t="s">
        <v>74</v>
      </c>
      <c r="T209" s="1" t="s">
        <v>74</v>
      </c>
      <c r="U209" s="1" t="s">
        <v>74</v>
      </c>
      <c r="V209" s="1" t="s">
        <v>5450</v>
      </c>
      <c r="W209" t="s">
        <v>5451</v>
      </c>
      <c r="X209" t="s">
        <v>5452</v>
      </c>
      <c r="Y209" t="s">
        <v>5453</v>
      </c>
      <c r="Z209" t="s">
        <v>5454</v>
      </c>
      <c r="AA209" t="s">
        <v>74</v>
      </c>
      <c r="AB209" t="s">
        <v>5455</v>
      </c>
      <c r="AC209" t="s">
        <v>74</v>
      </c>
      <c r="AD209" t="s">
        <v>74</v>
      </c>
      <c r="AE209" t="s">
        <v>74</v>
      </c>
      <c r="AF209" t="s">
        <v>74</v>
      </c>
      <c r="AG209">
        <v>30</v>
      </c>
      <c r="AH209">
        <v>6</v>
      </c>
      <c r="AI209">
        <v>6</v>
      </c>
      <c r="AJ209">
        <v>2</v>
      </c>
      <c r="AK209">
        <v>11</v>
      </c>
      <c r="AL209" t="s">
        <v>146</v>
      </c>
      <c r="AM209" t="s">
        <v>147</v>
      </c>
      <c r="AN209" t="s">
        <v>148</v>
      </c>
      <c r="AO209" t="s">
        <v>5456</v>
      </c>
      <c r="AP209" t="s">
        <v>5457</v>
      </c>
      <c r="AQ209" t="s">
        <v>74</v>
      </c>
      <c r="AR209" t="s">
        <v>5458</v>
      </c>
      <c r="AS209" t="s">
        <v>5459</v>
      </c>
      <c r="AT209" t="s">
        <v>2068</v>
      </c>
      <c r="AU209">
        <v>2022</v>
      </c>
      <c r="AV209">
        <v>65</v>
      </c>
      <c r="AW209">
        <v>1</v>
      </c>
      <c r="AX209" t="s">
        <v>74</v>
      </c>
      <c r="AY209" t="s">
        <v>74</v>
      </c>
      <c r="AZ209" t="s">
        <v>74</v>
      </c>
      <c r="BA209" t="s">
        <v>74</v>
      </c>
      <c r="BB209">
        <v>117</v>
      </c>
      <c r="BC209">
        <v>133</v>
      </c>
      <c r="BD209" t="s">
        <v>74</v>
      </c>
      <c r="BE209" t="s">
        <v>5460</v>
      </c>
      <c r="BF209" t="str">
        <f>HYPERLINK("http://dx.doi.org/10.1111/cura.12455","http://dx.doi.org/10.1111/cura.12455")</f>
        <v>http://dx.doi.org/10.1111/cura.12455</v>
      </c>
      <c r="BG209" t="s">
        <v>74</v>
      </c>
      <c r="BH209" t="s">
        <v>5461</v>
      </c>
      <c r="BI209">
        <v>17</v>
      </c>
      <c r="BJ209" t="s">
        <v>2192</v>
      </c>
      <c r="BK209" t="s">
        <v>3239</v>
      </c>
      <c r="BL209" t="s">
        <v>2193</v>
      </c>
      <c r="BM209" t="s">
        <v>5462</v>
      </c>
      <c r="BN209">
        <v>35440824</v>
      </c>
      <c r="BO209" t="s">
        <v>3175</v>
      </c>
      <c r="BP209" t="s">
        <v>74</v>
      </c>
      <c r="BQ209" t="s">
        <v>74</v>
      </c>
      <c r="BR209" t="s">
        <v>106</v>
      </c>
      <c r="BS209" t="s">
        <v>5463</v>
      </c>
      <c r="BT209" t="str">
        <f>HYPERLINK("https%3A%2F%2Fwww.webofscience.com%2Fwos%2Fwoscc%2Ffull-record%2FWOS:000723010600001","View Full Record in Web of Science")</f>
        <v>View Full Record in Web of Science</v>
      </c>
    </row>
    <row r="210" spans="1:72" x14ac:dyDescent="0.25">
      <c r="A210" t="s">
        <v>72</v>
      </c>
      <c r="B210" t="s">
        <v>5464</v>
      </c>
      <c r="C210" t="s">
        <v>74</v>
      </c>
      <c r="D210" t="s">
        <v>74</v>
      </c>
      <c r="E210" t="s">
        <v>74</v>
      </c>
      <c r="F210" t="s">
        <v>5465</v>
      </c>
      <c r="G210" t="s">
        <v>74</v>
      </c>
      <c r="H210" t="s">
        <v>74</v>
      </c>
      <c r="I210" s="1" t="s">
        <v>5466</v>
      </c>
      <c r="J210" t="s">
        <v>5467</v>
      </c>
      <c r="K210" t="s">
        <v>74</v>
      </c>
      <c r="L210" t="s">
        <v>74</v>
      </c>
      <c r="M210" t="s">
        <v>78</v>
      </c>
      <c r="N210" t="s">
        <v>79</v>
      </c>
      <c r="O210" t="s">
        <v>74</v>
      </c>
      <c r="P210" t="s">
        <v>74</v>
      </c>
      <c r="Q210" t="s">
        <v>74</v>
      </c>
      <c r="R210" t="s">
        <v>74</v>
      </c>
      <c r="S210" t="s">
        <v>74</v>
      </c>
      <c r="T210" s="1" t="s">
        <v>5468</v>
      </c>
      <c r="U210" s="1" t="s">
        <v>5469</v>
      </c>
      <c r="V210" s="1" t="s">
        <v>5470</v>
      </c>
      <c r="W210" t="s">
        <v>5471</v>
      </c>
      <c r="X210" t="s">
        <v>74</v>
      </c>
      <c r="Y210" t="s">
        <v>5472</v>
      </c>
      <c r="Z210" t="s">
        <v>5473</v>
      </c>
      <c r="AA210" t="s">
        <v>74</v>
      </c>
      <c r="AB210" t="s">
        <v>74</v>
      </c>
      <c r="AC210" t="s">
        <v>74</v>
      </c>
      <c r="AD210" t="s">
        <v>74</v>
      </c>
      <c r="AE210" t="s">
        <v>74</v>
      </c>
      <c r="AF210" t="s">
        <v>74</v>
      </c>
      <c r="AG210">
        <v>45</v>
      </c>
      <c r="AH210">
        <v>6</v>
      </c>
      <c r="AI210">
        <v>6</v>
      </c>
      <c r="AJ210">
        <v>4</v>
      </c>
      <c r="AK210">
        <v>19</v>
      </c>
      <c r="AL210" t="s">
        <v>231</v>
      </c>
      <c r="AM210" t="s">
        <v>232</v>
      </c>
      <c r="AN210" t="s">
        <v>233</v>
      </c>
      <c r="AO210" t="s">
        <v>5474</v>
      </c>
      <c r="AP210" t="s">
        <v>5475</v>
      </c>
      <c r="AQ210" t="s">
        <v>74</v>
      </c>
      <c r="AR210" t="s">
        <v>5476</v>
      </c>
      <c r="AS210" t="s">
        <v>5477</v>
      </c>
      <c r="AT210" t="s">
        <v>2068</v>
      </c>
      <c r="AU210">
        <v>2022</v>
      </c>
      <c r="AV210">
        <v>36</v>
      </c>
      <c r="AW210" t="s">
        <v>74</v>
      </c>
      <c r="AX210" t="s">
        <v>74</v>
      </c>
      <c r="AY210" t="s">
        <v>74</v>
      </c>
      <c r="AZ210" t="s">
        <v>74</v>
      </c>
      <c r="BA210" t="s">
        <v>74</v>
      </c>
      <c r="BB210" t="s">
        <v>74</v>
      </c>
      <c r="BC210" t="s">
        <v>74</v>
      </c>
      <c r="BD210" t="s">
        <v>74</v>
      </c>
      <c r="BE210" t="s">
        <v>5478</v>
      </c>
      <c r="BF210" t="str">
        <f>HYPERLINK("http://dx.doi.org/10.1016/j.cirpj.2021.10.011","http://dx.doi.org/10.1016/j.cirpj.2021.10.011")</f>
        <v>http://dx.doi.org/10.1016/j.cirpj.2021.10.011</v>
      </c>
      <c r="BG210" t="s">
        <v>74</v>
      </c>
      <c r="BH210" t="s">
        <v>5461</v>
      </c>
      <c r="BI210">
        <v>10</v>
      </c>
      <c r="BJ210" t="s">
        <v>5479</v>
      </c>
      <c r="BK210" t="s">
        <v>102</v>
      </c>
      <c r="BL210" t="s">
        <v>1685</v>
      </c>
      <c r="BM210" t="s">
        <v>5480</v>
      </c>
      <c r="BN210" t="s">
        <v>74</v>
      </c>
      <c r="BO210" t="s">
        <v>74</v>
      </c>
      <c r="BP210" t="s">
        <v>74</v>
      </c>
      <c r="BQ210" t="s">
        <v>74</v>
      </c>
      <c r="BR210" t="s">
        <v>106</v>
      </c>
      <c r="BS210" t="s">
        <v>5481</v>
      </c>
      <c r="BT210" t="str">
        <f>HYPERLINK("https%3A%2F%2Fwww.webofscience.com%2Fwos%2Fwoscc%2Ffull-record%2FWOS:000721112900004","View Full Record in Web of Science")</f>
        <v>View Full Record in Web of Science</v>
      </c>
    </row>
    <row r="211" spans="1:72" x14ac:dyDescent="0.25">
      <c r="A211" t="s">
        <v>72</v>
      </c>
      <c r="B211" t="s">
        <v>5502</v>
      </c>
      <c r="C211" t="s">
        <v>74</v>
      </c>
      <c r="D211" t="s">
        <v>74</v>
      </c>
      <c r="E211" t="s">
        <v>74</v>
      </c>
      <c r="F211" t="s">
        <v>5503</v>
      </c>
      <c r="G211" t="s">
        <v>74</v>
      </c>
      <c r="H211" t="s">
        <v>74</v>
      </c>
      <c r="I211" s="1" t="s">
        <v>5504</v>
      </c>
      <c r="J211" t="s">
        <v>5505</v>
      </c>
      <c r="K211" t="s">
        <v>74</v>
      </c>
      <c r="L211" t="s">
        <v>74</v>
      </c>
      <c r="M211" t="s">
        <v>78</v>
      </c>
      <c r="N211" t="s">
        <v>79</v>
      </c>
      <c r="O211" t="s">
        <v>74</v>
      </c>
      <c r="P211" t="s">
        <v>74</v>
      </c>
      <c r="Q211" t="s">
        <v>74</v>
      </c>
      <c r="R211" t="s">
        <v>74</v>
      </c>
      <c r="S211" t="s">
        <v>74</v>
      </c>
      <c r="T211" s="1" t="s">
        <v>5506</v>
      </c>
      <c r="U211" s="1" t="s">
        <v>5507</v>
      </c>
      <c r="V211" s="1" t="s">
        <v>5508</v>
      </c>
      <c r="W211" t="s">
        <v>5509</v>
      </c>
      <c r="X211" t="s">
        <v>5510</v>
      </c>
      <c r="Y211" t="s">
        <v>5511</v>
      </c>
      <c r="Z211" t="s">
        <v>5512</v>
      </c>
      <c r="AA211" t="s">
        <v>74</v>
      </c>
      <c r="AB211" t="s">
        <v>74</v>
      </c>
      <c r="AC211" t="s">
        <v>5513</v>
      </c>
      <c r="AD211" t="s">
        <v>5514</v>
      </c>
      <c r="AE211" t="s">
        <v>5515</v>
      </c>
      <c r="AF211" t="s">
        <v>74</v>
      </c>
      <c r="AG211">
        <v>72</v>
      </c>
      <c r="AH211">
        <v>6</v>
      </c>
      <c r="AI211">
        <v>6</v>
      </c>
      <c r="AJ211">
        <v>14</v>
      </c>
      <c r="AK211">
        <v>150</v>
      </c>
      <c r="AL211" t="s">
        <v>5516</v>
      </c>
      <c r="AM211" t="s">
        <v>5517</v>
      </c>
      <c r="AN211" t="s">
        <v>5518</v>
      </c>
      <c r="AO211" t="s">
        <v>5519</v>
      </c>
      <c r="AP211" t="s">
        <v>74</v>
      </c>
      <c r="AQ211" t="s">
        <v>74</v>
      </c>
      <c r="AR211" t="s">
        <v>5505</v>
      </c>
      <c r="AS211" t="s">
        <v>5520</v>
      </c>
      <c r="AT211" t="s">
        <v>99</v>
      </c>
      <c r="AU211">
        <v>2021</v>
      </c>
      <c r="AV211">
        <v>16</v>
      </c>
      <c r="AW211">
        <v>4</v>
      </c>
      <c r="AX211" t="s">
        <v>74</v>
      </c>
      <c r="AY211" t="s">
        <v>74</v>
      </c>
      <c r="AZ211" t="s">
        <v>74</v>
      </c>
      <c r="BA211" t="s">
        <v>74</v>
      </c>
      <c r="BB211">
        <v>7647</v>
      </c>
      <c r="BC211">
        <v>7669</v>
      </c>
      <c r="BD211" t="s">
        <v>74</v>
      </c>
      <c r="BE211" t="s">
        <v>5521</v>
      </c>
      <c r="BF211" t="str">
        <f>HYPERLINK("http://dx.doi.org/10.15376/biores.16.4.7648-7670","http://dx.doi.org/10.15376/biores.16.4.7648-7670")</f>
        <v>http://dx.doi.org/10.15376/biores.16.4.7648-7670</v>
      </c>
      <c r="BG211" t="s">
        <v>74</v>
      </c>
      <c r="BH211" t="s">
        <v>74</v>
      </c>
      <c r="BI211">
        <v>23</v>
      </c>
      <c r="BJ211" t="s">
        <v>5522</v>
      </c>
      <c r="BK211" t="s">
        <v>211</v>
      </c>
      <c r="BL211" t="s">
        <v>5523</v>
      </c>
      <c r="BM211" t="s">
        <v>5524</v>
      </c>
      <c r="BN211" t="s">
        <v>74</v>
      </c>
      <c r="BO211" t="s">
        <v>186</v>
      </c>
      <c r="BP211" t="s">
        <v>74</v>
      </c>
      <c r="BQ211" t="s">
        <v>74</v>
      </c>
      <c r="BR211" t="s">
        <v>106</v>
      </c>
      <c r="BS211" t="s">
        <v>5525</v>
      </c>
      <c r="BT211" t="str">
        <f>HYPERLINK("https%3A%2F%2Fwww.webofscience.com%2Fwos%2Fwoscc%2Ffull-record%2FWOS:000750851200076","View Full Record in Web of Science")</f>
        <v>View Full Record in Web of Science</v>
      </c>
    </row>
    <row r="212" spans="1:72" x14ac:dyDescent="0.25">
      <c r="A212" t="s">
        <v>72</v>
      </c>
      <c r="B212" t="s">
        <v>5526</v>
      </c>
      <c r="C212" t="s">
        <v>74</v>
      </c>
      <c r="D212" t="s">
        <v>74</v>
      </c>
      <c r="E212" t="s">
        <v>74</v>
      </c>
      <c r="F212" t="s">
        <v>5527</v>
      </c>
      <c r="G212" t="s">
        <v>74</v>
      </c>
      <c r="H212" t="s">
        <v>74</v>
      </c>
      <c r="I212" s="1" t="s">
        <v>5528</v>
      </c>
      <c r="J212" t="s">
        <v>5529</v>
      </c>
      <c r="K212" t="s">
        <v>74</v>
      </c>
      <c r="L212" t="s">
        <v>74</v>
      </c>
      <c r="M212" t="s">
        <v>78</v>
      </c>
      <c r="N212" t="s">
        <v>79</v>
      </c>
      <c r="O212" t="s">
        <v>74</v>
      </c>
      <c r="P212" t="s">
        <v>74</v>
      </c>
      <c r="Q212" t="s">
        <v>74</v>
      </c>
      <c r="R212" t="s">
        <v>74</v>
      </c>
      <c r="S212" t="s">
        <v>74</v>
      </c>
      <c r="T212" s="1" t="s">
        <v>5530</v>
      </c>
      <c r="U212" s="1" t="s">
        <v>74</v>
      </c>
      <c r="V212" s="1" t="s">
        <v>5531</v>
      </c>
      <c r="W212" t="s">
        <v>5532</v>
      </c>
      <c r="X212" t="s">
        <v>5533</v>
      </c>
      <c r="Y212" t="s">
        <v>5534</v>
      </c>
      <c r="Z212" t="s">
        <v>5535</v>
      </c>
      <c r="AA212" t="s">
        <v>74</v>
      </c>
      <c r="AB212" t="s">
        <v>74</v>
      </c>
      <c r="AC212" t="s">
        <v>74</v>
      </c>
      <c r="AD212" t="s">
        <v>74</v>
      </c>
      <c r="AE212" t="s">
        <v>74</v>
      </c>
      <c r="AF212" t="s">
        <v>74</v>
      </c>
      <c r="AG212">
        <v>27</v>
      </c>
      <c r="AH212">
        <v>6</v>
      </c>
      <c r="AI212">
        <v>6</v>
      </c>
      <c r="AJ212">
        <v>2</v>
      </c>
      <c r="AK212">
        <v>8</v>
      </c>
      <c r="AL212" t="s">
        <v>5536</v>
      </c>
      <c r="AM212" t="s">
        <v>122</v>
      </c>
      <c r="AN212" t="s">
        <v>5537</v>
      </c>
      <c r="AO212" t="s">
        <v>5538</v>
      </c>
      <c r="AP212" t="s">
        <v>5539</v>
      </c>
      <c r="AQ212" t="s">
        <v>74</v>
      </c>
      <c r="AR212" t="s">
        <v>5540</v>
      </c>
      <c r="AS212" t="s">
        <v>5541</v>
      </c>
      <c r="AT212" t="s">
        <v>99</v>
      </c>
      <c r="AU212">
        <v>2021</v>
      </c>
      <c r="AV212">
        <v>91</v>
      </c>
      <c r="AW212">
        <v>6</v>
      </c>
      <c r="AX212" t="s">
        <v>74</v>
      </c>
      <c r="AY212" t="s">
        <v>74</v>
      </c>
      <c r="AZ212" t="s">
        <v>74</v>
      </c>
      <c r="BA212" t="s">
        <v>74</v>
      </c>
      <c r="BB212">
        <v>736</v>
      </c>
      <c r="BC212">
        <v>742</v>
      </c>
      <c r="BD212" t="s">
        <v>74</v>
      </c>
      <c r="BE212" t="s">
        <v>5542</v>
      </c>
      <c r="BF212" t="str">
        <f>HYPERLINK("http://dx.doi.org/10.1134/S1019331621060150","http://dx.doi.org/10.1134/S1019331621060150")</f>
        <v>http://dx.doi.org/10.1134/S1019331621060150</v>
      </c>
      <c r="BG212" t="s">
        <v>74</v>
      </c>
      <c r="BH212" t="s">
        <v>74</v>
      </c>
      <c r="BI212">
        <v>7</v>
      </c>
      <c r="BJ212" t="s">
        <v>5543</v>
      </c>
      <c r="BK212" t="s">
        <v>102</v>
      </c>
      <c r="BL212" t="s">
        <v>5544</v>
      </c>
      <c r="BM212" t="s">
        <v>5545</v>
      </c>
      <c r="BN212">
        <v>35125845</v>
      </c>
      <c r="BO212" t="s">
        <v>2033</v>
      </c>
      <c r="BP212" t="s">
        <v>74</v>
      </c>
      <c r="BQ212" t="s">
        <v>74</v>
      </c>
      <c r="BR212" t="s">
        <v>106</v>
      </c>
      <c r="BS212" t="s">
        <v>5546</v>
      </c>
      <c r="BT212" t="str">
        <f>HYPERLINK("https%3A%2F%2Fwww.webofscience.com%2Fwos%2Fwoscc%2Ffull-record%2FWOS:000750345500017","View Full Record in Web of Science")</f>
        <v>View Full Record in Web of Science</v>
      </c>
    </row>
    <row r="213" spans="1:72" x14ac:dyDescent="0.25">
      <c r="A213" t="s">
        <v>72</v>
      </c>
      <c r="B213" t="s">
        <v>5853</v>
      </c>
      <c r="C213" t="s">
        <v>74</v>
      </c>
      <c r="D213" t="s">
        <v>74</v>
      </c>
      <c r="E213" t="s">
        <v>74</v>
      </c>
      <c r="F213" t="s">
        <v>5854</v>
      </c>
      <c r="G213" t="s">
        <v>74</v>
      </c>
      <c r="H213" t="s">
        <v>74</v>
      </c>
      <c r="I213" s="1" t="s">
        <v>5855</v>
      </c>
      <c r="J213" t="s">
        <v>5856</v>
      </c>
      <c r="K213" t="s">
        <v>74</v>
      </c>
      <c r="L213" t="s">
        <v>74</v>
      </c>
      <c r="M213" t="s">
        <v>78</v>
      </c>
      <c r="N213" t="s">
        <v>79</v>
      </c>
      <c r="O213" t="s">
        <v>74</v>
      </c>
      <c r="P213" t="s">
        <v>74</v>
      </c>
      <c r="Q213" t="s">
        <v>74</v>
      </c>
      <c r="R213" t="s">
        <v>74</v>
      </c>
      <c r="S213" t="s">
        <v>74</v>
      </c>
      <c r="T213" s="1" t="s">
        <v>5857</v>
      </c>
      <c r="U213" s="1" t="s">
        <v>5858</v>
      </c>
      <c r="V213" s="1" t="s">
        <v>5859</v>
      </c>
      <c r="W213" t="s">
        <v>5860</v>
      </c>
      <c r="X213" t="s">
        <v>5861</v>
      </c>
      <c r="Y213" t="s">
        <v>5862</v>
      </c>
      <c r="Z213" t="s">
        <v>5863</v>
      </c>
      <c r="AA213" t="s">
        <v>74</v>
      </c>
      <c r="AB213" t="s">
        <v>74</v>
      </c>
      <c r="AC213" t="s">
        <v>74</v>
      </c>
      <c r="AD213" t="s">
        <v>74</v>
      </c>
      <c r="AE213" t="s">
        <v>74</v>
      </c>
      <c r="AF213" t="s">
        <v>74</v>
      </c>
      <c r="AG213">
        <v>58</v>
      </c>
      <c r="AH213">
        <v>6</v>
      </c>
      <c r="AI213">
        <v>6</v>
      </c>
      <c r="AJ213">
        <v>3</v>
      </c>
      <c r="AK213">
        <v>31</v>
      </c>
      <c r="AL213" t="s">
        <v>202</v>
      </c>
      <c r="AM213" t="s">
        <v>203</v>
      </c>
      <c r="AN213" t="s">
        <v>204</v>
      </c>
      <c r="AO213" t="s">
        <v>74</v>
      </c>
      <c r="AP213" t="s">
        <v>5864</v>
      </c>
      <c r="AQ213" t="s">
        <v>74</v>
      </c>
      <c r="AR213" t="s">
        <v>5856</v>
      </c>
      <c r="AS213" t="s">
        <v>5865</v>
      </c>
      <c r="AT213" t="s">
        <v>356</v>
      </c>
      <c r="AU213">
        <v>2021</v>
      </c>
      <c r="AV213">
        <v>10</v>
      </c>
      <c r="AW213">
        <v>3</v>
      </c>
      <c r="AX213" t="s">
        <v>74</v>
      </c>
      <c r="AY213" t="s">
        <v>74</v>
      </c>
      <c r="AZ213" t="s">
        <v>74</v>
      </c>
      <c r="BA213" t="s">
        <v>74</v>
      </c>
      <c r="BB213" t="s">
        <v>74</v>
      </c>
      <c r="BC213" t="s">
        <v>74</v>
      </c>
      <c r="BD213">
        <v>48</v>
      </c>
      <c r="BE213" t="s">
        <v>5866</v>
      </c>
      <c r="BF213" t="str">
        <f>HYPERLINK("http://dx.doi.org/10.3390/arts10030048","http://dx.doi.org/10.3390/arts10030048")</f>
        <v>http://dx.doi.org/10.3390/arts10030048</v>
      </c>
      <c r="BG213" t="s">
        <v>74</v>
      </c>
      <c r="BH213" t="s">
        <v>74</v>
      </c>
      <c r="BI213">
        <v>23</v>
      </c>
      <c r="BJ213" t="s">
        <v>2192</v>
      </c>
      <c r="BK213" t="s">
        <v>183</v>
      </c>
      <c r="BL213" t="s">
        <v>2193</v>
      </c>
      <c r="BM213" t="s">
        <v>5867</v>
      </c>
      <c r="BN213" t="s">
        <v>74</v>
      </c>
      <c r="BO213" t="s">
        <v>186</v>
      </c>
      <c r="BP213" t="s">
        <v>74</v>
      </c>
      <c r="BQ213" t="s">
        <v>74</v>
      </c>
      <c r="BR213" t="s">
        <v>106</v>
      </c>
      <c r="BS213" t="s">
        <v>5868</v>
      </c>
      <c r="BT213" t="str">
        <f>HYPERLINK("https%3A%2F%2Fwww.webofscience.com%2Fwos%2Fwoscc%2Ffull-record%2FWOS:000699218500001","View Full Record in Web of Science")</f>
        <v>View Full Record in Web of Science</v>
      </c>
    </row>
    <row r="214" spans="1:72" x14ac:dyDescent="0.25">
      <c r="A214" t="s">
        <v>72</v>
      </c>
      <c r="B214" t="s">
        <v>6080</v>
      </c>
      <c r="C214" t="s">
        <v>74</v>
      </c>
      <c r="D214" t="s">
        <v>74</v>
      </c>
      <c r="E214" t="s">
        <v>74</v>
      </c>
      <c r="F214" t="s">
        <v>6081</v>
      </c>
      <c r="G214" t="s">
        <v>74</v>
      </c>
      <c r="H214" t="s">
        <v>74</v>
      </c>
      <c r="I214" s="1" t="s">
        <v>6082</v>
      </c>
      <c r="J214" t="s">
        <v>3701</v>
      </c>
      <c r="K214" t="s">
        <v>74</v>
      </c>
      <c r="L214" t="s">
        <v>74</v>
      </c>
      <c r="M214" t="s">
        <v>78</v>
      </c>
      <c r="N214" t="s">
        <v>79</v>
      </c>
      <c r="O214" t="s">
        <v>74</v>
      </c>
      <c r="P214" t="s">
        <v>74</v>
      </c>
      <c r="Q214" t="s">
        <v>74</v>
      </c>
      <c r="R214" t="s">
        <v>74</v>
      </c>
      <c r="S214" t="s">
        <v>74</v>
      </c>
      <c r="T214" s="1" t="s">
        <v>6083</v>
      </c>
      <c r="U214" s="1" t="s">
        <v>6084</v>
      </c>
      <c r="V214" s="1" t="s">
        <v>6085</v>
      </c>
      <c r="W214" t="s">
        <v>6086</v>
      </c>
      <c r="X214" t="s">
        <v>6087</v>
      </c>
      <c r="Y214" t="s">
        <v>6088</v>
      </c>
      <c r="Z214" t="s">
        <v>6089</v>
      </c>
      <c r="AA214" t="s">
        <v>74</v>
      </c>
      <c r="AB214" t="s">
        <v>74</v>
      </c>
      <c r="AC214" t="s">
        <v>74</v>
      </c>
      <c r="AD214" t="s">
        <v>74</v>
      </c>
      <c r="AE214" t="s">
        <v>74</v>
      </c>
      <c r="AF214" t="s">
        <v>74</v>
      </c>
      <c r="AG214">
        <v>97</v>
      </c>
      <c r="AH214">
        <v>6</v>
      </c>
      <c r="AI214">
        <v>6</v>
      </c>
      <c r="AJ214">
        <v>4</v>
      </c>
      <c r="AK214">
        <v>65</v>
      </c>
      <c r="AL214" t="s">
        <v>715</v>
      </c>
      <c r="AM214" t="s">
        <v>716</v>
      </c>
      <c r="AN214" t="s">
        <v>717</v>
      </c>
      <c r="AO214" t="s">
        <v>3711</v>
      </c>
      <c r="AP214" t="s">
        <v>3712</v>
      </c>
      <c r="AQ214" t="s">
        <v>74</v>
      </c>
      <c r="AR214" t="s">
        <v>3713</v>
      </c>
      <c r="AS214" t="s">
        <v>3714</v>
      </c>
      <c r="AT214" t="s">
        <v>6090</v>
      </c>
      <c r="AU214">
        <v>2022</v>
      </c>
      <c r="AV214">
        <v>28</v>
      </c>
      <c r="AW214">
        <v>5</v>
      </c>
      <c r="AX214" t="s">
        <v>74</v>
      </c>
      <c r="AY214" t="s">
        <v>74</v>
      </c>
      <c r="AZ214" t="s">
        <v>1020</v>
      </c>
      <c r="BA214" t="s">
        <v>74</v>
      </c>
      <c r="BB214">
        <v>1292</v>
      </c>
      <c r="BC214">
        <v>1309</v>
      </c>
      <c r="BD214" t="s">
        <v>74</v>
      </c>
      <c r="BE214" t="s">
        <v>6091</v>
      </c>
      <c r="BF214" t="str">
        <f>HYPERLINK("http://dx.doi.org/10.1108/IJEBR-01-2021-0077","http://dx.doi.org/10.1108/IJEBR-01-2021-0077")</f>
        <v>http://dx.doi.org/10.1108/IJEBR-01-2021-0077</v>
      </c>
      <c r="BG214" t="s">
        <v>74</v>
      </c>
      <c r="BH214" t="s">
        <v>6012</v>
      </c>
      <c r="BI214">
        <v>18</v>
      </c>
      <c r="BJ214" t="s">
        <v>264</v>
      </c>
      <c r="BK214" t="s">
        <v>156</v>
      </c>
      <c r="BL214" t="s">
        <v>265</v>
      </c>
      <c r="BM214" t="s">
        <v>6092</v>
      </c>
      <c r="BN214" t="s">
        <v>74</v>
      </c>
      <c r="BO214" t="s">
        <v>74</v>
      </c>
      <c r="BP214" t="s">
        <v>74</v>
      </c>
      <c r="BQ214" t="s">
        <v>74</v>
      </c>
      <c r="BR214" t="s">
        <v>106</v>
      </c>
      <c r="BS214" t="s">
        <v>6093</v>
      </c>
      <c r="BT214" t="str">
        <f>HYPERLINK("https%3A%2F%2Fwww.webofscience.com%2Fwos%2Fwoscc%2Ffull-record%2FWOS:000670396600001","View Full Record in Web of Science")</f>
        <v>View Full Record in Web of Science</v>
      </c>
    </row>
    <row r="215" spans="1:72" x14ac:dyDescent="0.25">
      <c r="A215" t="s">
        <v>72</v>
      </c>
      <c r="B215" t="s">
        <v>6800</v>
      </c>
      <c r="C215" t="s">
        <v>74</v>
      </c>
      <c r="D215" t="s">
        <v>74</v>
      </c>
      <c r="E215" t="s">
        <v>74</v>
      </c>
      <c r="F215" t="s">
        <v>6801</v>
      </c>
      <c r="G215" t="s">
        <v>74</v>
      </c>
      <c r="H215" t="s">
        <v>74</v>
      </c>
      <c r="I215" s="1" t="s">
        <v>6802</v>
      </c>
      <c r="J215" t="s">
        <v>6803</v>
      </c>
      <c r="K215" t="s">
        <v>74</v>
      </c>
      <c r="L215" t="s">
        <v>74</v>
      </c>
      <c r="M215" t="s">
        <v>78</v>
      </c>
      <c r="N215" t="s">
        <v>79</v>
      </c>
      <c r="O215" t="s">
        <v>74</v>
      </c>
      <c r="P215" t="s">
        <v>74</v>
      </c>
      <c r="Q215" t="s">
        <v>74</v>
      </c>
      <c r="R215" t="s">
        <v>74</v>
      </c>
      <c r="S215" t="s">
        <v>74</v>
      </c>
      <c r="T215" s="1" t="s">
        <v>6804</v>
      </c>
      <c r="U215" s="1" t="s">
        <v>74</v>
      </c>
      <c r="V215" s="1" t="s">
        <v>6805</v>
      </c>
      <c r="W215" t="s">
        <v>6806</v>
      </c>
      <c r="X215" t="s">
        <v>6807</v>
      </c>
      <c r="Y215" t="s">
        <v>6808</v>
      </c>
      <c r="Z215" t="s">
        <v>6809</v>
      </c>
      <c r="AA215" t="s">
        <v>6810</v>
      </c>
      <c r="AB215" t="s">
        <v>6811</v>
      </c>
      <c r="AC215" t="s">
        <v>74</v>
      </c>
      <c r="AD215" t="s">
        <v>74</v>
      </c>
      <c r="AE215" t="s">
        <v>74</v>
      </c>
      <c r="AF215" t="s">
        <v>74</v>
      </c>
      <c r="AG215">
        <v>29</v>
      </c>
      <c r="AH215">
        <v>6</v>
      </c>
      <c r="AI215">
        <v>6</v>
      </c>
      <c r="AJ215">
        <v>0</v>
      </c>
      <c r="AK215">
        <v>13</v>
      </c>
      <c r="AL215" t="s">
        <v>492</v>
      </c>
      <c r="AM215" t="s">
        <v>493</v>
      </c>
      <c r="AN215" t="s">
        <v>494</v>
      </c>
      <c r="AO215" t="s">
        <v>6812</v>
      </c>
      <c r="AP215" t="s">
        <v>6813</v>
      </c>
      <c r="AQ215" t="s">
        <v>74</v>
      </c>
      <c r="AR215" t="s">
        <v>6814</v>
      </c>
      <c r="AS215" t="s">
        <v>6815</v>
      </c>
      <c r="AT215" t="s">
        <v>3195</v>
      </c>
      <c r="AU215">
        <v>2022</v>
      </c>
      <c r="AV215">
        <v>22</v>
      </c>
      <c r="AW215">
        <v>5</v>
      </c>
      <c r="AX215" t="s">
        <v>74</v>
      </c>
      <c r="AY215" t="s">
        <v>74</v>
      </c>
      <c r="AZ215" t="s">
        <v>74</v>
      </c>
      <c r="BA215" t="s">
        <v>74</v>
      </c>
      <c r="BB215">
        <v>1163</v>
      </c>
      <c r="BC215">
        <v>1178</v>
      </c>
      <c r="BD215" t="s">
        <v>74</v>
      </c>
      <c r="BE215" t="s">
        <v>6816</v>
      </c>
      <c r="BF215" t="str">
        <f>HYPERLINK("http://dx.doi.org/10.1080/14680777.2021.1878547","http://dx.doi.org/10.1080/14680777.2021.1878547")</f>
        <v>http://dx.doi.org/10.1080/14680777.2021.1878547</v>
      </c>
      <c r="BG215" t="s">
        <v>74</v>
      </c>
      <c r="BH215" t="s">
        <v>6817</v>
      </c>
      <c r="BI215">
        <v>16</v>
      </c>
      <c r="BJ215" t="s">
        <v>6818</v>
      </c>
      <c r="BK215" t="s">
        <v>156</v>
      </c>
      <c r="BL215" t="s">
        <v>6818</v>
      </c>
      <c r="BM215" t="s">
        <v>6819</v>
      </c>
      <c r="BN215" t="s">
        <v>74</v>
      </c>
      <c r="BO215" t="s">
        <v>74</v>
      </c>
      <c r="BP215" t="s">
        <v>74</v>
      </c>
      <c r="BQ215" t="s">
        <v>74</v>
      </c>
      <c r="BR215" t="s">
        <v>106</v>
      </c>
      <c r="BS215" t="s">
        <v>6820</v>
      </c>
      <c r="BT215" t="str">
        <f>HYPERLINK("https%3A%2F%2Fwww.webofscience.com%2Fwos%2Fwoscc%2Ffull-record%2FWOS:000611636700001","View Full Record in Web of Science")</f>
        <v>View Full Record in Web of Science</v>
      </c>
    </row>
    <row r="216" spans="1:72" x14ac:dyDescent="0.25">
      <c r="A216" t="s">
        <v>72</v>
      </c>
      <c r="B216" t="s">
        <v>6854</v>
      </c>
      <c r="C216" t="s">
        <v>74</v>
      </c>
      <c r="D216" t="s">
        <v>74</v>
      </c>
      <c r="E216" t="s">
        <v>74</v>
      </c>
      <c r="F216" t="s">
        <v>6855</v>
      </c>
      <c r="G216" t="s">
        <v>74</v>
      </c>
      <c r="H216" t="s">
        <v>74</v>
      </c>
      <c r="I216" s="1" t="s">
        <v>6856</v>
      </c>
      <c r="J216" t="s">
        <v>6857</v>
      </c>
      <c r="K216" t="s">
        <v>74</v>
      </c>
      <c r="L216" t="s">
        <v>74</v>
      </c>
      <c r="M216" t="s">
        <v>78</v>
      </c>
      <c r="N216" t="s">
        <v>79</v>
      </c>
      <c r="O216" t="s">
        <v>74</v>
      </c>
      <c r="P216" t="s">
        <v>74</v>
      </c>
      <c r="Q216" t="s">
        <v>74</v>
      </c>
      <c r="R216" t="s">
        <v>74</v>
      </c>
      <c r="S216" t="s">
        <v>74</v>
      </c>
      <c r="T216" s="1" t="s">
        <v>6858</v>
      </c>
      <c r="U216" s="1" t="s">
        <v>6859</v>
      </c>
      <c r="V216" s="1" t="s">
        <v>6860</v>
      </c>
      <c r="W216" t="s">
        <v>6861</v>
      </c>
      <c r="X216" t="s">
        <v>6862</v>
      </c>
      <c r="Y216" t="s">
        <v>6863</v>
      </c>
      <c r="Z216" t="s">
        <v>6864</v>
      </c>
      <c r="AA216" t="s">
        <v>74</v>
      </c>
      <c r="AB216" t="s">
        <v>6865</v>
      </c>
      <c r="AC216" t="s">
        <v>6866</v>
      </c>
      <c r="AD216" t="s">
        <v>6867</v>
      </c>
      <c r="AE216" t="s">
        <v>6868</v>
      </c>
      <c r="AF216" t="s">
        <v>74</v>
      </c>
      <c r="AG216">
        <v>56</v>
      </c>
      <c r="AH216">
        <v>6</v>
      </c>
      <c r="AI216">
        <v>6</v>
      </c>
      <c r="AJ216">
        <v>2</v>
      </c>
      <c r="AK216">
        <v>24</v>
      </c>
      <c r="AL216" t="s">
        <v>4079</v>
      </c>
      <c r="AM216" t="s">
        <v>4080</v>
      </c>
      <c r="AN216" t="s">
        <v>4081</v>
      </c>
      <c r="AO216" t="s">
        <v>6869</v>
      </c>
      <c r="AP216" t="s">
        <v>74</v>
      </c>
      <c r="AQ216" t="s">
        <v>74</v>
      </c>
      <c r="AR216" t="s">
        <v>6870</v>
      </c>
      <c r="AS216" t="s">
        <v>6871</v>
      </c>
      <c r="AT216" t="s">
        <v>1683</v>
      </c>
      <c r="AU216">
        <v>2021</v>
      </c>
      <c r="AV216">
        <v>26</v>
      </c>
      <c r="AW216">
        <v>2</v>
      </c>
      <c r="AX216" t="s">
        <v>74</v>
      </c>
      <c r="AY216" t="s">
        <v>74</v>
      </c>
      <c r="AZ216" t="s">
        <v>74</v>
      </c>
      <c r="BA216" t="s">
        <v>74</v>
      </c>
      <c r="BB216">
        <v>55</v>
      </c>
      <c r="BC216">
        <v>71</v>
      </c>
      <c r="BD216" t="s">
        <v>74</v>
      </c>
      <c r="BE216" t="s">
        <v>6872</v>
      </c>
      <c r="BF216" t="str">
        <f>HYPERLINK("http://dx.doi.org/10.1093/jcmc/zmaa017","http://dx.doi.org/10.1093/jcmc/zmaa017")</f>
        <v>http://dx.doi.org/10.1093/jcmc/zmaa017</v>
      </c>
      <c r="BG216" t="s">
        <v>74</v>
      </c>
      <c r="BH216" t="s">
        <v>6817</v>
      </c>
      <c r="BI216">
        <v>17</v>
      </c>
      <c r="BJ216" t="s">
        <v>6873</v>
      </c>
      <c r="BK216" t="s">
        <v>156</v>
      </c>
      <c r="BL216" t="s">
        <v>6873</v>
      </c>
      <c r="BM216" t="s">
        <v>6874</v>
      </c>
      <c r="BN216" t="s">
        <v>74</v>
      </c>
      <c r="BO216" t="s">
        <v>74</v>
      </c>
      <c r="BP216" t="s">
        <v>74</v>
      </c>
      <c r="BQ216" t="s">
        <v>74</v>
      </c>
      <c r="BR216" t="s">
        <v>106</v>
      </c>
      <c r="BS216" t="s">
        <v>6875</v>
      </c>
      <c r="BT216" t="str">
        <f>HYPERLINK("https%3A%2F%2Fwww.webofscience.com%2Fwos%2Fwoscc%2Ffull-record%2FWOS:000642306200001","View Full Record in Web of Science")</f>
        <v>View Full Record in Web of Science</v>
      </c>
    </row>
    <row r="217" spans="1:72" x14ac:dyDescent="0.25">
      <c r="A217" t="s">
        <v>72</v>
      </c>
      <c r="B217" t="s">
        <v>7584</v>
      </c>
      <c r="C217" t="s">
        <v>74</v>
      </c>
      <c r="D217" t="s">
        <v>74</v>
      </c>
      <c r="E217" t="s">
        <v>74</v>
      </c>
      <c r="F217" t="s">
        <v>7585</v>
      </c>
      <c r="G217" t="s">
        <v>74</v>
      </c>
      <c r="H217" t="s">
        <v>74</v>
      </c>
      <c r="I217" s="1" t="s">
        <v>7586</v>
      </c>
      <c r="J217" t="s">
        <v>191</v>
      </c>
      <c r="K217" t="s">
        <v>74</v>
      </c>
      <c r="L217" t="s">
        <v>74</v>
      </c>
      <c r="M217" t="s">
        <v>78</v>
      </c>
      <c r="N217" t="s">
        <v>79</v>
      </c>
      <c r="O217" t="s">
        <v>74</v>
      </c>
      <c r="P217" t="s">
        <v>74</v>
      </c>
      <c r="Q217" t="s">
        <v>74</v>
      </c>
      <c r="R217" t="s">
        <v>74</v>
      </c>
      <c r="S217" t="s">
        <v>74</v>
      </c>
      <c r="T217" s="1" t="s">
        <v>7587</v>
      </c>
      <c r="U217" s="1" t="s">
        <v>74</v>
      </c>
      <c r="V217" s="1" t="s">
        <v>7588</v>
      </c>
      <c r="W217" t="s">
        <v>7589</v>
      </c>
      <c r="X217" t="s">
        <v>7590</v>
      </c>
      <c r="Y217" t="s">
        <v>7591</v>
      </c>
      <c r="Z217" t="s">
        <v>7592</v>
      </c>
      <c r="AA217" t="s">
        <v>7593</v>
      </c>
      <c r="AB217" t="s">
        <v>7594</v>
      </c>
      <c r="AC217" t="s">
        <v>74</v>
      </c>
      <c r="AD217" t="s">
        <v>74</v>
      </c>
      <c r="AE217" t="s">
        <v>74</v>
      </c>
      <c r="AF217" t="s">
        <v>74</v>
      </c>
      <c r="AG217">
        <v>41</v>
      </c>
      <c r="AH217">
        <v>6</v>
      </c>
      <c r="AI217">
        <v>6</v>
      </c>
      <c r="AJ217">
        <v>0</v>
      </c>
      <c r="AK217">
        <v>6</v>
      </c>
      <c r="AL217" t="s">
        <v>202</v>
      </c>
      <c r="AM217" t="s">
        <v>203</v>
      </c>
      <c r="AN217" t="s">
        <v>204</v>
      </c>
      <c r="AO217" t="s">
        <v>74</v>
      </c>
      <c r="AP217" t="s">
        <v>205</v>
      </c>
      <c r="AQ217" t="s">
        <v>74</v>
      </c>
      <c r="AR217" t="s">
        <v>206</v>
      </c>
      <c r="AS217" t="s">
        <v>207</v>
      </c>
      <c r="AT217" t="s">
        <v>476</v>
      </c>
      <c r="AU217">
        <v>2020</v>
      </c>
      <c r="AV217">
        <v>12</v>
      </c>
      <c r="AW217">
        <v>23</v>
      </c>
      <c r="AX217" t="s">
        <v>74</v>
      </c>
      <c r="AY217" t="s">
        <v>74</v>
      </c>
      <c r="AZ217" t="s">
        <v>74</v>
      </c>
      <c r="BA217" t="s">
        <v>74</v>
      </c>
      <c r="BB217" t="s">
        <v>74</v>
      </c>
      <c r="BC217" t="s">
        <v>74</v>
      </c>
      <c r="BD217">
        <v>9877</v>
      </c>
      <c r="BE217" t="s">
        <v>7595</v>
      </c>
      <c r="BF217" t="str">
        <f>HYPERLINK("http://dx.doi.org/10.3390/su12239877","http://dx.doi.org/10.3390/su12239877")</f>
        <v>http://dx.doi.org/10.3390/su12239877</v>
      </c>
      <c r="BG217" t="s">
        <v>74</v>
      </c>
      <c r="BH217" t="s">
        <v>74</v>
      </c>
      <c r="BI217">
        <v>11</v>
      </c>
      <c r="BJ217" t="s">
        <v>210</v>
      </c>
      <c r="BK217" t="s">
        <v>211</v>
      </c>
      <c r="BL217" t="s">
        <v>212</v>
      </c>
      <c r="BM217" t="s">
        <v>7596</v>
      </c>
      <c r="BN217" t="s">
        <v>74</v>
      </c>
      <c r="BO217" t="s">
        <v>614</v>
      </c>
      <c r="BP217" t="s">
        <v>74</v>
      </c>
      <c r="BQ217" t="s">
        <v>74</v>
      </c>
      <c r="BR217" t="s">
        <v>106</v>
      </c>
      <c r="BS217" t="s">
        <v>7597</v>
      </c>
      <c r="BT217" t="str">
        <f>HYPERLINK("https%3A%2F%2Fwww.webofscience.com%2Fwos%2Fwoscc%2Ffull-record%2FWOS:000598233900001","View Full Record in Web of Science")</f>
        <v>View Full Record in Web of Science</v>
      </c>
    </row>
    <row r="218" spans="1:72" x14ac:dyDescent="0.25">
      <c r="A218" t="s">
        <v>72</v>
      </c>
      <c r="B218" t="s">
        <v>8944</v>
      </c>
      <c r="C218" t="s">
        <v>74</v>
      </c>
      <c r="D218" t="s">
        <v>74</v>
      </c>
      <c r="E218" t="s">
        <v>74</v>
      </c>
      <c r="F218" t="s">
        <v>8945</v>
      </c>
      <c r="G218" t="s">
        <v>74</v>
      </c>
      <c r="H218" t="s">
        <v>74</v>
      </c>
      <c r="I218" s="1" t="s">
        <v>8946</v>
      </c>
      <c r="J218" t="s">
        <v>866</v>
      </c>
      <c r="K218" t="s">
        <v>74</v>
      </c>
      <c r="L218" t="s">
        <v>74</v>
      </c>
      <c r="M218" t="s">
        <v>78</v>
      </c>
      <c r="N218" t="s">
        <v>79</v>
      </c>
      <c r="O218" t="s">
        <v>74</v>
      </c>
      <c r="P218" t="s">
        <v>74</v>
      </c>
      <c r="Q218" t="s">
        <v>74</v>
      </c>
      <c r="R218" t="s">
        <v>74</v>
      </c>
      <c r="S218" t="s">
        <v>74</v>
      </c>
      <c r="T218" s="1" t="s">
        <v>8947</v>
      </c>
      <c r="U218" s="1" t="s">
        <v>8948</v>
      </c>
      <c r="V218" s="1" t="s">
        <v>8949</v>
      </c>
      <c r="W218" t="s">
        <v>8950</v>
      </c>
      <c r="X218" t="s">
        <v>8951</v>
      </c>
      <c r="Y218" t="s">
        <v>8952</v>
      </c>
      <c r="Z218" t="s">
        <v>8953</v>
      </c>
      <c r="AA218" t="s">
        <v>8954</v>
      </c>
      <c r="AB218" t="s">
        <v>8955</v>
      </c>
      <c r="AC218" t="s">
        <v>74</v>
      </c>
      <c r="AD218" t="s">
        <v>74</v>
      </c>
      <c r="AE218" t="s">
        <v>74</v>
      </c>
      <c r="AF218" t="s">
        <v>74</v>
      </c>
      <c r="AG218">
        <v>38</v>
      </c>
      <c r="AH218">
        <v>6</v>
      </c>
      <c r="AI218">
        <v>7</v>
      </c>
      <c r="AJ218">
        <v>0</v>
      </c>
      <c r="AK218">
        <v>17</v>
      </c>
      <c r="AL218" t="s">
        <v>1636</v>
      </c>
      <c r="AM218" t="s">
        <v>93</v>
      </c>
      <c r="AN218" t="s">
        <v>1637</v>
      </c>
      <c r="AO218" t="s">
        <v>74</v>
      </c>
      <c r="AP218" t="s">
        <v>880</v>
      </c>
      <c r="AQ218" t="s">
        <v>74</v>
      </c>
      <c r="AR218" t="s">
        <v>866</v>
      </c>
      <c r="AS218" t="s">
        <v>881</v>
      </c>
      <c r="AT218" t="s">
        <v>626</v>
      </c>
      <c r="AU218">
        <v>2019</v>
      </c>
      <c r="AV218">
        <v>5</v>
      </c>
      <c r="AW218">
        <v>8</v>
      </c>
      <c r="AX218" t="s">
        <v>74</v>
      </c>
      <c r="AY218" t="s">
        <v>74</v>
      </c>
      <c r="AZ218" t="s">
        <v>74</v>
      </c>
      <c r="BA218" t="s">
        <v>74</v>
      </c>
      <c r="BB218" t="s">
        <v>74</v>
      </c>
      <c r="BC218" t="s">
        <v>74</v>
      </c>
      <c r="BD218" t="s">
        <v>8956</v>
      </c>
      <c r="BE218" t="s">
        <v>8957</v>
      </c>
      <c r="BF218" t="str">
        <f>HYPERLINK("http://dx.doi.org/10.1016/j.heliyon.2019.e02195","http://dx.doi.org/10.1016/j.heliyon.2019.e02195")</f>
        <v>http://dx.doi.org/10.1016/j.heliyon.2019.e02195</v>
      </c>
      <c r="BG218" t="s">
        <v>74</v>
      </c>
      <c r="BH218" t="s">
        <v>74</v>
      </c>
      <c r="BI218">
        <v>9</v>
      </c>
      <c r="BJ218" t="s">
        <v>700</v>
      </c>
      <c r="BK218" t="s">
        <v>102</v>
      </c>
      <c r="BL218" t="s">
        <v>701</v>
      </c>
      <c r="BM218" t="s">
        <v>8958</v>
      </c>
      <c r="BN218">
        <v>32368633</v>
      </c>
      <c r="BO218" t="s">
        <v>614</v>
      </c>
      <c r="BP218" t="s">
        <v>74</v>
      </c>
      <c r="BQ218" t="s">
        <v>74</v>
      </c>
      <c r="BR218" t="s">
        <v>106</v>
      </c>
      <c r="BS218" t="s">
        <v>8959</v>
      </c>
      <c r="BT218" t="str">
        <f>HYPERLINK("https%3A%2F%2Fwww.webofscience.com%2Fwos%2Fwoscc%2Ffull-record%2FWOS:000484391200044","View Full Record in Web of Science")</f>
        <v>View Full Record in Web of Science</v>
      </c>
    </row>
    <row r="219" spans="1:72" x14ac:dyDescent="0.25">
      <c r="A219" t="s">
        <v>72</v>
      </c>
      <c r="B219" t="s">
        <v>9191</v>
      </c>
      <c r="C219" t="s">
        <v>74</v>
      </c>
      <c r="D219" t="s">
        <v>74</v>
      </c>
      <c r="E219" t="s">
        <v>74</v>
      </c>
      <c r="F219" t="s">
        <v>9192</v>
      </c>
      <c r="G219" t="s">
        <v>74</v>
      </c>
      <c r="H219" t="s">
        <v>74</v>
      </c>
      <c r="I219" s="1" t="s">
        <v>9193</v>
      </c>
      <c r="J219" t="s">
        <v>9194</v>
      </c>
      <c r="K219" t="s">
        <v>74</v>
      </c>
      <c r="L219" t="s">
        <v>74</v>
      </c>
      <c r="M219" t="s">
        <v>1030</v>
      </c>
      <c r="N219" t="s">
        <v>79</v>
      </c>
      <c r="O219" t="s">
        <v>74</v>
      </c>
      <c r="P219" t="s">
        <v>74</v>
      </c>
      <c r="Q219" t="s">
        <v>74</v>
      </c>
      <c r="R219" t="s">
        <v>74</v>
      </c>
      <c r="S219" t="s">
        <v>74</v>
      </c>
      <c r="T219" s="1" t="s">
        <v>9195</v>
      </c>
      <c r="U219" s="1" t="s">
        <v>9196</v>
      </c>
      <c r="V219" s="1" t="s">
        <v>9197</v>
      </c>
      <c r="W219" t="s">
        <v>9198</v>
      </c>
      <c r="X219" t="s">
        <v>9199</v>
      </c>
      <c r="Y219" t="s">
        <v>9200</v>
      </c>
      <c r="Z219" t="s">
        <v>9201</v>
      </c>
      <c r="AA219" t="s">
        <v>9202</v>
      </c>
      <c r="AB219" t="s">
        <v>74</v>
      </c>
      <c r="AC219" t="s">
        <v>74</v>
      </c>
      <c r="AD219" t="s">
        <v>74</v>
      </c>
      <c r="AE219" t="s">
        <v>74</v>
      </c>
      <c r="AF219" t="s">
        <v>74</v>
      </c>
      <c r="AG219">
        <v>81</v>
      </c>
      <c r="AH219">
        <v>6</v>
      </c>
      <c r="AI219">
        <v>6</v>
      </c>
      <c r="AJ219">
        <v>1</v>
      </c>
      <c r="AK219">
        <v>24</v>
      </c>
      <c r="AL219" t="s">
        <v>644</v>
      </c>
      <c r="AM219" t="s">
        <v>645</v>
      </c>
      <c r="AN219" t="s">
        <v>646</v>
      </c>
      <c r="AO219" t="s">
        <v>9203</v>
      </c>
      <c r="AP219" t="s">
        <v>9204</v>
      </c>
      <c r="AQ219" t="s">
        <v>74</v>
      </c>
      <c r="AR219" t="s">
        <v>9205</v>
      </c>
      <c r="AS219" t="s">
        <v>9206</v>
      </c>
      <c r="AT219" t="s">
        <v>1683</v>
      </c>
      <c r="AU219">
        <v>2019</v>
      </c>
      <c r="AV219">
        <v>98</v>
      </c>
      <c r="AW219" t="s">
        <v>74</v>
      </c>
      <c r="AX219" t="s">
        <v>74</v>
      </c>
      <c r="AY219">
        <v>1</v>
      </c>
      <c r="AZ219" t="s">
        <v>74</v>
      </c>
      <c r="BA219" t="s">
        <v>74</v>
      </c>
      <c r="BB219" t="s">
        <v>9207</v>
      </c>
      <c r="BC219" t="s">
        <v>9208</v>
      </c>
      <c r="BD219" t="s">
        <v>74</v>
      </c>
      <c r="BE219" t="s">
        <v>9209</v>
      </c>
      <c r="BF219" t="str">
        <f>HYPERLINK("http://dx.doi.org/10.1055/a-0803-0218","http://dx.doi.org/10.1055/a-0803-0218")</f>
        <v>http://dx.doi.org/10.1055/a-0803-0218</v>
      </c>
      <c r="BG219" t="s">
        <v>74</v>
      </c>
      <c r="BH219" t="s">
        <v>74</v>
      </c>
      <c r="BI219">
        <v>12</v>
      </c>
      <c r="BJ219" t="s">
        <v>9210</v>
      </c>
      <c r="BK219" t="s">
        <v>102</v>
      </c>
      <c r="BL219" t="s">
        <v>9210</v>
      </c>
      <c r="BM219" t="s">
        <v>9211</v>
      </c>
      <c r="BN219">
        <v>31096299</v>
      </c>
      <c r="BO219" t="s">
        <v>105</v>
      </c>
      <c r="BP219" t="s">
        <v>74</v>
      </c>
      <c r="BQ219" t="s">
        <v>74</v>
      </c>
      <c r="BR219" t="s">
        <v>106</v>
      </c>
      <c r="BS219" t="s">
        <v>9212</v>
      </c>
      <c r="BT219" t="str">
        <f>HYPERLINK("https%3A%2F%2Fwww.webofscience.com%2Fwos%2Fwoscc%2Ffull-record%2FWOS:000469498300008","View Full Record in Web of Science")</f>
        <v>View Full Record in Web of Science</v>
      </c>
    </row>
    <row r="220" spans="1:72" x14ac:dyDescent="0.25">
      <c r="A220" t="s">
        <v>72</v>
      </c>
      <c r="B220" t="s">
        <v>9240</v>
      </c>
      <c r="C220" t="s">
        <v>74</v>
      </c>
      <c r="D220" t="s">
        <v>74</v>
      </c>
      <c r="E220" t="s">
        <v>74</v>
      </c>
      <c r="F220" t="s">
        <v>9241</v>
      </c>
      <c r="G220" t="s">
        <v>74</v>
      </c>
      <c r="H220" t="s">
        <v>74</v>
      </c>
      <c r="I220" s="1" t="s">
        <v>9242</v>
      </c>
      <c r="J220" t="s">
        <v>6645</v>
      </c>
      <c r="K220" t="s">
        <v>74</v>
      </c>
      <c r="L220" t="s">
        <v>74</v>
      </c>
      <c r="M220" t="s">
        <v>78</v>
      </c>
      <c r="N220" t="s">
        <v>79</v>
      </c>
      <c r="O220" t="s">
        <v>74</v>
      </c>
      <c r="P220" t="s">
        <v>74</v>
      </c>
      <c r="Q220" t="s">
        <v>74</v>
      </c>
      <c r="R220" t="s">
        <v>74</v>
      </c>
      <c r="S220" t="s">
        <v>74</v>
      </c>
      <c r="T220" s="1" t="s">
        <v>9243</v>
      </c>
      <c r="U220" s="1" t="s">
        <v>74</v>
      </c>
      <c r="V220" s="1" t="s">
        <v>9244</v>
      </c>
      <c r="W220" t="s">
        <v>9245</v>
      </c>
      <c r="X220" t="s">
        <v>9246</v>
      </c>
      <c r="Y220" t="s">
        <v>9247</v>
      </c>
      <c r="Z220" t="s">
        <v>9248</v>
      </c>
      <c r="AA220" t="s">
        <v>9249</v>
      </c>
      <c r="AB220" t="s">
        <v>74</v>
      </c>
      <c r="AC220" t="s">
        <v>74</v>
      </c>
      <c r="AD220" t="s">
        <v>74</v>
      </c>
      <c r="AE220" t="s">
        <v>74</v>
      </c>
      <c r="AF220" t="s">
        <v>74</v>
      </c>
      <c r="AG220">
        <v>46</v>
      </c>
      <c r="AH220">
        <v>6</v>
      </c>
      <c r="AI220">
        <v>6</v>
      </c>
      <c r="AJ220">
        <v>0</v>
      </c>
      <c r="AK220">
        <v>19</v>
      </c>
      <c r="AL220" t="s">
        <v>121</v>
      </c>
      <c r="AM220" t="s">
        <v>122</v>
      </c>
      <c r="AN220" t="s">
        <v>123</v>
      </c>
      <c r="AO220" t="s">
        <v>6655</v>
      </c>
      <c r="AP220" t="s">
        <v>6656</v>
      </c>
      <c r="AQ220" t="s">
        <v>74</v>
      </c>
      <c r="AR220" t="s">
        <v>6657</v>
      </c>
      <c r="AS220" t="s">
        <v>6658</v>
      </c>
      <c r="AT220" t="s">
        <v>1683</v>
      </c>
      <c r="AU220">
        <v>2019</v>
      </c>
      <c r="AV220">
        <v>24</v>
      </c>
      <c r="AW220">
        <v>2</v>
      </c>
      <c r="AX220" t="s">
        <v>74</v>
      </c>
      <c r="AY220" t="s">
        <v>74</v>
      </c>
      <c r="AZ220" t="s">
        <v>74</v>
      </c>
      <c r="BA220" t="s">
        <v>74</v>
      </c>
      <c r="BB220">
        <v>1073</v>
      </c>
      <c r="BC220">
        <v>1088</v>
      </c>
      <c r="BD220" t="s">
        <v>74</v>
      </c>
      <c r="BE220" t="s">
        <v>9250</v>
      </c>
      <c r="BF220" t="str">
        <f>HYPERLINK("http://dx.doi.org/10.1007/s10639-018-9811-6","http://dx.doi.org/10.1007/s10639-018-9811-6")</f>
        <v>http://dx.doi.org/10.1007/s10639-018-9811-6</v>
      </c>
      <c r="BG220" t="s">
        <v>74</v>
      </c>
      <c r="BH220" t="s">
        <v>74</v>
      </c>
      <c r="BI220">
        <v>16</v>
      </c>
      <c r="BJ220" t="s">
        <v>1326</v>
      </c>
      <c r="BK220" t="s">
        <v>156</v>
      </c>
      <c r="BL220" t="s">
        <v>1326</v>
      </c>
      <c r="BM220" t="s">
        <v>9251</v>
      </c>
      <c r="BN220" t="s">
        <v>74</v>
      </c>
      <c r="BO220" t="s">
        <v>2805</v>
      </c>
      <c r="BP220" t="s">
        <v>74</v>
      </c>
      <c r="BQ220" t="s">
        <v>74</v>
      </c>
      <c r="BR220" t="s">
        <v>106</v>
      </c>
      <c r="BS220" t="s">
        <v>9252</v>
      </c>
      <c r="BT220" t="str">
        <f>HYPERLINK("https%3A%2F%2Fwww.webofscience.com%2Fwos%2Fwoscc%2Ffull-record%2FWOS:000461557100008","View Full Record in Web of Science")</f>
        <v>View Full Record in Web of Science</v>
      </c>
    </row>
    <row r="221" spans="1:72" x14ac:dyDescent="0.25">
      <c r="A221" t="s">
        <v>72</v>
      </c>
      <c r="B221" t="s">
        <v>10064</v>
      </c>
      <c r="C221" t="s">
        <v>74</v>
      </c>
      <c r="D221" t="s">
        <v>74</v>
      </c>
      <c r="E221" t="s">
        <v>74</v>
      </c>
      <c r="F221" t="s">
        <v>10065</v>
      </c>
      <c r="G221" t="s">
        <v>74</v>
      </c>
      <c r="H221" t="s">
        <v>74</v>
      </c>
      <c r="I221" s="1" t="s">
        <v>10066</v>
      </c>
      <c r="J221" t="s">
        <v>10067</v>
      </c>
      <c r="K221" t="s">
        <v>74</v>
      </c>
      <c r="L221" t="s">
        <v>74</v>
      </c>
      <c r="M221" t="s">
        <v>78</v>
      </c>
      <c r="N221" t="s">
        <v>79</v>
      </c>
      <c r="O221" t="s">
        <v>74</v>
      </c>
      <c r="P221" t="s">
        <v>74</v>
      </c>
      <c r="Q221" t="s">
        <v>74</v>
      </c>
      <c r="R221" t="s">
        <v>74</v>
      </c>
      <c r="S221" t="s">
        <v>74</v>
      </c>
      <c r="T221" s="1" t="s">
        <v>10068</v>
      </c>
      <c r="U221" s="1" t="s">
        <v>10069</v>
      </c>
      <c r="V221" s="1" t="s">
        <v>10070</v>
      </c>
      <c r="W221" t="s">
        <v>10071</v>
      </c>
      <c r="X221" t="s">
        <v>10072</v>
      </c>
      <c r="Y221" t="s">
        <v>10073</v>
      </c>
      <c r="Z221" t="s">
        <v>10074</v>
      </c>
      <c r="AA221" t="s">
        <v>10075</v>
      </c>
      <c r="AB221" t="s">
        <v>10076</v>
      </c>
      <c r="AC221" t="s">
        <v>74</v>
      </c>
      <c r="AD221" t="s">
        <v>74</v>
      </c>
      <c r="AE221" t="s">
        <v>74</v>
      </c>
      <c r="AF221" t="s">
        <v>74</v>
      </c>
      <c r="AG221">
        <v>84</v>
      </c>
      <c r="AH221">
        <v>6</v>
      </c>
      <c r="AI221">
        <v>6</v>
      </c>
      <c r="AJ221">
        <v>0</v>
      </c>
      <c r="AK221">
        <v>6</v>
      </c>
      <c r="AL221" t="s">
        <v>492</v>
      </c>
      <c r="AM221" t="s">
        <v>493</v>
      </c>
      <c r="AN221" t="s">
        <v>494</v>
      </c>
      <c r="AO221" t="s">
        <v>10077</v>
      </c>
      <c r="AP221" t="s">
        <v>10078</v>
      </c>
      <c r="AQ221" t="s">
        <v>74</v>
      </c>
      <c r="AR221" t="s">
        <v>10079</v>
      </c>
      <c r="AS221" t="s">
        <v>10080</v>
      </c>
      <c r="AT221" t="s">
        <v>74</v>
      </c>
      <c r="AU221">
        <v>2018</v>
      </c>
      <c r="AV221">
        <v>22</v>
      </c>
      <c r="AW221">
        <v>3</v>
      </c>
      <c r="AX221" t="s">
        <v>74</v>
      </c>
      <c r="AY221" t="s">
        <v>74</v>
      </c>
      <c r="AZ221" t="s">
        <v>74</v>
      </c>
      <c r="BA221" t="s">
        <v>74</v>
      </c>
      <c r="BB221">
        <v>185</v>
      </c>
      <c r="BC221">
        <v>204</v>
      </c>
      <c r="BD221" t="s">
        <v>74</v>
      </c>
      <c r="BE221" t="s">
        <v>10081</v>
      </c>
      <c r="BF221" t="str">
        <f>HYPERLINK("http://dx.doi.org/10.1080/09718524.2018.1558862","http://dx.doi.org/10.1080/09718524.2018.1558862")</f>
        <v>http://dx.doi.org/10.1080/09718524.2018.1558862</v>
      </c>
      <c r="BG221" t="s">
        <v>74</v>
      </c>
      <c r="BH221" t="s">
        <v>74</v>
      </c>
      <c r="BI221">
        <v>20</v>
      </c>
      <c r="BJ221" t="s">
        <v>942</v>
      </c>
      <c r="BK221" t="s">
        <v>183</v>
      </c>
      <c r="BL221" t="s">
        <v>943</v>
      </c>
      <c r="BM221" t="s">
        <v>10082</v>
      </c>
      <c r="BN221" t="s">
        <v>74</v>
      </c>
      <c r="BO221" t="s">
        <v>74</v>
      </c>
      <c r="BP221" t="s">
        <v>74</v>
      </c>
      <c r="BQ221" t="s">
        <v>74</v>
      </c>
      <c r="BR221" t="s">
        <v>106</v>
      </c>
      <c r="BS221" t="s">
        <v>10083</v>
      </c>
      <c r="BT221" t="str">
        <f>HYPERLINK("https%3A%2F%2Fwww.webofscience.com%2Fwos%2Fwoscc%2Ffull-record%2FWOS:000460387200001","View Full Record in Web of Science")</f>
        <v>View Full Record in Web of Science</v>
      </c>
    </row>
    <row r="222" spans="1:72" x14ac:dyDescent="0.25">
      <c r="A222" t="s">
        <v>72</v>
      </c>
      <c r="B222" t="s">
        <v>10098</v>
      </c>
      <c r="C222" t="s">
        <v>74</v>
      </c>
      <c r="D222" t="s">
        <v>74</v>
      </c>
      <c r="E222" t="s">
        <v>74</v>
      </c>
      <c r="F222" t="s">
        <v>10099</v>
      </c>
      <c r="G222" t="s">
        <v>74</v>
      </c>
      <c r="H222" t="s">
        <v>74</v>
      </c>
      <c r="I222" s="1" t="s">
        <v>10100</v>
      </c>
      <c r="J222" t="s">
        <v>10101</v>
      </c>
      <c r="K222" t="s">
        <v>74</v>
      </c>
      <c r="L222" t="s">
        <v>74</v>
      </c>
      <c r="M222" t="s">
        <v>78</v>
      </c>
      <c r="N222" t="s">
        <v>79</v>
      </c>
      <c r="O222" t="s">
        <v>74</v>
      </c>
      <c r="P222" t="s">
        <v>74</v>
      </c>
      <c r="Q222" t="s">
        <v>74</v>
      </c>
      <c r="R222" t="s">
        <v>74</v>
      </c>
      <c r="S222" t="s">
        <v>74</v>
      </c>
      <c r="T222" s="1" t="s">
        <v>10102</v>
      </c>
      <c r="U222" s="1" t="s">
        <v>10103</v>
      </c>
      <c r="V222" s="1" t="s">
        <v>10104</v>
      </c>
      <c r="W222" t="s">
        <v>10105</v>
      </c>
      <c r="X222" t="s">
        <v>10106</v>
      </c>
      <c r="Y222" t="s">
        <v>10107</v>
      </c>
      <c r="Z222" t="s">
        <v>10108</v>
      </c>
      <c r="AA222" t="s">
        <v>10109</v>
      </c>
      <c r="AB222" t="s">
        <v>10110</v>
      </c>
      <c r="AC222" t="s">
        <v>74</v>
      </c>
      <c r="AD222" t="s">
        <v>74</v>
      </c>
      <c r="AE222" t="s">
        <v>74</v>
      </c>
      <c r="AF222" t="s">
        <v>74</v>
      </c>
      <c r="AG222">
        <v>44</v>
      </c>
      <c r="AH222">
        <v>6</v>
      </c>
      <c r="AI222">
        <v>6</v>
      </c>
      <c r="AJ222">
        <v>0</v>
      </c>
      <c r="AK222">
        <v>6</v>
      </c>
      <c r="AL222" t="s">
        <v>715</v>
      </c>
      <c r="AM222" t="s">
        <v>716</v>
      </c>
      <c r="AN222" t="s">
        <v>717</v>
      </c>
      <c r="AO222" t="s">
        <v>10111</v>
      </c>
      <c r="AP222" t="s">
        <v>10112</v>
      </c>
      <c r="AQ222" t="s">
        <v>74</v>
      </c>
      <c r="AR222" t="s">
        <v>10113</v>
      </c>
      <c r="AS222" t="s">
        <v>10114</v>
      </c>
      <c r="AT222" t="s">
        <v>74</v>
      </c>
      <c r="AU222">
        <v>2018</v>
      </c>
      <c r="AV222">
        <v>42</v>
      </c>
      <c r="AW222">
        <v>5</v>
      </c>
      <c r="AX222" t="s">
        <v>74</v>
      </c>
      <c r="AY222" t="s">
        <v>74</v>
      </c>
      <c r="AZ222" t="s">
        <v>74</v>
      </c>
      <c r="BA222" t="s">
        <v>74</v>
      </c>
      <c r="BB222">
        <v>718</v>
      </c>
      <c r="BC222">
        <v>731</v>
      </c>
      <c r="BD222" t="s">
        <v>74</v>
      </c>
      <c r="BE222" t="s">
        <v>10115</v>
      </c>
      <c r="BF222" t="str">
        <f>HYPERLINK("http://dx.doi.org/10.1108/OIR-08-2017-0247","http://dx.doi.org/10.1108/OIR-08-2017-0247")</f>
        <v>http://dx.doi.org/10.1108/OIR-08-2017-0247</v>
      </c>
      <c r="BG222" t="s">
        <v>74</v>
      </c>
      <c r="BH222" t="s">
        <v>74</v>
      </c>
      <c r="BI222">
        <v>14</v>
      </c>
      <c r="BJ222" t="s">
        <v>10116</v>
      </c>
      <c r="BK222" t="s">
        <v>211</v>
      </c>
      <c r="BL222" t="s">
        <v>10117</v>
      </c>
      <c r="BM222" t="s">
        <v>10118</v>
      </c>
      <c r="BN222" t="s">
        <v>74</v>
      </c>
      <c r="BO222" t="s">
        <v>74</v>
      </c>
      <c r="BP222" t="s">
        <v>74</v>
      </c>
      <c r="BQ222" t="s">
        <v>74</v>
      </c>
      <c r="BR222" t="s">
        <v>106</v>
      </c>
      <c r="BS222" t="s">
        <v>10119</v>
      </c>
      <c r="BT222" t="str">
        <f>HYPERLINK("https%3A%2F%2Fwww.webofscience.com%2Fwos%2Fwoscc%2Ffull-record%2FWOS:000442235500010","View Full Record in Web of Science")</f>
        <v>View Full Record in Web of Science</v>
      </c>
    </row>
    <row r="223" spans="1:72" x14ac:dyDescent="0.25">
      <c r="A223" t="s">
        <v>72</v>
      </c>
      <c r="B223" t="s">
        <v>10791</v>
      </c>
      <c r="C223" t="s">
        <v>74</v>
      </c>
      <c r="D223" t="s">
        <v>74</v>
      </c>
      <c r="E223" t="s">
        <v>74</v>
      </c>
      <c r="F223" t="s">
        <v>10792</v>
      </c>
      <c r="G223" t="s">
        <v>74</v>
      </c>
      <c r="H223" t="s">
        <v>74</v>
      </c>
      <c r="I223" s="1" t="s">
        <v>10793</v>
      </c>
      <c r="J223" t="s">
        <v>10794</v>
      </c>
      <c r="K223" t="s">
        <v>74</v>
      </c>
      <c r="L223" t="s">
        <v>74</v>
      </c>
      <c r="M223" t="s">
        <v>78</v>
      </c>
      <c r="N223" t="s">
        <v>79</v>
      </c>
      <c r="O223" t="s">
        <v>74</v>
      </c>
      <c r="P223" t="s">
        <v>74</v>
      </c>
      <c r="Q223" t="s">
        <v>74</v>
      </c>
      <c r="R223" t="s">
        <v>74</v>
      </c>
      <c r="S223" t="s">
        <v>74</v>
      </c>
      <c r="T223" s="1" t="s">
        <v>10795</v>
      </c>
      <c r="U223" s="1" t="s">
        <v>10796</v>
      </c>
      <c r="V223" s="1" t="s">
        <v>10797</v>
      </c>
      <c r="W223" t="s">
        <v>10798</v>
      </c>
      <c r="X223" t="s">
        <v>5135</v>
      </c>
      <c r="Y223" t="s">
        <v>10799</v>
      </c>
      <c r="Z223" t="s">
        <v>10800</v>
      </c>
      <c r="AA223" t="s">
        <v>10801</v>
      </c>
      <c r="AB223" t="s">
        <v>10802</v>
      </c>
      <c r="AC223" t="s">
        <v>74</v>
      </c>
      <c r="AD223" t="s">
        <v>74</v>
      </c>
      <c r="AE223" t="s">
        <v>74</v>
      </c>
      <c r="AF223" t="s">
        <v>74</v>
      </c>
      <c r="AG223">
        <v>71</v>
      </c>
      <c r="AH223">
        <v>6</v>
      </c>
      <c r="AI223">
        <v>8</v>
      </c>
      <c r="AJ223">
        <v>0</v>
      </c>
      <c r="AK223">
        <v>7</v>
      </c>
      <c r="AL223" t="s">
        <v>10803</v>
      </c>
      <c r="AM223" t="s">
        <v>10804</v>
      </c>
      <c r="AN223" t="s">
        <v>10805</v>
      </c>
      <c r="AO223" t="s">
        <v>10806</v>
      </c>
      <c r="AP223" t="s">
        <v>74</v>
      </c>
      <c r="AQ223" t="s">
        <v>74</v>
      </c>
      <c r="AR223" t="s">
        <v>10807</v>
      </c>
      <c r="AS223" t="s">
        <v>10808</v>
      </c>
      <c r="AT223" t="s">
        <v>74</v>
      </c>
      <c r="AU223">
        <v>2017</v>
      </c>
      <c r="AV223">
        <v>30</v>
      </c>
      <c r="AW223">
        <v>4</v>
      </c>
      <c r="AX223" t="s">
        <v>74</v>
      </c>
      <c r="AY223" t="s">
        <v>74</v>
      </c>
      <c r="AZ223" t="s">
        <v>74</v>
      </c>
      <c r="BA223" t="s">
        <v>74</v>
      </c>
      <c r="BB223">
        <v>77</v>
      </c>
      <c r="BC223">
        <v>97</v>
      </c>
      <c r="BD223" t="s">
        <v>74</v>
      </c>
      <c r="BE223" t="s">
        <v>10809</v>
      </c>
      <c r="BF223" t="str">
        <f>HYPERLINK("http://dx.doi.org/10.15581/003.30.3.77-97","http://dx.doi.org/10.15581/003.30.3.77-97")</f>
        <v>http://dx.doi.org/10.15581/003.30.3.77-97</v>
      </c>
      <c r="BG223" t="s">
        <v>74</v>
      </c>
      <c r="BH223" t="s">
        <v>74</v>
      </c>
      <c r="BI223">
        <v>21</v>
      </c>
      <c r="BJ223" t="s">
        <v>2218</v>
      </c>
      <c r="BK223" t="s">
        <v>183</v>
      </c>
      <c r="BL223" t="s">
        <v>2218</v>
      </c>
      <c r="BM223" t="s">
        <v>10810</v>
      </c>
      <c r="BN223" t="s">
        <v>74</v>
      </c>
      <c r="BO223" t="s">
        <v>74</v>
      </c>
      <c r="BP223" t="s">
        <v>74</v>
      </c>
      <c r="BQ223" t="s">
        <v>74</v>
      </c>
      <c r="BR223" t="s">
        <v>106</v>
      </c>
      <c r="BS223" t="s">
        <v>10811</v>
      </c>
      <c r="BT223" t="str">
        <f>HYPERLINK("https%3A%2F%2Fwww.webofscience.com%2Fwos%2Fwoscc%2Ffull-record%2FWOS:000418142900006","View Full Record in Web of Science")</f>
        <v>View Full Record in Web of Science</v>
      </c>
    </row>
    <row r="224" spans="1:72" x14ac:dyDescent="0.25">
      <c r="A224" t="s">
        <v>72</v>
      </c>
      <c r="B224" t="s">
        <v>10812</v>
      </c>
      <c r="C224" t="s">
        <v>74</v>
      </c>
      <c r="D224" t="s">
        <v>74</v>
      </c>
      <c r="E224" t="s">
        <v>74</v>
      </c>
      <c r="F224" t="s">
        <v>10813</v>
      </c>
      <c r="G224" t="s">
        <v>74</v>
      </c>
      <c r="H224" t="s">
        <v>74</v>
      </c>
      <c r="I224" s="1" t="s">
        <v>10814</v>
      </c>
      <c r="J224" t="s">
        <v>7292</v>
      </c>
      <c r="K224" t="s">
        <v>74</v>
      </c>
      <c r="L224" t="s">
        <v>74</v>
      </c>
      <c r="M224" t="s">
        <v>2751</v>
      </c>
      <c r="N224" t="s">
        <v>79</v>
      </c>
      <c r="O224" t="s">
        <v>74</v>
      </c>
      <c r="P224" t="s">
        <v>74</v>
      </c>
      <c r="Q224" t="s">
        <v>74</v>
      </c>
      <c r="R224" t="s">
        <v>74</v>
      </c>
      <c r="S224" t="s">
        <v>74</v>
      </c>
      <c r="T224" s="1" t="s">
        <v>10815</v>
      </c>
      <c r="U224" s="1" t="s">
        <v>74</v>
      </c>
      <c r="V224" s="1" t="s">
        <v>10816</v>
      </c>
      <c r="W224" t="s">
        <v>10817</v>
      </c>
      <c r="X224" t="s">
        <v>10818</v>
      </c>
      <c r="Y224" t="s">
        <v>10819</v>
      </c>
      <c r="Z224" t="s">
        <v>10820</v>
      </c>
      <c r="AA224" t="s">
        <v>10821</v>
      </c>
      <c r="AB224" t="s">
        <v>74</v>
      </c>
      <c r="AC224" t="s">
        <v>74</v>
      </c>
      <c r="AD224" t="s">
        <v>74</v>
      </c>
      <c r="AE224" t="s">
        <v>74</v>
      </c>
      <c r="AF224" t="s">
        <v>74</v>
      </c>
      <c r="AG224">
        <v>26</v>
      </c>
      <c r="AH224">
        <v>6</v>
      </c>
      <c r="AI224">
        <v>6</v>
      </c>
      <c r="AJ224">
        <v>1</v>
      </c>
      <c r="AK224">
        <v>28</v>
      </c>
      <c r="AL224" t="s">
        <v>7301</v>
      </c>
      <c r="AM224" t="s">
        <v>2764</v>
      </c>
      <c r="AN224" t="s">
        <v>7302</v>
      </c>
      <c r="AO224" t="s">
        <v>7303</v>
      </c>
      <c r="AP224" t="s">
        <v>74</v>
      </c>
      <c r="AQ224" t="s">
        <v>74</v>
      </c>
      <c r="AR224" t="s">
        <v>7304</v>
      </c>
      <c r="AS224" t="s">
        <v>7305</v>
      </c>
      <c r="AT224" t="s">
        <v>74</v>
      </c>
      <c r="AU224">
        <v>2017</v>
      </c>
      <c r="AV224">
        <v>12</v>
      </c>
      <c r="AW224">
        <v>4</v>
      </c>
      <c r="AX224" t="s">
        <v>74</v>
      </c>
      <c r="AY224" t="s">
        <v>74</v>
      </c>
      <c r="AZ224" t="s">
        <v>74</v>
      </c>
      <c r="BA224" t="s">
        <v>74</v>
      </c>
      <c r="BB224">
        <v>169</v>
      </c>
      <c r="BC224">
        <v>184</v>
      </c>
      <c r="BD224" t="s">
        <v>74</v>
      </c>
      <c r="BE224" t="s">
        <v>74</v>
      </c>
      <c r="BF224" t="s">
        <v>74</v>
      </c>
      <c r="BG224" t="s">
        <v>74</v>
      </c>
      <c r="BH224" t="s">
        <v>74</v>
      </c>
      <c r="BI224">
        <v>16</v>
      </c>
      <c r="BJ224" t="s">
        <v>977</v>
      </c>
      <c r="BK224" t="s">
        <v>183</v>
      </c>
      <c r="BL224" t="s">
        <v>977</v>
      </c>
      <c r="BM224" t="s">
        <v>10822</v>
      </c>
      <c r="BN224" t="s">
        <v>74</v>
      </c>
      <c r="BO224" t="s">
        <v>74</v>
      </c>
      <c r="BP224" t="s">
        <v>74</v>
      </c>
      <c r="BQ224" t="s">
        <v>74</v>
      </c>
      <c r="BR224" t="s">
        <v>106</v>
      </c>
      <c r="BS224" t="s">
        <v>10823</v>
      </c>
      <c r="BT224" t="str">
        <f>HYPERLINK("https%3A%2F%2Fwww.webofscience.com%2Fwos%2Fwoscc%2Ffull-record%2FWOS:000419717800008","View Full Record in Web of Science")</f>
        <v>View Full Record in Web of Science</v>
      </c>
    </row>
    <row r="225" spans="1:72" x14ac:dyDescent="0.25">
      <c r="A225" t="s">
        <v>72</v>
      </c>
      <c r="B225" t="s">
        <v>10981</v>
      </c>
      <c r="C225" t="s">
        <v>74</v>
      </c>
      <c r="D225" t="s">
        <v>74</v>
      </c>
      <c r="E225" t="s">
        <v>74</v>
      </c>
      <c r="F225" t="s">
        <v>10982</v>
      </c>
      <c r="G225" t="s">
        <v>74</v>
      </c>
      <c r="H225" t="s">
        <v>74</v>
      </c>
      <c r="I225" s="1" t="s">
        <v>10983</v>
      </c>
      <c r="J225" t="s">
        <v>10984</v>
      </c>
      <c r="K225" t="s">
        <v>74</v>
      </c>
      <c r="L225" t="s">
        <v>74</v>
      </c>
      <c r="M225" t="s">
        <v>2751</v>
      </c>
      <c r="N225" t="s">
        <v>79</v>
      </c>
      <c r="O225" t="s">
        <v>74</v>
      </c>
      <c r="P225" t="s">
        <v>74</v>
      </c>
      <c r="Q225" t="s">
        <v>74</v>
      </c>
      <c r="R225" t="s">
        <v>74</v>
      </c>
      <c r="S225" t="s">
        <v>74</v>
      </c>
      <c r="T225" s="1" t="s">
        <v>10985</v>
      </c>
      <c r="U225" s="1" t="s">
        <v>10986</v>
      </c>
      <c r="V225" s="1" t="s">
        <v>10987</v>
      </c>
      <c r="W225" t="s">
        <v>10988</v>
      </c>
      <c r="X225" t="s">
        <v>10989</v>
      </c>
      <c r="Y225" t="s">
        <v>10990</v>
      </c>
      <c r="Z225" t="s">
        <v>10991</v>
      </c>
      <c r="AA225" t="s">
        <v>74</v>
      </c>
      <c r="AB225" t="s">
        <v>74</v>
      </c>
      <c r="AC225" t="s">
        <v>74</v>
      </c>
      <c r="AD225" t="s">
        <v>74</v>
      </c>
      <c r="AE225" t="s">
        <v>74</v>
      </c>
      <c r="AF225" t="s">
        <v>74</v>
      </c>
      <c r="AG225">
        <v>24</v>
      </c>
      <c r="AH225">
        <v>6</v>
      </c>
      <c r="AI225">
        <v>8</v>
      </c>
      <c r="AJ225">
        <v>0</v>
      </c>
      <c r="AK225">
        <v>23</v>
      </c>
      <c r="AL225" t="s">
        <v>10992</v>
      </c>
      <c r="AM225" t="s">
        <v>2764</v>
      </c>
      <c r="AN225" t="s">
        <v>10993</v>
      </c>
      <c r="AO225" t="s">
        <v>10994</v>
      </c>
      <c r="AP225" t="s">
        <v>10995</v>
      </c>
      <c r="AQ225" t="s">
        <v>74</v>
      </c>
      <c r="AR225" t="s">
        <v>10996</v>
      </c>
      <c r="AS225" t="s">
        <v>10997</v>
      </c>
      <c r="AT225" t="s">
        <v>74</v>
      </c>
      <c r="AU225">
        <v>2017</v>
      </c>
      <c r="AV225" t="s">
        <v>74</v>
      </c>
      <c r="AW225">
        <v>5</v>
      </c>
      <c r="AX225" t="s">
        <v>74</v>
      </c>
      <c r="AY225" t="s">
        <v>74</v>
      </c>
      <c r="AZ225" t="s">
        <v>74</v>
      </c>
      <c r="BA225" t="s">
        <v>74</v>
      </c>
      <c r="BB225">
        <v>122</v>
      </c>
      <c r="BC225">
        <v>132</v>
      </c>
      <c r="BD225" t="s">
        <v>74</v>
      </c>
      <c r="BE225" t="s">
        <v>10998</v>
      </c>
      <c r="BF225" t="str">
        <f>HYPERLINK("http://dx.doi.org/10.17976/jpps/2017.05.09","http://dx.doi.org/10.17976/jpps/2017.05.09")</f>
        <v>http://dx.doi.org/10.17976/jpps/2017.05.09</v>
      </c>
      <c r="BG225" t="s">
        <v>74</v>
      </c>
      <c r="BH225" t="s">
        <v>74</v>
      </c>
      <c r="BI225">
        <v>11</v>
      </c>
      <c r="BJ225" t="s">
        <v>1082</v>
      </c>
      <c r="BK225" t="s">
        <v>183</v>
      </c>
      <c r="BL225" t="s">
        <v>379</v>
      </c>
      <c r="BM225" t="s">
        <v>10999</v>
      </c>
      <c r="BN225" t="s">
        <v>74</v>
      </c>
      <c r="BO225" t="s">
        <v>791</v>
      </c>
      <c r="BP225" t="s">
        <v>74</v>
      </c>
      <c r="BQ225" t="s">
        <v>74</v>
      </c>
      <c r="BR225" t="s">
        <v>106</v>
      </c>
      <c r="BS225" t="s">
        <v>11000</v>
      </c>
      <c r="BT225" t="str">
        <f>HYPERLINK("https%3A%2F%2Fwww.webofscience.com%2Fwos%2Fwoscc%2Ffull-record%2FWOS:000417175400009","View Full Record in Web of Science")</f>
        <v>View Full Record in Web of Science</v>
      </c>
    </row>
    <row r="226" spans="1:72" x14ac:dyDescent="0.25">
      <c r="A226" t="s">
        <v>72</v>
      </c>
      <c r="B226" t="s">
        <v>12001</v>
      </c>
      <c r="C226" t="s">
        <v>74</v>
      </c>
      <c r="D226" t="s">
        <v>74</v>
      </c>
      <c r="E226" t="s">
        <v>74</v>
      </c>
      <c r="F226" t="s">
        <v>12002</v>
      </c>
      <c r="G226" t="s">
        <v>74</v>
      </c>
      <c r="H226" t="s">
        <v>74</v>
      </c>
      <c r="I226" s="1" t="s">
        <v>12003</v>
      </c>
      <c r="J226" t="s">
        <v>12004</v>
      </c>
      <c r="K226" t="s">
        <v>74</v>
      </c>
      <c r="L226" t="s">
        <v>74</v>
      </c>
      <c r="M226" t="s">
        <v>78</v>
      </c>
      <c r="N226" t="s">
        <v>79</v>
      </c>
      <c r="O226" t="s">
        <v>74</v>
      </c>
      <c r="P226" t="s">
        <v>74</v>
      </c>
      <c r="Q226" t="s">
        <v>74</v>
      </c>
      <c r="R226" t="s">
        <v>74</v>
      </c>
      <c r="S226" t="s">
        <v>74</v>
      </c>
      <c r="T226" s="1" t="s">
        <v>12005</v>
      </c>
      <c r="U226" s="1" t="s">
        <v>12006</v>
      </c>
      <c r="V226" s="1" t="s">
        <v>12007</v>
      </c>
      <c r="W226" t="s">
        <v>12008</v>
      </c>
      <c r="X226" t="s">
        <v>12009</v>
      </c>
      <c r="Y226" t="s">
        <v>12010</v>
      </c>
      <c r="Z226" t="s">
        <v>12011</v>
      </c>
      <c r="AA226" t="s">
        <v>12012</v>
      </c>
      <c r="AB226" t="s">
        <v>12013</v>
      </c>
      <c r="AC226" t="s">
        <v>74</v>
      </c>
      <c r="AD226" t="s">
        <v>74</v>
      </c>
      <c r="AE226" t="s">
        <v>74</v>
      </c>
      <c r="AF226" t="s">
        <v>74</v>
      </c>
      <c r="AG226">
        <v>50</v>
      </c>
      <c r="AH226">
        <v>6</v>
      </c>
      <c r="AI226">
        <v>8</v>
      </c>
      <c r="AJ226">
        <v>1</v>
      </c>
      <c r="AK226">
        <v>4</v>
      </c>
      <c r="AL226" t="s">
        <v>12014</v>
      </c>
      <c r="AM226" t="s">
        <v>6354</v>
      </c>
      <c r="AN226" t="s">
        <v>12015</v>
      </c>
      <c r="AO226" t="s">
        <v>12016</v>
      </c>
      <c r="AP226" t="s">
        <v>74</v>
      </c>
      <c r="AQ226" t="s">
        <v>74</v>
      </c>
      <c r="AR226" t="s">
        <v>12017</v>
      </c>
      <c r="AS226" t="s">
        <v>12018</v>
      </c>
      <c r="AT226" t="s">
        <v>99</v>
      </c>
      <c r="AU226">
        <v>2013</v>
      </c>
      <c r="AV226" t="s">
        <v>74</v>
      </c>
      <c r="AW226">
        <v>7</v>
      </c>
      <c r="AX226" t="s">
        <v>74</v>
      </c>
      <c r="AY226" t="s">
        <v>74</v>
      </c>
      <c r="AZ226" t="s">
        <v>74</v>
      </c>
      <c r="BA226" t="s">
        <v>74</v>
      </c>
      <c r="BB226">
        <v>190</v>
      </c>
      <c r="BC226">
        <v>208</v>
      </c>
      <c r="BD226" t="s">
        <v>74</v>
      </c>
      <c r="BE226" t="s">
        <v>74</v>
      </c>
      <c r="BF226" t="s">
        <v>74</v>
      </c>
      <c r="BG226" t="s">
        <v>74</v>
      </c>
      <c r="BH226" t="s">
        <v>74</v>
      </c>
      <c r="BI226">
        <v>19</v>
      </c>
      <c r="BJ226" t="s">
        <v>1326</v>
      </c>
      <c r="BK226" t="s">
        <v>183</v>
      </c>
      <c r="BL226" t="s">
        <v>1326</v>
      </c>
      <c r="BM226" t="s">
        <v>12019</v>
      </c>
      <c r="BN226" t="s">
        <v>74</v>
      </c>
      <c r="BO226" t="s">
        <v>74</v>
      </c>
      <c r="BP226" t="s">
        <v>74</v>
      </c>
      <c r="BQ226" t="s">
        <v>74</v>
      </c>
      <c r="BR226" t="s">
        <v>106</v>
      </c>
      <c r="BS226" t="s">
        <v>12020</v>
      </c>
      <c r="BT226" t="str">
        <f>HYPERLINK("https%3A%2F%2Fwww.webofscience.com%2Fwos%2Fwoscc%2Ffull-record%2FWOS:000210360600012","View Full Record in Web of Science")</f>
        <v>View Full Record in Web of Science</v>
      </c>
    </row>
    <row r="227" spans="1:72" x14ac:dyDescent="0.25">
      <c r="A227" t="s">
        <v>72</v>
      </c>
      <c r="B227" t="s">
        <v>2876</v>
      </c>
      <c r="C227" t="s">
        <v>74</v>
      </c>
      <c r="D227" t="s">
        <v>74</v>
      </c>
      <c r="E227" t="s">
        <v>74</v>
      </c>
      <c r="F227" t="s">
        <v>2877</v>
      </c>
      <c r="G227" t="s">
        <v>74</v>
      </c>
      <c r="H227" t="s">
        <v>74</v>
      </c>
      <c r="I227" s="1" t="s">
        <v>2878</v>
      </c>
      <c r="J227" t="s">
        <v>191</v>
      </c>
      <c r="K227" t="s">
        <v>74</v>
      </c>
      <c r="L227" t="s">
        <v>74</v>
      </c>
      <c r="M227" t="s">
        <v>78</v>
      </c>
      <c r="N227" t="s">
        <v>79</v>
      </c>
      <c r="O227" t="s">
        <v>74</v>
      </c>
      <c r="P227" t="s">
        <v>74</v>
      </c>
      <c r="Q227" t="s">
        <v>74</v>
      </c>
      <c r="R227" t="s">
        <v>74</v>
      </c>
      <c r="S227" t="s">
        <v>74</v>
      </c>
      <c r="T227" s="1" t="s">
        <v>2879</v>
      </c>
      <c r="U227" s="1" t="s">
        <v>2880</v>
      </c>
      <c r="V227" s="1" t="s">
        <v>2881</v>
      </c>
      <c r="W227" t="s">
        <v>2882</v>
      </c>
      <c r="X227" t="s">
        <v>2883</v>
      </c>
      <c r="Y227" t="s">
        <v>2884</v>
      </c>
      <c r="Z227" t="s">
        <v>2885</v>
      </c>
      <c r="AA227" t="s">
        <v>74</v>
      </c>
      <c r="AB227" t="s">
        <v>74</v>
      </c>
      <c r="AC227" t="s">
        <v>2886</v>
      </c>
      <c r="AD227" t="s">
        <v>2887</v>
      </c>
      <c r="AE227" t="s">
        <v>2888</v>
      </c>
      <c r="AF227" t="s">
        <v>74</v>
      </c>
      <c r="AG227">
        <v>55</v>
      </c>
      <c r="AH227">
        <v>5</v>
      </c>
      <c r="AI227">
        <v>5</v>
      </c>
      <c r="AJ227">
        <v>43</v>
      </c>
      <c r="AK227">
        <v>117</v>
      </c>
      <c r="AL227" t="s">
        <v>202</v>
      </c>
      <c r="AM227" t="s">
        <v>203</v>
      </c>
      <c r="AN227" t="s">
        <v>204</v>
      </c>
      <c r="AO227" t="s">
        <v>74</v>
      </c>
      <c r="AP227" t="s">
        <v>205</v>
      </c>
      <c r="AQ227" t="s">
        <v>74</v>
      </c>
      <c r="AR227" t="s">
        <v>206</v>
      </c>
      <c r="AS227" t="s">
        <v>207</v>
      </c>
      <c r="AT227" t="s">
        <v>208</v>
      </c>
      <c r="AU227">
        <v>2022</v>
      </c>
      <c r="AV227">
        <v>14</v>
      </c>
      <c r="AW227">
        <v>20</v>
      </c>
      <c r="AX227" t="s">
        <v>74</v>
      </c>
      <c r="AY227" t="s">
        <v>74</v>
      </c>
      <c r="AZ227" t="s">
        <v>74</v>
      </c>
      <c r="BA227" t="s">
        <v>74</v>
      </c>
      <c r="BB227" t="s">
        <v>74</v>
      </c>
      <c r="BC227" t="s">
        <v>74</v>
      </c>
      <c r="BD227">
        <v>13038</v>
      </c>
      <c r="BE227" t="s">
        <v>2889</v>
      </c>
      <c r="BF227" t="str">
        <f>HYPERLINK("http://dx.doi.org/10.3390/su142013038","http://dx.doi.org/10.3390/su142013038")</f>
        <v>http://dx.doi.org/10.3390/su142013038</v>
      </c>
      <c r="BG227" t="s">
        <v>74</v>
      </c>
      <c r="BH227" t="s">
        <v>74</v>
      </c>
      <c r="BI227">
        <v>23</v>
      </c>
      <c r="BJ227" t="s">
        <v>210</v>
      </c>
      <c r="BK227" t="s">
        <v>211</v>
      </c>
      <c r="BL227" t="s">
        <v>212</v>
      </c>
      <c r="BM227" t="s">
        <v>2890</v>
      </c>
      <c r="BN227" t="s">
        <v>74</v>
      </c>
      <c r="BO227" t="s">
        <v>186</v>
      </c>
      <c r="BP227" t="s">
        <v>74</v>
      </c>
      <c r="BQ227" t="s">
        <v>74</v>
      </c>
      <c r="BR227" t="s">
        <v>106</v>
      </c>
      <c r="BS227" t="s">
        <v>2891</v>
      </c>
      <c r="BT227" t="str">
        <f>HYPERLINK("https%3A%2F%2Fwww.webofscience.com%2Fwos%2Fwoscc%2Ffull-record%2FWOS:000873494300001","View Full Record in Web of Science")</f>
        <v>View Full Record in Web of Science</v>
      </c>
    </row>
    <row r="228" spans="1:72" x14ac:dyDescent="0.25">
      <c r="A228" t="s">
        <v>72</v>
      </c>
      <c r="B228" t="s">
        <v>3983</v>
      </c>
      <c r="C228" t="s">
        <v>74</v>
      </c>
      <c r="D228" t="s">
        <v>74</v>
      </c>
      <c r="E228" t="s">
        <v>74</v>
      </c>
      <c r="F228" t="s">
        <v>3984</v>
      </c>
      <c r="G228" t="s">
        <v>74</v>
      </c>
      <c r="H228" t="s">
        <v>74</v>
      </c>
      <c r="I228" s="1" t="s">
        <v>3985</v>
      </c>
      <c r="J228" t="s">
        <v>3986</v>
      </c>
      <c r="K228" t="s">
        <v>74</v>
      </c>
      <c r="L228" t="s">
        <v>74</v>
      </c>
      <c r="M228" t="s">
        <v>78</v>
      </c>
      <c r="N228" t="s">
        <v>79</v>
      </c>
      <c r="O228" t="s">
        <v>74</v>
      </c>
      <c r="P228" t="s">
        <v>74</v>
      </c>
      <c r="Q228" t="s">
        <v>74</v>
      </c>
      <c r="R228" t="s">
        <v>74</v>
      </c>
      <c r="S228" t="s">
        <v>74</v>
      </c>
      <c r="T228" s="1" t="s">
        <v>3987</v>
      </c>
      <c r="U228" s="1" t="s">
        <v>3988</v>
      </c>
      <c r="V228" s="1" t="s">
        <v>3989</v>
      </c>
      <c r="W228" t="s">
        <v>3990</v>
      </c>
      <c r="X228" t="s">
        <v>3991</v>
      </c>
      <c r="Y228" t="s">
        <v>3992</v>
      </c>
      <c r="Z228" t="s">
        <v>3993</v>
      </c>
      <c r="AA228" t="s">
        <v>3994</v>
      </c>
      <c r="AB228" t="s">
        <v>3995</v>
      </c>
      <c r="AC228" t="s">
        <v>74</v>
      </c>
      <c r="AD228" t="s">
        <v>74</v>
      </c>
      <c r="AE228" t="s">
        <v>74</v>
      </c>
      <c r="AF228" t="s">
        <v>74</v>
      </c>
      <c r="AG228">
        <v>102</v>
      </c>
      <c r="AH228">
        <v>5</v>
      </c>
      <c r="AI228">
        <v>5</v>
      </c>
      <c r="AJ228">
        <v>4</v>
      </c>
      <c r="AK228">
        <v>17</v>
      </c>
      <c r="AL228" t="s">
        <v>202</v>
      </c>
      <c r="AM228" t="s">
        <v>203</v>
      </c>
      <c r="AN228" t="s">
        <v>204</v>
      </c>
      <c r="AO228" t="s">
        <v>74</v>
      </c>
      <c r="AP228" t="s">
        <v>3996</v>
      </c>
      <c r="AQ228" t="s">
        <v>74</v>
      </c>
      <c r="AR228" t="s">
        <v>3997</v>
      </c>
      <c r="AS228" t="s">
        <v>3998</v>
      </c>
      <c r="AT228" t="s">
        <v>1138</v>
      </c>
      <c r="AU228">
        <v>2022</v>
      </c>
      <c r="AV228">
        <v>22</v>
      </c>
      <c r="AW228">
        <v>11</v>
      </c>
      <c r="AX228" t="s">
        <v>74</v>
      </c>
      <c r="AY228" t="s">
        <v>74</v>
      </c>
      <c r="AZ228" t="s">
        <v>74</v>
      </c>
      <c r="BA228" t="s">
        <v>74</v>
      </c>
      <c r="BB228" t="s">
        <v>74</v>
      </c>
      <c r="BC228" t="s">
        <v>74</v>
      </c>
      <c r="BD228">
        <v>4032</v>
      </c>
      <c r="BE228" t="s">
        <v>3999</v>
      </c>
      <c r="BF228" t="str">
        <f>HYPERLINK("http://dx.doi.org/10.3390/s22114032","http://dx.doi.org/10.3390/s22114032")</f>
        <v>http://dx.doi.org/10.3390/s22114032</v>
      </c>
      <c r="BG228" t="s">
        <v>74</v>
      </c>
      <c r="BH228" t="s">
        <v>74</v>
      </c>
      <c r="BI228">
        <v>43</v>
      </c>
      <c r="BJ228" t="s">
        <v>4000</v>
      </c>
      <c r="BK228" t="s">
        <v>102</v>
      </c>
      <c r="BL228" t="s">
        <v>4001</v>
      </c>
      <c r="BM228" t="s">
        <v>4002</v>
      </c>
      <c r="BN228">
        <v>35684652</v>
      </c>
      <c r="BO228" t="s">
        <v>614</v>
      </c>
      <c r="BP228" t="s">
        <v>74</v>
      </c>
      <c r="BQ228" t="s">
        <v>74</v>
      </c>
      <c r="BR228" t="s">
        <v>106</v>
      </c>
      <c r="BS228" t="s">
        <v>4003</v>
      </c>
      <c r="BT228" t="str">
        <f>HYPERLINK("https%3A%2F%2Fwww.webofscience.com%2Fwos%2Fwoscc%2Ffull-record%2FWOS:000808897100001","View Full Record in Web of Science")</f>
        <v>View Full Record in Web of Science</v>
      </c>
    </row>
    <row r="229" spans="1:72" x14ac:dyDescent="0.25">
      <c r="A229" t="s">
        <v>72</v>
      </c>
      <c r="B229" t="s">
        <v>4291</v>
      </c>
      <c r="C229" t="s">
        <v>74</v>
      </c>
      <c r="D229" t="s">
        <v>74</v>
      </c>
      <c r="E229" t="s">
        <v>74</v>
      </c>
      <c r="F229" t="s">
        <v>4292</v>
      </c>
      <c r="G229" t="s">
        <v>74</v>
      </c>
      <c r="H229" t="s">
        <v>74</v>
      </c>
      <c r="I229" s="1" t="s">
        <v>4293</v>
      </c>
      <c r="J229" t="s">
        <v>2987</v>
      </c>
      <c r="K229" t="s">
        <v>74</v>
      </c>
      <c r="L229" t="s">
        <v>74</v>
      </c>
      <c r="M229" t="s">
        <v>78</v>
      </c>
      <c r="N229" t="s">
        <v>79</v>
      </c>
      <c r="O229" t="s">
        <v>74</v>
      </c>
      <c r="P229" t="s">
        <v>74</v>
      </c>
      <c r="Q229" t="s">
        <v>74</v>
      </c>
      <c r="R229" t="s">
        <v>74</v>
      </c>
      <c r="S229" t="s">
        <v>74</v>
      </c>
      <c r="T229" s="1" t="s">
        <v>4294</v>
      </c>
      <c r="U229" s="1" t="s">
        <v>4295</v>
      </c>
      <c r="V229" s="1" t="s">
        <v>4296</v>
      </c>
      <c r="W229" t="s">
        <v>4297</v>
      </c>
      <c r="X229" t="s">
        <v>4298</v>
      </c>
      <c r="Y229" t="s">
        <v>4299</v>
      </c>
      <c r="Z229" t="s">
        <v>4300</v>
      </c>
      <c r="AA229" t="s">
        <v>4301</v>
      </c>
      <c r="AB229" t="s">
        <v>4302</v>
      </c>
      <c r="AC229" t="s">
        <v>74</v>
      </c>
      <c r="AD229" t="s">
        <v>74</v>
      </c>
      <c r="AE229" t="s">
        <v>74</v>
      </c>
      <c r="AF229" t="s">
        <v>74</v>
      </c>
      <c r="AG229">
        <v>77</v>
      </c>
      <c r="AH229">
        <v>5</v>
      </c>
      <c r="AI229">
        <v>5</v>
      </c>
      <c r="AJ229">
        <v>2</v>
      </c>
      <c r="AK229">
        <v>7</v>
      </c>
      <c r="AL229" t="s">
        <v>202</v>
      </c>
      <c r="AM229" t="s">
        <v>203</v>
      </c>
      <c r="AN229" t="s">
        <v>204</v>
      </c>
      <c r="AO229" t="s">
        <v>74</v>
      </c>
      <c r="AP229" t="s">
        <v>2997</v>
      </c>
      <c r="AQ229" t="s">
        <v>74</v>
      </c>
      <c r="AR229" t="s">
        <v>2987</v>
      </c>
      <c r="AS229" t="s">
        <v>2998</v>
      </c>
      <c r="AT229" t="s">
        <v>1280</v>
      </c>
      <c r="AU229">
        <v>2022</v>
      </c>
      <c r="AV229">
        <v>10</v>
      </c>
      <c r="AW229">
        <v>5</v>
      </c>
      <c r="AX229" t="s">
        <v>74</v>
      </c>
      <c r="AY229" t="s">
        <v>74</v>
      </c>
      <c r="AZ229" t="s">
        <v>74</v>
      </c>
      <c r="BA229" t="s">
        <v>74</v>
      </c>
      <c r="BB229" t="s">
        <v>74</v>
      </c>
      <c r="BC229" t="s">
        <v>74</v>
      </c>
      <c r="BD229">
        <v>960</v>
      </c>
      <c r="BE229" t="s">
        <v>4303</v>
      </c>
      <c r="BF229" t="str">
        <f>HYPERLINK("http://dx.doi.org/10.3390/pr10050960","http://dx.doi.org/10.3390/pr10050960")</f>
        <v>http://dx.doi.org/10.3390/pr10050960</v>
      </c>
      <c r="BG229" t="s">
        <v>74</v>
      </c>
      <c r="BH229" t="s">
        <v>74</v>
      </c>
      <c r="BI229">
        <v>24</v>
      </c>
      <c r="BJ229" t="s">
        <v>2849</v>
      </c>
      <c r="BK229" t="s">
        <v>102</v>
      </c>
      <c r="BL229" t="s">
        <v>1685</v>
      </c>
      <c r="BM229" t="s">
        <v>4304</v>
      </c>
      <c r="BN229" t="s">
        <v>74</v>
      </c>
      <c r="BO229" t="s">
        <v>186</v>
      </c>
      <c r="BP229" t="s">
        <v>74</v>
      </c>
      <c r="BQ229" t="s">
        <v>74</v>
      </c>
      <c r="BR229" t="s">
        <v>106</v>
      </c>
      <c r="BS229" t="s">
        <v>4305</v>
      </c>
      <c r="BT229" t="str">
        <f>HYPERLINK("https%3A%2F%2Fwww.webofscience.com%2Fwos%2Fwoscc%2Ffull-record%2FWOS:000802415300001","View Full Record in Web of Science")</f>
        <v>View Full Record in Web of Science</v>
      </c>
    </row>
    <row r="230" spans="1:72" x14ac:dyDescent="0.25">
      <c r="A230" t="s">
        <v>72</v>
      </c>
      <c r="B230" t="s">
        <v>4400</v>
      </c>
      <c r="C230" t="s">
        <v>74</v>
      </c>
      <c r="D230" t="s">
        <v>74</v>
      </c>
      <c r="E230" t="s">
        <v>74</v>
      </c>
      <c r="F230" t="s">
        <v>4401</v>
      </c>
      <c r="G230" t="s">
        <v>74</v>
      </c>
      <c r="H230" t="s">
        <v>74</v>
      </c>
      <c r="I230" s="1" t="s">
        <v>4402</v>
      </c>
      <c r="J230" t="s">
        <v>2455</v>
      </c>
      <c r="K230" t="s">
        <v>74</v>
      </c>
      <c r="L230" t="s">
        <v>74</v>
      </c>
      <c r="M230" t="s">
        <v>78</v>
      </c>
      <c r="N230" t="s">
        <v>79</v>
      </c>
      <c r="O230" t="s">
        <v>74</v>
      </c>
      <c r="P230" t="s">
        <v>74</v>
      </c>
      <c r="Q230" t="s">
        <v>74</v>
      </c>
      <c r="R230" t="s">
        <v>74</v>
      </c>
      <c r="S230" t="s">
        <v>74</v>
      </c>
      <c r="T230" s="1" t="s">
        <v>4403</v>
      </c>
      <c r="U230" s="1" t="s">
        <v>4404</v>
      </c>
      <c r="V230" s="1" t="s">
        <v>4405</v>
      </c>
      <c r="W230" t="s">
        <v>4406</v>
      </c>
      <c r="X230" t="s">
        <v>4407</v>
      </c>
      <c r="Y230" t="s">
        <v>4408</v>
      </c>
      <c r="Z230" t="s">
        <v>4409</v>
      </c>
      <c r="AA230" t="s">
        <v>74</v>
      </c>
      <c r="AB230" t="s">
        <v>4410</v>
      </c>
      <c r="AC230" t="s">
        <v>74</v>
      </c>
      <c r="AD230" t="s">
        <v>74</v>
      </c>
      <c r="AE230" t="s">
        <v>74</v>
      </c>
      <c r="AF230" t="s">
        <v>74</v>
      </c>
      <c r="AG230">
        <v>93</v>
      </c>
      <c r="AH230">
        <v>5</v>
      </c>
      <c r="AI230">
        <v>5</v>
      </c>
      <c r="AJ230">
        <v>55</v>
      </c>
      <c r="AK230">
        <v>182</v>
      </c>
      <c r="AL230" t="s">
        <v>715</v>
      </c>
      <c r="AM230" t="s">
        <v>4411</v>
      </c>
      <c r="AN230" t="s">
        <v>4412</v>
      </c>
      <c r="AO230" t="s">
        <v>2463</v>
      </c>
      <c r="AP230" t="s">
        <v>2464</v>
      </c>
      <c r="AQ230" t="s">
        <v>74</v>
      </c>
      <c r="AR230" t="s">
        <v>2465</v>
      </c>
      <c r="AS230" t="s">
        <v>2466</v>
      </c>
      <c r="AT230" t="s">
        <v>4413</v>
      </c>
      <c r="AU230">
        <v>2023</v>
      </c>
      <c r="AV230">
        <v>26</v>
      </c>
      <c r="AW230">
        <v>5</v>
      </c>
      <c r="AX230" t="s">
        <v>74</v>
      </c>
      <c r="AY230" t="s">
        <v>74</v>
      </c>
      <c r="AZ230" t="s">
        <v>74</v>
      </c>
      <c r="BA230" t="s">
        <v>74</v>
      </c>
      <c r="BB230">
        <v>1394</v>
      </c>
      <c r="BC230">
        <v>1420</v>
      </c>
      <c r="BD230" t="s">
        <v>74</v>
      </c>
      <c r="BE230" t="s">
        <v>4414</v>
      </c>
      <c r="BF230" t="str">
        <f>HYPERLINK("http://dx.doi.org/10.1108/EJIM-10-2021-0532","http://dx.doi.org/10.1108/EJIM-10-2021-0532")</f>
        <v>http://dx.doi.org/10.1108/EJIM-10-2021-0532</v>
      </c>
      <c r="BG230" t="s">
        <v>74</v>
      </c>
      <c r="BH230" t="s">
        <v>4337</v>
      </c>
      <c r="BI230">
        <v>27</v>
      </c>
      <c r="BJ230" t="s">
        <v>264</v>
      </c>
      <c r="BK230" t="s">
        <v>156</v>
      </c>
      <c r="BL230" t="s">
        <v>265</v>
      </c>
      <c r="BM230" t="s">
        <v>4415</v>
      </c>
      <c r="BN230" t="s">
        <v>74</v>
      </c>
      <c r="BO230" t="s">
        <v>74</v>
      </c>
      <c r="BP230" t="s">
        <v>74</v>
      </c>
      <c r="BQ230" t="s">
        <v>74</v>
      </c>
      <c r="BR230" t="s">
        <v>106</v>
      </c>
      <c r="BS230" t="s">
        <v>4416</v>
      </c>
      <c r="BT230" t="str">
        <f>HYPERLINK("https%3A%2F%2Fwww.webofscience.com%2Fwos%2Fwoscc%2Ffull-record%2FWOS:000780937900001","View Full Record in Web of Science")</f>
        <v>View Full Record in Web of Science</v>
      </c>
    </row>
    <row r="231" spans="1:72" x14ac:dyDescent="0.25">
      <c r="A231" t="s">
        <v>72</v>
      </c>
      <c r="B231" t="s">
        <v>4654</v>
      </c>
      <c r="C231" t="s">
        <v>74</v>
      </c>
      <c r="D231" t="s">
        <v>74</v>
      </c>
      <c r="E231" t="s">
        <v>74</v>
      </c>
      <c r="F231" t="s">
        <v>4655</v>
      </c>
      <c r="G231" t="s">
        <v>74</v>
      </c>
      <c r="H231" t="s">
        <v>74</v>
      </c>
      <c r="I231" s="1" t="s">
        <v>4656</v>
      </c>
      <c r="J231" t="s">
        <v>4657</v>
      </c>
      <c r="K231" t="s">
        <v>74</v>
      </c>
      <c r="L231" t="s">
        <v>74</v>
      </c>
      <c r="M231" t="s">
        <v>78</v>
      </c>
      <c r="N231" t="s">
        <v>79</v>
      </c>
      <c r="O231" t="s">
        <v>74</v>
      </c>
      <c r="P231" t="s">
        <v>74</v>
      </c>
      <c r="Q231" t="s">
        <v>74</v>
      </c>
      <c r="R231" t="s">
        <v>74</v>
      </c>
      <c r="S231" t="s">
        <v>74</v>
      </c>
      <c r="T231" s="1" t="s">
        <v>4658</v>
      </c>
      <c r="U231" s="1" t="s">
        <v>4659</v>
      </c>
      <c r="V231" s="1" t="s">
        <v>4660</v>
      </c>
      <c r="W231" t="s">
        <v>4661</v>
      </c>
      <c r="X231" t="s">
        <v>4662</v>
      </c>
      <c r="Y231" t="s">
        <v>4663</v>
      </c>
      <c r="Z231" t="s">
        <v>4664</v>
      </c>
      <c r="AA231" t="s">
        <v>74</v>
      </c>
      <c r="AB231" t="s">
        <v>4665</v>
      </c>
      <c r="AC231" t="s">
        <v>4666</v>
      </c>
      <c r="AD231" t="s">
        <v>4667</v>
      </c>
      <c r="AE231" t="s">
        <v>4668</v>
      </c>
      <c r="AF231" t="s">
        <v>74</v>
      </c>
      <c r="AG231">
        <v>49</v>
      </c>
      <c r="AH231">
        <v>5</v>
      </c>
      <c r="AI231">
        <v>5</v>
      </c>
      <c r="AJ231">
        <v>0</v>
      </c>
      <c r="AK231">
        <v>7</v>
      </c>
      <c r="AL231" t="s">
        <v>1468</v>
      </c>
      <c r="AM231" t="s">
        <v>175</v>
      </c>
      <c r="AN231" t="s">
        <v>1469</v>
      </c>
      <c r="AO231" t="s">
        <v>4669</v>
      </c>
      <c r="AP231" t="s">
        <v>4670</v>
      </c>
      <c r="AQ231" t="s">
        <v>74</v>
      </c>
      <c r="AR231" t="s">
        <v>4671</v>
      </c>
      <c r="AS231" t="s">
        <v>4672</v>
      </c>
      <c r="AT231" t="s">
        <v>99</v>
      </c>
      <c r="AU231">
        <v>2021</v>
      </c>
      <c r="AV231">
        <v>36</v>
      </c>
      <c r="AW231" t="s">
        <v>976</v>
      </c>
      <c r="AX231" t="s">
        <v>74</v>
      </c>
      <c r="AY231" t="s">
        <v>74</v>
      </c>
      <c r="AZ231" t="s">
        <v>1020</v>
      </c>
      <c r="BA231" t="s">
        <v>74</v>
      </c>
      <c r="BB231">
        <v>650</v>
      </c>
      <c r="BC231">
        <v>668</v>
      </c>
      <c r="BD231">
        <v>2690942221077120</v>
      </c>
      <c r="BE231" t="s">
        <v>4673</v>
      </c>
      <c r="BF231" t="str">
        <f>HYPERLINK("http://dx.doi.org/10.1177/02690942221077120","http://dx.doi.org/10.1177/02690942221077120")</f>
        <v>http://dx.doi.org/10.1177/02690942221077120</v>
      </c>
      <c r="BG231" t="s">
        <v>74</v>
      </c>
      <c r="BH231" t="s">
        <v>4674</v>
      </c>
      <c r="BI231">
        <v>19</v>
      </c>
      <c r="BJ231" t="s">
        <v>521</v>
      </c>
      <c r="BK231" t="s">
        <v>183</v>
      </c>
      <c r="BL231" t="s">
        <v>265</v>
      </c>
      <c r="BM231" t="s">
        <v>4675</v>
      </c>
      <c r="BN231" t="s">
        <v>74</v>
      </c>
      <c r="BO231" t="s">
        <v>1539</v>
      </c>
      <c r="BP231" t="s">
        <v>74</v>
      </c>
      <c r="BQ231" t="s">
        <v>74</v>
      </c>
      <c r="BR231" t="s">
        <v>106</v>
      </c>
      <c r="BS231" t="s">
        <v>4676</v>
      </c>
      <c r="BT231" t="str">
        <f>HYPERLINK("https%3A%2F%2Fwww.webofscience.com%2Fwos%2Fwoscc%2Ffull-record%2FWOS:000759655500001","View Full Record in Web of Science")</f>
        <v>View Full Record in Web of Science</v>
      </c>
    </row>
    <row r="232" spans="1:72" x14ac:dyDescent="0.25">
      <c r="A232" t="s">
        <v>72</v>
      </c>
      <c r="B232" t="s">
        <v>5165</v>
      </c>
      <c r="C232" t="s">
        <v>74</v>
      </c>
      <c r="D232" t="s">
        <v>74</v>
      </c>
      <c r="E232" t="s">
        <v>74</v>
      </c>
      <c r="F232" t="s">
        <v>5166</v>
      </c>
      <c r="G232" t="s">
        <v>74</v>
      </c>
      <c r="H232" t="s">
        <v>74</v>
      </c>
      <c r="I232" s="1" t="s">
        <v>5167</v>
      </c>
      <c r="J232" t="s">
        <v>2140</v>
      </c>
      <c r="K232" t="s">
        <v>74</v>
      </c>
      <c r="L232" t="s">
        <v>74</v>
      </c>
      <c r="M232" t="s">
        <v>78</v>
      </c>
      <c r="N232" t="s">
        <v>79</v>
      </c>
      <c r="O232" t="s">
        <v>74</v>
      </c>
      <c r="P232" t="s">
        <v>74</v>
      </c>
      <c r="Q232" t="s">
        <v>74</v>
      </c>
      <c r="R232" t="s">
        <v>74</v>
      </c>
      <c r="S232" t="s">
        <v>74</v>
      </c>
      <c r="T232" s="1" t="s">
        <v>5168</v>
      </c>
      <c r="U232" s="1" t="s">
        <v>4295</v>
      </c>
      <c r="V232" s="1" t="s">
        <v>5169</v>
      </c>
      <c r="W232" t="s">
        <v>5170</v>
      </c>
      <c r="X232" t="s">
        <v>5171</v>
      </c>
      <c r="Y232" t="s">
        <v>5172</v>
      </c>
      <c r="Z232" t="s">
        <v>5173</v>
      </c>
      <c r="AA232" t="s">
        <v>5174</v>
      </c>
      <c r="AB232" t="s">
        <v>5175</v>
      </c>
      <c r="AC232" t="s">
        <v>74</v>
      </c>
      <c r="AD232" t="s">
        <v>74</v>
      </c>
      <c r="AE232" t="s">
        <v>74</v>
      </c>
      <c r="AF232" t="s">
        <v>74</v>
      </c>
      <c r="AG232">
        <v>72</v>
      </c>
      <c r="AH232">
        <v>5</v>
      </c>
      <c r="AI232">
        <v>5</v>
      </c>
      <c r="AJ232">
        <v>5</v>
      </c>
      <c r="AK232">
        <v>18</v>
      </c>
      <c r="AL232" t="s">
        <v>2153</v>
      </c>
      <c r="AM232" t="s">
        <v>2154</v>
      </c>
      <c r="AN232" t="s">
        <v>2155</v>
      </c>
      <c r="AO232" t="s">
        <v>2156</v>
      </c>
      <c r="AP232" t="s">
        <v>74</v>
      </c>
      <c r="AQ232" t="s">
        <v>74</v>
      </c>
      <c r="AR232" t="s">
        <v>2140</v>
      </c>
      <c r="AS232" t="s">
        <v>2157</v>
      </c>
      <c r="AT232" t="s">
        <v>74</v>
      </c>
      <c r="AU232">
        <v>2022</v>
      </c>
      <c r="AV232">
        <v>10</v>
      </c>
      <c r="AW232" t="s">
        <v>74</v>
      </c>
      <c r="AX232" t="s">
        <v>74</v>
      </c>
      <c r="AY232" t="s">
        <v>74</v>
      </c>
      <c r="AZ232" t="s">
        <v>74</v>
      </c>
      <c r="BA232" t="s">
        <v>74</v>
      </c>
      <c r="BB232">
        <v>63163</v>
      </c>
      <c r="BC232">
        <v>63176</v>
      </c>
      <c r="BD232" t="s">
        <v>74</v>
      </c>
      <c r="BE232" t="s">
        <v>5176</v>
      </c>
      <c r="BF232" t="str">
        <f>HYPERLINK("http://dx.doi.org/10.1109/ACCESS.2022.3182396","http://dx.doi.org/10.1109/ACCESS.2022.3182396")</f>
        <v>http://dx.doi.org/10.1109/ACCESS.2022.3182396</v>
      </c>
      <c r="BG232" t="s">
        <v>74</v>
      </c>
      <c r="BH232" t="s">
        <v>74</v>
      </c>
      <c r="BI232">
        <v>14</v>
      </c>
      <c r="BJ232" t="s">
        <v>2159</v>
      </c>
      <c r="BK232" t="s">
        <v>102</v>
      </c>
      <c r="BL232" t="s">
        <v>2160</v>
      </c>
      <c r="BM232" t="s">
        <v>5177</v>
      </c>
      <c r="BN232" t="s">
        <v>74</v>
      </c>
      <c r="BO232" t="s">
        <v>186</v>
      </c>
      <c r="BP232" t="s">
        <v>74</v>
      </c>
      <c r="BQ232" t="s">
        <v>74</v>
      </c>
      <c r="BR232" t="s">
        <v>106</v>
      </c>
      <c r="BS232" t="s">
        <v>5178</v>
      </c>
      <c r="BT232" t="str">
        <f>HYPERLINK("https%3A%2F%2Fwww.webofscience.com%2Fwos%2Fwoscc%2Ffull-record%2FWOS:000814535000001","View Full Record in Web of Science")</f>
        <v>View Full Record in Web of Science</v>
      </c>
    </row>
    <row r="233" spans="1:72" x14ac:dyDescent="0.25">
      <c r="A233" t="s">
        <v>72</v>
      </c>
      <c r="B233" t="s">
        <v>5666</v>
      </c>
      <c r="C233" t="s">
        <v>74</v>
      </c>
      <c r="D233" t="s">
        <v>74</v>
      </c>
      <c r="E233" t="s">
        <v>74</v>
      </c>
      <c r="F233" t="s">
        <v>5667</v>
      </c>
      <c r="G233" t="s">
        <v>74</v>
      </c>
      <c r="H233" t="s">
        <v>74</v>
      </c>
      <c r="I233" s="1" t="s">
        <v>5668</v>
      </c>
      <c r="J233" t="s">
        <v>5669</v>
      </c>
      <c r="K233" t="s">
        <v>74</v>
      </c>
      <c r="L233" t="s">
        <v>74</v>
      </c>
      <c r="M233" t="s">
        <v>78</v>
      </c>
      <c r="N233" t="s">
        <v>79</v>
      </c>
      <c r="O233" t="s">
        <v>74</v>
      </c>
      <c r="P233" t="s">
        <v>74</v>
      </c>
      <c r="Q233" t="s">
        <v>74</v>
      </c>
      <c r="R233" t="s">
        <v>74</v>
      </c>
      <c r="S233" t="s">
        <v>74</v>
      </c>
      <c r="T233" s="1" t="s">
        <v>5670</v>
      </c>
      <c r="U233" s="1" t="s">
        <v>5671</v>
      </c>
      <c r="V233" s="1" t="s">
        <v>5672</v>
      </c>
      <c r="W233" t="s">
        <v>5673</v>
      </c>
      <c r="X233" t="s">
        <v>5674</v>
      </c>
      <c r="Y233" t="s">
        <v>5675</v>
      </c>
      <c r="Z233" t="s">
        <v>5676</v>
      </c>
      <c r="AA233" t="s">
        <v>74</v>
      </c>
      <c r="AB233" t="s">
        <v>74</v>
      </c>
      <c r="AC233" t="s">
        <v>74</v>
      </c>
      <c r="AD233" t="s">
        <v>74</v>
      </c>
      <c r="AE233" t="s">
        <v>74</v>
      </c>
      <c r="AF233" t="s">
        <v>74</v>
      </c>
      <c r="AG233">
        <v>62</v>
      </c>
      <c r="AH233">
        <v>5</v>
      </c>
      <c r="AI233">
        <v>5</v>
      </c>
      <c r="AJ233">
        <v>2</v>
      </c>
      <c r="AK233">
        <v>22</v>
      </c>
      <c r="AL233" t="s">
        <v>492</v>
      </c>
      <c r="AM233" t="s">
        <v>493</v>
      </c>
      <c r="AN233" t="s">
        <v>494</v>
      </c>
      <c r="AO233" t="s">
        <v>5677</v>
      </c>
      <c r="AP233" t="s">
        <v>5678</v>
      </c>
      <c r="AQ233" t="s">
        <v>74</v>
      </c>
      <c r="AR233" t="s">
        <v>5679</v>
      </c>
      <c r="AS233" t="s">
        <v>5680</v>
      </c>
      <c r="AT233" t="s">
        <v>5681</v>
      </c>
      <c r="AU233">
        <v>2022</v>
      </c>
      <c r="AV233">
        <v>10</v>
      </c>
      <c r="AW233">
        <v>6</v>
      </c>
      <c r="AX233" t="s">
        <v>74</v>
      </c>
      <c r="AY233" t="s">
        <v>74</v>
      </c>
      <c r="AZ233" t="s">
        <v>74</v>
      </c>
      <c r="BA233" t="s">
        <v>74</v>
      </c>
      <c r="BB233">
        <v>1079</v>
      </c>
      <c r="BC233">
        <v>1097</v>
      </c>
      <c r="BD233" t="s">
        <v>74</v>
      </c>
      <c r="BE233" t="s">
        <v>5682</v>
      </c>
      <c r="BF233" t="str">
        <f>HYPERLINK("http://dx.doi.org/10.1080/21670811.2021.1943480","http://dx.doi.org/10.1080/21670811.2021.1943480")</f>
        <v>http://dx.doi.org/10.1080/21670811.2021.1943480</v>
      </c>
      <c r="BG233" t="s">
        <v>74</v>
      </c>
      <c r="BH233" t="s">
        <v>5683</v>
      </c>
      <c r="BI233">
        <v>19</v>
      </c>
      <c r="BJ233" t="s">
        <v>2218</v>
      </c>
      <c r="BK233" t="s">
        <v>156</v>
      </c>
      <c r="BL233" t="s">
        <v>2218</v>
      </c>
      <c r="BM233" t="s">
        <v>5684</v>
      </c>
      <c r="BN233" t="s">
        <v>74</v>
      </c>
      <c r="BO233" t="s">
        <v>74</v>
      </c>
      <c r="BP233" t="s">
        <v>74</v>
      </c>
      <c r="BQ233" t="s">
        <v>74</v>
      </c>
      <c r="BR233" t="s">
        <v>106</v>
      </c>
      <c r="BS233" t="s">
        <v>5685</v>
      </c>
      <c r="BT233" t="str">
        <f>HYPERLINK("https%3A%2F%2Fwww.webofscience.com%2Fwos%2Fwoscc%2Ffull-record%2FWOS:000710036400001","View Full Record in Web of Science")</f>
        <v>View Full Record in Web of Science</v>
      </c>
    </row>
    <row r="234" spans="1:72" x14ac:dyDescent="0.25">
      <c r="A234" t="s">
        <v>72</v>
      </c>
      <c r="B234" t="s">
        <v>6119</v>
      </c>
      <c r="C234" t="s">
        <v>74</v>
      </c>
      <c r="D234" t="s">
        <v>74</v>
      </c>
      <c r="E234" t="s">
        <v>74</v>
      </c>
      <c r="F234" t="s">
        <v>6120</v>
      </c>
      <c r="G234" t="s">
        <v>74</v>
      </c>
      <c r="H234" t="s">
        <v>74</v>
      </c>
      <c r="I234" s="1" t="s">
        <v>6121</v>
      </c>
      <c r="J234" t="s">
        <v>6122</v>
      </c>
      <c r="K234" t="s">
        <v>74</v>
      </c>
      <c r="L234" t="s">
        <v>74</v>
      </c>
      <c r="M234" t="s">
        <v>78</v>
      </c>
      <c r="N234" t="s">
        <v>79</v>
      </c>
      <c r="O234" t="s">
        <v>74</v>
      </c>
      <c r="P234" t="s">
        <v>74</v>
      </c>
      <c r="Q234" t="s">
        <v>74</v>
      </c>
      <c r="R234" t="s">
        <v>74</v>
      </c>
      <c r="S234" t="s">
        <v>74</v>
      </c>
      <c r="T234" s="1" t="s">
        <v>6123</v>
      </c>
      <c r="U234" s="1" t="s">
        <v>74</v>
      </c>
      <c r="V234" s="1" t="s">
        <v>6124</v>
      </c>
      <c r="W234" t="s">
        <v>6125</v>
      </c>
      <c r="X234" t="s">
        <v>6126</v>
      </c>
      <c r="Y234" t="s">
        <v>6127</v>
      </c>
      <c r="Z234" t="s">
        <v>6128</v>
      </c>
      <c r="AA234" t="s">
        <v>6129</v>
      </c>
      <c r="AB234" t="s">
        <v>6130</v>
      </c>
      <c r="AC234" t="s">
        <v>6131</v>
      </c>
      <c r="AD234" t="s">
        <v>6132</v>
      </c>
      <c r="AE234" t="s">
        <v>6133</v>
      </c>
      <c r="AF234" t="s">
        <v>74</v>
      </c>
      <c r="AG234">
        <v>29</v>
      </c>
      <c r="AH234">
        <v>5</v>
      </c>
      <c r="AI234">
        <v>6</v>
      </c>
      <c r="AJ234">
        <v>9</v>
      </c>
      <c r="AK234">
        <v>40</v>
      </c>
      <c r="AL234" t="s">
        <v>715</v>
      </c>
      <c r="AM234" t="s">
        <v>716</v>
      </c>
      <c r="AN234" t="s">
        <v>717</v>
      </c>
      <c r="AO234" t="s">
        <v>6134</v>
      </c>
      <c r="AP234" t="s">
        <v>6135</v>
      </c>
      <c r="AQ234" t="s">
        <v>74</v>
      </c>
      <c r="AR234" t="s">
        <v>6136</v>
      </c>
      <c r="AS234" t="s">
        <v>6137</v>
      </c>
      <c r="AT234" t="s">
        <v>6138</v>
      </c>
      <c r="AU234">
        <v>2022</v>
      </c>
      <c r="AV234">
        <v>34</v>
      </c>
      <c r="AW234">
        <v>3</v>
      </c>
      <c r="AX234" t="s">
        <v>74</v>
      </c>
      <c r="AY234" t="s">
        <v>74</v>
      </c>
      <c r="AZ234" t="s">
        <v>74</v>
      </c>
      <c r="BA234" t="s">
        <v>74</v>
      </c>
      <c r="BB234">
        <v>611</v>
      </c>
      <c r="BC234">
        <v>626</v>
      </c>
      <c r="BD234" t="s">
        <v>74</v>
      </c>
      <c r="BE234" t="s">
        <v>6139</v>
      </c>
      <c r="BF234" t="str">
        <f>HYPERLINK("http://dx.doi.org/10.1108/APJML-09-2020-0630","http://dx.doi.org/10.1108/APJML-09-2020-0630")</f>
        <v>http://dx.doi.org/10.1108/APJML-09-2020-0630</v>
      </c>
      <c r="BG234" t="s">
        <v>74</v>
      </c>
      <c r="BH234" t="s">
        <v>6012</v>
      </c>
      <c r="BI234">
        <v>16</v>
      </c>
      <c r="BJ234" t="s">
        <v>1023</v>
      </c>
      <c r="BK234" t="s">
        <v>156</v>
      </c>
      <c r="BL234" t="s">
        <v>265</v>
      </c>
      <c r="BM234" t="s">
        <v>6140</v>
      </c>
      <c r="BN234" t="s">
        <v>74</v>
      </c>
      <c r="BO234" t="s">
        <v>105</v>
      </c>
      <c r="BP234" t="s">
        <v>74</v>
      </c>
      <c r="BQ234" t="s">
        <v>74</v>
      </c>
      <c r="BR234" t="s">
        <v>106</v>
      </c>
      <c r="BS234" t="s">
        <v>6141</v>
      </c>
      <c r="BT234" t="str">
        <f>HYPERLINK("https%3A%2F%2Fwww.webofscience.com%2Fwos%2Fwoscc%2Ffull-record%2FWOS:000669598200001","View Full Record in Web of Science")</f>
        <v>View Full Record in Web of Science</v>
      </c>
    </row>
    <row r="235" spans="1:72" x14ac:dyDescent="0.25">
      <c r="A235" t="s">
        <v>72</v>
      </c>
      <c r="B235" t="s">
        <v>6444</v>
      </c>
      <c r="C235" t="s">
        <v>74</v>
      </c>
      <c r="D235" t="s">
        <v>74</v>
      </c>
      <c r="E235" t="s">
        <v>74</v>
      </c>
      <c r="F235" t="s">
        <v>6445</v>
      </c>
      <c r="G235" t="s">
        <v>74</v>
      </c>
      <c r="H235" t="s">
        <v>74</v>
      </c>
      <c r="I235" s="1" t="s">
        <v>6446</v>
      </c>
      <c r="J235" t="s">
        <v>6447</v>
      </c>
      <c r="K235" t="s">
        <v>74</v>
      </c>
      <c r="L235" t="s">
        <v>74</v>
      </c>
      <c r="M235" t="s">
        <v>78</v>
      </c>
      <c r="N235" t="s">
        <v>79</v>
      </c>
      <c r="O235" t="s">
        <v>74</v>
      </c>
      <c r="P235" t="s">
        <v>74</v>
      </c>
      <c r="Q235" t="s">
        <v>74</v>
      </c>
      <c r="R235" t="s">
        <v>74</v>
      </c>
      <c r="S235" t="s">
        <v>74</v>
      </c>
      <c r="T235" s="1" t="s">
        <v>6448</v>
      </c>
      <c r="U235" s="1" t="s">
        <v>6449</v>
      </c>
      <c r="V235" s="1" t="s">
        <v>6450</v>
      </c>
      <c r="W235" t="s">
        <v>6451</v>
      </c>
      <c r="X235" t="s">
        <v>6452</v>
      </c>
      <c r="Y235" t="s">
        <v>6453</v>
      </c>
      <c r="Z235" t="s">
        <v>6454</v>
      </c>
      <c r="AA235" t="s">
        <v>74</v>
      </c>
      <c r="AB235" t="s">
        <v>74</v>
      </c>
      <c r="AC235" t="s">
        <v>74</v>
      </c>
      <c r="AD235" t="s">
        <v>74</v>
      </c>
      <c r="AE235" t="s">
        <v>74</v>
      </c>
      <c r="AF235" t="s">
        <v>74</v>
      </c>
      <c r="AG235">
        <v>17</v>
      </c>
      <c r="AH235">
        <v>5</v>
      </c>
      <c r="AI235">
        <v>5</v>
      </c>
      <c r="AJ235">
        <v>0</v>
      </c>
      <c r="AK235">
        <v>12</v>
      </c>
      <c r="AL235" t="s">
        <v>492</v>
      </c>
      <c r="AM235" t="s">
        <v>493</v>
      </c>
      <c r="AN235" t="s">
        <v>494</v>
      </c>
      <c r="AO235" t="s">
        <v>6455</v>
      </c>
      <c r="AP235" t="s">
        <v>6456</v>
      </c>
      <c r="AQ235" t="s">
        <v>74</v>
      </c>
      <c r="AR235" t="s">
        <v>6457</v>
      </c>
      <c r="AS235" t="s">
        <v>6458</v>
      </c>
      <c r="AT235" t="s">
        <v>5945</v>
      </c>
      <c r="AU235">
        <v>2021</v>
      </c>
      <c r="AV235">
        <v>40</v>
      </c>
      <c r="AW235">
        <v>2</v>
      </c>
      <c r="AX235" t="s">
        <v>74</v>
      </c>
      <c r="AY235" t="s">
        <v>74</v>
      </c>
      <c r="AZ235" t="s">
        <v>1020</v>
      </c>
      <c r="BA235" t="s">
        <v>74</v>
      </c>
      <c r="BB235">
        <v>247</v>
      </c>
      <c r="BC235">
        <v>253</v>
      </c>
      <c r="BD235" t="s">
        <v>74</v>
      </c>
      <c r="BE235" t="s">
        <v>6459</v>
      </c>
      <c r="BF235" t="str">
        <f>HYPERLINK("http://dx.doi.org/10.1080/03323315.2021.1915839","http://dx.doi.org/10.1080/03323315.2021.1915839")</f>
        <v>http://dx.doi.org/10.1080/03323315.2021.1915839</v>
      </c>
      <c r="BG235" t="s">
        <v>74</v>
      </c>
      <c r="BH235" t="s">
        <v>6460</v>
      </c>
      <c r="BI235">
        <v>7</v>
      </c>
      <c r="BJ235" t="s">
        <v>1326</v>
      </c>
      <c r="BK235" t="s">
        <v>156</v>
      </c>
      <c r="BL235" t="s">
        <v>1326</v>
      </c>
      <c r="BM235" t="s">
        <v>6461</v>
      </c>
      <c r="BN235" t="s">
        <v>74</v>
      </c>
      <c r="BO235" t="s">
        <v>105</v>
      </c>
      <c r="BP235" t="s">
        <v>74</v>
      </c>
      <c r="BQ235" t="s">
        <v>74</v>
      </c>
      <c r="BR235" t="s">
        <v>106</v>
      </c>
      <c r="BS235" t="s">
        <v>6462</v>
      </c>
      <c r="BT235" t="str">
        <f>HYPERLINK("https%3A%2F%2Fwww.webofscience.com%2Fwos%2Fwoscc%2Ffull-record%2FWOS:000646830900001","View Full Record in Web of Science")</f>
        <v>View Full Record in Web of Science</v>
      </c>
    </row>
    <row r="236" spans="1:72" x14ac:dyDescent="0.25">
      <c r="A236" t="s">
        <v>72</v>
      </c>
      <c r="B236" t="s">
        <v>7084</v>
      </c>
      <c r="C236" t="s">
        <v>74</v>
      </c>
      <c r="D236" t="s">
        <v>74</v>
      </c>
      <c r="E236" t="s">
        <v>74</v>
      </c>
      <c r="F236" t="s">
        <v>7085</v>
      </c>
      <c r="G236" t="s">
        <v>74</v>
      </c>
      <c r="H236" t="s">
        <v>74</v>
      </c>
      <c r="I236" s="1" t="s">
        <v>7086</v>
      </c>
      <c r="J236" t="s">
        <v>7087</v>
      </c>
      <c r="K236" t="s">
        <v>74</v>
      </c>
      <c r="L236" t="s">
        <v>74</v>
      </c>
      <c r="M236" t="s">
        <v>929</v>
      </c>
      <c r="N236" t="s">
        <v>79</v>
      </c>
      <c r="O236" t="s">
        <v>74</v>
      </c>
      <c r="P236" t="s">
        <v>74</v>
      </c>
      <c r="Q236" t="s">
        <v>74</v>
      </c>
      <c r="R236" t="s">
        <v>74</v>
      </c>
      <c r="S236" t="s">
        <v>74</v>
      </c>
      <c r="T236" s="1" t="s">
        <v>7088</v>
      </c>
      <c r="U236" s="1" t="s">
        <v>7089</v>
      </c>
      <c r="V236" s="1" t="s">
        <v>7090</v>
      </c>
      <c r="W236" t="s">
        <v>7091</v>
      </c>
      <c r="X236" t="s">
        <v>1740</v>
      </c>
      <c r="Y236" t="s">
        <v>7092</v>
      </c>
      <c r="Z236" t="s">
        <v>7093</v>
      </c>
      <c r="AA236" t="s">
        <v>7094</v>
      </c>
      <c r="AB236" t="s">
        <v>7095</v>
      </c>
      <c r="AC236" t="s">
        <v>74</v>
      </c>
      <c r="AD236" t="s">
        <v>74</v>
      </c>
      <c r="AE236" t="s">
        <v>74</v>
      </c>
      <c r="AF236" t="s">
        <v>74</v>
      </c>
      <c r="AG236">
        <v>48</v>
      </c>
      <c r="AH236">
        <v>5</v>
      </c>
      <c r="AI236">
        <v>5</v>
      </c>
      <c r="AJ236">
        <v>5</v>
      </c>
      <c r="AK236">
        <v>17</v>
      </c>
      <c r="AL236" t="s">
        <v>7096</v>
      </c>
      <c r="AM236" t="s">
        <v>7097</v>
      </c>
      <c r="AN236" t="s">
        <v>7098</v>
      </c>
      <c r="AO236" t="s">
        <v>7099</v>
      </c>
      <c r="AP236" t="s">
        <v>74</v>
      </c>
      <c r="AQ236" t="s">
        <v>74</v>
      </c>
      <c r="AR236" t="s">
        <v>7100</v>
      </c>
      <c r="AS236" t="s">
        <v>7101</v>
      </c>
      <c r="AT236" t="s">
        <v>74</v>
      </c>
      <c r="AU236">
        <v>2021</v>
      </c>
      <c r="AV236">
        <v>20</v>
      </c>
      <c r="AW236">
        <v>1</v>
      </c>
      <c r="AX236" t="s">
        <v>74</v>
      </c>
      <c r="AY236" t="s">
        <v>74</v>
      </c>
      <c r="AZ236" t="s">
        <v>74</v>
      </c>
      <c r="BA236" t="s">
        <v>74</v>
      </c>
      <c r="BB236">
        <v>9</v>
      </c>
      <c r="BC236">
        <v>25</v>
      </c>
      <c r="BD236" t="s">
        <v>74</v>
      </c>
      <c r="BE236" t="s">
        <v>7102</v>
      </c>
      <c r="BF236" t="str">
        <f>HYPERLINK("http://dx.doi.org/10.17398/1695-288X.20.1.9","http://dx.doi.org/10.17398/1695-288X.20.1.9")</f>
        <v>http://dx.doi.org/10.17398/1695-288X.20.1.9</v>
      </c>
      <c r="BG236" t="s">
        <v>74</v>
      </c>
      <c r="BH236" t="s">
        <v>74</v>
      </c>
      <c r="BI236">
        <v>17</v>
      </c>
      <c r="BJ236" t="s">
        <v>1326</v>
      </c>
      <c r="BK236" t="s">
        <v>183</v>
      </c>
      <c r="BL236" t="s">
        <v>1326</v>
      </c>
      <c r="BM236" t="s">
        <v>7103</v>
      </c>
      <c r="BN236" t="s">
        <v>74</v>
      </c>
      <c r="BO236" t="s">
        <v>2623</v>
      </c>
      <c r="BP236" t="s">
        <v>74</v>
      </c>
      <c r="BQ236" t="s">
        <v>74</v>
      </c>
      <c r="BR236" t="s">
        <v>106</v>
      </c>
      <c r="BS236" t="s">
        <v>7104</v>
      </c>
      <c r="BT236" t="str">
        <f>HYPERLINK("https%3A%2F%2Fwww.webofscience.com%2Fwos%2Fwoscc%2Ffull-record%2FWOS:000667730000001","View Full Record in Web of Science")</f>
        <v>View Full Record in Web of Science</v>
      </c>
    </row>
    <row r="237" spans="1:72" x14ac:dyDescent="0.25">
      <c r="A237" t="s">
        <v>72</v>
      </c>
      <c r="B237" t="s">
        <v>7243</v>
      </c>
      <c r="C237" t="s">
        <v>74</v>
      </c>
      <c r="D237" t="s">
        <v>74</v>
      </c>
      <c r="E237" t="s">
        <v>74</v>
      </c>
      <c r="F237" t="s">
        <v>7244</v>
      </c>
      <c r="G237" t="s">
        <v>74</v>
      </c>
      <c r="H237" t="s">
        <v>74</v>
      </c>
      <c r="I237" s="1" t="s">
        <v>7245</v>
      </c>
      <c r="J237" t="s">
        <v>7246</v>
      </c>
      <c r="K237" t="s">
        <v>74</v>
      </c>
      <c r="L237" t="s">
        <v>74</v>
      </c>
      <c r="M237" t="s">
        <v>78</v>
      </c>
      <c r="N237" t="s">
        <v>7247</v>
      </c>
      <c r="O237" t="s">
        <v>7248</v>
      </c>
      <c r="P237" t="s">
        <v>7249</v>
      </c>
      <c r="Q237" t="s">
        <v>7250</v>
      </c>
      <c r="R237" t="s">
        <v>74</v>
      </c>
      <c r="S237" t="s">
        <v>7251</v>
      </c>
      <c r="T237" s="1" t="s">
        <v>7252</v>
      </c>
      <c r="U237" s="1" t="s">
        <v>7253</v>
      </c>
      <c r="V237" s="1" t="s">
        <v>7254</v>
      </c>
      <c r="W237" t="s">
        <v>7255</v>
      </c>
      <c r="X237" t="s">
        <v>7256</v>
      </c>
      <c r="Y237" t="s">
        <v>7257</v>
      </c>
      <c r="Z237" t="s">
        <v>7258</v>
      </c>
      <c r="AA237" t="s">
        <v>7259</v>
      </c>
      <c r="AB237" t="s">
        <v>7260</v>
      </c>
      <c r="AC237" t="s">
        <v>74</v>
      </c>
      <c r="AD237" t="s">
        <v>74</v>
      </c>
      <c r="AE237" t="s">
        <v>74</v>
      </c>
      <c r="AF237" t="s">
        <v>74</v>
      </c>
      <c r="AG237">
        <v>28</v>
      </c>
      <c r="AH237">
        <v>5</v>
      </c>
      <c r="AI237">
        <v>5</v>
      </c>
      <c r="AJ237">
        <v>9</v>
      </c>
      <c r="AK237">
        <v>36</v>
      </c>
      <c r="AL237" t="s">
        <v>7261</v>
      </c>
      <c r="AM237" t="s">
        <v>2281</v>
      </c>
      <c r="AN237" t="s">
        <v>7262</v>
      </c>
      <c r="AO237" t="s">
        <v>7263</v>
      </c>
      <c r="AP237" t="s">
        <v>74</v>
      </c>
      <c r="AQ237" t="s">
        <v>74</v>
      </c>
      <c r="AR237" t="s">
        <v>7264</v>
      </c>
      <c r="AS237" t="s">
        <v>7265</v>
      </c>
      <c r="AT237" t="s">
        <v>74</v>
      </c>
      <c r="AU237">
        <v>2021</v>
      </c>
      <c r="AV237">
        <v>18</v>
      </c>
      <c r="AW237">
        <v>3</v>
      </c>
      <c r="AX237" t="s">
        <v>74</v>
      </c>
      <c r="AY237" t="s">
        <v>74</v>
      </c>
      <c r="AZ237" t="s">
        <v>74</v>
      </c>
      <c r="BA237" t="s">
        <v>74</v>
      </c>
      <c r="BB237" t="s">
        <v>74</v>
      </c>
      <c r="BC237" t="s">
        <v>74</v>
      </c>
      <c r="BD237" t="s">
        <v>7266</v>
      </c>
      <c r="BE237" t="s">
        <v>7267</v>
      </c>
      <c r="BF237" t="str">
        <f>HYPERLINK("http://dx.doi.org/10.14488/BJOPM.2021.011","http://dx.doi.org/10.14488/BJOPM.2021.011")</f>
        <v>http://dx.doi.org/10.14488/BJOPM.2021.011</v>
      </c>
      <c r="BG237" t="s">
        <v>74</v>
      </c>
      <c r="BH237" t="s">
        <v>74</v>
      </c>
      <c r="BI237">
        <v>17</v>
      </c>
      <c r="BJ237" t="s">
        <v>6503</v>
      </c>
      <c r="BK237" t="s">
        <v>183</v>
      </c>
      <c r="BL237" t="s">
        <v>6503</v>
      </c>
      <c r="BM237" t="s">
        <v>7268</v>
      </c>
      <c r="BN237" t="s">
        <v>74</v>
      </c>
      <c r="BO237" t="s">
        <v>614</v>
      </c>
      <c r="BP237" t="s">
        <v>74</v>
      </c>
      <c r="BQ237" t="s">
        <v>74</v>
      </c>
      <c r="BR237" t="s">
        <v>106</v>
      </c>
      <c r="BS237" t="s">
        <v>7269</v>
      </c>
      <c r="BT237" t="str">
        <f>HYPERLINK("https%3A%2F%2Fwww.webofscience.com%2Fwos%2Fwoscc%2Ffull-record%2FWOS:000675335100005","View Full Record in Web of Science")</f>
        <v>View Full Record in Web of Science</v>
      </c>
    </row>
    <row r="238" spans="1:72" x14ac:dyDescent="0.25">
      <c r="A238" t="s">
        <v>72</v>
      </c>
      <c r="B238" t="s">
        <v>7778</v>
      </c>
      <c r="C238" t="s">
        <v>74</v>
      </c>
      <c r="D238" t="s">
        <v>74</v>
      </c>
      <c r="E238" t="s">
        <v>74</v>
      </c>
      <c r="F238" t="s">
        <v>7779</v>
      </c>
      <c r="G238" t="s">
        <v>74</v>
      </c>
      <c r="H238" t="s">
        <v>74</v>
      </c>
      <c r="I238" s="1" t="s">
        <v>7780</v>
      </c>
      <c r="J238" t="s">
        <v>7781</v>
      </c>
      <c r="K238" t="s">
        <v>74</v>
      </c>
      <c r="L238" t="s">
        <v>74</v>
      </c>
      <c r="M238" t="s">
        <v>78</v>
      </c>
      <c r="N238" t="s">
        <v>79</v>
      </c>
      <c r="O238" t="s">
        <v>74</v>
      </c>
      <c r="P238" t="s">
        <v>74</v>
      </c>
      <c r="Q238" t="s">
        <v>74</v>
      </c>
      <c r="R238" t="s">
        <v>74</v>
      </c>
      <c r="S238" t="s">
        <v>74</v>
      </c>
      <c r="T238" s="1" t="s">
        <v>74</v>
      </c>
      <c r="U238" s="1" t="s">
        <v>7782</v>
      </c>
      <c r="V238" s="1" t="s">
        <v>7783</v>
      </c>
      <c r="W238" t="s">
        <v>7784</v>
      </c>
      <c r="X238" t="s">
        <v>7785</v>
      </c>
      <c r="Y238" t="s">
        <v>7786</v>
      </c>
      <c r="Z238" t="s">
        <v>7787</v>
      </c>
      <c r="AA238" t="s">
        <v>7788</v>
      </c>
      <c r="AB238" t="s">
        <v>7789</v>
      </c>
      <c r="AC238" t="s">
        <v>74</v>
      </c>
      <c r="AD238" t="s">
        <v>74</v>
      </c>
      <c r="AE238" t="s">
        <v>74</v>
      </c>
      <c r="AF238" t="s">
        <v>74</v>
      </c>
      <c r="AG238">
        <v>16</v>
      </c>
      <c r="AH238">
        <v>5</v>
      </c>
      <c r="AI238">
        <v>5</v>
      </c>
      <c r="AJ238">
        <v>1</v>
      </c>
      <c r="AK238">
        <v>10</v>
      </c>
      <c r="AL238" t="s">
        <v>1013</v>
      </c>
      <c r="AM238" t="s">
        <v>493</v>
      </c>
      <c r="AN238" t="s">
        <v>1014</v>
      </c>
      <c r="AO238" t="s">
        <v>7790</v>
      </c>
      <c r="AP238" t="s">
        <v>7791</v>
      </c>
      <c r="AQ238" t="s">
        <v>74</v>
      </c>
      <c r="AR238" t="s">
        <v>7792</v>
      </c>
      <c r="AS238" t="s">
        <v>7793</v>
      </c>
      <c r="AT238" t="s">
        <v>3505</v>
      </c>
      <c r="AU238">
        <v>2021</v>
      </c>
      <c r="AV238">
        <v>35</v>
      </c>
      <c r="AW238">
        <v>1</v>
      </c>
      <c r="AX238" t="s">
        <v>74</v>
      </c>
      <c r="AY238" t="s">
        <v>74</v>
      </c>
      <c r="AZ238" t="s">
        <v>74</v>
      </c>
      <c r="BA238" t="s">
        <v>74</v>
      </c>
      <c r="BB238">
        <v>37</v>
      </c>
      <c r="BC238">
        <v>42</v>
      </c>
      <c r="BD238" t="s">
        <v>74</v>
      </c>
      <c r="BE238" t="s">
        <v>7794</v>
      </c>
      <c r="BF238" t="str">
        <f>HYPERLINK("http://dx.doi.org/10.1080/17404622.2020.1807579","http://dx.doi.org/10.1080/17404622.2020.1807579")</f>
        <v>http://dx.doi.org/10.1080/17404622.2020.1807579</v>
      </c>
      <c r="BG238" t="s">
        <v>74</v>
      </c>
      <c r="BH238" t="s">
        <v>7795</v>
      </c>
      <c r="BI238">
        <v>6</v>
      </c>
      <c r="BJ238" t="s">
        <v>2218</v>
      </c>
      <c r="BK238" t="s">
        <v>183</v>
      </c>
      <c r="BL238" t="s">
        <v>2218</v>
      </c>
      <c r="BM238" t="s">
        <v>7796</v>
      </c>
      <c r="BN238" t="s">
        <v>74</v>
      </c>
      <c r="BO238" t="s">
        <v>2805</v>
      </c>
      <c r="BP238" t="s">
        <v>74</v>
      </c>
      <c r="BQ238" t="s">
        <v>74</v>
      </c>
      <c r="BR238" t="s">
        <v>106</v>
      </c>
      <c r="BS238" t="s">
        <v>7797</v>
      </c>
      <c r="BT238" t="str">
        <f>HYPERLINK("https%3A%2F%2Fwww.webofscience.com%2Fwos%2Fwoscc%2Ffull-record%2FWOS:000565999400001","View Full Record in Web of Science")</f>
        <v>View Full Record in Web of Science</v>
      </c>
    </row>
    <row r="239" spans="1:72" x14ac:dyDescent="0.25">
      <c r="A239" t="s">
        <v>72</v>
      </c>
      <c r="B239" t="s">
        <v>9108</v>
      </c>
      <c r="C239" t="s">
        <v>74</v>
      </c>
      <c r="D239" t="s">
        <v>74</v>
      </c>
      <c r="E239" t="s">
        <v>74</v>
      </c>
      <c r="F239" t="s">
        <v>9109</v>
      </c>
      <c r="G239" t="s">
        <v>74</v>
      </c>
      <c r="H239" t="s">
        <v>74</v>
      </c>
      <c r="I239" s="1" t="s">
        <v>9110</v>
      </c>
      <c r="J239" t="s">
        <v>9111</v>
      </c>
      <c r="K239" t="s">
        <v>74</v>
      </c>
      <c r="L239" t="s">
        <v>74</v>
      </c>
      <c r="M239" t="s">
        <v>78</v>
      </c>
      <c r="N239" t="s">
        <v>79</v>
      </c>
      <c r="O239" t="s">
        <v>74</v>
      </c>
      <c r="P239" t="s">
        <v>74</v>
      </c>
      <c r="Q239" t="s">
        <v>74</v>
      </c>
      <c r="R239" t="s">
        <v>74</v>
      </c>
      <c r="S239" t="s">
        <v>74</v>
      </c>
      <c r="T239" s="1" t="s">
        <v>9112</v>
      </c>
      <c r="U239" s="1" t="s">
        <v>9113</v>
      </c>
      <c r="V239" s="1" t="s">
        <v>9114</v>
      </c>
      <c r="W239" t="s">
        <v>9115</v>
      </c>
      <c r="X239" t="s">
        <v>9116</v>
      </c>
      <c r="Y239" t="s">
        <v>9117</v>
      </c>
      <c r="Z239" t="s">
        <v>9118</v>
      </c>
      <c r="AA239" t="s">
        <v>9119</v>
      </c>
      <c r="AB239" t="s">
        <v>9120</v>
      </c>
      <c r="AC239" t="s">
        <v>74</v>
      </c>
      <c r="AD239" t="s">
        <v>74</v>
      </c>
      <c r="AE239" t="s">
        <v>74</v>
      </c>
      <c r="AF239" t="s">
        <v>74</v>
      </c>
      <c r="AG239">
        <v>38</v>
      </c>
      <c r="AH239">
        <v>5</v>
      </c>
      <c r="AI239">
        <v>5</v>
      </c>
      <c r="AJ239">
        <v>4</v>
      </c>
      <c r="AK239">
        <v>49</v>
      </c>
      <c r="AL239" t="s">
        <v>715</v>
      </c>
      <c r="AM239" t="s">
        <v>716</v>
      </c>
      <c r="AN239" t="s">
        <v>717</v>
      </c>
      <c r="AO239" t="s">
        <v>9121</v>
      </c>
      <c r="AP239" t="s">
        <v>9122</v>
      </c>
      <c r="AQ239" t="s">
        <v>74</v>
      </c>
      <c r="AR239" t="s">
        <v>9123</v>
      </c>
      <c r="AS239" t="s">
        <v>9124</v>
      </c>
      <c r="AT239" t="s">
        <v>1430</v>
      </c>
      <c r="AU239">
        <v>2019</v>
      </c>
      <c r="AV239">
        <v>37</v>
      </c>
      <c r="AW239">
        <v>2</v>
      </c>
      <c r="AX239" t="s">
        <v>74</v>
      </c>
      <c r="AY239" t="s">
        <v>74</v>
      </c>
      <c r="AZ239" t="s">
        <v>74</v>
      </c>
      <c r="BA239" t="s">
        <v>74</v>
      </c>
      <c r="BB239">
        <v>126</v>
      </c>
      <c r="BC239">
        <v>139</v>
      </c>
      <c r="BD239" t="s">
        <v>74</v>
      </c>
      <c r="BE239" t="s">
        <v>9125</v>
      </c>
      <c r="BF239" t="str">
        <f>HYPERLINK("http://dx.doi.org/10.1108/MIP-04-2018-0115","http://dx.doi.org/10.1108/MIP-04-2018-0115")</f>
        <v>http://dx.doi.org/10.1108/MIP-04-2018-0115</v>
      </c>
      <c r="BG239" t="s">
        <v>74</v>
      </c>
      <c r="BH239" t="s">
        <v>74</v>
      </c>
      <c r="BI239">
        <v>14</v>
      </c>
      <c r="BJ239" t="s">
        <v>1023</v>
      </c>
      <c r="BK239" t="s">
        <v>156</v>
      </c>
      <c r="BL239" t="s">
        <v>265</v>
      </c>
      <c r="BM239" t="s">
        <v>9126</v>
      </c>
      <c r="BN239" t="s">
        <v>74</v>
      </c>
      <c r="BO239" t="s">
        <v>74</v>
      </c>
      <c r="BP239" t="s">
        <v>74</v>
      </c>
      <c r="BQ239" t="s">
        <v>74</v>
      </c>
      <c r="BR239" t="s">
        <v>106</v>
      </c>
      <c r="BS239" t="s">
        <v>9127</v>
      </c>
      <c r="BT239" t="str">
        <f>HYPERLINK("https%3A%2F%2Fwww.webofscience.com%2Fwos%2Fwoscc%2Ffull-record%2FWOS:000461645400001","View Full Record in Web of Science")</f>
        <v>View Full Record in Web of Science</v>
      </c>
    </row>
    <row r="240" spans="1:72" x14ac:dyDescent="0.25">
      <c r="A240" t="s">
        <v>72</v>
      </c>
      <c r="B240" t="s">
        <v>9567</v>
      </c>
      <c r="C240" t="s">
        <v>74</v>
      </c>
      <c r="D240" t="s">
        <v>74</v>
      </c>
      <c r="E240" t="s">
        <v>74</v>
      </c>
      <c r="F240" t="s">
        <v>9568</v>
      </c>
      <c r="G240" t="s">
        <v>74</v>
      </c>
      <c r="H240" t="s">
        <v>74</v>
      </c>
      <c r="I240" s="1" t="s">
        <v>9569</v>
      </c>
      <c r="J240" t="s">
        <v>8407</v>
      </c>
      <c r="K240" t="s">
        <v>74</v>
      </c>
      <c r="L240" t="s">
        <v>74</v>
      </c>
      <c r="M240" t="s">
        <v>78</v>
      </c>
      <c r="N240" t="s">
        <v>79</v>
      </c>
      <c r="O240" t="s">
        <v>74</v>
      </c>
      <c r="P240" t="s">
        <v>74</v>
      </c>
      <c r="Q240" t="s">
        <v>74</v>
      </c>
      <c r="R240" t="s">
        <v>74</v>
      </c>
      <c r="S240" t="s">
        <v>74</v>
      </c>
      <c r="T240" s="1" t="s">
        <v>9570</v>
      </c>
      <c r="U240" s="1" t="s">
        <v>9571</v>
      </c>
      <c r="V240" s="1" t="s">
        <v>9572</v>
      </c>
      <c r="W240" t="s">
        <v>9573</v>
      </c>
      <c r="X240" t="s">
        <v>9574</v>
      </c>
      <c r="Y240" t="s">
        <v>9575</v>
      </c>
      <c r="Z240" t="s">
        <v>9576</v>
      </c>
      <c r="AA240" t="s">
        <v>74</v>
      </c>
      <c r="AB240" t="s">
        <v>74</v>
      </c>
      <c r="AC240" t="s">
        <v>74</v>
      </c>
      <c r="AD240" t="s">
        <v>74</v>
      </c>
      <c r="AE240" t="s">
        <v>74</v>
      </c>
      <c r="AF240" t="s">
        <v>74</v>
      </c>
      <c r="AG240">
        <v>29</v>
      </c>
      <c r="AH240">
        <v>5</v>
      </c>
      <c r="AI240">
        <v>5</v>
      </c>
      <c r="AJ240">
        <v>10</v>
      </c>
      <c r="AK240">
        <v>32</v>
      </c>
      <c r="AL240" t="s">
        <v>8417</v>
      </c>
      <c r="AM240" t="s">
        <v>8418</v>
      </c>
      <c r="AN240" t="s">
        <v>8419</v>
      </c>
      <c r="AO240" t="s">
        <v>8420</v>
      </c>
      <c r="AP240" t="s">
        <v>8421</v>
      </c>
      <c r="AQ240" t="s">
        <v>74</v>
      </c>
      <c r="AR240" t="s">
        <v>8422</v>
      </c>
      <c r="AS240" t="s">
        <v>8423</v>
      </c>
      <c r="AT240" t="s">
        <v>74</v>
      </c>
      <c r="AU240">
        <v>2019</v>
      </c>
      <c r="AV240">
        <v>44</v>
      </c>
      <c r="AW240">
        <v>2</v>
      </c>
      <c r="AX240" t="s">
        <v>74</v>
      </c>
      <c r="AY240" t="s">
        <v>74</v>
      </c>
      <c r="AZ240" t="s">
        <v>74</v>
      </c>
      <c r="BA240" t="s">
        <v>74</v>
      </c>
      <c r="BB240">
        <v>51</v>
      </c>
      <c r="BC240">
        <v>56</v>
      </c>
      <c r="BD240" t="s">
        <v>74</v>
      </c>
      <c r="BE240" t="s">
        <v>9577</v>
      </c>
      <c r="BF240" t="str">
        <f>HYPERLINK("http://dx.doi.org/10.22230/cjc.2019v44n2a3491","http://dx.doi.org/10.22230/cjc.2019v44n2a3491")</f>
        <v>http://dx.doi.org/10.22230/cjc.2019v44n2a3491</v>
      </c>
      <c r="BG240" t="s">
        <v>74</v>
      </c>
      <c r="BH240" t="s">
        <v>74</v>
      </c>
      <c r="BI240">
        <v>6</v>
      </c>
      <c r="BJ240" t="s">
        <v>2218</v>
      </c>
      <c r="BK240" t="s">
        <v>183</v>
      </c>
      <c r="BL240" t="s">
        <v>2218</v>
      </c>
      <c r="BM240" t="s">
        <v>9526</v>
      </c>
      <c r="BN240" t="s">
        <v>74</v>
      </c>
      <c r="BO240" t="s">
        <v>105</v>
      </c>
      <c r="BP240" t="s">
        <v>74</v>
      </c>
      <c r="BQ240" t="s">
        <v>74</v>
      </c>
      <c r="BR240" t="s">
        <v>106</v>
      </c>
      <c r="BS240" t="s">
        <v>9578</v>
      </c>
      <c r="BT240" t="str">
        <f>HYPERLINK("https%3A%2F%2Fwww.webofscience.com%2Fwos%2Fwoscc%2Ffull-record%2FWOS:000473144200015","View Full Record in Web of Science")</f>
        <v>View Full Record in Web of Science</v>
      </c>
    </row>
    <row r="241" spans="1:72" x14ac:dyDescent="0.25">
      <c r="A241" t="s">
        <v>72</v>
      </c>
      <c r="B241" t="s">
        <v>9589</v>
      </c>
      <c r="C241" t="s">
        <v>74</v>
      </c>
      <c r="D241" t="s">
        <v>74</v>
      </c>
      <c r="E241" t="s">
        <v>74</v>
      </c>
      <c r="F241" t="s">
        <v>9590</v>
      </c>
      <c r="G241" t="s">
        <v>74</v>
      </c>
      <c r="H241" t="s">
        <v>74</v>
      </c>
      <c r="I241" s="1" t="s">
        <v>9591</v>
      </c>
      <c r="J241" t="s">
        <v>9592</v>
      </c>
      <c r="K241" t="s">
        <v>74</v>
      </c>
      <c r="L241" t="s">
        <v>74</v>
      </c>
      <c r="M241" t="s">
        <v>78</v>
      </c>
      <c r="N241" t="s">
        <v>79</v>
      </c>
      <c r="O241" t="s">
        <v>74</v>
      </c>
      <c r="P241" t="s">
        <v>74</v>
      </c>
      <c r="Q241" t="s">
        <v>74</v>
      </c>
      <c r="R241" t="s">
        <v>74</v>
      </c>
      <c r="S241" t="s">
        <v>74</v>
      </c>
      <c r="T241" s="1" t="s">
        <v>9593</v>
      </c>
      <c r="U241" s="1" t="s">
        <v>74</v>
      </c>
      <c r="V241" s="1" t="s">
        <v>9594</v>
      </c>
      <c r="W241" t="s">
        <v>9595</v>
      </c>
      <c r="X241" t="s">
        <v>74</v>
      </c>
      <c r="Y241" t="s">
        <v>9596</v>
      </c>
      <c r="Z241" t="s">
        <v>9597</v>
      </c>
      <c r="AA241" t="s">
        <v>9598</v>
      </c>
      <c r="AB241" t="s">
        <v>74</v>
      </c>
      <c r="AC241" t="s">
        <v>74</v>
      </c>
      <c r="AD241" t="s">
        <v>74</v>
      </c>
      <c r="AE241" t="s">
        <v>74</v>
      </c>
      <c r="AF241" t="s">
        <v>74</v>
      </c>
      <c r="AG241">
        <v>23</v>
      </c>
      <c r="AH241">
        <v>5</v>
      </c>
      <c r="AI241">
        <v>5</v>
      </c>
      <c r="AJ241">
        <v>1</v>
      </c>
      <c r="AK241">
        <v>7</v>
      </c>
      <c r="AL241" t="s">
        <v>9599</v>
      </c>
      <c r="AM241" t="s">
        <v>9600</v>
      </c>
      <c r="AN241" t="s">
        <v>9601</v>
      </c>
      <c r="AO241" t="s">
        <v>9602</v>
      </c>
      <c r="AP241" t="s">
        <v>74</v>
      </c>
      <c r="AQ241" t="s">
        <v>74</v>
      </c>
      <c r="AR241" t="s">
        <v>9603</v>
      </c>
      <c r="AS241" t="s">
        <v>9604</v>
      </c>
      <c r="AT241" t="s">
        <v>476</v>
      </c>
      <c r="AU241">
        <v>2018</v>
      </c>
      <c r="AV241">
        <v>8</v>
      </c>
      <c r="AW241">
        <v>1</v>
      </c>
      <c r="AX241" t="s">
        <v>74</v>
      </c>
      <c r="AY241" t="s">
        <v>74</v>
      </c>
      <c r="AZ241" t="s">
        <v>74</v>
      </c>
      <c r="BA241" t="s">
        <v>74</v>
      </c>
      <c r="BB241">
        <v>56</v>
      </c>
      <c r="BC241">
        <v>69</v>
      </c>
      <c r="BD241" t="s">
        <v>74</v>
      </c>
      <c r="BE241" t="s">
        <v>74</v>
      </c>
      <c r="BF241" t="s">
        <v>74</v>
      </c>
      <c r="BG241" t="s">
        <v>74</v>
      </c>
      <c r="BH241" t="s">
        <v>74</v>
      </c>
      <c r="BI241">
        <v>14</v>
      </c>
      <c r="BJ241" t="s">
        <v>2192</v>
      </c>
      <c r="BK241" t="s">
        <v>183</v>
      </c>
      <c r="BL241" t="s">
        <v>2193</v>
      </c>
      <c r="BM241" t="s">
        <v>9605</v>
      </c>
      <c r="BN241" t="s">
        <v>74</v>
      </c>
      <c r="BO241" t="s">
        <v>74</v>
      </c>
      <c r="BP241" t="s">
        <v>74</v>
      </c>
      <c r="BQ241" t="s">
        <v>74</v>
      </c>
      <c r="BR241" t="s">
        <v>106</v>
      </c>
      <c r="BS241" t="s">
        <v>9606</v>
      </c>
      <c r="BT241" t="str">
        <f>HYPERLINK("https%3A%2F%2Fwww.webofscience.com%2Fwos%2Fwoscc%2Ffull-record%2FWOS:000453695600005","View Full Record in Web of Science")</f>
        <v>View Full Record in Web of Science</v>
      </c>
    </row>
    <row r="242" spans="1:72" x14ac:dyDescent="0.25">
      <c r="A242" t="s">
        <v>72</v>
      </c>
      <c r="B242" t="s">
        <v>10481</v>
      </c>
      <c r="C242" t="s">
        <v>74</v>
      </c>
      <c r="D242" t="s">
        <v>74</v>
      </c>
      <c r="E242" t="s">
        <v>74</v>
      </c>
      <c r="F242" t="s">
        <v>10482</v>
      </c>
      <c r="G242" t="s">
        <v>74</v>
      </c>
      <c r="H242" t="s">
        <v>74</v>
      </c>
      <c r="I242" s="1" t="s">
        <v>10483</v>
      </c>
      <c r="J242" t="s">
        <v>10484</v>
      </c>
      <c r="K242" t="s">
        <v>74</v>
      </c>
      <c r="L242" t="s">
        <v>74</v>
      </c>
      <c r="M242" t="s">
        <v>78</v>
      </c>
      <c r="N242" t="s">
        <v>79</v>
      </c>
      <c r="O242" t="s">
        <v>74</v>
      </c>
      <c r="P242" t="s">
        <v>74</v>
      </c>
      <c r="Q242" t="s">
        <v>74</v>
      </c>
      <c r="R242" t="s">
        <v>74</v>
      </c>
      <c r="S242" t="s">
        <v>74</v>
      </c>
      <c r="T242" s="1" t="s">
        <v>10485</v>
      </c>
      <c r="U242" s="1" t="s">
        <v>10486</v>
      </c>
      <c r="V242" s="1" t="s">
        <v>10487</v>
      </c>
      <c r="W242" t="s">
        <v>10488</v>
      </c>
      <c r="X242" t="s">
        <v>10489</v>
      </c>
      <c r="Y242" t="s">
        <v>10490</v>
      </c>
      <c r="Z242" t="s">
        <v>10491</v>
      </c>
      <c r="AA242" t="s">
        <v>74</v>
      </c>
      <c r="AB242" t="s">
        <v>10492</v>
      </c>
      <c r="AC242" t="s">
        <v>74</v>
      </c>
      <c r="AD242" t="s">
        <v>74</v>
      </c>
      <c r="AE242" t="s">
        <v>74</v>
      </c>
      <c r="AF242" t="s">
        <v>74</v>
      </c>
      <c r="AG242">
        <v>69</v>
      </c>
      <c r="AH242">
        <v>5</v>
      </c>
      <c r="AI242">
        <v>5</v>
      </c>
      <c r="AJ242">
        <v>0</v>
      </c>
      <c r="AK242">
        <v>20</v>
      </c>
      <c r="AL242" t="s">
        <v>1468</v>
      </c>
      <c r="AM242" t="s">
        <v>175</v>
      </c>
      <c r="AN242" t="s">
        <v>1469</v>
      </c>
      <c r="AO242" t="s">
        <v>10493</v>
      </c>
      <c r="AP242" t="s">
        <v>10494</v>
      </c>
      <c r="AQ242" t="s">
        <v>74</v>
      </c>
      <c r="AR242" t="s">
        <v>10495</v>
      </c>
      <c r="AS242" t="s">
        <v>10496</v>
      </c>
      <c r="AT242" t="s">
        <v>99</v>
      </c>
      <c r="AU242">
        <v>2017</v>
      </c>
      <c r="AV242">
        <v>165</v>
      </c>
      <c r="AW242">
        <v>1</v>
      </c>
      <c r="AX242" t="s">
        <v>74</v>
      </c>
      <c r="AY242" t="s">
        <v>74</v>
      </c>
      <c r="AZ242" t="s">
        <v>74</v>
      </c>
      <c r="BA242" t="s">
        <v>74</v>
      </c>
      <c r="BB242">
        <v>37</v>
      </c>
      <c r="BC242">
        <v>50</v>
      </c>
      <c r="BD242" t="s">
        <v>74</v>
      </c>
      <c r="BE242" t="s">
        <v>10497</v>
      </c>
      <c r="BF242" t="str">
        <f>HYPERLINK("http://dx.doi.org/10.1177/1329878X17726454","http://dx.doi.org/10.1177/1329878X17726454")</f>
        <v>http://dx.doi.org/10.1177/1329878X17726454</v>
      </c>
      <c r="BG242" t="s">
        <v>74</v>
      </c>
      <c r="BH242" t="s">
        <v>74</v>
      </c>
      <c r="BI242">
        <v>14</v>
      </c>
      <c r="BJ242" t="s">
        <v>2218</v>
      </c>
      <c r="BK242" t="s">
        <v>156</v>
      </c>
      <c r="BL242" t="s">
        <v>2218</v>
      </c>
      <c r="BM242" t="s">
        <v>10498</v>
      </c>
      <c r="BN242" t="s">
        <v>74</v>
      </c>
      <c r="BO242" t="s">
        <v>2623</v>
      </c>
      <c r="BP242" t="s">
        <v>74</v>
      </c>
      <c r="BQ242" t="s">
        <v>74</v>
      </c>
      <c r="BR242" t="s">
        <v>106</v>
      </c>
      <c r="BS242" t="s">
        <v>10499</v>
      </c>
      <c r="BT242" t="str">
        <f>HYPERLINK("https%3A%2F%2Fwww.webofscience.com%2Fwos%2Fwoscc%2Ffull-record%2FWOS:000415048600005","View Full Record in Web of Science")</f>
        <v>View Full Record in Web of Science</v>
      </c>
    </row>
    <row r="243" spans="1:72" x14ac:dyDescent="0.25">
      <c r="A243" t="s">
        <v>72</v>
      </c>
      <c r="B243" t="s">
        <v>10546</v>
      </c>
      <c r="C243" t="s">
        <v>74</v>
      </c>
      <c r="D243" t="s">
        <v>74</v>
      </c>
      <c r="E243" t="s">
        <v>74</v>
      </c>
      <c r="F243" t="s">
        <v>10547</v>
      </c>
      <c r="G243" t="s">
        <v>74</v>
      </c>
      <c r="H243" t="s">
        <v>74</v>
      </c>
      <c r="I243" s="1" t="s">
        <v>10548</v>
      </c>
      <c r="J243" t="s">
        <v>10549</v>
      </c>
      <c r="K243" t="s">
        <v>74</v>
      </c>
      <c r="L243" t="s">
        <v>74</v>
      </c>
      <c r="M243" t="s">
        <v>78</v>
      </c>
      <c r="N243" t="s">
        <v>79</v>
      </c>
      <c r="O243" t="s">
        <v>74</v>
      </c>
      <c r="P243" t="s">
        <v>74</v>
      </c>
      <c r="Q243" t="s">
        <v>74</v>
      </c>
      <c r="R243" t="s">
        <v>74</v>
      </c>
      <c r="S243" t="s">
        <v>74</v>
      </c>
      <c r="T243" s="1" t="s">
        <v>10550</v>
      </c>
      <c r="U243" s="1" t="s">
        <v>10551</v>
      </c>
      <c r="V243" s="1" t="s">
        <v>10552</v>
      </c>
      <c r="W243" t="s">
        <v>10553</v>
      </c>
      <c r="X243" t="s">
        <v>10554</v>
      </c>
      <c r="Y243" t="s">
        <v>10555</v>
      </c>
      <c r="Z243" t="s">
        <v>10556</v>
      </c>
      <c r="AA243" t="s">
        <v>10557</v>
      </c>
      <c r="AB243" t="s">
        <v>74</v>
      </c>
      <c r="AC243" t="s">
        <v>74</v>
      </c>
      <c r="AD243" t="s">
        <v>74</v>
      </c>
      <c r="AE243" t="s">
        <v>74</v>
      </c>
      <c r="AF243" t="s">
        <v>74</v>
      </c>
      <c r="AG243">
        <v>53</v>
      </c>
      <c r="AH243">
        <v>5</v>
      </c>
      <c r="AI243">
        <v>5</v>
      </c>
      <c r="AJ243">
        <v>1</v>
      </c>
      <c r="AK243">
        <v>34</v>
      </c>
      <c r="AL243" t="s">
        <v>1423</v>
      </c>
      <c r="AM243" t="s">
        <v>1424</v>
      </c>
      <c r="AN243" t="s">
        <v>1425</v>
      </c>
      <c r="AO243" t="s">
        <v>10558</v>
      </c>
      <c r="AP243" t="s">
        <v>10559</v>
      </c>
      <c r="AQ243" t="s">
        <v>74</v>
      </c>
      <c r="AR243" t="s">
        <v>10560</v>
      </c>
      <c r="AS243" t="s">
        <v>10561</v>
      </c>
      <c r="AT243" t="s">
        <v>1138</v>
      </c>
      <c r="AU243">
        <v>2017</v>
      </c>
      <c r="AV243">
        <v>53</v>
      </c>
      <c r="AW243">
        <v>2</v>
      </c>
      <c r="AX243" t="s">
        <v>74</v>
      </c>
      <c r="AY243" t="s">
        <v>74</v>
      </c>
      <c r="AZ243" t="s">
        <v>74</v>
      </c>
      <c r="BA243" t="s">
        <v>74</v>
      </c>
      <c r="BB243">
        <v>39</v>
      </c>
      <c r="BC243">
        <v>56</v>
      </c>
      <c r="BD243" t="s">
        <v>74</v>
      </c>
      <c r="BE243" t="s">
        <v>10562</v>
      </c>
      <c r="BF243" t="str">
        <f>HYPERLINK("http://dx.doi.org/10.1515/ijme-2017-0011","http://dx.doi.org/10.1515/ijme-2017-0011")</f>
        <v>http://dx.doi.org/10.1515/ijme-2017-0011</v>
      </c>
      <c r="BG243" t="s">
        <v>74</v>
      </c>
      <c r="BH243" t="s">
        <v>74</v>
      </c>
      <c r="BI243">
        <v>18</v>
      </c>
      <c r="BJ243" t="s">
        <v>521</v>
      </c>
      <c r="BK243" t="s">
        <v>183</v>
      </c>
      <c r="BL243" t="s">
        <v>265</v>
      </c>
      <c r="BM243" t="s">
        <v>10563</v>
      </c>
      <c r="BN243" t="s">
        <v>74</v>
      </c>
      <c r="BO243" t="s">
        <v>422</v>
      </c>
      <c r="BP243" t="s">
        <v>74</v>
      </c>
      <c r="BQ243" t="s">
        <v>74</v>
      </c>
      <c r="BR243" t="s">
        <v>106</v>
      </c>
      <c r="BS243" t="s">
        <v>10564</v>
      </c>
      <c r="BT243" t="str">
        <f>HYPERLINK("https%3A%2F%2Fwww.webofscience.com%2Fwos%2Fwoscc%2Ffull-record%2FWOS:000424584200004","View Full Record in Web of Science")</f>
        <v>View Full Record in Web of Science</v>
      </c>
    </row>
    <row r="244" spans="1:72" x14ac:dyDescent="0.25">
      <c r="A244" t="s">
        <v>72</v>
      </c>
      <c r="B244" t="s">
        <v>11019</v>
      </c>
      <c r="C244" t="s">
        <v>74</v>
      </c>
      <c r="D244" t="s">
        <v>74</v>
      </c>
      <c r="E244" t="s">
        <v>74</v>
      </c>
      <c r="F244" t="s">
        <v>11020</v>
      </c>
      <c r="G244" t="s">
        <v>74</v>
      </c>
      <c r="H244" t="s">
        <v>74</v>
      </c>
      <c r="I244" s="1" t="s">
        <v>11021</v>
      </c>
      <c r="J244" t="s">
        <v>11022</v>
      </c>
      <c r="K244" t="s">
        <v>74</v>
      </c>
      <c r="L244" t="s">
        <v>74</v>
      </c>
      <c r="M244" t="s">
        <v>78</v>
      </c>
      <c r="N244" t="s">
        <v>79</v>
      </c>
      <c r="O244" t="s">
        <v>74</v>
      </c>
      <c r="P244" t="s">
        <v>74</v>
      </c>
      <c r="Q244" t="s">
        <v>74</v>
      </c>
      <c r="R244" t="s">
        <v>74</v>
      </c>
      <c r="S244" t="s">
        <v>74</v>
      </c>
      <c r="T244" s="1" t="s">
        <v>11023</v>
      </c>
      <c r="U244" s="1" t="s">
        <v>11024</v>
      </c>
      <c r="V244" s="1" t="s">
        <v>11025</v>
      </c>
      <c r="W244" t="s">
        <v>11026</v>
      </c>
      <c r="X244" t="s">
        <v>11027</v>
      </c>
      <c r="Y244" t="s">
        <v>11028</v>
      </c>
      <c r="Z244" t="s">
        <v>11029</v>
      </c>
      <c r="AA244" t="s">
        <v>11030</v>
      </c>
      <c r="AB244" t="s">
        <v>11031</v>
      </c>
      <c r="AC244" t="s">
        <v>74</v>
      </c>
      <c r="AD244" t="s">
        <v>74</v>
      </c>
      <c r="AE244" t="s">
        <v>74</v>
      </c>
      <c r="AF244" t="s">
        <v>74</v>
      </c>
      <c r="AG244">
        <v>47</v>
      </c>
      <c r="AH244">
        <v>5</v>
      </c>
      <c r="AI244">
        <v>6</v>
      </c>
      <c r="AJ244">
        <v>0</v>
      </c>
      <c r="AK244">
        <v>29</v>
      </c>
      <c r="AL244" t="s">
        <v>254</v>
      </c>
      <c r="AM244" t="s">
        <v>255</v>
      </c>
      <c r="AN244" t="s">
        <v>256</v>
      </c>
      <c r="AO244" t="s">
        <v>11032</v>
      </c>
      <c r="AP244" t="s">
        <v>11033</v>
      </c>
      <c r="AQ244" t="s">
        <v>74</v>
      </c>
      <c r="AR244" t="s">
        <v>11034</v>
      </c>
      <c r="AS244" t="s">
        <v>11035</v>
      </c>
      <c r="AT244" t="s">
        <v>476</v>
      </c>
      <c r="AU244">
        <v>2016</v>
      </c>
      <c r="AV244">
        <v>16</v>
      </c>
      <c r="AW244">
        <v>4</v>
      </c>
      <c r="AX244" t="s">
        <v>74</v>
      </c>
      <c r="AY244" t="s">
        <v>74</v>
      </c>
      <c r="AZ244" t="s">
        <v>1020</v>
      </c>
      <c r="BA244" t="s">
        <v>74</v>
      </c>
      <c r="BB244">
        <v>435</v>
      </c>
      <c r="BC244">
        <v>455</v>
      </c>
      <c r="BD244" t="s">
        <v>74</v>
      </c>
      <c r="BE244" t="s">
        <v>11036</v>
      </c>
      <c r="BF244" t="str">
        <f>HYPERLINK("http://dx.doi.org/10.1007/s40558-016-0068-x","http://dx.doi.org/10.1007/s40558-016-0068-x")</f>
        <v>http://dx.doi.org/10.1007/s40558-016-0068-x</v>
      </c>
      <c r="BG244" t="s">
        <v>74</v>
      </c>
      <c r="BH244" t="s">
        <v>74</v>
      </c>
      <c r="BI244">
        <v>21</v>
      </c>
      <c r="BJ244" t="s">
        <v>4630</v>
      </c>
      <c r="BK244" t="s">
        <v>183</v>
      </c>
      <c r="BL244" t="s">
        <v>943</v>
      </c>
      <c r="BM244" t="s">
        <v>11037</v>
      </c>
      <c r="BN244" t="s">
        <v>74</v>
      </c>
      <c r="BO244" t="s">
        <v>74</v>
      </c>
      <c r="BP244" t="s">
        <v>74</v>
      </c>
      <c r="BQ244" t="s">
        <v>74</v>
      </c>
      <c r="BR244" t="s">
        <v>106</v>
      </c>
      <c r="BS244" t="s">
        <v>11038</v>
      </c>
      <c r="BT244" t="str">
        <f>HYPERLINK("https%3A%2F%2Fwww.webofscience.com%2Fwos%2Fwoscc%2Ffull-record%2FWOS:000413820800007","View Full Record in Web of Science")</f>
        <v>View Full Record in Web of Science</v>
      </c>
    </row>
    <row r="245" spans="1:72" x14ac:dyDescent="0.25">
      <c r="A245" t="s">
        <v>72</v>
      </c>
      <c r="B245" t="s">
        <v>12514</v>
      </c>
      <c r="C245" t="s">
        <v>74</v>
      </c>
      <c r="D245" t="s">
        <v>74</v>
      </c>
      <c r="E245" t="s">
        <v>74</v>
      </c>
      <c r="F245" t="s">
        <v>12515</v>
      </c>
      <c r="G245" t="s">
        <v>74</v>
      </c>
      <c r="H245" t="s">
        <v>74</v>
      </c>
      <c r="I245" s="1" t="s">
        <v>12516</v>
      </c>
      <c r="J245" t="s">
        <v>12517</v>
      </c>
      <c r="K245" t="s">
        <v>74</v>
      </c>
      <c r="L245" t="s">
        <v>74</v>
      </c>
      <c r="M245" t="s">
        <v>78</v>
      </c>
      <c r="N245" t="s">
        <v>79</v>
      </c>
      <c r="O245" t="s">
        <v>74</v>
      </c>
      <c r="P245" t="s">
        <v>74</v>
      </c>
      <c r="Q245" t="s">
        <v>74</v>
      </c>
      <c r="R245" t="s">
        <v>74</v>
      </c>
      <c r="S245" t="s">
        <v>74</v>
      </c>
      <c r="T245" s="1" t="s">
        <v>74</v>
      </c>
      <c r="U245" s="1" t="s">
        <v>74</v>
      </c>
      <c r="V245" s="1" t="s">
        <v>12518</v>
      </c>
      <c r="W245" t="s">
        <v>12519</v>
      </c>
      <c r="X245" t="s">
        <v>12520</v>
      </c>
      <c r="Y245" t="s">
        <v>12521</v>
      </c>
      <c r="Z245" t="s">
        <v>12522</v>
      </c>
      <c r="AA245" t="s">
        <v>12523</v>
      </c>
      <c r="AB245" t="s">
        <v>12524</v>
      </c>
      <c r="AC245" t="s">
        <v>74</v>
      </c>
      <c r="AD245" t="s">
        <v>74</v>
      </c>
      <c r="AE245" t="s">
        <v>74</v>
      </c>
      <c r="AF245" t="s">
        <v>74</v>
      </c>
      <c r="AG245">
        <v>63</v>
      </c>
      <c r="AH245">
        <v>5</v>
      </c>
      <c r="AI245">
        <v>5</v>
      </c>
      <c r="AJ245">
        <v>0</v>
      </c>
      <c r="AK245">
        <v>1</v>
      </c>
      <c r="AL245" t="s">
        <v>492</v>
      </c>
      <c r="AM245" t="s">
        <v>493</v>
      </c>
      <c r="AN245" t="s">
        <v>494</v>
      </c>
      <c r="AO245" t="s">
        <v>12525</v>
      </c>
      <c r="AP245" t="s">
        <v>12526</v>
      </c>
      <c r="AQ245" t="s">
        <v>74</v>
      </c>
      <c r="AR245" t="s">
        <v>12517</v>
      </c>
      <c r="AS245" t="s">
        <v>12527</v>
      </c>
      <c r="AT245" t="s">
        <v>74</v>
      </c>
      <c r="AU245">
        <v>2010</v>
      </c>
      <c r="AV245">
        <v>28</v>
      </c>
      <c r="AW245">
        <v>2</v>
      </c>
      <c r="AX245" t="s">
        <v>74</v>
      </c>
      <c r="AY245" t="s">
        <v>74</v>
      </c>
      <c r="AZ245" t="s">
        <v>74</v>
      </c>
      <c r="BA245" t="s">
        <v>74</v>
      </c>
      <c r="BB245">
        <v>149</v>
      </c>
      <c r="BC245">
        <v>163</v>
      </c>
      <c r="BD245" t="s">
        <v>74</v>
      </c>
      <c r="BE245" t="s">
        <v>12528</v>
      </c>
      <c r="BF245" t="str">
        <f>HYPERLINK("http://dx.doi.org/10.1080/08109028.2010.496235","http://dx.doi.org/10.1080/08109028.2010.496235")</f>
        <v>http://dx.doi.org/10.1080/08109028.2010.496235</v>
      </c>
      <c r="BG245" t="s">
        <v>74</v>
      </c>
      <c r="BH245" t="s">
        <v>74</v>
      </c>
      <c r="BI245">
        <v>15</v>
      </c>
      <c r="BJ245" t="s">
        <v>942</v>
      </c>
      <c r="BK245" t="s">
        <v>183</v>
      </c>
      <c r="BL245" t="s">
        <v>943</v>
      </c>
      <c r="BM245" t="s">
        <v>12529</v>
      </c>
      <c r="BN245" t="s">
        <v>74</v>
      </c>
      <c r="BO245" t="s">
        <v>2623</v>
      </c>
      <c r="BP245" t="s">
        <v>74</v>
      </c>
      <c r="BQ245" t="s">
        <v>74</v>
      </c>
      <c r="BR245" t="s">
        <v>106</v>
      </c>
      <c r="BS245" t="s">
        <v>12530</v>
      </c>
      <c r="BT245" t="str">
        <f>HYPERLINK("https%3A%2F%2Fwww.webofscience.com%2Fwos%2Fwoscc%2Ffull-record%2FWOS:000210836700005","View Full Record in Web of Science")</f>
        <v>View Full Record in Web of Science</v>
      </c>
    </row>
    <row r="246" spans="1:72" x14ac:dyDescent="0.25">
      <c r="A246" t="s">
        <v>72</v>
      </c>
      <c r="B246" t="s">
        <v>12531</v>
      </c>
      <c r="C246" t="s">
        <v>74</v>
      </c>
      <c r="D246" t="s">
        <v>74</v>
      </c>
      <c r="E246" t="s">
        <v>74</v>
      </c>
      <c r="F246" t="s">
        <v>12532</v>
      </c>
      <c r="G246" t="s">
        <v>74</v>
      </c>
      <c r="H246" t="s">
        <v>74</v>
      </c>
      <c r="I246" s="1" t="s">
        <v>12533</v>
      </c>
      <c r="J246" t="s">
        <v>12534</v>
      </c>
      <c r="K246" t="s">
        <v>74</v>
      </c>
      <c r="L246" t="s">
        <v>74</v>
      </c>
      <c r="M246" t="s">
        <v>78</v>
      </c>
      <c r="N246" t="s">
        <v>79</v>
      </c>
      <c r="O246" t="s">
        <v>74</v>
      </c>
      <c r="P246" t="s">
        <v>74</v>
      </c>
      <c r="Q246" t="s">
        <v>74</v>
      </c>
      <c r="R246" t="s">
        <v>74</v>
      </c>
      <c r="S246" t="s">
        <v>74</v>
      </c>
      <c r="T246" s="1" t="s">
        <v>12535</v>
      </c>
      <c r="U246" s="1" t="s">
        <v>12536</v>
      </c>
      <c r="V246" s="1" t="s">
        <v>12537</v>
      </c>
      <c r="W246" t="s">
        <v>12538</v>
      </c>
      <c r="X246" t="s">
        <v>12539</v>
      </c>
      <c r="Y246" t="s">
        <v>12540</v>
      </c>
      <c r="Z246" t="s">
        <v>74</v>
      </c>
      <c r="AA246" t="s">
        <v>74</v>
      </c>
      <c r="AB246" t="s">
        <v>74</v>
      </c>
      <c r="AC246" t="s">
        <v>74</v>
      </c>
      <c r="AD246" t="s">
        <v>74</v>
      </c>
      <c r="AE246" t="s">
        <v>74</v>
      </c>
      <c r="AF246" t="s">
        <v>74</v>
      </c>
      <c r="AG246">
        <v>40</v>
      </c>
      <c r="AH246">
        <v>5</v>
      </c>
      <c r="AI246">
        <v>6</v>
      </c>
      <c r="AJ246">
        <v>0</v>
      </c>
      <c r="AK246">
        <v>1</v>
      </c>
      <c r="AL246" t="s">
        <v>492</v>
      </c>
      <c r="AM246" t="s">
        <v>493</v>
      </c>
      <c r="AN246" t="s">
        <v>494</v>
      </c>
      <c r="AO246" t="s">
        <v>12541</v>
      </c>
      <c r="AP246" t="s">
        <v>12542</v>
      </c>
      <c r="AQ246" t="s">
        <v>74</v>
      </c>
      <c r="AR246" t="s">
        <v>12543</v>
      </c>
      <c r="AS246" t="s">
        <v>12544</v>
      </c>
      <c r="AT246" t="s">
        <v>74</v>
      </c>
      <c r="AU246">
        <v>2010</v>
      </c>
      <c r="AV246">
        <v>7</v>
      </c>
      <c r="AW246">
        <v>1</v>
      </c>
      <c r="AX246" t="s">
        <v>74</v>
      </c>
      <c r="AY246" t="s">
        <v>74</v>
      </c>
      <c r="AZ246" t="s">
        <v>74</v>
      </c>
      <c r="BA246" t="s">
        <v>74</v>
      </c>
      <c r="BB246">
        <v>21</v>
      </c>
      <c r="BC246">
        <v>39</v>
      </c>
      <c r="BD246" t="s">
        <v>74</v>
      </c>
      <c r="BE246" t="s">
        <v>12545</v>
      </c>
      <c r="BF246" t="str">
        <f>HYPERLINK("http://dx.doi.org/10.1080/16522354.2010.11073501","http://dx.doi.org/10.1080/16522354.2010.11073501")</f>
        <v>http://dx.doi.org/10.1080/16522354.2010.11073501</v>
      </c>
      <c r="BG246" t="s">
        <v>74</v>
      </c>
      <c r="BH246" t="s">
        <v>74</v>
      </c>
      <c r="BI246">
        <v>19</v>
      </c>
      <c r="BJ246" t="s">
        <v>1023</v>
      </c>
      <c r="BK246" t="s">
        <v>183</v>
      </c>
      <c r="BL246" t="s">
        <v>265</v>
      </c>
      <c r="BM246" t="s">
        <v>12546</v>
      </c>
      <c r="BN246" t="s">
        <v>74</v>
      </c>
      <c r="BO246" t="s">
        <v>74</v>
      </c>
      <c r="BP246" t="s">
        <v>74</v>
      </c>
      <c r="BQ246" t="s">
        <v>74</v>
      </c>
      <c r="BR246" t="s">
        <v>106</v>
      </c>
      <c r="BS246" t="s">
        <v>12547</v>
      </c>
      <c r="BT246" t="str">
        <f>HYPERLINK("https%3A%2F%2Fwww.webofscience.com%2Fwos%2Fwoscc%2Ffull-record%2FWOS:000409741900002","View Full Record in Web of Science")</f>
        <v>View Full Record in Web of Science</v>
      </c>
    </row>
    <row r="247" spans="1:72" x14ac:dyDescent="0.25">
      <c r="A247" t="s">
        <v>72</v>
      </c>
      <c r="B247" t="s">
        <v>12852</v>
      </c>
      <c r="C247" t="s">
        <v>74</v>
      </c>
      <c r="D247" t="s">
        <v>74</v>
      </c>
      <c r="E247" t="s">
        <v>74</v>
      </c>
      <c r="F247" t="s">
        <v>12852</v>
      </c>
      <c r="G247" t="s">
        <v>74</v>
      </c>
      <c r="H247" t="s">
        <v>74</v>
      </c>
      <c r="I247" s="1" t="s">
        <v>12853</v>
      </c>
      <c r="J247" t="s">
        <v>12854</v>
      </c>
      <c r="K247" t="s">
        <v>74</v>
      </c>
      <c r="L247" t="s">
        <v>74</v>
      </c>
      <c r="M247" t="s">
        <v>78</v>
      </c>
      <c r="N247" t="s">
        <v>79</v>
      </c>
      <c r="O247" t="s">
        <v>74</v>
      </c>
      <c r="P247" t="s">
        <v>74</v>
      </c>
      <c r="Q247" t="s">
        <v>74</v>
      </c>
      <c r="R247" t="s">
        <v>74</v>
      </c>
      <c r="S247" t="s">
        <v>74</v>
      </c>
      <c r="T247" s="1" t="s">
        <v>74</v>
      </c>
      <c r="U247" s="1" t="s">
        <v>74</v>
      </c>
      <c r="V247" s="1" t="s">
        <v>12855</v>
      </c>
      <c r="W247" t="s">
        <v>12856</v>
      </c>
      <c r="X247" t="s">
        <v>12857</v>
      </c>
      <c r="Y247" t="s">
        <v>12858</v>
      </c>
      <c r="Z247" t="s">
        <v>12859</v>
      </c>
      <c r="AA247" t="s">
        <v>12860</v>
      </c>
      <c r="AB247" t="s">
        <v>12861</v>
      </c>
      <c r="AC247" t="s">
        <v>74</v>
      </c>
      <c r="AD247" t="s">
        <v>74</v>
      </c>
      <c r="AE247" t="s">
        <v>74</v>
      </c>
      <c r="AF247" t="s">
        <v>74</v>
      </c>
      <c r="AG247">
        <v>6</v>
      </c>
      <c r="AH247">
        <v>5</v>
      </c>
      <c r="AI247">
        <v>5</v>
      </c>
      <c r="AJ247">
        <v>0</v>
      </c>
      <c r="AK247">
        <v>1</v>
      </c>
      <c r="AL247" t="s">
        <v>12862</v>
      </c>
      <c r="AM247" t="s">
        <v>12863</v>
      </c>
      <c r="AN247" t="s">
        <v>12864</v>
      </c>
      <c r="AO247" t="s">
        <v>12865</v>
      </c>
      <c r="AP247" t="s">
        <v>74</v>
      </c>
      <c r="AQ247" t="s">
        <v>74</v>
      </c>
      <c r="AR247" t="s">
        <v>12866</v>
      </c>
      <c r="AS247" t="s">
        <v>12867</v>
      </c>
      <c r="AT247" t="s">
        <v>12868</v>
      </c>
      <c r="AU247">
        <v>2001</v>
      </c>
      <c r="AV247">
        <v>26</v>
      </c>
      <c r="AW247" t="s">
        <v>11488</v>
      </c>
      <c r="AX247" t="s">
        <v>74</v>
      </c>
      <c r="AY247" t="s">
        <v>74</v>
      </c>
      <c r="AZ247" t="s">
        <v>74</v>
      </c>
      <c r="BA247" t="s">
        <v>74</v>
      </c>
      <c r="BB247">
        <v>153</v>
      </c>
      <c r="BC247">
        <v>157</v>
      </c>
      <c r="BD247" t="s">
        <v>74</v>
      </c>
      <c r="BE247" t="s">
        <v>74</v>
      </c>
      <c r="BF247" t="s">
        <v>74</v>
      </c>
      <c r="BG247" t="s">
        <v>74</v>
      </c>
      <c r="BH247" t="s">
        <v>74</v>
      </c>
      <c r="BI247">
        <v>5</v>
      </c>
      <c r="BJ247" t="s">
        <v>12849</v>
      </c>
      <c r="BK247" t="s">
        <v>102</v>
      </c>
      <c r="BL247" t="s">
        <v>103</v>
      </c>
      <c r="BM247" t="s">
        <v>12869</v>
      </c>
      <c r="BN247" t="s">
        <v>74</v>
      </c>
      <c r="BO247" t="s">
        <v>74</v>
      </c>
      <c r="BP247" t="s">
        <v>74</v>
      </c>
      <c r="BQ247" t="s">
        <v>74</v>
      </c>
      <c r="BR247" t="s">
        <v>106</v>
      </c>
      <c r="BS247" t="s">
        <v>12870</v>
      </c>
      <c r="BT247" t="str">
        <f>HYPERLINK("https%3A%2F%2Fwww.webofscience.com%2Fwos%2Fwoscc%2Ffull-record%2FWOS:000174357300013","View Full Record in Web of Science")</f>
        <v>View Full Record in Web of Science</v>
      </c>
    </row>
    <row r="248" spans="1:72" x14ac:dyDescent="0.25">
      <c r="A248" t="s">
        <v>72</v>
      </c>
      <c r="B248" t="s">
        <v>12886</v>
      </c>
      <c r="C248" t="s">
        <v>74</v>
      </c>
      <c r="D248" t="s">
        <v>74</v>
      </c>
      <c r="E248" t="s">
        <v>74</v>
      </c>
      <c r="F248" t="s">
        <v>12886</v>
      </c>
      <c r="G248" t="s">
        <v>74</v>
      </c>
      <c r="H248" t="s">
        <v>74</v>
      </c>
      <c r="I248" s="1" t="s">
        <v>12887</v>
      </c>
      <c r="J248" t="s">
        <v>7999</v>
      </c>
      <c r="K248" t="s">
        <v>74</v>
      </c>
      <c r="L248" t="s">
        <v>74</v>
      </c>
      <c r="M248" t="s">
        <v>78</v>
      </c>
      <c r="N248" t="s">
        <v>79</v>
      </c>
      <c r="O248" t="s">
        <v>74</v>
      </c>
      <c r="P248" t="s">
        <v>74</v>
      </c>
      <c r="Q248" t="s">
        <v>74</v>
      </c>
      <c r="R248" t="s">
        <v>74</v>
      </c>
      <c r="S248" t="s">
        <v>74</v>
      </c>
      <c r="T248" s="1" t="s">
        <v>74</v>
      </c>
      <c r="U248" s="1" t="s">
        <v>74</v>
      </c>
      <c r="V248" s="1" t="s">
        <v>12888</v>
      </c>
      <c r="W248" t="s">
        <v>74</v>
      </c>
      <c r="X248" t="s">
        <v>74</v>
      </c>
      <c r="Y248" t="s">
        <v>74</v>
      </c>
      <c r="Z248" t="s">
        <v>74</v>
      </c>
      <c r="AA248" t="s">
        <v>74</v>
      </c>
      <c r="AB248" t="s">
        <v>74</v>
      </c>
      <c r="AC248" t="s">
        <v>74</v>
      </c>
      <c r="AD248" t="s">
        <v>74</v>
      </c>
      <c r="AE248" t="s">
        <v>74</v>
      </c>
      <c r="AF248" t="s">
        <v>74</v>
      </c>
      <c r="AG248">
        <v>0</v>
      </c>
      <c r="AH248">
        <v>5</v>
      </c>
      <c r="AI248">
        <v>5</v>
      </c>
      <c r="AJ248">
        <v>0</v>
      </c>
      <c r="AK248">
        <v>13</v>
      </c>
      <c r="AL248" t="s">
        <v>8003</v>
      </c>
      <c r="AM248" t="s">
        <v>12889</v>
      </c>
      <c r="AN248" t="s">
        <v>12890</v>
      </c>
      <c r="AO248" t="s">
        <v>8006</v>
      </c>
      <c r="AP248" t="s">
        <v>74</v>
      </c>
      <c r="AQ248" t="s">
        <v>74</v>
      </c>
      <c r="AR248" t="s">
        <v>8007</v>
      </c>
      <c r="AS248" t="s">
        <v>8008</v>
      </c>
      <c r="AT248" t="s">
        <v>12891</v>
      </c>
      <c r="AU248">
        <v>2000</v>
      </c>
      <c r="AV248">
        <v>78</v>
      </c>
      <c r="AW248">
        <v>6</v>
      </c>
      <c r="AX248" t="s">
        <v>74</v>
      </c>
      <c r="AY248" t="s">
        <v>74</v>
      </c>
      <c r="AZ248" t="s">
        <v>74</v>
      </c>
      <c r="BA248" t="s">
        <v>74</v>
      </c>
      <c r="BB248">
        <v>37</v>
      </c>
      <c r="BC248" t="s">
        <v>11057</v>
      </c>
      <c r="BD248" t="s">
        <v>74</v>
      </c>
      <c r="BE248" t="s">
        <v>74</v>
      </c>
      <c r="BF248" t="s">
        <v>74</v>
      </c>
      <c r="BG248" t="s">
        <v>74</v>
      </c>
      <c r="BH248" t="s">
        <v>74</v>
      </c>
      <c r="BI248">
        <v>180</v>
      </c>
      <c r="BJ248" t="s">
        <v>264</v>
      </c>
      <c r="BK248" t="s">
        <v>156</v>
      </c>
      <c r="BL248" t="s">
        <v>265</v>
      </c>
      <c r="BM248" t="s">
        <v>12892</v>
      </c>
      <c r="BN248">
        <v>11184976</v>
      </c>
      <c r="BO248" t="s">
        <v>74</v>
      </c>
      <c r="BP248" t="s">
        <v>74</v>
      </c>
      <c r="BQ248" t="s">
        <v>74</v>
      </c>
      <c r="BR248" t="s">
        <v>106</v>
      </c>
      <c r="BS248" t="s">
        <v>12893</v>
      </c>
      <c r="BT248" t="str">
        <f>HYPERLINK("https%3A%2F%2Fwww.webofscience.com%2Fwos%2Fwoscc%2Ffull-record%2FWOS:000090116100009","View Full Record in Web of Science")</f>
        <v>View Full Record in Web of Science</v>
      </c>
    </row>
    <row r="249" spans="1:72" x14ac:dyDescent="0.25">
      <c r="A249" t="s">
        <v>72</v>
      </c>
      <c r="B249" t="s">
        <v>1353</v>
      </c>
      <c r="C249" t="s">
        <v>74</v>
      </c>
      <c r="D249" t="s">
        <v>74</v>
      </c>
      <c r="E249" t="s">
        <v>74</v>
      </c>
      <c r="F249" t="s">
        <v>1354</v>
      </c>
      <c r="G249" t="s">
        <v>74</v>
      </c>
      <c r="H249" t="s">
        <v>74</v>
      </c>
      <c r="I249" s="1" t="s">
        <v>1355</v>
      </c>
      <c r="J249" t="s">
        <v>191</v>
      </c>
      <c r="K249" t="s">
        <v>74</v>
      </c>
      <c r="L249" t="s">
        <v>74</v>
      </c>
      <c r="M249" t="s">
        <v>78</v>
      </c>
      <c r="N249" t="s">
        <v>79</v>
      </c>
      <c r="O249" t="s">
        <v>74</v>
      </c>
      <c r="P249" t="s">
        <v>74</v>
      </c>
      <c r="Q249" t="s">
        <v>74</v>
      </c>
      <c r="R249" t="s">
        <v>74</v>
      </c>
      <c r="S249" t="s">
        <v>74</v>
      </c>
      <c r="T249" s="1" t="s">
        <v>1356</v>
      </c>
      <c r="U249" s="1" t="s">
        <v>1357</v>
      </c>
      <c r="V249" s="1" t="s">
        <v>1358</v>
      </c>
      <c r="W249" t="s">
        <v>1359</v>
      </c>
      <c r="X249" t="s">
        <v>1360</v>
      </c>
      <c r="Y249" t="s">
        <v>1361</v>
      </c>
      <c r="Z249" t="s">
        <v>1362</v>
      </c>
      <c r="AA249" t="s">
        <v>74</v>
      </c>
      <c r="AB249" t="s">
        <v>1363</v>
      </c>
      <c r="AC249" t="s">
        <v>1364</v>
      </c>
      <c r="AD249" t="s">
        <v>1365</v>
      </c>
      <c r="AE249" t="s">
        <v>1366</v>
      </c>
      <c r="AF249" t="s">
        <v>74</v>
      </c>
      <c r="AG249">
        <v>74</v>
      </c>
      <c r="AH249">
        <v>4</v>
      </c>
      <c r="AI249">
        <v>4</v>
      </c>
      <c r="AJ249">
        <v>5</v>
      </c>
      <c r="AK249">
        <v>5</v>
      </c>
      <c r="AL249" t="s">
        <v>202</v>
      </c>
      <c r="AM249" t="s">
        <v>203</v>
      </c>
      <c r="AN249" t="s">
        <v>204</v>
      </c>
      <c r="AO249" t="s">
        <v>74</v>
      </c>
      <c r="AP249" t="s">
        <v>205</v>
      </c>
      <c r="AQ249" t="s">
        <v>74</v>
      </c>
      <c r="AR249" t="s">
        <v>206</v>
      </c>
      <c r="AS249" t="s">
        <v>207</v>
      </c>
      <c r="AT249" t="s">
        <v>1367</v>
      </c>
      <c r="AU249">
        <v>2023</v>
      </c>
      <c r="AV249">
        <v>15</v>
      </c>
      <c r="AW249">
        <v>9</v>
      </c>
      <c r="AX249" t="s">
        <v>74</v>
      </c>
      <c r="AY249" t="s">
        <v>74</v>
      </c>
      <c r="AZ249" t="s">
        <v>74</v>
      </c>
      <c r="BA249" t="s">
        <v>74</v>
      </c>
      <c r="BB249" t="s">
        <v>74</v>
      </c>
      <c r="BC249" t="s">
        <v>74</v>
      </c>
      <c r="BD249">
        <v>7326</v>
      </c>
      <c r="BE249" t="s">
        <v>1368</v>
      </c>
      <c r="BF249" t="str">
        <f>HYPERLINK("http://dx.doi.org/10.3390/su15097326","http://dx.doi.org/10.3390/su15097326")</f>
        <v>http://dx.doi.org/10.3390/su15097326</v>
      </c>
      <c r="BG249" t="s">
        <v>74</v>
      </c>
      <c r="BH249" t="s">
        <v>74</v>
      </c>
      <c r="BI249">
        <v>21</v>
      </c>
      <c r="BJ249" t="s">
        <v>210</v>
      </c>
      <c r="BK249" t="s">
        <v>211</v>
      </c>
      <c r="BL249" t="s">
        <v>212</v>
      </c>
      <c r="BM249" t="s">
        <v>1369</v>
      </c>
      <c r="BN249" t="s">
        <v>74</v>
      </c>
      <c r="BO249" t="s">
        <v>186</v>
      </c>
      <c r="BP249" t="s">
        <v>74</v>
      </c>
      <c r="BQ249" t="s">
        <v>74</v>
      </c>
      <c r="BR249" t="s">
        <v>106</v>
      </c>
      <c r="BS249" t="s">
        <v>1370</v>
      </c>
      <c r="BT249" t="str">
        <f>HYPERLINK("https%3A%2F%2Fwww.webofscience.com%2Fwos%2Fwoscc%2Ffull-record%2FWOS:000988138700001","View Full Record in Web of Science")</f>
        <v>View Full Record in Web of Science</v>
      </c>
    </row>
    <row r="250" spans="1:72" x14ac:dyDescent="0.25">
      <c r="A250" t="s">
        <v>72</v>
      </c>
      <c r="B250" t="s">
        <v>1520</v>
      </c>
      <c r="C250" t="s">
        <v>74</v>
      </c>
      <c r="D250" t="s">
        <v>74</v>
      </c>
      <c r="E250" t="s">
        <v>74</v>
      </c>
      <c r="F250" t="s">
        <v>1521</v>
      </c>
      <c r="G250" t="s">
        <v>74</v>
      </c>
      <c r="H250" t="s">
        <v>74</v>
      </c>
      <c r="I250" s="1" t="s">
        <v>1522</v>
      </c>
      <c r="J250" t="s">
        <v>1523</v>
      </c>
      <c r="K250" t="s">
        <v>74</v>
      </c>
      <c r="L250" t="s">
        <v>74</v>
      </c>
      <c r="M250" t="s">
        <v>78</v>
      </c>
      <c r="N250" t="s">
        <v>79</v>
      </c>
      <c r="O250" t="s">
        <v>74</v>
      </c>
      <c r="P250" t="s">
        <v>74</v>
      </c>
      <c r="Q250" t="s">
        <v>74</v>
      </c>
      <c r="R250" t="s">
        <v>74</v>
      </c>
      <c r="S250" t="s">
        <v>74</v>
      </c>
      <c r="T250" s="1" t="s">
        <v>1524</v>
      </c>
      <c r="U250" s="1" t="s">
        <v>1525</v>
      </c>
      <c r="V250" s="1" t="s">
        <v>1526</v>
      </c>
      <c r="W250" t="s">
        <v>1527</v>
      </c>
      <c r="X250" t="s">
        <v>1528</v>
      </c>
      <c r="Y250" t="s">
        <v>1529</v>
      </c>
      <c r="Z250" t="s">
        <v>1530</v>
      </c>
      <c r="AA250" t="s">
        <v>1531</v>
      </c>
      <c r="AB250" t="s">
        <v>1532</v>
      </c>
      <c r="AC250" t="s">
        <v>74</v>
      </c>
      <c r="AD250" t="s">
        <v>74</v>
      </c>
      <c r="AE250" t="s">
        <v>74</v>
      </c>
      <c r="AF250" t="s">
        <v>74</v>
      </c>
      <c r="AG250">
        <v>148</v>
      </c>
      <c r="AH250">
        <v>4</v>
      </c>
      <c r="AI250">
        <v>4</v>
      </c>
      <c r="AJ250">
        <v>25</v>
      </c>
      <c r="AK250">
        <v>25</v>
      </c>
      <c r="AL250" t="s">
        <v>715</v>
      </c>
      <c r="AM250" t="s">
        <v>716</v>
      </c>
      <c r="AN250" t="s">
        <v>717</v>
      </c>
      <c r="AO250" t="s">
        <v>1533</v>
      </c>
      <c r="AP250" t="s">
        <v>74</v>
      </c>
      <c r="AQ250" t="s">
        <v>74</v>
      </c>
      <c r="AR250" t="s">
        <v>1534</v>
      </c>
      <c r="AS250" t="s">
        <v>1535</v>
      </c>
      <c r="AT250" t="s">
        <v>1536</v>
      </c>
      <c r="AU250">
        <v>2023</v>
      </c>
      <c r="AV250">
        <v>33</v>
      </c>
      <c r="AW250">
        <v>2</v>
      </c>
      <c r="AX250" t="s">
        <v>74</v>
      </c>
      <c r="AY250" t="s">
        <v>74</v>
      </c>
      <c r="AZ250" t="s">
        <v>74</v>
      </c>
      <c r="BA250" t="s">
        <v>74</v>
      </c>
      <c r="BB250">
        <v>169</v>
      </c>
      <c r="BC250">
        <v>197</v>
      </c>
      <c r="BD250" t="s">
        <v>74</v>
      </c>
      <c r="BE250" t="s">
        <v>1537</v>
      </c>
      <c r="BF250" t="str">
        <f>HYPERLINK("http://dx.doi.org/10.1108/JSTP-04-2022-0095","http://dx.doi.org/10.1108/JSTP-04-2022-0095")</f>
        <v>http://dx.doi.org/10.1108/JSTP-04-2022-0095</v>
      </c>
      <c r="BG250" t="s">
        <v>74</v>
      </c>
      <c r="BH250" t="s">
        <v>74</v>
      </c>
      <c r="BI250">
        <v>29</v>
      </c>
      <c r="BJ250" t="s">
        <v>264</v>
      </c>
      <c r="BK250" t="s">
        <v>156</v>
      </c>
      <c r="BL250" t="s">
        <v>265</v>
      </c>
      <c r="BM250" t="s">
        <v>1538</v>
      </c>
      <c r="BN250" t="s">
        <v>74</v>
      </c>
      <c r="BO250" t="s">
        <v>1539</v>
      </c>
      <c r="BP250" t="s">
        <v>74</v>
      </c>
      <c r="BQ250" t="s">
        <v>74</v>
      </c>
      <c r="BR250" t="s">
        <v>106</v>
      </c>
      <c r="BS250" t="s">
        <v>1540</v>
      </c>
      <c r="BT250" t="str">
        <f>HYPERLINK("https%3A%2F%2Fwww.webofscience.com%2Fwos%2Fwoscc%2Ffull-record%2FWOS:001015848200001","View Full Record in Web of Science")</f>
        <v>View Full Record in Web of Science</v>
      </c>
    </row>
    <row r="251" spans="1:72" x14ac:dyDescent="0.25">
      <c r="A251" t="s">
        <v>72</v>
      </c>
      <c r="B251" t="s">
        <v>1979</v>
      </c>
      <c r="C251" t="s">
        <v>74</v>
      </c>
      <c r="D251" t="s">
        <v>74</v>
      </c>
      <c r="E251" t="s">
        <v>74</v>
      </c>
      <c r="F251" t="s">
        <v>1980</v>
      </c>
      <c r="G251" t="s">
        <v>74</v>
      </c>
      <c r="H251" t="s">
        <v>74</v>
      </c>
      <c r="I251" s="1" t="s">
        <v>1981</v>
      </c>
      <c r="J251" t="s">
        <v>1982</v>
      </c>
      <c r="K251" t="s">
        <v>74</v>
      </c>
      <c r="L251" t="s">
        <v>74</v>
      </c>
      <c r="M251" t="s">
        <v>78</v>
      </c>
      <c r="N251" t="s">
        <v>79</v>
      </c>
      <c r="O251" t="s">
        <v>74</v>
      </c>
      <c r="P251" t="s">
        <v>74</v>
      </c>
      <c r="Q251" t="s">
        <v>74</v>
      </c>
      <c r="R251" t="s">
        <v>74</v>
      </c>
      <c r="S251" t="s">
        <v>74</v>
      </c>
      <c r="T251" s="1" t="s">
        <v>1983</v>
      </c>
      <c r="U251" s="1" t="s">
        <v>1984</v>
      </c>
      <c r="V251" s="1" t="s">
        <v>1985</v>
      </c>
      <c r="W251" t="s">
        <v>1986</v>
      </c>
      <c r="X251" t="s">
        <v>1987</v>
      </c>
      <c r="Y251" t="s">
        <v>1988</v>
      </c>
      <c r="Z251" t="s">
        <v>1989</v>
      </c>
      <c r="AA251" t="s">
        <v>74</v>
      </c>
      <c r="AB251" t="s">
        <v>1990</v>
      </c>
      <c r="AC251" t="s">
        <v>1991</v>
      </c>
      <c r="AD251" t="s">
        <v>1992</v>
      </c>
      <c r="AE251" t="s">
        <v>1993</v>
      </c>
      <c r="AF251" t="s">
        <v>74</v>
      </c>
      <c r="AG251">
        <v>107</v>
      </c>
      <c r="AH251">
        <v>4</v>
      </c>
      <c r="AI251">
        <v>4</v>
      </c>
      <c r="AJ251">
        <v>12</v>
      </c>
      <c r="AK251">
        <v>15</v>
      </c>
      <c r="AL251" t="s">
        <v>231</v>
      </c>
      <c r="AM251" t="s">
        <v>232</v>
      </c>
      <c r="AN251" t="s">
        <v>233</v>
      </c>
      <c r="AO251" t="s">
        <v>1994</v>
      </c>
      <c r="AP251" t="s">
        <v>1995</v>
      </c>
      <c r="AQ251" t="s">
        <v>74</v>
      </c>
      <c r="AR251" t="s">
        <v>1996</v>
      </c>
      <c r="AS251" t="s">
        <v>1997</v>
      </c>
      <c r="AT251" t="s">
        <v>1448</v>
      </c>
      <c r="AU251">
        <v>2023</v>
      </c>
      <c r="AV251">
        <v>148</v>
      </c>
      <c r="AW251" t="s">
        <v>74</v>
      </c>
      <c r="AX251" t="s">
        <v>74</v>
      </c>
      <c r="AY251" t="s">
        <v>74</v>
      </c>
      <c r="AZ251" t="s">
        <v>74</v>
      </c>
      <c r="BA251" t="s">
        <v>74</v>
      </c>
      <c r="BB251" t="s">
        <v>74</v>
      </c>
      <c r="BC251" t="s">
        <v>74</v>
      </c>
      <c r="BD251">
        <v>104749</v>
      </c>
      <c r="BE251" t="s">
        <v>1998</v>
      </c>
      <c r="BF251" t="str">
        <f>HYPERLINK("http://dx.doi.org/10.1016/j.autcon.2023.104749","http://dx.doi.org/10.1016/j.autcon.2023.104749")</f>
        <v>http://dx.doi.org/10.1016/j.autcon.2023.104749</v>
      </c>
      <c r="BG251" t="s">
        <v>74</v>
      </c>
      <c r="BH251" t="s">
        <v>1999</v>
      </c>
      <c r="BI251">
        <v>15</v>
      </c>
      <c r="BJ251" t="s">
        <v>2000</v>
      </c>
      <c r="BK251" t="s">
        <v>102</v>
      </c>
      <c r="BL251" t="s">
        <v>2001</v>
      </c>
      <c r="BM251" t="s">
        <v>2002</v>
      </c>
      <c r="BN251" t="s">
        <v>74</v>
      </c>
      <c r="BO251" t="s">
        <v>2003</v>
      </c>
      <c r="BP251" t="s">
        <v>74</v>
      </c>
      <c r="BQ251" t="s">
        <v>74</v>
      </c>
      <c r="BR251" t="s">
        <v>106</v>
      </c>
      <c r="BS251" t="s">
        <v>2004</v>
      </c>
      <c r="BT251" t="str">
        <f>HYPERLINK("https%3A%2F%2Fwww.webofscience.com%2Fwos%2Fwoscc%2Ffull-record%2FWOS:000960688500001","View Full Record in Web of Science")</f>
        <v>View Full Record in Web of Science</v>
      </c>
    </row>
    <row r="252" spans="1:72" x14ac:dyDescent="0.25">
      <c r="A252" t="s">
        <v>72</v>
      </c>
      <c r="B252" t="s">
        <v>2772</v>
      </c>
      <c r="C252" t="s">
        <v>74</v>
      </c>
      <c r="D252" t="s">
        <v>74</v>
      </c>
      <c r="E252" t="s">
        <v>74</v>
      </c>
      <c r="F252" t="s">
        <v>2773</v>
      </c>
      <c r="G252" t="s">
        <v>74</v>
      </c>
      <c r="H252" t="s">
        <v>74</v>
      </c>
      <c r="I252" s="1" t="s">
        <v>2774</v>
      </c>
      <c r="J252" t="s">
        <v>218</v>
      </c>
      <c r="K252" t="s">
        <v>74</v>
      </c>
      <c r="L252" t="s">
        <v>74</v>
      </c>
      <c r="M252" t="s">
        <v>78</v>
      </c>
      <c r="N252" t="s">
        <v>79</v>
      </c>
      <c r="O252" t="s">
        <v>74</v>
      </c>
      <c r="P252" t="s">
        <v>74</v>
      </c>
      <c r="Q252" t="s">
        <v>74</v>
      </c>
      <c r="R252" t="s">
        <v>74</v>
      </c>
      <c r="S252" t="s">
        <v>74</v>
      </c>
      <c r="T252" s="1" t="s">
        <v>2775</v>
      </c>
      <c r="U252" s="1" t="s">
        <v>2776</v>
      </c>
      <c r="V252" s="1" t="s">
        <v>2777</v>
      </c>
      <c r="W252" t="s">
        <v>2778</v>
      </c>
      <c r="X252" t="s">
        <v>2779</v>
      </c>
      <c r="Y252" t="s">
        <v>2780</v>
      </c>
      <c r="Z252" t="s">
        <v>2781</v>
      </c>
      <c r="AA252" t="s">
        <v>2782</v>
      </c>
      <c r="AB252" t="s">
        <v>2783</v>
      </c>
      <c r="AC252" t="s">
        <v>2784</v>
      </c>
      <c r="AD252" t="s">
        <v>2785</v>
      </c>
      <c r="AE252" t="s">
        <v>2786</v>
      </c>
      <c r="AF252" t="s">
        <v>74</v>
      </c>
      <c r="AG252">
        <v>67</v>
      </c>
      <c r="AH252">
        <v>4</v>
      </c>
      <c r="AI252">
        <v>4</v>
      </c>
      <c r="AJ252">
        <v>15</v>
      </c>
      <c r="AK252">
        <v>36</v>
      </c>
      <c r="AL252" t="s">
        <v>231</v>
      </c>
      <c r="AM252" t="s">
        <v>232</v>
      </c>
      <c r="AN252" t="s">
        <v>233</v>
      </c>
      <c r="AO252" t="s">
        <v>234</v>
      </c>
      <c r="AP252" t="s">
        <v>235</v>
      </c>
      <c r="AQ252" t="s">
        <v>74</v>
      </c>
      <c r="AR252" t="s">
        <v>236</v>
      </c>
      <c r="AS252" t="s">
        <v>237</v>
      </c>
      <c r="AT252" t="s">
        <v>2068</v>
      </c>
      <c r="AU252">
        <v>2023</v>
      </c>
      <c r="AV252">
        <v>255</v>
      </c>
      <c r="AW252" t="s">
        <v>74</v>
      </c>
      <c r="AX252" t="s">
        <v>74</v>
      </c>
      <c r="AY252" t="s">
        <v>74</v>
      </c>
      <c r="AZ252" t="s">
        <v>74</v>
      </c>
      <c r="BA252" t="s">
        <v>74</v>
      </c>
      <c r="BB252" t="s">
        <v>74</v>
      </c>
      <c r="BC252" t="s">
        <v>74</v>
      </c>
      <c r="BD252">
        <v>108701</v>
      </c>
      <c r="BE252" t="s">
        <v>2787</v>
      </c>
      <c r="BF252" t="str">
        <f>HYPERLINK("http://dx.doi.org/10.1016/j.ijpe.2022.108701","http://dx.doi.org/10.1016/j.ijpe.2022.108701")</f>
        <v>http://dx.doi.org/10.1016/j.ijpe.2022.108701</v>
      </c>
      <c r="BG252" t="s">
        <v>74</v>
      </c>
      <c r="BH252" t="s">
        <v>2788</v>
      </c>
      <c r="BI252">
        <v>15</v>
      </c>
      <c r="BJ252" t="s">
        <v>239</v>
      </c>
      <c r="BK252" t="s">
        <v>102</v>
      </c>
      <c r="BL252" t="s">
        <v>240</v>
      </c>
      <c r="BM252" t="s">
        <v>2789</v>
      </c>
      <c r="BN252" t="s">
        <v>74</v>
      </c>
      <c r="BO252" t="s">
        <v>74</v>
      </c>
      <c r="BP252" t="s">
        <v>74</v>
      </c>
      <c r="BQ252" t="s">
        <v>74</v>
      </c>
      <c r="BR252" t="s">
        <v>106</v>
      </c>
      <c r="BS252" t="s">
        <v>2790</v>
      </c>
      <c r="BT252" t="str">
        <f>HYPERLINK("https%3A%2F%2Fwww.webofscience.com%2Fwos%2Fwoscc%2Ffull-record%2FWOS:000882132400001","View Full Record in Web of Science")</f>
        <v>View Full Record in Web of Science</v>
      </c>
    </row>
    <row r="253" spans="1:72" x14ac:dyDescent="0.25">
      <c r="A253" t="s">
        <v>72</v>
      </c>
      <c r="B253" t="s">
        <v>3419</v>
      </c>
      <c r="C253" t="s">
        <v>74</v>
      </c>
      <c r="D253" t="s">
        <v>74</v>
      </c>
      <c r="E253" t="s">
        <v>74</v>
      </c>
      <c r="F253" t="s">
        <v>3420</v>
      </c>
      <c r="G253" t="s">
        <v>74</v>
      </c>
      <c r="H253" t="s">
        <v>74</v>
      </c>
      <c r="I253" s="1" t="s">
        <v>3421</v>
      </c>
      <c r="J253" t="s">
        <v>3422</v>
      </c>
      <c r="K253" t="s">
        <v>74</v>
      </c>
      <c r="L253" t="s">
        <v>74</v>
      </c>
      <c r="M253" t="s">
        <v>78</v>
      </c>
      <c r="N253" t="s">
        <v>79</v>
      </c>
      <c r="O253" t="s">
        <v>74</v>
      </c>
      <c r="P253" t="s">
        <v>74</v>
      </c>
      <c r="Q253" t="s">
        <v>74</v>
      </c>
      <c r="R253" t="s">
        <v>74</v>
      </c>
      <c r="S253" t="s">
        <v>74</v>
      </c>
      <c r="T253" s="1" t="s">
        <v>3423</v>
      </c>
      <c r="U253" s="1" t="s">
        <v>74</v>
      </c>
      <c r="V253" s="1" t="s">
        <v>3424</v>
      </c>
      <c r="W253" t="s">
        <v>3425</v>
      </c>
      <c r="X253" t="s">
        <v>3426</v>
      </c>
      <c r="Y253" t="s">
        <v>3427</v>
      </c>
      <c r="Z253" t="s">
        <v>3428</v>
      </c>
      <c r="AA253" t="s">
        <v>74</v>
      </c>
      <c r="AB253" t="s">
        <v>3429</v>
      </c>
      <c r="AC253" t="s">
        <v>3430</v>
      </c>
      <c r="AD253" t="s">
        <v>3431</v>
      </c>
      <c r="AE253" t="s">
        <v>3432</v>
      </c>
      <c r="AF253" t="s">
        <v>74</v>
      </c>
      <c r="AG253">
        <v>23</v>
      </c>
      <c r="AH253">
        <v>4</v>
      </c>
      <c r="AI253">
        <v>4</v>
      </c>
      <c r="AJ253">
        <v>1</v>
      </c>
      <c r="AK253">
        <v>1</v>
      </c>
      <c r="AL253" t="s">
        <v>3433</v>
      </c>
      <c r="AM253" t="s">
        <v>878</v>
      </c>
      <c r="AN253" t="s">
        <v>3434</v>
      </c>
      <c r="AO253" t="s">
        <v>74</v>
      </c>
      <c r="AP253" t="s">
        <v>3435</v>
      </c>
      <c r="AQ253" t="s">
        <v>74</v>
      </c>
      <c r="AR253" t="s">
        <v>3436</v>
      </c>
      <c r="AS253" t="s">
        <v>3437</v>
      </c>
      <c r="AT253" t="s">
        <v>3438</v>
      </c>
      <c r="AU253">
        <v>2022</v>
      </c>
      <c r="AV253">
        <v>6</v>
      </c>
      <c r="AW253">
        <v>1</v>
      </c>
      <c r="AX253" t="s">
        <v>74</v>
      </c>
      <c r="AY253" t="s">
        <v>74</v>
      </c>
      <c r="AZ253" t="s">
        <v>74</v>
      </c>
      <c r="BA253" t="s">
        <v>74</v>
      </c>
      <c r="BB253" t="s">
        <v>74</v>
      </c>
      <c r="BC253" t="s">
        <v>74</v>
      </c>
      <c r="BD253" t="s">
        <v>3439</v>
      </c>
      <c r="BE253" t="s">
        <v>3440</v>
      </c>
      <c r="BF253" t="str">
        <f>HYPERLINK("http://dx.doi.org/10.1017/cts.2022.457","http://dx.doi.org/10.1017/cts.2022.457")</f>
        <v>http://dx.doi.org/10.1017/cts.2022.457</v>
      </c>
      <c r="BG253" t="s">
        <v>74</v>
      </c>
      <c r="BH253" t="s">
        <v>74</v>
      </c>
      <c r="BI253">
        <v>6</v>
      </c>
      <c r="BJ253" t="s">
        <v>182</v>
      </c>
      <c r="BK253" t="s">
        <v>183</v>
      </c>
      <c r="BL253" t="s">
        <v>184</v>
      </c>
      <c r="BM253" t="s">
        <v>3441</v>
      </c>
      <c r="BN253">
        <v>36285018</v>
      </c>
      <c r="BO253" t="s">
        <v>422</v>
      </c>
      <c r="BP253" t="s">
        <v>74</v>
      </c>
      <c r="BQ253" t="s">
        <v>74</v>
      </c>
      <c r="BR253" t="s">
        <v>106</v>
      </c>
      <c r="BS253" t="s">
        <v>3442</v>
      </c>
      <c r="BT253" t="str">
        <f>HYPERLINK("https%3A%2F%2Fwww.webofscience.com%2Fwos%2Fwoscc%2Ffull-record%2FWOS:000863599900001","View Full Record in Web of Science")</f>
        <v>View Full Record in Web of Science</v>
      </c>
    </row>
    <row r="254" spans="1:72" x14ac:dyDescent="0.25">
      <c r="A254" t="s">
        <v>72</v>
      </c>
      <c r="B254" t="s">
        <v>3532</v>
      </c>
      <c r="C254" t="s">
        <v>74</v>
      </c>
      <c r="D254" t="s">
        <v>74</v>
      </c>
      <c r="E254" t="s">
        <v>74</v>
      </c>
      <c r="F254" t="s">
        <v>3533</v>
      </c>
      <c r="G254" t="s">
        <v>74</v>
      </c>
      <c r="H254" t="s">
        <v>74</v>
      </c>
      <c r="I254" s="1" t="s">
        <v>3534</v>
      </c>
      <c r="J254" t="s">
        <v>3535</v>
      </c>
      <c r="K254" t="s">
        <v>74</v>
      </c>
      <c r="L254" t="s">
        <v>74</v>
      </c>
      <c r="M254" t="s">
        <v>78</v>
      </c>
      <c r="N254" t="s">
        <v>79</v>
      </c>
      <c r="O254" t="s">
        <v>74</v>
      </c>
      <c r="P254" t="s">
        <v>74</v>
      </c>
      <c r="Q254" t="s">
        <v>74</v>
      </c>
      <c r="R254" t="s">
        <v>74</v>
      </c>
      <c r="S254" t="s">
        <v>74</v>
      </c>
      <c r="T254" s="1" t="s">
        <v>3536</v>
      </c>
      <c r="U254" s="1" t="s">
        <v>3537</v>
      </c>
      <c r="V254" s="1" t="s">
        <v>3538</v>
      </c>
      <c r="W254" t="s">
        <v>3539</v>
      </c>
      <c r="X254" t="s">
        <v>3540</v>
      </c>
      <c r="Y254" t="s">
        <v>3541</v>
      </c>
      <c r="Z254" t="s">
        <v>3542</v>
      </c>
      <c r="AA254" t="s">
        <v>3543</v>
      </c>
      <c r="AB254" t="s">
        <v>3544</v>
      </c>
      <c r="AC254" t="s">
        <v>3545</v>
      </c>
      <c r="AD254" t="s">
        <v>3546</v>
      </c>
      <c r="AE254" t="s">
        <v>3547</v>
      </c>
      <c r="AF254" t="s">
        <v>74</v>
      </c>
      <c r="AG254">
        <v>45</v>
      </c>
      <c r="AH254">
        <v>4</v>
      </c>
      <c r="AI254">
        <v>4</v>
      </c>
      <c r="AJ254">
        <v>6</v>
      </c>
      <c r="AK254">
        <v>27</v>
      </c>
      <c r="AL254" t="s">
        <v>492</v>
      </c>
      <c r="AM254" t="s">
        <v>493</v>
      </c>
      <c r="AN254" t="s">
        <v>494</v>
      </c>
      <c r="AO254" t="s">
        <v>3548</v>
      </c>
      <c r="AP254" t="s">
        <v>3549</v>
      </c>
      <c r="AQ254" t="s">
        <v>74</v>
      </c>
      <c r="AR254" t="s">
        <v>3550</v>
      </c>
      <c r="AS254" t="s">
        <v>3551</v>
      </c>
      <c r="AT254" t="s">
        <v>3552</v>
      </c>
      <c r="AU254">
        <v>2023</v>
      </c>
      <c r="AV254">
        <v>38</v>
      </c>
      <c r="AW254">
        <v>5</v>
      </c>
      <c r="AX254" t="s">
        <v>74</v>
      </c>
      <c r="AY254" t="s">
        <v>74</v>
      </c>
      <c r="AZ254" t="s">
        <v>74</v>
      </c>
      <c r="BA254" t="s">
        <v>74</v>
      </c>
      <c r="BB254">
        <v>548</v>
      </c>
      <c r="BC254">
        <v>570</v>
      </c>
      <c r="BD254" t="s">
        <v>74</v>
      </c>
      <c r="BE254" t="s">
        <v>3553</v>
      </c>
      <c r="BF254" t="str">
        <f>HYPERLINK("http://dx.doi.org/10.1080/09647775.2022.2111335","http://dx.doi.org/10.1080/09647775.2022.2111335")</f>
        <v>http://dx.doi.org/10.1080/09647775.2022.2111335</v>
      </c>
      <c r="BG254" t="s">
        <v>74</v>
      </c>
      <c r="BH254" t="s">
        <v>3464</v>
      </c>
      <c r="BI254">
        <v>23</v>
      </c>
      <c r="BJ254" t="s">
        <v>2192</v>
      </c>
      <c r="BK254" t="s">
        <v>3239</v>
      </c>
      <c r="BL254" t="s">
        <v>2193</v>
      </c>
      <c r="BM254" t="s">
        <v>3554</v>
      </c>
      <c r="BN254" t="s">
        <v>74</v>
      </c>
      <c r="BO254" t="s">
        <v>105</v>
      </c>
      <c r="BP254" t="s">
        <v>74</v>
      </c>
      <c r="BQ254" t="s">
        <v>74</v>
      </c>
      <c r="BR254" t="s">
        <v>106</v>
      </c>
      <c r="BS254" t="s">
        <v>3555</v>
      </c>
      <c r="BT254" t="str">
        <f>HYPERLINK("https%3A%2F%2Fwww.webofscience.com%2Fwos%2Fwoscc%2Ffull-record%2FWOS:000843141000001","View Full Record in Web of Science")</f>
        <v>View Full Record in Web of Science</v>
      </c>
    </row>
    <row r="255" spans="1:72" x14ac:dyDescent="0.25">
      <c r="A255" t="s">
        <v>72</v>
      </c>
      <c r="B255" t="s">
        <v>3580</v>
      </c>
      <c r="C255" t="s">
        <v>74</v>
      </c>
      <c r="D255" t="s">
        <v>74</v>
      </c>
      <c r="E255" t="s">
        <v>74</v>
      </c>
      <c r="F255" t="s">
        <v>3581</v>
      </c>
      <c r="G255" t="s">
        <v>74</v>
      </c>
      <c r="H255" t="s">
        <v>74</v>
      </c>
      <c r="I255" s="1" t="s">
        <v>3582</v>
      </c>
      <c r="J255" t="s">
        <v>3583</v>
      </c>
      <c r="K255" t="s">
        <v>74</v>
      </c>
      <c r="L255" t="s">
        <v>74</v>
      </c>
      <c r="M255" t="s">
        <v>78</v>
      </c>
      <c r="N255" t="s">
        <v>79</v>
      </c>
      <c r="O255" t="s">
        <v>74</v>
      </c>
      <c r="P255" t="s">
        <v>74</v>
      </c>
      <c r="Q255" t="s">
        <v>74</v>
      </c>
      <c r="R255" t="s">
        <v>74</v>
      </c>
      <c r="S255" t="s">
        <v>74</v>
      </c>
      <c r="T255" s="1" t="s">
        <v>3584</v>
      </c>
      <c r="U255" s="1" t="s">
        <v>3585</v>
      </c>
      <c r="V255" s="1" t="s">
        <v>3586</v>
      </c>
      <c r="W255" t="s">
        <v>3587</v>
      </c>
      <c r="X255" t="s">
        <v>3588</v>
      </c>
      <c r="Y255" t="s">
        <v>3589</v>
      </c>
      <c r="Z255" t="s">
        <v>3590</v>
      </c>
      <c r="AA255" t="s">
        <v>3591</v>
      </c>
      <c r="AB255" t="s">
        <v>3592</v>
      </c>
      <c r="AC255" t="s">
        <v>3593</v>
      </c>
      <c r="AD255" t="s">
        <v>3594</v>
      </c>
      <c r="AE255" t="s">
        <v>3595</v>
      </c>
      <c r="AF255" t="s">
        <v>74</v>
      </c>
      <c r="AG255">
        <v>134</v>
      </c>
      <c r="AH255">
        <v>4</v>
      </c>
      <c r="AI255">
        <v>4</v>
      </c>
      <c r="AJ255">
        <v>13</v>
      </c>
      <c r="AK255">
        <v>54</v>
      </c>
      <c r="AL255" t="s">
        <v>715</v>
      </c>
      <c r="AM255" t="s">
        <v>716</v>
      </c>
      <c r="AN255" t="s">
        <v>717</v>
      </c>
      <c r="AO255" t="s">
        <v>3596</v>
      </c>
      <c r="AP255" t="s">
        <v>3597</v>
      </c>
      <c r="AQ255" t="s">
        <v>74</v>
      </c>
      <c r="AR255" t="s">
        <v>3598</v>
      </c>
      <c r="AS255" t="s">
        <v>3599</v>
      </c>
      <c r="AT255" t="s">
        <v>1121</v>
      </c>
      <c r="AU255">
        <v>2022</v>
      </c>
      <c r="AV255">
        <v>26</v>
      </c>
      <c r="AW255">
        <v>11</v>
      </c>
      <c r="AX255" t="s">
        <v>74</v>
      </c>
      <c r="AY255" t="s">
        <v>74</v>
      </c>
      <c r="AZ255" t="s">
        <v>74</v>
      </c>
      <c r="BA255" t="s">
        <v>74</v>
      </c>
      <c r="BB255">
        <v>348</v>
      </c>
      <c r="BC255">
        <v>377</v>
      </c>
      <c r="BD255" t="s">
        <v>74</v>
      </c>
      <c r="BE255" t="s">
        <v>3600</v>
      </c>
      <c r="BF255" t="str">
        <f>HYPERLINK("http://dx.doi.org/10.1108/JKM-02-2022-0130","http://dx.doi.org/10.1108/JKM-02-2022-0130")</f>
        <v>http://dx.doi.org/10.1108/JKM-02-2022-0130</v>
      </c>
      <c r="BG255" t="s">
        <v>74</v>
      </c>
      <c r="BH255" t="s">
        <v>74</v>
      </c>
      <c r="BI255">
        <v>30</v>
      </c>
      <c r="BJ255" t="s">
        <v>3601</v>
      </c>
      <c r="BK255" t="s">
        <v>156</v>
      </c>
      <c r="BL255" t="s">
        <v>3602</v>
      </c>
      <c r="BM255" t="s">
        <v>3603</v>
      </c>
      <c r="BN255" t="s">
        <v>74</v>
      </c>
      <c r="BO255" t="s">
        <v>1539</v>
      </c>
      <c r="BP255" t="s">
        <v>74</v>
      </c>
      <c r="BQ255" t="s">
        <v>74</v>
      </c>
      <c r="BR255" t="s">
        <v>106</v>
      </c>
      <c r="BS255" t="s">
        <v>3604</v>
      </c>
      <c r="BT255" t="str">
        <f>HYPERLINK("https%3A%2F%2Fwww.webofscience.com%2Fwos%2Fwoscc%2Ffull-record%2FWOS:000848691400001","View Full Record in Web of Science")</f>
        <v>View Full Record in Web of Science</v>
      </c>
    </row>
    <row r="256" spans="1:72" x14ac:dyDescent="0.25">
      <c r="A256" t="s">
        <v>72</v>
      </c>
      <c r="B256" t="s">
        <v>4170</v>
      </c>
      <c r="C256" t="s">
        <v>74</v>
      </c>
      <c r="D256" t="s">
        <v>74</v>
      </c>
      <c r="E256" t="s">
        <v>74</v>
      </c>
      <c r="F256" t="s">
        <v>4171</v>
      </c>
      <c r="G256" t="s">
        <v>74</v>
      </c>
      <c r="H256" t="s">
        <v>74</v>
      </c>
      <c r="I256" s="1" t="s">
        <v>4172</v>
      </c>
      <c r="J256" t="s">
        <v>4173</v>
      </c>
      <c r="K256" t="s">
        <v>74</v>
      </c>
      <c r="L256" t="s">
        <v>74</v>
      </c>
      <c r="M256" t="s">
        <v>78</v>
      </c>
      <c r="N256" t="s">
        <v>79</v>
      </c>
      <c r="O256" t="s">
        <v>74</v>
      </c>
      <c r="P256" t="s">
        <v>74</v>
      </c>
      <c r="Q256" t="s">
        <v>74</v>
      </c>
      <c r="R256" t="s">
        <v>74</v>
      </c>
      <c r="S256" t="s">
        <v>74</v>
      </c>
      <c r="T256" s="1" t="s">
        <v>74</v>
      </c>
      <c r="U256" s="1" t="s">
        <v>4174</v>
      </c>
      <c r="V256" s="1" t="s">
        <v>4175</v>
      </c>
      <c r="W256" t="s">
        <v>4176</v>
      </c>
      <c r="X256" t="s">
        <v>4177</v>
      </c>
      <c r="Y256" t="s">
        <v>4178</v>
      </c>
      <c r="Z256" t="s">
        <v>4179</v>
      </c>
      <c r="AA256" t="s">
        <v>4180</v>
      </c>
      <c r="AB256" t="s">
        <v>4181</v>
      </c>
      <c r="AC256" t="s">
        <v>74</v>
      </c>
      <c r="AD256" t="s">
        <v>74</v>
      </c>
      <c r="AE256" t="s">
        <v>74</v>
      </c>
      <c r="AF256" t="s">
        <v>74</v>
      </c>
      <c r="AG256">
        <v>36</v>
      </c>
      <c r="AH256">
        <v>4</v>
      </c>
      <c r="AI256">
        <v>4</v>
      </c>
      <c r="AJ256">
        <v>20</v>
      </c>
      <c r="AK256">
        <v>88</v>
      </c>
      <c r="AL256" t="s">
        <v>3146</v>
      </c>
      <c r="AM256" t="s">
        <v>175</v>
      </c>
      <c r="AN256" t="s">
        <v>3147</v>
      </c>
      <c r="AO256" t="s">
        <v>4182</v>
      </c>
      <c r="AP256" t="s">
        <v>4183</v>
      </c>
      <c r="AQ256" t="s">
        <v>74</v>
      </c>
      <c r="AR256" t="s">
        <v>4184</v>
      </c>
      <c r="AS256" t="s">
        <v>4185</v>
      </c>
      <c r="AT256" t="s">
        <v>4186</v>
      </c>
      <c r="AU256">
        <v>2022</v>
      </c>
      <c r="AV256">
        <v>2022</v>
      </c>
      <c r="AW256" t="s">
        <v>74</v>
      </c>
      <c r="AX256" t="s">
        <v>74</v>
      </c>
      <c r="AY256" t="s">
        <v>74</v>
      </c>
      <c r="AZ256" t="s">
        <v>74</v>
      </c>
      <c r="BA256" t="s">
        <v>74</v>
      </c>
      <c r="BB256" t="s">
        <v>74</v>
      </c>
      <c r="BC256" t="s">
        <v>74</v>
      </c>
      <c r="BD256">
        <v>6756548</v>
      </c>
      <c r="BE256" t="s">
        <v>4187</v>
      </c>
      <c r="BF256" t="str">
        <f>HYPERLINK("http://dx.doi.org/10.1155/2022/6756548","http://dx.doi.org/10.1155/2022/6756548")</f>
        <v>http://dx.doi.org/10.1155/2022/6756548</v>
      </c>
      <c r="BG256" t="s">
        <v>74</v>
      </c>
      <c r="BH256" t="s">
        <v>74</v>
      </c>
      <c r="BI256">
        <v>12</v>
      </c>
      <c r="BJ256" t="s">
        <v>4188</v>
      </c>
      <c r="BK256" t="s">
        <v>211</v>
      </c>
      <c r="BL256" t="s">
        <v>4189</v>
      </c>
      <c r="BM256" t="s">
        <v>4190</v>
      </c>
      <c r="BN256" t="s">
        <v>74</v>
      </c>
      <c r="BO256" t="s">
        <v>186</v>
      </c>
      <c r="BP256" t="s">
        <v>74</v>
      </c>
      <c r="BQ256" t="s">
        <v>74</v>
      </c>
      <c r="BR256" t="s">
        <v>106</v>
      </c>
      <c r="BS256" t="s">
        <v>4191</v>
      </c>
      <c r="BT256" t="str">
        <f>HYPERLINK("https%3A%2F%2Fwww.webofscience.com%2Fwos%2Fwoscc%2Ffull-record%2FWOS:000797442100003","View Full Record in Web of Science")</f>
        <v>View Full Record in Web of Science</v>
      </c>
    </row>
    <row r="257" spans="1:72" x14ac:dyDescent="0.25">
      <c r="A257" t="s">
        <v>72</v>
      </c>
      <c r="B257" t="s">
        <v>5332</v>
      </c>
      <c r="C257" t="s">
        <v>74</v>
      </c>
      <c r="D257" t="s">
        <v>74</v>
      </c>
      <c r="E257" t="s">
        <v>74</v>
      </c>
      <c r="F257" t="s">
        <v>5333</v>
      </c>
      <c r="G257" t="s">
        <v>74</v>
      </c>
      <c r="H257" t="s">
        <v>74</v>
      </c>
      <c r="I257" s="1" t="s">
        <v>5334</v>
      </c>
      <c r="J257" t="s">
        <v>4043</v>
      </c>
      <c r="K257" t="s">
        <v>74</v>
      </c>
      <c r="L257" t="s">
        <v>74</v>
      </c>
      <c r="M257" t="s">
        <v>78</v>
      </c>
      <c r="N257" t="s">
        <v>79</v>
      </c>
      <c r="O257" t="s">
        <v>74</v>
      </c>
      <c r="P257" t="s">
        <v>74</v>
      </c>
      <c r="Q257" t="s">
        <v>74</v>
      </c>
      <c r="R257" t="s">
        <v>74</v>
      </c>
      <c r="S257" t="s">
        <v>74</v>
      </c>
      <c r="T257" s="1" t="s">
        <v>5335</v>
      </c>
      <c r="U257" s="1" t="s">
        <v>74</v>
      </c>
      <c r="V257" s="1" t="s">
        <v>5336</v>
      </c>
      <c r="W257" t="s">
        <v>5337</v>
      </c>
      <c r="X257" t="s">
        <v>5338</v>
      </c>
      <c r="Y257" t="s">
        <v>5339</v>
      </c>
      <c r="Z257" t="s">
        <v>5340</v>
      </c>
      <c r="AA257" t="s">
        <v>5341</v>
      </c>
      <c r="AB257" t="s">
        <v>5342</v>
      </c>
      <c r="AC257" t="s">
        <v>5343</v>
      </c>
      <c r="AD257" t="s">
        <v>5343</v>
      </c>
      <c r="AE257" t="s">
        <v>5344</v>
      </c>
      <c r="AF257" t="s">
        <v>74</v>
      </c>
      <c r="AG257">
        <v>254</v>
      </c>
      <c r="AH257">
        <v>4</v>
      </c>
      <c r="AI257">
        <v>4</v>
      </c>
      <c r="AJ257">
        <v>0</v>
      </c>
      <c r="AK257">
        <v>0</v>
      </c>
      <c r="AL257" t="s">
        <v>1382</v>
      </c>
      <c r="AM257" t="s">
        <v>1383</v>
      </c>
      <c r="AN257" t="s">
        <v>1384</v>
      </c>
      <c r="AO257" t="s">
        <v>4055</v>
      </c>
      <c r="AP257" t="s">
        <v>74</v>
      </c>
      <c r="AQ257" t="s">
        <v>74</v>
      </c>
      <c r="AR257" t="s">
        <v>4056</v>
      </c>
      <c r="AS257" t="s">
        <v>4057</v>
      </c>
      <c r="AT257" t="s">
        <v>5345</v>
      </c>
      <c r="AU257">
        <v>2021</v>
      </c>
      <c r="AV257">
        <v>12</v>
      </c>
      <c r="AW257" t="s">
        <v>74</v>
      </c>
      <c r="AX257" t="s">
        <v>74</v>
      </c>
      <c r="AY257" t="s">
        <v>74</v>
      </c>
      <c r="AZ257" t="s">
        <v>74</v>
      </c>
      <c r="BA257" t="s">
        <v>74</v>
      </c>
      <c r="BB257" t="s">
        <v>74</v>
      </c>
      <c r="BC257" t="s">
        <v>74</v>
      </c>
      <c r="BD257">
        <v>746477</v>
      </c>
      <c r="BE257" t="s">
        <v>5346</v>
      </c>
      <c r="BF257" t="str">
        <f>HYPERLINK("http://dx.doi.org/10.3389/fpsyt.2021.746477","http://dx.doi.org/10.3389/fpsyt.2021.746477")</f>
        <v>http://dx.doi.org/10.3389/fpsyt.2021.746477</v>
      </c>
      <c r="BG257" t="s">
        <v>74</v>
      </c>
      <c r="BH257" t="s">
        <v>74</v>
      </c>
      <c r="BI257">
        <v>23</v>
      </c>
      <c r="BJ257" t="s">
        <v>4060</v>
      </c>
      <c r="BK257" t="s">
        <v>211</v>
      </c>
      <c r="BL257" t="s">
        <v>4060</v>
      </c>
      <c r="BM257" t="s">
        <v>5347</v>
      </c>
      <c r="BN257">
        <v>34975566</v>
      </c>
      <c r="BO257" t="s">
        <v>422</v>
      </c>
      <c r="BP257" t="s">
        <v>74</v>
      </c>
      <c r="BQ257" t="s">
        <v>74</v>
      </c>
      <c r="BR257" t="s">
        <v>106</v>
      </c>
      <c r="BS257" t="s">
        <v>5348</v>
      </c>
      <c r="BT257" t="str">
        <f>HYPERLINK("https%3A%2F%2Fwww.webofscience.com%2Fwos%2Fwoscc%2Ffull-record%2FWOS:001027264700001","View Full Record in Web of Science")</f>
        <v>View Full Record in Web of Science</v>
      </c>
    </row>
    <row r="258" spans="1:72" x14ac:dyDescent="0.25">
      <c r="A258" t="s">
        <v>72</v>
      </c>
      <c r="B258" t="s">
        <v>5381</v>
      </c>
      <c r="C258" t="s">
        <v>74</v>
      </c>
      <c r="D258" t="s">
        <v>74</v>
      </c>
      <c r="E258" t="s">
        <v>74</v>
      </c>
      <c r="F258" t="s">
        <v>5382</v>
      </c>
      <c r="G258" t="s">
        <v>74</v>
      </c>
      <c r="H258" t="s">
        <v>74</v>
      </c>
      <c r="I258" s="1" t="s">
        <v>5383</v>
      </c>
      <c r="J258" t="s">
        <v>5384</v>
      </c>
      <c r="K258" t="s">
        <v>74</v>
      </c>
      <c r="L258" t="s">
        <v>74</v>
      </c>
      <c r="M258" t="s">
        <v>78</v>
      </c>
      <c r="N258" t="s">
        <v>79</v>
      </c>
      <c r="O258" t="s">
        <v>74</v>
      </c>
      <c r="P258" t="s">
        <v>74</v>
      </c>
      <c r="Q258" t="s">
        <v>74</v>
      </c>
      <c r="R258" t="s">
        <v>74</v>
      </c>
      <c r="S258" t="s">
        <v>74</v>
      </c>
      <c r="T258" s="1" t="s">
        <v>5385</v>
      </c>
      <c r="U258" s="1" t="s">
        <v>5386</v>
      </c>
      <c r="V258" s="1" t="s">
        <v>5387</v>
      </c>
      <c r="W258" t="s">
        <v>5388</v>
      </c>
      <c r="X258" t="s">
        <v>5389</v>
      </c>
      <c r="Y258" t="s">
        <v>5390</v>
      </c>
      <c r="Z258" t="s">
        <v>74</v>
      </c>
      <c r="AA258" t="s">
        <v>74</v>
      </c>
      <c r="AB258" t="s">
        <v>74</v>
      </c>
      <c r="AC258" t="s">
        <v>74</v>
      </c>
      <c r="AD258" t="s">
        <v>74</v>
      </c>
      <c r="AE258" t="s">
        <v>74</v>
      </c>
      <c r="AF258" t="s">
        <v>74</v>
      </c>
      <c r="AG258">
        <v>44</v>
      </c>
      <c r="AH258">
        <v>4</v>
      </c>
      <c r="AI258">
        <v>4</v>
      </c>
      <c r="AJ258">
        <v>6</v>
      </c>
      <c r="AK258">
        <v>41</v>
      </c>
      <c r="AL258" t="s">
        <v>5391</v>
      </c>
      <c r="AM258" t="s">
        <v>4645</v>
      </c>
      <c r="AN258" t="s">
        <v>5392</v>
      </c>
      <c r="AO258" t="s">
        <v>5393</v>
      </c>
      <c r="AP258" t="s">
        <v>74</v>
      </c>
      <c r="AQ258" t="s">
        <v>74</v>
      </c>
      <c r="AR258" t="s">
        <v>5394</v>
      </c>
      <c r="AS258" t="s">
        <v>5395</v>
      </c>
      <c r="AT258" t="s">
        <v>5396</v>
      </c>
      <c r="AU258">
        <v>2021</v>
      </c>
      <c r="AV258">
        <v>23</v>
      </c>
      <c r="AW258">
        <v>2</v>
      </c>
      <c r="AX258" t="s">
        <v>74</v>
      </c>
      <c r="AY258" t="s">
        <v>74</v>
      </c>
      <c r="AZ258" t="s">
        <v>74</v>
      </c>
      <c r="BA258" t="s">
        <v>74</v>
      </c>
      <c r="BB258">
        <v>56</v>
      </c>
      <c r="BC258">
        <v>74</v>
      </c>
      <c r="BD258" t="s">
        <v>74</v>
      </c>
      <c r="BE258" t="s">
        <v>74</v>
      </c>
      <c r="BF258" t="s">
        <v>74</v>
      </c>
      <c r="BG258" t="s">
        <v>74</v>
      </c>
      <c r="BH258" t="s">
        <v>74</v>
      </c>
      <c r="BI258">
        <v>19</v>
      </c>
      <c r="BJ258" t="s">
        <v>5397</v>
      </c>
      <c r="BK258" t="s">
        <v>4436</v>
      </c>
      <c r="BL258" t="s">
        <v>5398</v>
      </c>
      <c r="BM258" t="s">
        <v>5399</v>
      </c>
      <c r="BN258" t="s">
        <v>74</v>
      </c>
      <c r="BO258" t="s">
        <v>74</v>
      </c>
      <c r="BP258" t="s">
        <v>74</v>
      </c>
      <c r="BQ258" t="s">
        <v>74</v>
      </c>
      <c r="BR258" t="s">
        <v>106</v>
      </c>
      <c r="BS258" t="s">
        <v>5400</v>
      </c>
      <c r="BT258" t="str">
        <f>HYPERLINK("https%3A%2F%2Fwww.webofscience.com%2Fwos%2Fwoscc%2Ffull-record%2FWOS:000656931900006","View Full Record in Web of Science")</f>
        <v>View Full Record in Web of Science</v>
      </c>
    </row>
    <row r="259" spans="1:72" x14ac:dyDescent="0.25">
      <c r="A259" t="s">
        <v>72</v>
      </c>
      <c r="B259" t="s">
        <v>5401</v>
      </c>
      <c r="C259" t="s">
        <v>74</v>
      </c>
      <c r="D259" t="s">
        <v>74</v>
      </c>
      <c r="E259" t="s">
        <v>74</v>
      </c>
      <c r="F259" t="s">
        <v>5402</v>
      </c>
      <c r="G259" t="s">
        <v>74</v>
      </c>
      <c r="H259" t="s">
        <v>74</v>
      </c>
      <c r="I259" s="1" t="s">
        <v>5403</v>
      </c>
      <c r="J259" t="s">
        <v>5404</v>
      </c>
      <c r="K259" t="s">
        <v>74</v>
      </c>
      <c r="L259" t="s">
        <v>74</v>
      </c>
      <c r="M259" t="s">
        <v>78</v>
      </c>
      <c r="N259" t="s">
        <v>79</v>
      </c>
      <c r="O259" t="s">
        <v>74</v>
      </c>
      <c r="P259" t="s">
        <v>74</v>
      </c>
      <c r="Q259" t="s">
        <v>74</v>
      </c>
      <c r="R259" t="s">
        <v>74</v>
      </c>
      <c r="S259" t="s">
        <v>74</v>
      </c>
      <c r="T259" s="1" t="s">
        <v>5405</v>
      </c>
      <c r="U259" s="1" t="s">
        <v>5406</v>
      </c>
      <c r="V259" s="1" t="s">
        <v>5407</v>
      </c>
      <c r="W259" t="s">
        <v>5408</v>
      </c>
      <c r="X259" t="s">
        <v>5409</v>
      </c>
      <c r="Y259" t="s">
        <v>5410</v>
      </c>
      <c r="Z259" t="s">
        <v>5411</v>
      </c>
      <c r="AA259" t="s">
        <v>74</v>
      </c>
      <c r="AB259" t="s">
        <v>74</v>
      </c>
      <c r="AC259" t="s">
        <v>5412</v>
      </c>
      <c r="AD259" t="s">
        <v>5412</v>
      </c>
      <c r="AE259" t="s">
        <v>5413</v>
      </c>
      <c r="AF259" t="s">
        <v>74</v>
      </c>
      <c r="AG259">
        <v>43</v>
      </c>
      <c r="AH259">
        <v>4</v>
      </c>
      <c r="AI259">
        <v>4</v>
      </c>
      <c r="AJ259">
        <v>9</v>
      </c>
      <c r="AK259">
        <v>67</v>
      </c>
      <c r="AL259" t="s">
        <v>5414</v>
      </c>
      <c r="AM259" t="s">
        <v>5415</v>
      </c>
      <c r="AN259" t="s">
        <v>5416</v>
      </c>
      <c r="AO259" t="s">
        <v>5417</v>
      </c>
      <c r="AP259" t="s">
        <v>5418</v>
      </c>
      <c r="AQ259" t="s">
        <v>74</v>
      </c>
      <c r="AR259" t="s">
        <v>5419</v>
      </c>
      <c r="AS259" t="s">
        <v>5420</v>
      </c>
      <c r="AT259" t="s">
        <v>476</v>
      </c>
      <c r="AU259">
        <v>2021</v>
      </c>
      <c r="AV259">
        <v>12</v>
      </c>
      <c r="AW259">
        <v>4</v>
      </c>
      <c r="AX259" t="s">
        <v>74</v>
      </c>
      <c r="AY259" t="s">
        <v>74</v>
      </c>
      <c r="AZ259" t="s">
        <v>74</v>
      </c>
      <c r="BA259" t="s">
        <v>74</v>
      </c>
      <c r="BB259">
        <v>133</v>
      </c>
      <c r="BC259">
        <v>143</v>
      </c>
      <c r="BD259" t="s">
        <v>74</v>
      </c>
      <c r="BE259" t="s">
        <v>5421</v>
      </c>
      <c r="BF259" t="str">
        <f>HYPERLINK("http://dx.doi.org/10.24425/mper.2021.140001","http://dx.doi.org/10.24425/mper.2021.140001")</f>
        <v>http://dx.doi.org/10.24425/mper.2021.140001</v>
      </c>
      <c r="BG259" t="s">
        <v>74</v>
      </c>
      <c r="BH259" t="s">
        <v>74</v>
      </c>
      <c r="BI259">
        <v>11</v>
      </c>
      <c r="BJ259" t="s">
        <v>2449</v>
      </c>
      <c r="BK259" t="s">
        <v>183</v>
      </c>
      <c r="BL259" t="s">
        <v>1685</v>
      </c>
      <c r="BM259" t="s">
        <v>5422</v>
      </c>
      <c r="BN259" t="s">
        <v>74</v>
      </c>
      <c r="BO259" t="s">
        <v>186</v>
      </c>
      <c r="BP259" t="s">
        <v>74</v>
      </c>
      <c r="BQ259" t="s">
        <v>74</v>
      </c>
      <c r="BR259" t="s">
        <v>106</v>
      </c>
      <c r="BS259" t="s">
        <v>5423</v>
      </c>
      <c r="BT259" t="str">
        <f>HYPERLINK("https%3A%2F%2Fwww.webofscience.com%2Fwos%2Fwoscc%2Ffull-record%2FWOS:000748389200012","View Full Record in Web of Science")</f>
        <v>View Full Record in Web of Science</v>
      </c>
    </row>
    <row r="260" spans="1:72" x14ac:dyDescent="0.25">
      <c r="A260" t="s">
        <v>72</v>
      </c>
      <c r="B260" t="s">
        <v>5607</v>
      </c>
      <c r="C260" t="s">
        <v>74</v>
      </c>
      <c r="D260" t="s">
        <v>74</v>
      </c>
      <c r="E260" t="s">
        <v>74</v>
      </c>
      <c r="F260" t="s">
        <v>5608</v>
      </c>
      <c r="G260" t="s">
        <v>74</v>
      </c>
      <c r="H260" t="s">
        <v>74</v>
      </c>
      <c r="I260" s="1" t="s">
        <v>5609</v>
      </c>
      <c r="J260" t="s">
        <v>5610</v>
      </c>
      <c r="K260" t="s">
        <v>74</v>
      </c>
      <c r="L260" t="s">
        <v>74</v>
      </c>
      <c r="M260" t="s">
        <v>78</v>
      </c>
      <c r="N260" t="s">
        <v>79</v>
      </c>
      <c r="O260" t="s">
        <v>74</v>
      </c>
      <c r="P260" t="s">
        <v>74</v>
      </c>
      <c r="Q260" t="s">
        <v>74</v>
      </c>
      <c r="R260" t="s">
        <v>74</v>
      </c>
      <c r="S260" t="s">
        <v>74</v>
      </c>
      <c r="T260" s="1" t="s">
        <v>5611</v>
      </c>
      <c r="U260" s="1" t="s">
        <v>74</v>
      </c>
      <c r="V260" s="1" t="s">
        <v>5612</v>
      </c>
      <c r="W260" t="s">
        <v>5613</v>
      </c>
      <c r="X260" t="s">
        <v>5614</v>
      </c>
      <c r="Y260" t="s">
        <v>5615</v>
      </c>
      <c r="Z260" t="s">
        <v>74</v>
      </c>
      <c r="AA260" t="s">
        <v>74</v>
      </c>
      <c r="AB260" t="s">
        <v>74</v>
      </c>
      <c r="AC260" t="s">
        <v>5616</v>
      </c>
      <c r="AD260" t="s">
        <v>5617</v>
      </c>
      <c r="AE260" t="s">
        <v>5618</v>
      </c>
      <c r="AF260" t="s">
        <v>74</v>
      </c>
      <c r="AG260">
        <v>20</v>
      </c>
      <c r="AH260">
        <v>4</v>
      </c>
      <c r="AI260">
        <v>4</v>
      </c>
      <c r="AJ260">
        <v>1</v>
      </c>
      <c r="AK260">
        <v>12</v>
      </c>
      <c r="AL260" t="s">
        <v>492</v>
      </c>
      <c r="AM260" t="s">
        <v>493</v>
      </c>
      <c r="AN260" t="s">
        <v>494</v>
      </c>
      <c r="AO260" t="s">
        <v>5619</v>
      </c>
      <c r="AP260" t="s">
        <v>5620</v>
      </c>
      <c r="AQ260" t="s">
        <v>74</v>
      </c>
      <c r="AR260" t="s">
        <v>5621</v>
      </c>
      <c r="AS260" t="s">
        <v>5622</v>
      </c>
      <c r="AT260" t="s">
        <v>1019</v>
      </c>
      <c r="AU260">
        <v>2021</v>
      </c>
      <c r="AV260">
        <v>46</v>
      </c>
      <c r="AW260">
        <v>4</v>
      </c>
      <c r="AX260" t="s">
        <v>74</v>
      </c>
      <c r="AY260" t="s">
        <v>74</v>
      </c>
      <c r="AZ260" t="s">
        <v>1020</v>
      </c>
      <c r="BA260" t="s">
        <v>74</v>
      </c>
      <c r="BB260">
        <v>493</v>
      </c>
      <c r="BC260">
        <v>508</v>
      </c>
      <c r="BD260" t="s">
        <v>74</v>
      </c>
      <c r="BE260" t="s">
        <v>5623</v>
      </c>
      <c r="BF260" t="str">
        <f>HYPERLINK("http://dx.doi.org/10.1080/10598650.2021.1974235","http://dx.doi.org/10.1080/10598650.2021.1974235")</f>
        <v>http://dx.doi.org/10.1080/10598650.2021.1974235</v>
      </c>
      <c r="BG260" t="s">
        <v>74</v>
      </c>
      <c r="BH260" t="s">
        <v>74</v>
      </c>
      <c r="BI260">
        <v>16</v>
      </c>
      <c r="BJ260" t="s">
        <v>1326</v>
      </c>
      <c r="BK260" t="s">
        <v>183</v>
      </c>
      <c r="BL260" t="s">
        <v>1326</v>
      </c>
      <c r="BM260" t="s">
        <v>5624</v>
      </c>
      <c r="BN260" t="s">
        <v>74</v>
      </c>
      <c r="BO260" t="s">
        <v>1539</v>
      </c>
      <c r="BP260" t="s">
        <v>74</v>
      </c>
      <c r="BQ260" t="s">
        <v>74</v>
      </c>
      <c r="BR260" t="s">
        <v>106</v>
      </c>
      <c r="BS260" t="s">
        <v>5625</v>
      </c>
      <c r="BT260" t="str">
        <f>HYPERLINK("https%3A%2F%2Fwww.webofscience.com%2Fwos%2Fwoscc%2Ffull-record%2FWOS:000725287500010","View Full Record in Web of Science")</f>
        <v>View Full Record in Web of Science</v>
      </c>
    </row>
    <row r="261" spans="1:72" x14ac:dyDescent="0.25">
      <c r="A261" t="s">
        <v>72</v>
      </c>
      <c r="B261" t="s">
        <v>7127</v>
      </c>
      <c r="C261" t="s">
        <v>74</v>
      </c>
      <c r="D261" t="s">
        <v>74</v>
      </c>
      <c r="E261" t="s">
        <v>74</v>
      </c>
      <c r="F261" t="s">
        <v>7128</v>
      </c>
      <c r="G261" t="s">
        <v>74</v>
      </c>
      <c r="H261" t="s">
        <v>74</v>
      </c>
      <c r="I261" s="1" t="s">
        <v>7129</v>
      </c>
      <c r="J261" t="s">
        <v>820</v>
      </c>
      <c r="K261" t="s">
        <v>74</v>
      </c>
      <c r="L261" t="s">
        <v>74</v>
      </c>
      <c r="M261" t="s">
        <v>78</v>
      </c>
      <c r="N261" t="s">
        <v>79</v>
      </c>
      <c r="O261" t="s">
        <v>74</v>
      </c>
      <c r="P261" t="s">
        <v>74</v>
      </c>
      <c r="Q261" t="s">
        <v>74</v>
      </c>
      <c r="R261" t="s">
        <v>74</v>
      </c>
      <c r="S261" t="s">
        <v>74</v>
      </c>
      <c r="T261" s="1" t="s">
        <v>7130</v>
      </c>
      <c r="U261" s="1" t="s">
        <v>7131</v>
      </c>
      <c r="V261" s="1" t="s">
        <v>7132</v>
      </c>
      <c r="W261" t="s">
        <v>7133</v>
      </c>
      <c r="X261" t="s">
        <v>7134</v>
      </c>
      <c r="Y261" t="s">
        <v>2633</v>
      </c>
      <c r="Z261" t="s">
        <v>2634</v>
      </c>
      <c r="AA261" t="s">
        <v>7135</v>
      </c>
      <c r="AB261" t="s">
        <v>7136</v>
      </c>
      <c r="AC261" t="s">
        <v>2637</v>
      </c>
      <c r="AD261" t="s">
        <v>2637</v>
      </c>
      <c r="AE261" t="s">
        <v>7137</v>
      </c>
      <c r="AF261" t="s">
        <v>74</v>
      </c>
      <c r="AG261">
        <v>53</v>
      </c>
      <c r="AH261">
        <v>4</v>
      </c>
      <c r="AI261">
        <v>4</v>
      </c>
      <c r="AJ261">
        <v>0</v>
      </c>
      <c r="AK261">
        <v>1</v>
      </c>
      <c r="AL261" t="s">
        <v>833</v>
      </c>
      <c r="AM261" t="s">
        <v>175</v>
      </c>
      <c r="AN261" t="s">
        <v>834</v>
      </c>
      <c r="AO261" t="s">
        <v>835</v>
      </c>
      <c r="AP261" t="s">
        <v>74</v>
      </c>
      <c r="AQ261" t="s">
        <v>74</v>
      </c>
      <c r="AR261" t="s">
        <v>820</v>
      </c>
      <c r="AS261" t="s">
        <v>836</v>
      </c>
      <c r="AT261" t="s">
        <v>74</v>
      </c>
      <c r="AU261">
        <v>2021</v>
      </c>
      <c r="AV261">
        <v>11</v>
      </c>
      <c r="AW261">
        <v>9</v>
      </c>
      <c r="AX261" t="s">
        <v>74</v>
      </c>
      <c r="AY261" t="s">
        <v>74</v>
      </c>
      <c r="AZ261" t="s">
        <v>74</v>
      </c>
      <c r="BA261" t="s">
        <v>74</v>
      </c>
      <c r="BB261" t="s">
        <v>74</v>
      </c>
      <c r="BC261" t="s">
        <v>74</v>
      </c>
      <c r="BD261" t="s">
        <v>7138</v>
      </c>
      <c r="BE261" t="s">
        <v>7139</v>
      </c>
      <c r="BF261" t="str">
        <f>HYPERLINK("http://dx.doi.org/10.1136/bmjopen-2021-049836","http://dx.doi.org/10.1136/bmjopen-2021-049836")</f>
        <v>http://dx.doi.org/10.1136/bmjopen-2021-049836</v>
      </c>
      <c r="BG261" t="s">
        <v>74</v>
      </c>
      <c r="BH261" t="s">
        <v>74</v>
      </c>
      <c r="BI261">
        <v>10</v>
      </c>
      <c r="BJ261" t="s">
        <v>840</v>
      </c>
      <c r="BK261" t="s">
        <v>211</v>
      </c>
      <c r="BL261" t="s">
        <v>841</v>
      </c>
      <c r="BM261" t="s">
        <v>7140</v>
      </c>
      <c r="BN261">
        <v>34475175</v>
      </c>
      <c r="BO261" t="s">
        <v>7141</v>
      </c>
      <c r="BP261" t="s">
        <v>74</v>
      </c>
      <c r="BQ261" t="s">
        <v>74</v>
      </c>
      <c r="BR261" t="s">
        <v>106</v>
      </c>
      <c r="BS261" t="s">
        <v>7142</v>
      </c>
      <c r="BT261" t="str">
        <f>HYPERLINK("https%3A%2F%2Fwww.webofscience.com%2Fwos%2Fwoscc%2Ffull-record%2FWOS:000773615100036","View Full Record in Web of Science")</f>
        <v>View Full Record in Web of Science</v>
      </c>
    </row>
    <row r="262" spans="1:72" x14ac:dyDescent="0.25">
      <c r="A262" t="s">
        <v>72</v>
      </c>
      <c r="B262" t="s">
        <v>7143</v>
      </c>
      <c r="C262" t="s">
        <v>74</v>
      </c>
      <c r="D262" t="s">
        <v>74</v>
      </c>
      <c r="E262" t="s">
        <v>74</v>
      </c>
      <c r="F262" t="s">
        <v>7144</v>
      </c>
      <c r="G262" t="s">
        <v>74</v>
      </c>
      <c r="H262" t="s">
        <v>74</v>
      </c>
      <c r="I262" s="1" t="s">
        <v>7145</v>
      </c>
      <c r="J262" t="s">
        <v>7146</v>
      </c>
      <c r="K262" t="s">
        <v>74</v>
      </c>
      <c r="L262" t="s">
        <v>74</v>
      </c>
      <c r="M262" t="s">
        <v>929</v>
      </c>
      <c r="N262" t="s">
        <v>79</v>
      </c>
      <c r="O262" t="s">
        <v>74</v>
      </c>
      <c r="P262" t="s">
        <v>74</v>
      </c>
      <c r="Q262" t="s">
        <v>74</v>
      </c>
      <c r="R262" t="s">
        <v>74</v>
      </c>
      <c r="S262" t="s">
        <v>74</v>
      </c>
      <c r="T262" s="1" t="s">
        <v>7147</v>
      </c>
      <c r="U262" s="1" t="s">
        <v>74</v>
      </c>
      <c r="V262" s="1" t="s">
        <v>7148</v>
      </c>
      <c r="W262" t="s">
        <v>7149</v>
      </c>
      <c r="X262" t="s">
        <v>7150</v>
      </c>
      <c r="Y262" t="s">
        <v>7151</v>
      </c>
      <c r="Z262" t="s">
        <v>7152</v>
      </c>
      <c r="AA262" t="s">
        <v>7153</v>
      </c>
      <c r="AB262" t="s">
        <v>7154</v>
      </c>
      <c r="AC262" t="s">
        <v>74</v>
      </c>
      <c r="AD262" t="s">
        <v>74</v>
      </c>
      <c r="AE262" t="s">
        <v>74</v>
      </c>
      <c r="AF262" t="s">
        <v>74</v>
      </c>
      <c r="AG262">
        <v>26</v>
      </c>
      <c r="AH262">
        <v>4</v>
      </c>
      <c r="AI262">
        <v>5</v>
      </c>
      <c r="AJ262">
        <v>0</v>
      </c>
      <c r="AK262">
        <v>15</v>
      </c>
      <c r="AL262" t="s">
        <v>5192</v>
      </c>
      <c r="AM262" t="s">
        <v>4514</v>
      </c>
      <c r="AN262" t="s">
        <v>5193</v>
      </c>
      <c r="AO262" t="s">
        <v>7155</v>
      </c>
      <c r="AP262" t="s">
        <v>74</v>
      </c>
      <c r="AQ262" t="s">
        <v>74</v>
      </c>
      <c r="AR262" t="s">
        <v>7156</v>
      </c>
      <c r="AS262" t="s">
        <v>7157</v>
      </c>
      <c r="AT262" t="s">
        <v>74</v>
      </c>
      <c r="AU262">
        <v>2021</v>
      </c>
      <c r="AV262" t="s">
        <v>74</v>
      </c>
      <c r="AW262">
        <v>154</v>
      </c>
      <c r="AX262" t="s">
        <v>74</v>
      </c>
      <c r="AY262" t="s">
        <v>74</v>
      </c>
      <c r="AZ262" t="s">
        <v>74</v>
      </c>
      <c r="BA262" t="s">
        <v>74</v>
      </c>
      <c r="BB262" t="s">
        <v>74</v>
      </c>
      <c r="BC262" t="s">
        <v>74</v>
      </c>
      <c r="BD262" t="s">
        <v>74</v>
      </c>
      <c r="BE262" t="s">
        <v>7158</v>
      </c>
      <c r="BF262" t="str">
        <f>HYPERLINK("http://dx.doi.org/10.15178/va.2021.154.e1261","http://dx.doi.org/10.15178/va.2021.154.e1261")</f>
        <v>http://dx.doi.org/10.15178/va.2021.154.e1261</v>
      </c>
      <c r="BG262" t="s">
        <v>74</v>
      </c>
      <c r="BH262" t="s">
        <v>74</v>
      </c>
      <c r="BI262">
        <v>23</v>
      </c>
      <c r="BJ262" t="s">
        <v>2218</v>
      </c>
      <c r="BK262" t="s">
        <v>183</v>
      </c>
      <c r="BL262" t="s">
        <v>2218</v>
      </c>
      <c r="BM262" t="s">
        <v>7159</v>
      </c>
      <c r="BN262" t="s">
        <v>74</v>
      </c>
      <c r="BO262" t="s">
        <v>2162</v>
      </c>
      <c r="BP262" t="s">
        <v>74</v>
      </c>
      <c r="BQ262" t="s">
        <v>74</v>
      </c>
      <c r="BR262" t="s">
        <v>106</v>
      </c>
      <c r="BS262" t="s">
        <v>7160</v>
      </c>
      <c r="BT262" t="str">
        <f>HYPERLINK("https%3A%2F%2Fwww.webofscience.com%2Fwos%2Fwoscc%2Ffull-record%2FWOS:000656229300013","View Full Record in Web of Science")</f>
        <v>View Full Record in Web of Science</v>
      </c>
    </row>
    <row r="263" spans="1:72" x14ac:dyDescent="0.25">
      <c r="A263" t="s">
        <v>72</v>
      </c>
      <c r="B263" t="s">
        <v>7328</v>
      </c>
      <c r="C263" t="s">
        <v>74</v>
      </c>
      <c r="D263" t="s">
        <v>74</v>
      </c>
      <c r="E263" t="s">
        <v>74</v>
      </c>
      <c r="F263" t="s">
        <v>7329</v>
      </c>
      <c r="G263" t="s">
        <v>74</v>
      </c>
      <c r="H263" t="s">
        <v>74</v>
      </c>
      <c r="I263" s="1" t="s">
        <v>7330</v>
      </c>
      <c r="J263" t="s">
        <v>7331</v>
      </c>
      <c r="K263" t="s">
        <v>74</v>
      </c>
      <c r="L263" t="s">
        <v>74</v>
      </c>
      <c r="M263" t="s">
        <v>78</v>
      </c>
      <c r="N263" t="s">
        <v>79</v>
      </c>
      <c r="O263" t="s">
        <v>74</v>
      </c>
      <c r="P263" t="s">
        <v>74</v>
      </c>
      <c r="Q263" t="s">
        <v>74</v>
      </c>
      <c r="R263" t="s">
        <v>74</v>
      </c>
      <c r="S263" t="s">
        <v>74</v>
      </c>
      <c r="T263" s="1" t="s">
        <v>7332</v>
      </c>
      <c r="U263" s="1" t="s">
        <v>7333</v>
      </c>
      <c r="V263" s="1" t="s">
        <v>7334</v>
      </c>
      <c r="W263" t="s">
        <v>7335</v>
      </c>
      <c r="X263" t="s">
        <v>7336</v>
      </c>
      <c r="Y263" t="s">
        <v>7337</v>
      </c>
      <c r="Z263" t="s">
        <v>7338</v>
      </c>
      <c r="AA263" t="s">
        <v>7339</v>
      </c>
      <c r="AB263" t="s">
        <v>7340</v>
      </c>
      <c r="AC263" t="s">
        <v>7341</v>
      </c>
      <c r="AD263" t="s">
        <v>7342</v>
      </c>
      <c r="AE263" t="s">
        <v>7343</v>
      </c>
      <c r="AF263" t="s">
        <v>74</v>
      </c>
      <c r="AG263">
        <v>57</v>
      </c>
      <c r="AH263">
        <v>4</v>
      </c>
      <c r="AI263">
        <v>4</v>
      </c>
      <c r="AJ263">
        <v>6</v>
      </c>
      <c r="AK263">
        <v>55</v>
      </c>
      <c r="AL263" t="s">
        <v>7344</v>
      </c>
      <c r="AM263" t="s">
        <v>7345</v>
      </c>
      <c r="AN263" t="s">
        <v>7346</v>
      </c>
      <c r="AO263" t="s">
        <v>7347</v>
      </c>
      <c r="AP263" t="s">
        <v>74</v>
      </c>
      <c r="AQ263" t="s">
        <v>74</v>
      </c>
      <c r="AR263" t="s">
        <v>7348</v>
      </c>
      <c r="AS263" t="s">
        <v>7349</v>
      </c>
      <c r="AT263" t="s">
        <v>74</v>
      </c>
      <c r="AU263">
        <v>2021</v>
      </c>
      <c r="AV263">
        <v>24</v>
      </c>
      <c r="AW263">
        <v>1</v>
      </c>
      <c r="AX263" t="s">
        <v>74</v>
      </c>
      <c r="AY263" t="s">
        <v>74</v>
      </c>
      <c r="AZ263" t="s">
        <v>74</v>
      </c>
      <c r="BA263" t="s">
        <v>74</v>
      </c>
      <c r="BB263">
        <v>306</v>
      </c>
      <c r="BC263">
        <v>321</v>
      </c>
      <c r="BD263" t="s">
        <v>74</v>
      </c>
      <c r="BE263" t="s">
        <v>7350</v>
      </c>
      <c r="BF263" t="str">
        <f>HYPERLINK("http://dx.doi.org/10.17512/pjms.2021.24.1.18","http://dx.doi.org/10.17512/pjms.2021.24.1.18")</f>
        <v>http://dx.doi.org/10.17512/pjms.2021.24.1.18</v>
      </c>
      <c r="BG263" t="s">
        <v>74</v>
      </c>
      <c r="BH263" t="s">
        <v>74</v>
      </c>
      <c r="BI263">
        <v>16</v>
      </c>
      <c r="BJ263" t="s">
        <v>315</v>
      </c>
      <c r="BK263" t="s">
        <v>183</v>
      </c>
      <c r="BL263" t="s">
        <v>265</v>
      </c>
      <c r="BM263" t="s">
        <v>7351</v>
      </c>
      <c r="BN263" t="s">
        <v>74</v>
      </c>
      <c r="BO263" t="s">
        <v>186</v>
      </c>
      <c r="BP263" t="s">
        <v>74</v>
      </c>
      <c r="BQ263" t="s">
        <v>74</v>
      </c>
      <c r="BR263" t="s">
        <v>106</v>
      </c>
      <c r="BS263" t="s">
        <v>7352</v>
      </c>
      <c r="BT263" t="str">
        <f>HYPERLINK("https%3A%2F%2Fwww.webofscience.com%2Fwos%2Fwoscc%2Ffull-record%2FWOS:000753848000018","View Full Record in Web of Science")</f>
        <v>View Full Record in Web of Science</v>
      </c>
    </row>
    <row r="264" spans="1:72" x14ac:dyDescent="0.25">
      <c r="A264" t="s">
        <v>72</v>
      </c>
      <c r="B264" t="s">
        <v>7744</v>
      </c>
      <c r="C264" t="s">
        <v>74</v>
      </c>
      <c r="D264" t="s">
        <v>74</v>
      </c>
      <c r="E264" t="s">
        <v>74</v>
      </c>
      <c r="F264" t="s">
        <v>7745</v>
      </c>
      <c r="G264" t="s">
        <v>74</v>
      </c>
      <c r="H264" t="s">
        <v>74</v>
      </c>
      <c r="I264" s="1" t="s">
        <v>7746</v>
      </c>
      <c r="J264" t="s">
        <v>7747</v>
      </c>
      <c r="K264" t="s">
        <v>74</v>
      </c>
      <c r="L264" t="s">
        <v>74</v>
      </c>
      <c r="M264" t="s">
        <v>7748</v>
      </c>
      <c r="N264" t="s">
        <v>79</v>
      </c>
      <c r="O264" t="s">
        <v>74</v>
      </c>
      <c r="P264" t="s">
        <v>74</v>
      </c>
      <c r="Q264" t="s">
        <v>74</v>
      </c>
      <c r="R264" t="s">
        <v>74</v>
      </c>
      <c r="S264" t="s">
        <v>74</v>
      </c>
      <c r="T264" s="1" t="s">
        <v>7749</v>
      </c>
      <c r="U264" s="1" t="s">
        <v>74</v>
      </c>
      <c r="V264" s="1" t="s">
        <v>7750</v>
      </c>
      <c r="W264" t="s">
        <v>7751</v>
      </c>
      <c r="X264" t="s">
        <v>7752</v>
      </c>
      <c r="Y264" t="s">
        <v>7753</v>
      </c>
      <c r="Z264" t="s">
        <v>7754</v>
      </c>
      <c r="AA264" t="s">
        <v>74</v>
      </c>
      <c r="AB264" t="s">
        <v>74</v>
      </c>
      <c r="AC264" t="s">
        <v>74</v>
      </c>
      <c r="AD264" t="s">
        <v>74</v>
      </c>
      <c r="AE264" t="s">
        <v>74</v>
      </c>
      <c r="AF264" t="s">
        <v>74</v>
      </c>
      <c r="AG264">
        <v>32</v>
      </c>
      <c r="AH264">
        <v>4</v>
      </c>
      <c r="AI264">
        <v>4</v>
      </c>
      <c r="AJ264">
        <v>6</v>
      </c>
      <c r="AK264">
        <v>66</v>
      </c>
      <c r="AL264" t="s">
        <v>7755</v>
      </c>
      <c r="AM264" t="s">
        <v>7756</v>
      </c>
      <c r="AN264" t="s">
        <v>7757</v>
      </c>
      <c r="AO264" t="s">
        <v>7758</v>
      </c>
      <c r="AP264" t="s">
        <v>74</v>
      </c>
      <c r="AQ264" t="s">
        <v>74</v>
      </c>
      <c r="AR264" t="s">
        <v>7759</v>
      </c>
      <c r="AS264" t="s">
        <v>7760</v>
      </c>
      <c r="AT264" t="s">
        <v>356</v>
      </c>
      <c r="AU264">
        <v>2020</v>
      </c>
      <c r="AV264">
        <v>60</v>
      </c>
      <c r="AW264">
        <v>3</v>
      </c>
      <c r="AX264" t="s">
        <v>74</v>
      </c>
      <c r="AY264" t="s">
        <v>74</v>
      </c>
      <c r="AZ264" t="s">
        <v>74</v>
      </c>
      <c r="BA264" t="s">
        <v>74</v>
      </c>
      <c r="BB264">
        <v>687</v>
      </c>
      <c r="BC264">
        <v>707</v>
      </c>
      <c r="BD264" t="s">
        <v>74</v>
      </c>
      <c r="BE264" t="s">
        <v>7761</v>
      </c>
      <c r="BF264" t="str">
        <f>HYPERLINK("http://dx.doi.org/10.17159/2224-7912/2020/v60n3a8","http://dx.doi.org/10.17159/2224-7912/2020/v60n3a8")</f>
        <v>http://dx.doi.org/10.17159/2224-7912/2020/v60n3a8</v>
      </c>
      <c r="BG264" t="s">
        <v>74</v>
      </c>
      <c r="BH264" t="s">
        <v>74</v>
      </c>
      <c r="BI264">
        <v>21</v>
      </c>
      <c r="BJ264" t="s">
        <v>7762</v>
      </c>
      <c r="BK264" t="s">
        <v>156</v>
      </c>
      <c r="BL264" t="s">
        <v>7762</v>
      </c>
      <c r="BM264" t="s">
        <v>7763</v>
      </c>
      <c r="BN264" t="s">
        <v>74</v>
      </c>
      <c r="BO264" t="s">
        <v>186</v>
      </c>
      <c r="BP264" t="s">
        <v>74</v>
      </c>
      <c r="BQ264" t="s">
        <v>74</v>
      </c>
      <c r="BR264" t="s">
        <v>106</v>
      </c>
      <c r="BS264" t="s">
        <v>7764</v>
      </c>
      <c r="BT264" t="str">
        <f>HYPERLINK("https%3A%2F%2Fwww.webofscience.com%2Fwos%2Fwoscc%2Ffull-record%2FWOS:000598503500008","View Full Record in Web of Science")</f>
        <v>View Full Record in Web of Science</v>
      </c>
    </row>
    <row r="265" spans="1:72" x14ac:dyDescent="0.25">
      <c r="A265" t="s">
        <v>72</v>
      </c>
      <c r="B265" t="s">
        <v>7935</v>
      </c>
      <c r="C265" t="s">
        <v>74</v>
      </c>
      <c r="D265" t="s">
        <v>74</v>
      </c>
      <c r="E265" t="s">
        <v>74</v>
      </c>
      <c r="F265" t="s">
        <v>7936</v>
      </c>
      <c r="G265" t="s">
        <v>74</v>
      </c>
      <c r="H265" t="s">
        <v>74</v>
      </c>
      <c r="I265" s="1" t="s">
        <v>7937</v>
      </c>
      <c r="J265" t="s">
        <v>7938</v>
      </c>
      <c r="K265" t="s">
        <v>74</v>
      </c>
      <c r="L265" t="s">
        <v>74</v>
      </c>
      <c r="M265" t="s">
        <v>78</v>
      </c>
      <c r="N265" t="s">
        <v>79</v>
      </c>
      <c r="O265" t="s">
        <v>74</v>
      </c>
      <c r="P265" t="s">
        <v>74</v>
      </c>
      <c r="Q265" t="s">
        <v>74</v>
      </c>
      <c r="R265" t="s">
        <v>74</v>
      </c>
      <c r="S265" t="s">
        <v>74</v>
      </c>
      <c r="T265" s="1" t="s">
        <v>74</v>
      </c>
      <c r="U265" s="1" t="s">
        <v>74</v>
      </c>
      <c r="V265" s="1" t="s">
        <v>7939</v>
      </c>
      <c r="W265" t="s">
        <v>7940</v>
      </c>
      <c r="X265" t="s">
        <v>7941</v>
      </c>
      <c r="Y265" t="s">
        <v>7942</v>
      </c>
      <c r="Z265" t="s">
        <v>7943</v>
      </c>
      <c r="AA265" t="s">
        <v>7944</v>
      </c>
      <c r="AB265" t="s">
        <v>74</v>
      </c>
      <c r="AC265" t="s">
        <v>7945</v>
      </c>
      <c r="AD265" t="s">
        <v>7946</v>
      </c>
      <c r="AE265" t="s">
        <v>7947</v>
      </c>
      <c r="AF265" t="s">
        <v>74</v>
      </c>
      <c r="AG265">
        <v>28</v>
      </c>
      <c r="AH265">
        <v>4</v>
      </c>
      <c r="AI265">
        <v>4</v>
      </c>
      <c r="AJ265">
        <v>4</v>
      </c>
      <c r="AK265">
        <v>64</v>
      </c>
      <c r="AL265" t="s">
        <v>1074</v>
      </c>
      <c r="AM265" t="s">
        <v>1075</v>
      </c>
      <c r="AN265" t="s">
        <v>1076</v>
      </c>
      <c r="AO265" t="s">
        <v>7948</v>
      </c>
      <c r="AP265" t="s">
        <v>7949</v>
      </c>
      <c r="AQ265" t="s">
        <v>74</v>
      </c>
      <c r="AR265" t="s">
        <v>7950</v>
      </c>
      <c r="AS265" t="s">
        <v>7951</v>
      </c>
      <c r="AT265" t="s">
        <v>1138</v>
      </c>
      <c r="AU265">
        <v>2020</v>
      </c>
      <c r="AV265">
        <v>2674</v>
      </c>
      <c r="AW265">
        <v>6</v>
      </c>
      <c r="AX265" t="s">
        <v>74</v>
      </c>
      <c r="AY265" t="s">
        <v>74</v>
      </c>
      <c r="AZ265" t="s">
        <v>74</v>
      </c>
      <c r="BA265" t="s">
        <v>74</v>
      </c>
      <c r="BB265">
        <v>98</v>
      </c>
      <c r="BC265">
        <v>112</v>
      </c>
      <c r="BD265">
        <v>361198120917971</v>
      </c>
      <c r="BE265" t="s">
        <v>7952</v>
      </c>
      <c r="BF265" t="str">
        <f>HYPERLINK("http://dx.doi.org/10.1177/0361198120917971","http://dx.doi.org/10.1177/0361198120917971")</f>
        <v>http://dx.doi.org/10.1177/0361198120917971</v>
      </c>
      <c r="BG265" t="s">
        <v>74</v>
      </c>
      <c r="BH265" t="s">
        <v>7953</v>
      </c>
      <c r="BI265">
        <v>15</v>
      </c>
      <c r="BJ265" t="s">
        <v>7954</v>
      </c>
      <c r="BK265" t="s">
        <v>102</v>
      </c>
      <c r="BL265" t="s">
        <v>7955</v>
      </c>
      <c r="BM265" t="s">
        <v>7956</v>
      </c>
      <c r="BN265" t="s">
        <v>74</v>
      </c>
      <c r="BO265" t="s">
        <v>74</v>
      </c>
      <c r="BP265" t="s">
        <v>74</v>
      </c>
      <c r="BQ265" t="s">
        <v>74</v>
      </c>
      <c r="BR265" t="s">
        <v>106</v>
      </c>
      <c r="BS265" t="s">
        <v>7957</v>
      </c>
      <c r="BT265" t="str">
        <f>HYPERLINK("https%3A%2F%2Fwww.webofscience.com%2Fwos%2Fwoscc%2Ffull-record%2FWOS:000535448500001","View Full Record in Web of Science")</f>
        <v>View Full Record in Web of Science</v>
      </c>
    </row>
    <row r="266" spans="1:72" x14ac:dyDescent="0.25">
      <c r="A266" t="s">
        <v>72</v>
      </c>
      <c r="B266" t="s">
        <v>8154</v>
      </c>
      <c r="C266" t="s">
        <v>74</v>
      </c>
      <c r="D266" t="s">
        <v>74</v>
      </c>
      <c r="E266" t="s">
        <v>74</v>
      </c>
      <c r="F266" t="s">
        <v>8155</v>
      </c>
      <c r="G266" t="s">
        <v>74</v>
      </c>
      <c r="H266" t="s">
        <v>74</v>
      </c>
      <c r="I266" s="1" t="s">
        <v>8156</v>
      </c>
      <c r="J266" t="s">
        <v>8157</v>
      </c>
      <c r="K266" t="s">
        <v>74</v>
      </c>
      <c r="L266" t="s">
        <v>74</v>
      </c>
      <c r="M266" t="s">
        <v>78</v>
      </c>
      <c r="N266" t="s">
        <v>79</v>
      </c>
      <c r="O266" t="s">
        <v>74</v>
      </c>
      <c r="P266" t="s">
        <v>74</v>
      </c>
      <c r="Q266" t="s">
        <v>74</v>
      </c>
      <c r="R266" t="s">
        <v>74</v>
      </c>
      <c r="S266" t="s">
        <v>74</v>
      </c>
      <c r="T266" s="1" t="s">
        <v>8158</v>
      </c>
      <c r="U266" s="1" t="s">
        <v>8159</v>
      </c>
      <c r="V266" s="1" t="s">
        <v>8160</v>
      </c>
      <c r="W266" t="s">
        <v>8161</v>
      </c>
      <c r="X266" t="s">
        <v>8162</v>
      </c>
      <c r="Y266" t="s">
        <v>8163</v>
      </c>
      <c r="Z266" t="s">
        <v>8164</v>
      </c>
      <c r="AA266" t="s">
        <v>8165</v>
      </c>
      <c r="AB266" t="s">
        <v>8166</v>
      </c>
      <c r="AC266" t="s">
        <v>8167</v>
      </c>
      <c r="AD266" t="s">
        <v>8168</v>
      </c>
      <c r="AE266" t="s">
        <v>8169</v>
      </c>
      <c r="AF266" t="s">
        <v>74</v>
      </c>
      <c r="AG266">
        <v>36</v>
      </c>
      <c r="AH266">
        <v>4</v>
      </c>
      <c r="AI266">
        <v>4</v>
      </c>
      <c r="AJ266">
        <v>1</v>
      </c>
      <c r="AK266">
        <v>10</v>
      </c>
      <c r="AL266" t="s">
        <v>8170</v>
      </c>
      <c r="AM266" t="s">
        <v>1383</v>
      </c>
      <c r="AN266" t="s">
        <v>8171</v>
      </c>
      <c r="AO266" t="s">
        <v>8172</v>
      </c>
      <c r="AP266" t="s">
        <v>8173</v>
      </c>
      <c r="AQ266" t="s">
        <v>74</v>
      </c>
      <c r="AR266" t="s">
        <v>8174</v>
      </c>
      <c r="AS266" t="s">
        <v>8175</v>
      </c>
      <c r="AT266" t="s">
        <v>1683</v>
      </c>
      <c r="AU266">
        <v>2020</v>
      </c>
      <c r="AV266">
        <v>180</v>
      </c>
      <c r="AW266" t="s">
        <v>74</v>
      </c>
      <c r="AX266" t="s">
        <v>74</v>
      </c>
      <c r="AY266" t="s">
        <v>74</v>
      </c>
      <c r="AZ266" t="s">
        <v>74</v>
      </c>
      <c r="BA266" t="s">
        <v>74</v>
      </c>
      <c r="BB266" t="s">
        <v>74</v>
      </c>
      <c r="BC266" t="s">
        <v>74</v>
      </c>
      <c r="BD266">
        <v>106121</v>
      </c>
      <c r="BE266" t="s">
        <v>8176</v>
      </c>
      <c r="BF266" t="str">
        <f>HYPERLINK("http://dx.doi.org/10.1016/j.epsr.2019.106121","http://dx.doi.org/10.1016/j.epsr.2019.106121")</f>
        <v>http://dx.doi.org/10.1016/j.epsr.2019.106121</v>
      </c>
      <c r="BG266" t="s">
        <v>74</v>
      </c>
      <c r="BH266" t="s">
        <v>74</v>
      </c>
      <c r="BI266">
        <v>13</v>
      </c>
      <c r="BJ266" t="s">
        <v>7483</v>
      </c>
      <c r="BK266" t="s">
        <v>102</v>
      </c>
      <c r="BL266" t="s">
        <v>1685</v>
      </c>
      <c r="BM266" t="s">
        <v>8177</v>
      </c>
      <c r="BN266" t="s">
        <v>74</v>
      </c>
      <c r="BO266" t="s">
        <v>74</v>
      </c>
      <c r="BP266" t="s">
        <v>74</v>
      </c>
      <c r="BQ266" t="s">
        <v>74</v>
      </c>
      <c r="BR266" t="s">
        <v>106</v>
      </c>
      <c r="BS266" t="s">
        <v>8178</v>
      </c>
      <c r="BT266" t="str">
        <f>HYPERLINK("https%3A%2F%2Fwww.webofscience.com%2Fwos%2Fwoscc%2Ffull-record%2FWOS:000514015200023","View Full Record in Web of Science")</f>
        <v>View Full Record in Web of Science</v>
      </c>
    </row>
    <row r="267" spans="1:72" x14ac:dyDescent="0.25">
      <c r="A267" t="s">
        <v>72</v>
      </c>
      <c r="B267" t="s">
        <v>8877</v>
      </c>
      <c r="C267" t="s">
        <v>74</v>
      </c>
      <c r="D267" t="s">
        <v>74</v>
      </c>
      <c r="E267" t="s">
        <v>74</v>
      </c>
      <c r="F267" t="s">
        <v>8878</v>
      </c>
      <c r="G267" t="s">
        <v>74</v>
      </c>
      <c r="H267" t="s">
        <v>74</v>
      </c>
      <c r="I267" s="1" t="s">
        <v>8879</v>
      </c>
      <c r="J267" t="s">
        <v>8880</v>
      </c>
      <c r="K267" t="s">
        <v>74</v>
      </c>
      <c r="L267" t="s">
        <v>74</v>
      </c>
      <c r="M267" t="s">
        <v>78</v>
      </c>
      <c r="N267" t="s">
        <v>79</v>
      </c>
      <c r="O267" t="s">
        <v>74</v>
      </c>
      <c r="P267" t="s">
        <v>74</v>
      </c>
      <c r="Q267" t="s">
        <v>74</v>
      </c>
      <c r="R267" t="s">
        <v>74</v>
      </c>
      <c r="S267" t="s">
        <v>74</v>
      </c>
      <c r="T267" s="1" t="s">
        <v>8881</v>
      </c>
      <c r="U267" s="1" t="s">
        <v>8882</v>
      </c>
      <c r="V267" s="1" t="s">
        <v>8883</v>
      </c>
      <c r="W267" t="s">
        <v>8884</v>
      </c>
      <c r="X267" t="s">
        <v>8885</v>
      </c>
      <c r="Y267" t="s">
        <v>8886</v>
      </c>
      <c r="Z267" t="s">
        <v>8887</v>
      </c>
      <c r="AA267" t="s">
        <v>74</v>
      </c>
      <c r="AB267" t="s">
        <v>8888</v>
      </c>
      <c r="AC267" t="s">
        <v>74</v>
      </c>
      <c r="AD267" t="s">
        <v>74</v>
      </c>
      <c r="AE267" t="s">
        <v>74</v>
      </c>
      <c r="AF267" t="s">
        <v>74</v>
      </c>
      <c r="AG267">
        <v>31</v>
      </c>
      <c r="AH267">
        <v>4</v>
      </c>
      <c r="AI267">
        <v>5</v>
      </c>
      <c r="AJ267">
        <v>2</v>
      </c>
      <c r="AK267">
        <v>18</v>
      </c>
      <c r="AL267" t="s">
        <v>1382</v>
      </c>
      <c r="AM267" t="s">
        <v>1383</v>
      </c>
      <c r="AN267" t="s">
        <v>1384</v>
      </c>
      <c r="AO267" t="s">
        <v>8889</v>
      </c>
      <c r="AP267" t="s">
        <v>74</v>
      </c>
      <c r="AQ267" t="s">
        <v>74</v>
      </c>
      <c r="AR267" t="s">
        <v>8890</v>
      </c>
      <c r="AS267" t="s">
        <v>8891</v>
      </c>
      <c r="AT267" t="s">
        <v>8892</v>
      </c>
      <c r="AU267">
        <v>2019</v>
      </c>
      <c r="AV267">
        <v>7</v>
      </c>
      <c r="AW267" t="s">
        <v>74</v>
      </c>
      <c r="AX267" t="s">
        <v>74</v>
      </c>
      <c r="AY267" t="s">
        <v>74</v>
      </c>
      <c r="AZ267" t="s">
        <v>74</v>
      </c>
      <c r="BA267" t="s">
        <v>74</v>
      </c>
      <c r="BB267" t="s">
        <v>74</v>
      </c>
      <c r="BC267" t="s">
        <v>74</v>
      </c>
      <c r="BD267">
        <v>210</v>
      </c>
      <c r="BE267" t="s">
        <v>8893</v>
      </c>
      <c r="BF267" t="str">
        <f>HYPERLINK("http://dx.doi.org/10.3389/fbioe.2019.00210","http://dx.doi.org/10.3389/fbioe.2019.00210")</f>
        <v>http://dx.doi.org/10.3389/fbioe.2019.00210</v>
      </c>
      <c r="BG267" t="s">
        <v>74</v>
      </c>
      <c r="BH267" t="s">
        <v>74</v>
      </c>
      <c r="BI267">
        <v>8</v>
      </c>
      <c r="BJ267" t="s">
        <v>8894</v>
      </c>
      <c r="BK267" t="s">
        <v>102</v>
      </c>
      <c r="BL267" t="s">
        <v>8895</v>
      </c>
      <c r="BM267" t="s">
        <v>8896</v>
      </c>
      <c r="BN267">
        <v>31552236</v>
      </c>
      <c r="BO267" t="s">
        <v>614</v>
      </c>
      <c r="BP267" t="s">
        <v>74</v>
      </c>
      <c r="BQ267" t="s">
        <v>74</v>
      </c>
      <c r="BR267" t="s">
        <v>106</v>
      </c>
      <c r="BS267" t="s">
        <v>8897</v>
      </c>
      <c r="BT267" t="str">
        <f>HYPERLINK("https%3A%2F%2Fwww.webofscience.com%2Fwos%2Fwoscc%2Ffull-record%2FWOS:000483812900001","View Full Record in Web of Science")</f>
        <v>View Full Record in Web of Science</v>
      </c>
    </row>
    <row r="268" spans="1:72" x14ac:dyDescent="0.25">
      <c r="A268" t="s">
        <v>72</v>
      </c>
      <c r="B268" t="s">
        <v>9445</v>
      </c>
      <c r="C268" t="s">
        <v>74</v>
      </c>
      <c r="D268" t="s">
        <v>74</v>
      </c>
      <c r="E268" t="s">
        <v>74</v>
      </c>
      <c r="F268" t="s">
        <v>9446</v>
      </c>
      <c r="G268" t="s">
        <v>74</v>
      </c>
      <c r="H268" t="s">
        <v>74</v>
      </c>
      <c r="I268" s="1" t="s">
        <v>9447</v>
      </c>
      <c r="J268" t="s">
        <v>5008</v>
      </c>
      <c r="K268" t="s">
        <v>74</v>
      </c>
      <c r="L268" t="s">
        <v>74</v>
      </c>
      <c r="M268" t="s">
        <v>929</v>
      </c>
      <c r="N268" t="s">
        <v>79</v>
      </c>
      <c r="O268" t="s">
        <v>74</v>
      </c>
      <c r="P268" t="s">
        <v>74</v>
      </c>
      <c r="Q268" t="s">
        <v>74</v>
      </c>
      <c r="R268" t="s">
        <v>74</v>
      </c>
      <c r="S268" t="s">
        <v>74</v>
      </c>
      <c r="T268" s="1" t="s">
        <v>9448</v>
      </c>
      <c r="U268" s="1" t="s">
        <v>74</v>
      </c>
      <c r="V268" s="1" t="s">
        <v>9449</v>
      </c>
      <c r="W268" t="s">
        <v>9450</v>
      </c>
      <c r="X268" t="s">
        <v>4508</v>
      </c>
      <c r="Y268" t="s">
        <v>9451</v>
      </c>
      <c r="Z268" t="s">
        <v>9452</v>
      </c>
      <c r="AA268" t="s">
        <v>9453</v>
      </c>
      <c r="AB268" t="s">
        <v>9454</v>
      </c>
      <c r="AC268" t="s">
        <v>74</v>
      </c>
      <c r="AD268" t="s">
        <v>74</v>
      </c>
      <c r="AE268" t="s">
        <v>74</v>
      </c>
      <c r="AF268" t="s">
        <v>74</v>
      </c>
      <c r="AG268">
        <v>12</v>
      </c>
      <c r="AH268">
        <v>4</v>
      </c>
      <c r="AI268">
        <v>4</v>
      </c>
      <c r="AJ268">
        <v>0</v>
      </c>
      <c r="AK268">
        <v>18</v>
      </c>
      <c r="AL268" t="s">
        <v>5016</v>
      </c>
      <c r="AM268" t="s">
        <v>5017</v>
      </c>
      <c r="AN268" t="s">
        <v>5018</v>
      </c>
      <c r="AO268" t="s">
        <v>5019</v>
      </c>
      <c r="AP268" t="s">
        <v>74</v>
      </c>
      <c r="AQ268" t="s">
        <v>74</v>
      </c>
      <c r="AR268" t="s">
        <v>5020</v>
      </c>
      <c r="AS268" t="s">
        <v>5021</v>
      </c>
      <c r="AT268" t="s">
        <v>4962</v>
      </c>
      <c r="AU268">
        <v>2019</v>
      </c>
      <c r="AV268">
        <v>9</v>
      </c>
      <c r="AW268">
        <v>17</v>
      </c>
      <c r="AX268" t="s">
        <v>74</v>
      </c>
      <c r="AY268" t="s">
        <v>74</v>
      </c>
      <c r="AZ268" t="s">
        <v>74</v>
      </c>
      <c r="BA268" t="s">
        <v>74</v>
      </c>
      <c r="BB268">
        <v>71</v>
      </c>
      <c r="BC268">
        <v>96</v>
      </c>
      <c r="BD268" t="s">
        <v>74</v>
      </c>
      <c r="BE268" t="s">
        <v>9455</v>
      </c>
      <c r="BF268" t="str">
        <f>HYPERLINK("http://dx.doi.org/10.5783/RIRP-17-2019-05-71-96","http://dx.doi.org/10.5783/RIRP-17-2019-05-71-96")</f>
        <v>http://dx.doi.org/10.5783/RIRP-17-2019-05-71-96</v>
      </c>
      <c r="BG268" t="s">
        <v>74</v>
      </c>
      <c r="BH268" t="s">
        <v>74</v>
      </c>
      <c r="BI268">
        <v>26</v>
      </c>
      <c r="BJ268" t="s">
        <v>2218</v>
      </c>
      <c r="BK268" t="s">
        <v>183</v>
      </c>
      <c r="BL268" t="s">
        <v>2218</v>
      </c>
      <c r="BM268" t="s">
        <v>9456</v>
      </c>
      <c r="BN268" t="s">
        <v>74</v>
      </c>
      <c r="BO268" t="s">
        <v>74</v>
      </c>
      <c r="BP268" t="s">
        <v>74</v>
      </c>
      <c r="BQ268" t="s">
        <v>74</v>
      </c>
      <c r="BR268" t="s">
        <v>106</v>
      </c>
      <c r="BS268" t="s">
        <v>9457</v>
      </c>
      <c r="BT268" t="str">
        <f>HYPERLINK("https%3A%2F%2Fwww.webofscience.com%2Fwos%2Fwoscc%2Ffull-record%2FWOS:000472758300005","View Full Record in Web of Science")</f>
        <v>View Full Record in Web of Science</v>
      </c>
    </row>
    <row r="269" spans="1:72" x14ac:dyDescent="0.25">
      <c r="A269" t="s">
        <v>7120</v>
      </c>
      <c r="B269" t="s">
        <v>10251</v>
      </c>
      <c r="C269" t="s">
        <v>74</v>
      </c>
      <c r="D269" t="s">
        <v>10252</v>
      </c>
      <c r="E269" t="s">
        <v>74</v>
      </c>
      <c r="F269" t="s">
        <v>10253</v>
      </c>
      <c r="G269" t="s">
        <v>74</v>
      </c>
      <c r="H269" t="s">
        <v>74</v>
      </c>
      <c r="I269" s="1" t="s">
        <v>10254</v>
      </c>
      <c r="J269" t="s">
        <v>10255</v>
      </c>
      <c r="K269" t="s">
        <v>10256</v>
      </c>
      <c r="L269" t="s">
        <v>74</v>
      </c>
      <c r="M269" t="s">
        <v>78</v>
      </c>
      <c r="N269" t="s">
        <v>4932</v>
      </c>
      <c r="O269" t="s">
        <v>74</v>
      </c>
      <c r="P269" t="s">
        <v>74</v>
      </c>
      <c r="Q269" t="s">
        <v>74</v>
      </c>
      <c r="R269" t="s">
        <v>74</v>
      </c>
      <c r="S269" t="s">
        <v>74</v>
      </c>
      <c r="T269" s="1" t="s">
        <v>10257</v>
      </c>
      <c r="U269" s="1" t="s">
        <v>74</v>
      </c>
      <c r="V269" s="1" t="s">
        <v>10258</v>
      </c>
      <c r="W269" t="s">
        <v>10259</v>
      </c>
      <c r="X269" t="s">
        <v>10260</v>
      </c>
      <c r="Y269" t="s">
        <v>10261</v>
      </c>
      <c r="Z269" t="s">
        <v>10262</v>
      </c>
      <c r="AA269" t="s">
        <v>74</v>
      </c>
      <c r="AB269" t="s">
        <v>74</v>
      </c>
      <c r="AC269" t="s">
        <v>74</v>
      </c>
      <c r="AD269" t="s">
        <v>74</v>
      </c>
      <c r="AE269" t="s">
        <v>74</v>
      </c>
      <c r="AF269" t="s">
        <v>74</v>
      </c>
      <c r="AG269">
        <v>15</v>
      </c>
      <c r="AH269">
        <v>4</v>
      </c>
      <c r="AI269">
        <v>4</v>
      </c>
      <c r="AJ269">
        <v>0</v>
      </c>
      <c r="AK269">
        <v>2</v>
      </c>
      <c r="AL269" t="s">
        <v>9414</v>
      </c>
      <c r="AM269" t="s">
        <v>9415</v>
      </c>
      <c r="AN269" t="s">
        <v>9416</v>
      </c>
      <c r="AO269" t="s">
        <v>10263</v>
      </c>
      <c r="AP269" t="s">
        <v>10264</v>
      </c>
      <c r="AQ269" t="s">
        <v>10265</v>
      </c>
      <c r="AR269" t="s">
        <v>10266</v>
      </c>
      <c r="AS269" t="s">
        <v>74</v>
      </c>
      <c r="AT269" t="s">
        <v>74</v>
      </c>
      <c r="AU269">
        <v>2018</v>
      </c>
      <c r="AV269" t="s">
        <v>74</v>
      </c>
      <c r="AW269" t="s">
        <v>74</v>
      </c>
      <c r="AX269" t="s">
        <v>74</v>
      </c>
      <c r="AY269" t="s">
        <v>74</v>
      </c>
      <c r="AZ269" t="s">
        <v>74</v>
      </c>
      <c r="BA269" t="s">
        <v>74</v>
      </c>
      <c r="BB269">
        <v>101</v>
      </c>
      <c r="BC269">
        <v>116</v>
      </c>
      <c r="BD269" t="s">
        <v>74</v>
      </c>
      <c r="BE269" t="s">
        <v>10267</v>
      </c>
      <c r="BF269" t="str">
        <f>HYPERLINK("http://dx.doi.org/10.1007/978-3-319-93955-1_10","http://dx.doi.org/10.1007/978-3-319-93955-1_10")</f>
        <v>http://dx.doi.org/10.1007/978-3-319-93955-1_10</v>
      </c>
      <c r="BG269" t="s">
        <v>10268</v>
      </c>
      <c r="BH269" t="s">
        <v>74</v>
      </c>
      <c r="BI269">
        <v>16</v>
      </c>
      <c r="BJ269" t="s">
        <v>10269</v>
      </c>
      <c r="BK269" t="s">
        <v>4943</v>
      </c>
      <c r="BL269" t="s">
        <v>10269</v>
      </c>
      <c r="BM269" t="s">
        <v>10270</v>
      </c>
      <c r="BN269" t="s">
        <v>74</v>
      </c>
      <c r="BO269" t="s">
        <v>74</v>
      </c>
      <c r="BP269" t="s">
        <v>74</v>
      </c>
      <c r="BQ269" t="s">
        <v>74</v>
      </c>
      <c r="BR269" t="s">
        <v>106</v>
      </c>
      <c r="BS269" t="s">
        <v>10271</v>
      </c>
      <c r="BT269" t="str">
        <f>HYPERLINK("https%3A%2F%2Fwww.webofscience.com%2Fwos%2Fwoscc%2Ffull-record%2FWOS:000569532000011","View Full Record in Web of Science")</f>
        <v>View Full Record in Web of Science</v>
      </c>
    </row>
    <row r="270" spans="1:72" x14ac:dyDescent="0.25">
      <c r="A270" t="s">
        <v>7120</v>
      </c>
      <c r="B270" t="s">
        <v>10351</v>
      </c>
      <c r="C270" t="s">
        <v>74</v>
      </c>
      <c r="D270" t="s">
        <v>10352</v>
      </c>
      <c r="E270" t="s">
        <v>74</v>
      </c>
      <c r="F270" t="s">
        <v>10353</v>
      </c>
      <c r="G270" t="s">
        <v>74</v>
      </c>
      <c r="H270" t="s">
        <v>74</v>
      </c>
      <c r="I270" s="1" t="s">
        <v>10354</v>
      </c>
      <c r="J270" t="s">
        <v>10355</v>
      </c>
      <c r="K270" t="s">
        <v>10356</v>
      </c>
      <c r="L270" t="s">
        <v>74</v>
      </c>
      <c r="M270" t="s">
        <v>78</v>
      </c>
      <c r="N270" t="s">
        <v>4932</v>
      </c>
      <c r="O270" t="s">
        <v>74</v>
      </c>
      <c r="P270" t="s">
        <v>74</v>
      </c>
      <c r="Q270" t="s">
        <v>74</v>
      </c>
      <c r="R270" t="s">
        <v>74</v>
      </c>
      <c r="S270" t="s">
        <v>74</v>
      </c>
      <c r="T270" s="1" t="s">
        <v>10357</v>
      </c>
      <c r="U270" s="1" t="s">
        <v>74</v>
      </c>
      <c r="V270" s="1" t="s">
        <v>10358</v>
      </c>
      <c r="W270" t="s">
        <v>10359</v>
      </c>
      <c r="X270" t="s">
        <v>74</v>
      </c>
      <c r="Y270" t="s">
        <v>10360</v>
      </c>
      <c r="Z270" t="s">
        <v>10361</v>
      </c>
      <c r="AA270" t="s">
        <v>74</v>
      </c>
      <c r="AB270" t="s">
        <v>74</v>
      </c>
      <c r="AC270" t="s">
        <v>74</v>
      </c>
      <c r="AD270" t="s">
        <v>74</v>
      </c>
      <c r="AE270" t="s">
        <v>74</v>
      </c>
      <c r="AF270" t="s">
        <v>74</v>
      </c>
      <c r="AG270">
        <v>23</v>
      </c>
      <c r="AH270">
        <v>4</v>
      </c>
      <c r="AI270">
        <v>4</v>
      </c>
      <c r="AJ270">
        <v>0</v>
      </c>
      <c r="AK270">
        <v>0</v>
      </c>
      <c r="AL270" t="s">
        <v>9414</v>
      </c>
      <c r="AM270" t="s">
        <v>9415</v>
      </c>
      <c r="AN270" t="s">
        <v>9416</v>
      </c>
      <c r="AO270" t="s">
        <v>10362</v>
      </c>
      <c r="AP270" t="s">
        <v>10363</v>
      </c>
      <c r="AQ270" t="s">
        <v>10364</v>
      </c>
      <c r="AR270" t="s">
        <v>10365</v>
      </c>
      <c r="AS270" t="s">
        <v>74</v>
      </c>
      <c r="AT270" t="s">
        <v>74</v>
      </c>
      <c r="AU270">
        <v>2018</v>
      </c>
      <c r="AV270" t="s">
        <v>74</v>
      </c>
      <c r="AW270" t="s">
        <v>74</v>
      </c>
      <c r="AX270" t="s">
        <v>74</v>
      </c>
      <c r="AY270" t="s">
        <v>74</v>
      </c>
      <c r="AZ270" t="s">
        <v>74</v>
      </c>
      <c r="BA270" t="s">
        <v>74</v>
      </c>
      <c r="BB270">
        <v>807</v>
      </c>
      <c r="BC270">
        <v>816</v>
      </c>
      <c r="BD270" t="s">
        <v>74</v>
      </c>
      <c r="BE270" t="s">
        <v>10366</v>
      </c>
      <c r="BF270" t="str">
        <f>HYPERLINK("http://dx.doi.org/10.1007/978-3-319-71054-9_53","http://dx.doi.org/10.1007/978-3-319-71054-9_53")</f>
        <v>http://dx.doi.org/10.1007/978-3-319-71054-9_53</v>
      </c>
      <c r="BG270" t="s">
        <v>10367</v>
      </c>
      <c r="BH270" t="s">
        <v>74</v>
      </c>
      <c r="BI270">
        <v>10</v>
      </c>
      <c r="BJ270" t="s">
        <v>1326</v>
      </c>
      <c r="BK270" t="s">
        <v>4943</v>
      </c>
      <c r="BL270" t="s">
        <v>1326</v>
      </c>
      <c r="BM270" t="s">
        <v>10368</v>
      </c>
      <c r="BN270" t="s">
        <v>74</v>
      </c>
      <c r="BO270" t="s">
        <v>74</v>
      </c>
      <c r="BP270" t="s">
        <v>74</v>
      </c>
      <c r="BQ270" t="s">
        <v>74</v>
      </c>
      <c r="BR270" t="s">
        <v>106</v>
      </c>
      <c r="BS270" t="s">
        <v>10369</v>
      </c>
      <c r="BT270" t="str">
        <f>HYPERLINK("https%3A%2F%2Fwww.webofscience.com%2Fwos%2Fwoscc%2Ffull-record%2FWOS:000490251500055","View Full Record in Web of Science")</f>
        <v>View Full Record in Web of Science</v>
      </c>
    </row>
    <row r="271" spans="1:72" x14ac:dyDescent="0.25">
      <c r="A271" t="s">
        <v>72</v>
      </c>
      <c r="B271" t="s">
        <v>10435</v>
      </c>
      <c r="C271" t="s">
        <v>74</v>
      </c>
      <c r="D271" t="s">
        <v>74</v>
      </c>
      <c r="E271" t="s">
        <v>74</v>
      </c>
      <c r="F271" t="s">
        <v>10436</v>
      </c>
      <c r="G271" t="s">
        <v>74</v>
      </c>
      <c r="H271" t="s">
        <v>74</v>
      </c>
      <c r="I271" s="1" t="s">
        <v>10437</v>
      </c>
      <c r="J271" t="s">
        <v>2713</v>
      </c>
      <c r="K271" t="s">
        <v>74</v>
      </c>
      <c r="L271" t="s">
        <v>74</v>
      </c>
      <c r="M271" t="s">
        <v>929</v>
      </c>
      <c r="N271" t="s">
        <v>79</v>
      </c>
      <c r="O271" t="s">
        <v>74</v>
      </c>
      <c r="P271" t="s">
        <v>74</v>
      </c>
      <c r="Q271" t="s">
        <v>74</v>
      </c>
      <c r="R271" t="s">
        <v>74</v>
      </c>
      <c r="S271" t="s">
        <v>74</v>
      </c>
      <c r="T271" s="1" t="s">
        <v>10438</v>
      </c>
      <c r="U271" s="1" t="s">
        <v>74</v>
      </c>
      <c r="V271" s="1" t="s">
        <v>10439</v>
      </c>
      <c r="W271" t="s">
        <v>10440</v>
      </c>
      <c r="X271" t="s">
        <v>10441</v>
      </c>
      <c r="Y271" t="s">
        <v>10442</v>
      </c>
      <c r="Z271" t="s">
        <v>10443</v>
      </c>
      <c r="AA271" t="s">
        <v>10444</v>
      </c>
      <c r="AB271" t="s">
        <v>10445</v>
      </c>
      <c r="AC271" t="s">
        <v>74</v>
      </c>
      <c r="AD271" t="s">
        <v>74</v>
      </c>
      <c r="AE271" t="s">
        <v>74</v>
      </c>
      <c r="AF271" t="s">
        <v>74</v>
      </c>
      <c r="AG271">
        <v>32</v>
      </c>
      <c r="AH271">
        <v>4</v>
      </c>
      <c r="AI271">
        <v>4</v>
      </c>
      <c r="AJ271">
        <v>1</v>
      </c>
      <c r="AK271">
        <v>27</v>
      </c>
      <c r="AL271" t="s">
        <v>2721</v>
      </c>
      <c r="AM271" t="s">
        <v>2722</v>
      </c>
      <c r="AN271" t="s">
        <v>2723</v>
      </c>
      <c r="AO271" t="s">
        <v>2724</v>
      </c>
      <c r="AP271" t="s">
        <v>2725</v>
      </c>
      <c r="AQ271" t="s">
        <v>74</v>
      </c>
      <c r="AR271" t="s">
        <v>2726</v>
      </c>
      <c r="AS271" t="s">
        <v>2727</v>
      </c>
      <c r="AT271" t="s">
        <v>476</v>
      </c>
      <c r="AU271">
        <v>2017</v>
      </c>
      <c r="AV271" t="s">
        <v>74</v>
      </c>
      <c r="AW271">
        <v>57</v>
      </c>
      <c r="AX271" t="s">
        <v>74</v>
      </c>
      <c r="AY271" t="s">
        <v>74</v>
      </c>
      <c r="AZ271" t="s">
        <v>74</v>
      </c>
      <c r="BA271" t="s">
        <v>74</v>
      </c>
      <c r="BB271">
        <v>47</v>
      </c>
      <c r="BC271">
        <v>61</v>
      </c>
      <c r="BD271" t="s">
        <v>74</v>
      </c>
      <c r="BE271" t="s">
        <v>10446</v>
      </c>
      <c r="BF271" t="str">
        <f>HYPERLINK("http://dx.doi.org/10.5565/rev/analisi.3100","http://dx.doi.org/10.5565/rev/analisi.3100")</f>
        <v>http://dx.doi.org/10.5565/rev/analisi.3100</v>
      </c>
      <c r="BG271" t="s">
        <v>74</v>
      </c>
      <c r="BH271" t="s">
        <v>74</v>
      </c>
      <c r="BI271">
        <v>15</v>
      </c>
      <c r="BJ271" t="s">
        <v>2218</v>
      </c>
      <c r="BK271" t="s">
        <v>183</v>
      </c>
      <c r="BL271" t="s">
        <v>2218</v>
      </c>
      <c r="BM271" t="s">
        <v>10447</v>
      </c>
      <c r="BN271" t="s">
        <v>74</v>
      </c>
      <c r="BO271" t="s">
        <v>9765</v>
      </c>
      <c r="BP271" t="s">
        <v>74</v>
      </c>
      <c r="BQ271" t="s">
        <v>74</v>
      </c>
      <c r="BR271" t="s">
        <v>106</v>
      </c>
      <c r="BS271" t="s">
        <v>10448</v>
      </c>
      <c r="BT271" t="str">
        <f>HYPERLINK("https%3A%2F%2Fwww.webofscience.com%2Fwos%2Fwoscc%2Ffull-record%2FWOS:000418001500004","View Full Record in Web of Science")</f>
        <v>View Full Record in Web of Science</v>
      </c>
    </row>
    <row r="272" spans="1:72" x14ac:dyDescent="0.25">
      <c r="A272" t="s">
        <v>72</v>
      </c>
      <c r="B272" t="s">
        <v>10620</v>
      </c>
      <c r="C272" t="s">
        <v>74</v>
      </c>
      <c r="D272" t="s">
        <v>74</v>
      </c>
      <c r="E272" t="s">
        <v>74</v>
      </c>
      <c r="F272" t="s">
        <v>10621</v>
      </c>
      <c r="G272" t="s">
        <v>74</v>
      </c>
      <c r="H272" t="s">
        <v>74</v>
      </c>
      <c r="I272" s="1" t="s">
        <v>10622</v>
      </c>
      <c r="J272" t="s">
        <v>10623</v>
      </c>
      <c r="K272" t="s">
        <v>74</v>
      </c>
      <c r="L272" t="s">
        <v>74</v>
      </c>
      <c r="M272" t="s">
        <v>78</v>
      </c>
      <c r="N272" t="s">
        <v>79</v>
      </c>
      <c r="O272" t="s">
        <v>74</v>
      </c>
      <c r="P272" t="s">
        <v>74</v>
      </c>
      <c r="Q272" t="s">
        <v>74</v>
      </c>
      <c r="R272" t="s">
        <v>74</v>
      </c>
      <c r="S272" t="s">
        <v>74</v>
      </c>
      <c r="T272" s="1" t="s">
        <v>10624</v>
      </c>
      <c r="U272" s="1" t="s">
        <v>10625</v>
      </c>
      <c r="V272" s="1" t="s">
        <v>10626</v>
      </c>
      <c r="W272" t="s">
        <v>10627</v>
      </c>
      <c r="X272" t="s">
        <v>10628</v>
      </c>
      <c r="Y272" t="s">
        <v>10629</v>
      </c>
      <c r="Z272" t="s">
        <v>10630</v>
      </c>
      <c r="AA272" t="s">
        <v>74</v>
      </c>
      <c r="AB272" t="s">
        <v>74</v>
      </c>
      <c r="AC272" t="s">
        <v>10631</v>
      </c>
      <c r="AD272" t="s">
        <v>10632</v>
      </c>
      <c r="AE272" t="s">
        <v>10633</v>
      </c>
      <c r="AF272" t="s">
        <v>74</v>
      </c>
      <c r="AG272">
        <v>57</v>
      </c>
      <c r="AH272">
        <v>4</v>
      </c>
      <c r="AI272">
        <v>4</v>
      </c>
      <c r="AJ272">
        <v>0</v>
      </c>
      <c r="AK272">
        <v>15</v>
      </c>
      <c r="AL272" t="s">
        <v>10634</v>
      </c>
      <c r="AM272" t="s">
        <v>10635</v>
      </c>
      <c r="AN272" t="s">
        <v>10636</v>
      </c>
      <c r="AO272" t="s">
        <v>10637</v>
      </c>
      <c r="AP272" t="s">
        <v>74</v>
      </c>
      <c r="AQ272" t="s">
        <v>74</v>
      </c>
      <c r="AR272" t="s">
        <v>10638</v>
      </c>
      <c r="AS272" t="s">
        <v>10639</v>
      </c>
      <c r="AT272" t="s">
        <v>10640</v>
      </c>
      <c r="AU272">
        <v>2017</v>
      </c>
      <c r="AV272" t="s">
        <v>74</v>
      </c>
      <c r="AW272">
        <v>53</v>
      </c>
      <c r="AX272" t="s">
        <v>74</v>
      </c>
      <c r="AY272" t="s">
        <v>74</v>
      </c>
      <c r="AZ272" t="s">
        <v>74</v>
      </c>
      <c r="BA272" t="s">
        <v>74</v>
      </c>
      <c r="BB272" t="s">
        <v>74</v>
      </c>
      <c r="BC272" t="s">
        <v>74</v>
      </c>
      <c r="BD272">
        <v>1</v>
      </c>
      <c r="BE272" t="s">
        <v>10641</v>
      </c>
      <c r="BF272" t="str">
        <f>HYPERLINK("http://dx.doi.org/10.6018/red/53/1","http://dx.doi.org/10.6018/red/53/1")</f>
        <v>http://dx.doi.org/10.6018/red/53/1</v>
      </c>
      <c r="BG272" t="s">
        <v>74</v>
      </c>
      <c r="BH272" t="s">
        <v>74</v>
      </c>
      <c r="BI272">
        <v>22</v>
      </c>
      <c r="BJ272" t="s">
        <v>1326</v>
      </c>
      <c r="BK272" t="s">
        <v>183</v>
      </c>
      <c r="BL272" t="s">
        <v>1326</v>
      </c>
      <c r="BM272" t="s">
        <v>10642</v>
      </c>
      <c r="BN272" t="s">
        <v>74</v>
      </c>
      <c r="BO272" t="s">
        <v>9765</v>
      </c>
      <c r="BP272" t="s">
        <v>74</v>
      </c>
      <c r="BQ272" t="s">
        <v>74</v>
      </c>
      <c r="BR272" t="s">
        <v>106</v>
      </c>
      <c r="BS272" t="s">
        <v>10643</v>
      </c>
      <c r="BT272" t="str">
        <f>HYPERLINK("https%3A%2F%2Fwww.webofscience.com%2Fwos%2Fwoscc%2Ffull-record%2FWOS:000417308900008","View Full Record in Web of Science")</f>
        <v>View Full Record in Web of Science</v>
      </c>
    </row>
    <row r="273" spans="1:72" x14ac:dyDescent="0.25">
      <c r="A273" t="s">
        <v>72</v>
      </c>
      <c r="B273" t="s">
        <v>11745</v>
      </c>
      <c r="C273" t="s">
        <v>74</v>
      </c>
      <c r="D273" t="s">
        <v>74</v>
      </c>
      <c r="E273" t="s">
        <v>74</v>
      </c>
      <c r="F273" t="s">
        <v>11746</v>
      </c>
      <c r="G273" t="s">
        <v>74</v>
      </c>
      <c r="H273" t="s">
        <v>74</v>
      </c>
      <c r="I273" s="1" t="s">
        <v>11747</v>
      </c>
      <c r="J273" t="s">
        <v>11748</v>
      </c>
      <c r="K273" t="s">
        <v>74</v>
      </c>
      <c r="L273" t="s">
        <v>74</v>
      </c>
      <c r="M273" t="s">
        <v>78</v>
      </c>
      <c r="N273" t="s">
        <v>79</v>
      </c>
      <c r="O273" t="s">
        <v>74</v>
      </c>
      <c r="P273" t="s">
        <v>74</v>
      </c>
      <c r="Q273" t="s">
        <v>74</v>
      </c>
      <c r="R273" t="s">
        <v>74</v>
      </c>
      <c r="S273" t="s">
        <v>74</v>
      </c>
      <c r="T273" s="1" t="s">
        <v>11749</v>
      </c>
      <c r="U273" s="1" t="s">
        <v>11750</v>
      </c>
      <c r="V273" s="1" t="s">
        <v>11751</v>
      </c>
      <c r="W273" t="s">
        <v>11752</v>
      </c>
      <c r="X273" t="s">
        <v>11753</v>
      </c>
      <c r="Y273" t="s">
        <v>11754</v>
      </c>
      <c r="Z273" t="s">
        <v>11755</v>
      </c>
      <c r="AA273" t="s">
        <v>74</v>
      </c>
      <c r="AB273" t="s">
        <v>11756</v>
      </c>
      <c r="AC273" t="s">
        <v>11757</v>
      </c>
      <c r="AD273" t="s">
        <v>11758</v>
      </c>
      <c r="AE273" t="s">
        <v>11759</v>
      </c>
      <c r="AF273" t="s">
        <v>74</v>
      </c>
      <c r="AG273">
        <v>20</v>
      </c>
      <c r="AH273">
        <v>4</v>
      </c>
      <c r="AI273">
        <v>4</v>
      </c>
      <c r="AJ273">
        <v>0</v>
      </c>
      <c r="AK273">
        <v>7</v>
      </c>
      <c r="AL273" t="s">
        <v>9779</v>
      </c>
      <c r="AM273" t="s">
        <v>232</v>
      </c>
      <c r="AN273" t="s">
        <v>9780</v>
      </c>
      <c r="AO273" t="s">
        <v>11760</v>
      </c>
      <c r="AP273" t="s">
        <v>11761</v>
      </c>
      <c r="AQ273" t="s">
        <v>74</v>
      </c>
      <c r="AR273" t="s">
        <v>11762</v>
      </c>
      <c r="AS273" t="s">
        <v>11763</v>
      </c>
      <c r="AT273" t="s">
        <v>99</v>
      </c>
      <c r="AU273">
        <v>2014</v>
      </c>
      <c r="AV273">
        <v>39</v>
      </c>
      <c r="AW273" t="s">
        <v>74</v>
      </c>
      <c r="AX273" t="s">
        <v>74</v>
      </c>
      <c r="AY273" t="s">
        <v>74</v>
      </c>
      <c r="AZ273" t="s">
        <v>74</v>
      </c>
      <c r="BA273" t="s">
        <v>74</v>
      </c>
      <c r="BB273">
        <v>366</v>
      </c>
      <c r="BC273">
        <v>374</v>
      </c>
      <c r="BD273" t="s">
        <v>74</v>
      </c>
      <c r="BE273" t="s">
        <v>11764</v>
      </c>
      <c r="BF273" t="str">
        <f>HYPERLINK("http://dx.doi.org/10.1016/j.jmbbm.2014.07.031","http://dx.doi.org/10.1016/j.jmbbm.2014.07.031")</f>
        <v>http://dx.doi.org/10.1016/j.jmbbm.2014.07.031</v>
      </c>
      <c r="BG273" t="s">
        <v>74</v>
      </c>
      <c r="BH273" t="s">
        <v>74</v>
      </c>
      <c r="BI273">
        <v>9</v>
      </c>
      <c r="BJ273" t="s">
        <v>11765</v>
      </c>
      <c r="BK273" t="s">
        <v>102</v>
      </c>
      <c r="BL273" t="s">
        <v>11766</v>
      </c>
      <c r="BM273" t="s">
        <v>11767</v>
      </c>
      <c r="BN273">
        <v>25173237</v>
      </c>
      <c r="BO273" t="s">
        <v>2805</v>
      </c>
      <c r="BP273" t="s">
        <v>74</v>
      </c>
      <c r="BQ273" t="s">
        <v>74</v>
      </c>
      <c r="BR273" t="s">
        <v>106</v>
      </c>
      <c r="BS273" t="s">
        <v>11768</v>
      </c>
      <c r="BT273" t="str">
        <f>HYPERLINK("https%3A%2F%2Fwww.webofscience.com%2Fwos%2Fwoscc%2Ffull-record%2FWOS:000343338800033","View Full Record in Web of Science")</f>
        <v>View Full Record in Web of Science</v>
      </c>
    </row>
    <row r="274" spans="1:72" x14ac:dyDescent="0.25">
      <c r="A274" t="s">
        <v>72</v>
      </c>
      <c r="B274" t="s">
        <v>12603</v>
      </c>
      <c r="C274" t="s">
        <v>74</v>
      </c>
      <c r="D274" t="s">
        <v>74</v>
      </c>
      <c r="E274" t="s">
        <v>74</v>
      </c>
      <c r="F274" t="s">
        <v>12604</v>
      </c>
      <c r="G274" t="s">
        <v>74</v>
      </c>
      <c r="H274" t="s">
        <v>74</v>
      </c>
      <c r="I274" s="1" t="s">
        <v>12605</v>
      </c>
      <c r="J274" t="s">
        <v>12606</v>
      </c>
      <c r="K274" t="s">
        <v>74</v>
      </c>
      <c r="L274" t="s">
        <v>74</v>
      </c>
      <c r="M274" t="s">
        <v>78</v>
      </c>
      <c r="N274" t="s">
        <v>79</v>
      </c>
      <c r="O274" t="s">
        <v>74</v>
      </c>
      <c r="P274" t="s">
        <v>74</v>
      </c>
      <c r="Q274" t="s">
        <v>74</v>
      </c>
      <c r="R274" t="s">
        <v>74</v>
      </c>
      <c r="S274" t="s">
        <v>74</v>
      </c>
      <c r="T274" s="1" t="s">
        <v>12607</v>
      </c>
      <c r="U274" s="1" t="s">
        <v>74</v>
      </c>
      <c r="V274" s="1" t="s">
        <v>12608</v>
      </c>
      <c r="W274" t="s">
        <v>12609</v>
      </c>
      <c r="X274" t="s">
        <v>12610</v>
      </c>
      <c r="Y274" t="s">
        <v>12611</v>
      </c>
      <c r="Z274" t="s">
        <v>12612</v>
      </c>
      <c r="AA274" t="s">
        <v>74</v>
      </c>
      <c r="AB274" t="s">
        <v>74</v>
      </c>
      <c r="AC274" t="s">
        <v>74</v>
      </c>
      <c r="AD274" t="s">
        <v>74</v>
      </c>
      <c r="AE274" t="s">
        <v>74</v>
      </c>
      <c r="AF274" t="s">
        <v>74</v>
      </c>
      <c r="AG274">
        <v>54</v>
      </c>
      <c r="AH274">
        <v>4</v>
      </c>
      <c r="AI274">
        <v>4</v>
      </c>
      <c r="AJ274">
        <v>0</v>
      </c>
      <c r="AK274">
        <v>0</v>
      </c>
      <c r="AL274" t="s">
        <v>492</v>
      </c>
      <c r="AM274" t="s">
        <v>493</v>
      </c>
      <c r="AN274" t="s">
        <v>494</v>
      </c>
      <c r="AO274" t="s">
        <v>12613</v>
      </c>
      <c r="AP274" t="s">
        <v>12614</v>
      </c>
      <c r="AQ274" t="s">
        <v>74</v>
      </c>
      <c r="AR274" t="s">
        <v>12615</v>
      </c>
      <c r="AS274" t="s">
        <v>12616</v>
      </c>
      <c r="AT274" t="s">
        <v>74</v>
      </c>
      <c r="AU274">
        <v>2009</v>
      </c>
      <c r="AV274">
        <v>12</v>
      </c>
      <c r="AW274">
        <v>2</v>
      </c>
      <c r="AX274" t="s">
        <v>74</v>
      </c>
      <c r="AY274" t="s">
        <v>74</v>
      </c>
      <c r="AZ274" t="s">
        <v>74</v>
      </c>
      <c r="BA274" t="s">
        <v>74</v>
      </c>
      <c r="BB274">
        <v>209</v>
      </c>
      <c r="BC274">
        <v>224</v>
      </c>
      <c r="BD274" t="s">
        <v>74</v>
      </c>
      <c r="BE274" t="s">
        <v>12617</v>
      </c>
      <c r="BF274" t="str">
        <f>HYPERLINK("http://dx.doi.org/10.1080/13678860902764134","http://dx.doi.org/10.1080/13678860902764134")</f>
        <v>http://dx.doi.org/10.1080/13678860902764134</v>
      </c>
      <c r="BG274" t="s">
        <v>74</v>
      </c>
      <c r="BH274" t="s">
        <v>74</v>
      </c>
      <c r="BI274">
        <v>16</v>
      </c>
      <c r="BJ274" t="s">
        <v>315</v>
      </c>
      <c r="BK274" t="s">
        <v>183</v>
      </c>
      <c r="BL274" t="s">
        <v>265</v>
      </c>
      <c r="BM274" t="s">
        <v>12618</v>
      </c>
      <c r="BN274" t="s">
        <v>74</v>
      </c>
      <c r="BO274" t="s">
        <v>74</v>
      </c>
      <c r="BP274" t="s">
        <v>74</v>
      </c>
      <c r="BQ274" t="s">
        <v>74</v>
      </c>
      <c r="BR274" t="s">
        <v>106</v>
      </c>
      <c r="BS274" t="s">
        <v>12619</v>
      </c>
      <c r="BT274" t="str">
        <f>HYPERLINK("https%3A%2F%2Fwww.webofscience.com%2Fwos%2Fwoscc%2Ffull-record%2FWOS:000212701800007","View Full Record in Web of Science")</f>
        <v>View Full Record in Web of Science</v>
      </c>
    </row>
    <row r="275" spans="1:72" x14ac:dyDescent="0.25">
      <c r="A275" t="s">
        <v>72</v>
      </c>
      <c r="B275" t="s">
        <v>1752</v>
      </c>
      <c r="C275" t="s">
        <v>74</v>
      </c>
      <c r="D275" t="s">
        <v>74</v>
      </c>
      <c r="E275" t="s">
        <v>74</v>
      </c>
      <c r="F275" t="s">
        <v>1753</v>
      </c>
      <c r="G275" t="s">
        <v>74</v>
      </c>
      <c r="H275" t="s">
        <v>74</v>
      </c>
      <c r="I275" s="1" t="s">
        <v>1754</v>
      </c>
      <c r="J275" t="s">
        <v>1755</v>
      </c>
      <c r="K275" t="s">
        <v>74</v>
      </c>
      <c r="L275" t="s">
        <v>74</v>
      </c>
      <c r="M275" t="s">
        <v>78</v>
      </c>
      <c r="N275" t="s">
        <v>79</v>
      </c>
      <c r="O275" t="s">
        <v>74</v>
      </c>
      <c r="P275" t="s">
        <v>74</v>
      </c>
      <c r="Q275" t="s">
        <v>74</v>
      </c>
      <c r="R275" t="s">
        <v>74</v>
      </c>
      <c r="S275" t="s">
        <v>74</v>
      </c>
      <c r="T275" s="1" t="s">
        <v>1756</v>
      </c>
      <c r="U275" s="1" t="s">
        <v>1757</v>
      </c>
      <c r="V275" s="1" t="s">
        <v>1758</v>
      </c>
      <c r="W275" t="s">
        <v>1759</v>
      </c>
      <c r="X275" t="s">
        <v>1760</v>
      </c>
      <c r="Y275" t="s">
        <v>1761</v>
      </c>
      <c r="Z275" t="s">
        <v>1762</v>
      </c>
      <c r="AA275" t="s">
        <v>74</v>
      </c>
      <c r="AB275" t="s">
        <v>74</v>
      </c>
      <c r="AC275" t="s">
        <v>1763</v>
      </c>
      <c r="AD275" t="s">
        <v>1764</v>
      </c>
      <c r="AE275" t="s">
        <v>1765</v>
      </c>
      <c r="AF275" t="s">
        <v>74</v>
      </c>
      <c r="AG275">
        <v>85</v>
      </c>
      <c r="AH275">
        <v>3</v>
      </c>
      <c r="AI275">
        <v>3</v>
      </c>
      <c r="AJ275">
        <v>47</v>
      </c>
      <c r="AK275">
        <v>82</v>
      </c>
      <c r="AL275" t="s">
        <v>1382</v>
      </c>
      <c r="AM275" t="s">
        <v>1383</v>
      </c>
      <c r="AN275" t="s">
        <v>1384</v>
      </c>
      <c r="AO275" t="s">
        <v>74</v>
      </c>
      <c r="AP275" t="s">
        <v>1766</v>
      </c>
      <c r="AQ275" t="s">
        <v>74</v>
      </c>
      <c r="AR275" t="s">
        <v>1767</v>
      </c>
      <c r="AS275" t="s">
        <v>1768</v>
      </c>
      <c r="AT275" t="s">
        <v>1769</v>
      </c>
      <c r="AU275">
        <v>2023</v>
      </c>
      <c r="AV275">
        <v>11</v>
      </c>
      <c r="AW275" t="s">
        <v>74</v>
      </c>
      <c r="AX275" t="s">
        <v>74</v>
      </c>
      <c r="AY275" t="s">
        <v>74</v>
      </c>
      <c r="AZ275" t="s">
        <v>74</v>
      </c>
      <c r="BA275" t="s">
        <v>74</v>
      </c>
      <c r="BB275" t="s">
        <v>74</v>
      </c>
      <c r="BC275" t="s">
        <v>74</v>
      </c>
      <c r="BD275">
        <v>1137271</v>
      </c>
      <c r="BE275" t="s">
        <v>1770</v>
      </c>
      <c r="BF275" t="str">
        <f>HYPERLINK("http://dx.doi.org/10.3389/fenvs.2023.1137271","http://dx.doi.org/10.3389/fenvs.2023.1137271")</f>
        <v>http://dx.doi.org/10.3389/fenvs.2023.1137271</v>
      </c>
      <c r="BG275" t="s">
        <v>74</v>
      </c>
      <c r="BH275" t="s">
        <v>74</v>
      </c>
      <c r="BI275">
        <v>18</v>
      </c>
      <c r="BJ275" t="s">
        <v>545</v>
      </c>
      <c r="BK275" t="s">
        <v>102</v>
      </c>
      <c r="BL275" t="s">
        <v>546</v>
      </c>
      <c r="BM275" t="s">
        <v>1771</v>
      </c>
      <c r="BN275" t="s">
        <v>74</v>
      </c>
      <c r="BO275" t="s">
        <v>186</v>
      </c>
      <c r="BP275" t="s">
        <v>74</v>
      </c>
      <c r="BQ275" t="s">
        <v>74</v>
      </c>
      <c r="BR275" t="s">
        <v>106</v>
      </c>
      <c r="BS275" t="s">
        <v>1772</v>
      </c>
      <c r="BT275" t="str">
        <f>HYPERLINK("https%3A%2F%2Fwww.webofscience.com%2Fwos%2Fwoscc%2Ffull-record%2FWOS:000943788300001","View Full Record in Web of Science")</f>
        <v>View Full Record in Web of Science</v>
      </c>
    </row>
    <row r="276" spans="1:72" x14ac:dyDescent="0.25">
      <c r="A276" t="s">
        <v>72</v>
      </c>
      <c r="B276" t="s">
        <v>1885</v>
      </c>
      <c r="C276" t="s">
        <v>74</v>
      </c>
      <c r="D276" t="s">
        <v>74</v>
      </c>
      <c r="E276" t="s">
        <v>74</v>
      </c>
      <c r="F276" t="s">
        <v>1886</v>
      </c>
      <c r="G276" t="s">
        <v>74</v>
      </c>
      <c r="H276" t="s">
        <v>74</v>
      </c>
      <c r="I276" s="1" t="s">
        <v>1887</v>
      </c>
      <c r="J276" t="s">
        <v>1888</v>
      </c>
      <c r="K276" t="s">
        <v>74</v>
      </c>
      <c r="L276" t="s">
        <v>74</v>
      </c>
      <c r="M276" t="s">
        <v>78</v>
      </c>
      <c r="N276" t="s">
        <v>79</v>
      </c>
      <c r="O276" t="s">
        <v>74</v>
      </c>
      <c r="P276" t="s">
        <v>74</v>
      </c>
      <c r="Q276" t="s">
        <v>74</v>
      </c>
      <c r="R276" t="s">
        <v>74</v>
      </c>
      <c r="S276" t="s">
        <v>74</v>
      </c>
      <c r="T276" s="1" t="s">
        <v>1889</v>
      </c>
      <c r="U276" s="1" t="s">
        <v>1890</v>
      </c>
      <c r="V276" s="1" t="s">
        <v>1891</v>
      </c>
      <c r="W276" t="s">
        <v>1892</v>
      </c>
      <c r="X276" t="s">
        <v>1893</v>
      </c>
      <c r="Y276" t="s">
        <v>1894</v>
      </c>
      <c r="Z276" t="s">
        <v>1895</v>
      </c>
      <c r="AA276" t="s">
        <v>1896</v>
      </c>
      <c r="AB276" t="s">
        <v>1897</v>
      </c>
      <c r="AC276" t="s">
        <v>1898</v>
      </c>
      <c r="AD276" t="s">
        <v>1899</v>
      </c>
      <c r="AE276" t="s">
        <v>1900</v>
      </c>
      <c r="AF276" t="s">
        <v>74</v>
      </c>
      <c r="AG276">
        <v>50</v>
      </c>
      <c r="AH276">
        <v>3</v>
      </c>
      <c r="AI276">
        <v>3</v>
      </c>
      <c r="AJ276">
        <v>12</v>
      </c>
      <c r="AK276">
        <v>17</v>
      </c>
      <c r="AL276" t="s">
        <v>202</v>
      </c>
      <c r="AM276" t="s">
        <v>203</v>
      </c>
      <c r="AN276" t="s">
        <v>204</v>
      </c>
      <c r="AO276" t="s">
        <v>74</v>
      </c>
      <c r="AP276" t="s">
        <v>1901</v>
      </c>
      <c r="AQ276" t="s">
        <v>74</v>
      </c>
      <c r="AR276" t="s">
        <v>1902</v>
      </c>
      <c r="AS276" t="s">
        <v>1903</v>
      </c>
      <c r="AT276" t="s">
        <v>1904</v>
      </c>
      <c r="AU276">
        <v>2023</v>
      </c>
      <c r="AV276">
        <v>13</v>
      </c>
      <c r="AW276">
        <v>2</v>
      </c>
      <c r="AX276" t="s">
        <v>74</v>
      </c>
      <c r="AY276" t="s">
        <v>74</v>
      </c>
      <c r="AZ276" t="s">
        <v>74</v>
      </c>
      <c r="BA276" t="s">
        <v>74</v>
      </c>
      <c r="BB276" t="s">
        <v>74</v>
      </c>
      <c r="BC276" t="s">
        <v>74</v>
      </c>
      <c r="BD276">
        <v>44</v>
      </c>
      <c r="BE276" t="s">
        <v>1905</v>
      </c>
      <c r="BF276" t="str">
        <f>HYPERLINK("http://dx.doi.org/10.3390/admsci13020044","http://dx.doi.org/10.3390/admsci13020044")</f>
        <v>http://dx.doi.org/10.3390/admsci13020044</v>
      </c>
      <c r="BG276" t="s">
        <v>74</v>
      </c>
      <c r="BH276" t="s">
        <v>74</v>
      </c>
      <c r="BI276">
        <v>17</v>
      </c>
      <c r="BJ276" t="s">
        <v>315</v>
      </c>
      <c r="BK276" t="s">
        <v>183</v>
      </c>
      <c r="BL276" t="s">
        <v>265</v>
      </c>
      <c r="BM276" t="s">
        <v>1906</v>
      </c>
      <c r="BN276" t="s">
        <v>74</v>
      </c>
      <c r="BO276" t="s">
        <v>186</v>
      </c>
      <c r="BP276" t="s">
        <v>74</v>
      </c>
      <c r="BQ276" t="s">
        <v>74</v>
      </c>
      <c r="BR276" t="s">
        <v>106</v>
      </c>
      <c r="BS276" t="s">
        <v>1907</v>
      </c>
      <c r="BT276" t="str">
        <f>HYPERLINK("https%3A%2F%2Fwww.webofscience.com%2Fwos%2Fwoscc%2Ffull-record%2FWOS:000937852500001","View Full Record in Web of Science")</f>
        <v>View Full Record in Web of Science</v>
      </c>
    </row>
    <row r="277" spans="1:72" x14ac:dyDescent="0.25">
      <c r="A277" t="s">
        <v>72</v>
      </c>
      <c r="B277" t="s">
        <v>2852</v>
      </c>
      <c r="C277" t="s">
        <v>74</v>
      </c>
      <c r="D277" t="s">
        <v>74</v>
      </c>
      <c r="E277" t="s">
        <v>74</v>
      </c>
      <c r="F277" t="s">
        <v>2853</v>
      </c>
      <c r="G277" t="s">
        <v>74</v>
      </c>
      <c r="H277" t="s">
        <v>74</v>
      </c>
      <c r="I277" s="1" t="s">
        <v>2854</v>
      </c>
      <c r="J277" t="s">
        <v>2855</v>
      </c>
      <c r="K277" t="s">
        <v>74</v>
      </c>
      <c r="L277" t="s">
        <v>74</v>
      </c>
      <c r="M277" t="s">
        <v>78</v>
      </c>
      <c r="N277" t="s">
        <v>79</v>
      </c>
      <c r="O277" t="s">
        <v>74</v>
      </c>
      <c r="P277" t="s">
        <v>74</v>
      </c>
      <c r="Q277" t="s">
        <v>74</v>
      </c>
      <c r="R277" t="s">
        <v>74</v>
      </c>
      <c r="S277" t="s">
        <v>74</v>
      </c>
      <c r="T277" s="1" t="s">
        <v>2856</v>
      </c>
      <c r="U277" s="1" t="s">
        <v>2857</v>
      </c>
      <c r="V277" s="1" t="s">
        <v>2858</v>
      </c>
      <c r="W277" t="s">
        <v>2859</v>
      </c>
      <c r="X277" t="s">
        <v>2860</v>
      </c>
      <c r="Y277" t="s">
        <v>2861</v>
      </c>
      <c r="Z277" t="s">
        <v>2862</v>
      </c>
      <c r="AA277" t="s">
        <v>2863</v>
      </c>
      <c r="AB277" t="s">
        <v>2864</v>
      </c>
      <c r="AC277" t="s">
        <v>2865</v>
      </c>
      <c r="AD277" t="s">
        <v>2866</v>
      </c>
      <c r="AE277" t="s">
        <v>2867</v>
      </c>
      <c r="AF277" t="s">
        <v>74</v>
      </c>
      <c r="AG277">
        <v>54</v>
      </c>
      <c r="AH277">
        <v>3</v>
      </c>
      <c r="AI277">
        <v>3</v>
      </c>
      <c r="AJ277">
        <v>4</v>
      </c>
      <c r="AK277">
        <v>12</v>
      </c>
      <c r="AL277" t="s">
        <v>174</v>
      </c>
      <c r="AM277" t="s">
        <v>175</v>
      </c>
      <c r="AN277" t="s">
        <v>176</v>
      </c>
      <c r="AO277" t="s">
        <v>2868</v>
      </c>
      <c r="AP277" t="s">
        <v>74</v>
      </c>
      <c r="AQ277" t="s">
        <v>74</v>
      </c>
      <c r="AR277" t="s">
        <v>2869</v>
      </c>
      <c r="AS277" t="s">
        <v>2870</v>
      </c>
      <c r="AT277" t="s">
        <v>2871</v>
      </c>
      <c r="AU277">
        <v>2022</v>
      </c>
      <c r="AV277">
        <v>20</v>
      </c>
      <c r="AW277">
        <v>1</v>
      </c>
      <c r="AX277" t="s">
        <v>74</v>
      </c>
      <c r="AY277" t="s">
        <v>74</v>
      </c>
      <c r="AZ277" t="s">
        <v>74</v>
      </c>
      <c r="BA277" t="s">
        <v>74</v>
      </c>
      <c r="BB277" t="s">
        <v>74</v>
      </c>
      <c r="BC277" t="s">
        <v>74</v>
      </c>
      <c r="BD277">
        <v>341</v>
      </c>
      <c r="BE277" t="s">
        <v>2872</v>
      </c>
      <c r="BF277" t="str">
        <f>HYPERLINK("http://dx.doi.org/10.1186/s12916-022-02538-3","http://dx.doi.org/10.1186/s12916-022-02538-3")</f>
        <v>http://dx.doi.org/10.1186/s12916-022-02538-3</v>
      </c>
      <c r="BG277" t="s">
        <v>74</v>
      </c>
      <c r="BH277" t="s">
        <v>74</v>
      </c>
      <c r="BI277">
        <v>15</v>
      </c>
      <c r="BJ277" t="s">
        <v>840</v>
      </c>
      <c r="BK277" t="s">
        <v>102</v>
      </c>
      <c r="BL277" t="s">
        <v>841</v>
      </c>
      <c r="BM277" t="s">
        <v>2873</v>
      </c>
      <c r="BN277">
        <v>36210434</v>
      </c>
      <c r="BO277" t="s">
        <v>2874</v>
      </c>
      <c r="BP277" t="s">
        <v>74</v>
      </c>
      <c r="BQ277" t="s">
        <v>74</v>
      </c>
      <c r="BR277" t="s">
        <v>106</v>
      </c>
      <c r="BS277" t="s">
        <v>2875</v>
      </c>
      <c r="BT277" t="str">
        <f>HYPERLINK("https%3A%2F%2Fwww.webofscience.com%2Fwos%2Fwoscc%2Ffull-record%2FWOS:000865342400001","View Full Record in Web of Science")</f>
        <v>View Full Record in Web of Science</v>
      </c>
    </row>
    <row r="278" spans="1:72" x14ac:dyDescent="0.25">
      <c r="A278" t="s">
        <v>72</v>
      </c>
      <c r="B278" t="s">
        <v>2915</v>
      </c>
      <c r="C278" t="s">
        <v>74</v>
      </c>
      <c r="D278" t="s">
        <v>74</v>
      </c>
      <c r="E278" t="s">
        <v>74</v>
      </c>
      <c r="F278" t="s">
        <v>2916</v>
      </c>
      <c r="G278" t="s">
        <v>74</v>
      </c>
      <c r="H278" t="s">
        <v>74</v>
      </c>
      <c r="I278" s="1" t="s">
        <v>2917</v>
      </c>
      <c r="J278" t="s">
        <v>191</v>
      </c>
      <c r="K278" t="s">
        <v>74</v>
      </c>
      <c r="L278" t="s">
        <v>74</v>
      </c>
      <c r="M278" t="s">
        <v>78</v>
      </c>
      <c r="N278" t="s">
        <v>79</v>
      </c>
      <c r="O278" t="s">
        <v>74</v>
      </c>
      <c r="P278" t="s">
        <v>74</v>
      </c>
      <c r="Q278" t="s">
        <v>74</v>
      </c>
      <c r="R278" t="s">
        <v>74</v>
      </c>
      <c r="S278" t="s">
        <v>74</v>
      </c>
      <c r="T278" s="1" t="s">
        <v>2918</v>
      </c>
      <c r="U278" s="1" t="s">
        <v>2919</v>
      </c>
      <c r="V278" s="1" t="s">
        <v>2920</v>
      </c>
      <c r="W278" t="s">
        <v>2921</v>
      </c>
      <c r="X278" t="s">
        <v>2922</v>
      </c>
      <c r="Y278" t="s">
        <v>2923</v>
      </c>
      <c r="Z278" t="s">
        <v>2924</v>
      </c>
      <c r="AA278" t="s">
        <v>74</v>
      </c>
      <c r="AB278" t="s">
        <v>2925</v>
      </c>
      <c r="AC278" t="s">
        <v>2926</v>
      </c>
      <c r="AD278" t="s">
        <v>2927</v>
      </c>
      <c r="AE278" t="s">
        <v>2928</v>
      </c>
      <c r="AF278" t="s">
        <v>74</v>
      </c>
      <c r="AG278">
        <v>74</v>
      </c>
      <c r="AH278">
        <v>3</v>
      </c>
      <c r="AI278">
        <v>3</v>
      </c>
      <c r="AJ278">
        <v>25</v>
      </c>
      <c r="AK278">
        <v>57</v>
      </c>
      <c r="AL278" t="s">
        <v>202</v>
      </c>
      <c r="AM278" t="s">
        <v>203</v>
      </c>
      <c r="AN278" t="s">
        <v>204</v>
      </c>
      <c r="AO278" t="s">
        <v>74</v>
      </c>
      <c r="AP278" t="s">
        <v>205</v>
      </c>
      <c r="AQ278" t="s">
        <v>74</v>
      </c>
      <c r="AR278" t="s">
        <v>206</v>
      </c>
      <c r="AS278" t="s">
        <v>207</v>
      </c>
      <c r="AT278" t="s">
        <v>208</v>
      </c>
      <c r="AU278">
        <v>2022</v>
      </c>
      <c r="AV278">
        <v>14</v>
      </c>
      <c r="AW278">
        <v>19</v>
      </c>
      <c r="AX278" t="s">
        <v>74</v>
      </c>
      <c r="AY278" t="s">
        <v>74</v>
      </c>
      <c r="AZ278" t="s">
        <v>74</v>
      </c>
      <c r="BA278" t="s">
        <v>74</v>
      </c>
      <c r="BB278" t="s">
        <v>74</v>
      </c>
      <c r="BC278" t="s">
        <v>74</v>
      </c>
      <c r="BD278">
        <v>11954</v>
      </c>
      <c r="BE278" t="s">
        <v>2929</v>
      </c>
      <c r="BF278" t="str">
        <f>HYPERLINK("http://dx.doi.org/10.3390/su141911954","http://dx.doi.org/10.3390/su141911954")</f>
        <v>http://dx.doi.org/10.3390/su141911954</v>
      </c>
      <c r="BG278" t="s">
        <v>74</v>
      </c>
      <c r="BH278" t="s">
        <v>74</v>
      </c>
      <c r="BI278">
        <v>18</v>
      </c>
      <c r="BJ278" t="s">
        <v>210</v>
      </c>
      <c r="BK278" t="s">
        <v>211</v>
      </c>
      <c r="BL278" t="s">
        <v>212</v>
      </c>
      <c r="BM278" t="s">
        <v>2930</v>
      </c>
      <c r="BN278" t="s">
        <v>74</v>
      </c>
      <c r="BO278" t="s">
        <v>186</v>
      </c>
      <c r="BP278" t="s">
        <v>74</v>
      </c>
      <c r="BQ278" t="s">
        <v>74</v>
      </c>
      <c r="BR278" t="s">
        <v>106</v>
      </c>
      <c r="BS278" t="s">
        <v>2931</v>
      </c>
      <c r="BT278" t="str">
        <f>HYPERLINK("https%3A%2F%2Fwww.webofscience.com%2Fwos%2Fwoscc%2Ffull-record%2FWOS:000867262000001","View Full Record in Web of Science")</f>
        <v>View Full Record in Web of Science</v>
      </c>
    </row>
    <row r="279" spans="1:72" x14ac:dyDescent="0.25">
      <c r="A279" t="s">
        <v>72</v>
      </c>
      <c r="B279" t="s">
        <v>3158</v>
      </c>
      <c r="C279" t="s">
        <v>74</v>
      </c>
      <c r="D279" t="s">
        <v>74</v>
      </c>
      <c r="E279" t="s">
        <v>74</v>
      </c>
      <c r="F279" t="s">
        <v>3159</v>
      </c>
      <c r="G279" t="s">
        <v>74</v>
      </c>
      <c r="H279" t="s">
        <v>74</v>
      </c>
      <c r="I279" s="1" t="s">
        <v>3160</v>
      </c>
      <c r="J279" t="s">
        <v>527</v>
      </c>
      <c r="K279" t="s">
        <v>74</v>
      </c>
      <c r="L279" t="s">
        <v>74</v>
      </c>
      <c r="M279" t="s">
        <v>78</v>
      </c>
      <c r="N279" t="s">
        <v>79</v>
      </c>
      <c r="O279" t="s">
        <v>74</v>
      </c>
      <c r="P279" t="s">
        <v>74</v>
      </c>
      <c r="Q279" t="s">
        <v>74</v>
      </c>
      <c r="R279" t="s">
        <v>74</v>
      </c>
      <c r="S279" t="s">
        <v>74</v>
      </c>
      <c r="T279" s="1" t="s">
        <v>3161</v>
      </c>
      <c r="U279" s="1" t="s">
        <v>3162</v>
      </c>
      <c r="V279" s="1" t="s">
        <v>3163</v>
      </c>
      <c r="W279" t="s">
        <v>3164</v>
      </c>
      <c r="X279" t="s">
        <v>3165</v>
      </c>
      <c r="Y279" t="s">
        <v>3166</v>
      </c>
      <c r="Z279" t="s">
        <v>3167</v>
      </c>
      <c r="AA279" t="s">
        <v>3168</v>
      </c>
      <c r="AB279" t="s">
        <v>3169</v>
      </c>
      <c r="AC279" t="s">
        <v>3170</v>
      </c>
      <c r="AD279" t="s">
        <v>3171</v>
      </c>
      <c r="AE279" t="s">
        <v>3172</v>
      </c>
      <c r="AF279" t="s">
        <v>74</v>
      </c>
      <c r="AG279">
        <v>87</v>
      </c>
      <c r="AH279">
        <v>3</v>
      </c>
      <c r="AI279">
        <v>3</v>
      </c>
      <c r="AJ279">
        <v>96</v>
      </c>
      <c r="AK279">
        <v>245</v>
      </c>
      <c r="AL279" t="s">
        <v>254</v>
      </c>
      <c r="AM279" t="s">
        <v>255</v>
      </c>
      <c r="AN279" t="s">
        <v>256</v>
      </c>
      <c r="AO279" t="s">
        <v>540</v>
      </c>
      <c r="AP279" t="s">
        <v>541</v>
      </c>
      <c r="AQ279" t="s">
        <v>74</v>
      </c>
      <c r="AR279" t="s">
        <v>542</v>
      </c>
      <c r="AS279" t="s">
        <v>543</v>
      </c>
      <c r="AT279" t="s">
        <v>2068</v>
      </c>
      <c r="AU279">
        <v>2023</v>
      </c>
      <c r="AV279">
        <v>30</v>
      </c>
      <c r="AW279">
        <v>4</v>
      </c>
      <c r="AX279" t="s">
        <v>74</v>
      </c>
      <c r="AY279" t="s">
        <v>74</v>
      </c>
      <c r="AZ279" t="s">
        <v>74</v>
      </c>
      <c r="BA279" t="s">
        <v>74</v>
      </c>
      <c r="BB279">
        <v>10867</v>
      </c>
      <c r="BC279">
        <v>10879</v>
      </c>
      <c r="BD279" t="s">
        <v>74</v>
      </c>
      <c r="BE279" t="s">
        <v>3173</v>
      </c>
      <c r="BF279" t="str">
        <f>HYPERLINK("http://dx.doi.org/10.1007/s11356-022-22917-w","http://dx.doi.org/10.1007/s11356-022-22917-w")</f>
        <v>http://dx.doi.org/10.1007/s11356-022-22917-w</v>
      </c>
      <c r="BG279" t="s">
        <v>74</v>
      </c>
      <c r="BH279" t="s">
        <v>3049</v>
      </c>
      <c r="BI279">
        <v>13</v>
      </c>
      <c r="BJ279" t="s">
        <v>545</v>
      </c>
      <c r="BK279" t="s">
        <v>102</v>
      </c>
      <c r="BL279" t="s">
        <v>546</v>
      </c>
      <c r="BM279" t="s">
        <v>3174</v>
      </c>
      <c r="BN279">
        <v>36087176</v>
      </c>
      <c r="BO279" t="s">
        <v>3175</v>
      </c>
      <c r="BP279" t="s">
        <v>74</v>
      </c>
      <c r="BQ279" t="s">
        <v>74</v>
      </c>
      <c r="BR279" t="s">
        <v>106</v>
      </c>
      <c r="BS279" t="s">
        <v>3176</v>
      </c>
      <c r="BT279" t="str">
        <f>HYPERLINK("https%3A%2F%2Fwww.webofscience.com%2Fwos%2Fwoscc%2Ffull-record%2FWOS:000852342500013","View Full Record in Web of Science")</f>
        <v>View Full Record in Web of Science</v>
      </c>
    </row>
    <row r="280" spans="1:72" x14ac:dyDescent="0.25">
      <c r="A280" t="s">
        <v>72</v>
      </c>
      <c r="B280" t="s">
        <v>3312</v>
      </c>
      <c r="C280" t="s">
        <v>74</v>
      </c>
      <c r="D280" t="s">
        <v>74</v>
      </c>
      <c r="E280" t="s">
        <v>74</v>
      </c>
      <c r="F280" t="s">
        <v>3313</v>
      </c>
      <c r="G280" t="s">
        <v>74</v>
      </c>
      <c r="H280" t="s">
        <v>74</v>
      </c>
      <c r="I280" s="1" t="s">
        <v>3314</v>
      </c>
      <c r="J280" t="s">
        <v>3315</v>
      </c>
      <c r="K280" t="s">
        <v>74</v>
      </c>
      <c r="L280" t="s">
        <v>74</v>
      </c>
      <c r="M280" t="s">
        <v>78</v>
      </c>
      <c r="N280" t="s">
        <v>79</v>
      </c>
      <c r="O280" t="s">
        <v>74</v>
      </c>
      <c r="P280" t="s">
        <v>74</v>
      </c>
      <c r="Q280" t="s">
        <v>74</v>
      </c>
      <c r="R280" t="s">
        <v>74</v>
      </c>
      <c r="S280" t="s">
        <v>74</v>
      </c>
      <c r="T280" s="1" t="s">
        <v>3316</v>
      </c>
      <c r="U280" s="1" t="s">
        <v>74</v>
      </c>
      <c r="V280" s="1" t="s">
        <v>3317</v>
      </c>
      <c r="W280" t="s">
        <v>3318</v>
      </c>
      <c r="X280" t="s">
        <v>3319</v>
      </c>
      <c r="Y280" t="s">
        <v>3320</v>
      </c>
      <c r="Z280" t="s">
        <v>3321</v>
      </c>
      <c r="AA280" t="s">
        <v>3322</v>
      </c>
      <c r="AB280" t="s">
        <v>3323</v>
      </c>
      <c r="AC280" t="s">
        <v>3324</v>
      </c>
      <c r="AD280" t="s">
        <v>3325</v>
      </c>
      <c r="AE280" t="s">
        <v>3326</v>
      </c>
      <c r="AF280" t="s">
        <v>74</v>
      </c>
      <c r="AG280">
        <v>55</v>
      </c>
      <c r="AH280">
        <v>3</v>
      </c>
      <c r="AI280">
        <v>3</v>
      </c>
      <c r="AJ280">
        <v>2</v>
      </c>
      <c r="AK280">
        <v>10</v>
      </c>
      <c r="AL280" t="s">
        <v>3327</v>
      </c>
      <c r="AM280" t="s">
        <v>3328</v>
      </c>
      <c r="AN280" t="s">
        <v>3329</v>
      </c>
      <c r="AO280" t="s">
        <v>3330</v>
      </c>
      <c r="AP280" t="s">
        <v>74</v>
      </c>
      <c r="AQ280" t="s">
        <v>74</v>
      </c>
      <c r="AR280" t="s">
        <v>3331</v>
      </c>
      <c r="AS280" t="s">
        <v>3332</v>
      </c>
      <c r="AT280" t="s">
        <v>356</v>
      </c>
      <c r="AU280">
        <v>2022</v>
      </c>
      <c r="AV280">
        <v>10</v>
      </c>
      <c r="AW280">
        <v>1</v>
      </c>
      <c r="AX280" t="s">
        <v>74</v>
      </c>
      <c r="AY280" t="s">
        <v>74</v>
      </c>
      <c r="AZ280" t="s">
        <v>74</v>
      </c>
      <c r="BA280" t="s">
        <v>74</v>
      </c>
      <c r="BB280">
        <v>175</v>
      </c>
      <c r="BC280">
        <v>199</v>
      </c>
      <c r="BD280" t="s">
        <v>74</v>
      </c>
      <c r="BE280" t="s">
        <v>3333</v>
      </c>
      <c r="BF280" t="str">
        <f>HYPERLINK("http://dx.doi.org/10.9770/jesi.2022.10.1(9)","http://dx.doi.org/10.9770/jesi.2022.10.1(9)")</f>
        <v>http://dx.doi.org/10.9770/jesi.2022.10.1(9)</v>
      </c>
      <c r="BG280" t="s">
        <v>74</v>
      </c>
      <c r="BH280" t="s">
        <v>74</v>
      </c>
      <c r="BI280">
        <v>25</v>
      </c>
      <c r="BJ280" t="s">
        <v>1023</v>
      </c>
      <c r="BK280" t="s">
        <v>183</v>
      </c>
      <c r="BL280" t="s">
        <v>265</v>
      </c>
      <c r="BM280" t="s">
        <v>3334</v>
      </c>
      <c r="BN280" t="s">
        <v>74</v>
      </c>
      <c r="BO280" t="s">
        <v>186</v>
      </c>
      <c r="BP280" t="s">
        <v>74</v>
      </c>
      <c r="BQ280" t="s">
        <v>74</v>
      </c>
      <c r="BR280" t="s">
        <v>106</v>
      </c>
      <c r="BS280" t="s">
        <v>3335</v>
      </c>
      <c r="BT280" t="str">
        <f>HYPERLINK("https%3A%2F%2Fwww.webofscience.com%2Fwos%2Fwoscc%2Ffull-record%2FWOS:000890397700001","View Full Record in Web of Science")</f>
        <v>View Full Record in Web of Science</v>
      </c>
    </row>
    <row r="281" spans="1:72" x14ac:dyDescent="0.25">
      <c r="A281" t="s">
        <v>72</v>
      </c>
      <c r="B281" t="s">
        <v>3487</v>
      </c>
      <c r="C281" t="s">
        <v>74</v>
      </c>
      <c r="D281" t="s">
        <v>74</v>
      </c>
      <c r="E281" t="s">
        <v>74</v>
      </c>
      <c r="F281" t="s">
        <v>3488</v>
      </c>
      <c r="G281" t="s">
        <v>74</v>
      </c>
      <c r="H281" t="s">
        <v>74</v>
      </c>
      <c r="I281" s="1" t="s">
        <v>3489</v>
      </c>
      <c r="J281" t="s">
        <v>3490</v>
      </c>
      <c r="K281" t="s">
        <v>74</v>
      </c>
      <c r="L281" t="s">
        <v>74</v>
      </c>
      <c r="M281" t="s">
        <v>78</v>
      </c>
      <c r="N281" t="s">
        <v>79</v>
      </c>
      <c r="O281" t="s">
        <v>74</v>
      </c>
      <c r="P281" t="s">
        <v>74</v>
      </c>
      <c r="Q281" t="s">
        <v>74</v>
      </c>
      <c r="R281" t="s">
        <v>74</v>
      </c>
      <c r="S281" t="s">
        <v>74</v>
      </c>
      <c r="T281" s="1" t="s">
        <v>3491</v>
      </c>
      <c r="U281" s="1" t="s">
        <v>3492</v>
      </c>
      <c r="V281" s="1" t="s">
        <v>3493</v>
      </c>
      <c r="W281" t="s">
        <v>3494</v>
      </c>
      <c r="X281" t="s">
        <v>3495</v>
      </c>
      <c r="Y281" t="s">
        <v>3496</v>
      </c>
      <c r="Z281" t="s">
        <v>3497</v>
      </c>
      <c r="AA281" t="s">
        <v>74</v>
      </c>
      <c r="AB281" t="s">
        <v>74</v>
      </c>
      <c r="AC281" t="s">
        <v>3498</v>
      </c>
      <c r="AD281" t="s">
        <v>3499</v>
      </c>
      <c r="AE281" t="s">
        <v>3500</v>
      </c>
      <c r="AF281" t="s">
        <v>74</v>
      </c>
      <c r="AG281">
        <v>34</v>
      </c>
      <c r="AH281">
        <v>3</v>
      </c>
      <c r="AI281">
        <v>3</v>
      </c>
      <c r="AJ281">
        <v>1</v>
      </c>
      <c r="AK281">
        <v>5</v>
      </c>
      <c r="AL281" t="s">
        <v>492</v>
      </c>
      <c r="AM281" t="s">
        <v>493</v>
      </c>
      <c r="AN281" t="s">
        <v>494</v>
      </c>
      <c r="AO281" t="s">
        <v>3501</v>
      </c>
      <c r="AP281" t="s">
        <v>3502</v>
      </c>
      <c r="AQ281" t="s">
        <v>74</v>
      </c>
      <c r="AR281" t="s">
        <v>3503</v>
      </c>
      <c r="AS281" t="s">
        <v>3504</v>
      </c>
      <c r="AT281" t="s">
        <v>3505</v>
      </c>
      <c r="AU281">
        <v>2023</v>
      </c>
      <c r="AV281">
        <v>33</v>
      </c>
      <c r="AW281">
        <v>1</v>
      </c>
      <c r="AX281" t="s">
        <v>74</v>
      </c>
      <c r="AY281" t="s">
        <v>74</v>
      </c>
      <c r="AZ281" t="s">
        <v>1020</v>
      </c>
      <c r="BA281" t="s">
        <v>74</v>
      </c>
      <c r="BB281">
        <v>22</v>
      </c>
      <c r="BC281">
        <v>38</v>
      </c>
      <c r="BD281" t="s">
        <v>74</v>
      </c>
      <c r="BE281" t="s">
        <v>3506</v>
      </c>
      <c r="BF281" t="str">
        <f>HYPERLINK("http://dx.doi.org/10.1080/10301763.2022.2111987","http://dx.doi.org/10.1080/10301763.2022.2111987")</f>
        <v>http://dx.doi.org/10.1080/10301763.2022.2111987</v>
      </c>
      <c r="BG281" t="s">
        <v>74</v>
      </c>
      <c r="BH281" t="s">
        <v>3464</v>
      </c>
      <c r="BI281">
        <v>17</v>
      </c>
      <c r="BJ281" t="s">
        <v>3507</v>
      </c>
      <c r="BK281" t="s">
        <v>183</v>
      </c>
      <c r="BL281" t="s">
        <v>265</v>
      </c>
      <c r="BM281" t="s">
        <v>3508</v>
      </c>
      <c r="BN281" t="s">
        <v>74</v>
      </c>
      <c r="BO281" t="s">
        <v>74</v>
      </c>
      <c r="BP281" t="s">
        <v>74</v>
      </c>
      <c r="BQ281" t="s">
        <v>74</v>
      </c>
      <c r="BR281" t="s">
        <v>106</v>
      </c>
      <c r="BS281" t="s">
        <v>3509</v>
      </c>
      <c r="BT281" t="str">
        <f>HYPERLINK("https%3A%2F%2Fwww.webofscience.com%2Fwos%2Fwoscc%2Ffull-record%2FWOS:000844955300001","View Full Record in Web of Science")</f>
        <v>View Full Record in Web of Science</v>
      </c>
    </row>
    <row r="282" spans="1:72" x14ac:dyDescent="0.25">
      <c r="A282" t="s">
        <v>72</v>
      </c>
      <c r="B282" t="s">
        <v>3809</v>
      </c>
      <c r="C282" t="s">
        <v>74</v>
      </c>
      <c r="D282" t="s">
        <v>74</v>
      </c>
      <c r="E282" t="s">
        <v>74</v>
      </c>
      <c r="F282" t="s">
        <v>3810</v>
      </c>
      <c r="G282" t="s">
        <v>74</v>
      </c>
      <c r="H282" t="s">
        <v>74</v>
      </c>
      <c r="I282" s="1" t="s">
        <v>3811</v>
      </c>
      <c r="J282" t="s">
        <v>2675</v>
      </c>
      <c r="K282" t="s">
        <v>74</v>
      </c>
      <c r="L282" t="s">
        <v>74</v>
      </c>
      <c r="M282" t="s">
        <v>78</v>
      </c>
      <c r="N282" t="s">
        <v>79</v>
      </c>
      <c r="O282" t="s">
        <v>74</v>
      </c>
      <c r="P282" t="s">
        <v>74</v>
      </c>
      <c r="Q282" t="s">
        <v>74</v>
      </c>
      <c r="R282" t="s">
        <v>74</v>
      </c>
      <c r="S282" t="s">
        <v>74</v>
      </c>
      <c r="T282" s="1" t="s">
        <v>3812</v>
      </c>
      <c r="U282" s="1" t="s">
        <v>3813</v>
      </c>
      <c r="V282" s="1" t="s">
        <v>3814</v>
      </c>
      <c r="W282" t="s">
        <v>3815</v>
      </c>
      <c r="X282" t="s">
        <v>3816</v>
      </c>
      <c r="Y282" t="s">
        <v>3817</v>
      </c>
      <c r="Z282" t="s">
        <v>3818</v>
      </c>
      <c r="AA282" t="s">
        <v>74</v>
      </c>
      <c r="AB282" t="s">
        <v>3819</v>
      </c>
      <c r="AC282" t="s">
        <v>3820</v>
      </c>
      <c r="AD282" t="s">
        <v>3821</v>
      </c>
      <c r="AE282" t="s">
        <v>3822</v>
      </c>
      <c r="AF282" t="s">
        <v>74</v>
      </c>
      <c r="AG282">
        <v>66</v>
      </c>
      <c r="AH282">
        <v>3</v>
      </c>
      <c r="AI282">
        <v>3</v>
      </c>
      <c r="AJ282">
        <v>1</v>
      </c>
      <c r="AK282">
        <v>3</v>
      </c>
      <c r="AL282" t="s">
        <v>2128</v>
      </c>
      <c r="AM282" t="s">
        <v>2129</v>
      </c>
      <c r="AN282" t="s">
        <v>3823</v>
      </c>
      <c r="AO282" t="s">
        <v>2688</v>
      </c>
      <c r="AP282" t="s">
        <v>74</v>
      </c>
      <c r="AQ282" t="s">
        <v>74</v>
      </c>
      <c r="AR282" t="s">
        <v>2689</v>
      </c>
      <c r="AS282" t="s">
        <v>2690</v>
      </c>
      <c r="AT282" t="s">
        <v>3824</v>
      </c>
      <c r="AU282">
        <v>2022</v>
      </c>
      <c r="AV282">
        <v>24</v>
      </c>
      <c r="AW282">
        <v>7</v>
      </c>
      <c r="AX282" t="s">
        <v>74</v>
      </c>
      <c r="AY282" t="s">
        <v>74</v>
      </c>
      <c r="AZ282" t="s">
        <v>74</v>
      </c>
      <c r="BA282" t="s">
        <v>74</v>
      </c>
      <c r="BB282" t="s">
        <v>74</v>
      </c>
      <c r="BC282" t="s">
        <v>74</v>
      </c>
      <c r="BD282" t="s">
        <v>3825</v>
      </c>
      <c r="BE282" t="s">
        <v>3826</v>
      </c>
      <c r="BF282" t="str">
        <f>HYPERLINK("http://dx.doi.org/10.2196/35884","http://dx.doi.org/10.2196/35884")</f>
        <v>http://dx.doi.org/10.2196/35884</v>
      </c>
      <c r="BG282" t="s">
        <v>74</v>
      </c>
      <c r="BH282" t="s">
        <v>74</v>
      </c>
      <c r="BI282">
        <v>12</v>
      </c>
      <c r="BJ282" t="s">
        <v>1390</v>
      </c>
      <c r="BK282" t="s">
        <v>102</v>
      </c>
      <c r="BL282" t="s">
        <v>1390</v>
      </c>
      <c r="BM282" t="s">
        <v>3827</v>
      </c>
      <c r="BN282">
        <v>35787512</v>
      </c>
      <c r="BO282" t="s">
        <v>3828</v>
      </c>
      <c r="BP282" t="s">
        <v>74</v>
      </c>
      <c r="BQ282" t="s">
        <v>74</v>
      </c>
      <c r="BR282" t="s">
        <v>106</v>
      </c>
      <c r="BS282" t="s">
        <v>3829</v>
      </c>
      <c r="BT282" t="str">
        <f>HYPERLINK("https%3A%2F%2Fwww.webofscience.com%2Fwos%2Fwoscc%2Ffull-record%2FWOS:000828200900002","View Full Record in Web of Science")</f>
        <v>View Full Record in Web of Science</v>
      </c>
    </row>
    <row r="283" spans="1:72" x14ac:dyDescent="0.25">
      <c r="A283" t="s">
        <v>72</v>
      </c>
      <c r="B283" t="s">
        <v>4701</v>
      </c>
      <c r="C283" t="s">
        <v>74</v>
      </c>
      <c r="D283" t="s">
        <v>74</v>
      </c>
      <c r="E283" t="s">
        <v>74</v>
      </c>
      <c r="F283" t="s">
        <v>4702</v>
      </c>
      <c r="G283" t="s">
        <v>74</v>
      </c>
      <c r="H283" t="s">
        <v>74</v>
      </c>
      <c r="I283" s="1" t="s">
        <v>4703</v>
      </c>
      <c r="J283" t="s">
        <v>4704</v>
      </c>
      <c r="K283" t="s">
        <v>74</v>
      </c>
      <c r="L283" t="s">
        <v>74</v>
      </c>
      <c r="M283" t="s">
        <v>78</v>
      </c>
      <c r="N283" t="s">
        <v>79</v>
      </c>
      <c r="O283" t="s">
        <v>74</v>
      </c>
      <c r="P283" t="s">
        <v>74</v>
      </c>
      <c r="Q283" t="s">
        <v>74</v>
      </c>
      <c r="R283" t="s">
        <v>74</v>
      </c>
      <c r="S283" t="s">
        <v>74</v>
      </c>
      <c r="T283" s="1" t="s">
        <v>4705</v>
      </c>
      <c r="U283" s="1" t="s">
        <v>4706</v>
      </c>
      <c r="V283" s="1" t="s">
        <v>4707</v>
      </c>
      <c r="W283" t="s">
        <v>4708</v>
      </c>
      <c r="X283" t="s">
        <v>4709</v>
      </c>
      <c r="Y283" t="s">
        <v>4710</v>
      </c>
      <c r="Z283" t="s">
        <v>4711</v>
      </c>
      <c r="AA283" t="s">
        <v>74</v>
      </c>
      <c r="AB283" t="s">
        <v>74</v>
      </c>
      <c r="AC283" t="s">
        <v>4712</v>
      </c>
      <c r="AD283" t="s">
        <v>4713</v>
      </c>
      <c r="AE283" t="s">
        <v>4714</v>
      </c>
      <c r="AF283" t="s">
        <v>74</v>
      </c>
      <c r="AG283">
        <v>36</v>
      </c>
      <c r="AH283">
        <v>3</v>
      </c>
      <c r="AI283">
        <v>3</v>
      </c>
      <c r="AJ283">
        <v>3</v>
      </c>
      <c r="AK283">
        <v>14</v>
      </c>
      <c r="AL283" t="s">
        <v>4715</v>
      </c>
      <c r="AM283" t="s">
        <v>4716</v>
      </c>
      <c r="AN283" t="s">
        <v>4717</v>
      </c>
      <c r="AO283" t="s">
        <v>4718</v>
      </c>
      <c r="AP283" t="s">
        <v>4719</v>
      </c>
      <c r="AQ283" t="s">
        <v>74</v>
      </c>
      <c r="AR283" t="s">
        <v>4720</v>
      </c>
      <c r="AS283" t="s">
        <v>4721</v>
      </c>
      <c r="AT283" t="s">
        <v>1904</v>
      </c>
      <c r="AU283">
        <v>2022</v>
      </c>
      <c r="AV283">
        <v>49</v>
      </c>
      <c r="AW283">
        <v>2</v>
      </c>
      <c r="AX283" t="s">
        <v>74</v>
      </c>
      <c r="AY283" t="s">
        <v>74</v>
      </c>
      <c r="AZ283" t="s">
        <v>74</v>
      </c>
      <c r="BA283" t="s">
        <v>74</v>
      </c>
      <c r="BB283">
        <v>171</v>
      </c>
      <c r="BC283">
        <v>182</v>
      </c>
      <c r="BD283" t="s">
        <v>74</v>
      </c>
      <c r="BE283" t="s">
        <v>4722</v>
      </c>
      <c r="BF283" t="str">
        <f>HYPERLINK("http://dx.doi.org/10.1139/cjce-2020-0762","http://dx.doi.org/10.1139/cjce-2020-0762")</f>
        <v>http://dx.doi.org/10.1139/cjce-2020-0762</v>
      </c>
      <c r="BG283" t="s">
        <v>74</v>
      </c>
      <c r="BH283" t="s">
        <v>74</v>
      </c>
      <c r="BI283">
        <v>12</v>
      </c>
      <c r="BJ283" t="s">
        <v>1684</v>
      </c>
      <c r="BK283" t="s">
        <v>102</v>
      </c>
      <c r="BL283" t="s">
        <v>1685</v>
      </c>
      <c r="BM283" t="s">
        <v>4723</v>
      </c>
      <c r="BN283" t="s">
        <v>74</v>
      </c>
      <c r="BO283" t="s">
        <v>74</v>
      </c>
      <c r="BP283" t="s">
        <v>74</v>
      </c>
      <c r="BQ283" t="s">
        <v>74</v>
      </c>
      <c r="BR283" t="s">
        <v>106</v>
      </c>
      <c r="BS283" t="s">
        <v>4724</v>
      </c>
      <c r="BT283" t="str">
        <f>HYPERLINK("https%3A%2F%2Fwww.webofscience.com%2Fwos%2Fwoscc%2Ffull-record%2FWOS:000749915700004","View Full Record in Web of Science")</f>
        <v>View Full Record in Web of Science</v>
      </c>
    </row>
    <row r="284" spans="1:72" x14ac:dyDescent="0.25">
      <c r="A284" t="s">
        <v>72</v>
      </c>
      <c r="B284" t="s">
        <v>5025</v>
      </c>
      <c r="C284" t="s">
        <v>74</v>
      </c>
      <c r="D284" t="s">
        <v>74</v>
      </c>
      <c r="E284" t="s">
        <v>74</v>
      </c>
      <c r="F284" t="s">
        <v>5026</v>
      </c>
      <c r="G284" t="s">
        <v>74</v>
      </c>
      <c r="H284" t="s">
        <v>74</v>
      </c>
      <c r="I284" s="1" t="s">
        <v>5027</v>
      </c>
      <c r="J284" t="s">
        <v>3986</v>
      </c>
      <c r="K284" t="s">
        <v>74</v>
      </c>
      <c r="L284" t="s">
        <v>74</v>
      </c>
      <c r="M284" t="s">
        <v>78</v>
      </c>
      <c r="N284" t="s">
        <v>79</v>
      </c>
      <c r="O284" t="s">
        <v>74</v>
      </c>
      <c r="P284" t="s">
        <v>74</v>
      </c>
      <c r="Q284" t="s">
        <v>74</v>
      </c>
      <c r="R284" t="s">
        <v>74</v>
      </c>
      <c r="S284" t="s">
        <v>74</v>
      </c>
      <c r="T284" s="1" t="s">
        <v>5028</v>
      </c>
      <c r="U284" s="1" t="s">
        <v>5029</v>
      </c>
      <c r="V284" s="1" t="s">
        <v>5030</v>
      </c>
      <c r="W284" t="s">
        <v>5031</v>
      </c>
      <c r="X284" t="s">
        <v>5032</v>
      </c>
      <c r="Y284" t="s">
        <v>5033</v>
      </c>
      <c r="Z284" t="s">
        <v>5034</v>
      </c>
      <c r="AA284" t="s">
        <v>5035</v>
      </c>
      <c r="AB284" t="s">
        <v>5036</v>
      </c>
      <c r="AC284" t="s">
        <v>74</v>
      </c>
      <c r="AD284" t="s">
        <v>74</v>
      </c>
      <c r="AE284" t="s">
        <v>74</v>
      </c>
      <c r="AF284" t="s">
        <v>74</v>
      </c>
      <c r="AG284">
        <v>84</v>
      </c>
      <c r="AH284">
        <v>3</v>
      </c>
      <c r="AI284">
        <v>3</v>
      </c>
      <c r="AJ284">
        <v>10</v>
      </c>
      <c r="AK284">
        <v>38</v>
      </c>
      <c r="AL284" t="s">
        <v>202</v>
      </c>
      <c r="AM284" t="s">
        <v>203</v>
      </c>
      <c r="AN284" t="s">
        <v>204</v>
      </c>
      <c r="AO284" t="s">
        <v>74</v>
      </c>
      <c r="AP284" t="s">
        <v>3996</v>
      </c>
      <c r="AQ284" t="s">
        <v>74</v>
      </c>
      <c r="AR284" t="s">
        <v>3997</v>
      </c>
      <c r="AS284" t="s">
        <v>3998</v>
      </c>
      <c r="AT284" t="s">
        <v>2068</v>
      </c>
      <c r="AU284">
        <v>2022</v>
      </c>
      <c r="AV284">
        <v>22</v>
      </c>
      <c r="AW284">
        <v>1</v>
      </c>
      <c r="AX284" t="s">
        <v>74</v>
      </c>
      <c r="AY284" t="s">
        <v>74</v>
      </c>
      <c r="AZ284" t="s">
        <v>74</v>
      </c>
      <c r="BA284" t="s">
        <v>74</v>
      </c>
      <c r="BB284" t="s">
        <v>74</v>
      </c>
      <c r="BC284" t="s">
        <v>74</v>
      </c>
      <c r="BD284">
        <v>274</v>
      </c>
      <c r="BE284" t="s">
        <v>5037</v>
      </c>
      <c r="BF284" t="str">
        <f>HYPERLINK("http://dx.doi.org/10.3390/s22010274","http://dx.doi.org/10.3390/s22010274")</f>
        <v>http://dx.doi.org/10.3390/s22010274</v>
      </c>
      <c r="BG284" t="s">
        <v>74</v>
      </c>
      <c r="BH284" t="s">
        <v>74</v>
      </c>
      <c r="BI284">
        <v>14</v>
      </c>
      <c r="BJ284" t="s">
        <v>4000</v>
      </c>
      <c r="BK284" t="s">
        <v>102</v>
      </c>
      <c r="BL284" t="s">
        <v>4001</v>
      </c>
      <c r="BM284" t="s">
        <v>5038</v>
      </c>
      <c r="BN284">
        <v>35009816</v>
      </c>
      <c r="BO284" t="s">
        <v>422</v>
      </c>
      <c r="BP284" t="s">
        <v>74</v>
      </c>
      <c r="BQ284" t="s">
        <v>74</v>
      </c>
      <c r="BR284" t="s">
        <v>106</v>
      </c>
      <c r="BS284" t="s">
        <v>5039</v>
      </c>
      <c r="BT284" t="str">
        <f>HYPERLINK("https%3A%2F%2Fwww.webofscience.com%2Fwos%2Fwoscc%2Ffull-record%2FWOS:000741378600001","View Full Record in Web of Science")</f>
        <v>View Full Record in Web of Science</v>
      </c>
    </row>
    <row r="285" spans="1:72" x14ac:dyDescent="0.25">
      <c r="A285" t="s">
        <v>72</v>
      </c>
      <c r="B285" t="s">
        <v>5128</v>
      </c>
      <c r="C285" t="s">
        <v>74</v>
      </c>
      <c r="D285" t="s">
        <v>74</v>
      </c>
      <c r="E285" t="s">
        <v>74</v>
      </c>
      <c r="F285" t="s">
        <v>5129</v>
      </c>
      <c r="G285" t="s">
        <v>74</v>
      </c>
      <c r="H285" t="s">
        <v>74</v>
      </c>
      <c r="I285" s="1" t="s">
        <v>5130</v>
      </c>
      <c r="J285" t="s">
        <v>2199</v>
      </c>
      <c r="K285" t="s">
        <v>74</v>
      </c>
      <c r="L285" t="s">
        <v>74</v>
      </c>
      <c r="M285" t="s">
        <v>78</v>
      </c>
      <c r="N285" t="s">
        <v>79</v>
      </c>
      <c r="O285" t="s">
        <v>74</v>
      </c>
      <c r="P285" t="s">
        <v>74</v>
      </c>
      <c r="Q285" t="s">
        <v>74</v>
      </c>
      <c r="R285" t="s">
        <v>74</v>
      </c>
      <c r="S285" t="s">
        <v>74</v>
      </c>
      <c r="T285" s="1" t="s">
        <v>5131</v>
      </c>
      <c r="U285" s="1" t="s">
        <v>5132</v>
      </c>
      <c r="V285" s="1" t="s">
        <v>5133</v>
      </c>
      <c r="W285" t="s">
        <v>5134</v>
      </c>
      <c r="X285" t="s">
        <v>5135</v>
      </c>
      <c r="Y285" t="s">
        <v>5136</v>
      </c>
      <c r="Z285" t="s">
        <v>5137</v>
      </c>
      <c r="AA285" t="s">
        <v>5138</v>
      </c>
      <c r="AB285" t="s">
        <v>5139</v>
      </c>
      <c r="AC285" t="s">
        <v>74</v>
      </c>
      <c r="AD285" t="s">
        <v>74</v>
      </c>
      <c r="AE285" t="s">
        <v>74</v>
      </c>
      <c r="AF285" t="s">
        <v>74</v>
      </c>
      <c r="AG285">
        <v>61</v>
      </c>
      <c r="AH285">
        <v>3</v>
      </c>
      <c r="AI285">
        <v>3</v>
      </c>
      <c r="AJ285">
        <v>6</v>
      </c>
      <c r="AK285">
        <v>15</v>
      </c>
      <c r="AL285" t="s">
        <v>2211</v>
      </c>
      <c r="AM285" t="s">
        <v>2212</v>
      </c>
      <c r="AN285" t="s">
        <v>2213</v>
      </c>
      <c r="AO285" t="s">
        <v>2214</v>
      </c>
      <c r="AP285" t="s">
        <v>74</v>
      </c>
      <c r="AQ285" t="s">
        <v>74</v>
      </c>
      <c r="AR285" t="s">
        <v>2215</v>
      </c>
      <c r="AS285" t="s">
        <v>2216</v>
      </c>
      <c r="AT285" t="s">
        <v>74</v>
      </c>
      <c r="AU285">
        <v>2022</v>
      </c>
      <c r="AV285">
        <v>10</v>
      </c>
      <c r="AW285">
        <v>3</v>
      </c>
      <c r="AX285" t="s">
        <v>74</v>
      </c>
      <c r="AY285" t="s">
        <v>74</v>
      </c>
      <c r="AZ285" t="s">
        <v>74</v>
      </c>
      <c r="BA285" t="s">
        <v>74</v>
      </c>
      <c r="BB285">
        <v>28</v>
      </c>
      <c r="BC285">
        <v>38</v>
      </c>
      <c r="BD285" t="s">
        <v>74</v>
      </c>
      <c r="BE285" t="s">
        <v>5140</v>
      </c>
      <c r="BF285" t="str">
        <f>HYPERLINK("http://dx.doi.org/10.17645/mac.v10i3.5363","http://dx.doi.org/10.17645/mac.v10i3.5363")</f>
        <v>http://dx.doi.org/10.17645/mac.v10i3.5363</v>
      </c>
      <c r="BG285" t="s">
        <v>74</v>
      </c>
      <c r="BH285" t="s">
        <v>74</v>
      </c>
      <c r="BI285">
        <v>11</v>
      </c>
      <c r="BJ285" t="s">
        <v>2218</v>
      </c>
      <c r="BK285" t="s">
        <v>156</v>
      </c>
      <c r="BL285" t="s">
        <v>2218</v>
      </c>
      <c r="BM285" t="s">
        <v>5141</v>
      </c>
      <c r="BN285" t="s">
        <v>74</v>
      </c>
      <c r="BO285" t="s">
        <v>422</v>
      </c>
      <c r="BP285" t="s">
        <v>74</v>
      </c>
      <c r="BQ285" t="s">
        <v>74</v>
      </c>
      <c r="BR285" t="s">
        <v>106</v>
      </c>
      <c r="BS285" t="s">
        <v>5142</v>
      </c>
      <c r="BT285" t="str">
        <f>HYPERLINK("https%3A%2F%2Fwww.webofscience.com%2Fwos%2Fwoscc%2Ffull-record%2FWOS:000838651500004","View Full Record in Web of Science")</f>
        <v>View Full Record in Web of Science</v>
      </c>
    </row>
    <row r="286" spans="1:72" x14ac:dyDescent="0.25">
      <c r="A286" t="s">
        <v>72</v>
      </c>
      <c r="B286" t="s">
        <v>6142</v>
      </c>
      <c r="C286" t="s">
        <v>74</v>
      </c>
      <c r="D286" t="s">
        <v>74</v>
      </c>
      <c r="E286" t="s">
        <v>74</v>
      </c>
      <c r="F286" t="s">
        <v>6143</v>
      </c>
      <c r="G286" t="s">
        <v>74</v>
      </c>
      <c r="H286" t="s">
        <v>74</v>
      </c>
      <c r="I286" s="1" t="s">
        <v>6144</v>
      </c>
      <c r="J286" t="s">
        <v>6145</v>
      </c>
      <c r="K286" t="s">
        <v>74</v>
      </c>
      <c r="L286" t="s">
        <v>74</v>
      </c>
      <c r="M286" t="s">
        <v>78</v>
      </c>
      <c r="N286" t="s">
        <v>79</v>
      </c>
      <c r="O286" t="s">
        <v>74</v>
      </c>
      <c r="P286" t="s">
        <v>74</v>
      </c>
      <c r="Q286" t="s">
        <v>74</v>
      </c>
      <c r="R286" t="s">
        <v>74</v>
      </c>
      <c r="S286" t="s">
        <v>74</v>
      </c>
      <c r="T286" s="1" t="s">
        <v>6146</v>
      </c>
      <c r="U286" s="1" t="s">
        <v>74</v>
      </c>
      <c r="V286" s="1" t="s">
        <v>6147</v>
      </c>
      <c r="W286" t="s">
        <v>6148</v>
      </c>
      <c r="X286" t="s">
        <v>6149</v>
      </c>
      <c r="Y286" t="s">
        <v>6150</v>
      </c>
      <c r="Z286" t="s">
        <v>6151</v>
      </c>
      <c r="AA286" t="s">
        <v>74</v>
      </c>
      <c r="AB286" t="s">
        <v>6152</v>
      </c>
      <c r="AC286" t="s">
        <v>74</v>
      </c>
      <c r="AD286" t="s">
        <v>74</v>
      </c>
      <c r="AE286" t="s">
        <v>74</v>
      </c>
      <c r="AF286" t="s">
        <v>74</v>
      </c>
      <c r="AG286">
        <v>13</v>
      </c>
      <c r="AH286">
        <v>3</v>
      </c>
      <c r="AI286">
        <v>3</v>
      </c>
      <c r="AJ286">
        <v>14</v>
      </c>
      <c r="AK286">
        <v>60</v>
      </c>
      <c r="AL286" t="s">
        <v>6153</v>
      </c>
      <c r="AM286" t="s">
        <v>6154</v>
      </c>
      <c r="AN286" t="s">
        <v>6155</v>
      </c>
      <c r="AO286" t="s">
        <v>6156</v>
      </c>
      <c r="AP286" t="s">
        <v>6157</v>
      </c>
      <c r="AQ286" t="s">
        <v>74</v>
      </c>
      <c r="AR286" t="s">
        <v>6158</v>
      </c>
      <c r="AS286" t="s">
        <v>6159</v>
      </c>
      <c r="AT286" t="s">
        <v>837</v>
      </c>
      <c r="AU286">
        <v>2021</v>
      </c>
      <c r="AV286">
        <v>28</v>
      </c>
      <c r="AW286">
        <v>4</v>
      </c>
      <c r="AX286" t="s">
        <v>74</v>
      </c>
      <c r="AY286" t="s">
        <v>74</v>
      </c>
      <c r="AZ286" t="s">
        <v>74</v>
      </c>
      <c r="BA286" t="s">
        <v>74</v>
      </c>
      <c r="BB286">
        <v>1262</v>
      </c>
      <c r="BC286">
        <v>1267</v>
      </c>
      <c r="BD286" t="s">
        <v>74</v>
      </c>
      <c r="BE286" t="s">
        <v>6160</v>
      </c>
      <c r="BF286" t="str">
        <f>HYPERLINK("http://dx.doi.org/10.17559/TV-20200924091906","http://dx.doi.org/10.17559/TV-20200924091906")</f>
        <v>http://dx.doi.org/10.17559/TV-20200924091906</v>
      </c>
      <c r="BG286" t="s">
        <v>74</v>
      </c>
      <c r="BH286" t="s">
        <v>74</v>
      </c>
      <c r="BI286">
        <v>6</v>
      </c>
      <c r="BJ286" t="s">
        <v>2113</v>
      </c>
      <c r="BK286" t="s">
        <v>102</v>
      </c>
      <c r="BL286" t="s">
        <v>1685</v>
      </c>
      <c r="BM286" t="s">
        <v>6161</v>
      </c>
      <c r="BN286" t="s">
        <v>74</v>
      </c>
      <c r="BO286" t="s">
        <v>186</v>
      </c>
      <c r="BP286" t="s">
        <v>74</v>
      </c>
      <c r="BQ286" t="s">
        <v>74</v>
      </c>
      <c r="BR286" t="s">
        <v>106</v>
      </c>
      <c r="BS286" t="s">
        <v>6162</v>
      </c>
      <c r="BT286" t="str">
        <f>HYPERLINK("https%3A%2F%2Fwww.webofscience.com%2Fwos%2Fwoscc%2Ffull-record%2FWOS:000675891000025","View Full Record in Web of Science")</f>
        <v>View Full Record in Web of Science</v>
      </c>
    </row>
    <row r="287" spans="1:72" x14ac:dyDescent="0.25">
      <c r="A287" t="s">
        <v>72</v>
      </c>
      <c r="B287" t="s">
        <v>6180</v>
      </c>
      <c r="C287" t="s">
        <v>74</v>
      </c>
      <c r="D287" t="s">
        <v>74</v>
      </c>
      <c r="E287" t="s">
        <v>74</v>
      </c>
      <c r="F287" t="s">
        <v>6181</v>
      </c>
      <c r="G287" t="s">
        <v>74</v>
      </c>
      <c r="H287" t="s">
        <v>74</v>
      </c>
      <c r="I287" s="1" t="s">
        <v>6182</v>
      </c>
      <c r="J287" t="s">
        <v>6183</v>
      </c>
      <c r="K287" t="s">
        <v>74</v>
      </c>
      <c r="L287" t="s">
        <v>74</v>
      </c>
      <c r="M287" t="s">
        <v>78</v>
      </c>
      <c r="N287" t="s">
        <v>79</v>
      </c>
      <c r="O287" t="s">
        <v>74</v>
      </c>
      <c r="P287" t="s">
        <v>74</v>
      </c>
      <c r="Q287" t="s">
        <v>74</v>
      </c>
      <c r="R287" t="s">
        <v>74</v>
      </c>
      <c r="S287" t="s">
        <v>74</v>
      </c>
      <c r="T287" s="1" t="s">
        <v>6184</v>
      </c>
      <c r="U287" s="1" t="s">
        <v>74</v>
      </c>
      <c r="V287" s="1" t="s">
        <v>6185</v>
      </c>
      <c r="W287" t="s">
        <v>6186</v>
      </c>
      <c r="X287" t="s">
        <v>6187</v>
      </c>
      <c r="Y287" t="s">
        <v>6188</v>
      </c>
      <c r="Z287" t="s">
        <v>6189</v>
      </c>
      <c r="AA287" t="s">
        <v>6190</v>
      </c>
      <c r="AB287" t="s">
        <v>6191</v>
      </c>
      <c r="AC287" t="s">
        <v>74</v>
      </c>
      <c r="AD287" t="s">
        <v>74</v>
      </c>
      <c r="AE287" t="s">
        <v>74</v>
      </c>
      <c r="AF287" t="s">
        <v>74</v>
      </c>
      <c r="AG287">
        <v>16</v>
      </c>
      <c r="AH287">
        <v>3</v>
      </c>
      <c r="AI287">
        <v>3</v>
      </c>
      <c r="AJ287">
        <v>0</v>
      </c>
      <c r="AK287">
        <v>2</v>
      </c>
      <c r="AL287" t="s">
        <v>492</v>
      </c>
      <c r="AM287" t="s">
        <v>493</v>
      </c>
      <c r="AN287" t="s">
        <v>494</v>
      </c>
      <c r="AO287" t="s">
        <v>6192</v>
      </c>
      <c r="AP287" t="s">
        <v>6193</v>
      </c>
      <c r="AQ287" t="s">
        <v>74</v>
      </c>
      <c r="AR287" t="s">
        <v>6194</v>
      </c>
      <c r="AS287" t="s">
        <v>6195</v>
      </c>
      <c r="AT287" t="s">
        <v>5681</v>
      </c>
      <c r="AU287">
        <v>2021</v>
      </c>
      <c r="AV287">
        <v>17</v>
      </c>
      <c r="AW287">
        <v>3</v>
      </c>
      <c r="AX287" t="s">
        <v>74</v>
      </c>
      <c r="AY287" t="s">
        <v>74</v>
      </c>
      <c r="AZ287" t="s">
        <v>74</v>
      </c>
      <c r="BA287" t="s">
        <v>74</v>
      </c>
      <c r="BB287">
        <v>248</v>
      </c>
      <c r="BC287">
        <v>256</v>
      </c>
      <c r="BD287" t="s">
        <v>74</v>
      </c>
      <c r="BE287" t="s">
        <v>6196</v>
      </c>
      <c r="BF287" t="str">
        <f>HYPERLINK("http://dx.doi.org/10.1080/15504263.2021.1940413","http://dx.doi.org/10.1080/15504263.2021.1940413")</f>
        <v>http://dx.doi.org/10.1080/15504263.2021.1940413</v>
      </c>
      <c r="BG287" t="s">
        <v>74</v>
      </c>
      <c r="BH287" t="s">
        <v>6177</v>
      </c>
      <c r="BI287">
        <v>9</v>
      </c>
      <c r="BJ287" t="s">
        <v>6197</v>
      </c>
      <c r="BK287" t="s">
        <v>156</v>
      </c>
      <c r="BL287" t="s">
        <v>6198</v>
      </c>
      <c r="BM287" t="s">
        <v>6199</v>
      </c>
      <c r="BN287">
        <v>34165030</v>
      </c>
      <c r="BO287" t="s">
        <v>74</v>
      </c>
      <c r="BP287" t="s">
        <v>74</v>
      </c>
      <c r="BQ287" t="s">
        <v>74</v>
      </c>
      <c r="BR287" t="s">
        <v>106</v>
      </c>
      <c r="BS287" t="s">
        <v>6200</v>
      </c>
      <c r="BT287" t="str">
        <f>HYPERLINK("https%3A%2F%2Fwww.webofscience.com%2Fwos%2Fwoscc%2Ffull-record%2FWOS:000665659700001","View Full Record in Web of Science")</f>
        <v>View Full Record in Web of Science</v>
      </c>
    </row>
    <row r="288" spans="1:72" x14ac:dyDescent="0.25">
      <c r="A288" t="s">
        <v>72</v>
      </c>
      <c r="B288" t="s">
        <v>6271</v>
      </c>
      <c r="C288" t="s">
        <v>74</v>
      </c>
      <c r="D288" t="s">
        <v>74</v>
      </c>
      <c r="E288" t="s">
        <v>74</v>
      </c>
      <c r="F288" t="s">
        <v>6272</v>
      </c>
      <c r="G288" t="s">
        <v>74</v>
      </c>
      <c r="H288" t="s">
        <v>74</v>
      </c>
      <c r="I288" s="1" t="s">
        <v>6273</v>
      </c>
      <c r="J288" t="s">
        <v>4381</v>
      </c>
      <c r="K288" t="s">
        <v>74</v>
      </c>
      <c r="L288" t="s">
        <v>74</v>
      </c>
      <c r="M288" t="s">
        <v>78</v>
      </c>
      <c r="N288" t="s">
        <v>79</v>
      </c>
      <c r="O288" t="s">
        <v>74</v>
      </c>
      <c r="P288" t="s">
        <v>74</v>
      </c>
      <c r="Q288" t="s">
        <v>74</v>
      </c>
      <c r="R288" t="s">
        <v>74</v>
      </c>
      <c r="S288" t="s">
        <v>74</v>
      </c>
      <c r="T288" s="1" t="s">
        <v>6274</v>
      </c>
      <c r="U288" s="1" t="s">
        <v>6275</v>
      </c>
      <c r="V288" s="1" t="s">
        <v>6276</v>
      </c>
      <c r="W288" t="s">
        <v>6277</v>
      </c>
      <c r="X288" t="s">
        <v>6278</v>
      </c>
      <c r="Y288" t="s">
        <v>6279</v>
      </c>
      <c r="Z288" t="s">
        <v>6280</v>
      </c>
      <c r="AA288" t="s">
        <v>6281</v>
      </c>
      <c r="AB288" t="s">
        <v>6282</v>
      </c>
      <c r="AC288" t="s">
        <v>74</v>
      </c>
      <c r="AD288" t="s">
        <v>74</v>
      </c>
      <c r="AE288" t="s">
        <v>74</v>
      </c>
      <c r="AF288" t="s">
        <v>74</v>
      </c>
      <c r="AG288">
        <v>71</v>
      </c>
      <c r="AH288">
        <v>3</v>
      </c>
      <c r="AI288">
        <v>3</v>
      </c>
      <c r="AJ288">
        <v>2</v>
      </c>
      <c r="AK288">
        <v>29</v>
      </c>
      <c r="AL288" t="s">
        <v>715</v>
      </c>
      <c r="AM288" t="s">
        <v>716</v>
      </c>
      <c r="AN288" t="s">
        <v>717</v>
      </c>
      <c r="AO288" t="s">
        <v>4393</v>
      </c>
      <c r="AP288" t="s">
        <v>4394</v>
      </c>
      <c r="AQ288" t="s">
        <v>74</v>
      </c>
      <c r="AR288" t="s">
        <v>4395</v>
      </c>
      <c r="AS288" t="s">
        <v>4396</v>
      </c>
      <c r="AT288" t="s">
        <v>6283</v>
      </c>
      <c r="AU288">
        <v>2022</v>
      </c>
      <c r="AV288">
        <v>26</v>
      </c>
      <c r="AW288">
        <v>2</v>
      </c>
      <c r="AX288" t="s">
        <v>74</v>
      </c>
      <c r="AY288" t="s">
        <v>74</v>
      </c>
      <c r="AZ288" t="s">
        <v>74</v>
      </c>
      <c r="BA288" t="s">
        <v>74</v>
      </c>
      <c r="BB288">
        <v>247</v>
      </c>
      <c r="BC288">
        <v>265</v>
      </c>
      <c r="BD288" t="s">
        <v>74</v>
      </c>
      <c r="BE288" t="s">
        <v>6284</v>
      </c>
      <c r="BF288" t="str">
        <f>HYPERLINK("http://dx.doi.org/10.1108/JFMM-10-2020-0222","http://dx.doi.org/10.1108/JFMM-10-2020-0222")</f>
        <v>http://dx.doi.org/10.1108/JFMM-10-2020-0222</v>
      </c>
      <c r="BG288" t="s">
        <v>74</v>
      </c>
      <c r="BH288" t="s">
        <v>6177</v>
      </c>
      <c r="BI288">
        <v>19</v>
      </c>
      <c r="BJ288" t="s">
        <v>264</v>
      </c>
      <c r="BK288" t="s">
        <v>156</v>
      </c>
      <c r="BL288" t="s">
        <v>265</v>
      </c>
      <c r="BM288" t="s">
        <v>6285</v>
      </c>
      <c r="BN288" t="s">
        <v>74</v>
      </c>
      <c r="BO288" t="s">
        <v>74</v>
      </c>
      <c r="BP288" t="s">
        <v>74</v>
      </c>
      <c r="BQ288" t="s">
        <v>74</v>
      </c>
      <c r="BR288" t="s">
        <v>106</v>
      </c>
      <c r="BS288" t="s">
        <v>6286</v>
      </c>
      <c r="BT288" t="str">
        <f>HYPERLINK("https%3A%2F%2Fwww.webofscience.com%2Fwos%2Fwoscc%2Ffull-record%2FWOS:000658314900001","View Full Record in Web of Science")</f>
        <v>View Full Record in Web of Science</v>
      </c>
    </row>
    <row r="289" spans="1:72" x14ac:dyDescent="0.25">
      <c r="A289" t="s">
        <v>72</v>
      </c>
      <c r="B289" t="s">
        <v>6326</v>
      </c>
      <c r="C289" t="s">
        <v>74</v>
      </c>
      <c r="D289" t="s">
        <v>74</v>
      </c>
      <c r="E289" t="s">
        <v>74</v>
      </c>
      <c r="F289" t="s">
        <v>6327</v>
      </c>
      <c r="G289" t="s">
        <v>74</v>
      </c>
      <c r="H289" t="s">
        <v>74</v>
      </c>
      <c r="I289" s="1" t="s">
        <v>6328</v>
      </c>
      <c r="J289" t="s">
        <v>6329</v>
      </c>
      <c r="K289" t="s">
        <v>74</v>
      </c>
      <c r="L289" t="s">
        <v>74</v>
      </c>
      <c r="M289" t="s">
        <v>78</v>
      </c>
      <c r="N289" t="s">
        <v>79</v>
      </c>
      <c r="O289" t="s">
        <v>74</v>
      </c>
      <c r="P289" t="s">
        <v>74</v>
      </c>
      <c r="Q289" t="s">
        <v>74</v>
      </c>
      <c r="R289" t="s">
        <v>74</v>
      </c>
      <c r="S289" t="s">
        <v>74</v>
      </c>
      <c r="T289" s="1" t="s">
        <v>6330</v>
      </c>
      <c r="U289" s="1" t="s">
        <v>74</v>
      </c>
      <c r="V289" s="1" t="s">
        <v>6331</v>
      </c>
      <c r="W289" t="s">
        <v>6332</v>
      </c>
      <c r="X289" t="s">
        <v>6333</v>
      </c>
      <c r="Y289" t="s">
        <v>6334</v>
      </c>
      <c r="Z289" t="s">
        <v>6335</v>
      </c>
      <c r="AA289" t="s">
        <v>74</v>
      </c>
      <c r="AB289" t="s">
        <v>6336</v>
      </c>
      <c r="AC289" t="s">
        <v>74</v>
      </c>
      <c r="AD289" t="s">
        <v>74</v>
      </c>
      <c r="AE289" t="s">
        <v>74</v>
      </c>
      <c r="AF289" t="s">
        <v>74</v>
      </c>
      <c r="AG289">
        <v>35</v>
      </c>
      <c r="AH289">
        <v>3</v>
      </c>
      <c r="AI289">
        <v>3</v>
      </c>
      <c r="AJ289">
        <v>3</v>
      </c>
      <c r="AK289">
        <v>42</v>
      </c>
      <c r="AL289" t="s">
        <v>1423</v>
      </c>
      <c r="AM289" t="s">
        <v>1424</v>
      </c>
      <c r="AN289" t="s">
        <v>1425</v>
      </c>
      <c r="AO289" t="s">
        <v>6337</v>
      </c>
      <c r="AP289" t="s">
        <v>6338</v>
      </c>
      <c r="AQ289" t="s">
        <v>74</v>
      </c>
      <c r="AR289" t="s">
        <v>6339</v>
      </c>
      <c r="AS289" t="s">
        <v>6340</v>
      </c>
      <c r="AT289" t="s">
        <v>1138</v>
      </c>
      <c r="AU289">
        <v>2021</v>
      </c>
      <c r="AV289">
        <v>29</v>
      </c>
      <c r="AW289">
        <v>2</v>
      </c>
      <c r="AX289" t="s">
        <v>74</v>
      </c>
      <c r="AY289" t="s">
        <v>74</v>
      </c>
      <c r="AZ289" t="s">
        <v>74</v>
      </c>
      <c r="BA289" t="s">
        <v>74</v>
      </c>
      <c r="BB289">
        <v>33</v>
      </c>
      <c r="BC289">
        <v>62</v>
      </c>
      <c r="BD289" t="s">
        <v>74</v>
      </c>
      <c r="BE289" t="s">
        <v>6341</v>
      </c>
      <c r="BF289" t="str">
        <f>HYPERLINK("http://dx.doi.org/10.7206/cemj.2658-0845.45","http://dx.doi.org/10.7206/cemj.2658-0845.45")</f>
        <v>http://dx.doi.org/10.7206/cemj.2658-0845.45</v>
      </c>
      <c r="BG289" t="s">
        <v>74</v>
      </c>
      <c r="BH289" t="s">
        <v>74</v>
      </c>
      <c r="BI289">
        <v>30</v>
      </c>
      <c r="BJ289" t="s">
        <v>315</v>
      </c>
      <c r="BK289" t="s">
        <v>183</v>
      </c>
      <c r="BL289" t="s">
        <v>265</v>
      </c>
      <c r="BM289" t="s">
        <v>6342</v>
      </c>
      <c r="BN289" t="s">
        <v>74</v>
      </c>
      <c r="BO289" t="s">
        <v>186</v>
      </c>
      <c r="BP289" t="s">
        <v>74</v>
      </c>
      <c r="BQ289" t="s">
        <v>74</v>
      </c>
      <c r="BR289" t="s">
        <v>106</v>
      </c>
      <c r="BS289" t="s">
        <v>6343</v>
      </c>
      <c r="BT289" t="str">
        <f>HYPERLINK("https%3A%2F%2Fwww.webofscience.com%2Fwos%2Fwoscc%2Ffull-record%2FWOS:000672677100002","View Full Record in Web of Science")</f>
        <v>View Full Record in Web of Science</v>
      </c>
    </row>
    <row r="290" spans="1:72" x14ac:dyDescent="0.25">
      <c r="A290" t="s">
        <v>72</v>
      </c>
      <c r="B290" t="s">
        <v>6363</v>
      </c>
      <c r="C290" t="s">
        <v>74</v>
      </c>
      <c r="D290" t="s">
        <v>74</v>
      </c>
      <c r="E290" t="s">
        <v>74</v>
      </c>
      <c r="F290" t="s">
        <v>6364</v>
      </c>
      <c r="G290" t="s">
        <v>74</v>
      </c>
      <c r="H290" t="s">
        <v>74</v>
      </c>
      <c r="I290" s="1" t="s">
        <v>6365</v>
      </c>
      <c r="J290" t="s">
        <v>6366</v>
      </c>
      <c r="K290" t="s">
        <v>74</v>
      </c>
      <c r="L290" t="s">
        <v>74</v>
      </c>
      <c r="M290" t="s">
        <v>78</v>
      </c>
      <c r="N290" t="s">
        <v>79</v>
      </c>
      <c r="O290" t="s">
        <v>74</v>
      </c>
      <c r="P290" t="s">
        <v>74</v>
      </c>
      <c r="Q290" t="s">
        <v>74</v>
      </c>
      <c r="R290" t="s">
        <v>74</v>
      </c>
      <c r="S290" t="s">
        <v>74</v>
      </c>
      <c r="T290" s="1" t="s">
        <v>6367</v>
      </c>
      <c r="U290" s="1" t="s">
        <v>6368</v>
      </c>
      <c r="V290" s="1" t="s">
        <v>6369</v>
      </c>
      <c r="W290" t="s">
        <v>6370</v>
      </c>
      <c r="X290" t="s">
        <v>6371</v>
      </c>
      <c r="Y290" t="s">
        <v>6372</v>
      </c>
      <c r="Z290" t="s">
        <v>6373</v>
      </c>
      <c r="AA290" t="s">
        <v>6374</v>
      </c>
      <c r="AB290" t="s">
        <v>6375</v>
      </c>
      <c r="AC290" t="s">
        <v>6376</v>
      </c>
      <c r="AD290" t="s">
        <v>6376</v>
      </c>
      <c r="AE290" t="s">
        <v>6377</v>
      </c>
      <c r="AF290" t="s">
        <v>74</v>
      </c>
      <c r="AG290">
        <v>81</v>
      </c>
      <c r="AH290">
        <v>3</v>
      </c>
      <c r="AI290">
        <v>3</v>
      </c>
      <c r="AJ290">
        <v>11</v>
      </c>
      <c r="AK290">
        <v>63</v>
      </c>
      <c r="AL290" t="s">
        <v>254</v>
      </c>
      <c r="AM290" t="s">
        <v>255</v>
      </c>
      <c r="AN290" t="s">
        <v>256</v>
      </c>
      <c r="AO290" t="s">
        <v>6378</v>
      </c>
      <c r="AP290" t="s">
        <v>6379</v>
      </c>
      <c r="AQ290" t="s">
        <v>74</v>
      </c>
      <c r="AR290" t="s">
        <v>6380</v>
      </c>
      <c r="AS290" t="s">
        <v>6381</v>
      </c>
      <c r="AT290" t="s">
        <v>1138</v>
      </c>
      <c r="AU290">
        <v>2022</v>
      </c>
      <c r="AV290">
        <v>32</v>
      </c>
      <c r="AW290">
        <v>2</v>
      </c>
      <c r="AX290" t="s">
        <v>74</v>
      </c>
      <c r="AY290" t="s">
        <v>74</v>
      </c>
      <c r="AZ290" t="s">
        <v>74</v>
      </c>
      <c r="BA290" t="s">
        <v>74</v>
      </c>
      <c r="BB290">
        <v>971</v>
      </c>
      <c r="BC290">
        <v>986</v>
      </c>
      <c r="BD290" t="s">
        <v>74</v>
      </c>
      <c r="BE290" t="s">
        <v>6382</v>
      </c>
      <c r="BF290" t="str">
        <f>HYPERLINK("http://dx.doi.org/10.1007/s12525-021-00477-0","http://dx.doi.org/10.1007/s12525-021-00477-0")</f>
        <v>http://dx.doi.org/10.1007/s12525-021-00477-0</v>
      </c>
      <c r="BG290" t="s">
        <v>74</v>
      </c>
      <c r="BH290" t="s">
        <v>6383</v>
      </c>
      <c r="BI290">
        <v>16</v>
      </c>
      <c r="BJ290" t="s">
        <v>264</v>
      </c>
      <c r="BK290" t="s">
        <v>156</v>
      </c>
      <c r="BL290" t="s">
        <v>265</v>
      </c>
      <c r="BM290" t="s">
        <v>6384</v>
      </c>
      <c r="BN290" t="s">
        <v>74</v>
      </c>
      <c r="BO290" t="s">
        <v>105</v>
      </c>
      <c r="BP290" t="s">
        <v>74</v>
      </c>
      <c r="BQ290" t="s">
        <v>74</v>
      </c>
      <c r="BR290" t="s">
        <v>106</v>
      </c>
      <c r="BS290" t="s">
        <v>6385</v>
      </c>
      <c r="BT290" t="str">
        <f>HYPERLINK("https%3A%2F%2Fwww.webofscience.com%2Fwos%2Fwoscc%2Ffull-record%2FWOS:000651362200001","View Full Record in Web of Science")</f>
        <v>View Full Record in Web of Science</v>
      </c>
    </row>
    <row r="291" spans="1:72" x14ac:dyDescent="0.25">
      <c r="A291" t="s">
        <v>72</v>
      </c>
      <c r="B291" t="s">
        <v>6584</v>
      </c>
      <c r="C291" t="s">
        <v>74</v>
      </c>
      <c r="D291" t="s">
        <v>74</v>
      </c>
      <c r="E291" t="s">
        <v>74</v>
      </c>
      <c r="F291" t="s">
        <v>6585</v>
      </c>
      <c r="G291" t="s">
        <v>74</v>
      </c>
      <c r="H291" t="s">
        <v>74</v>
      </c>
      <c r="I291" s="1" t="s">
        <v>6586</v>
      </c>
      <c r="J291" t="s">
        <v>6587</v>
      </c>
      <c r="K291" t="s">
        <v>74</v>
      </c>
      <c r="L291" t="s">
        <v>74</v>
      </c>
      <c r="M291" t="s">
        <v>78</v>
      </c>
      <c r="N291" t="s">
        <v>79</v>
      </c>
      <c r="O291" t="s">
        <v>74</v>
      </c>
      <c r="P291" t="s">
        <v>74</v>
      </c>
      <c r="Q291" t="s">
        <v>74</v>
      </c>
      <c r="R291" t="s">
        <v>74</v>
      </c>
      <c r="S291" t="s">
        <v>74</v>
      </c>
      <c r="T291" s="1" t="s">
        <v>6588</v>
      </c>
      <c r="U291" s="1" t="s">
        <v>6589</v>
      </c>
      <c r="V291" s="1" t="s">
        <v>6590</v>
      </c>
      <c r="W291" t="s">
        <v>6591</v>
      </c>
      <c r="X291" t="s">
        <v>6592</v>
      </c>
      <c r="Y291" t="s">
        <v>6593</v>
      </c>
      <c r="Z291" t="s">
        <v>6594</v>
      </c>
      <c r="AA291" t="s">
        <v>74</v>
      </c>
      <c r="AB291" t="s">
        <v>6595</v>
      </c>
      <c r="AC291" t="s">
        <v>74</v>
      </c>
      <c r="AD291" t="s">
        <v>74</v>
      </c>
      <c r="AE291" t="s">
        <v>74</v>
      </c>
      <c r="AF291" t="s">
        <v>74</v>
      </c>
      <c r="AG291">
        <v>22</v>
      </c>
      <c r="AH291">
        <v>3</v>
      </c>
      <c r="AI291">
        <v>3</v>
      </c>
      <c r="AJ291">
        <v>0</v>
      </c>
      <c r="AK291">
        <v>1</v>
      </c>
      <c r="AL291" t="s">
        <v>2128</v>
      </c>
      <c r="AM291" t="s">
        <v>2129</v>
      </c>
      <c r="AN291" t="s">
        <v>3823</v>
      </c>
      <c r="AO291" t="s">
        <v>6596</v>
      </c>
      <c r="AP291" t="s">
        <v>74</v>
      </c>
      <c r="AQ291" t="s">
        <v>74</v>
      </c>
      <c r="AR291" t="s">
        <v>6597</v>
      </c>
      <c r="AS291" t="s">
        <v>6598</v>
      </c>
      <c r="AT291" t="s">
        <v>4456</v>
      </c>
      <c r="AU291">
        <v>2021</v>
      </c>
      <c r="AV291">
        <v>4</v>
      </c>
      <c r="AW291">
        <v>2</v>
      </c>
      <c r="AX291" t="s">
        <v>74</v>
      </c>
      <c r="AY291" t="s">
        <v>74</v>
      </c>
      <c r="AZ291" t="s">
        <v>74</v>
      </c>
      <c r="BA291" t="s">
        <v>74</v>
      </c>
      <c r="BB291" t="s">
        <v>74</v>
      </c>
      <c r="BC291" t="s">
        <v>74</v>
      </c>
      <c r="BD291" t="s">
        <v>6599</v>
      </c>
      <c r="BE291" t="s">
        <v>6600</v>
      </c>
      <c r="BF291" t="str">
        <f>HYPERLINK("http://dx.doi.org/10.2196/16280","http://dx.doi.org/10.2196/16280")</f>
        <v>http://dx.doi.org/10.2196/16280</v>
      </c>
      <c r="BG291" t="s">
        <v>74</v>
      </c>
      <c r="BH291" t="s">
        <v>74</v>
      </c>
      <c r="BI291">
        <v>15</v>
      </c>
      <c r="BJ291" t="s">
        <v>6601</v>
      </c>
      <c r="BK291" t="s">
        <v>183</v>
      </c>
      <c r="BL291" t="s">
        <v>6601</v>
      </c>
      <c r="BM291" t="s">
        <v>6602</v>
      </c>
      <c r="BN291">
        <v>33904826</v>
      </c>
      <c r="BO291" t="s">
        <v>614</v>
      </c>
      <c r="BP291" t="s">
        <v>74</v>
      </c>
      <c r="BQ291" t="s">
        <v>74</v>
      </c>
      <c r="BR291" t="s">
        <v>106</v>
      </c>
      <c r="BS291" t="s">
        <v>6603</v>
      </c>
      <c r="BT291" t="str">
        <f>HYPERLINK("https%3A%2F%2Fwww.webofscience.com%2Fwos%2Fwoscc%2Ffull-record%2FWOS:000780483300002","View Full Record in Web of Science")</f>
        <v>View Full Record in Web of Science</v>
      </c>
    </row>
    <row r="292" spans="1:72" x14ac:dyDescent="0.25">
      <c r="A292" t="s">
        <v>72</v>
      </c>
      <c r="B292" t="s">
        <v>6821</v>
      </c>
      <c r="C292" t="s">
        <v>74</v>
      </c>
      <c r="D292" t="s">
        <v>74</v>
      </c>
      <c r="E292" t="s">
        <v>74</v>
      </c>
      <c r="F292" t="s">
        <v>6822</v>
      </c>
      <c r="G292" t="s">
        <v>74</v>
      </c>
      <c r="H292" t="s">
        <v>6823</v>
      </c>
      <c r="I292" s="1" t="s">
        <v>6824</v>
      </c>
      <c r="J292" t="s">
        <v>6825</v>
      </c>
      <c r="K292" t="s">
        <v>74</v>
      </c>
      <c r="L292" t="s">
        <v>74</v>
      </c>
      <c r="M292" t="s">
        <v>78</v>
      </c>
      <c r="N292" t="s">
        <v>79</v>
      </c>
      <c r="O292" t="s">
        <v>74</v>
      </c>
      <c r="P292" t="s">
        <v>74</v>
      </c>
      <c r="Q292" t="s">
        <v>74</v>
      </c>
      <c r="R292" t="s">
        <v>74</v>
      </c>
      <c r="S292" t="s">
        <v>74</v>
      </c>
      <c r="T292" s="1" t="s">
        <v>6826</v>
      </c>
      <c r="U292" s="1" t="s">
        <v>6827</v>
      </c>
      <c r="V292" s="1" t="s">
        <v>6828</v>
      </c>
      <c r="W292" t="s">
        <v>6829</v>
      </c>
      <c r="X292" t="s">
        <v>6830</v>
      </c>
      <c r="Y292" t="s">
        <v>6831</v>
      </c>
      <c r="Z292" t="s">
        <v>4073</v>
      </c>
      <c r="AA292" t="s">
        <v>6832</v>
      </c>
      <c r="AB292" t="s">
        <v>6833</v>
      </c>
      <c r="AC292" t="s">
        <v>74</v>
      </c>
      <c r="AD292" t="s">
        <v>74</v>
      </c>
      <c r="AE292" t="s">
        <v>74</v>
      </c>
      <c r="AF292" t="s">
        <v>74</v>
      </c>
      <c r="AG292">
        <v>29</v>
      </c>
      <c r="AH292">
        <v>3</v>
      </c>
      <c r="AI292">
        <v>3</v>
      </c>
      <c r="AJ292">
        <v>5</v>
      </c>
      <c r="AK292">
        <v>13</v>
      </c>
      <c r="AL292" t="s">
        <v>4079</v>
      </c>
      <c r="AM292" t="s">
        <v>4080</v>
      </c>
      <c r="AN292" t="s">
        <v>4081</v>
      </c>
      <c r="AO292" t="s">
        <v>6834</v>
      </c>
      <c r="AP292" t="s">
        <v>74</v>
      </c>
      <c r="AQ292" t="s">
        <v>74</v>
      </c>
      <c r="AR292" t="s">
        <v>6835</v>
      </c>
      <c r="AS292" t="s">
        <v>6836</v>
      </c>
      <c r="AT292" t="s">
        <v>1904</v>
      </c>
      <c r="AU292">
        <v>2021</v>
      </c>
      <c r="AV292">
        <v>8</v>
      </c>
      <c r="AW292">
        <v>2</v>
      </c>
      <c r="AX292" t="s">
        <v>74</v>
      </c>
      <c r="AY292" t="s">
        <v>74</v>
      </c>
      <c r="AZ292" t="s">
        <v>74</v>
      </c>
      <c r="BA292" t="s">
        <v>74</v>
      </c>
      <c r="BB292" t="s">
        <v>74</v>
      </c>
      <c r="BC292" t="s">
        <v>74</v>
      </c>
      <c r="BD292" t="s">
        <v>6837</v>
      </c>
      <c r="BE292" t="s">
        <v>6838</v>
      </c>
      <c r="BF292" t="str">
        <f>HYPERLINK("http://dx.doi.org/10.1093/ofid/ofab027","http://dx.doi.org/10.1093/ofid/ofab027")</f>
        <v>http://dx.doi.org/10.1093/ofid/ofab027</v>
      </c>
      <c r="BG292" t="s">
        <v>74</v>
      </c>
      <c r="BH292" t="s">
        <v>6817</v>
      </c>
      <c r="BI292">
        <v>6</v>
      </c>
      <c r="BJ292" t="s">
        <v>4091</v>
      </c>
      <c r="BK292" t="s">
        <v>102</v>
      </c>
      <c r="BL292" t="s">
        <v>4091</v>
      </c>
      <c r="BM292" t="s">
        <v>6839</v>
      </c>
      <c r="BN292" t="s">
        <v>74</v>
      </c>
      <c r="BO292" t="s">
        <v>422</v>
      </c>
      <c r="BP292" t="s">
        <v>74</v>
      </c>
      <c r="BQ292" t="s">
        <v>74</v>
      </c>
      <c r="BR292" t="s">
        <v>106</v>
      </c>
      <c r="BS292" t="s">
        <v>6840</v>
      </c>
      <c r="BT292" t="str">
        <f>HYPERLINK("https%3A%2F%2Fwww.webofscience.com%2Fwos%2Fwoscc%2Ffull-record%2FWOS:000637323400065","View Full Record in Web of Science")</f>
        <v>View Full Record in Web of Science</v>
      </c>
    </row>
    <row r="293" spans="1:72" x14ac:dyDescent="0.25">
      <c r="A293" t="s">
        <v>72</v>
      </c>
      <c r="B293" t="s">
        <v>6841</v>
      </c>
      <c r="C293" t="s">
        <v>74</v>
      </c>
      <c r="D293" t="s">
        <v>74</v>
      </c>
      <c r="E293" t="s">
        <v>74</v>
      </c>
      <c r="F293" t="s">
        <v>6842</v>
      </c>
      <c r="G293" t="s">
        <v>74</v>
      </c>
      <c r="H293" t="s">
        <v>74</v>
      </c>
      <c r="I293" s="1" t="s">
        <v>6843</v>
      </c>
      <c r="J293" t="s">
        <v>6551</v>
      </c>
      <c r="K293" t="s">
        <v>74</v>
      </c>
      <c r="L293" t="s">
        <v>74</v>
      </c>
      <c r="M293" t="s">
        <v>78</v>
      </c>
      <c r="N293" t="s">
        <v>79</v>
      </c>
      <c r="O293" t="s">
        <v>74</v>
      </c>
      <c r="P293" t="s">
        <v>74</v>
      </c>
      <c r="Q293" t="s">
        <v>74</v>
      </c>
      <c r="R293" t="s">
        <v>74</v>
      </c>
      <c r="S293" t="s">
        <v>74</v>
      </c>
      <c r="T293" s="1" t="s">
        <v>6844</v>
      </c>
      <c r="U293" s="1" t="s">
        <v>74</v>
      </c>
      <c r="V293" s="1" t="s">
        <v>6845</v>
      </c>
      <c r="W293" t="s">
        <v>6846</v>
      </c>
      <c r="X293" t="s">
        <v>1093</v>
      </c>
      <c r="Y293" t="s">
        <v>6847</v>
      </c>
      <c r="Z293" t="s">
        <v>6848</v>
      </c>
      <c r="AA293" t="s">
        <v>74</v>
      </c>
      <c r="AB293" t="s">
        <v>6849</v>
      </c>
      <c r="AC293" t="s">
        <v>74</v>
      </c>
      <c r="AD293" t="s">
        <v>74</v>
      </c>
      <c r="AE293" t="s">
        <v>74</v>
      </c>
      <c r="AF293" t="s">
        <v>74</v>
      </c>
      <c r="AG293">
        <v>48</v>
      </c>
      <c r="AH293">
        <v>3</v>
      </c>
      <c r="AI293">
        <v>3</v>
      </c>
      <c r="AJ293">
        <v>1</v>
      </c>
      <c r="AK293">
        <v>6</v>
      </c>
      <c r="AL293" t="s">
        <v>492</v>
      </c>
      <c r="AM293" t="s">
        <v>493</v>
      </c>
      <c r="AN293" t="s">
        <v>494</v>
      </c>
      <c r="AO293" t="s">
        <v>6560</v>
      </c>
      <c r="AP293" t="s">
        <v>6561</v>
      </c>
      <c r="AQ293" t="s">
        <v>74</v>
      </c>
      <c r="AR293" t="s">
        <v>6562</v>
      </c>
      <c r="AS293" t="s">
        <v>6563</v>
      </c>
      <c r="AT293" t="s">
        <v>6850</v>
      </c>
      <c r="AU293">
        <v>2021</v>
      </c>
      <c r="AV293">
        <v>20</v>
      </c>
      <c r="AW293">
        <v>1</v>
      </c>
      <c r="AX293" t="s">
        <v>74</v>
      </c>
      <c r="AY293" t="s">
        <v>74</v>
      </c>
      <c r="AZ293" t="s">
        <v>74</v>
      </c>
      <c r="BA293" t="s">
        <v>74</v>
      </c>
      <c r="BB293">
        <v>34</v>
      </c>
      <c r="BC293">
        <v>49</v>
      </c>
      <c r="BD293" t="s">
        <v>74</v>
      </c>
      <c r="BE293" t="s">
        <v>6851</v>
      </c>
      <c r="BF293" t="str">
        <f>HYPERLINK("http://dx.doi.org/10.1080/15377857.2020.1869832","http://dx.doi.org/10.1080/15377857.2020.1869832")</f>
        <v>http://dx.doi.org/10.1080/15377857.2020.1869832</v>
      </c>
      <c r="BG293" t="s">
        <v>74</v>
      </c>
      <c r="BH293" t="s">
        <v>6817</v>
      </c>
      <c r="BI293">
        <v>16</v>
      </c>
      <c r="BJ293" t="s">
        <v>1082</v>
      </c>
      <c r="BK293" t="s">
        <v>183</v>
      </c>
      <c r="BL293" t="s">
        <v>379</v>
      </c>
      <c r="BM293" t="s">
        <v>6852</v>
      </c>
      <c r="BN293" t="s">
        <v>74</v>
      </c>
      <c r="BO293" t="s">
        <v>105</v>
      </c>
      <c r="BP293" t="s">
        <v>74</v>
      </c>
      <c r="BQ293" t="s">
        <v>74</v>
      </c>
      <c r="BR293" t="s">
        <v>106</v>
      </c>
      <c r="BS293" t="s">
        <v>6853</v>
      </c>
      <c r="BT293" t="str">
        <f>HYPERLINK("https%3A%2F%2Fwww.webofscience.com%2Fwos%2Fwoscc%2Ffull-record%2FWOS:000628917400001","View Full Record in Web of Science")</f>
        <v>View Full Record in Web of Science</v>
      </c>
    </row>
    <row r="294" spans="1:72" x14ac:dyDescent="0.25">
      <c r="A294" t="s">
        <v>72</v>
      </c>
      <c r="B294" t="s">
        <v>6946</v>
      </c>
      <c r="C294" t="s">
        <v>74</v>
      </c>
      <c r="D294" t="s">
        <v>74</v>
      </c>
      <c r="E294" t="s">
        <v>74</v>
      </c>
      <c r="F294" t="s">
        <v>6947</v>
      </c>
      <c r="G294" t="s">
        <v>74</v>
      </c>
      <c r="H294" t="s">
        <v>74</v>
      </c>
      <c r="I294" s="1" t="s">
        <v>6948</v>
      </c>
      <c r="J294" t="s">
        <v>3986</v>
      </c>
      <c r="K294" t="s">
        <v>74</v>
      </c>
      <c r="L294" t="s">
        <v>74</v>
      </c>
      <c r="M294" t="s">
        <v>78</v>
      </c>
      <c r="N294" t="s">
        <v>79</v>
      </c>
      <c r="O294" t="s">
        <v>74</v>
      </c>
      <c r="P294" t="s">
        <v>74</v>
      </c>
      <c r="Q294" t="s">
        <v>74</v>
      </c>
      <c r="R294" t="s">
        <v>74</v>
      </c>
      <c r="S294" t="s">
        <v>74</v>
      </c>
      <c r="T294" s="1" t="s">
        <v>6949</v>
      </c>
      <c r="U294" s="1" t="s">
        <v>74</v>
      </c>
      <c r="V294" s="1" t="s">
        <v>6950</v>
      </c>
      <c r="W294" t="s">
        <v>6951</v>
      </c>
      <c r="X294" t="s">
        <v>6952</v>
      </c>
      <c r="Y294" t="s">
        <v>6953</v>
      </c>
      <c r="Z294" t="s">
        <v>6954</v>
      </c>
      <c r="AA294" t="s">
        <v>6955</v>
      </c>
      <c r="AB294" t="s">
        <v>6956</v>
      </c>
      <c r="AC294" t="s">
        <v>74</v>
      </c>
      <c r="AD294" t="s">
        <v>74</v>
      </c>
      <c r="AE294" t="s">
        <v>74</v>
      </c>
      <c r="AF294" t="s">
        <v>74</v>
      </c>
      <c r="AG294">
        <v>70</v>
      </c>
      <c r="AH294">
        <v>3</v>
      </c>
      <c r="AI294">
        <v>3</v>
      </c>
      <c r="AJ294">
        <v>3</v>
      </c>
      <c r="AK294">
        <v>19</v>
      </c>
      <c r="AL294" t="s">
        <v>202</v>
      </c>
      <c r="AM294" t="s">
        <v>203</v>
      </c>
      <c r="AN294" t="s">
        <v>204</v>
      </c>
      <c r="AO294" t="s">
        <v>74</v>
      </c>
      <c r="AP294" t="s">
        <v>3996</v>
      </c>
      <c r="AQ294" t="s">
        <v>74</v>
      </c>
      <c r="AR294" t="s">
        <v>3997</v>
      </c>
      <c r="AS294" t="s">
        <v>3998</v>
      </c>
      <c r="AT294" t="s">
        <v>2068</v>
      </c>
      <c r="AU294">
        <v>2021</v>
      </c>
      <c r="AV294">
        <v>21</v>
      </c>
      <c r="AW294">
        <v>2</v>
      </c>
      <c r="AX294" t="s">
        <v>74</v>
      </c>
      <c r="AY294" t="s">
        <v>74</v>
      </c>
      <c r="AZ294" t="s">
        <v>74</v>
      </c>
      <c r="BA294" t="s">
        <v>74</v>
      </c>
      <c r="BB294" t="s">
        <v>74</v>
      </c>
      <c r="BC294" t="s">
        <v>74</v>
      </c>
      <c r="BD294">
        <v>328</v>
      </c>
      <c r="BE294" t="s">
        <v>6957</v>
      </c>
      <c r="BF294" t="str">
        <f>HYPERLINK("http://dx.doi.org/10.3390/s21020328","http://dx.doi.org/10.3390/s21020328")</f>
        <v>http://dx.doi.org/10.3390/s21020328</v>
      </c>
      <c r="BG294" t="s">
        <v>74</v>
      </c>
      <c r="BH294" t="s">
        <v>74</v>
      </c>
      <c r="BI294">
        <v>22</v>
      </c>
      <c r="BJ294" t="s">
        <v>4000</v>
      </c>
      <c r="BK294" t="s">
        <v>211</v>
      </c>
      <c r="BL294" t="s">
        <v>4001</v>
      </c>
      <c r="BM294" t="s">
        <v>6958</v>
      </c>
      <c r="BN294">
        <v>33418918</v>
      </c>
      <c r="BO294" t="s">
        <v>614</v>
      </c>
      <c r="BP294" t="s">
        <v>74</v>
      </c>
      <c r="BQ294" t="s">
        <v>74</v>
      </c>
      <c r="BR294" t="s">
        <v>106</v>
      </c>
      <c r="BS294" t="s">
        <v>6959</v>
      </c>
      <c r="BT294" t="str">
        <f>HYPERLINK("https%3A%2F%2Fwww.webofscience.com%2Fwos%2Fwoscc%2Ffull-record%2FWOS:000611710900001","View Full Record in Web of Science")</f>
        <v>View Full Record in Web of Science</v>
      </c>
    </row>
    <row r="295" spans="1:72" x14ac:dyDescent="0.25">
      <c r="A295" t="s">
        <v>72</v>
      </c>
      <c r="B295" t="s">
        <v>7486</v>
      </c>
      <c r="C295" t="s">
        <v>74</v>
      </c>
      <c r="D295" t="s">
        <v>74</v>
      </c>
      <c r="E295" t="s">
        <v>74</v>
      </c>
      <c r="F295" t="s">
        <v>7487</v>
      </c>
      <c r="G295" t="s">
        <v>74</v>
      </c>
      <c r="H295" t="s">
        <v>74</v>
      </c>
      <c r="I295" s="1" t="s">
        <v>7488</v>
      </c>
      <c r="J295" t="s">
        <v>7489</v>
      </c>
      <c r="K295" t="s">
        <v>74</v>
      </c>
      <c r="L295" t="s">
        <v>74</v>
      </c>
      <c r="M295" t="s">
        <v>78</v>
      </c>
      <c r="N295" t="s">
        <v>79</v>
      </c>
      <c r="O295" t="s">
        <v>74</v>
      </c>
      <c r="P295" t="s">
        <v>74</v>
      </c>
      <c r="Q295" t="s">
        <v>74</v>
      </c>
      <c r="R295" t="s">
        <v>74</v>
      </c>
      <c r="S295" t="s">
        <v>74</v>
      </c>
      <c r="T295" s="1" t="s">
        <v>7490</v>
      </c>
      <c r="U295" s="1" t="s">
        <v>7491</v>
      </c>
      <c r="V295" s="1" t="s">
        <v>7492</v>
      </c>
      <c r="W295" t="s">
        <v>7493</v>
      </c>
      <c r="X295" t="s">
        <v>7494</v>
      </c>
      <c r="Y295" t="s">
        <v>7495</v>
      </c>
      <c r="Z295" t="s">
        <v>7496</v>
      </c>
      <c r="AA295" t="s">
        <v>74</v>
      </c>
      <c r="AB295" t="s">
        <v>7497</v>
      </c>
      <c r="AC295" t="s">
        <v>74</v>
      </c>
      <c r="AD295" t="s">
        <v>74</v>
      </c>
      <c r="AE295" t="s">
        <v>74</v>
      </c>
      <c r="AF295" t="s">
        <v>74</v>
      </c>
      <c r="AG295">
        <v>40</v>
      </c>
      <c r="AH295">
        <v>3</v>
      </c>
      <c r="AI295">
        <v>4</v>
      </c>
      <c r="AJ295">
        <v>0</v>
      </c>
      <c r="AK295">
        <v>2</v>
      </c>
      <c r="AL295" t="s">
        <v>7498</v>
      </c>
      <c r="AM295" t="s">
        <v>7499</v>
      </c>
      <c r="AN295" t="s">
        <v>7500</v>
      </c>
      <c r="AO295" t="s">
        <v>7501</v>
      </c>
      <c r="AP295" t="s">
        <v>7502</v>
      </c>
      <c r="AQ295" t="s">
        <v>74</v>
      </c>
      <c r="AR295" t="s">
        <v>7503</v>
      </c>
      <c r="AS295" t="s">
        <v>7504</v>
      </c>
      <c r="AT295" t="s">
        <v>74</v>
      </c>
      <c r="AU295">
        <v>2021</v>
      </c>
      <c r="AV295">
        <v>29</v>
      </c>
      <c r="AW295" t="s">
        <v>74</v>
      </c>
      <c r="AX295" t="s">
        <v>74</v>
      </c>
      <c r="AY295" t="s">
        <v>74</v>
      </c>
      <c r="AZ295" t="s">
        <v>74</v>
      </c>
      <c r="BA295" t="s">
        <v>74</v>
      </c>
      <c r="BB295" t="s">
        <v>74</v>
      </c>
      <c r="BC295" t="s">
        <v>74</v>
      </c>
      <c r="BD295">
        <v>2446</v>
      </c>
      <c r="BE295" t="s">
        <v>7505</v>
      </c>
      <c r="BF295" t="str">
        <f>HYPERLINK("http://dx.doi.org/10.25304/rlt.v29.2446","http://dx.doi.org/10.25304/rlt.v29.2446")</f>
        <v>http://dx.doi.org/10.25304/rlt.v29.2446</v>
      </c>
      <c r="BG295" t="s">
        <v>74</v>
      </c>
      <c r="BH295" t="s">
        <v>74</v>
      </c>
      <c r="BI295">
        <v>18</v>
      </c>
      <c r="BJ295" t="s">
        <v>1326</v>
      </c>
      <c r="BK295" t="s">
        <v>183</v>
      </c>
      <c r="BL295" t="s">
        <v>1326</v>
      </c>
      <c r="BM295" t="s">
        <v>7506</v>
      </c>
      <c r="BN295" t="s">
        <v>74</v>
      </c>
      <c r="BO295" t="s">
        <v>614</v>
      </c>
      <c r="BP295" t="s">
        <v>74</v>
      </c>
      <c r="BQ295" t="s">
        <v>74</v>
      </c>
      <c r="BR295" t="s">
        <v>106</v>
      </c>
      <c r="BS295" t="s">
        <v>7507</v>
      </c>
      <c r="BT295" t="str">
        <f>HYPERLINK("https%3A%2F%2Fwww.webofscience.com%2Fwos%2Fwoscc%2Ffull-record%2FWOS:000609438900001","View Full Record in Web of Science")</f>
        <v>View Full Record in Web of Science</v>
      </c>
    </row>
    <row r="296" spans="1:72" x14ac:dyDescent="0.25">
      <c r="A296" t="s">
        <v>72</v>
      </c>
      <c r="B296" t="s">
        <v>7542</v>
      </c>
      <c r="C296" t="s">
        <v>74</v>
      </c>
      <c r="D296" t="s">
        <v>74</v>
      </c>
      <c r="E296" t="s">
        <v>74</v>
      </c>
      <c r="F296" t="s">
        <v>7543</v>
      </c>
      <c r="G296" t="s">
        <v>74</v>
      </c>
      <c r="H296" t="s">
        <v>74</v>
      </c>
      <c r="I296" s="1" t="s">
        <v>7544</v>
      </c>
      <c r="J296" t="s">
        <v>7545</v>
      </c>
      <c r="K296" t="s">
        <v>74</v>
      </c>
      <c r="L296" t="s">
        <v>74</v>
      </c>
      <c r="M296" t="s">
        <v>78</v>
      </c>
      <c r="N296" t="s">
        <v>79</v>
      </c>
      <c r="O296" t="s">
        <v>74</v>
      </c>
      <c r="P296" t="s">
        <v>74</v>
      </c>
      <c r="Q296" t="s">
        <v>74</v>
      </c>
      <c r="R296" t="s">
        <v>74</v>
      </c>
      <c r="S296" t="s">
        <v>74</v>
      </c>
      <c r="T296" s="1" t="s">
        <v>7546</v>
      </c>
      <c r="U296" s="1" t="s">
        <v>7547</v>
      </c>
      <c r="V296" s="1" t="s">
        <v>7548</v>
      </c>
      <c r="W296" t="s">
        <v>7549</v>
      </c>
      <c r="X296" t="s">
        <v>7550</v>
      </c>
      <c r="Y296" t="s">
        <v>7551</v>
      </c>
      <c r="Z296" t="s">
        <v>7552</v>
      </c>
      <c r="AA296" t="s">
        <v>74</v>
      </c>
      <c r="AB296" t="s">
        <v>7553</v>
      </c>
      <c r="AC296" t="s">
        <v>74</v>
      </c>
      <c r="AD296" t="s">
        <v>74</v>
      </c>
      <c r="AE296" t="s">
        <v>74</v>
      </c>
      <c r="AF296" t="s">
        <v>74</v>
      </c>
      <c r="AG296">
        <v>25</v>
      </c>
      <c r="AH296">
        <v>3</v>
      </c>
      <c r="AI296">
        <v>3</v>
      </c>
      <c r="AJ296">
        <v>2</v>
      </c>
      <c r="AK296">
        <v>44</v>
      </c>
      <c r="AL296" t="s">
        <v>146</v>
      </c>
      <c r="AM296" t="s">
        <v>147</v>
      </c>
      <c r="AN296" t="s">
        <v>148</v>
      </c>
      <c r="AO296" t="s">
        <v>7554</v>
      </c>
      <c r="AP296" t="s">
        <v>7555</v>
      </c>
      <c r="AQ296" t="s">
        <v>74</v>
      </c>
      <c r="AR296" t="s">
        <v>7556</v>
      </c>
      <c r="AS296" t="s">
        <v>7557</v>
      </c>
      <c r="AT296" t="s">
        <v>1904</v>
      </c>
      <c r="AU296">
        <v>2021</v>
      </c>
      <c r="AV296">
        <v>40</v>
      </c>
      <c r="AW296">
        <v>1</v>
      </c>
      <c r="AX296" t="s">
        <v>74</v>
      </c>
      <c r="AY296" t="s">
        <v>74</v>
      </c>
      <c r="AZ296" t="s">
        <v>74</v>
      </c>
      <c r="BA296" t="s">
        <v>74</v>
      </c>
      <c r="BB296">
        <v>283</v>
      </c>
      <c r="BC296">
        <v>302</v>
      </c>
      <c r="BD296" t="s">
        <v>74</v>
      </c>
      <c r="BE296" t="s">
        <v>7558</v>
      </c>
      <c r="BF296" t="str">
        <f>HYPERLINK("http://dx.doi.org/10.1111/jade.12334","http://dx.doi.org/10.1111/jade.12334")</f>
        <v>http://dx.doi.org/10.1111/jade.12334</v>
      </c>
      <c r="BG296" t="s">
        <v>74</v>
      </c>
      <c r="BH296" t="s">
        <v>7520</v>
      </c>
      <c r="BI296">
        <v>20</v>
      </c>
      <c r="BJ296" t="s">
        <v>7559</v>
      </c>
      <c r="BK296" t="s">
        <v>4436</v>
      </c>
      <c r="BL296" t="s">
        <v>7559</v>
      </c>
      <c r="BM296" t="s">
        <v>7560</v>
      </c>
      <c r="BN296" t="s">
        <v>74</v>
      </c>
      <c r="BO296" t="s">
        <v>3530</v>
      </c>
      <c r="BP296" t="s">
        <v>74</v>
      </c>
      <c r="BQ296" t="s">
        <v>74</v>
      </c>
      <c r="BR296" t="s">
        <v>106</v>
      </c>
      <c r="BS296" t="s">
        <v>7561</v>
      </c>
      <c r="BT296" t="str">
        <f>HYPERLINK("https%3A%2F%2Fwww.webofscience.com%2Fwos%2Fwoscc%2Ffull-record%2FWOS:000596816000001","View Full Record in Web of Science")</f>
        <v>View Full Record in Web of Science</v>
      </c>
    </row>
    <row r="297" spans="1:72" x14ac:dyDescent="0.25">
      <c r="A297" t="s">
        <v>72</v>
      </c>
      <c r="B297" t="s">
        <v>7798</v>
      </c>
      <c r="C297" t="s">
        <v>74</v>
      </c>
      <c r="D297" t="s">
        <v>74</v>
      </c>
      <c r="E297" t="s">
        <v>74</v>
      </c>
      <c r="F297" t="s">
        <v>7799</v>
      </c>
      <c r="G297" t="s">
        <v>74</v>
      </c>
      <c r="H297" t="s">
        <v>74</v>
      </c>
      <c r="I297" s="1" t="s">
        <v>7800</v>
      </c>
      <c r="J297" t="s">
        <v>1416</v>
      </c>
      <c r="K297" t="s">
        <v>74</v>
      </c>
      <c r="L297" t="s">
        <v>74</v>
      </c>
      <c r="M297" t="s">
        <v>78</v>
      </c>
      <c r="N297" t="s">
        <v>79</v>
      </c>
      <c r="O297" t="s">
        <v>74</v>
      </c>
      <c r="P297" t="s">
        <v>74</v>
      </c>
      <c r="Q297" t="s">
        <v>74</v>
      </c>
      <c r="R297" t="s">
        <v>74</v>
      </c>
      <c r="S297" t="s">
        <v>74</v>
      </c>
      <c r="T297" s="1" t="s">
        <v>7801</v>
      </c>
      <c r="U297" s="1" t="s">
        <v>74</v>
      </c>
      <c r="V297" s="1" t="s">
        <v>7802</v>
      </c>
      <c r="W297" t="s">
        <v>7803</v>
      </c>
      <c r="X297" t="s">
        <v>1421</v>
      </c>
      <c r="Y297" t="s">
        <v>7804</v>
      </c>
      <c r="Z297" t="s">
        <v>74</v>
      </c>
      <c r="AA297" t="s">
        <v>7805</v>
      </c>
      <c r="AB297" t="s">
        <v>7806</v>
      </c>
      <c r="AC297" t="s">
        <v>74</v>
      </c>
      <c r="AD297" t="s">
        <v>74</v>
      </c>
      <c r="AE297" t="s">
        <v>74</v>
      </c>
      <c r="AF297" t="s">
        <v>74</v>
      </c>
      <c r="AG297">
        <v>11</v>
      </c>
      <c r="AH297">
        <v>3</v>
      </c>
      <c r="AI297">
        <v>3</v>
      </c>
      <c r="AJ297">
        <v>3</v>
      </c>
      <c r="AK297">
        <v>12</v>
      </c>
      <c r="AL297" t="s">
        <v>1423</v>
      </c>
      <c r="AM297" t="s">
        <v>1424</v>
      </c>
      <c r="AN297" t="s">
        <v>1425</v>
      </c>
      <c r="AO297" t="s">
        <v>1426</v>
      </c>
      <c r="AP297" t="s">
        <v>1427</v>
      </c>
      <c r="AQ297" t="s">
        <v>74</v>
      </c>
      <c r="AR297" t="s">
        <v>1428</v>
      </c>
      <c r="AS297" t="s">
        <v>1429</v>
      </c>
      <c r="AT297" t="s">
        <v>626</v>
      </c>
      <c r="AU297">
        <v>2020</v>
      </c>
      <c r="AV297">
        <v>15</v>
      </c>
      <c r="AW297">
        <v>2</v>
      </c>
      <c r="AX297" t="s">
        <v>74</v>
      </c>
      <c r="AY297" t="s">
        <v>74</v>
      </c>
      <c r="AZ297" t="s">
        <v>74</v>
      </c>
      <c r="BA297" t="s">
        <v>74</v>
      </c>
      <c r="BB297">
        <v>270</v>
      </c>
      <c r="BC297">
        <v>281</v>
      </c>
      <c r="BD297" t="s">
        <v>74</v>
      </c>
      <c r="BE297" t="s">
        <v>7807</v>
      </c>
      <c r="BF297" t="str">
        <f>HYPERLINK("http://dx.doi.org/10.2478/sbe-2020-0040","http://dx.doi.org/10.2478/sbe-2020-0040")</f>
        <v>http://dx.doi.org/10.2478/sbe-2020-0040</v>
      </c>
      <c r="BG297" t="s">
        <v>74</v>
      </c>
      <c r="BH297" t="s">
        <v>74</v>
      </c>
      <c r="BI297">
        <v>12</v>
      </c>
      <c r="BJ297" t="s">
        <v>521</v>
      </c>
      <c r="BK297" t="s">
        <v>183</v>
      </c>
      <c r="BL297" t="s">
        <v>265</v>
      </c>
      <c r="BM297" t="s">
        <v>7808</v>
      </c>
      <c r="BN297" t="s">
        <v>74</v>
      </c>
      <c r="BO297" t="s">
        <v>186</v>
      </c>
      <c r="BP297" t="s">
        <v>74</v>
      </c>
      <c r="BQ297" t="s">
        <v>74</v>
      </c>
      <c r="BR297" t="s">
        <v>106</v>
      </c>
      <c r="BS297" t="s">
        <v>7809</v>
      </c>
      <c r="BT297" t="str">
        <f>HYPERLINK("https%3A%2F%2Fwww.webofscience.com%2Fwos%2Fwoscc%2Ffull-record%2FWOS:000581935000020","View Full Record in Web of Science")</f>
        <v>View Full Record in Web of Science</v>
      </c>
    </row>
    <row r="298" spans="1:72" x14ac:dyDescent="0.25">
      <c r="A298" t="s">
        <v>72</v>
      </c>
      <c r="B298" t="s">
        <v>8313</v>
      </c>
      <c r="C298" t="s">
        <v>74</v>
      </c>
      <c r="D298" t="s">
        <v>74</v>
      </c>
      <c r="E298" t="s">
        <v>74</v>
      </c>
      <c r="F298" t="s">
        <v>8314</v>
      </c>
      <c r="G298" t="s">
        <v>74</v>
      </c>
      <c r="H298" t="s">
        <v>74</v>
      </c>
      <c r="I298" s="1" t="s">
        <v>8315</v>
      </c>
      <c r="J298" t="s">
        <v>820</v>
      </c>
      <c r="K298" t="s">
        <v>74</v>
      </c>
      <c r="L298" t="s">
        <v>74</v>
      </c>
      <c r="M298" t="s">
        <v>78</v>
      </c>
      <c r="N298" t="s">
        <v>79</v>
      </c>
      <c r="O298" t="s">
        <v>74</v>
      </c>
      <c r="P298" t="s">
        <v>74</v>
      </c>
      <c r="Q298" t="s">
        <v>74</v>
      </c>
      <c r="R298" t="s">
        <v>74</v>
      </c>
      <c r="S298" t="s">
        <v>74</v>
      </c>
      <c r="T298" s="1" t="s">
        <v>8316</v>
      </c>
      <c r="U298" s="1" t="s">
        <v>8317</v>
      </c>
      <c r="V298" s="1" t="s">
        <v>8318</v>
      </c>
      <c r="W298" t="s">
        <v>8319</v>
      </c>
      <c r="X298" t="s">
        <v>8320</v>
      </c>
      <c r="Y298" t="s">
        <v>8321</v>
      </c>
      <c r="Z298" t="s">
        <v>8322</v>
      </c>
      <c r="AA298" t="s">
        <v>8323</v>
      </c>
      <c r="AB298" t="s">
        <v>8324</v>
      </c>
      <c r="AC298" t="s">
        <v>8325</v>
      </c>
      <c r="AD298" t="s">
        <v>8326</v>
      </c>
      <c r="AE298" t="s">
        <v>8327</v>
      </c>
      <c r="AF298" t="s">
        <v>74</v>
      </c>
      <c r="AG298">
        <v>35</v>
      </c>
      <c r="AH298">
        <v>3</v>
      </c>
      <c r="AI298">
        <v>3</v>
      </c>
      <c r="AJ298">
        <v>0</v>
      </c>
      <c r="AK298">
        <v>3</v>
      </c>
      <c r="AL298" t="s">
        <v>833</v>
      </c>
      <c r="AM298" t="s">
        <v>175</v>
      </c>
      <c r="AN298" t="s">
        <v>834</v>
      </c>
      <c r="AO298" t="s">
        <v>835</v>
      </c>
      <c r="AP298" t="s">
        <v>74</v>
      </c>
      <c r="AQ298" t="s">
        <v>74</v>
      </c>
      <c r="AR298" t="s">
        <v>820</v>
      </c>
      <c r="AS298" t="s">
        <v>836</v>
      </c>
      <c r="AT298" t="s">
        <v>74</v>
      </c>
      <c r="AU298">
        <v>2020</v>
      </c>
      <c r="AV298">
        <v>10</v>
      </c>
      <c r="AW298">
        <v>9</v>
      </c>
      <c r="AX298" t="s">
        <v>74</v>
      </c>
      <c r="AY298" t="s">
        <v>74</v>
      </c>
      <c r="AZ298" t="s">
        <v>74</v>
      </c>
      <c r="BA298" t="s">
        <v>74</v>
      </c>
      <c r="BB298" t="s">
        <v>74</v>
      </c>
      <c r="BC298" t="s">
        <v>74</v>
      </c>
      <c r="BD298" t="s">
        <v>8328</v>
      </c>
      <c r="BE298" t="s">
        <v>8329</v>
      </c>
      <c r="BF298" t="str">
        <f>HYPERLINK("http://dx.doi.org/10.1136/bmjopen-2020-037851","http://dx.doi.org/10.1136/bmjopen-2020-037851")</f>
        <v>http://dx.doi.org/10.1136/bmjopen-2020-037851</v>
      </c>
      <c r="BG298" t="s">
        <v>74</v>
      </c>
      <c r="BH298" t="s">
        <v>74</v>
      </c>
      <c r="BI298">
        <v>8</v>
      </c>
      <c r="BJ298" t="s">
        <v>840</v>
      </c>
      <c r="BK298" t="s">
        <v>211</v>
      </c>
      <c r="BL298" t="s">
        <v>841</v>
      </c>
      <c r="BM298" t="s">
        <v>8330</v>
      </c>
      <c r="BN298">
        <v>32994244</v>
      </c>
      <c r="BO298" t="s">
        <v>614</v>
      </c>
      <c r="BP298" t="s">
        <v>74</v>
      </c>
      <c r="BQ298" t="s">
        <v>74</v>
      </c>
      <c r="BR298" t="s">
        <v>106</v>
      </c>
      <c r="BS298" t="s">
        <v>8331</v>
      </c>
      <c r="BT298" t="str">
        <f>HYPERLINK("https%3A%2F%2Fwww.webofscience.com%2Fwos%2Fwoscc%2Ffull-record%2FWOS:000578438100031","View Full Record in Web of Science")</f>
        <v>View Full Record in Web of Science</v>
      </c>
    </row>
    <row r="299" spans="1:72" x14ac:dyDescent="0.25">
      <c r="A299" t="s">
        <v>72</v>
      </c>
      <c r="B299" t="s">
        <v>8539</v>
      </c>
      <c r="C299" t="s">
        <v>74</v>
      </c>
      <c r="D299" t="s">
        <v>74</v>
      </c>
      <c r="E299" t="s">
        <v>74</v>
      </c>
      <c r="F299" t="s">
        <v>8540</v>
      </c>
      <c r="G299" t="s">
        <v>74</v>
      </c>
      <c r="H299" t="s">
        <v>74</v>
      </c>
      <c r="I299" s="1" t="s">
        <v>8541</v>
      </c>
      <c r="J299" t="s">
        <v>2969</v>
      </c>
      <c r="K299" t="s">
        <v>74</v>
      </c>
      <c r="L299" t="s">
        <v>74</v>
      </c>
      <c r="M299" t="s">
        <v>78</v>
      </c>
      <c r="N299" t="s">
        <v>79</v>
      </c>
      <c r="O299" t="s">
        <v>74</v>
      </c>
      <c r="P299" t="s">
        <v>74</v>
      </c>
      <c r="Q299" t="s">
        <v>74</v>
      </c>
      <c r="R299" t="s">
        <v>74</v>
      </c>
      <c r="S299" t="s">
        <v>74</v>
      </c>
      <c r="T299" s="1" t="s">
        <v>8542</v>
      </c>
      <c r="U299" s="1" t="s">
        <v>8543</v>
      </c>
      <c r="V299" s="1" t="s">
        <v>8544</v>
      </c>
      <c r="W299" t="s">
        <v>8545</v>
      </c>
      <c r="X299" t="s">
        <v>8546</v>
      </c>
      <c r="Y299" t="s">
        <v>8547</v>
      </c>
      <c r="Z299" t="s">
        <v>8548</v>
      </c>
      <c r="AA299" t="s">
        <v>74</v>
      </c>
      <c r="AB299" t="s">
        <v>8549</v>
      </c>
      <c r="AC299" t="s">
        <v>74</v>
      </c>
      <c r="AD299" t="s">
        <v>74</v>
      </c>
      <c r="AE299" t="s">
        <v>74</v>
      </c>
      <c r="AF299" t="s">
        <v>74</v>
      </c>
      <c r="AG299">
        <v>46</v>
      </c>
      <c r="AH299">
        <v>3</v>
      </c>
      <c r="AI299">
        <v>3</v>
      </c>
      <c r="AJ299">
        <v>2</v>
      </c>
      <c r="AK299">
        <v>11</v>
      </c>
      <c r="AL299" t="s">
        <v>202</v>
      </c>
      <c r="AM299" t="s">
        <v>203</v>
      </c>
      <c r="AN299" t="s">
        <v>204</v>
      </c>
      <c r="AO299" t="s">
        <v>74</v>
      </c>
      <c r="AP299" t="s">
        <v>2978</v>
      </c>
      <c r="AQ299" t="s">
        <v>74</v>
      </c>
      <c r="AR299" t="s">
        <v>2979</v>
      </c>
      <c r="AS299" t="s">
        <v>2980</v>
      </c>
      <c r="AT299" t="s">
        <v>2068</v>
      </c>
      <c r="AU299">
        <v>2020</v>
      </c>
      <c r="AV299">
        <v>10</v>
      </c>
      <c r="AW299">
        <v>1</v>
      </c>
      <c r="AX299" t="s">
        <v>74</v>
      </c>
      <c r="AY299" t="s">
        <v>74</v>
      </c>
      <c r="AZ299" t="s">
        <v>74</v>
      </c>
      <c r="BA299" t="s">
        <v>74</v>
      </c>
      <c r="BB299" t="s">
        <v>74</v>
      </c>
      <c r="BC299" t="s">
        <v>74</v>
      </c>
      <c r="BD299">
        <v>10</v>
      </c>
      <c r="BE299" t="s">
        <v>8550</v>
      </c>
      <c r="BF299" t="str">
        <f>HYPERLINK("http://dx.doi.org/10.3390/educsci10010010","http://dx.doi.org/10.3390/educsci10010010")</f>
        <v>http://dx.doi.org/10.3390/educsci10010010</v>
      </c>
      <c r="BG299" t="s">
        <v>74</v>
      </c>
      <c r="BH299" t="s">
        <v>74</v>
      </c>
      <c r="BI299">
        <v>19</v>
      </c>
      <c r="BJ299" t="s">
        <v>1326</v>
      </c>
      <c r="BK299" t="s">
        <v>183</v>
      </c>
      <c r="BL299" t="s">
        <v>1326</v>
      </c>
      <c r="BM299" t="s">
        <v>8551</v>
      </c>
      <c r="BN299" t="s">
        <v>74</v>
      </c>
      <c r="BO299" t="s">
        <v>186</v>
      </c>
      <c r="BP299" t="s">
        <v>74</v>
      </c>
      <c r="BQ299" t="s">
        <v>74</v>
      </c>
      <c r="BR299" t="s">
        <v>106</v>
      </c>
      <c r="BS299" t="s">
        <v>8552</v>
      </c>
      <c r="BT299" t="str">
        <f>HYPERLINK("https%3A%2F%2Fwww.webofscience.com%2Fwos%2Fwoscc%2Ffull-record%2FWOS:000513524100001","View Full Record in Web of Science")</f>
        <v>View Full Record in Web of Science</v>
      </c>
    </row>
    <row r="300" spans="1:72" x14ac:dyDescent="0.25">
      <c r="A300" t="s">
        <v>72</v>
      </c>
      <c r="B300" t="s">
        <v>9014</v>
      </c>
      <c r="C300" t="s">
        <v>74</v>
      </c>
      <c r="D300" t="s">
        <v>74</v>
      </c>
      <c r="E300" t="s">
        <v>74</v>
      </c>
      <c r="F300" t="s">
        <v>9015</v>
      </c>
      <c r="G300" t="s">
        <v>74</v>
      </c>
      <c r="H300" t="s">
        <v>74</v>
      </c>
      <c r="I300" s="1" t="s">
        <v>9016</v>
      </c>
      <c r="J300" t="s">
        <v>9017</v>
      </c>
      <c r="K300" t="s">
        <v>74</v>
      </c>
      <c r="L300" t="s">
        <v>74</v>
      </c>
      <c r="M300" t="s">
        <v>78</v>
      </c>
      <c r="N300" t="s">
        <v>79</v>
      </c>
      <c r="O300" t="s">
        <v>74</v>
      </c>
      <c r="P300" t="s">
        <v>74</v>
      </c>
      <c r="Q300" t="s">
        <v>74</v>
      </c>
      <c r="R300" t="s">
        <v>74</v>
      </c>
      <c r="S300" t="s">
        <v>74</v>
      </c>
      <c r="T300" s="1" t="s">
        <v>9018</v>
      </c>
      <c r="U300" s="1" t="s">
        <v>9019</v>
      </c>
      <c r="V300" s="1" t="s">
        <v>9020</v>
      </c>
      <c r="W300" t="s">
        <v>9021</v>
      </c>
      <c r="X300" t="s">
        <v>9022</v>
      </c>
      <c r="Y300" t="s">
        <v>9023</v>
      </c>
      <c r="Z300" t="s">
        <v>9024</v>
      </c>
      <c r="AA300" t="s">
        <v>9025</v>
      </c>
      <c r="AB300" t="s">
        <v>9026</v>
      </c>
      <c r="AC300" t="s">
        <v>74</v>
      </c>
      <c r="AD300" t="s">
        <v>74</v>
      </c>
      <c r="AE300" t="s">
        <v>74</v>
      </c>
      <c r="AF300" t="s">
        <v>74</v>
      </c>
      <c r="AG300">
        <v>52</v>
      </c>
      <c r="AH300">
        <v>3</v>
      </c>
      <c r="AI300">
        <v>3</v>
      </c>
      <c r="AJ300">
        <v>0</v>
      </c>
      <c r="AK300">
        <v>12</v>
      </c>
      <c r="AL300" t="s">
        <v>9027</v>
      </c>
      <c r="AM300" t="s">
        <v>7115</v>
      </c>
      <c r="AN300" t="s">
        <v>9028</v>
      </c>
      <c r="AO300" t="s">
        <v>9029</v>
      </c>
      <c r="AP300" t="s">
        <v>74</v>
      </c>
      <c r="AQ300" t="s">
        <v>74</v>
      </c>
      <c r="AR300" t="s">
        <v>9030</v>
      </c>
      <c r="AS300" t="s">
        <v>9031</v>
      </c>
      <c r="AT300" t="s">
        <v>8992</v>
      </c>
      <c r="AU300">
        <v>2019</v>
      </c>
      <c r="AV300">
        <v>14</v>
      </c>
      <c r="AW300">
        <v>2</v>
      </c>
      <c r="AX300" t="s">
        <v>74</v>
      </c>
      <c r="AY300" t="s">
        <v>74</v>
      </c>
      <c r="AZ300" t="s">
        <v>74</v>
      </c>
      <c r="BA300" t="s">
        <v>74</v>
      </c>
      <c r="BB300">
        <v>471</v>
      </c>
      <c r="BC300">
        <v>490</v>
      </c>
      <c r="BD300" t="s">
        <v>74</v>
      </c>
      <c r="BE300" t="s">
        <v>9032</v>
      </c>
      <c r="BF300" t="str">
        <f>HYPERLINK("http://dx.doi.org/10.14198/OBETS2019.14.2.07","http://dx.doi.org/10.14198/OBETS2019.14.2.07")</f>
        <v>http://dx.doi.org/10.14198/OBETS2019.14.2.07</v>
      </c>
      <c r="BG300" t="s">
        <v>74</v>
      </c>
      <c r="BH300" t="s">
        <v>74</v>
      </c>
      <c r="BI300">
        <v>20</v>
      </c>
      <c r="BJ300" t="s">
        <v>942</v>
      </c>
      <c r="BK300" t="s">
        <v>183</v>
      </c>
      <c r="BL300" t="s">
        <v>943</v>
      </c>
      <c r="BM300" t="s">
        <v>9033</v>
      </c>
      <c r="BN300" t="s">
        <v>74</v>
      </c>
      <c r="BO300" t="s">
        <v>2162</v>
      </c>
      <c r="BP300" t="s">
        <v>74</v>
      </c>
      <c r="BQ300" t="s">
        <v>74</v>
      </c>
      <c r="BR300" t="s">
        <v>106</v>
      </c>
      <c r="BS300" t="s">
        <v>9034</v>
      </c>
      <c r="BT300" t="str">
        <f>HYPERLINK("https%3A%2F%2Fwww.webofscience.com%2Fwos%2Fwoscc%2Ffull-record%2FWOS:000504932100007","View Full Record in Web of Science")</f>
        <v>View Full Record in Web of Science</v>
      </c>
    </row>
    <row r="301" spans="1:72" x14ac:dyDescent="0.25">
      <c r="A301" t="s">
        <v>72</v>
      </c>
      <c r="B301" t="s">
        <v>9213</v>
      </c>
      <c r="C301" t="s">
        <v>74</v>
      </c>
      <c r="D301" t="s">
        <v>74</v>
      </c>
      <c r="E301" t="s">
        <v>74</v>
      </c>
      <c r="F301" t="s">
        <v>9214</v>
      </c>
      <c r="G301" t="s">
        <v>74</v>
      </c>
      <c r="H301" t="s">
        <v>74</v>
      </c>
      <c r="I301" s="1" t="s">
        <v>9215</v>
      </c>
      <c r="J301" t="s">
        <v>7146</v>
      </c>
      <c r="K301" t="s">
        <v>74</v>
      </c>
      <c r="L301" t="s">
        <v>74</v>
      </c>
      <c r="M301" t="s">
        <v>78</v>
      </c>
      <c r="N301" t="s">
        <v>79</v>
      </c>
      <c r="O301" t="s">
        <v>74</v>
      </c>
      <c r="P301" t="s">
        <v>74</v>
      </c>
      <c r="Q301" t="s">
        <v>74</v>
      </c>
      <c r="R301" t="s">
        <v>74</v>
      </c>
      <c r="S301" t="s">
        <v>74</v>
      </c>
      <c r="T301" s="1" t="s">
        <v>9216</v>
      </c>
      <c r="U301" s="1" t="s">
        <v>74</v>
      </c>
      <c r="V301" s="1" t="s">
        <v>9217</v>
      </c>
      <c r="W301" t="s">
        <v>9218</v>
      </c>
      <c r="X301" t="s">
        <v>9219</v>
      </c>
      <c r="Y301" t="s">
        <v>9220</v>
      </c>
      <c r="Z301" t="s">
        <v>9221</v>
      </c>
      <c r="AA301" t="s">
        <v>9222</v>
      </c>
      <c r="AB301" t="s">
        <v>9223</v>
      </c>
      <c r="AC301" t="s">
        <v>74</v>
      </c>
      <c r="AD301" t="s">
        <v>74</v>
      </c>
      <c r="AE301" t="s">
        <v>74</v>
      </c>
      <c r="AF301" t="s">
        <v>74</v>
      </c>
      <c r="AG301">
        <v>6</v>
      </c>
      <c r="AH301">
        <v>3</v>
      </c>
      <c r="AI301">
        <v>3</v>
      </c>
      <c r="AJ301">
        <v>2</v>
      </c>
      <c r="AK301">
        <v>18</v>
      </c>
      <c r="AL301" t="s">
        <v>5192</v>
      </c>
      <c r="AM301" t="s">
        <v>4514</v>
      </c>
      <c r="AN301" t="s">
        <v>5193</v>
      </c>
      <c r="AO301" t="s">
        <v>7155</v>
      </c>
      <c r="AP301" t="s">
        <v>74</v>
      </c>
      <c r="AQ301" t="s">
        <v>74</v>
      </c>
      <c r="AR301" t="s">
        <v>7156</v>
      </c>
      <c r="AS301" t="s">
        <v>7157</v>
      </c>
      <c r="AT301" t="s">
        <v>9224</v>
      </c>
      <c r="AU301">
        <v>2019</v>
      </c>
      <c r="AV301" t="s">
        <v>74</v>
      </c>
      <c r="AW301">
        <v>146</v>
      </c>
      <c r="AX301" t="s">
        <v>74</v>
      </c>
      <c r="AY301" t="s">
        <v>74</v>
      </c>
      <c r="AZ301" t="s">
        <v>74</v>
      </c>
      <c r="BA301" t="s">
        <v>74</v>
      </c>
      <c r="BB301">
        <v>43</v>
      </c>
      <c r="BC301">
        <v>70</v>
      </c>
      <c r="BD301" t="s">
        <v>74</v>
      </c>
      <c r="BE301" t="s">
        <v>9225</v>
      </c>
      <c r="BF301" t="str">
        <f>HYPERLINK("http://dx.doi.org/10.15178/va.2019.146.43-70","http://dx.doi.org/10.15178/va.2019.146.43-70")</f>
        <v>http://dx.doi.org/10.15178/va.2019.146.43-70</v>
      </c>
      <c r="BG301" t="s">
        <v>74</v>
      </c>
      <c r="BH301" t="s">
        <v>74</v>
      </c>
      <c r="BI301">
        <v>28</v>
      </c>
      <c r="BJ301" t="s">
        <v>2218</v>
      </c>
      <c r="BK301" t="s">
        <v>183</v>
      </c>
      <c r="BL301" t="s">
        <v>2218</v>
      </c>
      <c r="BM301" t="s">
        <v>9226</v>
      </c>
      <c r="BN301" t="s">
        <v>74</v>
      </c>
      <c r="BO301" t="s">
        <v>2730</v>
      </c>
      <c r="BP301" t="s">
        <v>74</v>
      </c>
      <c r="BQ301" t="s">
        <v>74</v>
      </c>
      <c r="BR301" t="s">
        <v>106</v>
      </c>
      <c r="BS301" t="s">
        <v>9227</v>
      </c>
      <c r="BT301" t="str">
        <f>HYPERLINK("https%3A%2F%2Fwww.webofscience.com%2Fwos%2Fwoscc%2Ffull-record%2FWOS:000461191900003","View Full Record in Web of Science")</f>
        <v>View Full Record in Web of Science</v>
      </c>
    </row>
    <row r="302" spans="1:72" x14ac:dyDescent="0.25">
      <c r="A302" t="s">
        <v>72</v>
      </c>
      <c r="B302" t="s">
        <v>9381</v>
      </c>
      <c r="C302" t="s">
        <v>74</v>
      </c>
      <c r="D302" t="s">
        <v>74</v>
      </c>
      <c r="E302" t="s">
        <v>74</v>
      </c>
      <c r="F302" t="s">
        <v>9382</v>
      </c>
      <c r="G302" t="s">
        <v>74</v>
      </c>
      <c r="H302" t="s">
        <v>74</v>
      </c>
      <c r="I302" s="1" t="s">
        <v>9383</v>
      </c>
      <c r="J302" t="s">
        <v>9384</v>
      </c>
      <c r="K302" t="s">
        <v>74</v>
      </c>
      <c r="L302" t="s">
        <v>74</v>
      </c>
      <c r="M302" t="s">
        <v>78</v>
      </c>
      <c r="N302" t="s">
        <v>79</v>
      </c>
      <c r="O302" t="s">
        <v>74</v>
      </c>
      <c r="P302" t="s">
        <v>74</v>
      </c>
      <c r="Q302" t="s">
        <v>74</v>
      </c>
      <c r="R302" t="s">
        <v>74</v>
      </c>
      <c r="S302" t="s">
        <v>74</v>
      </c>
      <c r="T302" s="1" t="s">
        <v>9385</v>
      </c>
      <c r="U302" s="1" t="s">
        <v>9386</v>
      </c>
      <c r="V302" s="1" t="s">
        <v>9387</v>
      </c>
      <c r="W302" t="s">
        <v>9388</v>
      </c>
      <c r="X302" t="s">
        <v>9389</v>
      </c>
      <c r="Y302" t="s">
        <v>9390</v>
      </c>
      <c r="Z302" t="s">
        <v>9391</v>
      </c>
      <c r="AA302" t="s">
        <v>74</v>
      </c>
      <c r="AB302" t="s">
        <v>74</v>
      </c>
      <c r="AC302" t="s">
        <v>74</v>
      </c>
      <c r="AD302" t="s">
        <v>74</v>
      </c>
      <c r="AE302" t="s">
        <v>74</v>
      </c>
      <c r="AF302" t="s">
        <v>74</v>
      </c>
      <c r="AG302">
        <v>45</v>
      </c>
      <c r="AH302">
        <v>3</v>
      </c>
      <c r="AI302">
        <v>3</v>
      </c>
      <c r="AJ302">
        <v>0</v>
      </c>
      <c r="AK302">
        <v>3</v>
      </c>
      <c r="AL302" t="s">
        <v>9392</v>
      </c>
      <c r="AM302" t="s">
        <v>9393</v>
      </c>
      <c r="AN302" t="s">
        <v>9394</v>
      </c>
      <c r="AO302" t="s">
        <v>9395</v>
      </c>
      <c r="AP302" t="s">
        <v>9396</v>
      </c>
      <c r="AQ302" t="s">
        <v>74</v>
      </c>
      <c r="AR302" t="s">
        <v>9397</v>
      </c>
      <c r="AS302" t="s">
        <v>9398</v>
      </c>
      <c r="AT302" t="s">
        <v>74</v>
      </c>
      <c r="AU302">
        <v>2019</v>
      </c>
      <c r="AV302">
        <v>49</v>
      </c>
      <c r="AW302">
        <v>2</v>
      </c>
      <c r="AX302" t="s">
        <v>74</v>
      </c>
      <c r="AY302" t="s">
        <v>74</v>
      </c>
      <c r="AZ302" t="s">
        <v>74</v>
      </c>
      <c r="BA302" t="s">
        <v>74</v>
      </c>
      <c r="BB302">
        <v>133</v>
      </c>
      <c r="BC302">
        <v>149</v>
      </c>
      <c r="BD302" t="s">
        <v>74</v>
      </c>
      <c r="BE302" t="s">
        <v>9399</v>
      </c>
      <c r="BF302" t="str">
        <f>HYPERLINK("http://dx.doi.org/10.30827/publicaciones.v49i2.9305","http://dx.doi.org/10.30827/publicaciones.v49i2.9305")</f>
        <v>http://dx.doi.org/10.30827/publicaciones.v49i2.9305</v>
      </c>
      <c r="BG302" t="s">
        <v>74</v>
      </c>
      <c r="BH302" t="s">
        <v>74</v>
      </c>
      <c r="BI302">
        <v>17</v>
      </c>
      <c r="BJ302" t="s">
        <v>1326</v>
      </c>
      <c r="BK302" t="s">
        <v>183</v>
      </c>
      <c r="BL302" t="s">
        <v>1326</v>
      </c>
      <c r="BM302" t="s">
        <v>9400</v>
      </c>
      <c r="BN302" t="s">
        <v>74</v>
      </c>
      <c r="BO302" t="s">
        <v>2162</v>
      </c>
      <c r="BP302" t="s">
        <v>74</v>
      </c>
      <c r="BQ302" t="s">
        <v>74</v>
      </c>
      <c r="BR302" t="s">
        <v>106</v>
      </c>
      <c r="BS302" t="s">
        <v>9401</v>
      </c>
      <c r="BT302" t="str">
        <f>HYPERLINK("https%3A%2F%2Fwww.webofscience.com%2Fwos%2Fwoscc%2Ffull-record%2FWOS:000503372300008","View Full Record in Web of Science")</f>
        <v>View Full Record in Web of Science</v>
      </c>
    </row>
    <row r="303" spans="1:72" x14ac:dyDescent="0.25">
      <c r="A303" t="s">
        <v>72</v>
      </c>
      <c r="B303" t="s">
        <v>9974</v>
      </c>
      <c r="C303" t="s">
        <v>74</v>
      </c>
      <c r="D303" t="s">
        <v>74</v>
      </c>
      <c r="E303" t="s">
        <v>74</v>
      </c>
      <c r="F303" t="s">
        <v>9975</v>
      </c>
      <c r="G303" t="s">
        <v>74</v>
      </c>
      <c r="H303" t="s">
        <v>74</v>
      </c>
      <c r="I303" s="1" t="s">
        <v>9976</v>
      </c>
      <c r="J303" t="s">
        <v>9977</v>
      </c>
      <c r="K303" t="s">
        <v>74</v>
      </c>
      <c r="L303" t="s">
        <v>74</v>
      </c>
      <c r="M303" t="s">
        <v>929</v>
      </c>
      <c r="N303" t="s">
        <v>79</v>
      </c>
      <c r="O303" t="s">
        <v>74</v>
      </c>
      <c r="P303" t="s">
        <v>74</v>
      </c>
      <c r="Q303" t="s">
        <v>74</v>
      </c>
      <c r="R303" t="s">
        <v>74</v>
      </c>
      <c r="S303" t="s">
        <v>74</v>
      </c>
      <c r="T303" s="1" t="s">
        <v>9978</v>
      </c>
      <c r="U303" s="1" t="s">
        <v>74</v>
      </c>
      <c r="V303" s="1" t="s">
        <v>9979</v>
      </c>
      <c r="W303" t="s">
        <v>9980</v>
      </c>
      <c r="X303" t="s">
        <v>9981</v>
      </c>
      <c r="Y303" t="s">
        <v>9982</v>
      </c>
      <c r="Z303" t="s">
        <v>9983</v>
      </c>
      <c r="AA303" t="s">
        <v>9984</v>
      </c>
      <c r="AB303" t="s">
        <v>9985</v>
      </c>
      <c r="AC303" t="s">
        <v>74</v>
      </c>
      <c r="AD303" t="s">
        <v>74</v>
      </c>
      <c r="AE303" t="s">
        <v>74</v>
      </c>
      <c r="AF303" t="s">
        <v>74</v>
      </c>
      <c r="AG303">
        <v>10</v>
      </c>
      <c r="AH303">
        <v>3</v>
      </c>
      <c r="AI303">
        <v>3</v>
      </c>
      <c r="AJ303">
        <v>6</v>
      </c>
      <c r="AK303">
        <v>21</v>
      </c>
      <c r="AL303" t="s">
        <v>9986</v>
      </c>
      <c r="AM303" t="s">
        <v>9987</v>
      </c>
      <c r="AN303" t="s">
        <v>9988</v>
      </c>
      <c r="AO303" t="s">
        <v>9989</v>
      </c>
      <c r="AP303" t="s">
        <v>9990</v>
      </c>
      <c r="AQ303" t="s">
        <v>74</v>
      </c>
      <c r="AR303" t="s">
        <v>9991</v>
      </c>
      <c r="AS303" t="s">
        <v>9992</v>
      </c>
      <c r="AT303" t="s">
        <v>9993</v>
      </c>
      <c r="AU303">
        <v>2018</v>
      </c>
      <c r="AV303">
        <v>17</v>
      </c>
      <c r="AW303">
        <v>1</v>
      </c>
      <c r="AX303" t="s">
        <v>74</v>
      </c>
      <c r="AY303" t="s">
        <v>74</v>
      </c>
      <c r="AZ303" t="s">
        <v>74</v>
      </c>
      <c r="BA303" t="s">
        <v>74</v>
      </c>
      <c r="BB303">
        <v>133</v>
      </c>
      <c r="BC303">
        <v>154</v>
      </c>
      <c r="BD303" t="s">
        <v>74</v>
      </c>
      <c r="BE303" t="s">
        <v>9994</v>
      </c>
      <c r="BF303" t="str">
        <f>HYPERLINK("http://dx.doi.org/10.26441/RC17.1-2018-A7","http://dx.doi.org/10.26441/RC17.1-2018-A7")</f>
        <v>http://dx.doi.org/10.26441/RC17.1-2018-A7</v>
      </c>
      <c r="BG303" t="s">
        <v>74</v>
      </c>
      <c r="BH303" t="s">
        <v>74</v>
      </c>
      <c r="BI303">
        <v>22</v>
      </c>
      <c r="BJ303" t="s">
        <v>2218</v>
      </c>
      <c r="BK303" t="s">
        <v>183</v>
      </c>
      <c r="BL303" t="s">
        <v>2218</v>
      </c>
      <c r="BM303" t="s">
        <v>9995</v>
      </c>
      <c r="BN303" t="s">
        <v>74</v>
      </c>
      <c r="BO303" t="s">
        <v>2730</v>
      </c>
      <c r="BP303" t="s">
        <v>74</v>
      </c>
      <c r="BQ303" t="s">
        <v>74</v>
      </c>
      <c r="BR303" t="s">
        <v>106</v>
      </c>
      <c r="BS303" t="s">
        <v>9996</v>
      </c>
      <c r="BT303" t="str">
        <f>HYPERLINK("https%3A%2F%2Fwww.webofscience.com%2Fwos%2Fwoscc%2Ffull-record%2FWOS:000454902600008","View Full Record in Web of Science")</f>
        <v>View Full Record in Web of Science</v>
      </c>
    </row>
    <row r="304" spans="1:72" x14ac:dyDescent="0.25">
      <c r="A304" t="s">
        <v>72</v>
      </c>
      <c r="B304" t="s">
        <v>10032</v>
      </c>
      <c r="C304" t="s">
        <v>74</v>
      </c>
      <c r="D304" t="s">
        <v>74</v>
      </c>
      <c r="E304" t="s">
        <v>74</v>
      </c>
      <c r="F304" t="s">
        <v>10033</v>
      </c>
      <c r="G304" t="s">
        <v>74</v>
      </c>
      <c r="H304" t="s">
        <v>74</v>
      </c>
      <c r="I304" s="1" t="s">
        <v>10034</v>
      </c>
      <c r="J304" t="s">
        <v>9548</v>
      </c>
      <c r="K304" t="s">
        <v>74</v>
      </c>
      <c r="L304" t="s">
        <v>74</v>
      </c>
      <c r="M304" t="s">
        <v>78</v>
      </c>
      <c r="N304" t="s">
        <v>79</v>
      </c>
      <c r="O304" t="s">
        <v>74</v>
      </c>
      <c r="P304" t="s">
        <v>74</v>
      </c>
      <c r="Q304" t="s">
        <v>74</v>
      </c>
      <c r="R304" t="s">
        <v>74</v>
      </c>
      <c r="S304" t="s">
        <v>74</v>
      </c>
      <c r="T304" s="1" t="s">
        <v>10035</v>
      </c>
      <c r="U304" s="1" t="s">
        <v>10036</v>
      </c>
      <c r="V304" s="1" t="s">
        <v>10037</v>
      </c>
      <c r="W304" t="s">
        <v>10038</v>
      </c>
      <c r="X304" t="s">
        <v>10039</v>
      </c>
      <c r="Y304" t="s">
        <v>10040</v>
      </c>
      <c r="Z304" t="s">
        <v>10041</v>
      </c>
      <c r="AA304" t="s">
        <v>10042</v>
      </c>
      <c r="AB304" t="s">
        <v>10043</v>
      </c>
      <c r="AC304" t="s">
        <v>74</v>
      </c>
      <c r="AD304" t="s">
        <v>74</v>
      </c>
      <c r="AE304" t="s">
        <v>74</v>
      </c>
      <c r="AF304" t="s">
        <v>74</v>
      </c>
      <c r="AG304">
        <v>114</v>
      </c>
      <c r="AH304">
        <v>3</v>
      </c>
      <c r="AI304">
        <v>3</v>
      </c>
      <c r="AJ304">
        <v>0</v>
      </c>
      <c r="AK304">
        <v>3</v>
      </c>
      <c r="AL304" t="s">
        <v>9558</v>
      </c>
      <c r="AM304" t="s">
        <v>232</v>
      </c>
      <c r="AN304" t="s">
        <v>9559</v>
      </c>
      <c r="AO304" t="s">
        <v>9560</v>
      </c>
      <c r="AP304" t="s">
        <v>9561</v>
      </c>
      <c r="AQ304" t="s">
        <v>74</v>
      </c>
      <c r="AR304" t="s">
        <v>9562</v>
      </c>
      <c r="AS304" t="s">
        <v>9563</v>
      </c>
      <c r="AT304" t="s">
        <v>74</v>
      </c>
      <c r="AU304">
        <v>2018</v>
      </c>
      <c r="AV304">
        <v>23</v>
      </c>
      <c r="AW304">
        <v>1</v>
      </c>
      <c r="AX304" t="s">
        <v>74</v>
      </c>
      <c r="AY304" t="s">
        <v>74</v>
      </c>
      <c r="AZ304" t="s">
        <v>74</v>
      </c>
      <c r="BA304" t="s">
        <v>74</v>
      </c>
      <c r="BB304">
        <v>67</v>
      </c>
      <c r="BC304">
        <v>80</v>
      </c>
      <c r="BD304" t="s">
        <v>74</v>
      </c>
      <c r="BE304" t="s">
        <v>10044</v>
      </c>
      <c r="BF304" t="str">
        <f>HYPERLINK("http://dx.doi.org/10.3233/IP-170038","http://dx.doi.org/10.3233/IP-170038")</f>
        <v>http://dx.doi.org/10.3233/IP-170038</v>
      </c>
      <c r="BG304" t="s">
        <v>74</v>
      </c>
      <c r="BH304" t="s">
        <v>74</v>
      </c>
      <c r="BI304">
        <v>14</v>
      </c>
      <c r="BJ304" t="s">
        <v>3050</v>
      </c>
      <c r="BK304" t="s">
        <v>183</v>
      </c>
      <c r="BL304" t="s">
        <v>3050</v>
      </c>
      <c r="BM304" t="s">
        <v>10045</v>
      </c>
      <c r="BN304" t="s">
        <v>74</v>
      </c>
      <c r="BO304" t="s">
        <v>2805</v>
      </c>
      <c r="BP304" t="s">
        <v>74</v>
      </c>
      <c r="BQ304" t="s">
        <v>74</v>
      </c>
      <c r="BR304" t="s">
        <v>106</v>
      </c>
      <c r="BS304" t="s">
        <v>10046</v>
      </c>
      <c r="BT304" t="str">
        <f>HYPERLINK("https%3A%2F%2Fwww.webofscience.com%2Fwos%2Fwoscc%2Ffull-record%2FWOS:000457220600005","View Full Record in Web of Science")</f>
        <v>View Full Record in Web of Science</v>
      </c>
    </row>
    <row r="305" spans="1:72" x14ac:dyDescent="0.25">
      <c r="A305" t="s">
        <v>72</v>
      </c>
      <c r="B305" t="s">
        <v>10768</v>
      </c>
      <c r="C305" t="s">
        <v>74</v>
      </c>
      <c r="D305" t="s">
        <v>74</v>
      </c>
      <c r="E305" t="s">
        <v>74</v>
      </c>
      <c r="F305" t="s">
        <v>10769</v>
      </c>
      <c r="G305" t="s">
        <v>74</v>
      </c>
      <c r="H305" t="s">
        <v>74</v>
      </c>
      <c r="I305" s="1" t="s">
        <v>10770</v>
      </c>
      <c r="J305" t="s">
        <v>10771</v>
      </c>
      <c r="K305" t="s">
        <v>74</v>
      </c>
      <c r="L305" t="s">
        <v>74</v>
      </c>
      <c r="M305" t="s">
        <v>78</v>
      </c>
      <c r="N305" t="s">
        <v>79</v>
      </c>
      <c r="O305" t="s">
        <v>74</v>
      </c>
      <c r="P305" t="s">
        <v>74</v>
      </c>
      <c r="Q305" t="s">
        <v>74</v>
      </c>
      <c r="R305" t="s">
        <v>74</v>
      </c>
      <c r="S305" t="s">
        <v>74</v>
      </c>
      <c r="T305" s="1" t="s">
        <v>10772</v>
      </c>
      <c r="U305" s="1" t="s">
        <v>10773</v>
      </c>
      <c r="V305" s="1" t="s">
        <v>10774</v>
      </c>
      <c r="W305" t="s">
        <v>10775</v>
      </c>
      <c r="X305" t="s">
        <v>5409</v>
      </c>
      <c r="Y305" t="s">
        <v>10776</v>
      </c>
      <c r="Z305" t="s">
        <v>10777</v>
      </c>
      <c r="AA305" t="s">
        <v>10778</v>
      </c>
      <c r="AB305" t="s">
        <v>10779</v>
      </c>
      <c r="AC305" t="s">
        <v>74</v>
      </c>
      <c r="AD305" t="s">
        <v>74</v>
      </c>
      <c r="AE305" t="s">
        <v>74</v>
      </c>
      <c r="AF305" t="s">
        <v>74</v>
      </c>
      <c r="AG305">
        <v>43</v>
      </c>
      <c r="AH305">
        <v>3</v>
      </c>
      <c r="AI305">
        <v>3</v>
      </c>
      <c r="AJ305">
        <v>0</v>
      </c>
      <c r="AK305">
        <v>5</v>
      </c>
      <c r="AL305" t="s">
        <v>10780</v>
      </c>
      <c r="AM305" t="s">
        <v>10781</v>
      </c>
      <c r="AN305" t="s">
        <v>10782</v>
      </c>
      <c r="AO305" t="s">
        <v>10783</v>
      </c>
      <c r="AP305" t="s">
        <v>10784</v>
      </c>
      <c r="AQ305" t="s">
        <v>74</v>
      </c>
      <c r="AR305" t="s">
        <v>10785</v>
      </c>
      <c r="AS305" t="s">
        <v>10786</v>
      </c>
      <c r="AT305" t="s">
        <v>74</v>
      </c>
      <c r="AU305">
        <v>2017</v>
      </c>
      <c r="AV305">
        <v>8</v>
      </c>
      <c r="AW305">
        <v>1</v>
      </c>
      <c r="AX305" t="s">
        <v>74</v>
      </c>
      <c r="AY305" t="s">
        <v>74</v>
      </c>
      <c r="AZ305" t="s">
        <v>74</v>
      </c>
      <c r="BA305" t="s">
        <v>74</v>
      </c>
      <c r="BB305">
        <v>111</v>
      </c>
      <c r="BC305">
        <v>126</v>
      </c>
      <c r="BD305" t="s">
        <v>74</v>
      </c>
      <c r="BE305" t="s">
        <v>10787</v>
      </c>
      <c r="BF305" t="str">
        <f>HYPERLINK("http://dx.doi.org/10.14267/CJSSP.2017.01.06","http://dx.doi.org/10.14267/CJSSP.2017.01.06")</f>
        <v>http://dx.doi.org/10.14267/CJSSP.2017.01.06</v>
      </c>
      <c r="BG305" t="s">
        <v>74</v>
      </c>
      <c r="BH305" t="s">
        <v>74</v>
      </c>
      <c r="BI305">
        <v>16</v>
      </c>
      <c r="BJ305" t="s">
        <v>5263</v>
      </c>
      <c r="BK305" t="s">
        <v>183</v>
      </c>
      <c r="BL305" t="s">
        <v>5263</v>
      </c>
      <c r="BM305" t="s">
        <v>10788</v>
      </c>
      <c r="BN305" t="s">
        <v>74</v>
      </c>
      <c r="BO305" t="s">
        <v>10789</v>
      </c>
      <c r="BP305" t="s">
        <v>74</v>
      </c>
      <c r="BQ305" t="s">
        <v>74</v>
      </c>
      <c r="BR305" t="s">
        <v>106</v>
      </c>
      <c r="BS305" t="s">
        <v>10790</v>
      </c>
      <c r="BT305" t="str">
        <f>HYPERLINK("https%3A%2F%2Fwww.webofscience.com%2Fwos%2Fwoscc%2Ffull-record%2FWOS:000406907300006","View Full Record in Web of Science")</f>
        <v>View Full Record in Web of Science</v>
      </c>
    </row>
    <row r="306" spans="1:72" x14ac:dyDescent="0.25">
      <c r="A306" t="s">
        <v>72</v>
      </c>
      <c r="B306" t="s">
        <v>11587</v>
      </c>
      <c r="C306" t="s">
        <v>74</v>
      </c>
      <c r="D306" t="s">
        <v>74</v>
      </c>
      <c r="E306" t="s">
        <v>74</v>
      </c>
      <c r="F306" t="s">
        <v>11588</v>
      </c>
      <c r="G306" t="s">
        <v>74</v>
      </c>
      <c r="H306" t="s">
        <v>74</v>
      </c>
      <c r="I306" s="1" t="s">
        <v>11589</v>
      </c>
      <c r="J306" t="s">
        <v>11590</v>
      </c>
      <c r="K306" t="s">
        <v>74</v>
      </c>
      <c r="L306" t="s">
        <v>74</v>
      </c>
      <c r="M306" t="s">
        <v>78</v>
      </c>
      <c r="N306" t="s">
        <v>79</v>
      </c>
      <c r="O306" t="s">
        <v>74</v>
      </c>
      <c r="P306" t="s">
        <v>74</v>
      </c>
      <c r="Q306" t="s">
        <v>74</v>
      </c>
      <c r="R306" t="s">
        <v>74</v>
      </c>
      <c r="S306" t="s">
        <v>74</v>
      </c>
      <c r="T306" s="1" t="s">
        <v>74</v>
      </c>
      <c r="U306" s="1" t="s">
        <v>11591</v>
      </c>
      <c r="V306" s="1" t="s">
        <v>11592</v>
      </c>
      <c r="W306" t="s">
        <v>11593</v>
      </c>
      <c r="X306" t="s">
        <v>11594</v>
      </c>
      <c r="Y306" t="s">
        <v>11595</v>
      </c>
      <c r="Z306" t="s">
        <v>11596</v>
      </c>
      <c r="AA306" t="s">
        <v>11597</v>
      </c>
      <c r="AB306" t="s">
        <v>11598</v>
      </c>
      <c r="AC306" t="s">
        <v>74</v>
      </c>
      <c r="AD306" t="s">
        <v>74</v>
      </c>
      <c r="AE306" t="s">
        <v>74</v>
      </c>
      <c r="AF306" t="s">
        <v>74</v>
      </c>
      <c r="AG306">
        <v>42</v>
      </c>
      <c r="AH306">
        <v>3</v>
      </c>
      <c r="AI306">
        <v>3</v>
      </c>
      <c r="AJ306">
        <v>0</v>
      </c>
      <c r="AK306">
        <v>11</v>
      </c>
      <c r="AL306" t="s">
        <v>11599</v>
      </c>
      <c r="AM306" t="s">
        <v>11600</v>
      </c>
      <c r="AN306" t="s">
        <v>11601</v>
      </c>
      <c r="AO306" t="s">
        <v>11602</v>
      </c>
      <c r="AP306" t="s">
        <v>74</v>
      </c>
      <c r="AQ306" t="s">
        <v>74</v>
      </c>
      <c r="AR306" t="s">
        <v>11603</v>
      </c>
      <c r="AS306" t="s">
        <v>11604</v>
      </c>
      <c r="AT306" t="s">
        <v>2068</v>
      </c>
      <c r="AU306">
        <v>2015</v>
      </c>
      <c r="AV306">
        <v>21</v>
      </c>
      <c r="AW306">
        <v>1</v>
      </c>
      <c r="AX306" t="s">
        <v>74</v>
      </c>
      <c r="AY306" t="s">
        <v>74</v>
      </c>
      <c r="AZ306" t="s">
        <v>74</v>
      </c>
      <c r="BA306" t="s">
        <v>74</v>
      </c>
      <c r="BB306">
        <v>65</v>
      </c>
      <c r="BC306" t="s">
        <v>11057</v>
      </c>
      <c r="BD306" t="s">
        <v>74</v>
      </c>
      <c r="BE306" t="s">
        <v>74</v>
      </c>
      <c r="BF306" t="s">
        <v>74</v>
      </c>
      <c r="BG306" t="s">
        <v>74</v>
      </c>
      <c r="BH306" t="s">
        <v>74</v>
      </c>
      <c r="BI306">
        <v>14</v>
      </c>
      <c r="BJ306" t="s">
        <v>11605</v>
      </c>
      <c r="BK306" t="s">
        <v>211</v>
      </c>
      <c r="BL306" t="s">
        <v>922</v>
      </c>
      <c r="BM306" t="s">
        <v>11606</v>
      </c>
      <c r="BN306">
        <v>25880151</v>
      </c>
      <c r="BO306" t="s">
        <v>74</v>
      </c>
      <c r="BP306" t="s">
        <v>74</v>
      </c>
      <c r="BQ306" t="s">
        <v>74</v>
      </c>
      <c r="BR306" t="s">
        <v>106</v>
      </c>
      <c r="BS306" t="s">
        <v>11607</v>
      </c>
      <c r="BT306" t="str">
        <f>HYPERLINK("https%3A%2F%2Fwww.webofscience.com%2Fwos%2Fwoscc%2Ffull-record%2FWOS:000350965300014","View Full Record in Web of Science")</f>
        <v>View Full Record in Web of Science</v>
      </c>
    </row>
    <row r="307" spans="1:72" x14ac:dyDescent="0.25">
      <c r="A307" t="s">
        <v>72</v>
      </c>
      <c r="B307" t="s">
        <v>11933</v>
      </c>
      <c r="C307" t="s">
        <v>74</v>
      </c>
      <c r="D307" t="s">
        <v>74</v>
      </c>
      <c r="E307" t="s">
        <v>74</v>
      </c>
      <c r="F307" t="s">
        <v>11934</v>
      </c>
      <c r="G307" t="s">
        <v>74</v>
      </c>
      <c r="H307" t="s">
        <v>74</v>
      </c>
      <c r="I307" s="1" t="s">
        <v>11935</v>
      </c>
      <c r="J307" t="s">
        <v>11936</v>
      </c>
      <c r="K307" t="s">
        <v>74</v>
      </c>
      <c r="L307" t="s">
        <v>74</v>
      </c>
      <c r="M307" t="s">
        <v>78</v>
      </c>
      <c r="N307" t="s">
        <v>79</v>
      </c>
      <c r="O307" t="s">
        <v>74</v>
      </c>
      <c r="P307" t="s">
        <v>74</v>
      </c>
      <c r="Q307" t="s">
        <v>74</v>
      </c>
      <c r="R307" t="s">
        <v>74</v>
      </c>
      <c r="S307" t="s">
        <v>74</v>
      </c>
      <c r="T307" s="1" t="s">
        <v>11937</v>
      </c>
      <c r="U307" s="1" t="s">
        <v>74</v>
      </c>
      <c r="V307" s="1" t="s">
        <v>11938</v>
      </c>
      <c r="W307" t="s">
        <v>11939</v>
      </c>
      <c r="X307" t="s">
        <v>11940</v>
      </c>
      <c r="Y307" t="s">
        <v>11941</v>
      </c>
      <c r="Z307" t="s">
        <v>11942</v>
      </c>
      <c r="AA307" t="s">
        <v>74</v>
      </c>
      <c r="AB307" t="s">
        <v>74</v>
      </c>
      <c r="AC307" t="s">
        <v>74</v>
      </c>
      <c r="AD307" t="s">
        <v>74</v>
      </c>
      <c r="AE307" t="s">
        <v>74</v>
      </c>
      <c r="AF307" t="s">
        <v>74</v>
      </c>
      <c r="AG307">
        <v>6</v>
      </c>
      <c r="AH307">
        <v>3</v>
      </c>
      <c r="AI307">
        <v>3</v>
      </c>
      <c r="AJ307">
        <v>2</v>
      </c>
      <c r="AK307">
        <v>6</v>
      </c>
      <c r="AL307" t="s">
        <v>715</v>
      </c>
      <c r="AM307" t="s">
        <v>716</v>
      </c>
      <c r="AN307" t="s">
        <v>717</v>
      </c>
      <c r="AO307" t="s">
        <v>11943</v>
      </c>
      <c r="AP307" t="s">
        <v>11944</v>
      </c>
      <c r="AQ307" t="s">
        <v>74</v>
      </c>
      <c r="AR307" t="s">
        <v>11945</v>
      </c>
      <c r="AS307" t="s">
        <v>11946</v>
      </c>
      <c r="AT307" t="s">
        <v>74</v>
      </c>
      <c r="AU307">
        <v>2014</v>
      </c>
      <c r="AV307">
        <v>115</v>
      </c>
      <c r="AW307" t="s">
        <v>976</v>
      </c>
      <c r="AX307" t="s">
        <v>74</v>
      </c>
      <c r="AY307" t="s">
        <v>74</v>
      </c>
      <c r="AZ307" t="s">
        <v>74</v>
      </c>
      <c r="BA307" t="s">
        <v>74</v>
      </c>
      <c r="BB307">
        <v>405</v>
      </c>
      <c r="BC307">
        <v>408</v>
      </c>
      <c r="BD307" t="s">
        <v>74</v>
      </c>
      <c r="BE307" t="s">
        <v>11947</v>
      </c>
      <c r="BF307" t="str">
        <f>HYPERLINK("http://dx.doi.org/10.1108/NLW-01-2014-0007","http://dx.doi.org/10.1108/NLW-01-2014-0007")</f>
        <v>http://dx.doi.org/10.1108/NLW-01-2014-0007</v>
      </c>
      <c r="BG307" t="s">
        <v>74</v>
      </c>
      <c r="BH307" t="s">
        <v>74</v>
      </c>
      <c r="BI307">
        <v>4</v>
      </c>
      <c r="BJ307" t="s">
        <v>3050</v>
      </c>
      <c r="BK307" t="s">
        <v>183</v>
      </c>
      <c r="BL307" t="s">
        <v>3050</v>
      </c>
      <c r="BM307" t="s">
        <v>11948</v>
      </c>
      <c r="BN307" t="s">
        <v>74</v>
      </c>
      <c r="BO307" t="s">
        <v>74</v>
      </c>
      <c r="BP307" t="s">
        <v>74</v>
      </c>
      <c r="BQ307" t="s">
        <v>74</v>
      </c>
      <c r="BR307" t="s">
        <v>106</v>
      </c>
      <c r="BS307" t="s">
        <v>11949</v>
      </c>
      <c r="BT307" t="str">
        <f>HYPERLINK("https%3A%2F%2Fwww.webofscience.com%2Fwos%2Fwoscc%2Ffull-record%2FWOS:000213442500007","View Full Record in Web of Science")</f>
        <v>View Full Record in Web of Science</v>
      </c>
    </row>
    <row r="308" spans="1:72" x14ac:dyDescent="0.25">
      <c r="A308" t="s">
        <v>72</v>
      </c>
      <c r="B308" t="s">
        <v>12711</v>
      </c>
      <c r="C308" t="s">
        <v>74</v>
      </c>
      <c r="D308" t="s">
        <v>74</v>
      </c>
      <c r="E308" t="s">
        <v>74</v>
      </c>
      <c r="F308" t="s">
        <v>12712</v>
      </c>
      <c r="G308" t="s">
        <v>74</v>
      </c>
      <c r="H308" t="s">
        <v>74</v>
      </c>
      <c r="I308" s="1" t="s">
        <v>12713</v>
      </c>
      <c r="J308" t="s">
        <v>12714</v>
      </c>
      <c r="K308" t="s">
        <v>74</v>
      </c>
      <c r="L308" t="s">
        <v>74</v>
      </c>
      <c r="M308" t="s">
        <v>78</v>
      </c>
      <c r="N308" t="s">
        <v>7247</v>
      </c>
      <c r="O308" t="s">
        <v>12715</v>
      </c>
      <c r="P308" t="s">
        <v>12716</v>
      </c>
      <c r="Q308" t="s">
        <v>12717</v>
      </c>
      <c r="R308" t="s">
        <v>12718</v>
      </c>
      <c r="S308" t="s">
        <v>74</v>
      </c>
      <c r="T308" s="1" t="s">
        <v>12719</v>
      </c>
      <c r="U308" s="1" t="s">
        <v>12720</v>
      </c>
      <c r="V308" s="1" t="s">
        <v>12721</v>
      </c>
      <c r="W308" t="s">
        <v>12722</v>
      </c>
      <c r="X308" t="s">
        <v>12723</v>
      </c>
      <c r="Y308" t="s">
        <v>12724</v>
      </c>
      <c r="Z308" t="s">
        <v>12725</v>
      </c>
      <c r="AA308" t="s">
        <v>74</v>
      </c>
      <c r="AB308" t="s">
        <v>12726</v>
      </c>
      <c r="AC308" t="s">
        <v>74</v>
      </c>
      <c r="AD308" t="s">
        <v>74</v>
      </c>
      <c r="AE308" t="s">
        <v>74</v>
      </c>
      <c r="AF308" t="s">
        <v>74</v>
      </c>
      <c r="AG308">
        <v>12</v>
      </c>
      <c r="AH308">
        <v>3</v>
      </c>
      <c r="AI308">
        <v>3</v>
      </c>
      <c r="AJ308">
        <v>0</v>
      </c>
      <c r="AK308">
        <v>2</v>
      </c>
      <c r="AL308" t="s">
        <v>1636</v>
      </c>
      <c r="AM308" t="s">
        <v>93</v>
      </c>
      <c r="AN308" t="s">
        <v>1637</v>
      </c>
      <c r="AO308" t="s">
        <v>12727</v>
      </c>
      <c r="AP308" t="s">
        <v>74</v>
      </c>
      <c r="AQ308" t="s">
        <v>74</v>
      </c>
      <c r="AR308" t="s">
        <v>12728</v>
      </c>
      <c r="AS308" t="s">
        <v>12729</v>
      </c>
      <c r="AT308" t="s">
        <v>12730</v>
      </c>
      <c r="AU308">
        <v>2007</v>
      </c>
      <c r="AV308">
        <v>38</v>
      </c>
      <c r="AW308" t="s">
        <v>12241</v>
      </c>
      <c r="AX308" t="s">
        <v>74</v>
      </c>
      <c r="AY308" t="s">
        <v>74</v>
      </c>
      <c r="AZ308" t="s">
        <v>1020</v>
      </c>
      <c r="BA308" t="s">
        <v>74</v>
      </c>
      <c r="BB308">
        <v>474</v>
      </c>
      <c r="BC308">
        <v>481</v>
      </c>
      <c r="BD308" t="s">
        <v>74</v>
      </c>
      <c r="BE308" t="s">
        <v>12731</v>
      </c>
      <c r="BF308" t="str">
        <f>HYPERLINK("http://dx.doi.org/10.1016/j.mejo.2006.08.005","http://dx.doi.org/10.1016/j.mejo.2006.08.005")</f>
        <v>http://dx.doi.org/10.1016/j.mejo.2006.08.005</v>
      </c>
      <c r="BG308" t="s">
        <v>74</v>
      </c>
      <c r="BH308" t="s">
        <v>74</v>
      </c>
      <c r="BI308">
        <v>8</v>
      </c>
      <c r="BJ308" t="s">
        <v>12732</v>
      </c>
      <c r="BK308" t="s">
        <v>12733</v>
      </c>
      <c r="BL308" t="s">
        <v>12734</v>
      </c>
      <c r="BM308" t="s">
        <v>12735</v>
      </c>
      <c r="BN308" t="s">
        <v>74</v>
      </c>
      <c r="BO308" t="s">
        <v>74</v>
      </c>
      <c r="BP308" t="s">
        <v>74</v>
      </c>
      <c r="BQ308" t="s">
        <v>74</v>
      </c>
      <c r="BR308" t="s">
        <v>106</v>
      </c>
      <c r="BS308" t="s">
        <v>12736</v>
      </c>
      <c r="BT308" t="str">
        <f>HYPERLINK("https%3A%2F%2Fwww.webofscience.com%2Fwos%2Fwoscc%2Ffull-record%2FWOS:000247570500004","View Full Record in Web of Science")</f>
        <v>View Full Record in Web of Science</v>
      </c>
    </row>
    <row r="309" spans="1:72" x14ac:dyDescent="0.25">
      <c r="A309" t="s">
        <v>72</v>
      </c>
      <c r="B309" t="s">
        <v>12764</v>
      </c>
      <c r="C309" t="s">
        <v>74</v>
      </c>
      <c r="D309" t="s">
        <v>74</v>
      </c>
      <c r="E309" t="s">
        <v>74</v>
      </c>
      <c r="F309" t="s">
        <v>12765</v>
      </c>
      <c r="G309" t="s">
        <v>74</v>
      </c>
      <c r="H309" t="s">
        <v>74</v>
      </c>
      <c r="I309" s="1" t="s">
        <v>12766</v>
      </c>
      <c r="J309" t="s">
        <v>12767</v>
      </c>
      <c r="K309" t="s">
        <v>74</v>
      </c>
      <c r="L309" t="s">
        <v>74</v>
      </c>
      <c r="M309" t="s">
        <v>78</v>
      </c>
      <c r="N309" t="s">
        <v>79</v>
      </c>
      <c r="O309" t="s">
        <v>74</v>
      </c>
      <c r="P309" t="s">
        <v>74</v>
      </c>
      <c r="Q309" t="s">
        <v>74</v>
      </c>
      <c r="R309" t="s">
        <v>74</v>
      </c>
      <c r="S309" t="s">
        <v>74</v>
      </c>
      <c r="T309" s="1" t="s">
        <v>74</v>
      </c>
      <c r="U309" s="1" t="s">
        <v>74</v>
      </c>
      <c r="V309" s="1" t="s">
        <v>12768</v>
      </c>
      <c r="W309" t="s">
        <v>12769</v>
      </c>
      <c r="X309" t="s">
        <v>12770</v>
      </c>
      <c r="Y309" t="s">
        <v>12771</v>
      </c>
      <c r="Z309" t="s">
        <v>12772</v>
      </c>
      <c r="AA309" t="s">
        <v>74</v>
      </c>
      <c r="AB309" t="s">
        <v>74</v>
      </c>
      <c r="AC309" t="s">
        <v>74</v>
      </c>
      <c r="AD309" t="s">
        <v>74</v>
      </c>
      <c r="AE309" t="s">
        <v>74</v>
      </c>
      <c r="AF309" t="s">
        <v>74</v>
      </c>
      <c r="AG309">
        <v>18</v>
      </c>
      <c r="AH309">
        <v>3</v>
      </c>
      <c r="AI309">
        <v>3</v>
      </c>
      <c r="AJ309">
        <v>1</v>
      </c>
      <c r="AK309">
        <v>9</v>
      </c>
      <c r="AL309" t="s">
        <v>12773</v>
      </c>
      <c r="AM309" t="s">
        <v>12774</v>
      </c>
      <c r="AN309" t="s">
        <v>12775</v>
      </c>
      <c r="AO309" t="s">
        <v>12776</v>
      </c>
      <c r="AP309" t="s">
        <v>12777</v>
      </c>
      <c r="AQ309" t="s">
        <v>74</v>
      </c>
      <c r="AR309" t="s">
        <v>12778</v>
      </c>
      <c r="AS309" t="s">
        <v>12779</v>
      </c>
      <c r="AT309" t="s">
        <v>74</v>
      </c>
      <c r="AU309">
        <v>2007</v>
      </c>
      <c r="AV309">
        <v>154</v>
      </c>
      <c r="AW309">
        <v>7</v>
      </c>
      <c r="AX309" t="s">
        <v>74</v>
      </c>
      <c r="AY309" t="s">
        <v>74</v>
      </c>
      <c r="AZ309" t="s">
        <v>74</v>
      </c>
      <c r="BA309" t="s">
        <v>74</v>
      </c>
      <c r="BB309" t="s">
        <v>12780</v>
      </c>
      <c r="BC309" t="s">
        <v>12781</v>
      </c>
      <c r="BD309" t="s">
        <v>74</v>
      </c>
      <c r="BE309" t="s">
        <v>12782</v>
      </c>
      <c r="BF309" t="str">
        <f>HYPERLINK("http://dx.doi.org/10.1149/1.2737658","http://dx.doi.org/10.1149/1.2737658")</f>
        <v>http://dx.doi.org/10.1149/1.2737658</v>
      </c>
      <c r="BG309" t="s">
        <v>74</v>
      </c>
      <c r="BH309" t="s">
        <v>74</v>
      </c>
      <c r="BI309">
        <v>6</v>
      </c>
      <c r="BJ309" t="s">
        <v>12783</v>
      </c>
      <c r="BK309" t="s">
        <v>102</v>
      </c>
      <c r="BL309" t="s">
        <v>12784</v>
      </c>
      <c r="BM309" t="s">
        <v>12785</v>
      </c>
      <c r="BN309" t="s">
        <v>74</v>
      </c>
      <c r="BO309" t="s">
        <v>74</v>
      </c>
      <c r="BP309" t="s">
        <v>74</v>
      </c>
      <c r="BQ309" t="s">
        <v>74</v>
      </c>
      <c r="BR309" t="s">
        <v>106</v>
      </c>
      <c r="BS309" t="s">
        <v>12786</v>
      </c>
      <c r="BT309" t="str">
        <f>HYPERLINK("https%3A%2F%2Fwww.webofscience.com%2Fwos%2Fwoscc%2Ffull-record%2FWOS:000246892000068","View Full Record in Web of Science")</f>
        <v>View Full Record in Web of Science</v>
      </c>
    </row>
    <row r="310" spans="1:72" x14ac:dyDescent="0.25">
      <c r="A310" t="s">
        <v>72</v>
      </c>
      <c r="B310" t="s">
        <v>12787</v>
      </c>
      <c r="C310" t="s">
        <v>74</v>
      </c>
      <c r="D310" t="s">
        <v>74</v>
      </c>
      <c r="E310" t="s">
        <v>74</v>
      </c>
      <c r="F310" t="s">
        <v>12788</v>
      </c>
      <c r="G310" t="s">
        <v>74</v>
      </c>
      <c r="H310" t="s">
        <v>74</v>
      </c>
      <c r="I310" s="1" t="s">
        <v>12789</v>
      </c>
      <c r="J310" t="s">
        <v>12790</v>
      </c>
      <c r="K310" t="s">
        <v>74</v>
      </c>
      <c r="L310" t="s">
        <v>74</v>
      </c>
      <c r="M310" t="s">
        <v>78</v>
      </c>
      <c r="N310" t="s">
        <v>79</v>
      </c>
      <c r="O310" t="s">
        <v>74</v>
      </c>
      <c r="P310" t="s">
        <v>74</v>
      </c>
      <c r="Q310" t="s">
        <v>74</v>
      </c>
      <c r="R310" t="s">
        <v>74</v>
      </c>
      <c r="S310" t="s">
        <v>74</v>
      </c>
      <c r="T310" s="1" t="s">
        <v>74</v>
      </c>
      <c r="U310" s="1" t="s">
        <v>74</v>
      </c>
      <c r="V310" s="1" t="s">
        <v>74</v>
      </c>
      <c r="W310" t="s">
        <v>12791</v>
      </c>
      <c r="X310" t="s">
        <v>74</v>
      </c>
      <c r="Y310" t="s">
        <v>12792</v>
      </c>
      <c r="Z310" t="s">
        <v>74</v>
      </c>
      <c r="AA310" t="s">
        <v>74</v>
      </c>
      <c r="AB310" t="s">
        <v>74</v>
      </c>
      <c r="AC310" t="s">
        <v>74</v>
      </c>
      <c r="AD310" t="s">
        <v>74</v>
      </c>
      <c r="AE310" t="s">
        <v>74</v>
      </c>
      <c r="AF310" t="s">
        <v>74</v>
      </c>
      <c r="AG310">
        <v>0</v>
      </c>
      <c r="AH310">
        <v>3</v>
      </c>
      <c r="AI310">
        <v>3</v>
      </c>
      <c r="AJ310">
        <v>0</v>
      </c>
      <c r="AK310">
        <v>3</v>
      </c>
      <c r="AL310" t="s">
        <v>12793</v>
      </c>
      <c r="AM310" t="s">
        <v>122</v>
      </c>
      <c r="AN310" t="s">
        <v>12794</v>
      </c>
      <c r="AO310" t="s">
        <v>12795</v>
      </c>
      <c r="AP310" t="s">
        <v>74</v>
      </c>
      <c r="AQ310" t="s">
        <v>74</v>
      </c>
      <c r="AR310" t="s">
        <v>12796</v>
      </c>
      <c r="AS310" t="s">
        <v>12797</v>
      </c>
      <c r="AT310" t="s">
        <v>11115</v>
      </c>
      <c r="AU310">
        <v>2006</v>
      </c>
      <c r="AV310">
        <v>37</v>
      </c>
      <c r="AW310">
        <v>1</v>
      </c>
      <c r="AX310" t="s">
        <v>74</v>
      </c>
      <c r="AY310" t="s">
        <v>74</v>
      </c>
      <c r="AZ310" t="s">
        <v>74</v>
      </c>
      <c r="BA310" t="s">
        <v>74</v>
      </c>
      <c r="BB310">
        <v>22</v>
      </c>
      <c r="BC310">
        <v>26</v>
      </c>
      <c r="BD310" t="s">
        <v>74</v>
      </c>
      <c r="BE310" t="s">
        <v>74</v>
      </c>
      <c r="BF310" t="s">
        <v>74</v>
      </c>
      <c r="BG310" t="s">
        <v>74</v>
      </c>
      <c r="BH310" t="s">
        <v>74</v>
      </c>
      <c r="BI310">
        <v>5</v>
      </c>
      <c r="BJ310" t="s">
        <v>5808</v>
      </c>
      <c r="BK310" t="s">
        <v>3239</v>
      </c>
      <c r="BL310" t="s">
        <v>5809</v>
      </c>
      <c r="BM310" t="s">
        <v>12798</v>
      </c>
      <c r="BN310" t="s">
        <v>74</v>
      </c>
      <c r="BO310" t="s">
        <v>74</v>
      </c>
      <c r="BP310" t="s">
        <v>74</v>
      </c>
      <c r="BQ310" t="s">
        <v>74</v>
      </c>
      <c r="BR310" t="s">
        <v>106</v>
      </c>
      <c r="BS310" t="s">
        <v>12799</v>
      </c>
      <c r="BT310" t="str">
        <f>HYPERLINK("https%3A%2F%2Fwww.webofscience.com%2Fwos%2Fwoscc%2Ffull-record%2FWOS:000241838700005","View Full Record in Web of Science")</f>
        <v>View Full Record in Web of Science</v>
      </c>
    </row>
    <row r="311" spans="1:72" x14ac:dyDescent="0.25">
      <c r="A311" t="s">
        <v>72</v>
      </c>
      <c r="B311" t="s">
        <v>12912</v>
      </c>
      <c r="C311" t="s">
        <v>74</v>
      </c>
      <c r="D311" t="s">
        <v>74</v>
      </c>
      <c r="E311" t="s">
        <v>74</v>
      </c>
      <c r="F311" t="s">
        <v>12912</v>
      </c>
      <c r="G311" t="s">
        <v>74</v>
      </c>
      <c r="H311" t="s">
        <v>74</v>
      </c>
      <c r="I311" s="1" t="s">
        <v>12913</v>
      </c>
      <c r="J311" t="s">
        <v>12914</v>
      </c>
      <c r="K311" t="s">
        <v>74</v>
      </c>
      <c r="L311" t="s">
        <v>74</v>
      </c>
      <c r="M311" t="s">
        <v>78</v>
      </c>
      <c r="N311" t="s">
        <v>7247</v>
      </c>
      <c r="O311" t="s">
        <v>12915</v>
      </c>
      <c r="P311" t="s">
        <v>12916</v>
      </c>
      <c r="Q311" t="s">
        <v>12917</v>
      </c>
      <c r="R311" t="s">
        <v>12918</v>
      </c>
      <c r="S311" t="s">
        <v>74</v>
      </c>
      <c r="T311" s="1" t="s">
        <v>74</v>
      </c>
      <c r="U311" s="1" t="s">
        <v>12919</v>
      </c>
      <c r="V311" s="1" t="s">
        <v>12920</v>
      </c>
      <c r="W311" t="s">
        <v>12921</v>
      </c>
      <c r="X311" t="s">
        <v>12922</v>
      </c>
      <c r="Y311" t="s">
        <v>12923</v>
      </c>
      <c r="Z311" t="s">
        <v>74</v>
      </c>
      <c r="AA311" t="s">
        <v>74</v>
      </c>
      <c r="AB311" t="s">
        <v>74</v>
      </c>
      <c r="AC311" t="s">
        <v>74</v>
      </c>
      <c r="AD311" t="s">
        <v>74</v>
      </c>
      <c r="AE311" t="s">
        <v>74</v>
      </c>
      <c r="AF311" t="s">
        <v>74</v>
      </c>
      <c r="AG311">
        <v>8</v>
      </c>
      <c r="AH311">
        <v>3</v>
      </c>
      <c r="AI311">
        <v>3</v>
      </c>
      <c r="AJ311">
        <v>0</v>
      </c>
      <c r="AK311">
        <v>2</v>
      </c>
      <c r="AL311" t="s">
        <v>12924</v>
      </c>
      <c r="AM311" t="s">
        <v>12925</v>
      </c>
      <c r="AN311" t="s">
        <v>12926</v>
      </c>
      <c r="AO311" t="s">
        <v>12927</v>
      </c>
      <c r="AP311" t="s">
        <v>74</v>
      </c>
      <c r="AQ311" t="s">
        <v>74</v>
      </c>
      <c r="AR311" t="s">
        <v>12928</v>
      </c>
      <c r="AS311" t="s">
        <v>12929</v>
      </c>
      <c r="AT311" t="s">
        <v>12930</v>
      </c>
      <c r="AU311">
        <v>1991</v>
      </c>
      <c r="AV311">
        <v>69</v>
      </c>
      <c r="AW311">
        <v>8</v>
      </c>
      <c r="AX311" t="s">
        <v>5287</v>
      </c>
      <c r="AY311" t="s">
        <v>74</v>
      </c>
      <c r="AZ311" t="s">
        <v>74</v>
      </c>
      <c r="BA311" t="s">
        <v>74</v>
      </c>
      <c r="BB311">
        <v>5100</v>
      </c>
      <c r="BC311">
        <v>5102</v>
      </c>
      <c r="BD311" t="s">
        <v>74</v>
      </c>
      <c r="BE311" t="s">
        <v>12931</v>
      </c>
      <c r="BF311" t="str">
        <f>HYPERLINK("http://dx.doi.org/10.1063/1.348136","http://dx.doi.org/10.1063/1.348136")</f>
        <v>http://dx.doi.org/10.1063/1.348136</v>
      </c>
      <c r="BG311" t="s">
        <v>74</v>
      </c>
      <c r="BH311" t="s">
        <v>74</v>
      </c>
      <c r="BI311">
        <v>3</v>
      </c>
      <c r="BJ311" t="s">
        <v>12932</v>
      </c>
      <c r="BK311" t="s">
        <v>12933</v>
      </c>
      <c r="BL311" t="s">
        <v>12934</v>
      </c>
      <c r="BM311" t="s">
        <v>12935</v>
      </c>
      <c r="BN311" t="s">
        <v>74</v>
      </c>
      <c r="BO311" t="s">
        <v>74</v>
      </c>
      <c r="BP311" t="s">
        <v>74</v>
      </c>
      <c r="BQ311" t="s">
        <v>74</v>
      </c>
      <c r="BR311" t="s">
        <v>106</v>
      </c>
      <c r="BS311" t="s">
        <v>12936</v>
      </c>
      <c r="BT311" t="str">
        <f>HYPERLINK("https%3A%2F%2Fwww.webofscience.com%2Fwos%2Fwoscc%2Ffull-record%2FWOS:A1991FL73200238","View Full Record in Web of Science")</f>
        <v>View Full Record in Web of Science</v>
      </c>
    </row>
    <row r="312" spans="1:72" x14ac:dyDescent="0.25">
      <c r="A312" t="s">
        <v>72</v>
      </c>
      <c r="B312" t="s">
        <v>1541</v>
      </c>
      <c r="C312" t="s">
        <v>74</v>
      </c>
      <c r="D312" t="s">
        <v>74</v>
      </c>
      <c r="E312" t="s">
        <v>74</v>
      </c>
      <c r="F312" t="s">
        <v>1542</v>
      </c>
      <c r="G312" t="s">
        <v>74</v>
      </c>
      <c r="H312" t="s">
        <v>74</v>
      </c>
      <c r="I312" s="1" t="s">
        <v>1543</v>
      </c>
      <c r="J312" t="s">
        <v>1544</v>
      </c>
      <c r="K312" t="s">
        <v>74</v>
      </c>
      <c r="L312" t="s">
        <v>74</v>
      </c>
      <c r="M312" t="s">
        <v>78</v>
      </c>
      <c r="N312" t="s">
        <v>112</v>
      </c>
      <c r="O312" t="s">
        <v>74</v>
      </c>
      <c r="P312" t="s">
        <v>74</v>
      </c>
      <c r="Q312" t="s">
        <v>74</v>
      </c>
      <c r="R312" t="s">
        <v>74</v>
      </c>
      <c r="S312" t="s">
        <v>74</v>
      </c>
      <c r="T312" s="1" t="s">
        <v>1545</v>
      </c>
      <c r="U312" s="1" t="s">
        <v>1546</v>
      </c>
      <c r="V312" s="1" t="s">
        <v>1547</v>
      </c>
      <c r="W312" t="s">
        <v>1548</v>
      </c>
      <c r="X312" t="s">
        <v>1549</v>
      </c>
      <c r="Y312" t="s">
        <v>1550</v>
      </c>
      <c r="Z312" t="s">
        <v>1551</v>
      </c>
      <c r="AA312" t="s">
        <v>1552</v>
      </c>
      <c r="AB312" t="s">
        <v>1553</v>
      </c>
      <c r="AC312" t="s">
        <v>1554</v>
      </c>
      <c r="AD312" t="s">
        <v>1554</v>
      </c>
      <c r="AE312" t="s">
        <v>1555</v>
      </c>
      <c r="AF312" t="s">
        <v>74</v>
      </c>
      <c r="AG312">
        <v>64</v>
      </c>
      <c r="AH312">
        <v>2</v>
      </c>
      <c r="AI312">
        <v>2</v>
      </c>
      <c r="AJ312">
        <v>27</v>
      </c>
      <c r="AK312">
        <v>30</v>
      </c>
      <c r="AL312" t="s">
        <v>121</v>
      </c>
      <c r="AM312" t="s">
        <v>122</v>
      </c>
      <c r="AN312" t="s">
        <v>123</v>
      </c>
      <c r="AO312" t="s">
        <v>1556</v>
      </c>
      <c r="AP312" t="s">
        <v>1557</v>
      </c>
      <c r="AQ312" t="s">
        <v>74</v>
      </c>
      <c r="AR312" t="s">
        <v>1558</v>
      </c>
      <c r="AS312" t="s">
        <v>1559</v>
      </c>
      <c r="AT312" t="s">
        <v>1560</v>
      </c>
      <c r="AU312">
        <v>2023</v>
      </c>
      <c r="AV312" t="s">
        <v>74</v>
      </c>
      <c r="AW312" t="s">
        <v>74</v>
      </c>
      <c r="AX312" t="s">
        <v>74</v>
      </c>
      <c r="AY312" t="s">
        <v>74</v>
      </c>
      <c r="AZ312" t="s">
        <v>74</v>
      </c>
      <c r="BA312" t="s">
        <v>74</v>
      </c>
      <c r="BB312" t="s">
        <v>74</v>
      </c>
      <c r="BC312" t="s">
        <v>74</v>
      </c>
      <c r="BD312" t="s">
        <v>74</v>
      </c>
      <c r="BE312" t="s">
        <v>1561</v>
      </c>
      <c r="BF312" t="str">
        <f>HYPERLINK("http://dx.doi.org/10.1007/s12063-023-00358-z","http://dx.doi.org/10.1007/s12063-023-00358-z")</f>
        <v>http://dx.doi.org/10.1007/s12063-023-00358-z</v>
      </c>
      <c r="BG312" t="s">
        <v>74</v>
      </c>
      <c r="BH312" t="s">
        <v>1476</v>
      </c>
      <c r="BI312">
        <v>16</v>
      </c>
      <c r="BJ312" t="s">
        <v>315</v>
      </c>
      <c r="BK312" t="s">
        <v>156</v>
      </c>
      <c r="BL312" t="s">
        <v>265</v>
      </c>
      <c r="BM312" t="s">
        <v>1562</v>
      </c>
      <c r="BN312" t="s">
        <v>74</v>
      </c>
      <c r="BO312" t="s">
        <v>105</v>
      </c>
      <c r="BP312" t="s">
        <v>74</v>
      </c>
      <c r="BQ312" t="s">
        <v>74</v>
      </c>
      <c r="BR312" t="s">
        <v>106</v>
      </c>
      <c r="BS312" t="s">
        <v>1563</v>
      </c>
      <c r="BT312" t="str">
        <f>HYPERLINK("https%3A%2F%2Fwww.webofscience.com%2Fwos%2Fwoscc%2Ffull-record%2FWOS:000955110100001","View Full Record in Web of Science")</f>
        <v>View Full Record in Web of Science</v>
      </c>
    </row>
    <row r="313" spans="1:72" x14ac:dyDescent="0.25">
      <c r="A313" t="s">
        <v>72</v>
      </c>
      <c r="B313" t="s">
        <v>2005</v>
      </c>
      <c r="C313" t="s">
        <v>74</v>
      </c>
      <c r="D313" t="s">
        <v>74</v>
      </c>
      <c r="E313" t="s">
        <v>74</v>
      </c>
      <c r="F313" t="s">
        <v>2006</v>
      </c>
      <c r="G313" t="s">
        <v>74</v>
      </c>
      <c r="H313" t="s">
        <v>74</v>
      </c>
      <c r="I313" s="1" t="s">
        <v>2007</v>
      </c>
      <c r="J313" t="s">
        <v>1523</v>
      </c>
      <c r="K313" t="s">
        <v>74</v>
      </c>
      <c r="L313" t="s">
        <v>74</v>
      </c>
      <c r="M313" t="s">
        <v>78</v>
      </c>
      <c r="N313" t="s">
        <v>79</v>
      </c>
      <c r="O313" t="s">
        <v>74</v>
      </c>
      <c r="P313" t="s">
        <v>74</v>
      </c>
      <c r="Q313" t="s">
        <v>74</v>
      </c>
      <c r="R313" t="s">
        <v>74</v>
      </c>
      <c r="S313" t="s">
        <v>74</v>
      </c>
      <c r="T313" s="1" t="s">
        <v>2008</v>
      </c>
      <c r="U313" s="1" t="s">
        <v>2009</v>
      </c>
      <c r="V313" s="1" t="s">
        <v>2010</v>
      </c>
      <c r="W313" t="s">
        <v>2011</v>
      </c>
      <c r="X313" t="s">
        <v>2012</v>
      </c>
      <c r="Y313" t="s">
        <v>2013</v>
      </c>
      <c r="Z313" t="s">
        <v>2014</v>
      </c>
      <c r="AA313" t="s">
        <v>2015</v>
      </c>
      <c r="AB313" t="s">
        <v>2016</v>
      </c>
      <c r="AC313" t="s">
        <v>74</v>
      </c>
      <c r="AD313" t="s">
        <v>74</v>
      </c>
      <c r="AE313" t="s">
        <v>74</v>
      </c>
      <c r="AF313" t="s">
        <v>74</v>
      </c>
      <c r="AG313">
        <v>108</v>
      </c>
      <c r="AH313">
        <v>2</v>
      </c>
      <c r="AI313">
        <v>2</v>
      </c>
      <c r="AJ313">
        <v>42</v>
      </c>
      <c r="AK313">
        <v>74</v>
      </c>
      <c r="AL313" t="s">
        <v>715</v>
      </c>
      <c r="AM313" t="s">
        <v>716</v>
      </c>
      <c r="AN313" t="s">
        <v>717</v>
      </c>
      <c r="AO313" t="s">
        <v>1533</v>
      </c>
      <c r="AP313" t="s">
        <v>74</v>
      </c>
      <c r="AQ313" t="s">
        <v>74</v>
      </c>
      <c r="AR313" t="s">
        <v>1534</v>
      </c>
      <c r="AS313" t="s">
        <v>1535</v>
      </c>
      <c r="AT313" t="s">
        <v>1536</v>
      </c>
      <c r="AU313">
        <v>2023</v>
      </c>
      <c r="AV313">
        <v>33</v>
      </c>
      <c r="AW313">
        <v>2</v>
      </c>
      <c r="AX313" t="s">
        <v>74</v>
      </c>
      <c r="AY313" t="s">
        <v>74</v>
      </c>
      <c r="AZ313" t="s">
        <v>1020</v>
      </c>
      <c r="BA313" t="s">
        <v>74</v>
      </c>
      <c r="BB313">
        <v>149</v>
      </c>
      <c r="BC313">
        <v>168</v>
      </c>
      <c r="BD313" t="s">
        <v>74</v>
      </c>
      <c r="BE313" t="s">
        <v>2017</v>
      </c>
      <c r="BF313" t="str">
        <f>HYPERLINK("http://dx.doi.org/10.1108/JSTP-04-2022-0092","http://dx.doi.org/10.1108/JSTP-04-2022-0092")</f>
        <v>http://dx.doi.org/10.1108/JSTP-04-2022-0092</v>
      </c>
      <c r="BG313" t="s">
        <v>74</v>
      </c>
      <c r="BH313" t="s">
        <v>1999</v>
      </c>
      <c r="BI313">
        <v>20</v>
      </c>
      <c r="BJ313" t="s">
        <v>264</v>
      </c>
      <c r="BK313" t="s">
        <v>156</v>
      </c>
      <c r="BL313" t="s">
        <v>265</v>
      </c>
      <c r="BM313" t="s">
        <v>2018</v>
      </c>
      <c r="BN313" t="s">
        <v>74</v>
      </c>
      <c r="BO313" t="s">
        <v>74</v>
      </c>
      <c r="BP313" t="s">
        <v>74</v>
      </c>
      <c r="BQ313" t="s">
        <v>74</v>
      </c>
      <c r="BR313" t="s">
        <v>106</v>
      </c>
      <c r="BS313" t="s">
        <v>2019</v>
      </c>
      <c r="BT313" t="str">
        <f>HYPERLINK("https%3A%2F%2Fwww.webofscience.com%2Fwos%2Fwoscc%2Ffull-record%2FWOS:000909928200001","View Full Record in Web of Science")</f>
        <v>View Full Record in Web of Science</v>
      </c>
    </row>
    <row r="314" spans="1:72" x14ac:dyDescent="0.25">
      <c r="A314" t="s">
        <v>72</v>
      </c>
      <c r="B314" t="s">
        <v>2020</v>
      </c>
      <c r="C314" t="s">
        <v>74</v>
      </c>
      <c r="D314" t="s">
        <v>74</v>
      </c>
      <c r="E314" t="s">
        <v>74</v>
      </c>
      <c r="F314" t="s">
        <v>2021</v>
      </c>
      <c r="G314" t="s">
        <v>74</v>
      </c>
      <c r="H314" t="s">
        <v>74</v>
      </c>
      <c r="I314" s="1" t="s">
        <v>2022</v>
      </c>
      <c r="J314" t="s">
        <v>321</v>
      </c>
      <c r="K314" t="s">
        <v>74</v>
      </c>
      <c r="L314" t="s">
        <v>74</v>
      </c>
      <c r="M314" t="s">
        <v>78</v>
      </c>
      <c r="N314" t="s">
        <v>79</v>
      </c>
      <c r="O314" t="s">
        <v>74</v>
      </c>
      <c r="P314" t="s">
        <v>74</v>
      </c>
      <c r="Q314" t="s">
        <v>74</v>
      </c>
      <c r="R314" t="s">
        <v>74</v>
      </c>
      <c r="S314" t="s">
        <v>74</v>
      </c>
      <c r="T314" s="1" t="s">
        <v>2023</v>
      </c>
      <c r="U314" s="1" t="s">
        <v>2024</v>
      </c>
      <c r="V314" s="1" t="s">
        <v>2025</v>
      </c>
      <c r="W314" t="s">
        <v>2026</v>
      </c>
      <c r="X314" t="s">
        <v>2027</v>
      </c>
      <c r="Y314" t="s">
        <v>2028</v>
      </c>
      <c r="Z314" t="s">
        <v>2029</v>
      </c>
      <c r="AA314" t="s">
        <v>1194</v>
      </c>
      <c r="AB314" t="s">
        <v>2030</v>
      </c>
      <c r="AC314" t="s">
        <v>74</v>
      </c>
      <c r="AD314" t="s">
        <v>74</v>
      </c>
      <c r="AE314" t="s">
        <v>74</v>
      </c>
      <c r="AF314" t="s">
        <v>74</v>
      </c>
      <c r="AG314">
        <v>99</v>
      </c>
      <c r="AH314">
        <v>2</v>
      </c>
      <c r="AI314">
        <v>2</v>
      </c>
      <c r="AJ314">
        <v>46</v>
      </c>
      <c r="AK314">
        <v>106</v>
      </c>
      <c r="AL314" t="s">
        <v>332</v>
      </c>
      <c r="AM314" t="s">
        <v>122</v>
      </c>
      <c r="AN314" t="s">
        <v>333</v>
      </c>
      <c r="AO314" t="s">
        <v>334</v>
      </c>
      <c r="AP314" t="s">
        <v>335</v>
      </c>
      <c r="AQ314" t="s">
        <v>74</v>
      </c>
      <c r="AR314" t="s">
        <v>336</v>
      </c>
      <c r="AS314" t="s">
        <v>337</v>
      </c>
      <c r="AT314" t="s">
        <v>1683</v>
      </c>
      <c r="AU314">
        <v>2023</v>
      </c>
      <c r="AV314">
        <v>188</v>
      </c>
      <c r="AW314" t="s">
        <v>74</v>
      </c>
      <c r="AX314" t="s">
        <v>74</v>
      </c>
      <c r="AY314" t="s">
        <v>74</v>
      </c>
      <c r="AZ314" t="s">
        <v>74</v>
      </c>
      <c r="BA314" t="s">
        <v>74</v>
      </c>
      <c r="BB314" t="s">
        <v>74</v>
      </c>
      <c r="BC314" t="s">
        <v>74</v>
      </c>
      <c r="BD314">
        <v>122288</v>
      </c>
      <c r="BE314" t="s">
        <v>2031</v>
      </c>
      <c r="BF314" t="str">
        <f>HYPERLINK("http://dx.doi.org/10.1016/j.techfore.2022.122288","http://dx.doi.org/10.1016/j.techfore.2022.122288")</f>
        <v>http://dx.doi.org/10.1016/j.techfore.2022.122288</v>
      </c>
      <c r="BG314" t="s">
        <v>74</v>
      </c>
      <c r="BH314" t="s">
        <v>1999</v>
      </c>
      <c r="BI314">
        <v>9</v>
      </c>
      <c r="BJ314" t="s">
        <v>339</v>
      </c>
      <c r="BK314" t="s">
        <v>156</v>
      </c>
      <c r="BL314" t="s">
        <v>340</v>
      </c>
      <c r="BM314" t="s">
        <v>2032</v>
      </c>
      <c r="BN314">
        <v>36590467</v>
      </c>
      <c r="BO314" t="s">
        <v>2033</v>
      </c>
      <c r="BP314" t="s">
        <v>74</v>
      </c>
      <c r="BQ314" t="s">
        <v>74</v>
      </c>
      <c r="BR314" t="s">
        <v>106</v>
      </c>
      <c r="BS314" t="s">
        <v>2034</v>
      </c>
      <c r="BT314" t="str">
        <f>HYPERLINK("https%3A%2F%2Fwww.webofscience.com%2Fwos%2Fwoscc%2Ffull-record%2FWOS:000919042800001","View Full Record in Web of Science")</f>
        <v>View Full Record in Web of Science</v>
      </c>
    </row>
    <row r="315" spans="1:72" x14ac:dyDescent="0.25">
      <c r="A315" t="s">
        <v>72</v>
      </c>
      <c r="B315" t="s">
        <v>2035</v>
      </c>
      <c r="C315" t="s">
        <v>74</v>
      </c>
      <c r="D315" t="s">
        <v>74</v>
      </c>
      <c r="E315" t="s">
        <v>74</v>
      </c>
      <c r="F315" t="s">
        <v>2036</v>
      </c>
      <c r="G315" t="s">
        <v>74</v>
      </c>
      <c r="H315" t="s">
        <v>74</v>
      </c>
      <c r="I315" s="1" t="s">
        <v>2037</v>
      </c>
      <c r="J315" t="s">
        <v>1649</v>
      </c>
      <c r="K315" t="s">
        <v>74</v>
      </c>
      <c r="L315" t="s">
        <v>74</v>
      </c>
      <c r="M315" t="s">
        <v>78</v>
      </c>
      <c r="N315" t="s">
        <v>79</v>
      </c>
      <c r="O315" t="s">
        <v>74</v>
      </c>
      <c r="P315" t="s">
        <v>74</v>
      </c>
      <c r="Q315" t="s">
        <v>74</v>
      </c>
      <c r="R315" t="s">
        <v>74</v>
      </c>
      <c r="S315" t="s">
        <v>74</v>
      </c>
      <c r="T315" s="1" t="s">
        <v>2038</v>
      </c>
      <c r="U315" s="1" t="s">
        <v>2039</v>
      </c>
      <c r="V315" s="1" t="s">
        <v>2040</v>
      </c>
      <c r="W315" t="s">
        <v>2041</v>
      </c>
      <c r="X315" t="s">
        <v>2042</v>
      </c>
      <c r="Y315" t="s">
        <v>2043</v>
      </c>
      <c r="Z315" t="s">
        <v>2044</v>
      </c>
      <c r="AA315" t="s">
        <v>74</v>
      </c>
      <c r="AB315" t="s">
        <v>74</v>
      </c>
      <c r="AC315" t="s">
        <v>74</v>
      </c>
      <c r="AD315" t="s">
        <v>74</v>
      </c>
      <c r="AE315" t="s">
        <v>74</v>
      </c>
      <c r="AF315" t="s">
        <v>74</v>
      </c>
      <c r="AG315">
        <v>64</v>
      </c>
      <c r="AH315">
        <v>2</v>
      </c>
      <c r="AI315">
        <v>2</v>
      </c>
      <c r="AJ315">
        <v>84</v>
      </c>
      <c r="AK315">
        <v>159</v>
      </c>
      <c r="AL315" t="s">
        <v>1382</v>
      </c>
      <c r="AM315" t="s">
        <v>1383</v>
      </c>
      <c r="AN315" t="s">
        <v>1384</v>
      </c>
      <c r="AO315" t="s">
        <v>1659</v>
      </c>
      <c r="AP315" t="s">
        <v>74</v>
      </c>
      <c r="AQ315" t="s">
        <v>74</v>
      </c>
      <c r="AR315" t="s">
        <v>1660</v>
      </c>
      <c r="AS315" t="s">
        <v>1661</v>
      </c>
      <c r="AT315" t="s">
        <v>2045</v>
      </c>
      <c r="AU315">
        <v>2023</v>
      </c>
      <c r="AV315">
        <v>13</v>
      </c>
      <c r="AW315" t="s">
        <v>74</v>
      </c>
      <c r="AX315" t="s">
        <v>74</v>
      </c>
      <c r="AY315" t="s">
        <v>74</v>
      </c>
      <c r="AZ315" t="s">
        <v>74</v>
      </c>
      <c r="BA315" t="s">
        <v>74</v>
      </c>
      <c r="BB315" t="s">
        <v>74</v>
      </c>
      <c r="BC315" t="s">
        <v>74</v>
      </c>
      <c r="BD315">
        <v>1066180</v>
      </c>
      <c r="BE315" t="s">
        <v>2046</v>
      </c>
      <c r="BF315" t="str">
        <f>HYPERLINK("http://dx.doi.org/10.3389/fpsyg.2022.1066180","http://dx.doi.org/10.3389/fpsyg.2022.1066180")</f>
        <v>http://dx.doi.org/10.3389/fpsyg.2022.1066180</v>
      </c>
      <c r="BG315" t="s">
        <v>74</v>
      </c>
      <c r="BH315" t="s">
        <v>74</v>
      </c>
      <c r="BI315">
        <v>11</v>
      </c>
      <c r="BJ315" t="s">
        <v>1664</v>
      </c>
      <c r="BK315" t="s">
        <v>156</v>
      </c>
      <c r="BL315" t="s">
        <v>1665</v>
      </c>
      <c r="BM315" t="s">
        <v>2047</v>
      </c>
      <c r="BN315">
        <v>36687830</v>
      </c>
      <c r="BO315" t="s">
        <v>422</v>
      </c>
      <c r="BP315" t="s">
        <v>74</v>
      </c>
      <c r="BQ315" t="s">
        <v>74</v>
      </c>
      <c r="BR315" t="s">
        <v>106</v>
      </c>
      <c r="BS315" t="s">
        <v>2048</v>
      </c>
      <c r="BT315" t="str">
        <f>HYPERLINK("https%3A%2F%2Fwww.webofscience.com%2Fwos%2Fwoscc%2Ffull-record%2FWOS:000914677400001","View Full Record in Web of Science")</f>
        <v>View Full Record in Web of Science</v>
      </c>
    </row>
    <row r="316" spans="1:72" x14ac:dyDescent="0.25">
      <c r="A316" t="s">
        <v>72</v>
      </c>
      <c r="B316" t="s">
        <v>2350</v>
      </c>
      <c r="C316" t="s">
        <v>74</v>
      </c>
      <c r="D316" t="s">
        <v>74</v>
      </c>
      <c r="E316" t="s">
        <v>74</v>
      </c>
      <c r="F316" t="s">
        <v>2351</v>
      </c>
      <c r="G316" t="s">
        <v>74</v>
      </c>
      <c r="H316" t="s">
        <v>74</v>
      </c>
      <c r="I316" s="1" t="s">
        <v>2352</v>
      </c>
      <c r="J316" t="s">
        <v>2353</v>
      </c>
      <c r="K316" t="s">
        <v>74</v>
      </c>
      <c r="L316" t="s">
        <v>74</v>
      </c>
      <c r="M316" t="s">
        <v>78</v>
      </c>
      <c r="N316" t="s">
        <v>79</v>
      </c>
      <c r="O316" t="s">
        <v>74</v>
      </c>
      <c r="P316" t="s">
        <v>74</v>
      </c>
      <c r="Q316" t="s">
        <v>74</v>
      </c>
      <c r="R316" t="s">
        <v>74</v>
      </c>
      <c r="S316" t="s">
        <v>74</v>
      </c>
      <c r="T316" s="1" t="s">
        <v>2354</v>
      </c>
      <c r="U316" s="1" t="s">
        <v>2355</v>
      </c>
      <c r="V316" s="1" t="s">
        <v>2356</v>
      </c>
      <c r="W316" t="s">
        <v>2357</v>
      </c>
      <c r="X316" t="s">
        <v>2358</v>
      </c>
      <c r="Y316" t="s">
        <v>2359</v>
      </c>
      <c r="Z316" t="s">
        <v>2360</v>
      </c>
      <c r="AA316" t="s">
        <v>2361</v>
      </c>
      <c r="AB316" t="s">
        <v>2362</v>
      </c>
      <c r="AC316" t="s">
        <v>74</v>
      </c>
      <c r="AD316" t="s">
        <v>74</v>
      </c>
      <c r="AE316" t="s">
        <v>74</v>
      </c>
      <c r="AF316" t="s">
        <v>74</v>
      </c>
      <c r="AG316">
        <v>79</v>
      </c>
      <c r="AH316">
        <v>2</v>
      </c>
      <c r="AI316">
        <v>2</v>
      </c>
      <c r="AJ316">
        <v>3</v>
      </c>
      <c r="AK316">
        <v>4</v>
      </c>
      <c r="AL316" t="s">
        <v>715</v>
      </c>
      <c r="AM316" t="s">
        <v>716</v>
      </c>
      <c r="AN316" t="s">
        <v>717</v>
      </c>
      <c r="AO316" t="s">
        <v>2363</v>
      </c>
      <c r="AP316" t="s">
        <v>2364</v>
      </c>
      <c r="AQ316" t="s">
        <v>74</v>
      </c>
      <c r="AR316" t="s">
        <v>2365</v>
      </c>
      <c r="AS316" t="s">
        <v>2366</v>
      </c>
      <c r="AT316" t="s">
        <v>1059</v>
      </c>
      <c r="AU316">
        <v>2023</v>
      </c>
      <c r="AV316">
        <v>49</v>
      </c>
      <c r="AW316">
        <v>7</v>
      </c>
      <c r="AX316" t="s">
        <v>74</v>
      </c>
      <c r="AY316" t="s">
        <v>74</v>
      </c>
      <c r="AZ316" t="s">
        <v>74</v>
      </c>
      <c r="BA316" t="s">
        <v>74</v>
      </c>
      <c r="BB316">
        <v>1221</v>
      </c>
      <c r="BC316">
        <v>1238</v>
      </c>
      <c r="BD316" t="s">
        <v>74</v>
      </c>
      <c r="BE316" t="s">
        <v>2367</v>
      </c>
      <c r="BF316" t="str">
        <f>HYPERLINK("http://dx.doi.org/10.1108/MF-04-2022-0167","http://dx.doi.org/10.1108/MF-04-2022-0167")</f>
        <v>http://dx.doi.org/10.1108/MF-04-2022-0167</v>
      </c>
      <c r="BG316" t="s">
        <v>74</v>
      </c>
      <c r="BH316" t="s">
        <v>2368</v>
      </c>
      <c r="BI316">
        <v>18</v>
      </c>
      <c r="BJ316" t="s">
        <v>479</v>
      </c>
      <c r="BK316" t="s">
        <v>183</v>
      </c>
      <c r="BL316" t="s">
        <v>265</v>
      </c>
      <c r="BM316" t="s">
        <v>2369</v>
      </c>
      <c r="BN316" t="s">
        <v>74</v>
      </c>
      <c r="BO316" t="s">
        <v>74</v>
      </c>
      <c r="BP316" t="s">
        <v>74</v>
      </c>
      <c r="BQ316" t="s">
        <v>74</v>
      </c>
      <c r="BR316" t="s">
        <v>106</v>
      </c>
      <c r="BS316" t="s">
        <v>2370</v>
      </c>
      <c r="BT316" t="str">
        <f>HYPERLINK("https%3A%2F%2Fwww.webofscience.com%2Fwos%2Fwoscc%2Ffull-record%2FWOS:000902960000001","View Full Record in Web of Science")</f>
        <v>View Full Record in Web of Science</v>
      </c>
    </row>
    <row r="317" spans="1:72" x14ac:dyDescent="0.25">
      <c r="A317" t="s">
        <v>72</v>
      </c>
      <c r="B317" t="s">
        <v>2649</v>
      </c>
      <c r="C317" t="s">
        <v>74</v>
      </c>
      <c r="D317" t="s">
        <v>74</v>
      </c>
      <c r="E317" t="s">
        <v>74</v>
      </c>
      <c r="F317" t="s">
        <v>2650</v>
      </c>
      <c r="G317" t="s">
        <v>74</v>
      </c>
      <c r="H317" t="s">
        <v>74</v>
      </c>
      <c r="I317" s="1" t="s">
        <v>2651</v>
      </c>
      <c r="J317" t="s">
        <v>2652</v>
      </c>
      <c r="K317" t="s">
        <v>74</v>
      </c>
      <c r="L317" t="s">
        <v>74</v>
      </c>
      <c r="M317" t="s">
        <v>78</v>
      </c>
      <c r="N317" t="s">
        <v>79</v>
      </c>
      <c r="O317" t="s">
        <v>74</v>
      </c>
      <c r="P317" t="s">
        <v>74</v>
      </c>
      <c r="Q317" t="s">
        <v>74</v>
      </c>
      <c r="R317" t="s">
        <v>74</v>
      </c>
      <c r="S317" t="s">
        <v>74</v>
      </c>
      <c r="T317" s="1" t="s">
        <v>2653</v>
      </c>
      <c r="U317" s="1" t="s">
        <v>2654</v>
      </c>
      <c r="V317" s="1" t="s">
        <v>2655</v>
      </c>
      <c r="W317" t="s">
        <v>2656</v>
      </c>
      <c r="X317" t="s">
        <v>2657</v>
      </c>
      <c r="Y317" t="s">
        <v>2658</v>
      </c>
      <c r="Z317" t="s">
        <v>2659</v>
      </c>
      <c r="AA317" t="s">
        <v>2660</v>
      </c>
      <c r="AB317" t="s">
        <v>2661</v>
      </c>
      <c r="AC317" t="s">
        <v>2662</v>
      </c>
      <c r="AD317" t="s">
        <v>2663</v>
      </c>
      <c r="AE317" t="s">
        <v>2664</v>
      </c>
      <c r="AF317" t="s">
        <v>74</v>
      </c>
      <c r="AG317">
        <v>71</v>
      </c>
      <c r="AH317">
        <v>2</v>
      </c>
      <c r="AI317">
        <v>2</v>
      </c>
      <c r="AJ317">
        <v>2</v>
      </c>
      <c r="AK317">
        <v>3</v>
      </c>
      <c r="AL317" t="s">
        <v>92</v>
      </c>
      <c r="AM317" t="s">
        <v>93</v>
      </c>
      <c r="AN317" t="s">
        <v>94</v>
      </c>
      <c r="AO317" t="s">
        <v>2665</v>
      </c>
      <c r="AP317" t="s">
        <v>2666</v>
      </c>
      <c r="AQ317" t="s">
        <v>74</v>
      </c>
      <c r="AR317" t="s">
        <v>2667</v>
      </c>
      <c r="AS317" t="s">
        <v>2668</v>
      </c>
      <c r="AT317" t="s">
        <v>476</v>
      </c>
      <c r="AU317">
        <v>2022</v>
      </c>
      <c r="AV317">
        <v>170</v>
      </c>
      <c r="AW317" t="s">
        <v>74</v>
      </c>
      <c r="AX317" t="s">
        <v>74</v>
      </c>
      <c r="AY317" t="s">
        <v>74</v>
      </c>
      <c r="AZ317" t="s">
        <v>74</v>
      </c>
      <c r="BA317" t="s">
        <v>74</v>
      </c>
      <c r="BB317" t="s">
        <v>74</v>
      </c>
      <c r="BC317" t="s">
        <v>74</v>
      </c>
      <c r="BD317">
        <v>107610</v>
      </c>
      <c r="BE317" t="s">
        <v>2669</v>
      </c>
      <c r="BF317" t="str">
        <f>HYPERLINK("http://dx.doi.org/10.1016/j.envint.2022.107610","http://dx.doi.org/10.1016/j.envint.2022.107610")</f>
        <v>http://dx.doi.org/10.1016/j.envint.2022.107610</v>
      </c>
      <c r="BG317" t="s">
        <v>74</v>
      </c>
      <c r="BH317" t="s">
        <v>2620</v>
      </c>
      <c r="BI317">
        <v>14</v>
      </c>
      <c r="BJ317" t="s">
        <v>545</v>
      </c>
      <c r="BK317" t="s">
        <v>102</v>
      </c>
      <c r="BL317" t="s">
        <v>546</v>
      </c>
      <c r="BM317" t="s">
        <v>2670</v>
      </c>
      <c r="BN317">
        <v>36356553</v>
      </c>
      <c r="BO317" t="s">
        <v>422</v>
      </c>
      <c r="BP317" t="s">
        <v>74</v>
      </c>
      <c r="BQ317" t="s">
        <v>74</v>
      </c>
      <c r="BR317" t="s">
        <v>106</v>
      </c>
      <c r="BS317" t="s">
        <v>2671</v>
      </c>
      <c r="BT317" t="str">
        <f>HYPERLINK("https%3A%2F%2Fwww.webofscience.com%2Fwos%2Fwoscc%2Ffull-record%2FWOS:000913180200002","View Full Record in Web of Science")</f>
        <v>View Full Record in Web of Science</v>
      </c>
    </row>
    <row r="318" spans="1:72" x14ac:dyDescent="0.25">
      <c r="A318" t="s">
        <v>72</v>
      </c>
      <c r="B318" t="s">
        <v>2696</v>
      </c>
      <c r="C318" t="s">
        <v>74</v>
      </c>
      <c r="D318" t="s">
        <v>74</v>
      </c>
      <c r="E318" t="s">
        <v>74</v>
      </c>
      <c r="F318" t="s">
        <v>2697</v>
      </c>
      <c r="G318" t="s">
        <v>74</v>
      </c>
      <c r="H318" t="s">
        <v>74</v>
      </c>
      <c r="I318" s="1" t="s">
        <v>2698</v>
      </c>
      <c r="J318" t="s">
        <v>191</v>
      </c>
      <c r="K318" t="s">
        <v>74</v>
      </c>
      <c r="L318" t="s">
        <v>74</v>
      </c>
      <c r="M318" t="s">
        <v>78</v>
      </c>
      <c r="N318" t="s">
        <v>79</v>
      </c>
      <c r="O318" t="s">
        <v>74</v>
      </c>
      <c r="P318" t="s">
        <v>74</v>
      </c>
      <c r="Q318" t="s">
        <v>74</v>
      </c>
      <c r="R318" t="s">
        <v>74</v>
      </c>
      <c r="S318" t="s">
        <v>74</v>
      </c>
      <c r="T318" s="1" t="s">
        <v>2699</v>
      </c>
      <c r="U318" s="1" t="s">
        <v>74</v>
      </c>
      <c r="V318" s="1" t="s">
        <v>2700</v>
      </c>
      <c r="W318" t="s">
        <v>2701</v>
      </c>
      <c r="X318" t="s">
        <v>2702</v>
      </c>
      <c r="Y318" t="s">
        <v>2703</v>
      </c>
      <c r="Z318" t="s">
        <v>2704</v>
      </c>
      <c r="AA318" t="s">
        <v>74</v>
      </c>
      <c r="AB318" t="s">
        <v>74</v>
      </c>
      <c r="AC318" t="s">
        <v>2705</v>
      </c>
      <c r="AD318" t="s">
        <v>2705</v>
      </c>
      <c r="AE318" t="s">
        <v>2706</v>
      </c>
      <c r="AF318" t="s">
        <v>74</v>
      </c>
      <c r="AG318">
        <v>92</v>
      </c>
      <c r="AH318">
        <v>2</v>
      </c>
      <c r="AI318">
        <v>2</v>
      </c>
      <c r="AJ318">
        <v>11</v>
      </c>
      <c r="AK318">
        <v>21</v>
      </c>
      <c r="AL318" t="s">
        <v>202</v>
      </c>
      <c r="AM318" t="s">
        <v>203</v>
      </c>
      <c r="AN318" t="s">
        <v>204</v>
      </c>
      <c r="AO318" t="s">
        <v>74</v>
      </c>
      <c r="AP318" t="s">
        <v>205</v>
      </c>
      <c r="AQ318" t="s">
        <v>74</v>
      </c>
      <c r="AR318" t="s">
        <v>206</v>
      </c>
      <c r="AS318" t="s">
        <v>207</v>
      </c>
      <c r="AT318" t="s">
        <v>99</v>
      </c>
      <c r="AU318">
        <v>2022</v>
      </c>
      <c r="AV318">
        <v>14</v>
      </c>
      <c r="AW318">
        <v>22</v>
      </c>
      <c r="AX318" t="s">
        <v>74</v>
      </c>
      <c r="AY318" t="s">
        <v>74</v>
      </c>
      <c r="AZ318" t="s">
        <v>74</v>
      </c>
      <c r="BA318" t="s">
        <v>74</v>
      </c>
      <c r="BB318" t="s">
        <v>74</v>
      </c>
      <c r="BC318" t="s">
        <v>74</v>
      </c>
      <c r="BD318">
        <v>15436</v>
      </c>
      <c r="BE318" t="s">
        <v>2707</v>
      </c>
      <c r="BF318" t="str">
        <f>HYPERLINK("http://dx.doi.org/10.3390/su142215436","http://dx.doi.org/10.3390/su142215436")</f>
        <v>http://dx.doi.org/10.3390/su142215436</v>
      </c>
      <c r="BG318" t="s">
        <v>74</v>
      </c>
      <c r="BH318" t="s">
        <v>74</v>
      </c>
      <c r="BI318">
        <v>19</v>
      </c>
      <c r="BJ318" t="s">
        <v>210</v>
      </c>
      <c r="BK318" t="s">
        <v>211</v>
      </c>
      <c r="BL318" t="s">
        <v>212</v>
      </c>
      <c r="BM318" t="s">
        <v>2708</v>
      </c>
      <c r="BN318" t="s">
        <v>74</v>
      </c>
      <c r="BO318" t="s">
        <v>186</v>
      </c>
      <c r="BP318" t="s">
        <v>74</v>
      </c>
      <c r="BQ318" t="s">
        <v>74</v>
      </c>
      <c r="BR318" t="s">
        <v>106</v>
      </c>
      <c r="BS318" t="s">
        <v>2709</v>
      </c>
      <c r="BT318" t="str">
        <f>HYPERLINK("https%3A%2F%2Fwww.webofscience.com%2Fwos%2Fwoscc%2Ffull-record%2FWOS:000887695400001","View Full Record in Web of Science")</f>
        <v>View Full Record in Web of Science</v>
      </c>
    </row>
    <row r="319" spans="1:72" x14ac:dyDescent="0.25">
      <c r="A319" t="s">
        <v>72</v>
      </c>
      <c r="B319" t="s">
        <v>3221</v>
      </c>
      <c r="C319" t="s">
        <v>74</v>
      </c>
      <c r="D319" t="s">
        <v>74</v>
      </c>
      <c r="E319" t="s">
        <v>74</v>
      </c>
      <c r="F319" t="s">
        <v>3222</v>
      </c>
      <c r="G319" t="s">
        <v>74</v>
      </c>
      <c r="H319" t="s">
        <v>74</v>
      </c>
      <c r="I319" s="1" t="s">
        <v>3223</v>
      </c>
      <c r="J319" t="s">
        <v>3224</v>
      </c>
      <c r="K319" t="s">
        <v>74</v>
      </c>
      <c r="L319" t="s">
        <v>74</v>
      </c>
      <c r="M319" t="s">
        <v>78</v>
      </c>
      <c r="N319" t="s">
        <v>79</v>
      </c>
      <c r="O319" t="s">
        <v>74</v>
      </c>
      <c r="P319" t="s">
        <v>74</v>
      </c>
      <c r="Q319" t="s">
        <v>74</v>
      </c>
      <c r="R319" t="s">
        <v>74</v>
      </c>
      <c r="S319" t="s">
        <v>74</v>
      </c>
      <c r="T319" s="1" t="s">
        <v>3225</v>
      </c>
      <c r="U319" s="1" t="s">
        <v>3226</v>
      </c>
      <c r="V319" s="1" t="s">
        <v>3227</v>
      </c>
      <c r="W319" t="s">
        <v>3228</v>
      </c>
      <c r="X319" t="s">
        <v>3229</v>
      </c>
      <c r="Y319" t="s">
        <v>3230</v>
      </c>
      <c r="Z319" t="s">
        <v>3231</v>
      </c>
      <c r="AA319" t="s">
        <v>74</v>
      </c>
      <c r="AB319" t="s">
        <v>3232</v>
      </c>
      <c r="AC319" t="s">
        <v>74</v>
      </c>
      <c r="AD319" t="s">
        <v>74</v>
      </c>
      <c r="AE319" t="s">
        <v>74</v>
      </c>
      <c r="AF319" t="s">
        <v>74</v>
      </c>
      <c r="AG319">
        <v>111</v>
      </c>
      <c r="AH319">
        <v>2</v>
      </c>
      <c r="AI319">
        <v>2</v>
      </c>
      <c r="AJ319">
        <v>8</v>
      </c>
      <c r="AK319">
        <v>23</v>
      </c>
      <c r="AL319" t="s">
        <v>492</v>
      </c>
      <c r="AM319" t="s">
        <v>493</v>
      </c>
      <c r="AN319" t="s">
        <v>494</v>
      </c>
      <c r="AO319" t="s">
        <v>3233</v>
      </c>
      <c r="AP319" t="s">
        <v>3234</v>
      </c>
      <c r="AQ319" t="s">
        <v>74</v>
      </c>
      <c r="AR319" t="s">
        <v>3235</v>
      </c>
      <c r="AS319" t="s">
        <v>3236</v>
      </c>
      <c r="AT319" t="s">
        <v>3237</v>
      </c>
      <c r="AU319">
        <v>2022</v>
      </c>
      <c r="AV319">
        <v>14</v>
      </c>
      <c r="AW319">
        <v>3</v>
      </c>
      <c r="AX319" t="s">
        <v>74</v>
      </c>
      <c r="AY319" t="s">
        <v>74</v>
      </c>
      <c r="AZ319" t="s">
        <v>1020</v>
      </c>
      <c r="BA319" t="s">
        <v>74</v>
      </c>
      <c r="BB319">
        <v>376</v>
      </c>
      <c r="BC319">
        <v>400</v>
      </c>
      <c r="BD319" t="s">
        <v>74</v>
      </c>
      <c r="BE319" t="s">
        <v>3238</v>
      </c>
      <c r="BF319" t="str">
        <f>HYPERLINK("http://dx.doi.org/10.1080/17569370.2022.2118969","http://dx.doi.org/10.1080/17569370.2022.2118969")</f>
        <v>http://dx.doi.org/10.1080/17569370.2022.2118969</v>
      </c>
      <c r="BG319" t="s">
        <v>74</v>
      </c>
      <c r="BH319" t="s">
        <v>74</v>
      </c>
      <c r="BI319">
        <v>25</v>
      </c>
      <c r="BJ319" t="s">
        <v>2192</v>
      </c>
      <c r="BK319" t="s">
        <v>3239</v>
      </c>
      <c r="BL319" t="s">
        <v>2193</v>
      </c>
      <c r="BM319" t="s">
        <v>3240</v>
      </c>
      <c r="BN319" t="s">
        <v>74</v>
      </c>
      <c r="BO319" t="s">
        <v>2805</v>
      </c>
      <c r="BP319" t="s">
        <v>74</v>
      </c>
      <c r="BQ319" t="s">
        <v>74</v>
      </c>
      <c r="BR319" t="s">
        <v>106</v>
      </c>
      <c r="BS319" t="s">
        <v>3241</v>
      </c>
      <c r="BT319" t="str">
        <f>HYPERLINK("https%3A%2F%2Fwww.webofscience.com%2Fwos%2Fwoscc%2Ffull-record%2FWOS:000881846600004","View Full Record in Web of Science")</f>
        <v>View Full Record in Web of Science</v>
      </c>
    </row>
    <row r="320" spans="1:72" x14ac:dyDescent="0.25">
      <c r="A320" t="s">
        <v>72</v>
      </c>
      <c r="B320" t="s">
        <v>3242</v>
      </c>
      <c r="C320" t="s">
        <v>74</v>
      </c>
      <c r="D320" t="s">
        <v>74</v>
      </c>
      <c r="E320" t="s">
        <v>74</v>
      </c>
      <c r="F320" t="s">
        <v>3243</v>
      </c>
      <c r="G320" t="s">
        <v>74</v>
      </c>
      <c r="H320" t="s">
        <v>74</v>
      </c>
      <c r="I320" s="1" t="s">
        <v>3244</v>
      </c>
      <c r="J320" t="s">
        <v>3245</v>
      </c>
      <c r="K320" t="s">
        <v>74</v>
      </c>
      <c r="L320" t="s">
        <v>74</v>
      </c>
      <c r="M320" t="s">
        <v>78</v>
      </c>
      <c r="N320" t="s">
        <v>79</v>
      </c>
      <c r="O320" t="s">
        <v>74</v>
      </c>
      <c r="P320" t="s">
        <v>74</v>
      </c>
      <c r="Q320" t="s">
        <v>74</v>
      </c>
      <c r="R320" t="s">
        <v>74</v>
      </c>
      <c r="S320" t="s">
        <v>74</v>
      </c>
      <c r="T320" s="1" t="s">
        <v>3246</v>
      </c>
      <c r="U320" s="1" t="s">
        <v>3247</v>
      </c>
      <c r="V320" s="1" t="s">
        <v>3248</v>
      </c>
      <c r="W320" t="s">
        <v>3249</v>
      </c>
      <c r="X320" t="s">
        <v>3250</v>
      </c>
      <c r="Y320" t="s">
        <v>3251</v>
      </c>
      <c r="Z320" t="s">
        <v>3252</v>
      </c>
      <c r="AA320" t="s">
        <v>3253</v>
      </c>
      <c r="AB320" t="s">
        <v>3254</v>
      </c>
      <c r="AC320" t="s">
        <v>74</v>
      </c>
      <c r="AD320" t="s">
        <v>74</v>
      </c>
      <c r="AE320" t="s">
        <v>74</v>
      </c>
      <c r="AF320" t="s">
        <v>74</v>
      </c>
      <c r="AG320">
        <v>104</v>
      </c>
      <c r="AH320">
        <v>2</v>
      </c>
      <c r="AI320">
        <v>2</v>
      </c>
      <c r="AJ320">
        <v>11</v>
      </c>
      <c r="AK320">
        <v>37</v>
      </c>
      <c r="AL320" t="s">
        <v>1468</v>
      </c>
      <c r="AM320" t="s">
        <v>175</v>
      </c>
      <c r="AN320" t="s">
        <v>1469</v>
      </c>
      <c r="AO320" t="s">
        <v>3255</v>
      </c>
      <c r="AP320" t="s">
        <v>3256</v>
      </c>
      <c r="AQ320" t="s">
        <v>74</v>
      </c>
      <c r="AR320" t="s">
        <v>3257</v>
      </c>
      <c r="AS320" t="s">
        <v>3258</v>
      </c>
      <c r="AT320" t="s">
        <v>99</v>
      </c>
      <c r="AU320">
        <v>2022</v>
      </c>
      <c r="AV320">
        <v>20</v>
      </c>
      <c r="AW320">
        <v>4</v>
      </c>
      <c r="AX320" t="s">
        <v>74</v>
      </c>
      <c r="AY320" t="s">
        <v>74</v>
      </c>
      <c r="AZ320" t="s">
        <v>1020</v>
      </c>
      <c r="BA320" t="s">
        <v>74</v>
      </c>
      <c r="BB320">
        <v>743</v>
      </c>
      <c r="BC320">
        <v>756</v>
      </c>
      <c r="BD320" t="s">
        <v>74</v>
      </c>
      <c r="BE320" t="s">
        <v>3259</v>
      </c>
      <c r="BF320" t="str">
        <f>HYPERLINK("http://dx.doi.org/10.1177/14761270221119113","http://dx.doi.org/10.1177/14761270221119113")</f>
        <v>http://dx.doi.org/10.1177/14761270221119113</v>
      </c>
      <c r="BG320" t="s">
        <v>74</v>
      </c>
      <c r="BH320" t="s">
        <v>3049</v>
      </c>
      <c r="BI320">
        <v>14</v>
      </c>
      <c r="BJ320" t="s">
        <v>264</v>
      </c>
      <c r="BK320" t="s">
        <v>156</v>
      </c>
      <c r="BL320" t="s">
        <v>265</v>
      </c>
      <c r="BM320" t="s">
        <v>3260</v>
      </c>
      <c r="BN320" t="s">
        <v>74</v>
      </c>
      <c r="BO320" t="s">
        <v>74</v>
      </c>
      <c r="BP320" t="s">
        <v>74</v>
      </c>
      <c r="BQ320" t="s">
        <v>74</v>
      </c>
      <c r="BR320" t="s">
        <v>106</v>
      </c>
      <c r="BS320" t="s">
        <v>3261</v>
      </c>
      <c r="BT320" t="str">
        <f>HYPERLINK("https%3A%2F%2Fwww.webofscience.com%2Fwos%2Fwoscc%2Ffull-record%2FWOS:000849427700001","View Full Record in Web of Science")</f>
        <v>View Full Record in Web of Science</v>
      </c>
    </row>
    <row r="321" spans="1:72" x14ac:dyDescent="0.25">
      <c r="A321" t="s">
        <v>72</v>
      </c>
      <c r="B321" t="s">
        <v>3290</v>
      </c>
      <c r="C321" t="s">
        <v>74</v>
      </c>
      <c r="D321" t="s">
        <v>74</v>
      </c>
      <c r="E321" t="s">
        <v>74</v>
      </c>
      <c r="F321" t="s">
        <v>3291</v>
      </c>
      <c r="G321" t="s">
        <v>74</v>
      </c>
      <c r="H321" t="s">
        <v>74</v>
      </c>
      <c r="I321" s="1" t="s">
        <v>3292</v>
      </c>
      <c r="J321" t="s">
        <v>3293</v>
      </c>
      <c r="K321" t="s">
        <v>74</v>
      </c>
      <c r="L321" t="s">
        <v>74</v>
      </c>
      <c r="M321" t="s">
        <v>78</v>
      </c>
      <c r="N321" t="s">
        <v>79</v>
      </c>
      <c r="O321" t="s">
        <v>74</v>
      </c>
      <c r="P321" t="s">
        <v>74</v>
      </c>
      <c r="Q321" t="s">
        <v>74</v>
      </c>
      <c r="R321" t="s">
        <v>74</v>
      </c>
      <c r="S321" t="s">
        <v>74</v>
      </c>
      <c r="T321" s="1" t="s">
        <v>3294</v>
      </c>
      <c r="U321" s="1" t="s">
        <v>3295</v>
      </c>
      <c r="V321" s="1" t="s">
        <v>3296</v>
      </c>
      <c r="W321" t="s">
        <v>3297</v>
      </c>
      <c r="X321" t="s">
        <v>3298</v>
      </c>
      <c r="Y321" t="s">
        <v>3299</v>
      </c>
      <c r="Z321" t="s">
        <v>3300</v>
      </c>
      <c r="AA321" t="s">
        <v>74</v>
      </c>
      <c r="AB321" t="s">
        <v>3301</v>
      </c>
      <c r="AC321" t="s">
        <v>3302</v>
      </c>
      <c r="AD321" t="s">
        <v>3303</v>
      </c>
      <c r="AE321" t="s">
        <v>3304</v>
      </c>
      <c r="AF321" t="s">
        <v>74</v>
      </c>
      <c r="AG321">
        <v>90</v>
      </c>
      <c r="AH321">
        <v>2</v>
      </c>
      <c r="AI321">
        <v>3</v>
      </c>
      <c r="AJ321">
        <v>5</v>
      </c>
      <c r="AK321">
        <v>13</v>
      </c>
      <c r="AL321" t="s">
        <v>202</v>
      </c>
      <c r="AM321" t="s">
        <v>203</v>
      </c>
      <c r="AN321" t="s">
        <v>204</v>
      </c>
      <c r="AO321" t="s">
        <v>74</v>
      </c>
      <c r="AP321" t="s">
        <v>3305</v>
      </c>
      <c r="AQ321" t="s">
        <v>74</v>
      </c>
      <c r="AR321" t="s">
        <v>3293</v>
      </c>
      <c r="AS321" t="s">
        <v>3306</v>
      </c>
      <c r="AT321" t="s">
        <v>356</v>
      </c>
      <c r="AU321">
        <v>2022</v>
      </c>
      <c r="AV321">
        <v>12</v>
      </c>
      <c r="AW321">
        <v>9</v>
      </c>
      <c r="AX321" t="s">
        <v>74</v>
      </c>
      <c r="AY321" t="s">
        <v>74</v>
      </c>
      <c r="AZ321" t="s">
        <v>74</v>
      </c>
      <c r="BA321" t="s">
        <v>74</v>
      </c>
      <c r="BB321" t="s">
        <v>74</v>
      </c>
      <c r="BC321" t="s">
        <v>74</v>
      </c>
      <c r="BD321">
        <v>2084</v>
      </c>
      <c r="BE321" t="s">
        <v>3307</v>
      </c>
      <c r="BF321" t="str">
        <f>HYPERLINK("http://dx.doi.org/10.3390/agronomy12092084","http://dx.doi.org/10.3390/agronomy12092084")</f>
        <v>http://dx.doi.org/10.3390/agronomy12092084</v>
      </c>
      <c r="BG321" t="s">
        <v>74</v>
      </c>
      <c r="BH321" t="s">
        <v>74</v>
      </c>
      <c r="BI321">
        <v>20</v>
      </c>
      <c r="BJ321" t="s">
        <v>3308</v>
      </c>
      <c r="BK321" t="s">
        <v>102</v>
      </c>
      <c r="BL321" t="s">
        <v>3309</v>
      </c>
      <c r="BM321" t="s">
        <v>3310</v>
      </c>
      <c r="BN321" t="s">
        <v>74</v>
      </c>
      <c r="BO321" t="s">
        <v>2946</v>
      </c>
      <c r="BP321" t="s">
        <v>74</v>
      </c>
      <c r="BQ321" t="s">
        <v>74</v>
      </c>
      <c r="BR321" t="s">
        <v>106</v>
      </c>
      <c r="BS321" t="s">
        <v>3311</v>
      </c>
      <c r="BT321" t="str">
        <f>HYPERLINK("https%3A%2F%2Fwww.webofscience.com%2Fwos%2Fwoscc%2Ffull-record%2FWOS:000856165100001","View Full Record in Web of Science")</f>
        <v>View Full Record in Web of Science</v>
      </c>
    </row>
    <row r="322" spans="1:72" x14ac:dyDescent="0.25">
      <c r="A322" t="s">
        <v>72</v>
      </c>
      <c r="B322" t="s">
        <v>3373</v>
      </c>
      <c r="C322" t="s">
        <v>74</v>
      </c>
      <c r="D322" t="s">
        <v>74</v>
      </c>
      <c r="E322" t="s">
        <v>74</v>
      </c>
      <c r="F322" t="s">
        <v>3374</v>
      </c>
      <c r="G322" t="s">
        <v>74</v>
      </c>
      <c r="H322" t="s">
        <v>74</v>
      </c>
      <c r="I322" s="1" t="s">
        <v>3375</v>
      </c>
      <c r="J322" t="s">
        <v>323</v>
      </c>
      <c r="K322" t="s">
        <v>74</v>
      </c>
      <c r="L322" t="s">
        <v>74</v>
      </c>
      <c r="M322" t="s">
        <v>78</v>
      </c>
      <c r="N322" t="s">
        <v>79</v>
      </c>
      <c r="O322" t="s">
        <v>74</v>
      </c>
      <c r="P322" t="s">
        <v>74</v>
      </c>
      <c r="Q322" t="s">
        <v>74</v>
      </c>
      <c r="R322" t="s">
        <v>74</v>
      </c>
      <c r="S322" t="s">
        <v>74</v>
      </c>
      <c r="T322" s="1" t="s">
        <v>3376</v>
      </c>
      <c r="U322" s="1" t="s">
        <v>74</v>
      </c>
      <c r="V322" s="1" t="s">
        <v>3377</v>
      </c>
      <c r="W322" t="s">
        <v>3378</v>
      </c>
      <c r="X322" t="s">
        <v>3379</v>
      </c>
      <c r="Y322" t="s">
        <v>3380</v>
      </c>
      <c r="Z322" t="s">
        <v>3381</v>
      </c>
      <c r="AA322" t="s">
        <v>74</v>
      </c>
      <c r="AB322" t="s">
        <v>74</v>
      </c>
      <c r="AC322" t="s">
        <v>74</v>
      </c>
      <c r="AD322" t="s">
        <v>74</v>
      </c>
      <c r="AE322" t="s">
        <v>74</v>
      </c>
      <c r="AF322" t="s">
        <v>74</v>
      </c>
      <c r="AG322">
        <v>40</v>
      </c>
      <c r="AH322">
        <v>2</v>
      </c>
      <c r="AI322">
        <v>2</v>
      </c>
      <c r="AJ322">
        <v>4</v>
      </c>
      <c r="AK322">
        <v>7</v>
      </c>
      <c r="AL322" t="s">
        <v>202</v>
      </c>
      <c r="AM322" t="s">
        <v>203</v>
      </c>
      <c r="AN322" t="s">
        <v>204</v>
      </c>
      <c r="AO322" t="s">
        <v>74</v>
      </c>
      <c r="AP322" t="s">
        <v>3382</v>
      </c>
      <c r="AQ322" t="s">
        <v>74</v>
      </c>
      <c r="AR322" t="s">
        <v>323</v>
      </c>
      <c r="AS322" t="s">
        <v>3383</v>
      </c>
      <c r="AT322" t="s">
        <v>356</v>
      </c>
      <c r="AU322">
        <v>2022</v>
      </c>
      <c r="AV322">
        <v>13</v>
      </c>
      <c r="AW322">
        <v>9</v>
      </c>
      <c r="AX322" t="s">
        <v>74</v>
      </c>
      <c r="AY322" t="s">
        <v>74</v>
      </c>
      <c r="AZ322" t="s">
        <v>74</v>
      </c>
      <c r="BA322" t="s">
        <v>74</v>
      </c>
      <c r="BB322" t="s">
        <v>74</v>
      </c>
      <c r="BC322" t="s">
        <v>74</v>
      </c>
      <c r="BD322">
        <v>416</v>
      </c>
      <c r="BE322" t="s">
        <v>3384</v>
      </c>
      <c r="BF322" t="str">
        <f>HYPERLINK("http://dx.doi.org/10.3390/info13090416","http://dx.doi.org/10.3390/info13090416")</f>
        <v>http://dx.doi.org/10.3390/info13090416</v>
      </c>
      <c r="BG322" t="s">
        <v>74</v>
      </c>
      <c r="BH322" t="s">
        <v>74</v>
      </c>
      <c r="BI322">
        <v>11</v>
      </c>
      <c r="BJ322" t="s">
        <v>1217</v>
      </c>
      <c r="BK322" t="s">
        <v>183</v>
      </c>
      <c r="BL322" t="s">
        <v>399</v>
      </c>
      <c r="BM322" t="s">
        <v>3385</v>
      </c>
      <c r="BN322" t="s">
        <v>74</v>
      </c>
      <c r="BO322" t="s">
        <v>186</v>
      </c>
      <c r="BP322" t="s">
        <v>74</v>
      </c>
      <c r="BQ322" t="s">
        <v>74</v>
      </c>
      <c r="BR322" t="s">
        <v>106</v>
      </c>
      <c r="BS322" t="s">
        <v>3386</v>
      </c>
      <c r="BT322" t="str">
        <f>HYPERLINK("https%3A%2F%2Fwww.webofscience.com%2Fwos%2Fwoscc%2Ffull-record%2FWOS:000858213600001","View Full Record in Web of Science")</f>
        <v>View Full Record in Web of Science</v>
      </c>
    </row>
    <row r="323" spans="1:72" x14ac:dyDescent="0.25">
      <c r="A323" t="s">
        <v>72</v>
      </c>
      <c r="B323" t="s">
        <v>3556</v>
      </c>
      <c r="C323" t="s">
        <v>74</v>
      </c>
      <c r="D323" t="s">
        <v>74</v>
      </c>
      <c r="E323" t="s">
        <v>74</v>
      </c>
      <c r="F323" t="s">
        <v>3557</v>
      </c>
      <c r="G323" t="s">
        <v>74</v>
      </c>
      <c r="H323" t="s">
        <v>74</v>
      </c>
      <c r="I323" s="1" t="s">
        <v>3558</v>
      </c>
      <c r="J323" t="s">
        <v>3559</v>
      </c>
      <c r="K323" t="s">
        <v>74</v>
      </c>
      <c r="L323" t="s">
        <v>74</v>
      </c>
      <c r="M323" t="s">
        <v>78</v>
      </c>
      <c r="N323" t="s">
        <v>112</v>
      </c>
      <c r="O323" t="s">
        <v>74</v>
      </c>
      <c r="P323" t="s">
        <v>74</v>
      </c>
      <c r="Q323" t="s">
        <v>74</v>
      </c>
      <c r="R323" t="s">
        <v>74</v>
      </c>
      <c r="S323" t="s">
        <v>74</v>
      </c>
      <c r="T323" s="1" t="s">
        <v>3560</v>
      </c>
      <c r="U323" s="1" t="s">
        <v>3561</v>
      </c>
      <c r="V323" s="1" t="s">
        <v>3562</v>
      </c>
      <c r="W323" t="s">
        <v>3563</v>
      </c>
      <c r="X323" t="s">
        <v>3564</v>
      </c>
      <c r="Y323" t="s">
        <v>3565</v>
      </c>
      <c r="Z323" t="s">
        <v>3566</v>
      </c>
      <c r="AA323" t="s">
        <v>74</v>
      </c>
      <c r="AB323" t="s">
        <v>3567</v>
      </c>
      <c r="AC323" t="s">
        <v>3568</v>
      </c>
      <c r="AD323" t="s">
        <v>3569</v>
      </c>
      <c r="AE323" t="s">
        <v>3570</v>
      </c>
      <c r="AF323" t="s">
        <v>74</v>
      </c>
      <c r="AG323">
        <v>50</v>
      </c>
      <c r="AH323">
        <v>2</v>
      </c>
      <c r="AI323">
        <v>2</v>
      </c>
      <c r="AJ323">
        <v>0</v>
      </c>
      <c r="AK323">
        <v>1</v>
      </c>
      <c r="AL323" t="s">
        <v>1013</v>
      </c>
      <c r="AM323" t="s">
        <v>493</v>
      </c>
      <c r="AN323" t="s">
        <v>1014</v>
      </c>
      <c r="AO323" t="s">
        <v>3571</v>
      </c>
      <c r="AP323" t="s">
        <v>3572</v>
      </c>
      <c r="AQ323" t="s">
        <v>74</v>
      </c>
      <c r="AR323" t="s">
        <v>3573</v>
      </c>
      <c r="AS323" t="s">
        <v>3574</v>
      </c>
      <c r="AT323" t="s">
        <v>3526</v>
      </c>
      <c r="AU323">
        <v>2022</v>
      </c>
      <c r="AV323" t="s">
        <v>74</v>
      </c>
      <c r="AW323" t="s">
        <v>74</v>
      </c>
      <c r="AX323" t="s">
        <v>74</v>
      </c>
      <c r="AY323" t="s">
        <v>74</v>
      </c>
      <c r="AZ323" t="s">
        <v>74</v>
      </c>
      <c r="BA323" t="s">
        <v>74</v>
      </c>
      <c r="BB323" t="s">
        <v>74</v>
      </c>
      <c r="BC323" t="s">
        <v>74</v>
      </c>
      <c r="BD323" t="s">
        <v>74</v>
      </c>
      <c r="BE323" t="s">
        <v>3575</v>
      </c>
      <c r="BF323" t="str">
        <f>HYPERLINK("http://dx.doi.org/10.1080/24704067.2022.2116591","http://dx.doi.org/10.1080/24704067.2022.2116591")</f>
        <v>http://dx.doi.org/10.1080/24704067.2022.2116591</v>
      </c>
      <c r="BG323" t="s">
        <v>74</v>
      </c>
      <c r="BH323" t="s">
        <v>3464</v>
      </c>
      <c r="BI323">
        <v>21</v>
      </c>
      <c r="BJ323" t="s">
        <v>3576</v>
      </c>
      <c r="BK323" t="s">
        <v>183</v>
      </c>
      <c r="BL323" t="s">
        <v>3577</v>
      </c>
      <c r="BM323" t="s">
        <v>3578</v>
      </c>
      <c r="BN323" t="s">
        <v>74</v>
      </c>
      <c r="BO323" t="s">
        <v>74</v>
      </c>
      <c r="BP323" t="s">
        <v>74</v>
      </c>
      <c r="BQ323" t="s">
        <v>74</v>
      </c>
      <c r="BR323" t="s">
        <v>106</v>
      </c>
      <c r="BS323" t="s">
        <v>3579</v>
      </c>
      <c r="BT323" t="str">
        <f>HYPERLINK("https%3A%2F%2Fwww.webofscience.com%2Fwos%2Fwoscc%2Ffull-record%2FWOS:000850147000001","View Full Record in Web of Science")</f>
        <v>View Full Record in Web of Science</v>
      </c>
    </row>
    <row r="324" spans="1:72" x14ac:dyDescent="0.25">
      <c r="A324" t="s">
        <v>72</v>
      </c>
      <c r="B324" t="s">
        <v>3719</v>
      </c>
      <c r="C324" t="s">
        <v>74</v>
      </c>
      <c r="D324" t="s">
        <v>74</v>
      </c>
      <c r="E324" t="s">
        <v>74</v>
      </c>
      <c r="F324" t="s">
        <v>3720</v>
      </c>
      <c r="G324" t="s">
        <v>74</v>
      </c>
      <c r="H324" t="s">
        <v>74</v>
      </c>
      <c r="I324" s="1" t="s">
        <v>3721</v>
      </c>
      <c r="J324" t="s">
        <v>191</v>
      </c>
      <c r="K324" t="s">
        <v>74</v>
      </c>
      <c r="L324" t="s">
        <v>74</v>
      </c>
      <c r="M324" t="s">
        <v>78</v>
      </c>
      <c r="N324" t="s">
        <v>79</v>
      </c>
      <c r="O324" t="s">
        <v>74</v>
      </c>
      <c r="P324" t="s">
        <v>74</v>
      </c>
      <c r="Q324" t="s">
        <v>74</v>
      </c>
      <c r="R324" t="s">
        <v>74</v>
      </c>
      <c r="S324" t="s">
        <v>74</v>
      </c>
      <c r="T324" s="1" t="s">
        <v>3722</v>
      </c>
      <c r="U324" s="1" t="s">
        <v>3723</v>
      </c>
      <c r="V324" s="1" t="s">
        <v>3724</v>
      </c>
      <c r="W324" t="s">
        <v>3725</v>
      </c>
      <c r="X324" t="s">
        <v>3726</v>
      </c>
      <c r="Y324" t="s">
        <v>3727</v>
      </c>
      <c r="Z324" t="s">
        <v>3728</v>
      </c>
      <c r="AA324" t="s">
        <v>3729</v>
      </c>
      <c r="AB324" t="s">
        <v>74</v>
      </c>
      <c r="AC324" t="s">
        <v>74</v>
      </c>
      <c r="AD324" t="s">
        <v>74</v>
      </c>
      <c r="AE324" t="s">
        <v>74</v>
      </c>
      <c r="AF324" t="s">
        <v>74</v>
      </c>
      <c r="AG324">
        <v>124</v>
      </c>
      <c r="AH324">
        <v>2</v>
      </c>
      <c r="AI324">
        <v>2</v>
      </c>
      <c r="AJ324">
        <v>17</v>
      </c>
      <c r="AK324">
        <v>48</v>
      </c>
      <c r="AL324" t="s">
        <v>202</v>
      </c>
      <c r="AM324" t="s">
        <v>203</v>
      </c>
      <c r="AN324" t="s">
        <v>204</v>
      </c>
      <c r="AO324" t="s">
        <v>74</v>
      </c>
      <c r="AP324" t="s">
        <v>205</v>
      </c>
      <c r="AQ324" t="s">
        <v>74</v>
      </c>
      <c r="AR324" t="s">
        <v>206</v>
      </c>
      <c r="AS324" t="s">
        <v>207</v>
      </c>
      <c r="AT324" t="s">
        <v>626</v>
      </c>
      <c r="AU324">
        <v>2022</v>
      </c>
      <c r="AV324">
        <v>14</v>
      </c>
      <c r="AW324">
        <v>15</v>
      </c>
      <c r="AX324" t="s">
        <v>74</v>
      </c>
      <c r="AY324" t="s">
        <v>74</v>
      </c>
      <c r="AZ324" t="s">
        <v>74</v>
      </c>
      <c r="BA324" t="s">
        <v>74</v>
      </c>
      <c r="BB324" t="s">
        <v>74</v>
      </c>
      <c r="BC324" t="s">
        <v>74</v>
      </c>
      <c r="BD324">
        <v>9690</v>
      </c>
      <c r="BE324" t="s">
        <v>3730</v>
      </c>
      <c r="BF324" t="str">
        <f>HYPERLINK("http://dx.doi.org/10.3390/su14159690","http://dx.doi.org/10.3390/su14159690")</f>
        <v>http://dx.doi.org/10.3390/su14159690</v>
      </c>
      <c r="BG324" t="s">
        <v>74</v>
      </c>
      <c r="BH324" t="s">
        <v>74</v>
      </c>
      <c r="BI324">
        <v>26</v>
      </c>
      <c r="BJ324" t="s">
        <v>210</v>
      </c>
      <c r="BK324" t="s">
        <v>211</v>
      </c>
      <c r="BL324" t="s">
        <v>212</v>
      </c>
      <c r="BM324" t="s">
        <v>3731</v>
      </c>
      <c r="BN324" t="s">
        <v>74</v>
      </c>
      <c r="BO324" t="s">
        <v>186</v>
      </c>
      <c r="BP324" t="s">
        <v>74</v>
      </c>
      <c r="BQ324" t="s">
        <v>74</v>
      </c>
      <c r="BR324" t="s">
        <v>106</v>
      </c>
      <c r="BS324" t="s">
        <v>3732</v>
      </c>
      <c r="BT324" t="str">
        <f>HYPERLINK("https%3A%2F%2Fwww.webofscience.com%2Fwos%2Fwoscc%2Ffull-record%2FWOS:000838967000001","View Full Record in Web of Science")</f>
        <v>View Full Record in Web of Science</v>
      </c>
    </row>
    <row r="325" spans="1:72" x14ac:dyDescent="0.25">
      <c r="A325" t="s">
        <v>72</v>
      </c>
      <c r="B325" t="s">
        <v>4063</v>
      </c>
      <c r="C325" t="s">
        <v>74</v>
      </c>
      <c r="D325" t="s">
        <v>74</v>
      </c>
      <c r="E325" t="s">
        <v>74</v>
      </c>
      <c r="F325" t="s">
        <v>4064</v>
      </c>
      <c r="G325" t="s">
        <v>74</v>
      </c>
      <c r="H325" t="s">
        <v>74</v>
      </c>
      <c r="I325" s="1" t="s">
        <v>4065</v>
      </c>
      <c r="J325" t="s">
        <v>4066</v>
      </c>
      <c r="K325" t="s">
        <v>74</v>
      </c>
      <c r="L325" t="s">
        <v>74</v>
      </c>
      <c r="M325" t="s">
        <v>78</v>
      </c>
      <c r="N325" t="s">
        <v>79</v>
      </c>
      <c r="O325" t="s">
        <v>74</v>
      </c>
      <c r="P325" t="s">
        <v>74</v>
      </c>
      <c r="Q325" t="s">
        <v>74</v>
      </c>
      <c r="R325" t="s">
        <v>74</v>
      </c>
      <c r="S325" t="s">
        <v>74</v>
      </c>
      <c r="T325" s="1" t="s">
        <v>4067</v>
      </c>
      <c r="U325" s="1" t="s">
        <v>4068</v>
      </c>
      <c r="V325" s="1" t="s">
        <v>4069</v>
      </c>
      <c r="W325" t="s">
        <v>4070</v>
      </c>
      <c r="X325" t="s">
        <v>4071</v>
      </c>
      <c r="Y325" t="s">
        <v>4072</v>
      </c>
      <c r="Z325" t="s">
        <v>4073</v>
      </c>
      <c r="AA325" t="s">
        <v>4074</v>
      </c>
      <c r="AB325" t="s">
        <v>4075</v>
      </c>
      <c r="AC325" t="s">
        <v>4076</v>
      </c>
      <c r="AD325" t="s">
        <v>4077</v>
      </c>
      <c r="AE325" t="s">
        <v>4078</v>
      </c>
      <c r="AF325" t="s">
        <v>74</v>
      </c>
      <c r="AG325">
        <v>31</v>
      </c>
      <c r="AH325">
        <v>2</v>
      </c>
      <c r="AI325">
        <v>2</v>
      </c>
      <c r="AJ325">
        <v>0</v>
      </c>
      <c r="AK325">
        <v>2</v>
      </c>
      <c r="AL325" t="s">
        <v>4079</v>
      </c>
      <c r="AM325" t="s">
        <v>4080</v>
      </c>
      <c r="AN325" t="s">
        <v>4081</v>
      </c>
      <c r="AO325" t="s">
        <v>4082</v>
      </c>
      <c r="AP325" t="s">
        <v>4083</v>
      </c>
      <c r="AQ325" t="s">
        <v>74</v>
      </c>
      <c r="AR325" t="s">
        <v>4084</v>
      </c>
      <c r="AS325" t="s">
        <v>4085</v>
      </c>
      <c r="AT325" t="s">
        <v>4086</v>
      </c>
      <c r="AU325">
        <v>2022</v>
      </c>
      <c r="AV325">
        <v>74</v>
      </c>
      <c r="AW325" t="s">
        <v>4087</v>
      </c>
      <c r="AX325" t="s">
        <v>74</v>
      </c>
      <c r="AY325">
        <v>3</v>
      </c>
      <c r="AZ325" t="s">
        <v>1020</v>
      </c>
      <c r="BA325" t="s">
        <v>74</v>
      </c>
      <c r="BB325" t="s">
        <v>4088</v>
      </c>
      <c r="BC325" t="s">
        <v>4089</v>
      </c>
      <c r="BD325" t="s">
        <v>74</v>
      </c>
      <c r="BE325" t="s">
        <v>4090</v>
      </c>
      <c r="BF325" t="str">
        <f>HYPERLINK("http://dx.doi.org/10.1093/cid/ciac046","http://dx.doi.org/10.1093/cid/ciac046")</f>
        <v>http://dx.doi.org/10.1093/cid/ciac046</v>
      </c>
      <c r="BG325" t="s">
        <v>74</v>
      </c>
      <c r="BH325" t="s">
        <v>74</v>
      </c>
      <c r="BI325">
        <v>3</v>
      </c>
      <c r="BJ325" t="s">
        <v>4091</v>
      </c>
      <c r="BK325" t="s">
        <v>102</v>
      </c>
      <c r="BL325" t="s">
        <v>4091</v>
      </c>
      <c r="BM325" t="s">
        <v>4092</v>
      </c>
      <c r="BN325">
        <v>35568476</v>
      </c>
      <c r="BO325" t="s">
        <v>3175</v>
      </c>
      <c r="BP325" t="s">
        <v>74</v>
      </c>
      <c r="BQ325" t="s">
        <v>74</v>
      </c>
      <c r="BR325" t="s">
        <v>106</v>
      </c>
      <c r="BS325" t="s">
        <v>4093</v>
      </c>
      <c r="BT325" t="str">
        <f>HYPERLINK("https%3A%2F%2Fwww.webofscience.com%2Fwos%2Fwoscc%2Ffull-record%2FWOS:000796257700007","View Full Record in Web of Science")</f>
        <v>View Full Record in Web of Science</v>
      </c>
    </row>
    <row r="326" spans="1:72" x14ac:dyDescent="0.25">
      <c r="A326" t="s">
        <v>72</v>
      </c>
      <c r="B326" t="s">
        <v>4133</v>
      </c>
      <c r="C326" t="s">
        <v>74</v>
      </c>
      <c r="D326" t="s">
        <v>74</v>
      </c>
      <c r="E326" t="s">
        <v>74</v>
      </c>
      <c r="F326" t="s">
        <v>4134</v>
      </c>
      <c r="G326" t="s">
        <v>74</v>
      </c>
      <c r="H326" t="s">
        <v>74</v>
      </c>
      <c r="I326" s="1" t="s">
        <v>4135</v>
      </c>
      <c r="J326" t="s">
        <v>1649</v>
      </c>
      <c r="K326" t="s">
        <v>74</v>
      </c>
      <c r="L326" t="s">
        <v>74</v>
      </c>
      <c r="M326" t="s">
        <v>78</v>
      </c>
      <c r="N326" t="s">
        <v>79</v>
      </c>
      <c r="O326" t="s">
        <v>74</v>
      </c>
      <c r="P326" t="s">
        <v>74</v>
      </c>
      <c r="Q326" t="s">
        <v>74</v>
      </c>
      <c r="R326" t="s">
        <v>74</v>
      </c>
      <c r="S326" t="s">
        <v>74</v>
      </c>
      <c r="T326" s="1" t="s">
        <v>4136</v>
      </c>
      <c r="U326" s="1" t="s">
        <v>4137</v>
      </c>
      <c r="V326" s="1" t="s">
        <v>4138</v>
      </c>
      <c r="W326" t="s">
        <v>4139</v>
      </c>
      <c r="X326" t="s">
        <v>4140</v>
      </c>
      <c r="Y326" t="s">
        <v>4141</v>
      </c>
      <c r="Z326" t="s">
        <v>4142</v>
      </c>
      <c r="AA326" t="s">
        <v>4143</v>
      </c>
      <c r="AB326" t="s">
        <v>4144</v>
      </c>
      <c r="AC326" t="s">
        <v>74</v>
      </c>
      <c r="AD326" t="s">
        <v>74</v>
      </c>
      <c r="AE326" t="s">
        <v>74</v>
      </c>
      <c r="AF326" t="s">
        <v>74</v>
      </c>
      <c r="AG326">
        <v>35</v>
      </c>
      <c r="AH326">
        <v>2</v>
      </c>
      <c r="AI326">
        <v>2</v>
      </c>
      <c r="AJ326">
        <v>9</v>
      </c>
      <c r="AK326">
        <v>42</v>
      </c>
      <c r="AL326" t="s">
        <v>1382</v>
      </c>
      <c r="AM326" t="s">
        <v>1383</v>
      </c>
      <c r="AN326" t="s">
        <v>1384</v>
      </c>
      <c r="AO326" t="s">
        <v>1659</v>
      </c>
      <c r="AP326" t="s">
        <v>74</v>
      </c>
      <c r="AQ326" t="s">
        <v>74</v>
      </c>
      <c r="AR326" t="s">
        <v>1660</v>
      </c>
      <c r="AS326" t="s">
        <v>1661</v>
      </c>
      <c r="AT326" t="s">
        <v>4145</v>
      </c>
      <c r="AU326">
        <v>2022</v>
      </c>
      <c r="AV326">
        <v>13</v>
      </c>
      <c r="AW326" t="s">
        <v>74</v>
      </c>
      <c r="AX326" t="s">
        <v>74</v>
      </c>
      <c r="AY326" t="s">
        <v>74</v>
      </c>
      <c r="AZ326" t="s">
        <v>74</v>
      </c>
      <c r="BA326" t="s">
        <v>74</v>
      </c>
      <c r="BB326" t="s">
        <v>74</v>
      </c>
      <c r="BC326" t="s">
        <v>74</v>
      </c>
      <c r="BD326">
        <v>840699</v>
      </c>
      <c r="BE326" t="s">
        <v>4146</v>
      </c>
      <c r="BF326" t="str">
        <f>HYPERLINK("http://dx.doi.org/10.3389/fpsyg.2022.840699","http://dx.doi.org/10.3389/fpsyg.2022.840699")</f>
        <v>http://dx.doi.org/10.3389/fpsyg.2022.840699</v>
      </c>
      <c r="BG326" t="s">
        <v>74</v>
      </c>
      <c r="BH326" t="s">
        <v>74</v>
      </c>
      <c r="BI326">
        <v>7</v>
      </c>
      <c r="BJ326" t="s">
        <v>1664</v>
      </c>
      <c r="BK326" t="s">
        <v>156</v>
      </c>
      <c r="BL326" t="s">
        <v>1665</v>
      </c>
      <c r="BM326" t="s">
        <v>4147</v>
      </c>
      <c r="BN326">
        <v>35645930</v>
      </c>
      <c r="BO326" t="s">
        <v>422</v>
      </c>
      <c r="BP326" t="s">
        <v>74</v>
      </c>
      <c r="BQ326" t="s">
        <v>74</v>
      </c>
      <c r="BR326" t="s">
        <v>106</v>
      </c>
      <c r="BS326" t="s">
        <v>4148</v>
      </c>
      <c r="BT326" t="str">
        <f>HYPERLINK("https%3A%2F%2Fwww.webofscience.com%2Fwos%2Fwoscc%2Ffull-record%2FWOS:000803715500001","View Full Record in Web of Science")</f>
        <v>View Full Record in Web of Science</v>
      </c>
    </row>
    <row r="327" spans="1:72" x14ac:dyDescent="0.25">
      <c r="A327" t="s">
        <v>72</v>
      </c>
      <c r="B327" t="s">
        <v>4256</v>
      </c>
      <c r="C327" t="s">
        <v>74</v>
      </c>
      <c r="D327" t="s">
        <v>74</v>
      </c>
      <c r="E327" t="s">
        <v>74</v>
      </c>
      <c r="F327" t="s">
        <v>4257</v>
      </c>
      <c r="G327" t="s">
        <v>74</v>
      </c>
      <c r="H327" t="s">
        <v>74</v>
      </c>
      <c r="I327" s="1" t="s">
        <v>4258</v>
      </c>
      <c r="J327" t="s">
        <v>191</v>
      </c>
      <c r="K327" t="s">
        <v>74</v>
      </c>
      <c r="L327" t="s">
        <v>74</v>
      </c>
      <c r="M327" t="s">
        <v>78</v>
      </c>
      <c r="N327" t="s">
        <v>79</v>
      </c>
      <c r="O327" t="s">
        <v>74</v>
      </c>
      <c r="P327" t="s">
        <v>74</v>
      </c>
      <c r="Q327" t="s">
        <v>74</v>
      </c>
      <c r="R327" t="s">
        <v>74</v>
      </c>
      <c r="S327" t="s">
        <v>74</v>
      </c>
      <c r="T327" s="1" t="s">
        <v>4259</v>
      </c>
      <c r="U327" s="1" t="s">
        <v>4260</v>
      </c>
      <c r="V327" s="1" t="s">
        <v>4261</v>
      </c>
      <c r="W327" t="s">
        <v>4262</v>
      </c>
      <c r="X327" t="s">
        <v>4263</v>
      </c>
      <c r="Y327" t="s">
        <v>4264</v>
      </c>
      <c r="Z327" t="s">
        <v>4265</v>
      </c>
      <c r="AA327" t="s">
        <v>74</v>
      </c>
      <c r="AB327" t="s">
        <v>4266</v>
      </c>
      <c r="AC327" t="s">
        <v>4267</v>
      </c>
      <c r="AD327" t="s">
        <v>4268</v>
      </c>
      <c r="AE327" t="s">
        <v>4269</v>
      </c>
      <c r="AF327" t="s">
        <v>74</v>
      </c>
      <c r="AG327">
        <v>85</v>
      </c>
      <c r="AH327">
        <v>2</v>
      </c>
      <c r="AI327">
        <v>2</v>
      </c>
      <c r="AJ327">
        <v>6</v>
      </c>
      <c r="AK327">
        <v>29</v>
      </c>
      <c r="AL327" t="s">
        <v>202</v>
      </c>
      <c r="AM327" t="s">
        <v>203</v>
      </c>
      <c r="AN327" t="s">
        <v>204</v>
      </c>
      <c r="AO327" t="s">
        <v>74</v>
      </c>
      <c r="AP327" t="s">
        <v>205</v>
      </c>
      <c r="AQ327" t="s">
        <v>74</v>
      </c>
      <c r="AR327" t="s">
        <v>206</v>
      </c>
      <c r="AS327" t="s">
        <v>207</v>
      </c>
      <c r="AT327" t="s">
        <v>1280</v>
      </c>
      <c r="AU327">
        <v>2022</v>
      </c>
      <c r="AV327">
        <v>14</v>
      </c>
      <c r="AW327">
        <v>10</v>
      </c>
      <c r="AX327" t="s">
        <v>74</v>
      </c>
      <c r="AY327" t="s">
        <v>74</v>
      </c>
      <c r="AZ327" t="s">
        <v>74</v>
      </c>
      <c r="BA327" t="s">
        <v>74</v>
      </c>
      <c r="BB327" t="s">
        <v>74</v>
      </c>
      <c r="BC327" t="s">
        <v>74</v>
      </c>
      <c r="BD327">
        <v>6121</v>
      </c>
      <c r="BE327" t="s">
        <v>4270</v>
      </c>
      <c r="BF327" t="str">
        <f>HYPERLINK("http://dx.doi.org/10.3390/su14106121","http://dx.doi.org/10.3390/su14106121")</f>
        <v>http://dx.doi.org/10.3390/su14106121</v>
      </c>
      <c r="BG327" t="s">
        <v>74</v>
      </c>
      <c r="BH327" t="s">
        <v>74</v>
      </c>
      <c r="BI327">
        <v>20</v>
      </c>
      <c r="BJ327" t="s">
        <v>210</v>
      </c>
      <c r="BK327" t="s">
        <v>211</v>
      </c>
      <c r="BL327" t="s">
        <v>212</v>
      </c>
      <c r="BM327" t="s">
        <v>4271</v>
      </c>
      <c r="BN327" t="s">
        <v>74</v>
      </c>
      <c r="BO327" t="s">
        <v>186</v>
      </c>
      <c r="BP327" t="s">
        <v>74</v>
      </c>
      <c r="BQ327" t="s">
        <v>74</v>
      </c>
      <c r="BR327" t="s">
        <v>106</v>
      </c>
      <c r="BS327" t="s">
        <v>4272</v>
      </c>
      <c r="BT327" t="str">
        <f>HYPERLINK("https%3A%2F%2Fwww.webofscience.com%2Fwos%2Fwoscc%2Ffull-record%2FWOS:000803373100001","View Full Record in Web of Science")</f>
        <v>View Full Record in Web of Science</v>
      </c>
    </row>
    <row r="328" spans="1:72" x14ac:dyDescent="0.25">
      <c r="A328" t="s">
        <v>72</v>
      </c>
      <c r="B328" t="s">
        <v>4273</v>
      </c>
      <c r="C328" t="s">
        <v>74</v>
      </c>
      <c r="D328" t="s">
        <v>74</v>
      </c>
      <c r="E328" t="s">
        <v>74</v>
      </c>
      <c r="F328" t="s">
        <v>4274</v>
      </c>
      <c r="G328" t="s">
        <v>74</v>
      </c>
      <c r="H328" t="s">
        <v>74</v>
      </c>
      <c r="I328" s="1" t="s">
        <v>4275</v>
      </c>
      <c r="J328" t="s">
        <v>820</v>
      </c>
      <c r="K328" t="s">
        <v>74</v>
      </c>
      <c r="L328" t="s">
        <v>74</v>
      </c>
      <c r="M328" t="s">
        <v>78</v>
      </c>
      <c r="N328" t="s">
        <v>79</v>
      </c>
      <c r="O328" t="s">
        <v>74</v>
      </c>
      <c r="P328" t="s">
        <v>74</v>
      </c>
      <c r="Q328" t="s">
        <v>74</v>
      </c>
      <c r="R328" t="s">
        <v>74</v>
      </c>
      <c r="S328" t="s">
        <v>74</v>
      </c>
      <c r="T328" s="1" t="s">
        <v>4276</v>
      </c>
      <c r="U328" s="1" t="s">
        <v>4277</v>
      </c>
      <c r="V328" s="1" t="s">
        <v>4278</v>
      </c>
      <c r="W328" t="s">
        <v>4279</v>
      </c>
      <c r="X328" t="s">
        <v>4280</v>
      </c>
      <c r="Y328" t="s">
        <v>4281</v>
      </c>
      <c r="Z328" t="s">
        <v>4282</v>
      </c>
      <c r="AA328" t="s">
        <v>4283</v>
      </c>
      <c r="AB328" t="s">
        <v>4284</v>
      </c>
      <c r="AC328" t="s">
        <v>4285</v>
      </c>
      <c r="AD328" t="s">
        <v>4285</v>
      </c>
      <c r="AE328" t="s">
        <v>4286</v>
      </c>
      <c r="AF328" t="s">
        <v>74</v>
      </c>
      <c r="AG328">
        <v>36</v>
      </c>
      <c r="AH328">
        <v>2</v>
      </c>
      <c r="AI328">
        <v>2</v>
      </c>
      <c r="AJ328">
        <v>1</v>
      </c>
      <c r="AK328">
        <v>6</v>
      </c>
      <c r="AL328" t="s">
        <v>833</v>
      </c>
      <c r="AM328" t="s">
        <v>175</v>
      </c>
      <c r="AN328" t="s">
        <v>834</v>
      </c>
      <c r="AO328" t="s">
        <v>835</v>
      </c>
      <c r="AP328" t="s">
        <v>74</v>
      </c>
      <c r="AQ328" t="s">
        <v>74</v>
      </c>
      <c r="AR328" t="s">
        <v>820</v>
      </c>
      <c r="AS328" t="s">
        <v>836</v>
      </c>
      <c r="AT328" t="s">
        <v>1280</v>
      </c>
      <c r="AU328">
        <v>2022</v>
      </c>
      <c r="AV328">
        <v>12</v>
      </c>
      <c r="AW328">
        <v>5</v>
      </c>
      <c r="AX328" t="s">
        <v>74</v>
      </c>
      <c r="AY328" t="s">
        <v>74</v>
      </c>
      <c r="AZ328" t="s">
        <v>74</v>
      </c>
      <c r="BA328" t="s">
        <v>74</v>
      </c>
      <c r="BB328" t="s">
        <v>74</v>
      </c>
      <c r="BC328" t="s">
        <v>74</v>
      </c>
      <c r="BD328" t="s">
        <v>4287</v>
      </c>
      <c r="BE328" t="s">
        <v>4288</v>
      </c>
      <c r="BF328" t="str">
        <f>HYPERLINK("http://dx.doi.org/10.1136/bmjopen-2021-058584","http://dx.doi.org/10.1136/bmjopen-2021-058584")</f>
        <v>http://dx.doi.org/10.1136/bmjopen-2021-058584</v>
      </c>
      <c r="BG328" t="s">
        <v>74</v>
      </c>
      <c r="BH328" t="s">
        <v>74</v>
      </c>
      <c r="BI328">
        <v>11</v>
      </c>
      <c r="BJ328" t="s">
        <v>840</v>
      </c>
      <c r="BK328" t="s">
        <v>102</v>
      </c>
      <c r="BL328" t="s">
        <v>841</v>
      </c>
      <c r="BM328" t="s">
        <v>4289</v>
      </c>
      <c r="BN328">
        <v>35636787</v>
      </c>
      <c r="BO328" t="s">
        <v>614</v>
      </c>
      <c r="BP328" t="s">
        <v>74</v>
      </c>
      <c r="BQ328" t="s">
        <v>74</v>
      </c>
      <c r="BR328" t="s">
        <v>106</v>
      </c>
      <c r="BS328" t="s">
        <v>4290</v>
      </c>
      <c r="BT328" t="str">
        <f>HYPERLINK("https%3A%2F%2Fwww.webofscience.com%2Fwos%2Fwoscc%2Ffull-record%2FWOS:000804163100015","View Full Record in Web of Science")</f>
        <v>View Full Record in Web of Science</v>
      </c>
    </row>
    <row r="329" spans="1:72" x14ac:dyDescent="0.25">
      <c r="A329" t="s">
        <v>72</v>
      </c>
      <c r="B329" t="s">
        <v>4340</v>
      </c>
      <c r="C329" t="s">
        <v>74</v>
      </c>
      <c r="D329" t="s">
        <v>74</v>
      </c>
      <c r="E329" t="s">
        <v>74</v>
      </c>
      <c r="F329" t="s">
        <v>4341</v>
      </c>
      <c r="G329" t="s">
        <v>74</v>
      </c>
      <c r="H329" t="s">
        <v>74</v>
      </c>
      <c r="I329" s="1" t="s">
        <v>4342</v>
      </c>
      <c r="J329" t="s">
        <v>4343</v>
      </c>
      <c r="K329" t="s">
        <v>74</v>
      </c>
      <c r="L329" t="s">
        <v>74</v>
      </c>
      <c r="M329" t="s">
        <v>78</v>
      </c>
      <c r="N329" t="s">
        <v>79</v>
      </c>
      <c r="O329" t="s">
        <v>74</v>
      </c>
      <c r="P329" t="s">
        <v>74</v>
      </c>
      <c r="Q329" t="s">
        <v>74</v>
      </c>
      <c r="R329" t="s">
        <v>74</v>
      </c>
      <c r="S329" t="s">
        <v>74</v>
      </c>
      <c r="T329" s="1" t="s">
        <v>4344</v>
      </c>
      <c r="U329" s="1" t="s">
        <v>74</v>
      </c>
      <c r="V329" s="1" t="s">
        <v>4345</v>
      </c>
      <c r="W329" t="s">
        <v>4346</v>
      </c>
      <c r="X329" t="s">
        <v>4347</v>
      </c>
      <c r="Y329" t="s">
        <v>4348</v>
      </c>
      <c r="Z329" t="s">
        <v>4349</v>
      </c>
      <c r="AA329" t="s">
        <v>4350</v>
      </c>
      <c r="AB329" t="s">
        <v>4351</v>
      </c>
      <c r="AC329" t="s">
        <v>4352</v>
      </c>
      <c r="AD329" t="s">
        <v>4353</v>
      </c>
      <c r="AE329" t="s">
        <v>4354</v>
      </c>
      <c r="AF329" t="s">
        <v>74</v>
      </c>
      <c r="AG329">
        <v>50</v>
      </c>
      <c r="AH329">
        <v>2</v>
      </c>
      <c r="AI329">
        <v>2</v>
      </c>
      <c r="AJ329">
        <v>0</v>
      </c>
      <c r="AK329">
        <v>1</v>
      </c>
      <c r="AL329" t="s">
        <v>146</v>
      </c>
      <c r="AM329" t="s">
        <v>147</v>
      </c>
      <c r="AN329" t="s">
        <v>148</v>
      </c>
      <c r="AO329" t="s">
        <v>4355</v>
      </c>
      <c r="AP329" t="s">
        <v>4356</v>
      </c>
      <c r="AQ329" t="s">
        <v>74</v>
      </c>
      <c r="AR329" t="s">
        <v>4357</v>
      </c>
      <c r="AS329" t="s">
        <v>4358</v>
      </c>
      <c r="AT329" t="s">
        <v>1448</v>
      </c>
      <c r="AU329">
        <v>2023</v>
      </c>
      <c r="AV329">
        <v>34</v>
      </c>
      <c r="AW329">
        <v>2</v>
      </c>
      <c r="AX329" t="s">
        <v>74</v>
      </c>
      <c r="AY329" t="s">
        <v>74</v>
      </c>
      <c r="AZ329" t="s">
        <v>74</v>
      </c>
      <c r="BA329" t="s">
        <v>74</v>
      </c>
      <c r="BB329">
        <v>390</v>
      </c>
      <c r="BC329">
        <v>397</v>
      </c>
      <c r="BD329" t="s">
        <v>74</v>
      </c>
      <c r="BE329" t="s">
        <v>4359</v>
      </c>
      <c r="BF329" t="str">
        <f>HYPERLINK("http://dx.doi.org/10.1002/hpja.606","http://dx.doi.org/10.1002/hpja.606")</f>
        <v>http://dx.doi.org/10.1002/hpja.606</v>
      </c>
      <c r="BG329" t="s">
        <v>74</v>
      </c>
      <c r="BH329" t="s">
        <v>4337</v>
      </c>
      <c r="BI329">
        <v>8</v>
      </c>
      <c r="BJ329" t="s">
        <v>1584</v>
      </c>
      <c r="BK329" t="s">
        <v>156</v>
      </c>
      <c r="BL329" t="s">
        <v>1584</v>
      </c>
      <c r="BM329" t="s">
        <v>4360</v>
      </c>
      <c r="BN329">
        <v>35411703</v>
      </c>
      <c r="BO329" t="s">
        <v>105</v>
      </c>
      <c r="BP329" t="s">
        <v>74</v>
      </c>
      <c r="BQ329" t="s">
        <v>74</v>
      </c>
      <c r="BR329" t="s">
        <v>106</v>
      </c>
      <c r="BS329" t="s">
        <v>4361</v>
      </c>
      <c r="BT329" t="str">
        <f>HYPERLINK("https%3A%2F%2Fwww.webofscience.com%2Fwos%2Fwoscc%2Ffull-record%2FWOS:000786521800001","View Full Record in Web of Science")</f>
        <v>View Full Record in Web of Science</v>
      </c>
    </row>
    <row r="330" spans="1:72" x14ac:dyDescent="0.25">
      <c r="A330" t="s">
        <v>72</v>
      </c>
      <c r="B330" t="s">
        <v>4523</v>
      </c>
      <c r="C330" t="s">
        <v>74</v>
      </c>
      <c r="D330" t="s">
        <v>74</v>
      </c>
      <c r="E330" t="s">
        <v>74</v>
      </c>
      <c r="F330" t="s">
        <v>4524</v>
      </c>
      <c r="G330" t="s">
        <v>74</v>
      </c>
      <c r="H330" t="s">
        <v>74</v>
      </c>
      <c r="I330" s="1" t="s">
        <v>4525</v>
      </c>
      <c r="J330" t="s">
        <v>191</v>
      </c>
      <c r="K330" t="s">
        <v>74</v>
      </c>
      <c r="L330" t="s">
        <v>74</v>
      </c>
      <c r="M330" t="s">
        <v>78</v>
      </c>
      <c r="N330" t="s">
        <v>79</v>
      </c>
      <c r="O330" t="s">
        <v>74</v>
      </c>
      <c r="P330" t="s">
        <v>74</v>
      </c>
      <c r="Q330" t="s">
        <v>74</v>
      </c>
      <c r="R330" t="s">
        <v>74</v>
      </c>
      <c r="S330" t="s">
        <v>74</v>
      </c>
      <c r="T330" s="1" t="s">
        <v>4526</v>
      </c>
      <c r="U330" s="1" t="s">
        <v>4527</v>
      </c>
      <c r="V330" s="1" t="s">
        <v>4528</v>
      </c>
      <c r="W330" t="s">
        <v>4529</v>
      </c>
      <c r="X330" t="s">
        <v>4530</v>
      </c>
      <c r="Y330" t="s">
        <v>4531</v>
      </c>
      <c r="Z330" t="s">
        <v>4532</v>
      </c>
      <c r="AA330" t="s">
        <v>4533</v>
      </c>
      <c r="AB330" t="s">
        <v>4534</v>
      </c>
      <c r="AC330" t="s">
        <v>74</v>
      </c>
      <c r="AD330" t="s">
        <v>74</v>
      </c>
      <c r="AE330" t="s">
        <v>74</v>
      </c>
      <c r="AF330" t="s">
        <v>74</v>
      </c>
      <c r="AG330">
        <v>43</v>
      </c>
      <c r="AH330">
        <v>2</v>
      </c>
      <c r="AI330">
        <v>2</v>
      </c>
      <c r="AJ330">
        <v>8</v>
      </c>
      <c r="AK330">
        <v>15</v>
      </c>
      <c r="AL330" t="s">
        <v>202</v>
      </c>
      <c r="AM330" t="s">
        <v>203</v>
      </c>
      <c r="AN330" t="s">
        <v>204</v>
      </c>
      <c r="AO330" t="s">
        <v>74</v>
      </c>
      <c r="AP330" t="s">
        <v>205</v>
      </c>
      <c r="AQ330" t="s">
        <v>74</v>
      </c>
      <c r="AR330" t="s">
        <v>206</v>
      </c>
      <c r="AS330" t="s">
        <v>207</v>
      </c>
      <c r="AT330" t="s">
        <v>1448</v>
      </c>
      <c r="AU330">
        <v>2022</v>
      </c>
      <c r="AV330">
        <v>14</v>
      </c>
      <c r="AW330">
        <v>8</v>
      </c>
      <c r="AX330" t="s">
        <v>74</v>
      </c>
      <c r="AY330" t="s">
        <v>74</v>
      </c>
      <c r="AZ330" t="s">
        <v>74</v>
      </c>
      <c r="BA330" t="s">
        <v>74</v>
      </c>
      <c r="BB330" t="s">
        <v>74</v>
      </c>
      <c r="BC330" t="s">
        <v>74</v>
      </c>
      <c r="BD330">
        <v>4683</v>
      </c>
      <c r="BE330" t="s">
        <v>4535</v>
      </c>
      <c r="BF330" t="str">
        <f>HYPERLINK("http://dx.doi.org/10.3390/su14084683","http://dx.doi.org/10.3390/su14084683")</f>
        <v>http://dx.doi.org/10.3390/su14084683</v>
      </c>
      <c r="BG330" t="s">
        <v>74</v>
      </c>
      <c r="BH330" t="s">
        <v>74</v>
      </c>
      <c r="BI330">
        <v>16</v>
      </c>
      <c r="BJ330" t="s">
        <v>210</v>
      </c>
      <c r="BK330" t="s">
        <v>211</v>
      </c>
      <c r="BL330" t="s">
        <v>212</v>
      </c>
      <c r="BM330" t="s">
        <v>4536</v>
      </c>
      <c r="BN330" t="s">
        <v>74</v>
      </c>
      <c r="BO330" t="s">
        <v>186</v>
      </c>
      <c r="BP330" t="s">
        <v>74</v>
      </c>
      <c r="BQ330" t="s">
        <v>74</v>
      </c>
      <c r="BR330" t="s">
        <v>106</v>
      </c>
      <c r="BS330" t="s">
        <v>4537</v>
      </c>
      <c r="BT330" t="str">
        <f>HYPERLINK("https%3A%2F%2Fwww.webofscience.com%2Fwos%2Fwoscc%2Ffull-record%2FWOS:000786938000001","View Full Record in Web of Science")</f>
        <v>View Full Record in Web of Science</v>
      </c>
    </row>
    <row r="331" spans="1:72" x14ac:dyDescent="0.25">
      <c r="A331" t="s">
        <v>72</v>
      </c>
      <c r="B331" t="s">
        <v>4746</v>
      </c>
      <c r="C331" t="s">
        <v>74</v>
      </c>
      <c r="D331" t="s">
        <v>74</v>
      </c>
      <c r="E331" t="s">
        <v>74</v>
      </c>
      <c r="F331" t="s">
        <v>4747</v>
      </c>
      <c r="G331" t="s">
        <v>74</v>
      </c>
      <c r="H331" t="s">
        <v>74</v>
      </c>
      <c r="I331" s="1" t="s">
        <v>4748</v>
      </c>
      <c r="J331" t="s">
        <v>2052</v>
      </c>
      <c r="K331" t="s">
        <v>74</v>
      </c>
      <c r="L331" t="s">
        <v>74</v>
      </c>
      <c r="M331" t="s">
        <v>78</v>
      </c>
      <c r="N331" t="s">
        <v>79</v>
      </c>
      <c r="O331" t="s">
        <v>74</v>
      </c>
      <c r="P331" t="s">
        <v>74</v>
      </c>
      <c r="Q331" t="s">
        <v>74</v>
      </c>
      <c r="R331" t="s">
        <v>74</v>
      </c>
      <c r="S331" t="s">
        <v>74</v>
      </c>
      <c r="T331" s="1" t="s">
        <v>4749</v>
      </c>
      <c r="U331" s="1" t="s">
        <v>4750</v>
      </c>
      <c r="V331" s="1" t="s">
        <v>4751</v>
      </c>
      <c r="W331" t="s">
        <v>4752</v>
      </c>
      <c r="X331" t="s">
        <v>4753</v>
      </c>
      <c r="Y331" t="s">
        <v>4754</v>
      </c>
      <c r="Z331" t="s">
        <v>4755</v>
      </c>
      <c r="AA331" t="s">
        <v>4756</v>
      </c>
      <c r="AB331" t="s">
        <v>4757</v>
      </c>
      <c r="AC331" t="s">
        <v>4758</v>
      </c>
      <c r="AD331" t="s">
        <v>4758</v>
      </c>
      <c r="AE331" t="s">
        <v>4759</v>
      </c>
      <c r="AF331" t="s">
        <v>74</v>
      </c>
      <c r="AG331">
        <v>71</v>
      </c>
      <c r="AH331">
        <v>2</v>
      </c>
      <c r="AI331">
        <v>2</v>
      </c>
      <c r="AJ331">
        <v>0</v>
      </c>
      <c r="AK331">
        <v>3</v>
      </c>
      <c r="AL331" t="s">
        <v>202</v>
      </c>
      <c r="AM331" t="s">
        <v>203</v>
      </c>
      <c r="AN331" t="s">
        <v>204</v>
      </c>
      <c r="AO331" t="s">
        <v>74</v>
      </c>
      <c r="AP331" t="s">
        <v>2065</v>
      </c>
      <c r="AQ331" t="s">
        <v>74</v>
      </c>
      <c r="AR331" t="s">
        <v>2066</v>
      </c>
      <c r="AS331" t="s">
        <v>2067</v>
      </c>
      <c r="AT331" t="s">
        <v>1904</v>
      </c>
      <c r="AU331">
        <v>2022</v>
      </c>
      <c r="AV331">
        <v>19</v>
      </c>
      <c r="AW331">
        <v>3</v>
      </c>
      <c r="AX331" t="s">
        <v>74</v>
      </c>
      <c r="AY331" t="s">
        <v>74</v>
      </c>
      <c r="AZ331" t="s">
        <v>74</v>
      </c>
      <c r="BA331" t="s">
        <v>74</v>
      </c>
      <c r="BB331" t="s">
        <v>74</v>
      </c>
      <c r="BC331" t="s">
        <v>74</v>
      </c>
      <c r="BD331">
        <v>1328</v>
      </c>
      <c r="BE331" t="s">
        <v>4760</v>
      </c>
      <c r="BF331" t="str">
        <f>HYPERLINK("http://dx.doi.org/10.3390/ijerph19031328","http://dx.doi.org/10.3390/ijerph19031328")</f>
        <v>http://dx.doi.org/10.3390/ijerph19031328</v>
      </c>
      <c r="BG331" t="s">
        <v>74</v>
      </c>
      <c r="BH331" t="s">
        <v>74</v>
      </c>
      <c r="BI331">
        <v>20</v>
      </c>
      <c r="BJ331" t="s">
        <v>2070</v>
      </c>
      <c r="BK331" t="s">
        <v>211</v>
      </c>
      <c r="BL331" t="s">
        <v>2071</v>
      </c>
      <c r="BM331" t="s">
        <v>4761</v>
      </c>
      <c r="BN331">
        <v>35162351</v>
      </c>
      <c r="BO331" t="s">
        <v>614</v>
      </c>
      <c r="BP331" t="s">
        <v>74</v>
      </c>
      <c r="BQ331" t="s">
        <v>74</v>
      </c>
      <c r="BR331" t="s">
        <v>106</v>
      </c>
      <c r="BS331" t="s">
        <v>4762</v>
      </c>
      <c r="BT331" t="str">
        <f>HYPERLINK("https%3A%2F%2Fwww.webofscience.com%2Fwos%2Fwoscc%2Ffull-record%2FWOS:000756065300001","View Full Record in Web of Science")</f>
        <v>View Full Record in Web of Science</v>
      </c>
    </row>
    <row r="332" spans="1:72" x14ac:dyDescent="0.25">
      <c r="A332" t="s">
        <v>72</v>
      </c>
      <c r="B332" t="s">
        <v>4803</v>
      </c>
      <c r="C332" t="s">
        <v>74</v>
      </c>
      <c r="D332" t="s">
        <v>74</v>
      </c>
      <c r="E332" t="s">
        <v>74</v>
      </c>
      <c r="F332" t="s">
        <v>4804</v>
      </c>
      <c r="G332" t="s">
        <v>74</v>
      </c>
      <c r="H332" t="s">
        <v>74</v>
      </c>
      <c r="I332" s="1" t="s">
        <v>4805</v>
      </c>
      <c r="J332" t="s">
        <v>4806</v>
      </c>
      <c r="K332" t="s">
        <v>74</v>
      </c>
      <c r="L332" t="s">
        <v>74</v>
      </c>
      <c r="M332" t="s">
        <v>78</v>
      </c>
      <c r="N332" t="s">
        <v>112</v>
      </c>
      <c r="O332" t="s">
        <v>74</v>
      </c>
      <c r="P332" t="s">
        <v>74</v>
      </c>
      <c r="Q332" t="s">
        <v>74</v>
      </c>
      <c r="R332" t="s">
        <v>74</v>
      </c>
      <c r="S332" t="s">
        <v>74</v>
      </c>
      <c r="T332" s="1" t="s">
        <v>4807</v>
      </c>
      <c r="U332" s="1" t="s">
        <v>4808</v>
      </c>
      <c r="V332" s="1" t="s">
        <v>4809</v>
      </c>
      <c r="W332" t="s">
        <v>4810</v>
      </c>
      <c r="X332" t="s">
        <v>4811</v>
      </c>
      <c r="Y332" t="s">
        <v>4812</v>
      </c>
      <c r="Z332" t="s">
        <v>4813</v>
      </c>
      <c r="AA332" t="s">
        <v>74</v>
      </c>
      <c r="AB332" t="s">
        <v>74</v>
      </c>
      <c r="AC332" t="s">
        <v>74</v>
      </c>
      <c r="AD332" t="s">
        <v>74</v>
      </c>
      <c r="AE332" t="s">
        <v>74</v>
      </c>
      <c r="AF332" t="s">
        <v>74</v>
      </c>
      <c r="AG332">
        <v>62</v>
      </c>
      <c r="AH332">
        <v>2</v>
      </c>
      <c r="AI332">
        <v>2</v>
      </c>
      <c r="AJ332">
        <v>1</v>
      </c>
      <c r="AK332">
        <v>2</v>
      </c>
      <c r="AL332" t="s">
        <v>492</v>
      </c>
      <c r="AM332" t="s">
        <v>493</v>
      </c>
      <c r="AN332" t="s">
        <v>494</v>
      </c>
      <c r="AO332" t="s">
        <v>4814</v>
      </c>
      <c r="AP332" t="s">
        <v>4815</v>
      </c>
      <c r="AQ332" t="s">
        <v>74</v>
      </c>
      <c r="AR332" t="s">
        <v>4816</v>
      </c>
      <c r="AS332" t="s">
        <v>4817</v>
      </c>
      <c r="AT332" t="s">
        <v>4818</v>
      </c>
      <c r="AU332">
        <v>2022</v>
      </c>
      <c r="AV332" t="s">
        <v>74</v>
      </c>
      <c r="AW332" t="s">
        <v>74</v>
      </c>
      <c r="AX332" t="s">
        <v>74</v>
      </c>
      <c r="AY332" t="s">
        <v>74</v>
      </c>
      <c r="AZ332" t="s">
        <v>74</v>
      </c>
      <c r="BA332" t="s">
        <v>74</v>
      </c>
      <c r="BB332" t="s">
        <v>74</v>
      </c>
      <c r="BC332" t="s">
        <v>74</v>
      </c>
      <c r="BD332" t="s">
        <v>74</v>
      </c>
      <c r="BE332" t="s">
        <v>4819</v>
      </c>
      <c r="BF332" t="str">
        <f>HYPERLINK("http://dx.doi.org/10.1080/14725886.2021.2011607","http://dx.doi.org/10.1080/14725886.2021.2011607")</f>
        <v>http://dx.doi.org/10.1080/14725886.2021.2011607</v>
      </c>
      <c r="BG332" t="s">
        <v>74</v>
      </c>
      <c r="BH332" t="s">
        <v>4783</v>
      </c>
      <c r="BI332">
        <v>22</v>
      </c>
      <c r="BJ332" t="s">
        <v>2192</v>
      </c>
      <c r="BK332" t="s">
        <v>183</v>
      </c>
      <c r="BL332" t="s">
        <v>2193</v>
      </c>
      <c r="BM332" t="s">
        <v>4820</v>
      </c>
      <c r="BN332" t="s">
        <v>74</v>
      </c>
      <c r="BO332" t="s">
        <v>74</v>
      </c>
      <c r="BP332" t="s">
        <v>74</v>
      </c>
      <c r="BQ332" t="s">
        <v>74</v>
      </c>
      <c r="BR332" t="s">
        <v>106</v>
      </c>
      <c r="BS332" t="s">
        <v>4821</v>
      </c>
      <c r="BT332" t="str">
        <f>HYPERLINK("https%3A%2F%2Fwww.webofscience.com%2Fwos%2Fwoscc%2Ffull-record%2FWOS:000892035000001","View Full Record in Web of Science")</f>
        <v>View Full Record in Web of Science</v>
      </c>
    </row>
    <row r="333" spans="1:72" x14ac:dyDescent="0.25">
      <c r="A333" t="s">
        <v>72</v>
      </c>
      <c r="B333" t="s">
        <v>4909</v>
      </c>
      <c r="C333" t="s">
        <v>74</v>
      </c>
      <c r="D333" t="s">
        <v>74</v>
      </c>
      <c r="E333" t="s">
        <v>74</v>
      </c>
      <c r="F333" t="s">
        <v>4910</v>
      </c>
      <c r="G333" t="s">
        <v>74</v>
      </c>
      <c r="H333" t="s">
        <v>74</v>
      </c>
      <c r="I333" s="1" t="s">
        <v>4911</v>
      </c>
      <c r="J333" t="s">
        <v>2140</v>
      </c>
      <c r="K333" t="s">
        <v>74</v>
      </c>
      <c r="L333" t="s">
        <v>74</v>
      </c>
      <c r="M333" t="s">
        <v>78</v>
      </c>
      <c r="N333" t="s">
        <v>79</v>
      </c>
      <c r="O333" t="s">
        <v>74</v>
      </c>
      <c r="P333" t="s">
        <v>74</v>
      </c>
      <c r="Q333" t="s">
        <v>74</v>
      </c>
      <c r="R333" t="s">
        <v>74</v>
      </c>
      <c r="S333" t="s">
        <v>74</v>
      </c>
      <c r="T333" s="1" t="s">
        <v>4912</v>
      </c>
      <c r="U333" s="1" t="s">
        <v>4913</v>
      </c>
      <c r="V333" s="1" t="s">
        <v>4914</v>
      </c>
      <c r="W333" t="s">
        <v>4915</v>
      </c>
      <c r="X333" t="s">
        <v>4916</v>
      </c>
      <c r="Y333" t="s">
        <v>4917</v>
      </c>
      <c r="Z333" t="s">
        <v>4918</v>
      </c>
      <c r="AA333" t="s">
        <v>74</v>
      </c>
      <c r="AB333" t="s">
        <v>4919</v>
      </c>
      <c r="AC333" t="s">
        <v>4920</v>
      </c>
      <c r="AD333" t="s">
        <v>4921</v>
      </c>
      <c r="AE333" t="s">
        <v>4922</v>
      </c>
      <c r="AF333" t="s">
        <v>74</v>
      </c>
      <c r="AG333">
        <v>43</v>
      </c>
      <c r="AH333">
        <v>2</v>
      </c>
      <c r="AI333">
        <v>2</v>
      </c>
      <c r="AJ333">
        <v>18</v>
      </c>
      <c r="AK333">
        <v>62</v>
      </c>
      <c r="AL333" t="s">
        <v>2153</v>
      </c>
      <c r="AM333" t="s">
        <v>2154</v>
      </c>
      <c r="AN333" t="s">
        <v>2155</v>
      </c>
      <c r="AO333" t="s">
        <v>2156</v>
      </c>
      <c r="AP333" t="s">
        <v>74</v>
      </c>
      <c r="AQ333" t="s">
        <v>74</v>
      </c>
      <c r="AR333" t="s">
        <v>2140</v>
      </c>
      <c r="AS333" t="s">
        <v>2157</v>
      </c>
      <c r="AT333" t="s">
        <v>74</v>
      </c>
      <c r="AU333">
        <v>2022</v>
      </c>
      <c r="AV333">
        <v>10</v>
      </c>
      <c r="AW333" t="s">
        <v>74</v>
      </c>
      <c r="AX333" t="s">
        <v>74</v>
      </c>
      <c r="AY333" t="s">
        <v>74</v>
      </c>
      <c r="AZ333" t="s">
        <v>74</v>
      </c>
      <c r="BA333" t="s">
        <v>74</v>
      </c>
      <c r="BB333">
        <v>42961</v>
      </c>
      <c r="BC333">
        <v>42970</v>
      </c>
      <c r="BD333" t="s">
        <v>74</v>
      </c>
      <c r="BE333" t="s">
        <v>4923</v>
      </c>
      <c r="BF333" t="str">
        <f>HYPERLINK("http://dx.doi.org/10.1109/ACCESS.2022.3166937","http://dx.doi.org/10.1109/ACCESS.2022.3166937")</f>
        <v>http://dx.doi.org/10.1109/ACCESS.2022.3166937</v>
      </c>
      <c r="BG333" t="s">
        <v>74</v>
      </c>
      <c r="BH333" t="s">
        <v>74</v>
      </c>
      <c r="BI333">
        <v>10</v>
      </c>
      <c r="BJ333" t="s">
        <v>2159</v>
      </c>
      <c r="BK333" t="s">
        <v>211</v>
      </c>
      <c r="BL333" t="s">
        <v>2160</v>
      </c>
      <c r="BM333" t="s">
        <v>4924</v>
      </c>
      <c r="BN333" t="s">
        <v>74</v>
      </c>
      <c r="BO333" t="s">
        <v>186</v>
      </c>
      <c r="BP333" t="s">
        <v>74</v>
      </c>
      <c r="BQ333" t="s">
        <v>74</v>
      </c>
      <c r="BR333" t="s">
        <v>106</v>
      </c>
      <c r="BS333" t="s">
        <v>4925</v>
      </c>
      <c r="BT333" t="str">
        <f>HYPERLINK("https%3A%2F%2Fwww.webofscience.com%2Fwos%2Fwoscc%2Ffull-record%2FWOS:000788987300001","View Full Record in Web of Science")</f>
        <v>View Full Record in Web of Science</v>
      </c>
    </row>
    <row r="334" spans="1:72" x14ac:dyDescent="0.25">
      <c r="A334" t="s">
        <v>477</v>
      </c>
      <c r="B334" t="s">
        <v>4926</v>
      </c>
      <c r="C334" t="s">
        <v>74</v>
      </c>
      <c r="D334" t="s">
        <v>4927</v>
      </c>
      <c r="E334" t="s">
        <v>74</v>
      </c>
      <c r="F334" t="s">
        <v>4928</v>
      </c>
      <c r="G334" t="s">
        <v>74</v>
      </c>
      <c r="H334" t="s">
        <v>74</v>
      </c>
      <c r="I334" s="1" t="s">
        <v>4929</v>
      </c>
      <c r="J334" t="s">
        <v>4930</v>
      </c>
      <c r="K334" t="s">
        <v>4931</v>
      </c>
      <c r="L334" t="s">
        <v>74</v>
      </c>
      <c r="M334" t="s">
        <v>78</v>
      </c>
      <c r="N334" t="s">
        <v>4932</v>
      </c>
      <c r="O334" t="s">
        <v>74</v>
      </c>
      <c r="P334" t="s">
        <v>74</v>
      </c>
      <c r="Q334" t="s">
        <v>74</v>
      </c>
      <c r="R334" t="s">
        <v>74</v>
      </c>
      <c r="S334" t="s">
        <v>74</v>
      </c>
      <c r="T334" s="1" t="s">
        <v>74</v>
      </c>
      <c r="U334" s="1" t="s">
        <v>74</v>
      </c>
      <c r="V334" s="1" t="s">
        <v>74</v>
      </c>
      <c r="W334" t="s">
        <v>4933</v>
      </c>
      <c r="X334" t="s">
        <v>4934</v>
      </c>
      <c r="Y334" t="s">
        <v>4935</v>
      </c>
      <c r="Z334" t="s">
        <v>74</v>
      </c>
      <c r="AA334" t="s">
        <v>74</v>
      </c>
      <c r="AB334" t="s">
        <v>74</v>
      </c>
      <c r="AC334" t="s">
        <v>74</v>
      </c>
      <c r="AD334" t="s">
        <v>74</v>
      </c>
      <c r="AE334" t="s">
        <v>74</v>
      </c>
      <c r="AF334" t="s">
        <v>74</v>
      </c>
      <c r="AG334">
        <v>47</v>
      </c>
      <c r="AH334">
        <v>2</v>
      </c>
      <c r="AI334">
        <v>2</v>
      </c>
      <c r="AJ334">
        <v>1</v>
      </c>
      <c r="AK334">
        <v>1</v>
      </c>
      <c r="AL334" t="s">
        <v>4936</v>
      </c>
      <c r="AM334" t="s">
        <v>493</v>
      </c>
      <c r="AN334" t="s">
        <v>4937</v>
      </c>
      <c r="AO334" t="s">
        <v>74</v>
      </c>
      <c r="AP334" t="s">
        <v>74</v>
      </c>
      <c r="AQ334" t="s">
        <v>4938</v>
      </c>
      <c r="AR334" t="s">
        <v>4939</v>
      </c>
      <c r="AS334" t="s">
        <v>74</v>
      </c>
      <c r="AT334" t="s">
        <v>74</v>
      </c>
      <c r="AU334">
        <v>2022</v>
      </c>
      <c r="AV334" t="s">
        <v>74</v>
      </c>
      <c r="AW334" t="s">
        <v>74</v>
      </c>
      <c r="AX334" t="s">
        <v>74</v>
      </c>
      <c r="AY334" t="s">
        <v>74</v>
      </c>
      <c r="AZ334" t="s">
        <v>74</v>
      </c>
      <c r="BA334" t="s">
        <v>74</v>
      </c>
      <c r="BB334">
        <v>183</v>
      </c>
      <c r="BC334">
        <v>197</v>
      </c>
      <c r="BD334" t="s">
        <v>74</v>
      </c>
      <c r="BE334" t="s">
        <v>4940</v>
      </c>
      <c r="BF334" t="str">
        <f>HYPERLINK("http://dx.doi.org/10.4324/9781003134022-16","http://dx.doi.org/10.4324/9781003134022-16")</f>
        <v>http://dx.doi.org/10.4324/9781003134022-16</v>
      </c>
      <c r="BG334" t="s">
        <v>4941</v>
      </c>
      <c r="BH334" t="s">
        <v>74</v>
      </c>
      <c r="BI334">
        <v>15</v>
      </c>
      <c r="BJ334" t="s">
        <v>4942</v>
      </c>
      <c r="BK334" t="s">
        <v>4943</v>
      </c>
      <c r="BL334" t="s">
        <v>4944</v>
      </c>
      <c r="BM334" t="s">
        <v>4945</v>
      </c>
      <c r="BN334" t="s">
        <v>74</v>
      </c>
      <c r="BO334" t="s">
        <v>74</v>
      </c>
      <c r="BP334" t="s">
        <v>74</v>
      </c>
      <c r="BQ334" t="s">
        <v>74</v>
      </c>
      <c r="BR334" t="s">
        <v>106</v>
      </c>
      <c r="BS334" t="s">
        <v>4946</v>
      </c>
      <c r="BT334" t="str">
        <f>HYPERLINK("https%3A%2F%2Fwww.webofscience.com%2Fwos%2Fwoscc%2Ffull-record%2FWOS:000836414000014","View Full Record in Web of Science")</f>
        <v>View Full Record in Web of Science</v>
      </c>
    </row>
    <row r="335" spans="1:72" x14ac:dyDescent="0.25">
      <c r="A335" t="s">
        <v>72</v>
      </c>
      <c r="B335" t="s">
        <v>4985</v>
      </c>
      <c r="C335" t="s">
        <v>74</v>
      </c>
      <c r="D335" t="s">
        <v>74</v>
      </c>
      <c r="E335" t="s">
        <v>74</v>
      </c>
      <c r="F335" t="s">
        <v>4986</v>
      </c>
      <c r="G335" t="s">
        <v>74</v>
      </c>
      <c r="H335" t="s">
        <v>74</v>
      </c>
      <c r="I335" s="1" t="s">
        <v>4987</v>
      </c>
      <c r="J335" t="s">
        <v>4988</v>
      </c>
      <c r="K335" t="s">
        <v>74</v>
      </c>
      <c r="L335" t="s">
        <v>74</v>
      </c>
      <c r="M335" t="s">
        <v>78</v>
      </c>
      <c r="N335" t="s">
        <v>79</v>
      </c>
      <c r="O335" t="s">
        <v>74</v>
      </c>
      <c r="P335" t="s">
        <v>74</v>
      </c>
      <c r="Q335" t="s">
        <v>74</v>
      </c>
      <c r="R335" t="s">
        <v>74</v>
      </c>
      <c r="S335" t="s">
        <v>74</v>
      </c>
      <c r="T335" s="1" t="s">
        <v>4989</v>
      </c>
      <c r="U335" s="1" t="s">
        <v>4990</v>
      </c>
      <c r="V335" s="1" t="s">
        <v>4991</v>
      </c>
      <c r="W335" t="s">
        <v>4992</v>
      </c>
      <c r="X335" t="s">
        <v>4993</v>
      </c>
      <c r="Y335" t="s">
        <v>4994</v>
      </c>
      <c r="Z335" t="s">
        <v>4995</v>
      </c>
      <c r="AA335" t="s">
        <v>74</v>
      </c>
      <c r="AB335" t="s">
        <v>74</v>
      </c>
      <c r="AC335" t="s">
        <v>74</v>
      </c>
      <c r="AD335" t="s">
        <v>74</v>
      </c>
      <c r="AE335" t="s">
        <v>74</v>
      </c>
      <c r="AF335" t="s">
        <v>74</v>
      </c>
      <c r="AG335">
        <v>47</v>
      </c>
      <c r="AH335">
        <v>2</v>
      </c>
      <c r="AI335">
        <v>2</v>
      </c>
      <c r="AJ335">
        <v>3</v>
      </c>
      <c r="AK335">
        <v>6</v>
      </c>
      <c r="AL335" t="s">
        <v>4996</v>
      </c>
      <c r="AM335" t="s">
        <v>4997</v>
      </c>
      <c r="AN335" t="s">
        <v>4998</v>
      </c>
      <c r="AO335" t="s">
        <v>74</v>
      </c>
      <c r="AP335" t="s">
        <v>4999</v>
      </c>
      <c r="AQ335" t="s">
        <v>74</v>
      </c>
      <c r="AR335" t="s">
        <v>5000</v>
      </c>
      <c r="AS335" t="s">
        <v>5001</v>
      </c>
      <c r="AT335" t="s">
        <v>74</v>
      </c>
      <c r="AU335">
        <v>2022</v>
      </c>
      <c r="AV335">
        <v>5</v>
      </c>
      <c r="AW335">
        <v>3</v>
      </c>
      <c r="AX335" t="s">
        <v>74</v>
      </c>
      <c r="AY335" t="s">
        <v>74</v>
      </c>
      <c r="AZ335" t="s">
        <v>74</v>
      </c>
      <c r="BA335" t="s">
        <v>74</v>
      </c>
      <c r="BB335">
        <v>383</v>
      </c>
      <c r="BC335">
        <v>410</v>
      </c>
      <c r="BD335" t="s">
        <v>74</v>
      </c>
      <c r="BE335" t="s">
        <v>5002</v>
      </c>
      <c r="BF335" t="str">
        <f>HYPERLINK("http://dx.doi.org/10.46328/ijte.247","http://dx.doi.org/10.46328/ijte.247")</f>
        <v>http://dx.doi.org/10.46328/ijte.247</v>
      </c>
      <c r="BG335" t="s">
        <v>74</v>
      </c>
      <c r="BH335" t="s">
        <v>74</v>
      </c>
      <c r="BI335">
        <v>28</v>
      </c>
      <c r="BJ335" t="s">
        <v>1326</v>
      </c>
      <c r="BK335" t="s">
        <v>183</v>
      </c>
      <c r="BL335" t="s">
        <v>1326</v>
      </c>
      <c r="BM335" t="s">
        <v>5003</v>
      </c>
      <c r="BN335" t="s">
        <v>74</v>
      </c>
      <c r="BO335" t="s">
        <v>186</v>
      </c>
      <c r="BP335" t="s">
        <v>74</v>
      </c>
      <c r="BQ335" t="s">
        <v>74</v>
      </c>
      <c r="BR335" t="s">
        <v>106</v>
      </c>
      <c r="BS335" t="s">
        <v>5004</v>
      </c>
      <c r="BT335" t="str">
        <f>HYPERLINK("https%3A%2F%2Fwww.webofscience.com%2Fwos%2Fwoscc%2Ffull-record%2FWOS:000886192900001","View Full Record in Web of Science")</f>
        <v>View Full Record in Web of Science</v>
      </c>
    </row>
    <row r="336" spans="1:72" x14ac:dyDescent="0.25">
      <c r="A336" t="s">
        <v>72</v>
      </c>
      <c r="B336" t="s">
        <v>5086</v>
      </c>
      <c r="C336" t="s">
        <v>74</v>
      </c>
      <c r="D336" t="s">
        <v>74</v>
      </c>
      <c r="E336" t="s">
        <v>74</v>
      </c>
      <c r="F336" t="s">
        <v>5087</v>
      </c>
      <c r="G336" t="s">
        <v>74</v>
      </c>
      <c r="H336" t="s">
        <v>74</v>
      </c>
      <c r="I336" s="1" t="s">
        <v>5088</v>
      </c>
      <c r="J336" t="s">
        <v>2140</v>
      </c>
      <c r="K336" t="s">
        <v>74</v>
      </c>
      <c r="L336" t="s">
        <v>74</v>
      </c>
      <c r="M336" t="s">
        <v>78</v>
      </c>
      <c r="N336" t="s">
        <v>79</v>
      </c>
      <c r="O336" t="s">
        <v>74</v>
      </c>
      <c r="P336" t="s">
        <v>74</v>
      </c>
      <c r="Q336" t="s">
        <v>74</v>
      </c>
      <c r="R336" t="s">
        <v>74</v>
      </c>
      <c r="S336" t="s">
        <v>74</v>
      </c>
      <c r="T336" s="1" t="s">
        <v>5089</v>
      </c>
      <c r="U336" s="1" t="s">
        <v>5090</v>
      </c>
      <c r="V336" s="1" t="s">
        <v>5091</v>
      </c>
      <c r="W336" t="s">
        <v>5092</v>
      </c>
      <c r="X336" t="s">
        <v>5093</v>
      </c>
      <c r="Y336" t="s">
        <v>5094</v>
      </c>
      <c r="Z336" t="s">
        <v>5095</v>
      </c>
      <c r="AA336" t="s">
        <v>5096</v>
      </c>
      <c r="AB336" t="s">
        <v>5097</v>
      </c>
      <c r="AC336" t="s">
        <v>5098</v>
      </c>
      <c r="AD336" t="s">
        <v>5099</v>
      </c>
      <c r="AE336" t="s">
        <v>5100</v>
      </c>
      <c r="AF336" t="s">
        <v>74</v>
      </c>
      <c r="AG336">
        <v>39</v>
      </c>
      <c r="AH336">
        <v>2</v>
      </c>
      <c r="AI336">
        <v>2</v>
      </c>
      <c r="AJ336">
        <v>0</v>
      </c>
      <c r="AK336">
        <v>4</v>
      </c>
      <c r="AL336" t="s">
        <v>2153</v>
      </c>
      <c r="AM336" t="s">
        <v>2154</v>
      </c>
      <c r="AN336" t="s">
        <v>2155</v>
      </c>
      <c r="AO336" t="s">
        <v>2156</v>
      </c>
      <c r="AP336" t="s">
        <v>74</v>
      </c>
      <c r="AQ336" t="s">
        <v>74</v>
      </c>
      <c r="AR336" t="s">
        <v>2140</v>
      </c>
      <c r="AS336" t="s">
        <v>2157</v>
      </c>
      <c r="AT336" t="s">
        <v>74</v>
      </c>
      <c r="AU336">
        <v>2022</v>
      </c>
      <c r="AV336">
        <v>10</v>
      </c>
      <c r="AW336" t="s">
        <v>74</v>
      </c>
      <c r="AX336" t="s">
        <v>74</v>
      </c>
      <c r="AY336" t="s">
        <v>74</v>
      </c>
      <c r="AZ336" t="s">
        <v>74</v>
      </c>
      <c r="BA336" t="s">
        <v>74</v>
      </c>
      <c r="BB336">
        <v>14134</v>
      </c>
      <c r="BC336">
        <v>14148</v>
      </c>
      <c r="BD336" t="s">
        <v>74</v>
      </c>
      <c r="BE336" t="s">
        <v>5101</v>
      </c>
      <c r="BF336" t="str">
        <f>HYPERLINK("http://dx.doi.org/10.1109/ACCESS.2022.3148051","http://dx.doi.org/10.1109/ACCESS.2022.3148051")</f>
        <v>http://dx.doi.org/10.1109/ACCESS.2022.3148051</v>
      </c>
      <c r="BG336" t="s">
        <v>74</v>
      </c>
      <c r="BH336" t="s">
        <v>74</v>
      </c>
      <c r="BI336">
        <v>15</v>
      </c>
      <c r="BJ336" t="s">
        <v>2159</v>
      </c>
      <c r="BK336" t="s">
        <v>102</v>
      </c>
      <c r="BL336" t="s">
        <v>2160</v>
      </c>
      <c r="BM336" t="s">
        <v>5102</v>
      </c>
      <c r="BN336" t="s">
        <v>74</v>
      </c>
      <c r="BO336" t="s">
        <v>186</v>
      </c>
      <c r="BP336" t="s">
        <v>74</v>
      </c>
      <c r="BQ336" t="s">
        <v>74</v>
      </c>
      <c r="BR336" t="s">
        <v>106</v>
      </c>
      <c r="BS336" t="s">
        <v>5103</v>
      </c>
      <c r="BT336" t="str">
        <f>HYPERLINK("https%3A%2F%2Fwww.webofscience.com%2Fwos%2Fwoscc%2Ffull-record%2FWOS:000753404200001","View Full Record in Web of Science")</f>
        <v>View Full Record in Web of Science</v>
      </c>
    </row>
    <row r="337" spans="1:72" x14ac:dyDescent="0.25">
      <c r="A337" t="s">
        <v>72</v>
      </c>
      <c r="B337" t="s">
        <v>5349</v>
      </c>
      <c r="C337" t="s">
        <v>74</v>
      </c>
      <c r="D337" t="s">
        <v>74</v>
      </c>
      <c r="E337" t="s">
        <v>74</v>
      </c>
      <c r="F337" t="s">
        <v>5350</v>
      </c>
      <c r="G337" t="s">
        <v>74</v>
      </c>
      <c r="H337" t="s">
        <v>74</v>
      </c>
      <c r="I337" s="1" t="s">
        <v>5351</v>
      </c>
      <c r="J337" t="s">
        <v>2052</v>
      </c>
      <c r="K337" t="s">
        <v>74</v>
      </c>
      <c r="L337" t="s">
        <v>74</v>
      </c>
      <c r="M337" t="s">
        <v>78</v>
      </c>
      <c r="N337" t="s">
        <v>79</v>
      </c>
      <c r="O337" t="s">
        <v>74</v>
      </c>
      <c r="P337" t="s">
        <v>74</v>
      </c>
      <c r="Q337" t="s">
        <v>74</v>
      </c>
      <c r="R337" t="s">
        <v>74</v>
      </c>
      <c r="S337" t="s">
        <v>74</v>
      </c>
      <c r="T337" s="1" t="s">
        <v>5352</v>
      </c>
      <c r="U337" s="1" t="s">
        <v>5353</v>
      </c>
      <c r="V337" s="1" t="s">
        <v>5354</v>
      </c>
      <c r="W337" t="s">
        <v>5355</v>
      </c>
      <c r="X337" t="s">
        <v>5356</v>
      </c>
      <c r="Y337" t="s">
        <v>5357</v>
      </c>
      <c r="Z337" t="s">
        <v>5358</v>
      </c>
      <c r="AA337" t="s">
        <v>74</v>
      </c>
      <c r="AB337" t="s">
        <v>5359</v>
      </c>
      <c r="AC337" t="s">
        <v>74</v>
      </c>
      <c r="AD337" t="s">
        <v>74</v>
      </c>
      <c r="AE337" t="s">
        <v>74</v>
      </c>
      <c r="AF337" t="s">
        <v>74</v>
      </c>
      <c r="AG337">
        <v>58</v>
      </c>
      <c r="AH337">
        <v>2</v>
      </c>
      <c r="AI337">
        <v>2</v>
      </c>
      <c r="AJ337">
        <v>0</v>
      </c>
      <c r="AK337">
        <v>8</v>
      </c>
      <c r="AL337" t="s">
        <v>202</v>
      </c>
      <c r="AM337" t="s">
        <v>203</v>
      </c>
      <c r="AN337" t="s">
        <v>204</v>
      </c>
      <c r="AO337" t="s">
        <v>74</v>
      </c>
      <c r="AP337" t="s">
        <v>2065</v>
      </c>
      <c r="AQ337" t="s">
        <v>74</v>
      </c>
      <c r="AR337" t="s">
        <v>2066</v>
      </c>
      <c r="AS337" t="s">
        <v>2067</v>
      </c>
      <c r="AT337" t="s">
        <v>476</v>
      </c>
      <c r="AU337">
        <v>2021</v>
      </c>
      <c r="AV337">
        <v>18</v>
      </c>
      <c r="AW337">
        <v>24</v>
      </c>
      <c r="AX337" t="s">
        <v>74</v>
      </c>
      <c r="AY337" t="s">
        <v>74</v>
      </c>
      <c r="AZ337" t="s">
        <v>74</v>
      </c>
      <c r="BA337" t="s">
        <v>74</v>
      </c>
      <c r="BB337" t="s">
        <v>74</v>
      </c>
      <c r="BC337" t="s">
        <v>74</v>
      </c>
      <c r="BD337">
        <v>13354</v>
      </c>
      <c r="BE337" t="s">
        <v>5360</v>
      </c>
      <c r="BF337" t="str">
        <f>HYPERLINK("http://dx.doi.org/10.3390/ijerph182413354","http://dx.doi.org/10.3390/ijerph182413354")</f>
        <v>http://dx.doi.org/10.3390/ijerph182413354</v>
      </c>
      <c r="BG337" t="s">
        <v>74</v>
      </c>
      <c r="BH337" t="s">
        <v>74</v>
      </c>
      <c r="BI337">
        <v>19</v>
      </c>
      <c r="BJ337" t="s">
        <v>2070</v>
      </c>
      <c r="BK337" t="s">
        <v>211</v>
      </c>
      <c r="BL337" t="s">
        <v>2071</v>
      </c>
      <c r="BM337" t="s">
        <v>5361</v>
      </c>
      <c r="BN337">
        <v>34948960</v>
      </c>
      <c r="BO337" t="s">
        <v>614</v>
      </c>
      <c r="BP337" t="s">
        <v>74</v>
      </c>
      <c r="BQ337" t="s">
        <v>74</v>
      </c>
      <c r="BR337" t="s">
        <v>106</v>
      </c>
      <c r="BS337" t="s">
        <v>5362</v>
      </c>
      <c r="BT337" t="str">
        <f>HYPERLINK("https%3A%2F%2Fwww.webofscience.com%2Fwos%2Fwoscc%2Ffull-record%2FWOS:000737627800001","View Full Record in Web of Science")</f>
        <v>View Full Record in Web of Science</v>
      </c>
    </row>
    <row r="338" spans="1:72" x14ac:dyDescent="0.25">
      <c r="A338" t="s">
        <v>72</v>
      </c>
      <c r="B338" t="s">
        <v>5482</v>
      </c>
      <c r="C338" t="s">
        <v>74</v>
      </c>
      <c r="D338" t="s">
        <v>74</v>
      </c>
      <c r="E338" t="s">
        <v>74</v>
      </c>
      <c r="F338" t="s">
        <v>5483</v>
      </c>
      <c r="G338" t="s">
        <v>74</v>
      </c>
      <c r="H338" t="s">
        <v>74</v>
      </c>
      <c r="I338" s="1" t="s">
        <v>5484</v>
      </c>
      <c r="J338" t="s">
        <v>5485</v>
      </c>
      <c r="K338" t="s">
        <v>74</v>
      </c>
      <c r="L338" t="s">
        <v>74</v>
      </c>
      <c r="M338" t="s">
        <v>78</v>
      </c>
      <c r="N338" t="s">
        <v>79</v>
      </c>
      <c r="O338" t="s">
        <v>74</v>
      </c>
      <c r="P338" t="s">
        <v>74</v>
      </c>
      <c r="Q338" t="s">
        <v>74</v>
      </c>
      <c r="R338" t="s">
        <v>74</v>
      </c>
      <c r="S338" t="s">
        <v>74</v>
      </c>
      <c r="T338" s="1" t="s">
        <v>5486</v>
      </c>
      <c r="U338" s="1" t="s">
        <v>5487</v>
      </c>
      <c r="V338" s="1" t="s">
        <v>5488</v>
      </c>
      <c r="W338" t="s">
        <v>5489</v>
      </c>
      <c r="X338" t="s">
        <v>5490</v>
      </c>
      <c r="Y338" t="s">
        <v>5491</v>
      </c>
      <c r="Z338" t="s">
        <v>5492</v>
      </c>
      <c r="AA338" t="s">
        <v>5493</v>
      </c>
      <c r="AB338" t="s">
        <v>5494</v>
      </c>
      <c r="AC338" t="s">
        <v>74</v>
      </c>
      <c r="AD338" t="s">
        <v>74</v>
      </c>
      <c r="AE338" t="s">
        <v>74</v>
      </c>
      <c r="AF338" t="s">
        <v>74</v>
      </c>
      <c r="AG338">
        <v>53</v>
      </c>
      <c r="AH338">
        <v>2</v>
      </c>
      <c r="AI338">
        <v>2</v>
      </c>
      <c r="AJ338">
        <v>3</v>
      </c>
      <c r="AK338">
        <v>15</v>
      </c>
      <c r="AL338" t="s">
        <v>1468</v>
      </c>
      <c r="AM338" t="s">
        <v>175</v>
      </c>
      <c r="AN338" t="s">
        <v>1469</v>
      </c>
      <c r="AO338" t="s">
        <v>5495</v>
      </c>
      <c r="AP338" t="s">
        <v>5496</v>
      </c>
      <c r="AQ338" t="s">
        <v>74</v>
      </c>
      <c r="AR338" t="s">
        <v>5497</v>
      </c>
      <c r="AS338" t="s">
        <v>5498</v>
      </c>
      <c r="AT338" t="s">
        <v>626</v>
      </c>
      <c r="AU338">
        <v>2022</v>
      </c>
      <c r="AV338">
        <v>37</v>
      </c>
      <c r="AW338">
        <v>4</v>
      </c>
      <c r="AX338" t="s">
        <v>74</v>
      </c>
      <c r="AY338" t="s">
        <v>74</v>
      </c>
      <c r="AZ338" t="s">
        <v>74</v>
      </c>
      <c r="BA338" t="s">
        <v>74</v>
      </c>
      <c r="BB338">
        <v>426</v>
      </c>
      <c r="BC338">
        <v>442</v>
      </c>
      <c r="BD338">
        <v>2673231211054720</v>
      </c>
      <c r="BE338" t="s">
        <v>5499</v>
      </c>
      <c r="BF338" t="str">
        <f>HYPERLINK("http://dx.doi.org/10.1177/02673231211054720","http://dx.doi.org/10.1177/02673231211054720")</f>
        <v>http://dx.doi.org/10.1177/02673231211054720</v>
      </c>
      <c r="BG338" t="s">
        <v>74</v>
      </c>
      <c r="BH338" t="s">
        <v>5461</v>
      </c>
      <c r="BI338">
        <v>17</v>
      </c>
      <c r="BJ338" t="s">
        <v>2218</v>
      </c>
      <c r="BK338" t="s">
        <v>156</v>
      </c>
      <c r="BL338" t="s">
        <v>2218</v>
      </c>
      <c r="BM338" t="s">
        <v>5500</v>
      </c>
      <c r="BN338" t="s">
        <v>74</v>
      </c>
      <c r="BO338" t="s">
        <v>74</v>
      </c>
      <c r="BP338" t="s">
        <v>74</v>
      </c>
      <c r="BQ338" t="s">
        <v>74</v>
      </c>
      <c r="BR338" t="s">
        <v>106</v>
      </c>
      <c r="BS338" t="s">
        <v>5501</v>
      </c>
      <c r="BT338" t="str">
        <f>HYPERLINK("https%3A%2F%2Fwww.webofscience.com%2Fwos%2Fwoscc%2Ffull-record%2FWOS:000716511200001","View Full Record in Web of Science")</f>
        <v>View Full Record in Web of Science</v>
      </c>
    </row>
    <row r="339" spans="1:72" x14ac:dyDescent="0.25">
      <c r="A339" t="s">
        <v>72</v>
      </c>
      <c r="B339" t="s">
        <v>5644</v>
      </c>
      <c r="C339" t="s">
        <v>74</v>
      </c>
      <c r="D339" t="s">
        <v>74</v>
      </c>
      <c r="E339" t="s">
        <v>74</v>
      </c>
      <c r="F339" t="s">
        <v>5645</v>
      </c>
      <c r="G339" t="s">
        <v>74</v>
      </c>
      <c r="H339" t="s">
        <v>74</v>
      </c>
      <c r="I339" s="1" t="s">
        <v>5646</v>
      </c>
      <c r="J339" t="s">
        <v>5647</v>
      </c>
      <c r="K339" t="s">
        <v>74</v>
      </c>
      <c r="L339" t="s">
        <v>74</v>
      </c>
      <c r="M339" t="s">
        <v>78</v>
      </c>
      <c r="N339" t="s">
        <v>79</v>
      </c>
      <c r="O339" t="s">
        <v>74</v>
      </c>
      <c r="P339" t="s">
        <v>74</v>
      </c>
      <c r="Q339" t="s">
        <v>74</v>
      </c>
      <c r="R339" t="s">
        <v>74</v>
      </c>
      <c r="S339" t="s">
        <v>74</v>
      </c>
      <c r="T339" s="1" t="s">
        <v>5648</v>
      </c>
      <c r="U339" s="1" t="s">
        <v>5649</v>
      </c>
      <c r="V339" s="1" t="s">
        <v>5650</v>
      </c>
      <c r="W339" t="s">
        <v>5651</v>
      </c>
      <c r="X339" t="s">
        <v>5652</v>
      </c>
      <c r="Y339" t="s">
        <v>5653</v>
      </c>
      <c r="Z339" t="s">
        <v>5654</v>
      </c>
      <c r="AA339" t="s">
        <v>5655</v>
      </c>
      <c r="AB339" t="s">
        <v>5656</v>
      </c>
      <c r="AC339" t="s">
        <v>74</v>
      </c>
      <c r="AD339" t="s">
        <v>74</v>
      </c>
      <c r="AE339" t="s">
        <v>74</v>
      </c>
      <c r="AF339" t="s">
        <v>74</v>
      </c>
      <c r="AG339">
        <v>82</v>
      </c>
      <c r="AH339">
        <v>2</v>
      </c>
      <c r="AI339">
        <v>2</v>
      </c>
      <c r="AJ339">
        <v>6</v>
      </c>
      <c r="AK339">
        <v>26</v>
      </c>
      <c r="AL339" t="s">
        <v>1074</v>
      </c>
      <c r="AM339" t="s">
        <v>1075</v>
      </c>
      <c r="AN339" t="s">
        <v>1076</v>
      </c>
      <c r="AO339" t="s">
        <v>5657</v>
      </c>
      <c r="AP339" t="s">
        <v>5658</v>
      </c>
      <c r="AQ339" t="s">
        <v>74</v>
      </c>
      <c r="AR339" t="s">
        <v>5659</v>
      </c>
      <c r="AS339" t="s">
        <v>5660</v>
      </c>
      <c r="AT339" t="s">
        <v>208</v>
      </c>
      <c r="AU339">
        <v>2021</v>
      </c>
      <c r="AV339">
        <v>58</v>
      </c>
      <c r="AW339">
        <v>4</v>
      </c>
      <c r="AX339" t="s">
        <v>74</v>
      </c>
      <c r="AY339" t="s">
        <v>74</v>
      </c>
      <c r="AZ339" t="s">
        <v>74</v>
      </c>
      <c r="BA339" t="s">
        <v>74</v>
      </c>
      <c r="BB339">
        <v>463</v>
      </c>
      <c r="BC339">
        <v>489</v>
      </c>
      <c r="BD339" t="s">
        <v>74</v>
      </c>
      <c r="BE339" t="s">
        <v>5661</v>
      </c>
      <c r="BF339" t="str">
        <f>HYPERLINK("http://dx.doi.org/10.1177/2329488418768690","http://dx.doi.org/10.1177/2329488418768690")</f>
        <v>http://dx.doi.org/10.1177/2329488418768690</v>
      </c>
      <c r="BG339" t="s">
        <v>74</v>
      </c>
      <c r="BH339" t="s">
        <v>74</v>
      </c>
      <c r="BI339">
        <v>27</v>
      </c>
      <c r="BJ339" t="s">
        <v>5662</v>
      </c>
      <c r="BK339" t="s">
        <v>156</v>
      </c>
      <c r="BL339" t="s">
        <v>5663</v>
      </c>
      <c r="BM339" t="s">
        <v>5664</v>
      </c>
      <c r="BN339" t="s">
        <v>74</v>
      </c>
      <c r="BO339" t="s">
        <v>2805</v>
      </c>
      <c r="BP339" t="s">
        <v>74</v>
      </c>
      <c r="BQ339" t="s">
        <v>74</v>
      </c>
      <c r="BR339" t="s">
        <v>106</v>
      </c>
      <c r="BS339" t="s">
        <v>5665</v>
      </c>
      <c r="BT339" t="str">
        <f>HYPERLINK("https%3A%2F%2Fwww.webofscience.com%2Fwos%2Fwoscc%2Ffull-record%2FWOS:000685837400001","View Full Record in Web of Science")</f>
        <v>View Full Record in Web of Science</v>
      </c>
    </row>
    <row r="340" spans="1:72" x14ac:dyDescent="0.25">
      <c r="A340" t="s">
        <v>72</v>
      </c>
      <c r="B340" t="s">
        <v>5729</v>
      </c>
      <c r="C340" t="s">
        <v>74</v>
      </c>
      <c r="D340" t="s">
        <v>74</v>
      </c>
      <c r="E340" t="s">
        <v>74</v>
      </c>
      <c r="F340" t="s">
        <v>5730</v>
      </c>
      <c r="G340" t="s">
        <v>74</v>
      </c>
      <c r="H340" t="s">
        <v>74</v>
      </c>
      <c r="I340" s="1" t="s">
        <v>5731</v>
      </c>
      <c r="J340" t="s">
        <v>5732</v>
      </c>
      <c r="K340" t="s">
        <v>74</v>
      </c>
      <c r="L340" t="s">
        <v>74</v>
      </c>
      <c r="M340" t="s">
        <v>78</v>
      </c>
      <c r="N340" t="s">
        <v>79</v>
      </c>
      <c r="O340" t="s">
        <v>74</v>
      </c>
      <c r="P340" t="s">
        <v>74</v>
      </c>
      <c r="Q340" t="s">
        <v>74</v>
      </c>
      <c r="R340" t="s">
        <v>74</v>
      </c>
      <c r="S340" t="s">
        <v>74</v>
      </c>
      <c r="T340" s="1" t="s">
        <v>74</v>
      </c>
      <c r="U340" s="1" t="s">
        <v>5733</v>
      </c>
      <c r="V340" s="1" t="s">
        <v>5734</v>
      </c>
      <c r="W340" t="s">
        <v>5735</v>
      </c>
      <c r="X340" t="s">
        <v>5736</v>
      </c>
      <c r="Y340" t="s">
        <v>5737</v>
      </c>
      <c r="Z340" t="s">
        <v>5738</v>
      </c>
      <c r="AA340" t="s">
        <v>5739</v>
      </c>
      <c r="AB340" t="s">
        <v>5740</v>
      </c>
      <c r="AC340" t="s">
        <v>5741</v>
      </c>
      <c r="AD340" t="s">
        <v>5742</v>
      </c>
      <c r="AE340" t="s">
        <v>5743</v>
      </c>
      <c r="AF340" t="s">
        <v>74</v>
      </c>
      <c r="AG340">
        <v>81</v>
      </c>
      <c r="AH340">
        <v>2</v>
      </c>
      <c r="AI340">
        <v>2</v>
      </c>
      <c r="AJ340">
        <v>1</v>
      </c>
      <c r="AK340">
        <v>4</v>
      </c>
      <c r="AL340" t="s">
        <v>5744</v>
      </c>
      <c r="AM340" t="s">
        <v>5745</v>
      </c>
      <c r="AN340" t="s">
        <v>5746</v>
      </c>
      <c r="AO340" t="s">
        <v>5747</v>
      </c>
      <c r="AP340" t="s">
        <v>5748</v>
      </c>
      <c r="AQ340" t="s">
        <v>74</v>
      </c>
      <c r="AR340" t="s">
        <v>5749</v>
      </c>
      <c r="AS340" t="s">
        <v>5750</v>
      </c>
      <c r="AT340" t="s">
        <v>5751</v>
      </c>
      <c r="AU340">
        <v>2021</v>
      </c>
      <c r="AV340">
        <v>155</v>
      </c>
      <c r="AW340">
        <v>11</v>
      </c>
      <c r="AX340" t="s">
        <v>74</v>
      </c>
      <c r="AY340" t="s">
        <v>74</v>
      </c>
      <c r="AZ340" t="s">
        <v>74</v>
      </c>
      <c r="BA340" t="s">
        <v>74</v>
      </c>
      <c r="BB340" t="s">
        <v>74</v>
      </c>
      <c r="BC340" t="s">
        <v>74</v>
      </c>
      <c r="BD340">
        <v>114903</v>
      </c>
      <c r="BE340" t="s">
        <v>5752</v>
      </c>
      <c r="BF340" t="str">
        <f>HYPERLINK("http://dx.doi.org/10.1063/5.0056508","http://dx.doi.org/10.1063/5.0056508")</f>
        <v>http://dx.doi.org/10.1063/5.0056508</v>
      </c>
      <c r="BG340" t="s">
        <v>74</v>
      </c>
      <c r="BH340" t="s">
        <v>74</v>
      </c>
      <c r="BI340">
        <v>20</v>
      </c>
      <c r="BJ340" t="s">
        <v>5753</v>
      </c>
      <c r="BK340" t="s">
        <v>102</v>
      </c>
      <c r="BL340" t="s">
        <v>5754</v>
      </c>
      <c r="BM340" t="s">
        <v>5755</v>
      </c>
      <c r="BN340">
        <v>34551548</v>
      </c>
      <c r="BO340" t="s">
        <v>4521</v>
      </c>
      <c r="BP340" t="s">
        <v>74</v>
      </c>
      <c r="BQ340" t="s">
        <v>74</v>
      </c>
      <c r="BR340" t="s">
        <v>106</v>
      </c>
      <c r="BS340" t="s">
        <v>5756</v>
      </c>
      <c r="BT340" t="str">
        <f>HYPERLINK("https%3A%2F%2Fwww.webofscience.com%2Fwos%2Fwoscc%2Ffull-record%2FWOS:000751371200003","View Full Record in Web of Science")</f>
        <v>View Full Record in Web of Science</v>
      </c>
    </row>
    <row r="341" spans="1:72" x14ac:dyDescent="0.25">
      <c r="A341" t="s">
        <v>72</v>
      </c>
      <c r="B341" t="s">
        <v>5931</v>
      </c>
      <c r="C341" t="s">
        <v>74</v>
      </c>
      <c r="D341" t="s">
        <v>74</v>
      </c>
      <c r="E341" t="s">
        <v>74</v>
      </c>
      <c r="F341" t="s">
        <v>5932</v>
      </c>
      <c r="G341" t="s">
        <v>74</v>
      </c>
      <c r="H341" t="s">
        <v>74</v>
      </c>
      <c r="I341" s="1" t="s">
        <v>5933</v>
      </c>
      <c r="J341" t="s">
        <v>5934</v>
      </c>
      <c r="K341" t="s">
        <v>74</v>
      </c>
      <c r="L341" t="s">
        <v>74</v>
      </c>
      <c r="M341" t="s">
        <v>78</v>
      </c>
      <c r="N341" t="s">
        <v>79</v>
      </c>
      <c r="O341" t="s">
        <v>74</v>
      </c>
      <c r="P341" t="s">
        <v>74</v>
      </c>
      <c r="Q341" t="s">
        <v>74</v>
      </c>
      <c r="R341" t="s">
        <v>74</v>
      </c>
      <c r="S341" t="s">
        <v>74</v>
      </c>
      <c r="T341" s="1" t="s">
        <v>74</v>
      </c>
      <c r="U341" s="1" t="s">
        <v>5935</v>
      </c>
      <c r="V341" s="1" t="s">
        <v>5936</v>
      </c>
      <c r="W341" t="s">
        <v>5937</v>
      </c>
      <c r="X341" t="s">
        <v>5938</v>
      </c>
      <c r="Y341" t="s">
        <v>5939</v>
      </c>
      <c r="Z341" t="s">
        <v>5940</v>
      </c>
      <c r="AA341" t="s">
        <v>74</v>
      </c>
      <c r="AB341" t="s">
        <v>74</v>
      </c>
      <c r="AC341" t="s">
        <v>74</v>
      </c>
      <c r="AD341" t="s">
        <v>74</v>
      </c>
      <c r="AE341" t="s">
        <v>74</v>
      </c>
      <c r="AF341" t="s">
        <v>74</v>
      </c>
      <c r="AG341">
        <v>64</v>
      </c>
      <c r="AH341">
        <v>2</v>
      </c>
      <c r="AI341">
        <v>2</v>
      </c>
      <c r="AJ341">
        <v>3</v>
      </c>
      <c r="AK341">
        <v>13</v>
      </c>
      <c r="AL341" t="s">
        <v>492</v>
      </c>
      <c r="AM341" t="s">
        <v>493</v>
      </c>
      <c r="AN341" t="s">
        <v>494</v>
      </c>
      <c r="AO341" t="s">
        <v>5941</v>
      </c>
      <c r="AP341" t="s">
        <v>5942</v>
      </c>
      <c r="AQ341" t="s">
        <v>74</v>
      </c>
      <c r="AR341" t="s">
        <v>5943</v>
      </c>
      <c r="AS341" t="s">
        <v>5944</v>
      </c>
      <c r="AT341" t="s">
        <v>5945</v>
      </c>
      <c r="AU341">
        <v>2021</v>
      </c>
      <c r="AV341">
        <v>23</v>
      </c>
      <c r="AW341" t="s">
        <v>5946</v>
      </c>
      <c r="AX341" t="s">
        <v>74</v>
      </c>
      <c r="AY341" t="s">
        <v>74</v>
      </c>
      <c r="AZ341" t="s">
        <v>74</v>
      </c>
      <c r="BA341" t="s">
        <v>74</v>
      </c>
      <c r="BB341">
        <v>2</v>
      </c>
      <c r="BC341">
        <v>28</v>
      </c>
      <c r="BD341" t="s">
        <v>74</v>
      </c>
      <c r="BE341" t="s">
        <v>5947</v>
      </c>
      <c r="BF341" t="str">
        <f>HYPERLINK("http://dx.doi.org/10.1080/14241277.2021.1958820","http://dx.doi.org/10.1080/14241277.2021.1958820")</f>
        <v>http://dx.doi.org/10.1080/14241277.2021.1958820</v>
      </c>
      <c r="BG341" t="s">
        <v>74</v>
      </c>
      <c r="BH341" t="s">
        <v>5928</v>
      </c>
      <c r="BI341">
        <v>27</v>
      </c>
      <c r="BJ341" t="s">
        <v>2218</v>
      </c>
      <c r="BK341" t="s">
        <v>183</v>
      </c>
      <c r="BL341" t="s">
        <v>2218</v>
      </c>
      <c r="BM341" t="s">
        <v>5948</v>
      </c>
      <c r="BN341" t="s">
        <v>74</v>
      </c>
      <c r="BO341" t="s">
        <v>74</v>
      </c>
      <c r="BP341" t="s">
        <v>74</v>
      </c>
      <c r="BQ341" t="s">
        <v>74</v>
      </c>
      <c r="BR341" t="s">
        <v>106</v>
      </c>
      <c r="BS341" t="s">
        <v>5949</v>
      </c>
      <c r="BT341" t="str">
        <f>HYPERLINK("https%3A%2F%2Fwww.webofscience.com%2Fwos%2Fwoscc%2Ffull-record%2FWOS:000684090700001","View Full Record in Web of Science")</f>
        <v>View Full Record in Web of Science</v>
      </c>
    </row>
    <row r="342" spans="1:72" x14ac:dyDescent="0.25">
      <c r="A342" t="s">
        <v>72</v>
      </c>
      <c r="B342" t="s">
        <v>6527</v>
      </c>
      <c r="C342" t="s">
        <v>74</v>
      </c>
      <c r="D342" t="s">
        <v>74</v>
      </c>
      <c r="E342" t="s">
        <v>74</v>
      </c>
      <c r="F342" t="s">
        <v>6528</v>
      </c>
      <c r="G342" t="s">
        <v>74</v>
      </c>
      <c r="H342" t="s">
        <v>74</v>
      </c>
      <c r="I342" s="1" t="s">
        <v>6529</v>
      </c>
      <c r="J342" t="s">
        <v>6530</v>
      </c>
      <c r="K342" t="s">
        <v>74</v>
      </c>
      <c r="L342" t="s">
        <v>74</v>
      </c>
      <c r="M342" t="s">
        <v>78</v>
      </c>
      <c r="N342" t="s">
        <v>79</v>
      </c>
      <c r="O342" t="s">
        <v>74</v>
      </c>
      <c r="P342" t="s">
        <v>74</v>
      </c>
      <c r="Q342" t="s">
        <v>74</v>
      </c>
      <c r="R342" t="s">
        <v>74</v>
      </c>
      <c r="S342" t="s">
        <v>74</v>
      </c>
      <c r="T342" s="1" t="s">
        <v>6531</v>
      </c>
      <c r="U342" s="1" t="s">
        <v>74</v>
      </c>
      <c r="V342" s="1" t="s">
        <v>6532</v>
      </c>
      <c r="W342" t="s">
        <v>6533</v>
      </c>
      <c r="X342" t="s">
        <v>5974</v>
      </c>
      <c r="Y342" t="s">
        <v>6534</v>
      </c>
      <c r="Z342" t="s">
        <v>6535</v>
      </c>
      <c r="AA342" t="s">
        <v>6536</v>
      </c>
      <c r="AB342" t="s">
        <v>6537</v>
      </c>
      <c r="AC342" t="s">
        <v>6538</v>
      </c>
      <c r="AD342" t="s">
        <v>6539</v>
      </c>
      <c r="AE342" t="s">
        <v>6540</v>
      </c>
      <c r="AF342" t="s">
        <v>74</v>
      </c>
      <c r="AG342">
        <v>55</v>
      </c>
      <c r="AH342">
        <v>2</v>
      </c>
      <c r="AI342">
        <v>2</v>
      </c>
      <c r="AJ342">
        <v>2</v>
      </c>
      <c r="AK342">
        <v>27</v>
      </c>
      <c r="AL342" t="s">
        <v>715</v>
      </c>
      <c r="AM342" t="s">
        <v>716</v>
      </c>
      <c r="AN342" t="s">
        <v>717</v>
      </c>
      <c r="AO342" t="s">
        <v>6541</v>
      </c>
      <c r="AP342" t="s">
        <v>6542</v>
      </c>
      <c r="AQ342" t="s">
        <v>74</v>
      </c>
      <c r="AR342" t="s">
        <v>6543</v>
      </c>
      <c r="AS342" t="s">
        <v>6544</v>
      </c>
      <c r="AT342" t="s">
        <v>6545</v>
      </c>
      <c r="AU342">
        <v>2021</v>
      </c>
      <c r="AV342">
        <v>70</v>
      </c>
      <c r="AW342">
        <v>5</v>
      </c>
      <c r="AX342" t="s">
        <v>74</v>
      </c>
      <c r="AY342" t="s">
        <v>74</v>
      </c>
      <c r="AZ342" t="s">
        <v>74</v>
      </c>
      <c r="BA342" t="s">
        <v>74</v>
      </c>
      <c r="BB342">
        <v>1072</v>
      </c>
      <c r="BC342">
        <v>1091</v>
      </c>
      <c r="BD342" t="s">
        <v>74</v>
      </c>
      <c r="BE342" t="s">
        <v>6546</v>
      </c>
      <c r="BF342" t="str">
        <f>HYPERLINK("http://dx.doi.org/10.1108/IJPPM-06-2020-0318","http://dx.doi.org/10.1108/IJPPM-06-2020-0318")</f>
        <v>http://dx.doi.org/10.1108/IJPPM-06-2020-0318</v>
      </c>
      <c r="BG342" t="s">
        <v>74</v>
      </c>
      <c r="BH342" t="s">
        <v>6460</v>
      </c>
      <c r="BI342">
        <v>20</v>
      </c>
      <c r="BJ342" t="s">
        <v>315</v>
      </c>
      <c r="BK342" t="s">
        <v>183</v>
      </c>
      <c r="BL342" t="s">
        <v>265</v>
      </c>
      <c r="BM342" t="s">
        <v>6547</v>
      </c>
      <c r="BN342" t="s">
        <v>74</v>
      </c>
      <c r="BO342" t="s">
        <v>74</v>
      </c>
      <c r="BP342" t="s">
        <v>74</v>
      </c>
      <c r="BQ342" t="s">
        <v>74</v>
      </c>
      <c r="BR342" t="s">
        <v>106</v>
      </c>
      <c r="BS342" t="s">
        <v>6548</v>
      </c>
      <c r="BT342" t="str">
        <f>HYPERLINK("https%3A%2F%2Fwww.webofscience.com%2Fwos%2Fwoscc%2Ffull-record%2FWOS:000637705700001","View Full Record in Web of Science")</f>
        <v>View Full Record in Web of Science</v>
      </c>
    </row>
    <row r="343" spans="1:72" x14ac:dyDescent="0.25">
      <c r="A343" t="s">
        <v>72</v>
      </c>
      <c r="B343" t="s">
        <v>1063</v>
      </c>
      <c r="C343" t="s">
        <v>74</v>
      </c>
      <c r="D343" t="s">
        <v>74</v>
      </c>
      <c r="E343" t="s">
        <v>74</v>
      </c>
      <c r="F343" t="s">
        <v>6549</v>
      </c>
      <c r="G343" t="s">
        <v>74</v>
      </c>
      <c r="H343" t="s">
        <v>74</v>
      </c>
      <c r="I343" s="1" t="s">
        <v>6550</v>
      </c>
      <c r="J343" t="s">
        <v>6551</v>
      </c>
      <c r="K343" t="s">
        <v>74</v>
      </c>
      <c r="L343" t="s">
        <v>74</v>
      </c>
      <c r="M343" t="s">
        <v>78</v>
      </c>
      <c r="N343" t="s">
        <v>112</v>
      </c>
      <c r="O343" t="s">
        <v>74</v>
      </c>
      <c r="P343" t="s">
        <v>74</v>
      </c>
      <c r="Q343" t="s">
        <v>74</v>
      </c>
      <c r="R343" t="s">
        <v>74</v>
      </c>
      <c r="S343" t="s">
        <v>74</v>
      </c>
      <c r="T343" s="1" t="s">
        <v>6552</v>
      </c>
      <c r="U343" s="1" t="s">
        <v>6553</v>
      </c>
      <c r="V343" s="1" t="s">
        <v>6554</v>
      </c>
      <c r="W343" t="s">
        <v>6555</v>
      </c>
      <c r="X343" t="s">
        <v>6556</v>
      </c>
      <c r="Y343" t="s">
        <v>6557</v>
      </c>
      <c r="Z343" t="s">
        <v>6558</v>
      </c>
      <c r="AA343" t="s">
        <v>74</v>
      </c>
      <c r="AB343" t="s">
        <v>6559</v>
      </c>
      <c r="AC343" t="s">
        <v>74</v>
      </c>
      <c r="AD343" t="s">
        <v>74</v>
      </c>
      <c r="AE343" t="s">
        <v>74</v>
      </c>
      <c r="AF343" t="s">
        <v>74</v>
      </c>
      <c r="AG343">
        <v>56</v>
      </c>
      <c r="AH343">
        <v>2</v>
      </c>
      <c r="AI343">
        <v>2</v>
      </c>
      <c r="AJ343">
        <v>2</v>
      </c>
      <c r="AK343">
        <v>4</v>
      </c>
      <c r="AL343" t="s">
        <v>492</v>
      </c>
      <c r="AM343" t="s">
        <v>493</v>
      </c>
      <c r="AN343" t="s">
        <v>494</v>
      </c>
      <c r="AO343" t="s">
        <v>6560</v>
      </c>
      <c r="AP343" t="s">
        <v>6561</v>
      </c>
      <c r="AQ343" t="s">
        <v>74</v>
      </c>
      <c r="AR343" t="s">
        <v>6562</v>
      </c>
      <c r="AS343" t="s">
        <v>6563</v>
      </c>
      <c r="AT343" t="s">
        <v>6564</v>
      </c>
      <c r="AU343">
        <v>2021</v>
      </c>
      <c r="AV343" t="s">
        <v>74</v>
      </c>
      <c r="AW343" t="s">
        <v>74</v>
      </c>
      <c r="AX343" t="s">
        <v>74</v>
      </c>
      <c r="AY343" t="s">
        <v>74</v>
      </c>
      <c r="AZ343" t="s">
        <v>74</v>
      </c>
      <c r="BA343" t="s">
        <v>74</v>
      </c>
      <c r="BB343" t="s">
        <v>74</v>
      </c>
      <c r="BC343" t="s">
        <v>74</v>
      </c>
      <c r="BD343" t="s">
        <v>74</v>
      </c>
      <c r="BE343" t="s">
        <v>6565</v>
      </c>
      <c r="BF343" t="str">
        <f>HYPERLINK("http://dx.doi.org/10.1080/15377857.2021.1910611","http://dx.doi.org/10.1080/15377857.2021.1910611")</f>
        <v>http://dx.doi.org/10.1080/15377857.2021.1910611</v>
      </c>
      <c r="BG343" t="s">
        <v>74</v>
      </c>
      <c r="BH343" t="s">
        <v>6460</v>
      </c>
      <c r="BI343">
        <v>23</v>
      </c>
      <c r="BJ343" t="s">
        <v>1082</v>
      </c>
      <c r="BK343" t="s">
        <v>183</v>
      </c>
      <c r="BL343" t="s">
        <v>379</v>
      </c>
      <c r="BM343" t="s">
        <v>6566</v>
      </c>
      <c r="BN343" t="s">
        <v>74</v>
      </c>
      <c r="BO343" t="s">
        <v>74</v>
      </c>
      <c r="BP343" t="s">
        <v>74</v>
      </c>
      <c r="BQ343" t="s">
        <v>74</v>
      </c>
      <c r="BR343" t="s">
        <v>106</v>
      </c>
      <c r="BS343" t="s">
        <v>6567</v>
      </c>
      <c r="BT343" t="str">
        <f>HYPERLINK("https%3A%2F%2Fwww.webofscience.com%2Fwos%2Fwoscc%2Ffull-record%2FWOS:000647515900001","View Full Record in Web of Science")</f>
        <v>View Full Record in Web of Science</v>
      </c>
    </row>
    <row r="344" spans="1:72" x14ac:dyDescent="0.25">
      <c r="A344" t="s">
        <v>72</v>
      </c>
      <c r="B344" t="s">
        <v>6662</v>
      </c>
      <c r="C344" t="s">
        <v>74</v>
      </c>
      <c r="D344" t="s">
        <v>74</v>
      </c>
      <c r="E344" t="s">
        <v>74</v>
      </c>
      <c r="F344" t="s">
        <v>6663</v>
      </c>
      <c r="G344" t="s">
        <v>74</v>
      </c>
      <c r="H344" t="s">
        <v>74</v>
      </c>
      <c r="I344" s="1" t="s">
        <v>6664</v>
      </c>
      <c r="J344" t="s">
        <v>6665</v>
      </c>
      <c r="K344" t="s">
        <v>74</v>
      </c>
      <c r="L344" t="s">
        <v>74</v>
      </c>
      <c r="M344" t="s">
        <v>929</v>
      </c>
      <c r="N344" t="s">
        <v>79</v>
      </c>
      <c r="O344" t="s">
        <v>74</v>
      </c>
      <c r="P344" t="s">
        <v>74</v>
      </c>
      <c r="Q344" t="s">
        <v>74</v>
      </c>
      <c r="R344" t="s">
        <v>74</v>
      </c>
      <c r="S344" t="s">
        <v>74</v>
      </c>
      <c r="T344" s="1" t="s">
        <v>6666</v>
      </c>
      <c r="U344" s="1" t="s">
        <v>74</v>
      </c>
      <c r="V344" s="1" t="s">
        <v>6667</v>
      </c>
      <c r="W344" t="s">
        <v>6668</v>
      </c>
      <c r="X344" t="s">
        <v>5012</v>
      </c>
      <c r="Y344" t="s">
        <v>6669</v>
      </c>
      <c r="Z344" t="s">
        <v>6670</v>
      </c>
      <c r="AA344" t="s">
        <v>6671</v>
      </c>
      <c r="AB344" t="s">
        <v>74</v>
      </c>
      <c r="AC344" t="s">
        <v>74</v>
      </c>
      <c r="AD344" t="s">
        <v>74</v>
      </c>
      <c r="AE344" t="s">
        <v>74</v>
      </c>
      <c r="AF344" t="s">
        <v>74</v>
      </c>
      <c r="AG344">
        <v>59</v>
      </c>
      <c r="AH344">
        <v>2</v>
      </c>
      <c r="AI344">
        <v>2</v>
      </c>
      <c r="AJ344">
        <v>6</v>
      </c>
      <c r="AK344">
        <v>32</v>
      </c>
      <c r="AL344" t="s">
        <v>6672</v>
      </c>
      <c r="AM344" t="s">
        <v>6673</v>
      </c>
      <c r="AN344" t="s">
        <v>6674</v>
      </c>
      <c r="AO344" t="s">
        <v>6675</v>
      </c>
      <c r="AP344" t="s">
        <v>6676</v>
      </c>
      <c r="AQ344" t="s">
        <v>74</v>
      </c>
      <c r="AR344" t="s">
        <v>6677</v>
      </c>
      <c r="AS344" t="s">
        <v>6677</v>
      </c>
      <c r="AT344" t="s">
        <v>1683</v>
      </c>
      <c r="AU344">
        <v>2021</v>
      </c>
      <c r="AV344">
        <v>101</v>
      </c>
      <c r="AW344" t="s">
        <v>74</v>
      </c>
      <c r="AX344" t="s">
        <v>74</v>
      </c>
      <c r="AY344" t="s">
        <v>74</v>
      </c>
      <c r="AZ344" t="s">
        <v>74</v>
      </c>
      <c r="BA344" t="s">
        <v>74</v>
      </c>
      <c r="BB344">
        <v>193</v>
      </c>
      <c r="BC344">
        <v>225</v>
      </c>
      <c r="BD344" t="s">
        <v>74</v>
      </c>
      <c r="BE344" t="s">
        <v>6678</v>
      </c>
      <c r="BF344" t="str">
        <f>HYPERLINK("http://dx.doi.org/10.7203/CIRIEC-E.101.17638","http://dx.doi.org/10.7203/CIRIEC-E.101.17638")</f>
        <v>http://dx.doi.org/10.7203/CIRIEC-E.101.17638</v>
      </c>
      <c r="BG344" t="s">
        <v>74</v>
      </c>
      <c r="BH344" t="s">
        <v>74</v>
      </c>
      <c r="BI344">
        <v>33</v>
      </c>
      <c r="BJ344" t="s">
        <v>521</v>
      </c>
      <c r="BK344" t="s">
        <v>183</v>
      </c>
      <c r="BL344" t="s">
        <v>265</v>
      </c>
      <c r="BM344" t="s">
        <v>6679</v>
      </c>
      <c r="BN344" t="s">
        <v>74</v>
      </c>
      <c r="BO344" t="s">
        <v>2162</v>
      </c>
      <c r="BP344" t="s">
        <v>74</v>
      </c>
      <c r="BQ344" t="s">
        <v>74</v>
      </c>
      <c r="BR344" t="s">
        <v>106</v>
      </c>
      <c r="BS344" t="s">
        <v>6680</v>
      </c>
      <c r="BT344" t="str">
        <f>HYPERLINK("https%3A%2F%2Fwww.webofscience.com%2Fwos%2Fwoscc%2Ffull-record%2FWOS:000636471400008","View Full Record in Web of Science")</f>
        <v>View Full Record in Web of Science</v>
      </c>
    </row>
    <row r="345" spans="1:72" x14ac:dyDescent="0.25">
      <c r="A345" t="s">
        <v>72</v>
      </c>
      <c r="B345" t="s">
        <v>6783</v>
      </c>
      <c r="C345" t="s">
        <v>74</v>
      </c>
      <c r="D345" t="s">
        <v>74</v>
      </c>
      <c r="E345" t="s">
        <v>74</v>
      </c>
      <c r="F345" t="s">
        <v>6784</v>
      </c>
      <c r="G345" t="s">
        <v>74</v>
      </c>
      <c r="H345" t="s">
        <v>74</v>
      </c>
      <c r="I345" s="1" t="s">
        <v>6785</v>
      </c>
      <c r="J345" t="s">
        <v>6786</v>
      </c>
      <c r="K345" t="s">
        <v>74</v>
      </c>
      <c r="L345" t="s">
        <v>74</v>
      </c>
      <c r="M345" t="s">
        <v>78</v>
      </c>
      <c r="N345" t="s">
        <v>79</v>
      </c>
      <c r="O345" t="s">
        <v>74</v>
      </c>
      <c r="P345" t="s">
        <v>74</v>
      </c>
      <c r="Q345" t="s">
        <v>74</v>
      </c>
      <c r="R345" t="s">
        <v>74</v>
      </c>
      <c r="S345" t="s">
        <v>74</v>
      </c>
      <c r="T345" s="1" t="s">
        <v>6787</v>
      </c>
      <c r="U345" s="1" t="s">
        <v>74</v>
      </c>
      <c r="V345" s="1" t="s">
        <v>6788</v>
      </c>
      <c r="W345" t="s">
        <v>6789</v>
      </c>
      <c r="X345" t="s">
        <v>74</v>
      </c>
      <c r="Y345" t="s">
        <v>6790</v>
      </c>
      <c r="Z345" t="s">
        <v>6791</v>
      </c>
      <c r="AA345" t="s">
        <v>74</v>
      </c>
      <c r="AB345" t="s">
        <v>74</v>
      </c>
      <c r="AC345" t="s">
        <v>74</v>
      </c>
      <c r="AD345" t="s">
        <v>74</v>
      </c>
      <c r="AE345" t="s">
        <v>74</v>
      </c>
      <c r="AF345" t="s">
        <v>74</v>
      </c>
      <c r="AG345">
        <v>76</v>
      </c>
      <c r="AH345">
        <v>2</v>
      </c>
      <c r="AI345">
        <v>2</v>
      </c>
      <c r="AJ345">
        <v>0</v>
      </c>
      <c r="AK345">
        <v>15</v>
      </c>
      <c r="AL345" t="s">
        <v>254</v>
      </c>
      <c r="AM345" t="s">
        <v>255</v>
      </c>
      <c r="AN345" t="s">
        <v>256</v>
      </c>
      <c r="AO345" t="s">
        <v>6792</v>
      </c>
      <c r="AP345" t="s">
        <v>6793</v>
      </c>
      <c r="AQ345" t="s">
        <v>74</v>
      </c>
      <c r="AR345" t="s">
        <v>6794</v>
      </c>
      <c r="AS345" t="s">
        <v>6795</v>
      </c>
      <c r="AT345" t="s">
        <v>1904</v>
      </c>
      <c r="AU345">
        <v>2021</v>
      </c>
      <c r="AV345">
        <v>30</v>
      </c>
      <c r="AW345">
        <v>1</v>
      </c>
      <c r="AX345" t="s">
        <v>74</v>
      </c>
      <c r="AY345" t="s">
        <v>74</v>
      </c>
      <c r="AZ345" t="s">
        <v>74</v>
      </c>
      <c r="BA345" t="s">
        <v>74</v>
      </c>
      <c r="BB345">
        <v>59</v>
      </c>
      <c r="BC345">
        <v>84</v>
      </c>
      <c r="BD345" t="s">
        <v>74</v>
      </c>
      <c r="BE345" t="s">
        <v>6796</v>
      </c>
      <c r="BF345" t="str">
        <f>HYPERLINK("http://dx.doi.org/10.1007/s11518-021-5480-x","http://dx.doi.org/10.1007/s11518-021-5480-x")</f>
        <v>http://dx.doi.org/10.1007/s11518-021-5480-x</v>
      </c>
      <c r="BG345" t="s">
        <v>74</v>
      </c>
      <c r="BH345" t="s">
        <v>6797</v>
      </c>
      <c r="BI345">
        <v>26</v>
      </c>
      <c r="BJ345" t="s">
        <v>6503</v>
      </c>
      <c r="BK345" t="s">
        <v>102</v>
      </c>
      <c r="BL345" t="s">
        <v>6503</v>
      </c>
      <c r="BM345" t="s">
        <v>6798</v>
      </c>
      <c r="BN345" t="s">
        <v>74</v>
      </c>
      <c r="BO345" t="s">
        <v>74</v>
      </c>
      <c r="BP345" t="s">
        <v>74</v>
      </c>
      <c r="BQ345" t="s">
        <v>74</v>
      </c>
      <c r="BR345" t="s">
        <v>106</v>
      </c>
      <c r="BS345" t="s">
        <v>6799</v>
      </c>
      <c r="BT345" t="str">
        <f>HYPERLINK("https%3A%2F%2Fwww.webofscience.com%2Fwos%2Fwoscc%2Ffull-record%2FWOS:000613165800001","View Full Record in Web of Science")</f>
        <v>View Full Record in Web of Science</v>
      </c>
    </row>
    <row r="346" spans="1:72" x14ac:dyDescent="0.25">
      <c r="A346" t="s">
        <v>72</v>
      </c>
      <c r="B346" t="s">
        <v>7030</v>
      </c>
      <c r="C346" t="s">
        <v>74</v>
      </c>
      <c r="D346" t="s">
        <v>74</v>
      </c>
      <c r="E346" t="s">
        <v>74</v>
      </c>
      <c r="F346" t="s">
        <v>7031</v>
      </c>
      <c r="G346" t="s">
        <v>74</v>
      </c>
      <c r="H346" t="s">
        <v>74</v>
      </c>
      <c r="I346" s="1" t="s">
        <v>7032</v>
      </c>
      <c r="J346" t="s">
        <v>7033</v>
      </c>
      <c r="K346" t="s">
        <v>74</v>
      </c>
      <c r="L346" t="s">
        <v>74</v>
      </c>
      <c r="M346" t="s">
        <v>78</v>
      </c>
      <c r="N346" t="s">
        <v>79</v>
      </c>
      <c r="O346" t="s">
        <v>74</v>
      </c>
      <c r="P346" t="s">
        <v>74</v>
      </c>
      <c r="Q346" t="s">
        <v>74</v>
      </c>
      <c r="R346" t="s">
        <v>74</v>
      </c>
      <c r="S346" t="s">
        <v>74</v>
      </c>
      <c r="T346" s="1" t="s">
        <v>7034</v>
      </c>
      <c r="U346" s="1" t="s">
        <v>7035</v>
      </c>
      <c r="V346" s="1" t="s">
        <v>7036</v>
      </c>
      <c r="W346" t="s">
        <v>7037</v>
      </c>
      <c r="X346" t="s">
        <v>7038</v>
      </c>
      <c r="Y346" t="s">
        <v>7039</v>
      </c>
      <c r="Z346" t="s">
        <v>7040</v>
      </c>
      <c r="AA346" t="s">
        <v>74</v>
      </c>
      <c r="AB346" t="s">
        <v>7041</v>
      </c>
      <c r="AC346" t="s">
        <v>74</v>
      </c>
      <c r="AD346" t="s">
        <v>74</v>
      </c>
      <c r="AE346" t="s">
        <v>74</v>
      </c>
      <c r="AF346" t="s">
        <v>74</v>
      </c>
      <c r="AG346">
        <v>67</v>
      </c>
      <c r="AH346">
        <v>2</v>
      </c>
      <c r="AI346">
        <v>2</v>
      </c>
      <c r="AJ346">
        <v>2</v>
      </c>
      <c r="AK346">
        <v>16</v>
      </c>
      <c r="AL346" t="s">
        <v>7042</v>
      </c>
      <c r="AM346" t="s">
        <v>6673</v>
      </c>
      <c r="AN346" t="s">
        <v>7043</v>
      </c>
      <c r="AO346" t="s">
        <v>7044</v>
      </c>
      <c r="AP346" t="s">
        <v>7045</v>
      </c>
      <c r="AQ346" t="s">
        <v>74</v>
      </c>
      <c r="AR346" t="s">
        <v>7046</v>
      </c>
      <c r="AS346" t="s">
        <v>7047</v>
      </c>
      <c r="AT346" t="s">
        <v>74</v>
      </c>
      <c r="AU346">
        <v>2021</v>
      </c>
      <c r="AV346">
        <v>9</v>
      </c>
      <c r="AW346">
        <v>2</v>
      </c>
      <c r="AX346" t="s">
        <v>74</v>
      </c>
      <c r="AY346" t="s">
        <v>74</v>
      </c>
      <c r="AZ346" t="s">
        <v>74</v>
      </c>
      <c r="BA346" t="s">
        <v>74</v>
      </c>
      <c r="BB346">
        <v>65</v>
      </c>
      <c r="BC346">
        <v>80</v>
      </c>
      <c r="BD346" t="s">
        <v>74</v>
      </c>
      <c r="BE346" t="s">
        <v>7048</v>
      </c>
      <c r="BF346" t="str">
        <f>HYPERLINK("http://dx.doi.org/10.4995/ijpme.2021.15058","http://dx.doi.org/10.4995/ijpme.2021.15058")</f>
        <v>http://dx.doi.org/10.4995/ijpme.2021.15058</v>
      </c>
      <c r="BG346" t="s">
        <v>74</v>
      </c>
      <c r="BH346" t="s">
        <v>74</v>
      </c>
      <c r="BI346">
        <v>16</v>
      </c>
      <c r="BJ346" t="s">
        <v>2113</v>
      </c>
      <c r="BK346" t="s">
        <v>183</v>
      </c>
      <c r="BL346" t="s">
        <v>1685</v>
      </c>
      <c r="BM346" t="s">
        <v>7049</v>
      </c>
      <c r="BN346" t="s">
        <v>74</v>
      </c>
      <c r="BO346" t="s">
        <v>614</v>
      </c>
      <c r="BP346" t="s">
        <v>74</v>
      </c>
      <c r="BQ346" t="s">
        <v>74</v>
      </c>
      <c r="BR346" t="s">
        <v>106</v>
      </c>
      <c r="BS346" t="s">
        <v>7050</v>
      </c>
      <c r="BT346" t="str">
        <f>HYPERLINK("https%3A%2F%2Fwww.webofscience.com%2Fwos%2Fwoscc%2Ffull-record%2FWOS:000678715200001","View Full Record in Web of Science")</f>
        <v>View Full Record in Web of Science</v>
      </c>
    </row>
    <row r="347" spans="1:72" x14ac:dyDescent="0.25">
      <c r="A347" t="s">
        <v>72</v>
      </c>
      <c r="B347" t="s">
        <v>7199</v>
      </c>
      <c r="C347" t="s">
        <v>74</v>
      </c>
      <c r="D347" t="s">
        <v>74</v>
      </c>
      <c r="E347" t="s">
        <v>74</v>
      </c>
      <c r="F347" t="s">
        <v>7200</v>
      </c>
      <c r="G347" t="s">
        <v>74</v>
      </c>
      <c r="H347" t="s">
        <v>74</v>
      </c>
      <c r="I347" s="1" t="s">
        <v>7201</v>
      </c>
      <c r="J347" t="s">
        <v>7202</v>
      </c>
      <c r="K347" t="s">
        <v>74</v>
      </c>
      <c r="L347" t="s">
        <v>74</v>
      </c>
      <c r="M347" t="s">
        <v>78</v>
      </c>
      <c r="N347" t="s">
        <v>79</v>
      </c>
      <c r="O347" t="s">
        <v>74</v>
      </c>
      <c r="P347" t="s">
        <v>74</v>
      </c>
      <c r="Q347" t="s">
        <v>74</v>
      </c>
      <c r="R347" t="s">
        <v>74</v>
      </c>
      <c r="S347" t="s">
        <v>74</v>
      </c>
      <c r="T347" s="1" t="s">
        <v>7203</v>
      </c>
      <c r="U347" s="1" t="s">
        <v>7204</v>
      </c>
      <c r="V347" s="1" t="s">
        <v>7205</v>
      </c>
      <c r="W347" t="s">
        <v>7206</v>
      </c>
      <c r="X347" t="s">
        <v>7207</v>
      </c>
      <c r="Y347" t="s">
        <v>7208</v>
      </c>
      <c r="Z347" t="s">
        <v>7209</v>
      </c>
      <c r="AA347" t="s">
        <v>74</v>
      </c>
      <c r="AB347" t="s">
        <v>74</v>
      </c>
      <c r="AC347" t="s">
        <v>74</v>
      </c>
      <c r="AD347" t="s">
        <v>74</v>
      </c>
      <c r="AE347" t="s">
        <v>74</v>
      </c>
      <c r="AF347" t="s">
        <v>74</v>
      </c>
      <c r="AG347">
        <v>60</v>
      </c>
      <c r="AH347">
        <v>2</v>
      </c>
      <c r="AI347">
        <v>2</v>
      </c>
      <c r="AJ347">
        <v>3</v>
      </c>
      <c r="AK347">
        <v>40</v>
      </c>
      <c r="AL347" t="s">
        <v>7210</v>
      </c>
      <c r="AM347" t="s">
        <v>7211</v>
      </c>
      <c r="AN347" t="s">
        <v>7212</v>
      </c>
      <c r="AO347" t="s">
        <v>7213</v>
      </c>
      <c r="AP347" t="s">
        <v>7214</v>
      </c>
      <c r="AQ347" t="s">
        <v>74</v>
      </c>
      <c r="AR347" t="s">
        <v>7215</v>
      </c>
      <c r="AS347" t="s">
        <v>7216</v>
      </c>
      <c r="AT347" t="s">
        <v>74</v>
      </c>
      <c r="AU347">
        <v>2021</v>
      </c>
      <c r="AV347">
        <v>19</v>
      </c>
      <c r="AW347">
        <v>2</v>
      </c>
      <c r="AX347" t="s">
        <v>74</v>
      </c>
      <c r="AY347" t="s">
        <v>74</v>
      </c>
      <c r="AZ347" t="s">
        <v>74</v>
      </c>
      <c r="BA347" t="s">
        <v>74</v>
      </c>
      <c r="BB347">
        <v>257</v>
      </c>
      <c r="BC347">
        <v>280</v>
      </c>
      <c r="BD347" t="s">
        <v>74</v>
      </c>
      <c r="BE347" t="s">
        <v>7217</v>
      </c>
      <c r="BF347" t="str">
        <f>HYPERLINK("http://dx.doi.org/10.7906/indecs.19.2.6","http://dx.doi.org/10.7906/indecs.19.2.6")</f>
        <v>http://dx.doi.org/10.7906/indecs.19.2.6</v>
      </c>
      <c r="BG347" t="s">
        <v>74</v>
      </c>
      <c r="BH347" t="s">
        <v>74</v>
      </c>
      <c r="BI347">
        <v>24</v>
      </c>
      <c r="BJ347" t="s">
        <v>942</v>
      </c>
      <c r="BK347" t="s">
        <v>183</v>
      </c>
      <c r="BL347" t="s">
        <v>943</v>
      </c>
      <c r="BM347" t="s">
        <v>7218</v>
      </c>
      <c r="BN347" t="s">
        <v>74</v>
      </c>
      <c r="BO347" t="s">
        <v>422</v>
      </c>
      <c r="BP347" t="s">
        <v>74</v>
      </c>
      <c r="BQ347" t="s">
        <v>74</v>
      </c>
      <c r="BR347" t="s">
        <v>106</v>
      </c>
      <c r="BS347" t="s">
        <v>7219</v>
      </c>
      <c r="BT347" t="str">
        <f>HYPERLINK("https%3A%2F%2Fwww.webofscience.com%2Fwos%2Fwoscc%2Ffull-record%2FWOS:000668658800006","View Full Record in Web of Science")</f>
        <v>View Full Record in Web of Science</v>
      </c>
    </row>
    <row r="348" spans="1:72" x14ac:dyDescent="0.25">
      <c r="A348" t="s">
        <v>72</v>
      </c>
      <c r="B348" t="s">
        <v>7468</v>
      </c>
      <c r="C348" t="s">
        <v>74</v>
      </c>
      <c r="D348" t="s">
        <v>74</v>
      </c>
      <c r="E348" t="s">
        <v>74</v>
      </c>
      <c r="F348" t="s">
        <v>7469</v>
      </c>
      <c r="G348" t="s">
        <v>74</v>
      </c>
      <c r="H348" t="s">
        <v>74</v>
      </c>
      <c r="I348" s="1" t="s">
        <v>7470</v>
      </c>
      <c r="J348" t="s">
        <v>7471</v>
      </c>
      <c r="K348" t="s">
        <v>74</v>
      </c>
      <c r="L348" t="s">
        <v>74</v>
      </c>
      <c r="M348" t="s">
        <v>78</v>
      </c>
      <c r="N348" t="s">
        <v>79</v>
      </c>
      <c r="O348" t="s">
        <v>74</v>
      </c>
      <c r="P348" t="s">
        <v>74</v>
      </c>
      <c r="Q348" t="s">
        <v>74</v>
      </c>
      <c r="R348" t="s">
        <v>74</v>
      </c>
      <c r="S348" t="s">
        <v>74</v>
      </c>
      <c r="T348" s="1" t="s">
        <v>7472</v>
      </c>
      <c r="U348" s="1" t="s">
        <v>74</v>
      </c>
      <c r="V348" s="1" t="s">
        <v>7473</v>
      </c>
      <c r="W348" t="s">
        <v>7474</v>
      </c>
      <c r="X348" t="s">
        <v>512</v>
      </c>
      <c r="Y348" t="s">
        <v>7475</v>
      </c>
      <c r="Z348" t="s">
        <v>7476</v>
      </c>
      <c r="AA348" t="s">
        <v>74</v>
      </c>
      <c r="AB348" t="s">
        <v>74</v>
      </c>
      <c r="AC348" t="s">
        <v>74</v>
      </c>
      <c r="AD348" t="s">
        <v>74</v>
      </c>
      <c r="AE348" t="s">
        <v>74</v>
      </c>
      <c r="AF348" t="s">
        <v>74</v>
      </c>
      <c r="AG348">
        <v>15</v>
      </c>
      <c r="AH348">
        <v>2</v>
      </c>
      <c r="AI348">
        <v>2</v>
      </c>
      <c r="AJ348">
        <v>7</v>
      </c>
      <c r="AK348">
        <v>43</v>
      </c>
      <c r="AL348" t="s">
        <v>7477</v>
      </c>
      <c r="AM348" t="s">
        <v>878</v>
      </c>
      <c r="AN348" t="s">
        <v>7478</v>
      </c>
      <c r="AO348" t="s">
        <v>7479</v>
      </c>
      <c r="AP348" t="s">
        <v>7480</v>
      </c>
      <c r="AQ348" t="s">
        <v>74</v>
      </c>
      <c r="AR348" t="s">
        <v>7481</v>
      </c>
      <c r="AS348" t="s">
        <v>7482</v>
      </c>
      <c r="AT348" t="s">
        <v>74</v>
      </c>
      <c r="AU348">
        <v>2021</v>
      </c>
      <c r="AV348">
        <v>88</v>
      </c>
      <c r="AW348">
        <v>3</v>
      </c>
      <c r="AX348" t="s">
        <v>74</v>
      </c>
      <c r="AY348" t="s">
        <v>74</v>
      </c>
      <c r="AZ348" t="s">
        <v>74</v>
      </c>
      <c r="BA348" t="s">
        <v>74</v>
      </c>
      <c r="BB348">
        <v>147</v>
      </c>
      <c r="BC348">
        <v>149</v>
      </c>
      <c r="BD348" t="s">
        <v>74</v>
      </c>
      <c r="BE348" t="s">
        <v>74</v>
      </c>
      <c r="BF348" t="s">
        <v>74</v>
      </c>
      <c r="BG348" t="s">
        <v>74</v>
      </c>
      <c r="BH348" t="s">
        <v>74</v>
      </c>
      <c r="BI348">
        <v>3</v>
      </c>
      <c r="BJ348" t="s">
        <v>7483</v>
      </c>
      <c r="BK348" t="s">
        <v>183</v>
      </c>
      <c r="BL348" t="s">
        <v>1685</v>
      </c>
      <c r="BM348" t="s">
        <v>7484</v>
      </c>
      <c r="BN348" t="s">
        <v>74</v>
      </c>
      <c r="BO348" t="s">
        <v>74</v>
      </c>
      <c r="BP348" t="s">
        <v>74</v>
      </c>
      <c r="BQ348" t="s">
        <v>74</v>
      </c>
      <c r="BR348" t="s">
        <v>106</v>
      </c>
      <c r="BS348" t="s">
        <v>7485</v>
      </c>
      <c r="BT348" t="str">
        <f>HYPERLINK("https%3A%2F%2Fwww.webofscience.com%2Fwos%2Fwoscc%2Ffull-record%2FWOS:000669866800010","View Full Record in Web of Science")</f>
        <v>View Full Record in Web of Science</v>
      </c>
    </row>
    <row r="349" spans="1:72" x14ac:dyDescent="0.25">
      <c r="A349" t="s">
        <v>72</v>
      </c>
      <c r="B349" t="s">
        <v>7705</v>
      </c>
      <c r="C349" t="s">
        <v>74</v>
      </c>
      <c r="D349" t="s">
        <v>74</v>
      </c>
      <c r="E349" t="s">
        <v>74</v>
      </c>
      <c r="F349" t="s">
        <v>7706</v>
      </c>
      <c r="G349" t="s">
        <v>74</v>
      </c>
      <c r="H349" t="s">
        <v>74</v>
      </c>
      <c r="I349" s="1" t="s">
        <v>7707</v>
      </c>
      <c r="J349" t="s">
        <v>7708</v>
      </c>
      <c r="K349" t="s">
        <v>74</v>
      </c>
      <c r="L349" t="s">
        <v>74</v>
      </c>
      <c r="M349" t="s">
        <v>2896</v>
      </c>
      <c r="N349" t="s">
        <v>79</v>
      </c>
      <c r="O349" t="s">
        <v>74</v>
      </c>
      <c r="P349" t="s">
        <v>74</v>
      </c>
      <c r="Q349" t="s">
        <v>74</v>
      </c>
      <c r="R349" t="s">
        <v>74</v>
      </c>
      <c r="S349" t="s">
        <v>74</v>
      </c>
      <c r="T349" s="1" t="s">
        <v>7709</v>
      </c>
      <c r="U349" s="1" t="s">
        <v>7710</v>
      </c>
      <c r="V349" s="1" t="s">
        <v>7711</v>
      </c>
      <c r="W349" t="s">
        <v>7712</v>
      </c>
      <c r="X349" t="s">
        <v>4386</v>
      </c>
      <c r="Y349" t="s">
        <v>7713</v>
      </c>
      <c r="Z349" t="s">
        <v>7714</v>
      </c>
      <c r="AA349" t="s">
        <v>7715</v>
      </c>
      <c r="AB349" t="s">
        <v>7716</v>
      </c>
      <c r="AC349" t="s">
        <v>74</v>
      </c>
      <c r="AD349" t="s">
        <v>74</v>
      </c>
      <c r="AE349" t="s">
        <v>74</v>
      </c>
      <c r="AF349" t="s">
        <v>74</v>
      </c>
      <c r="AG349">
        <v>44</v>
      </c>
      <c r="AH349">
        <v>2</v>
      </c>
      <c r="AI349">
        <v>2</v>
      </c>
      <c r="AJ349">
        <v>0</v>
      </c>
      <c r="AK349">
        <v>8</v>
      </c>
      <c r="AL349" t="s">
        <v>7717</v>
      </c>
      <c r="AM349" t="s">
        <v>7718</v>
      </c>
      <c r="AN349" t="s">
        <v>7719</v>
      </c>
      <c r="AO349" t="s">
        <v>7720</v>
      </c>
      <c r="AP349" t="s">
        <v>7721</v>
      </c>
      <c r="AQ349" t="s">
        <v>74</v>
      </c>
      <c r="AR349" t="s">
        <v>7722</v>
      </c>
      <c r="AS349" t="s">
        <v>7723</v>
      </c>
      <c r="AT349" t="s">
        <v>208</v>
      </c>
      <c r="AU349">
        <v>2020</v>
      </c>
      <c r="AV349" t="s">
        <v>74</v>
      </c>
      <c r="AW349">
        <v>74</v>
      </c>
      <c r="AX349" t="s">
        <v>74</v>
      </c>
      <c r="AY349" t="s">
        <v>74</v>
      </c>
      <c r="AZ349" t="s">
        <v>74</v>
      </c>
      <c r="BA349" t="s">
        <v>74</v>
      </c>
      <c r="BB349">
        <v>71</v>
      </c>
      <c r="BC349">
        <v>82</v>
      </c>
      <c r="BD349" t="s">
        <v>74</v>
      </c>
      <c r="BE349" t="s">
        <v>7724</v>
      </c>
      <c r="BF349" t="str">
        <f>HYPERLINK("http://dx.doi.org/10.7440/res74.2020.06","http://dx.doi.org/10.7440/res74.2020.06")</f>
        <v>http://dx.doi.org/10.7440/res74.2020.06</v>
      </c>
      <c r="BG349" t="s">
        <v>74</v>
      </c>
      <c r="BH349" t="s">
        <v>74</v>
      </c>
      <c r="BI349">
        <v>12</v>
      </c>
      <c r="BJ349" t="s">
        <v>7725</v>
      </c>
      <c r="BK349" t="s">
        <v>156</v>
      </c>
      <c r="BL349" t="s">
        <v>7726</v>
      </c>
      <c r="BM349" t="s">
        <v>7727</v>
      </c>
      <c r="BN349" t="s">
        <v>74</v>
      </c>
      <c r="BO349" t="s">
        <v>2162</v>
      </c>
      <c r="BP349" t="s">
        <v>74</v>
      </c>
      <c r="BQ349" t="s">
        <v>74</v>
      </c>
      <c r="BR349" t="s">
        <v>106</v>
      </c>
      <c r="BS349" t="s">
        <v>7728</v>
      </c>
      <c r="BT349" t="str">
        <f>HYPERLINK("https%3A%2F%2Fwww.webofscience.com%2Fwos%2Fwoscc%2Ffull-record%2FWOS:000574279000006","View Full Record in Web of Science")</f>
        <v>View Full Record in Web of Science</v>
      </c>
    </row>
    <row r="350" spans="1:72" x14ac:dyDescent="0.25">
      <c r="A350" t="s">
        <v>72</v>
      </c>
      <c r="B350" t="s">
        <v>7729</v>
      </c>
      <c r="C350" t="s">
        <v>74</v>
      </c>
      <c r="D350" t="s">
        <v>74</v>
      </c>
      <c r="E350" t="s">
        <v>74</v>
      </c>
      <c r="F350" t="s">
        <v>7730</v>
      </c>
      <c r="G350" t="s">
        <v>74</v>
      </c>
      <c r="H350" t="s">
        <v>74</v>
      </c>
      <c r="I350" s="1" t="s">
        <v>7731</v>
      </c>
      <c r="J350" t="s">
        <v>2713</v>
      </c>
      <c r="K350" t="s">
        <v>74</v>
      </c>
      <c r="L350" t="s">
        <v>74</v>
      </c>
      <c r="M350" t="s">
        <v>929</v>
      </c>
      <c r="N350" t="s">
        <v>79</v>
      </c>
      <c r="O350" t="s">
        <v>74</v>
      </c>
      <c r="P350" t="s">
        <v>74</v>
      </c>
      <c r="Q350" t="s">
        <v>74</v>
      </c>
      <c r="R350" t="s">
        <v>74</v>
      </c>
      <c r="S350" t="s">
        <v>74</v>
      </c>
      <c r="T350" s="1" t="s">
        <v>7732</v>
      </c>
      <c r="U350" s="1" t="s">
        <v>7733</v>
      </c>
      <c r="V350" s="1" t="s">
        <v>7734</v>
      </c>
      <c r="W350" t="s">
        <v>7735</v>
      </c>
      <c r="X350" t="s">
        <v>7736</v>
      </c>
      <c r="Y350" t="s">
        <v>7737</v>
      </c>
      <c r="Z350" t="s">
        <v>7738</v>
      </c>
      <c r="AA350" t="s">
        <v>7739</v>
      </c>
      <c r="AB350" t="s">
        <v>7740</v>
      </c>
      <c r="AC350" t="s">
        <v>74</v>
      </c>
      <c r="AD350" t="s">
        <v>74</v>
      </c>
      <c r="AE350" t="s">
        <v>74</v>
      </c>
      <c r="AF350" t="s">
        <v>74</v>
      </c>
      <c r="AG350">
        <v>33</v>
      </c>
      <c r="AH350">
        <v>2</v>
      </c>
      <c r="AI350">
        <v>2</v>
      </c>
      <c r="AJ350">
        <v>2</v>
      </c>
      <c r="AK350">
        <v>10</v>
      </c>
      <c r="AL350" t="s">
        <v>2721</v>
      </c>
      <c r="AM350" t="s">
        <v>2722</v>
      </c>
      <c r="AN350" t="s">
        <v>2723</v>
      </c>
      <c r="AO350" t="s">
        <v>2724</v>
      </c>
      <c r="AP350" t="s">
        <v>2725</v>
      </c>
      <c r="AQ350" t="s">
        <v>74</v>
      </c>
      <c r="AR350" t="s">
        <v>2726</v>
      </c>
      <c r="AS350" t="s">
        <v>2727</v>
      </c>
      <c r="AT350" t="s">
        <v>208</v>
      </c>
      <c r="AU350">
        <v>2020</v>
      </c>
      <c r="AV350" t="s">
        <v>74</v>
      </c>
      <c r="AW350" t="s">
        <v>74</v>
      </c>
      <c r="AX350" t="s">
        <v>74</v>
      </c>
      <c r="AY350" t="s">
        <v>74</v>
      </c>
      <c r="AZ350" t="s">
        <v>1020</v>
      </c>
      <c r="BA350" t="s">
        <v>74</v>
      </c>
      <c r="BB350">
        <v>1</v>
      </c>
      <c r="BC350">
        <v>16</v>
      </c>
      <c r="BD350" t="s">
        <v>74</v>
      </c>
      <c r="BE350" t="s">
        <v>7741</v>
      </c>
      <c r="BF350" t="str">
        <f>HYPERLINK("http://dx.doi.org/10.5565/rev/analisi.3206","http://dx.doi.org/10.5565/rev/analisi.3206")</f>
        <v>http://dx.doi.org/10.5565/rev/analisi.3206</v>
      </c>
      <c r="BG350" t="s">
        <v>74</v>
      </c>
      <c r="BH350" t="s">
        <v>74</v>
      </c>
      <c r="BI350">
        <v>16</v>
      </c>
      <c r="BJ350" t="s">
        <v>2218</v>
      </c>
      <c r="BK350" t="s">
        <v>183</v>
      </c>
      <c r="BL350" t="s">
        <v>2218</v>
      </c>
      <c r="BM350" t="s">
        <v>7742</v>
      </c>
      <c r="BN350" t="s">
        <v>74</v>
      </c>
      <c r="BO350" t="s">
        <v>4521</v>
      </c>
      <c r="BP350" t="s">
        <v>74</v>
      </c>
      <c r="BQ350" t="s">
        <v>74</v>
      </c>
      <c r="BR350" t="s">
        <v>106</v>
      </c>
      <c r="BS350" t="s">
        <v>7743</v>
      </c>
      <c r="BT350" t="str">
        <f>HYPERLINK("https%3A%2F%2Fwww.webofscience.com%2Fwos%2Fwoscc%2Ffull-record%2FWOS:000603589000001","View Full Record in Web of Science")</f>
        <v>View Full Record in Web of Science</v>
      </c>
    </row>
    <row r="351" spans="1:72" x14ac:dyDescent="0.25">
      <c r="A351" t="s">
        <v>72</v>
      </c>
      <c r="B351" t="s">
        <v>8108</v>
      </c>
      <c r="C351" t="s">
        <v>74</v>
      </c>
      <c r="D351" t="s">
        <v>74</v>
      </c>
      <c r="E351" t="s">
        <v>74</v>
      </c>
      <c r="F351" t="s">
        <v>8109</v>
      </c>
      <c r="G351" t="s">
        <v>74</v>
      </c>
      <c r="H351" t="s">
        <v>74</v>
      </c>
      <c r="I351" s="1" t="s">
        <v>8110</v>
      </c>
      <c r="J351" t="s">
        <v>8111</v>
      </c>
      <c r="K351" t="s">
        <v>74</v>
      </c>
      <c r="L351" t="s">
        <v>74</v>
      </c>
      <c r="M351" t="s">
        <v>78</v>
      </c>
      <c r="N351" t="s">
        <v>79</v>
      </c>
      <c r="O351" t="s">
        <v>74</v>
      </c>
      <c r="P351" t="s">
        <v>74</v>
      </c>
      <c r="Q351" t="s">
        <v>74</v>
      </c>
      <c r="R351" t="s">
        <v>74</v>
      </c>
      <c r="S351" t="s">
        <v>74</v>
      </c>
      <c r="T351" s="1" t="s">
        <v>8112</v>
      </c>
      <c r="U351" s="1" t="s">
        <v>8113</v>
      </c>
      <c r="V351" s="1" t="s">
        <v>8114</v>
      </c>
      <c r="W351" t="s">
        <v>8115</v>
      </c>
      <c r="X351" t="s">
        <v>8116</v>
      </c>
      <c r="Y351" t="s">
        <v>8117</v>
      </c>
      <c r="Z351" t="s">
        <v>8118</v>
      </c>
      <c r="AA351" t="s">
        <v>8119</v>
      </c>
      <c r="AB351" t="s">
        <v>8120</v>
      </c>
      <c r="AC351" t="s">
        <v>74</v>
      </c>
      <c r="AD351" t="s">
        <v>74</v>
      </c>
      <c r="AE351" t="s">
        <v>74</v>
      </c>
      <c r="AF351" t="s">
        <v>74</v>
      </c>
      <c r="AG351">
        <v>43</v>
      </c>
      <c r="AH351">
        <v>2</v>
      </c>
      <c r="AI351">
        <v>2</v>
      </c>
      <c r="AJ351">
        <v>2</v>
      </c>
      <c r="AK351">
        <v>40</v>
      </c>
      <c r="AL351" t="s">
        <v>8121</v>
      </c>
      <c r="AM351" t="s">
        <v>8122</v>
      </c>
      <c r="AN351" t="s">
        <v>8123</v>
      </c>
      <c r="AO351" t="s">
        <v>8124</v>
      </c>
      <c r="AP351" t="s">
        <v>8125</v>
      </c>
      <c r="AQ351" t="s">
        <v>74</v>
      </c>
      <c r="AR351" t="s">
        <v>8126</v>
      </c>
      <c r="AS351" t="s">
        <v>8127</v>
      </c>
      <c r="AT351" t="s">
        <v>4456</v>
      </c>
      <c r="AU351">
        <v>2020</v>
      </c>
      <c r="AV351">
        <v>20</v>
      </c>
      <c r="AW351">
        <v>2</v>
      </c>
      <c r="AX351" t="s">
        <v>74</v>
      </c>
      <c r="AY351" t="s">
        <v>74</v>
      </c>
      <c r="AZ351" t="s">
        <v>74</v>
      </c>
      <c r="BA351" t="s">
        <v>74</v>
      </c>
      <c r="BB351">
        <v>75</v>
      </c>
      <c r="BC351">
        <v>97</v>
      </c>
      <c r="BD351" t="s">
        <v>74</v>
      </c>
      <c r="BE351" t="s">
        <v>8128</v>
      </c>
      <c r="BF351" t="str">
        <f>HYPERLINK("http://dx.doi.org/10.20397/2177-6652/2020.v20i2.1848","http://dx.doi.org/10.20397/2177-6652/2020.v20i2.1848")</f>
        <v>http://dx.doi.org/10.20397/2177-6652/2020.v20i2.1848</v>
      </c>
      <c r="BG351" t="s">
        <v>74</v>
      </c>
      <c r="BH351" t="s">
        <v>74</v>
      </c>
      <c r="BI351">
        <v>23</v>
      </c>
      <c r="BJ351" t="s">
        <v>315</v>
      </c>
      <c r="BK351" t="s">
        <v>183</v>
      </c>
      <c r="BL351" t="s">
        <v>265</v>
      </c>
      <c r="BM351" t="s">
        <v>8129</v>
      </c>
      <c r="BN351" t="s">
        <v>74</v>
      </c>
      <c r="BO351" t="s">
        <v>186</v>
      </c>
      <c r="BP351" t="s">
        <v>74</v>
      </c>
      <c r="BQ351" t="s">
        <v>74</v>
      </c>
      <c r="BR351" t="s">
        <v>106</v>
      </c>
      <c r="BS351" t="s">
        <v>8130</v>
      </c>
      <c r="BT351" t="str">
        <f>HYPERLINK("https%3A%2F%2Fwww.webofscience.com%2Fwos%2Fwoscc%2Ffull-record%2FWOS:000534511100005","View Full Record in Web of Science")</f>
        <v>View Full Record in Web of Science</v>
      </c>
    </row>
    <row r="352" spans="1:72" x14ac:dyDescent="0.25">
      <c r="A352" t="s">
        <v>72</v>
      </c>
      <c r="B352" t="s">
        <v>8471</v>
      </c>
      <c r="C352" t="s">
        <v>74</v>
      </c>
      <c r="D352" t="s">
        <v>74</v>
      </c>
      <c r="E352" t="s">
        <v>74</v>
      </c>
      <c r="F352" t="s">
        <v>8472</v>
      </c>
      <c r="G352" t="s">
        <v>74</v>
      </c>
      <c r="H352" t="s">
        <v>74</v>
      </c>
      <c r="I352" s="1" t="s">
        <v>8473</v>
      </c>
      <c r="J352" t="s">
        <v>8474</v>
      </c>
      <c r="K352" t="s">
        <v>74</v>
      </c>
      <c r="L352" t="s">
        <v>74</v>
      </c>
      <c r="M352" t="s">
        <v>78</v>
      </c>
      <c r="N352" t="s">
        <v>79</v>
      </c>
      <c r="O352" t="s">
        <v>74</v>
      </c>
      <c r="P352" t="s">
        <v>74</v>
      </c>
      <c r="Q352" t="s">
        <v>74</v>
      </c>
      <c r="R352" t="s">
        <v>74</v>
      </c>
      <c r="S352" t="s">
        <v>74</v>
      </c>
      <c r="T352" s="1" t="s">
        <v>8475</v>
      </c>
      <c r="U352" s="1" t="s">
        <v>8476</v>
      </c>
      <c r="V352" s="1" t="s">
        <v>8477</v>
      </c>
      <c r="W352" t="s">
        <v>8478</v>
      </c>
      <c r="X352" t="s">
        <v>8479</v>
      </c>
      <c r="Y352" t="s">
        <v>8480</v>
      </c>
      <c r="Z352" t="s">
        <v>8481</v>
      </c>
      <c r="AA352" t="s">
        <v>74</v>
      </c>
      <c r="AB352" t="s">
        <v>8482</v>
      </c>
      <c r="AC352" t="s">
        <v>74</v>
      </c>
      <c r="AD352" t="s">
        <v>74</v>
      </c>
      <c r="AE352" t="s">
        <v>74</v>
      </c>
      <c r="AF352" t="s">
        <v>74</v>
      </c>
      <c r="AG352">
        <v>29</v>
      </c>
      <c r="AH352">
        <v>2</v>
      </c>
      <c r="AI352">
        <v>2</v>
      </c>
      <c r="AJ352">
        <v>0</v>
      </c>
      <c r="AK352">
        <v>5</v>
      </c>
      <c r="AL352" t="s">
        <v>3433</v>
      </c>
      <c r="AM352" t="s">
        <v>878</v>
      </c>
      <c r="AN352" t="s">
        <v>3434</v>
      </c>
      <c r="AO352" t="s">
        <v>8483</v>
      </c>
      <c r="AP352" t="s">
        <v>74</v>
      </c>
      <c r="AQ352" t="s">
        <v>74</v>
      </c>
      <c r="AR352" t="s">
        <v>8484</v>
      </c>
      <c r="AS352" t="s">
        <v>8485</v>
      </c>
      <c r="AT352" t="s">
        <v>74</v>
      </c>
      <c r="AU352">
        <v>2020</v>
      </c>
      <c r="AV352">
        <v>13</v>
      </c>
      <c r="AW352" t="s">
        <v>74</v>
      </c>
      <c r="AX352" t="s">
        <v>74</v>
      </c>
      <c r="AY352" t="s">
        <v>74</v>
      </c>
      <c r="AZ352" t="s">
        <v>74</v>
      </c>
      <c r="BA352" t="s">
        <v>74</v>
      </c>
      <c r="BB352" t="s">
        <v>74</v>
      </c>
      <c r="BC352" t="s">
        <v>74</v>
      </c>
      <c r="BD352" t="s">
        <v>8486</v>
      </c>
      <c r="BE352" t="s">
        <v>8487</v>
      </c>
      <c r="BF352" t="str">
        <f>HYPERLINK("http://dx.doi.org/10.1017/S1754470X20000136","http://dx.doi.org/10.1017/S1754470X20000136")</f>
        <v>http://dx.doi.org/10.1017/S1754470X20000136</v>
      </c>
      <c r="BG352" t="s">
        <v>74</v>
      </c>
      <c r="BH352" t="s">
        <v>74</v>
      </c>
      <c r="BI352">
        <v>11</v>
      </c>
      <c r="BJ352" t="s">
        <v>8488</v>
      </c>
      <c r="BK352" t="s">
        <v>183</v>
      </c>
      <c r="BL352" t="s">
        <v>1665</v>
      </c>
      <c r="BM352" t="s">
        <v>8489</v>
      </c>
      <c r="BN352" t="s">
        <v>74</v>
      </c>
      <c r="BO352" t="s">
        <v>74</v>
      </c>
      <c r="BP352" t="s">
        <v>74</v>
      </c>
      <c r="BQ352" t="s">
        <v>74</v>
      </c>
      <c r="BR352" t="s">
        <v>106</v>
      </c>
      <c r="BS352" t="s">
        <v>8490</v>
      </c>
      <c r="BT352" t="str">
        <f>HYPERLINK("https%3A%2F%2Fwww.webofscience.com%2Fwos%2Fwoscc%2Ffull-record%2FWOS:000539041000001","View Full Record in Web of Science")</f>
        <v>View Full Record in Web of Science</v>
      </c>
    </row>
    <row r="353" spans="1:72" x14ac:dyDescent="0.25">
      <c r="A353" t="s">
        <v>72</v>
      </c>
      <c r="B353" t="s">
        <v>8491</v>
      </c>
      <c r="C353" t="s">
        <v>74</v>
      </c>
      <c r="D353" t="s">
        <v>74</v>
      </c>
      <c r="E353" t="s">
        <v>74</v>
      </c>
      <c r="F353" t="s">
        <v>8492</v>
      </c>
      <c r="G353" t="s">
        <v>74</v>
      </c>
      <c r="H353" t="s">
        <v>74</v>
      </c>
      <c r="I353" s="1" t="s">
        <v>8493</v>
      </c>
      <c r="J353" t="s">
        <v>7489</v>
      </c>
      <c r="K353" t="s">
        <v>74</v>
      </c>
      <c r="L353" t="s">
        <v>74</v>
      </c>
      <c r="M353" t="s">
        <v>78</v>
      </c>
      <c r="N353" t="s">
        <v>79</v>
      </c>
      <c r="O353" t="s">
        <v>74</v>
      </c>
      <c r="P353" t="s">
        <v>74</v>
      </c>
      <c r="Q353" t="s">
        <v>74</v>
      </c>
      <c r="R353" t="s">
        <v>74</v>
      </c>
      <c r="S353" t="s">
        <v>74</v>
      </c>
      <c r="T353" s="1" t="s">
        <v>8494</v>
      </c>
      <c r="U353" s="1" t="s">
        <v>8495</v>
      </c>
      <c r="V353" s="1" t="s">
        <v>8496</v>
      </c>
      <c r="W353" t="s">
        <v>8497</v>
      </c>
      <c r="X353" t="s">
        <v>8498</v>
      </c>
      <c r="Y353" t="s">
        <v>8499</v>
      </c>
      <c r="Z353" t="s">
        <v>8500</v>
      </c>
      <c r="AA353" t="s">
        <v>8501</v>
      </c>
      <c r="AB353" t="s">
        <v>8502</v>
      </c>
      <c r="AC353" t="s">
        <v>74</v>
      </c>
      <c r="AD353" t="s">
        <v>74</v>
      </c>
      <c r="AE353" t="s">
        <v>74</v>
      </c>
      <c r="AF353" t="s">
        <v>74</v>
      </c>
      <c r="AG353">
        <v>46</v>
      </c>
      <c r="AH353">
        <v>2</v>
      </c>
      <c r="AI353">
        <v>2</v>
      </c>
      <c r="AJ353">
        <v>3</v>
      </c>
      <c r="AK353">
        <v>16</v>
      </c>
      <c r="AL353" t="s">
        <v>7498</v>
      </c>
      <c r="AM353" t="s">
        <v>7499</v>
      </c>
      <c r="AN353" t="s">
        <v>7500</v>
      </c>
      <c r="AO353" t="s">
        <v>7501</v>
      </c>
      <c r="AP353" t="s">
        <v>7502</v>
      </c>
      <c r="AQ353" t="s">
        <v>74</v>
      </c>
      <c r="AR353" t="s">
        <v>7503</v>
      </c>
      <c r="AS353" t="s">
        <v>7504</v>
      </c>
      <c r="AT353" t="s">
        <v>74</v>
      </c>
      <c r="AU353">
        <v>2020</v>
      </c>
      <c r="AV353">
        <v>28</v>
      </c>
      <c r="AW353" t="s">
        <v>74</v>
      </c>
      <c r="AX353" t="s">
        <v>74</v>
      </c>
      <c r="AY353" t="s">
        <v>74</v>
      </c>
      <c r="AZ353" t="s">
        <v>74</v>
      </c>
      <c r="BA353" t="s">
        <v>74</v>
      </c>
      <c r="BB353" t="s">
        <v>74</v>
      </c>
      <c r="BC353" t="s">
        <v>74</v>
      </c>
      <c r="BD353">
        <v>2348</v>
      </c>
      <c r="BE353" t="s">
        <v>8503</v>
      </c>
      <c r="BF353" t="str">
        <f>HYPERLINK("http://dx.doi.org/10.25304/rlt.v28.2348","http://dx.doi.org/10.25304/rlt.v28.2348")</f>
        <v>http://dx.doi.org/10.25304/rlt.v28.2348</v>
      </c>
      <c r="BG353" t="s">
        <v>74</v>
      </c>
      <c r="BH353" t="s">
        <v>74</v>
      </c>
      <c r="BI353">
        <v>20</v>
      </c>
      <c r="BJ353" t="s">
        <v>1326</v>
      </c>
      <c r="BK353" t="s">
        <v>183</v>
      </c>
      <c r="BL353" t="s">
        <v>1326</v>
      </c>
      <c r="BM353" t="s">
        <v>8504</v>
      </c>
      <c r="BN353" t="s">
        <v>74</v>
      </c>
      <c r="BO353" t="s">
        <v>422</v>
      </c>
      <c r="BP353" t="s">
        <v>74</v>
      </c>
      <c r="BQ353" t="s">
        <v>74</v>
      </c>
      <c r="BR353" t="s">
        <v>106</v>
      </c>
      <c r="BS353" t="s">
        <v>8505</v>
      </c>
      <c r="BT353" t="str">
        <f>HYPERLINK("https%3A%2F%2Fwww.webofscience.com%2Fwos%2Fwoscc%2Ffull-record%2FWOS:000571148100001","View Full Record in Web of Science")</f>
        <v>View Full Record in Web of Science</v>
      </c>
    </row>
    <row r="354" spans="1:72" x14ac:dyDescent="0.25">
      <c r="A354" t="s">
        <v>72</v>
      </c>
      <c r="B354" t="s">
        <v>8553</v>
      </c>
      <c r="C354" t="s">
        <v>74</v>
      </c>
      <c r="D354" t="s">
        <v>74</v>
      </c>
      <c r="E354" t="s">
        <v>74</v>
      </c>
      <c r="F354" t="s">
        <v>8554</v>
      </c>
      <c r="G354" t="s">
        <v>74</v>
      </c>
      <c r="H354" t="s">
        <v>74</v>
      </c>
      <c r="I354" s="1" t="s">
        <v>8555</v>
      </c>
      <c r="J354" t="s">
        <v>8556</v>
      </c>
      <c r="K354" t="s">
        <v>74</v>
      </c>
      <c r="L354" t="s">
        <v>74</v>
      </c>
      <c r="M354" t="s">
        <v>929</v>
      </c>
      <c r="N354" t="s">
        <v>79</v>
      </c>
      <c r="O354" t="s">
        <v>74</v>
      </c>
      <c r="P354" t="s">
        <v>74</v>
      </c>
      <c r="Q354" t="s">
        <v>74</v>
      </c>
      <c r="R354" t="s">
        <v>74</v>
      </c>
      <c r="S354" t="s">
        <v>74</v>
      </c>
      <c r="T354" s="1" t="s">
        <v>8557</v>
      </c>
      <c r="U354" s="1" t="s">
        <v>74</v>
      </c>
      <c r="V354" s="1" t="s">
        <v>8558</v>
      </c>
      <c r="W354" t="s">
        <v>8559</v>
      </c>
      <c r="X354" t="s">
        <v>8560</v>
      </c>
      <c r="Y354" t="s">
        <v>8561</v>
      </c>
      <c r="Z354" t="s">
        <v>8562</v>
      </c>
      <c r="AA354" t="s">
        <v>8563</v>
      </c>
      <c r="AB354" t="s">
        <v>8564</v>
      </c>
      <c r="AC354" t="s">
        <v>74</v>
      </c>
      <c r="AD354" t="s">
        <v>74</v>
      </c>
      <c r="AE354" t="s">
        <v>74</v>
      </c>
      <c r="AF354" t="s">
        <v>74</v>
      </c>
      <c r="AG354">
        <v>57</v>
      </c>
      <c r="AH354">
        <v>2</v>
      </c>
      <c r="AI354">
        <v>2</v>
      </c>
      <c r="AJ354">
        <v>1</v>
      </c>
      <c r="AK354">
        <v>14</v>
      </c>
      <c r="AL354" t="s">
        <v>8565</v>
      </c>
      <c r="AM354" t="s">
        <v>8566</v>
      </c>
      <c r="AN354" t="s">
        <v>8567</v>
      </c>
      <c r="AO354" t="s">
        <v>8568</v>
      </c>
      <c r="AP354" t="s">
        <v>74</v>
      </c>
      <c r="AQ354" t="s">
        <v>74</v>
      </c>
      <c r="AR354" t="s">
        <v>8569</v>
      </c>
      <c r="AS354" t="s">
        <v>8570</v>
      </c>
      <c r="AT354" t="s">
        <v>74</v>
      </c>
      <c r="AU354">
        <v>2020</v>
      </c>
      <c r="AV354" t="s">
        <v>74</v>
      </c>
      <c r="AW354">
        <v>20</v>
      </c>
      <c r="AX354" t="s">
        <v>74</v>
      </c>
      <c r="AY354" t="s">
        <v>74</v>
      </c>
      <c r="AZ354" t="s">
        <v>74</v>
      </c>
      <c r="BA354" t="s">
        <v>74</v>
      </c>
      <c r="BB354">
        <v>71</v>
      </c>
      <c r="BC354">
        <v>90</v>
      </c>
      <c r="BD354" t="s">
        <v>74</v>
      </c>
      <c r="BE354" t="s">
        <v>8571</v>
      </c>
      <c r="BF354" t="str">
        <f>HYPERLINK("http://dx.doi.org/10.14201/fjc2020207190","http://dx.doi.org/10.14201/fjc2020207190")</f>
        <v>http://dx.doi.org/10.14201/fjc2020207190</v>
      </c>
      <c r="BG354" t="s">
        <v>74</v>
      </c>
      <c r="BH354" t="s">
        <v>74</v>
      </c>
      <c r="BI354">
        <v>20</v>
      </c>
      <c r="BJ354" t="s">
        <v>2218</v>
      </c>
      <c r="BK354" t="s">
        <v>183</v>
      </c>
      <c r="BL354" t="s">
        <v>2218</v>
      </c>
      <c r="BM354" t="s">
        <v>8572</v>
      </c>
      <c r="BN354" t="s">
        <v>74</v>
      </c>
      <c r="BO354" t="s">
        <v>74</v>
      </c>
      <c r="BP354" t="s">
        <v>74</v>
      </c>
      <c r="BQ354" t="s">
        <v>74</v>
      </c>
      <c r="BR354" t="s">
        <v>106</v>
      </c>
      <c r="BS354" t="s">
        <v>8573</v>
      </c>
      <c r="BT354" t="str">
        <f>HYPERLINK("https%3A%2F%2Fwww.webofscience.com%2Fwos%2Fwoscc%2Ffull-record%2FWOS:000537971600005","View Full Record in Web of Science")</f>
        <v>View Full Record in Web of Science</v>
      </c>
    </row>
    <row r="355" spans="1:72" x14ac:dyDescent="0.25">
      <c r="A355" t="s">
        <v>72</v>
      </c>
      <c r="B355" t="s">
        <v>8636</v>
      </c>
      <c r="C355" t="s">
        <v>74</v>
      </c>
      <c r="D355" t="s">
        <v>74</v>
      </c>
      <c r="E355" t="s">
        <v>74</v>
      </c>
      <c r="F355" t="s">
        <v>8637</v>
      </c>
      <c r="G355" t="s">
        <v>74</v>
      </c>
      <c r="H355" t="s">
        <v>74</v>
      </c>
      <c r="I355" s="1" t="s">
        <v>8638</v>
      </c>
      <c r="J355" t="s">
        <v>8639</v>
      </c>
      <c r="K355" t="s">
        <v>74</v>
      </c>
      <c r="L355" t="s">
        <v>74</v>
      </c>
      <c r="M355" t="s">
        <v>78</v>
      </c>
      <c r="N355" t="s">
        <v>79</v>
      </c>
      <c r="O355" t="s">
        <v>74</v>
      </c>
      <c r="P355" t="s">
        <v>74</v>
      </c>
      <c r="Q355" t="s">
        <v>74</v>
      </c>
      <c r="R355" t="s">
        <v>74</v>
      </c>
      <c r="S355" t="s">
        <v>74</v>
      </c>
      <c r="T355" s="1" t="s">
        <v>8640</v>
      </c>
      <c r="U355" s="1" t="s">
        <v>74</v>
      </c>
      <c r="V355" s="1" t="s">
        <v>8641</v>
      </c>
      <c r="W355" t="s">
        <v>8642</v>
      </c>
      <c r="X355" t="s">
        <v>74</v>
      </c>
      <c r="Y355" t="s">
        <v>8643</v>
      </c>
      <c r="Z355" t="s">
        <v>8644</v>
      </c>
      <c r="AA355" t="s">
        <v>74</v>
      </c>
      <c r="AB355" t="s">
        <v>74</v>
      </c>
      <c r="AC355" t="s">
        <v>74</v>
      </c>
      <c r="AD355" t="s">
        <v>74</v>
      </c>
      <c r="AE355" t="s">
        <v>74</v>
      </c>
      <c r="AF355" t="s">
        <v>74</v>
      </c>
      <c r="AG355">
        <v>75</v>
      </c>
      <c r="AH355">
        <v>2</v>
      </c>
      <c r="AI355">
        <v>2</v>
      </c>
      <c r="AJ355">
        <v>0</v>
      </c>
      <c r="AK355">
        <v>7</v>
      </c>
      <c r="AL355" t="s">
        <v>202</v>
      </c>
      <c r="AM355" t="s">
        <v>203</v>
      </c>
      <c r="AN355" t="s">
        <v>204</v>
      </c>
      <c r="AO355" t="s">
        <v>74</v>
      </c>
      <c r="AP355" t="s">
        <v>8645</v>
      </c>
      <c r="AQ355" t="s">
        <v>74</v>
      </c>
      <c r="AR355" t="s">
        <v>8646</v>
      </c>
      <c r="AS355" t="s">
        <v>8647</v>
      </c>
      <c r="AT355" t="s">
        <v>476</v>
      </c>
      <c r="AU355">
        <v>2019</v>
      </c>
      <c r="AV355">
        <v>3</v>
      </c>
      <c r="AW355">
        <v>4</v>
      </c>
      <c r="AX355" t="s">
        <v>74</v>
      </c>
      <c r="AY355" t="s">
        <v>74</v>
      </c>
      <c r="AZ355" t="s">
        <v>74</v>
      </c>
      <c r="BA355" t="s">
        <v>74</v>
      </c>
      <c r="BB355" t="s">
        <v>74</v>
      </c>
      <c r="BC355" t="s">
        <v>74</v>
      </c>
      <c r="BD355">
        <v>102</v>
      </c>
      <c r="BE355" t="s">
        <v>8648</v>
      </c>
      <c r="BF355" t="str">
        <f>HYPERLINK("http://dx.doi.org/10.3390/urbansci3040102","http://dx.doi.org/10.3390/urbansci3040102")</f>
        <v>http://dx.doi.org/10.3390/urbansci3040102</v>
      </c>
      <c r="BG355" t="s">
        <v>74</v>
      </c>
      <c r="BH355" t="s">
        <v>74</v>
      </c>
      <c r="BI355">
        <v>16</v>
      </c>
      <c r="BJ355" t="s">
        <v>8649</v>
      </c>
      <c r="BK355" t="s">
        <v>183</v>
      </c>
      <c r="BL355" t="s">
        <v>8650</v>
      </c>
      <c r="BM355" t="s">
        <v>8651</v>
      </c>
      <c r="BN355" t="s">
        <v>74</v>
      </c>
      <c r="BO355" t="s">
        <v>186</v>
      </c>
      <c r="BP355" t="s">
        <v>74</v>
      </c>
      <c r="BQ355" t="s">
        <v>74</v>
      </c>
      <c r="BR355" t="s">
        <v>106</v>
      </c>
      <c r="BS355" t="s">
        <v>8652</v>
      </c>
      <c r="BT355" t="str">
        <f>HYPERLINK("https%3A%2F%2Fwww.webofscience.com%2Fwos%2Fwoscc%2Ffull-record%2FWOS:000621639500002","View Full Record in Web of Science")</f>
        <v>View Full Record in Web of Science</v>
      </c>
    </row>
    <row r="356" spans="1:72" x14ac:dyDescent="0.25">
      <c r="A356" t="s">
        <v>72</v>
      </c>
      <c r="B356" t="s">
        <v>8750</v>
      </c>
      <c r="C356" t="s">
        <v>74</v>
      </c>
      <c r="D356" t="s">
        <v>74</v>
      </c>
      <c r="E356" t="s">
        <v>74</v>
      </c>
      <c r="F356" t="s">
        <v>8751</v>
      </c>
      <c r="G356" t="s">
        <v>74</v>
      </c>
      <c r="H356" t="s">
        <v>74</v>
      </c>
      <c r="I356" s="1" t="s">
        <v>8752</v>
      </c>
      <c r="J356" t="s">
        <v>8753</v>
      </c>
      <c r="K356" t="s">
        <v>74</v>
      </c>
      <c r="L356" t="s">
        <v>74</v>
      </c>
      <c r="M356" t="s">
        <v>78</v>
      </c>
      <c r="N356" t="s">
        <v>79</v>
      </c>
      <c r="O356" t="s">
        <v>74</v>
      </c>
      <c r="P356" t="s">
        <v>74</v>
      </c>
      <c r="Q356" t="s">
        <v>74</v>
      </c>
      <c r="R356" t="s">
        <v>74</v>
      </c>
      <c r="S356" t="s">
        <v>74</v>
      </c>
      <c r="T356" s="1" t="s">
        <v>8754</v>
      </c>
      <c r="U356" s="1" t="s">
        <v>74</v>
      </c>
      <c r="V356" s="1" t="s">
        <v>8755</v>
      </c>
      <c r="W356" t="s">
        <v>8756</v>
      </c>
      <c r="X356" t="s">
        <v>8757</v>
      </c>
      <c r="Y356" t="s">
        <v>8758</v>
      </c>
      <c r="Z356" t="s">
        <v>8759</v>
      </c>
      <c r="AA356" t="s">
        <v>74</v>
      </c>
      <c r="AB356" t="s">
        <v>74</v>
      </c>
      <c r="AC356" t="s">
        <v>8760</v>
      </c>
      <c r="AD356" t="s">
        <v>8760</v>
      </c>
      <c r="AE356" t="s">
        <v>8761</v>
      </c>
      <c r="AF356" t="s">
        <v>74</v>
      </c>
      <c r="AG356">
        <v>39</v>
      </c>
      <c r="AH356">
        <v>2</v>
      </c>
      <c r="AI356">
        <v>2</v>
      </c>
      <c r="AJ356">
        <v>1</v>
      </c>
      <c r="AK356">
        <v>3</v>
      </c>
      <c r="AL356" t="s">
        <v>8762</v>
      </c>
      <c r="AM356" t="s">
        <v>1424</v>
      </c>
      <c r="AN356" t="s">
        <v>8763</v>
      </c>
      <c r="AO356" t="s">
        <v>8764</v>
      </c>
      <c r="AP356" t="s">
        <v>74</v>
      </c>
      <c r="AQ356" t="s">
        <v>74</v>
      </c>
      <c r="AR356" t="s">
        <v>8765</v>
      </c>
      <c r="AS356" t="s">
        <v>8766</v>
      </c>
      <c r="AT356" t="s">
        <v>8767</v>
      </c>
      <c r="AU356">
        <v>2019</v>
      </c>
      <c r="AV356">
        <v>5</v>
      </c>
      <c r="AW356">
        <v>1</v>
      </c>
      <c r="AX356" t="s">
        <v>74</v>
      </c>
      <c r="AY356" t="s">
        <v>74</v>
      </c>
      <c r="AZ356" t="s">
        <v>74</v>
      </c>
      <c r="BA356" t="s">
        <v>74</v>
      </c>
      <c r="BB356">
        <v>416</v>
      </c>
      <c r="BC356">
        <v>433</v>
      </c>
      <c r="BD356" t="s">
        <v>74</v>
      </c>
      <c r="BE356" t="s">
        <v>8768</v>
      </c>
      <c r="BF356" t="str">
        <f>HYPERLINK("http://dx.doi.org/10.1515/opar-2019-0026","http://dx.doi.org/10.1515/opar-2019-0026")</f>
        <v>http://dx.doi.org/10.1515/opar-2019-0026</v>
      </c>
      <c r="BG356" t="s">
        <v>74</v>
      </c>
      <c r="BH356" t="s">
        <v>74</v>
      </c>
      <c r="BI356">
        <v>18</v>
      </c>
      <c r="BJ356" t="s">
        <v>8769</v>
      </c>
      <c r="BK356" t="s">
        <v>3239</v>
      </c>
      <c r="BL356" t="s">
        <v>8769</v>
      </c>
      <c r="BM356" t="s">
        <v>8770</v>
      </c>
      <c r="BN356" t="s">
        <v>74</v>
      </c>
      <c r="BO356" t="s">
        <v>186</v>
      </c>
      <c r="BP356" t="s">
        <v>74</v>
      </c>
      <c r="BQ356" t="s">
        <v>74</v>
      </c>
      <c r="BR356" t="s">
        <v>106</v>
      </c>
      <c r="BS356" t="s">
        <v>8771</v>
      </c>
      <c r="BT356" t="str">
        <f>HYPERLINK("https%3A%2F%2Fwww.webofscience.com%2Fwos%2Fwoscc%2Ffull-record%2FWOS:000505237400001","View Full Record in Web of Science")</f>
        <v>View Full Record in Web of Science</v>
      </c>
    </row>
    <row r="357" spans="1:72" x14ac:dyDescent="0.25">
      <c r="A357" t="s">
        <v>72</v>
      </c>
      <c r="B357" t="s">
        <v>8960</v>
      </c>
      <c r="C357" t="s">
        <v>74</v>
      </c>
      <c r="D357" t="s">
        <v>74</v>
      </c>
      <c r="E357" t="s">
        <v>74</v>
      </c>
      <c r="F357" t="s">
        <v>8961</v>
      </c>
      <c r="G357" t="s">
        <v>74</v>
      </c>
      <c r="H357" t="s">
        <v>74</v>
      </c>
      <c r="I357" s="1" t="s">
        <v>8962</v>
      </c>
      <c r="J357" t="s">
        <v>3422</v>
      </c>
      <c r="K357" t="s">
        <v>74</v>
      </c>
      <c r="L357" t="s">
        <v>74</v>
      </c>
      <c r="M357" t="s">
        <v>78</v>
      </c>
      <c r="N357" t="s">
        <v>79</v>
      </c>
      <c r="O357" t="s">
        <v>74</v>
      </c>
      <c r="P357" t="s">
        <v>74</v>
      </c>
      <c r="Q357" t="s">
        <v>74</v>
      </c>
      <c r="R357" t="s">
        <v>74</v>
      </c>
      <c r="S357" t="s">
        <v>74</v>
      </c>
      <c r="T357" s="1" t="s">
        <v>8963</v>
      </c>
      <c r="U357" s="1" t="s">
        <v>74</v>
      </c>
      <c r="V357" s="1" t="s">
        <v>8964</v>
      </c>
      <c r="W357" t="s">
        <v>8965</v>
      </c>
      <c r="X357" t="s">
        <v>8966</v>
      </c>
      <c r="Y357" t="s">
        <v>8967</v>
      </c>
      <c r="Z357" t="s">
        <v>8968</v>
      </c>
      <c r="AA357" t="s">
        <v>74</v>
      </c>
      <c r="AB357" t="s">
        <v>8969</v>
      </c>
      <c r="AC357" t="s">
        <v>8970</v>
      </c>
      <c r="AD357" t="s">
        <v>8971</v>
      </c>
      <c r="AE357" t="s">
        <v>8972</v>
      </c>
      <c r="AF357" t="s">
        <v>74</v>
      </c>
      <c r="AG357">
        <v>53</v>
      </c>
      <c r="AH357">
        <v>2</v>
      </c>
      <c r="AI357">
        <v>2</v>
      </c>
      <c r="AJ357">
        <v>0</v>
      </c>
      <c r="AK357">
        <v>0</v>
      </c>
      <c r="AL357" t="s">
        <v>3433</v>
      </c>
      <c r="AM357" t="s">
        <v>878</v>
      </c>
      <c r="AN357" t="s">
        <v>3434</v>
      </c>
      <c r="AO357" t="s">
        <v>74</v>
      </c>
      <c r="AP357" t="s">
        <v>3435</v>
      </c>
      <c r="AQ357" t="s">
        <v>74</v>
      </c>
      <c r="AR357" t="s">
        <v>3436</v>
      </c>
      <c r="AS357" t="s">
        <v>3437</v>
      </c>
      <c r="AT357" t="s">
        <v>626</v>
      </c>
      <c r="AU357">
        <v>2019</v>
      </c>
      <c r="AV357">
        <v>3</v>
      </c>
      <c r="AW357">
        <v>4</v>
      </c>
      <c r="AX357" t="s">
        <v>74</v>
      </c>
      <c r="AY357" t="s">
        <v>74</v>
      </c>
      <c r="AZ357" t="s">
        <v>74</v>
      </c>
      <c r="BA357" t="s">
        <v>74</v>
      </c>
      <c r="BB357">
        <v>190</v>
      </c>
      <c r="BC357">
        <v>198</v>
      </c>
      <c r="BD357" t="s">
        <v>8973</v>
      </c>
      <c r="BE357" t="s">
        <v>8974</v>
      </c>
      <c r="BF357" t="str">
        <f>HYPERLINK("http://dx.doi.org/10.1017/cts.2019.404","http://dx.doi.org/10.1017/cts.2019.404")</f>
        <v>http://dx.doi.org/10.1017/cts.2019.404</v>
      </c>
      <c r="BG357" t="s">
        <v>74</v>
      </c>
      <c r="BH357" t="s">
        <v>74</v>
      </c>
      <c r="BI357">
        <v>9</v>
      </c>
      <c r="BJ357" t="s">
        <v>182</v>
      </c>
      <c r="BK357" t="s">
        <v>183</v>
      </c>
      <c r="BL357" t="s">
        <v>184</v>
      </c>
      <c r="BM357" t="s">
        <v>8975</v>
      </c>
      <c r="BN357">
        <v>31660243</v>
      </c>
      <c r="BO357" t="s">
        <v>614</v>
      </c>
      <c r="BP357" t="s">
        <v>74</v>
      </c>
      <c r="BQ357" t="s">
        <v>74</v>
      </c>
      <c r="BR357" t="s">
        <v>106</v>
      </c>
      <c r="BS357" t="s">
        <v>8976</v>
      </c>
      <c r="BT357" t="str">
        <f>HYPERLINK("https%3A%2F%2Fwww.webofscience.com%2Fwos%2Fwoscc%2Ffull-record%2FWOS:000688300900007","View Full Record in Web of Science")</f>
        <v>View Full Record in Web of Science</v>
      </c>
    </row>
    <row r="358" spans="1:72" x14ac:dyDescent="0.25">
      <c r="A358" t="s">
        <v>72</v>
      </c>
      <c r="B358" t="s">
        <v>9253</v>
      </c>
      <c r="C358" t="s">
        <v>74</v>
      </c>
      <c r="D358" t="s">
        <v>74</v>
      </c>
      <c r="E358" t="s">
        <v>74</v>
      </c>
      <c r="F358" t="s">
        <v>9254</v>
      </c>
      <c r="G358" t="s">
        <v>74</v>
      </c>
      <c r="H358" t="s">
        <v>74</v>
      </c>
      <c r="I358" s="1" t="s">
        <v>9255</v>
      </c>
      <c r="J358" t="s">
        <v>9256</v>
      </c>
      <c r="K358" t="s">
        <v>74</v>
      </c>
      <c r="L358" t="s">
        <v>74</v>
      </c>
      <c r="M358" t="s">
        <v>78</v>
      </c>
      <c r="N358" t="s">
        <v>79</v>
      </c>
      <c r="O358" t="s">
        <v>74</v>
      </c>
      <c r="P358" t="s">
        <v>74</v>
      </c>
      <c r="Q358" t="s">
        <v>74</v>
      </c>
      <c r="R358" t="s">
        <v>74</v>
      </c>
      <c r="S358" t="s">
        <v>74</v>
      </c>
      <c r="T358" s="1" t="s">
        <v>9257</v>
      </c>
      <c r="U358" s="1" t="s">
        <v>74</v>
      </c>
      <c r="V358" s="1" t="s">
        <v>9258</v>
      </c>
      <c r="W358" t="s">
        <v>9259</v>
      </c>
      <c r="X358" t="s">
        <v>9260</v>
      </c>
      <c r="Y358" t="s">
        <v>9261</v>
      </c>
      <c r="Z358" t="s">
        <v>9262</v>
      </c>
      <c r="AA358" t="s">
        <v>74</v>
      </c>
      <c r="AB358" t="s">
        <v>74</v>
      </c>
      <c r="AC358" t="s">
        <v>74</v>
      </c>
      <c r="AD358" t="s">
        <v>74</v>
      </c>
      <c r="AE358" t="s">
        <v>74</v>
      </c>
      <c r="AF358" t="s">
        <v>74</v>
      </c>
      <c r="AG358">
        <v>5</v>
      </c>
      <c r="AH358">
        <v>2</v>
      </c>
      <c r="AI358">
        <v>2</v>
      </c>
      <c r="AJ358">
        <v>0</v>
      </c>
      <c r="AK358">
        <v>1</v>
      </c>
      <c r="AL358" t="s">
        <v>9263</v>
      </c>
      <c r="AM358" t="s">
        <v>175</v>
      </c>
      <c r="AN358" t="s">
        <v>9264</v>
      </c>
      <c r="AO358" t="s">
        <v>9265</v>
      </c>
      <c r="AP358" t="s">
        <v>74</v>
      </c>
      <c r="AQ358" t="s">
        <v>74</v>
      </c>
      <c r="AR358" t="s">
        <v>9266</v>
      </c>
      <c r="AS358" t="s">
        <v>9267</v>
      </c>
      <c r="AT358" t="s">
        <v>9268</v>
      </c>
      <c r="AU358">
        <v>2019</v>
      </c>
      <c r="AV358">
        <v>32</v>
      </c>
      <c r="AW358" t="s">
        <v>74</v>
      </c>
      <c r="AX358" t="s">
        <v>74</v>
      </c>
      <c r="AY358" t="s">
        <v>74</v>
      </c>
      <c r="AZ358" t="s">
        <v>74</v>
      </c>
      <c r="BA358" t="s">
        <v>74</v>
      </c>
      <c r="BB358" t="s">
        <v>74</v>
      </c>
      <c r="BC358" t="s">
        <v>74</v>
      </c>
      <c r="BD358" t="s">
        <v>74</v>
      </c>
      <c r="BE358" t="s">
        <v>74</v>
      </c>
      <c r="BF358" t="s">
        <v>74</v>
      </c>
      <c r="BG358" t="s">
        <v>74</v>
      </c>
      <c r="BH358" t="s">
        <v>74</v>
      </c>
      <c r="BI358">
        <v>12</v>
      </c>
      <c r="BJ358" t="s">
        <v>3050</v>
      </c>
      <c r="BK358" t="s">
        <v>183</v>
      </c>
      <c r="BL358" t="s">
        <v>3050</v>
      </c>
      <c r="BM358" t="s">
        <v>9269</v>
      </c>
      <c r="BN358" t="s">
        <v>74</v>
      </c>
      <c r="BO358" t="s">
        <v>74</v>
      </c>
      <c r="BP358" t="s">
        <v>74</v>
      </c>
      <c r="BQ358" t="s">
        <v>74</v>
      </c>
      <c r="BR358" t="s">
        <v>106</v>
      </c>
      <c r="BS358" t="s">
        <v>9270</v>
      </c>
      <c r="BT358" t="str">
        <f>HYPERLINK("https%3A%2F%2Fwww.webofscience.com%2Fwos%2Fwoscc%2Ffull-record%2FWOS:000468084700001","View Full Record in Web of Science")</f>
        <v>View Full Record in Web of Science</v>
      </c>
    </row>
    <row r="359" spans="1:72" x14ac:dyDescent="0.25">
      <c r="A359" t="s">
        <v>7120</v>
      </c>
      <c r="B359" t="s">
        <v>9402</v>
      </c>
      <c r="C359" t="s">
        <v>74</v>
      </c>
      <c r="D359" t="s">
        <v>9402</v>
      </c>
      <c r="E359" t="s">
        <v>74</v>
      </c>
      <c r="F359" t="s">
        <v>9403</v>
      </c>
      <c r="G359" t="s">
        <v>74</v>
      </c>
      <c r="H359" t="s">
        <v>74</v>
      </c>
      <c r="I359" s="1" t="s">
        <v>9404</v>
      </c>
      <c r="J359" t="s">
        <v>9405</v>
      </c>
      <c r="K359" t="s">
        <v>9406</v>
      </c>
      <c r="L359" t="s">
        <v>74</v>
      </c>
      <c r="M359" t="s">
        <v>78</v>
      </c>
      <c r="N359" t="s">
        <v>4932</v>
      </c>
      <c r="O359" t="s">
        <v>74</v>
      </c>
      <c r="P359" t="s">
        <v>74</v>
      </c>
      <c r="Q359" t="s">
        <v>74</v>
      </c>
      <c r="R359" t="s">
        <v>74</v>
      </c>
      <c r="S359" t="s">
        <v>74</v>
      </c>
      <c r="T359" s="1" t="s">
        <v>74</v>
      </c>
      <c r="U359" s="1" t="s">
        <v>74</v>
      </c>
      <c r="V359" s="1" t="s">
        <v>9407</v>
      </c>
      <c r="W359" t="s">
        <v>9408</v>
      </c>
      <c r="X359" t="s">
        <v>9409</v>
      </c>
      <c r="Y359" t="s">
        <v>9410</v>
      </c>
      <c r="Z359" t="s">
        <v>9411</v>
      </c>
      <c r="AA359" t="s">
        <v>9412</v>
      </c>
      <c r="AB359" t="s">
        <v>9413</v>
      </c>
      <c r="AC359" t="s">
        <v>74</v>
      </c>
      <c r="AD359" t="s">
        <v>74</v>
      </c>
      <c r="AE359" t="s">
        <v>74</v>
      </c>
      <c r="AF359" t="s">
        <v>74</v>
      </c>
      <c r="AG359">
        <v>30</v>
      </c>
      <c r="AH359">
        <v>2</v>
      </c>
      <c r="AI359">
        <v>2</v>
      </c>
      <c r="AJ359">
        <v>2</v>
      </c>
      <c r="AK359">
        <v>18</v>
      </c>
      <c r="AL359" t="s">
        <v>9414</v>
      </c>
      <c r="AM359" t="s">
        <v>9415</v>
      </c>
      <c r="AN359" t="s">
        <v>9416</v>
      </c>
      <c r="AO359" t="s">
        <v>9417</v>
      </c>
      <c r="AP359" t="s">
        <v>74</v>
      </c>
      <c r="AQ359" t="s">
        <v>9418</v>
      </c>
      <c r="AR359" t="s">
        <v>9419</v>
      </c>
      <c r="AS359" t="s">
        <v>74</v>
      </c>
      <c r="AT359" t="s">
        <v>74</v>
      </c>
      <c r="AU359">
        <v>2019</v>
      </c>
      <c r="AV359" t="s">
        <v>74</v>
      </c>
      <c r="AW359" t="s">
        <v>74</v>
      </c>
      <c r="AX359" t="s">
        <v>74</v>
      </c>
      <c r="AY359" t="s">
        <v>74</v>
      </c>
      <c r="AZ359" t="s">
        <v>74</v>
      </c>
      <c r="BA359" t="s">
        <v>74</v>
      </c>
      <c r="BB359">
        <v>457</v>
      </c>
      <c r="BC359">
        <v>480</v>
      </c>
      <c r="BD359" t="s">
        <v>74</v>
      </c>
      <c r="BE359" t="s">
        <v>9420</v>
      </c>
      <c r="BF359" t="str">
        <f>HYPERLINK("http://dx.doi.org/10.1007/978-3-319-97457-6_23","http://dx.doi.org/10.1007/978-3-319-97457-6_23")</f>
        <v>http://dx.doi.org/10.1007/978-3-319-97457-6_23</v>
      </c>
      <c r="BG359" t="s">
        <v>9421</v>
      </c>
      <c r="BH359" t="s">
        <v>74</v>
      </c>
      <c r="BI359">
        <v>24</v>
      </c>
      <c r="BJ359" t="s">
        <v>9422</v>
      </c>
      <c r="BK359" t="s">
        <v>9423</v>
      </c>
      <c r="BL359" t="s">
        <v>9424</v>
      </c>
      <c r="BM359" t="s">
        <v>9425</v>
      </c>
      <c r="BN359" t="s">
        <v>74</v>
      </c>
      <c r="BO359" t="s">
        <v>74</v>
      </c>
      <c r="BP359" t="s">
        <v>74</v>
      </c>
      <c r="BQ359" t="s">
        <v>74</v>
      </c>
      <c r="BR359" t="s">
        <v>106</v>
      </c>
      <c r="BS359" t="s">
        <v>9426</v>
      </c>
      <c r="BT359" t="str">
        <f>HYPERLINK("https%3A%2F%2Fwww.webofscience.com%2Fwos%2Fwoscc%2Ffull-record%2FWOS:000486078600024","View Full Record in Web of Science")</f>
        <v>View Full Record in Web of Science</v>
      </c>
    </row>
    <row r="360" spans="1:72" x14ac:dyDescent="0.25">
      <c r="A360" t="s">
        <v>72</v>
      </c>
      <c r="B360" t="s">
        <v>9478</v>
      </c>
      <c r="C360" t="s">
        <v>74</v>
      </c>
      <c r="D360" t="s">
        <v>74</v>
      </c>
      <c r="E360" t="s">
        <v>74</v>
      </c>
      <c r="F360" t="s">
        <v>9479</v>
      </c>
      <c r="G360" t="s">
        <v>74</v>
      </c>
      <c r="H360" t="s">
        <v>74</v>
      </c>
      <c r="I360" s="1" t="s">
        <v>9480</v>
      </c>
      <c r="J360" t="s">
        <v>9481</v>
      </c>
      <c r="K360" t="s">
        <v>74</v>
      </c>
      <c r="L360" t="s">
        <v>74</v>
      </c>
      <c r="M360" t="s">
        <v>929</v>
      </c>
      <c r="N360" t="s">
        <v>79</v>
      </c>
      <c r="O360" t="s">
        <v>74</v>
      </c>
      <c r="P360" t="s">
        <v>74</v>
      </c>
      <c r="Q360" t="s">
        <v>74</v>
      </c>
      <c r="R360" t="s">
        <v>74</v>
      </c>
      <c r="S360" t="s">
        <v>74</v>
      </c>
      <c r="T360" s="1" t="s">
        <v>9482</v>
      </c>
      <c r="U360" s="1" t="s">
        <v>9483</v>
      </c>
      <c r="V360" s="1" t="s">
        <v>9484</v>
      </c>
      <c r="W360" t="s">
        <v>9485</v>
      </c>
      <c r="X360" t="s">
        <v>9486</v>
      </c>
      <c r="Y360" t="s">
        <v>9487</v>
      </c>
      <c r="Z360" t="s">
        <v>9488</v>
      </c>
      <c r="AA360" t="s">
        <v>9489</v>
      </c>
      <c r="AB360" t="s">
        <v>9490</v>
      </c>
      <c r="AC360" t="s">
        <v>74</v>
      </c>
      <c r="AD360" t="s">
        <v>74</v>
      </c>
      <c r="AE360" t="s">
        <v>74</v>
      </c>
      <c r="AF360" t="s">
        <v>74</v>
      </c>
      <c r="AG360">
        <v>37</v>
      </c>
      <c r="AH360">
        <v>2</v>
      </c>
      <c r="AI360">
        <v>3</v>
      </c>
      <c r="AJ360">
        <v>1</v>
      </c>
      <c r="AK360">
        <v>15</v>
      </c>
      <c r="AL360" t="s">
        <v>9491</v>
      </c>
      <c r="AM360" t="s">
        <v>9492</v>
      </c>
      <c r="AN360" t="s">
        <v>9493</v>
      </c>
      <c r="AO360" t="s">
        <v>9494</v>
      </c>
      <c r="AP360" t="s">
        <v>9495</v>
      </c>
      <c r="AQ360" t="s">
        <v>74</v>
      </c>
      <c r="AR360" t="s">
        <v>9496</v>
      </c>
      <c r="AS360" t="s">
        <v>9497</v>
      </c>
      <c r="AT360" t="s">
        <v>74</v>
      </c>
      <c r="AU360">
        <v>2019</v>
      </c>
      <c r="AV360">
        <v>18</v>
      </c>
      <c r="AW360">
        <v>2</v>
      </c>
      <c r="AX360" t="s">
        <v>74</v>
      </c>
      <c r="AY360" t="s">
        <v>74</v>
      </c>
      <c r="AZ360" t="s">
        <v>74</v>
      </c>
      <c r="BA360" t="s">
        <v>74</v>
      </c>
      <c r="BB360">
        <v>31</v>
      </c>
      <c r="BC360">
        <v>43</v>
      </c>
      <c r="BD360" t="s">
        <v>74</v>
      </c>
      <c r="BE360" t="s">
        <v>9498</v>
      </c>
      <c r="BF360" t="str">
        <f>HYPERLINK("http://dx.doi.org/10.18239/ocnos_2019.18.2.1988","http://dx.doi.org/10.18239/ocnos_2019.18.2.1988")</f>
        <v>http://dx.doi.org/10.18239/ocnos_2019.18.2.1988</v>
      </c>
      <c r="BG360" t="s">
        <v>74</v>
      </c>
      <c r="BH360" t="s">
        <v>74</v>
      </c>
      <c r="BI360">
        <v>13</v>
      </c>
      <c r="BJ360" t="s">
        <v>1326</v>
      </c>
      <c r="BK360" t="s">
        <v>183</v>
      </c>
      <c r="BL360" t="s">
        <v>1326</v>
      </c>
      <c r="BM360" t="s">
        <v>9499</v>
      </c>
      <c r="BN360" t="s">
        <v>74</v>
      </c>
      <c r="BO360" t="s">
        <v>9500</v>
      </c>
      <c r="BP360" t="s">
        <v>74</v>
      </c>
      <c r="BQ360" t="s">
        <v>74</v>
      </c>
      <c r="BR360" t="s">
        <v>106</v>
      </c>
      <c r="BS360" t="s">
        <v>9501</v>
      </c>
      <c r="BT360" t="str">
        <f>HYPERLINK("https%3A%2F%2Fwww.webofscience.com%2Fwos%2Fwoscc%2Ffull-record%2FWOS:000477812800003","View Full Record in Web of Science")</f>
        <v>View Full Record in Web of Science</v>
      </c>
    </row>
    <row r="361" spans="1:72" x14ac:dyDescent="0.25">
      <c r="A361" t="s">
        <v>72</v>
      </c>
      <c r="B361" t="s">
        <v>9516</v>
      </c>
      <c r="C361" t="s">
        <v>74</v>
      </c>
      <c r="D361" t="s">
        <v>74</v>
      </c>
      <c r="E361" t="s">
        <v>74</v>
      </c>
      <c r="F361" t="s">
        <v>9517</v>
      </c>
      <c r="G361" t="s">
        <v>74</v>
      </c>
      <c r="H361" t="s">
        <v>74</v>
      </c>
      <c r="I361" s="1" t="s">
        <v>9518</v>
      </c>
      <c r="J361" t="s">
        <v>8407</v>
      </c>
      <c r="K361" t="s">
        <v>74</v>
      </c>
      <c r="L361" t="s">
        <v>74</v>
      </c>
      <c r="M361" t="s">
        <v>78</v>
      </c>
      <c r="N361" t="s">
        <v>79</v>
      </c>
      <c r="O361" t="s">
        <v>74</v>
      </c>
      <c r="P361" t="s">
        <v>74</v>
      </c>
      <c r="Q361" t="s">
        <v>74</v>
      </c>
      <c r="R361" t="s">
        <v>74</v>
      </c>
      <c r="S361" t="s">
        <v>74</v>
      </c>
      <c r="T361" s="1" t="s">
        <v>9519</v>
      </c>
      <c r="U361" s="1" t="s">
        <v>74</v>
      </c>
      <c r="V361" s="1" t="s">
        <v>9520</v>
      </c>
      <c r="W361" t="s">
        <v>9521</v>
      </c>
      <c r="X361" t="s">
        <v>9522</v>
      </c>
      <c r="Y361" t="s">
        <v>9523</v>
      </c>
      <c r="Z361" t="s">
        <v>9524</v>
      </c>
      <c r="AA361" t="s">
        <v>74</v>
      </c>
      <c r="AB361" t="s">
        <v>74</v>
      </c>
      <c r="AC361" t="s">
        <v>74</v>
      </c>
      <c r="AD361" t="s">
        <v>74</v>
      </c>
      <c r="AE361" t="s">
        <v>74</v>
      </c>
      <c r="AF361" t="s">
        <v>74</v>
      </c>
      <c r="AG361">
        <v>25</v>
      </c>
      <c r="AH361">
        <v>2</v>
      </c>
      <c r="AI361">
        <v>2</v>
      </c>
      <c r="AJ361">
        <v>1</v>
      </c>
      <c r="AK361">
        <v>2</v>
      </c>
      <c r="AL361" t="s">
        <v>8417</v>
      </c>
      <c r="AM361" t="s">
        <v>8418</v>
      </c>
      <c r="AN361" t="s">
        <v>8419</v>
      </c>
      <c r="AO361" t="s">
        <v>8420</v>
      </c>
      <c r="AP361" t="s">
        <v>8421</v>
      </c>
      <c r="AQ361" t="s">
        <v>74</v>
      </c>
      <c r="AR361" t="s">
        <v>8422</v>
      </c>
      <c r="AS361" t="s">
        <v>8423</v>
      </c>
      <c r="AT361" t="s">
        <v>74</v>
      </c>
      <c r="AU361">
        <v>2019</v>
      </c>
      <c r="AV361">
        <v>44</v>
      </c>
      <c r="AW361">
        <v>2</v>
      </c>
      <c r="AX361" t="s">
        <v>74</v>
      </c>
      <c r="AY361" t="s">
        <v>74</v>
      </c>
      <c r="AZ361" t="s">
        <v>74</v>
      </c>
      <c r="BA361" t="s">
        <v>74</v>
      </c>
      <c r="BB361">
        <v>35</v>
      </c>
      <c r="BC361">
        <v>41</v>
      </c>
      <c r="BD361" t="s">
        <v>74</v>
      </c>
      <c r="BE361" t="s">
        <v>9525</v>
      </c>
      <c r="BF361" t="str">
        <f>HYPERLINK("http://dx.doi.org/10.22230/cjc.2019v44n2a3503","http://dx.doi.org/10.22230/cjc.2019v44n2a3503")</f>
        <v>http://dx.doi.org/10.22230/cjc.2019v44n2a3503</v>
      </c>
      <c r="BG361" t="s">
        <v>74</v>
      </c>
      <c r="BH361" t="s">
        <v>74</v>
      </c>
      <c r="BI361">
        <v>7</v>
      </c>
      <c r="BJ361" t="s">
        <v>2218</v>
      </c>
      <c r="BK361" t="s">
        <v>183</v>
      </c>
      <c r="BL361" t="s">
        <v>2218</v>
      </c>
      <c r="BM361" t="s">
        <v>9526</v>
      </c>
      <c r="BN361" t="s">
        <v>74</v>
      </c>
      <c r="BO361" t="s">
        <v>105</v>
      </c>
      <c r="BP361" t="s">
        <v>74</v>
      </c>
      <c r="BQ361" t="s">
        <v>74</v>
      </c>
      <c r="BR361" t="s">
        <v>106</v>
      </c>
      <c r="BS361" t="s">
        <v>9527</v>
      </c>
      <c r="BT361" t="str">
        <f>HYPERLINK("https%3A%2F%2Fwww.webofscience.com%2Fwos%2Fwoscc%2Ffull-record%2FWOS:000473144200013","View Full Record in Web of Science")</f>
        <v>View Full Record in Web of Science</v>
      </c>
    </row>
    <row r="362" spans="1:72" x14ac:dyDescent="0.25">
      <c r="A362" t="s">
        <v>72</v>
      </c>
      <c r="B362" t="s">
        <v>9723</v>
      </c>
      <c r="C362" t="s">
        <v>74</v>
      </c>
      <c r="D362" t="s">
        <v>74</v>
      </c>
      <c r="E362" t="s">
        <v>74</v>
      </c>
      <c r="F362" t="s">
        <v>9724</v>
      </c>
      <c r="G362" t="s">
        <v>74</v>
      </c>
      <c r="H362" t="s">
        <v>74</v>
      </c>
      <c r="I362" s="1" t="s">
        <v>9725</v>
      </c>
      <c r="J362" t="s">
        <v>9726</v>
      </c>
      <c r="K362" t="s">
        <v>74</v>
      </c>
      <c r="L362" t="s">
        <v>74</v>
      </c>
      <c r="M362" t="s">
        <v>78</v>
      </c>
      <c r="N362" t="s">
        <v>79</v>
      </c>
      <c r="O362" t="s">
        <v>74</v>
      </c>
      <c r="P362" t="s">
        <v>74</v>
      </c>
      <c r="Q362" t="s">
        <v>74</v>
      </c>
      <c r="R362" t="s">
        <v>74</v>
      </c>
      <c r="S362" t="s">
        <v>74</v>
      </c>
      <c r="T362" s="1" t="s">
        <v>9727</v>
      </c>
      <c r="U362" s="1" t="s">
        <v>9728</v>
      </c>
      <c r="V362" s="1" t="s">
        <v>9729</v>
      </c>
      <c r="W362" t="s">
        <v>9730</v>
      </c>
      <c r="X362" t="s">
        <v>74</v>
      </c>
      <c r="Y362" t="s">
        <v>9731</v>
      </c>
      <c r="Z362" t="s">
        <v>9732</v>
      </c>
      <c r="AA362" t="s">
        <v>9733</v>
      </c>
      <c r="AB362" t="s">
        <v>9734</v>
      </c>
      <c r="AC362" t="s">
        <v>74</v>
      </c>
      <c r="AD362" t="s">
        <v>74</v>
      </c>
      <c r="AE362" t="s">
        <v>74</v>
      </c>
      <c r="AF362" t="s">
        <v>74</v>
      </c>
      <c r="AG362">
        <v>47</v>
      </c>
      <c r="AH362">
        <v>2</v>
      </c>
      <c r="AI362">
        <v>2</v>
      </c>
      <c r="AJ362">
        <v>7</v>
      </c>
      <c r="AK362">
        <v>65</v>
      </c>
      <c r="AL362" t="s">
        <v>9735</v>
      </c>
      <c r="AM362" t="s">
        <v>9736</v>
      </c>
      <c r="AN362" t="s">
        <v>9737</v>
      </c>
      <c r="AO362" t="s">
        <v>9738</v>
      </c>
      <c r="AP362" t="s">
        <v>74</v>
      </c>
      <c r="AQ362" t="s">
        <v>74</v>
      </c>
      <c r="AR362" t="s">
        <v>9739</v>
      </c>
      <c r="AS362" t="s">
        <v>9740</v>
      </c>
      <c r="AT362" t="s">
        <v>376</v>
      </c>
      <c r="AU362">
        <v>2018</v>
      </c>
      <c r="AV362">
        <v>11</v>
      </c>
      <c r="AW362">
        <v>3</v>
      </c>
      <c r="AX362" t="s">
        <v>74</v>
      </c>
      <c r="AY362" t="s">
        <v>74</v>
      </c>
      <c r="AZ362" t="s">
        <v>74</v>
      </c>
      <c r="BA362" t="s">
        <v>74</v>
      </c>
      <c r="BB362">
        <v>265</v>
      </c>
      <c r="BC362">
        <v>283</v>
      </c>
      <c r="BD362" t="s">
        <v>74</v>
      </c>
      <c r="BE362" t="s">
        <v>9741</v>
      </c>
      <c r="BF362" t="str">
        <f>HYPERLINK("http://dx.doi.org/10.19177/reen.v11e32018265-283","http://dx.doi.org/10.19177/reen.v11e32018265-283")</f>
        <v>http://dx.doi.org/10.19177/reen.v11e32018265-283</v>
      </c>
      <c r="BG362" t="s">
        <v>74</v>
      </c>
      <c r="BH362" t="s">
        <v>74</v>
      </c>
      <c r="BI362">
        <v>19</v>
      </c>
      <c r="BJ362" t="s">
        <v>315</v>
      </c>
      <c r="BK362" t="s">
        <v>183</v>
      </c>
      <c r="BL362" t="s">
        <v>265</v>
      </c>
      <c r="BM362" t="s">
        <v>9742</v>
      </c>
      <c r="BN362" t="s">
        <v>74</v>
      </c>
      <c r="BO362" t="s">
        <v>422</v>
      </c>
      <c r="BP362" t="s">
        <v>74</v>
      </c>
      <c r="BQ362" t="s">
        <v>74</v>
      </c>
      <c r="BR362" t="s">
        <v>106</v>
      </c>
      <c r="BS362" t="s">
        <v>9743</v>
      </c>
      <c r="BT362" t="str">
        <f>HYPERLINK("https%3A%2F%2Fwww.webofscience.com%2Fwos%2Fwoscc%2Ffull-record%2FWOS:000468549900010","View Full Record in Web of Science")</f>
        <v>View Full Record in Web of Science</v>
      </c>
    </row>
    <row r="363" spans="1:72" x14ac:dyDescent="0.25">
      <c r="A363" t="s">
        <v>72</v>
      </c>
      <c r="B363" t="s">
        <v>9787</v>
      </c>
      <c r="C363" t="s">
        <v>74</v>
      </c>
      <c r="D363" t="s">
        <v>74</v>
      </c>
      <c r="E363" t="s">
        <v>74</v>
      </c>
      <c r="F363" t="s">
        <v>9788</v>
      </c>
      <c r="G363" t="s">
        <v>74</v>
      </c>
      <c r="H363" t="s">
        <v>74</v>
      </c>
      <c r="I363" s="1" t="s">
        <v>9789</v>
      </c>
      <c r="J363" t="s">
        <v>1308</v>
      </c>
      <c r="K363" t="s">
        <v>74</v>
      </c>
      <c r="L363" t="s">
        <v>74</v>
      </c>
      <c r="M363" t="s">
        <v>929</v>
      </c>
      <c r="N363" t="s">
        <v>79</v>
      </c>
      <c r="O363" t="s">
        <v>74</v>
      </c>
      <c r="P363" t="s">
        <v>74</v>
      </c>
      <c r="Q363" t="s">
        <v>74</v>
      </c>
      <c r="R363" t="s">
        <v>74</v>
      </c>
      <c r="S363" t="s">
        <v>74</v>
      </c>
      <c r="T363" s="1" t="s">
        <v>9790</v>
      </c>
      <c r="U363" s="1" t="s">
        <v>74</v>
      </c>
      <c r="V363" s="1" t="s">
        <v>9791</v>
      </c>
      <c r="W363" t="s">
        <v>9792</v>
      </c>
      <c r="X363" t="s">
        <v>9793</v>
      </c>
      <c r="Y363" t="s">
        <v>9794</v>
      </c>
      <c r="Z363" t="s">
        <v>9795</v>
      </c>
      <c r="AA363" t="s">
        <v>9796</v>
      </c>
      <c r="AB363" t="s">
        <v>9797</v>
      </c>
      <c r="AC363" t="s">
        <v>74</v>
      </c>
      <c r="AD363" t="s">
        <v>74</v>
      </c>
      <c r="AE363" t="s">
        <v>74</v>
      </c>
      <c r="AF363" t="s">
        <v>74</v>
      </c>
      <c r="AG363">
        <v>24</v>
      </c>
      <c r="AH363">
        <v>2</v>
      </c>
      <c r="AI363">
        <v>2</v>
      </c>
      <c r="AJ363">
        <v>0</v>
      </c>
      <c r="AK363">
        <v>14</v>
      </c>
      <c r="AL363" t="s">
        <v>1318</v>
      </c>
      <c r="AM363" t="s">
        <v>1319</v>
      </c>
      <c r="AN363" t="s">
        <v>1320</v>
      </c>
      <c r="AO363" t="s">
        <v>1321</v>
      </c>
      <c r="AP363" t="s">
        <v>1322</v>
      </c>
      <c r="AQ363" t="s">
        <v>74</v>
      </c>
      <c r="AR363" t="s">
        <v>1323</v>
      </c>
      <c r="AS363" t="s">
        <v>1324</v>
      </c>
      <c r="AT363" t="s">
        <v>837</v>
      </c>
      <c r="AU363">
        <v>2018</v>
      </c>
      <c r="AV363" t="s">
        <v>74</v>
      </c>
      <c r="AW363">
        <v>53</v>
      </c>
      <c r="AX363" t="s">
        <v>74</v>
      </c>
      <c r="AY363" t="s">
        <v>74</v>
      </c>
      <c r="AZ363" t="s">
        <v>74</v>
      </c>
      <c r="BA363" t="s">
        <v>74</v>
      </c>
      <c r="BB363">
        <v>27</v>
      </c>
      <c r="BC363">
        <v>40</v>
      </c>
      <c r="BD363" t="s">
        <v>74</v>
      </c>
      <c r="BE363" t="s">
        <v>9798</v>
      </c>
      <c r="BF363" t="str">
        <f>HYPERLINK("http://dx.doi.org/10.12795/pixelbit.2018.i53.02","http://dx.doi.org/10.12795/pixelbit.2018.i53.02")</f>
        <v>http://dx.doi.org/10.12795/pixelbit.2018.i53.02</v>
      </c>
      <c r="BG363" t="s">
        <v>74</v>
      </c>
      <c r="BH363" t="s">
        <v>74</v>
      </c>
      <c r="BI363">
        <v>14</v>
      </c>
      <c r="BJ363" t="s">
        <v>1326</v>
      </c>
      <c r="BK363" t="s">
        <v>183</v>
      </c>
      <c r="BL363" t="s">
        <v>1326</v>
      </c>
      <c r="BM363" t="s">
        <v>9799</v>
      </c>
      <c r="BN363" t="s">
        <v>74</v>
      </c>
      <c r="BO363" t="s">
        <v>614</v>
      </c>
      <c r="BP363" t="s">
        <v>74</v>
      </c>
      <c r="BQ363" t="s">
        <v>74</v>
      </c>
      <c r="BR363" t="s">
        <v>106</v>
      </c>
      <c r="BS363" t="s">
        <v>9800</v>
      </c>
      <c r="BT363" t="str">
        <f>HYPERLINK("https%3A%2F%2Fwww.webofscience.com%2Fwos%2Fwoscc%2Ffull-record%2FWOS:000445155400002","View Full Record in Web of Science")</f>
        <v>View Full Record in Web of Science</v>
      </c>
    </row>
    <row r="364" spans="1:72" x14ac:dyDescent="0.25">
      <c r="A364" t="s">
        <v>72</v>
      </c>
      <c r="B364" t="s">
        <v>10307</v>
      </c>
      <c r="C364" t="s">
        <v>74</v>
      </c>
      <c r="D364" t="s">
        <v>74</v>
      </c>
      <c r="E364" t="s">
        <v>74</v>
      </c>
      <c r="F364" t="s">
        <v>10308</v>
      </c>
      <c r="G364" t="s">
        <v>74</v>
      </c>
      <c r="H364" t="s">
        <v>74</v>
      </c>
      <c r="I364" s="1" t="s">
        <v>10309</v>
      </c>
      <c r="J364" t="s">
        <v>10310</v>
      </c>
      <c r="K364" t="s">
        <v>74</v>
      </c>
      <c r="L364" t="s">
        <v>74</v>
      </c>
      <c r="M364" t="s">
        <v>5147</v>
      </c>
      <c r="N364" t="s">
        <v>79</v>
      </c>
      <c r="O364" t="s">
        <v>74</v>
      </c>
      <c r="P364" t="s">
        <v>74</v>
      </c>
      <c r="Q364" t="s">
        <v>74</v>
      </c>
      <c r="R364" t="s">
        <v>74</v>
      </c>
      <c r="S364" t="s">
        <v>74</v>
      </c>
      <c r="T364" s="1" t="s">
        <v>10311</v>
      </c>
      <c r="U364" s="1" t="s">
        <v>74</v>
      </c>
      <c r="V364" s="1" t="s">
        <v>10312</v>
      </c>
      <c r="W364" t="s">
        <v>10313</v>
      </c>
      <c r="X364" t="s">
        <v>10314</v>
      </c>
      <c r="Y364" t="s">
        <v>10315</v>
      </c>
      <c r="Z364" t="s">
        <v>10316</v>
      </c>
      <c r="AA364" t="s">
        <v>74</v>
      </c>
      <c r="AB364" t="s">
        <v>10317</v>
      </c>
      <c r="AC364" t="s">
        <v>74</v>
      </c>
      <c r="AD364" t="s">
        <v>74</v>
      </c>
      <c r="AE364" t="s">
        <v>74</v>
      </c>
      <c r="AF364" t="s">
        <v>74</v>
      </c>
      <c r="AG364">
        <v>36</v>
      </c>
      <c r="AH364">
        <v>2</v>
      </c>
      <c r="AI364">
        <v>2</v>
      </c>
      <c r="AJ364">
        <v>5</v>
      </c>
      <c r="AK364">
        <v>80</v>
      </c>
      <c r="AL364" t="s">
        <v>10318</v>
      </c>
      <c r="AM364" t="s">
        <v>5257</v>
      </c>
      <c r="AN364" t="s">
        <v>10319</v>
      </c>
      <c r="AO364" t="s">
        <v>10320</v>
      </c>
      <c r="AP364" t="s">
        <v>10321</v>
      </c>
      <c r="AQ364" t="s">
        <v>74</v>
      </c>
      <c r="AR364" t="s">
        <v>10310</v>
      </c>
      <c r="AS364" t="s">
        <v>10322</v>
      </c>
      <c r="AT364" t="s">
        <v>74</v>
      </c>
      <c r="AU364">
        <v>2018</v>
      </c>
      <c r="AV364">
        <v>9</v>
      </c>
      <c r="AW364">
        <v>3</v>
      </c>
      <c r="AX364" t="s">
        <v>74</v>
      </c>
      <c r="AY364" t="s">
        <v>74</v>
      </c>
      <c r="AZ364" t="s">
        <v>74</v>
      </c>
      <c r="BA364" t="s">
        <v>74</v>
      </c>
      <c r="BB364">
        <v>92</v>
      </c>
      <c r="BC364">
        <v>108</v>
      </c>
      <c r="BD364" t="s">
        <v>74</v>
      </c>
      <c r="BE364" t="s">
        <v>10323</v>
      </c>
      <c r="BF364" t="str">
        <f>HYPERLINK("http://dx.doi.org/10.4403/jlis.it-12420","http://dx.doi.org/10.4403/jlis.it-12420")</f>
        <v>http://dx.doi.org/10.4403/jlis.it-12420</v>
      </c>
      <c r="BG364" t="s">
        <v>74</v>
      </c>
      <c r="BH364" t="s">
        <v>74</v>
      </c>
      <c r="BI364">
        <v>17</v>
      </c>
      <c r="BJ364" t="s">
        <v>3050</v>
      </c>
      <c r="BK364" t="s">
        <v>183</v>
      </c>
      <c r="BL364" t="s">
        <v>3050</v>
      </c>
      <c r="BM364" t="s">
        <v>10324</v>
      </c>
      <c r="BN364" t="s">
        <v>74</v>
      </c>
      <c r="BO364" t="s">
        <v>74</v>
      </c>
      <c r="BP364" t="s">
        <v>74</v>
      </c>
      <c r="BQ364" t="s">
        <v>74</v>
      </c>
      <c r="BR364" t="s">
        <v>106</v>
      </c>
      <c r="BS364" t="s">
        <v>10325</v>
      </c>
      <c r="BT364" t="str">
        <f>HYPERLINK("https%3A%2F%2Fwww.webofscience.com%2Fwos%2Fwoscc%2Ffull-record%2FWOS:000444547800006","View Full Record in Web of Science")</f>
        <v>View Full Record in Web of Science</v>
      </c>
    </row>
    <row r="365" spans="1:72" x14ac:dyDescent="0.25">
      <c r="A365" t="s">
        <v>72</v>
      </c>
      <c r="B365" t="s">
        <v>10527</v>
      </c>
      <c r="C365" t="s">
        <v>74</v>
      </c>
      <c r="D365" t="s">
        <v>74</v>
      </c>
      <c r="E365" t="s">
        <v>74</v>
      </c>
      <c r="F365" t="s">
        <v>10528</v>
      </c>
      <c r="G365" t="s">
        <v>74</v>
      </c>
      <c r="H365" t="s">
        <v>74</v>
      </c>
      <c r="I365" s="1" t="s">
        <v>10529</v>
      </c>
      <c r="J365" t="s">
        <v>683</v>
      </c>
      <c r="K365" t="s">
        <v>74</v>
      </c>
      <c r="L365" t="s">
        <v>74</v>
      </c>
      <c r="M365" t="s">
        <v>78</v>
      </c>
      <c r="N365" t="s">
        <v>79</v>
      </c>
      <c r="O365" t="s">
        <v>74</v>
      </c>
      <c r="P365" t="s">
        <v>74</v>
      </c>
      <c r="Q365" t="s">
        <v>74</v>
      </c>
      <c r="R365" t="s">
        <v>74</v>
      </c>
      <c r="S365" t="s">
        <v>74</v>
      </c>
      <c r="T365" s="1" t="s">
        <v>74</v>
      </c>
      <c r="U365" s="1" t="s">
        <v>10530</v>
      </c>
      <c r="V365" s="1" t="s">
        <v>10531</v>
      </c>
      <c r="W365" t="s">
        <v>10532</v>
      </c>
      <c r="X365" t="s">
        <v>10533</v>
      </c>
      <c r="Y365" t="s">
        <v>10534</v>
      </c>
      <c r="Z365" t="s">
        <v>10535</v>
      </c>
      <c r="AA365" t="s">
        <v>10536</v>
      </c>
      <c r="AB365" t="s">
        <v>10537</v>
      </c>
      <c r="AC365" t="s">
        <v>10538</v>
      </c>
      <c r="AD365" t="s">
        <v>10539</v>
      </c>
      <c r="AE365" t="s">
        <v>10540</v>
      </c>
      <c r="AF365" t="s">
        <v>74</v>
      </c>
      <c r="AG365">
        <v>22</v>
      </c>
      <c r="AH365">
        <v>2</v>
      </c>
      <c r="AI365">
        <v>2</v>
      </c>
      <c r="AJ365">
        <v>0</v>
      </c>
      <c r="AK365">
        <v>4</v>
      </c>
      <c r="AL365" t="s">
        <v>10541</v>
      </c>
      <c r="AM365" t="s">
        <v>175</v>
      </c>
      <c r="AN365" t="s">
        <v>10542</v>
      </c>
      <c r="AO365" t="s">
        <v>695</v>
      </c>
      <c r="AP365" t="s">
        <v>74</v>
      </c>
      <c r="AQ365" t="s">
        <v>74</v>
      </c>
      <c r="AR365" t="s">
        <v>696</v>
      </c>
      <c r="AS365" t="s">
        <v>697</v>
      </c>
      <c r="AT365" t="s">
        <v>7874</v>
      </c>
      <c r="AU365">
        <v>2017</v>
      </c>
      <c r="AV365">
        <v>7</v>
      </c>
      <c r="AW365" t="s">
        <v>74</v>
      </c>
      <c r="AX365" t="s">
        <v>74</v>
      </c>
      <c r="AY365" t="s">
        <v>74</v>
      </c>
      <c r="AZ365" t="s">
        <v>74</v>
      </c>
      <c r="BA365" t="s">
        <v>74</v>
      </c>
      <c r="BB365" t="s">
        <v>74</v>
      </c>
      <c r="BC365" t="s">
        <v>74</v>
      </c>
      <c r="BD365">
        <v>3748</v>
      </c>
      <c r="BE365" t="s">
        <v>10543</v>
      </c>
      <c r="BF365" t="str">
        <f>HYPERLINK("http://dx.doi.org/10.1038/s41598-017-03867-7","http://dx.doi.org/10.1038/s41598-017-03867-7")</f>
        <v>http://dx.doi.org/10.1038/s41598-017-03867-7</v>
      </c>
      <c r="BG365" t="s">
        <v>74</v>
      </c>
      <c r="BH365" t="s">
        <v>74</v>
      </c>
      <c r="BI365">
        <v>10</v>
      </c>
      <c r="BJ365" t="s">
        <v>700</v>
      </c>
      <c r="BK365" t="s">
        <v>102</v>
      </c>
      <c r="BL365" t="s">
        <v>701</v>
      </c>
      <c r="BM365" t="s">
        <v>10544</v>
      </c>
      <c r="BN365">
        <v>28623263</v>
      </c>
      <c r="BO365" t="s">
        <v>614</v>
      </c>
      <c r="BP365" t="s">
        <v>74</v>
      </c>
      <c r="BQ365" t="s">
        <v>74</v>
      </c>
      <c r="BR365" t="s">
        <v>106</v>
      </c>
      <c r="BS365" t="s">
        <v>10545</v>
      </c>
      <c r="BT365" t="str">
        <f>HYPERLINK("https%3A%2F%2Fwww.webofscience.com%2Fwos%2Fwoscc%2Ffull-record%2FWOS:000403413700110","View Full Record in Web of Science")</f>
        <v>View Full Record in Web of Science</v>
      </c>
    </row>
    <row r="366" spans="1:72" x14ac:dyDescent="0.25">
      <c r="A366" t="s">
        <v>72</v>
      </c>
      <c r="B366" t="s">
        <v>10583</v>
      </c>
      <c r="C366" t="s">
        <v>74</v>
      </c>
      <c r="D366" t="s">
        <v>74</v>
      </c>
      <c r="E366" t="s">
        <v>74</v>
      </c>
      <c r="F366" t="s">
        <v>10584</v>
      </c>
      <c r="G366" t="s">
        <v>74</v>
      </c>
      <c r="H366" t="s">
        <v>74</v>
      </c>
      <c r="I366" s="1" t="s">
        <v>10585</v>
      </c>
      <c r="J366" t="s">
        <v>10586</v>
      </c>
      <c r="K366" t="s">
        <v>74</v>
      </c>
      <c r="L366" t="s">
        <v>74</v>
      </c>
      <c r="M366" t="s">
        <v>78</v>
      </c>
      <c r="N366" t="s">
        <v>79</v>
      </c>
      <c r="O366" t="s">
        <v>74</v>
      </c>
      <c r="P366" t="s">
        <v>74</v>
      </c>
      <c r="Q366" t="s">
        <v>74</v>
      </c>
      <c r="R366" t="s">
        <v>74</v>
      </c>
      <c r="S366" t="s">
        <v>74</v>
      </c>
      <c r="T366" s="1" t="s">
        <v>10587</v>
      </c>
      <c r="U366" s="1" t="s">
        <v>74</v>
      </c>
      <c r="V366" s="1" t="s">
        <v>10588</v>
      </c>
      <c r="W366" t="s">
        <v>10589</v>
      </c>
      <c r="X366" t="s">
        <v>10590</v>
      </c>
      <c r="Y366" t="s">
        <v>10591</v>
      </c>
      <c r="Z366" t="s">
        <v>10592</v>
      </c>
      <c r="AA366" t="s">
        <v>10593</v>
      </c>
      <c r="AB366" t="s">
        <v>10594</v>
      </c>
      <c r="AC366" t="s">
        <v>74</v>
      </c>
      <c r="AD366" t="s">
        <v>74</v>
      </c>
      <c r="AE366" t="s">
        <v>74</v>
      </c>
      <c r="AF366" t="s">
        <v>74</v>
      </c>
      <c r="AG366">
        <v>19</v>
      </c>
      <c r="AH366">
        <v>2</v>
      </c>
      <c r="AI366">
        <v>2</v>
      </c>
      <c r="AJ366">
        <v>0</v>
      </c>
      <c r="AK366">
        <v>13</v>
      </c>
      <c r="AL366" t="s">
        <v>10595</v>
      </c>
      <c r="AM366" t="s">
        <v>10596</v>
      </c>
      <c r="AN366" t="s">
        <v>10597</v>
      </c>
      <c r="AO366" t="s">
        <v>10598</v>
      </c>
      <c r="AP366" t="s">
        <v>74</v>
      </c>
      <c r="AQ366" t="s">
        <v>74</v>
      </c>
      <c r="AR366" t="s">
        <v>10599</v>
      </c>
      <c r="AS366" t="s">
        <v>10600</v>
      </c>
      <c r="AT366" t="s">
        <v>4456</v>
      </c>
      <c r="AU366">
        <v>2017</v>
      </c>
      <c r="AV366">
        <v>51</v>
      </c>
      <c r="AW366">
        <v>2</v>
      </c>
      <c r="AX366" t="s">
        <v>74</v>
      </c>
      <c r="AY366" t="s">
        <v>74</v>
      </c>
      <c r="AZ366" t="s">
        <v>74</v>
      </c>
      <c r="BA366" t="s">
        <v>74</v>
      </c>
      <c r="BB366">
        <v>226</v>
      </c>
      <c r="BC366">
        <v>238</v>
      </c>
      <c r="BD366" t="s">
        <v>74</v>
      </c>
      <c r="BE366" t="s">
        <v>10601</v>
      </c>
      <c r="BF366" t="str">
        <f>HYPERLINK("http://dx.doi.org/10.5530/ijper.51.2.28","http://dx.doi.org/10.5530/ijper.51.2.28")</f>
        <v>http://dx.doi.org/10.5530/ijper.51.2.28</v>
      </c>
      <c r="BG366" t="s">
        <v>74</v>
      </c>
      <c r="BH366" t="s">
        <v>74</v>
      </c>
      <c r="BI366">
        <v>13</v>
      </c>
      <c r="BJ366" t="s">
        <v>10602</v>
      </c>
      <c r="BK366" t="s">
        <v>102</v>
      </c>
      <c r="BL366" t="s">
        <v>10603</v>
      </c>
      <c r="BM366" t="s">
        <v>10604</v>
      </c>
      <c r="BN366" t="s">
        <v>74</v>
      </c>
      <c r="BO366" t="s">
        <v>3371</v>
      </c>
      <c r="BP366" t="s">
        <v>74</v>
      </c>
      <c r="BQ366" t="s">
        <v>74</v>
      </c>
      <c r="BR366" t="s">
        <v>106</v>
      </c>
      <c r="BS366" t="s">
        <v>10605</v>
      </c>
      <c r="BT366" t="str">
        <f>HYPERLINK("https%3A%2F%2Fwww.webofscience.com%2Fwos%2Fwoscc%2Ffull-record%2FWOS:000404154600007","View Full Record in Web of Science")</f>
        <v>View Full Record in Web of Science</v>
      </c>
    </row>
    <row r="367" spans="1:72" x14ac:dyDescent="0.25">
      <c r="A367" t="s">
        <v>72</v>
      </c>
      <c r="B367" t="s">
        <v>10707</v>
      </c>
      <c r="C367" t="s">
        <v>74</v>
      </c>
      <c r="D367" t="s">
        <v>74</v>
      </c>
      <c r="E367" t="s">
        <v>74</v>
      </c>
      <c r="F367" t="s">
        <v>10708</v>
      </c>
      <c r="G367" t="s">
        <v>74</v>
      </c>
      <c r="H367" t="s">
        <v>74</v>
      </c>
      <c r="I367" s="1" t="s">
        <v>10709</v>
      </c>
      <c r="J367" t="s">
        <v>10710</v>
      </c>
      <c r="K367" t="s">
        <v>74</v>
      </c>
      <c r="L367" t="s">
        <v>74</v>
      </c>
      <c r="M367" t="s">
        <v>78</v>
      </c>
      <c r="N367" t="s">
        <v>79</v>
      </c>
      <c r="O367" t="s">
        <v>74</v>
      </c>
      <c r="P367" t="s">
        <v>74</v>
      </c>
      <c r="Q367" t="s">
        <v>74</v>
      </c>
      <c r="R367" t="s">
        <v>74</v>
      </c>
      <c r="S367" t="s">
        <v>74</v>
      </c>
      <c r="T367" s="1" t="s">
        <v>10711</v>
      </c>
      <c r="U367" s="1" t="s">
        <v>74</v>
      </c>
      <c r="V367" s="1" t="s">
        <v>10712</v>
      </c>
      <c r="W367" t="s">
        <v>74</v>
      </c>
      <c r="X367" t="s">
        <v>74</v>
      </c>
      <c r="Y367" t="s">
        <v>74</v>
      </c>
      <c r="Z367" t="s">
        <v>10713</v>
      </c>
      <c r="AA367" t="s">
        <v>74</v>
      </c>
      <c r="AB367" t="s">
        <v>74</v>
      </c>
      <c r="AC367" t="s">
        <v>74</v>
      </c>
      <c r="AD367" t="s">
        <v>74</v>
      </c>
      <c r="AE367" t="s">
        <v>74</v>
      </c>
      <c r="AF367" t="s">
        <v>74</v>
      </c>
      <c r="AG367">
        <v>2</v>
      </c>
      <c r="AH367">
        <v>2</v>
      </c>
      <c r="AI367">
        <v>2</v>
      </c>
      <c r="AJ367">
        <v>0</v>
      </c>
      <c r="AK367">
        <v>9</v>
      </c>
      <c r="AL367" t="s">
        <v>715</v>
      </c>
      <c r="AM367" t="s">
        <v>716</v>
      </c>
      <c r="AN367" t="s">
        <v>717</v>
      </c>
      <c r="AO367" t="s">
        <v>10714</v>
      </c>
      <c r="AP367" t="s">
        <v>74</v>
      </c>
      <c r="AQ367" t="s">
        <v>74</v>
      </c>
      <c r="AR367" t="s">
        <v>10715</v>
      </c>
      <c r="AS367" t="s">
        <v>10716</v>
      </c>
      <c r="AT367" t="s">
        <v>74</v>
      </c>
      <c r="AU367">
        <v>2017</v>
      </c>
      <c r="AV367">
        <v>118</v>
      </c>
      <c r="AW367" t="s">
        <v>10717</v>
      </c>
      <c r="AX367" t="s">
        <v>74</v>
      </c>
      <c r="AY367" t="s">
        <v>74</v>
      </c>
      <c r="AZ367" t="s">
        <v>74</v>
      </c>
      <c r="BA367" t="s">
        <v>74</v>
      </c>
      <c r="BB367">
        <v>331</v>
      </c>
      <c r="BC367">
        <v>335</v>
      </c>
      <c r="BD367" t="s">
        <v>74</v>
      </c>
      <c r="BE367" t="s">
        <v>10718</v>
      </c>
      <c r="BF367" t="str">
        <f>HYPERLINK("http://dx.doi.org/10.1108/ILS-06-2017-0058","http://dx.doi.org/10.1108/ILS-06-2017-0058")</f>
        <v>http://dx.doi.org/10.1108/ILS-06-2017-0058</v>
      </c>
      <c r="BG367" t="s">
        <v>74</v>
      </c>
      <c r="BH367" t="s">
        <v>74</v>
      </c>
      <c r="BI367">
        <v>5</v>
      </c>
      <c r="BJ367" t="s">
        <v>3050</v>
      </c>
      <c r="BK367" t="s">
        <v>183</v>
      </c>
      <c r="BL367" t="s">
        <v>3050</v>
      </c>
      <c r="BM367" t="s">
        <v>10719</v>
      </c>
      <c r="BN367" t="s">
        <v>74</v>
      </c>
      <c r="BO367" t="s">
        <v>74</v>
      </c>
      <c r="BP367" t="s">
        <v>74</v>
      </c>
      <c r="BQ367" t="s">
        <v>74</v>
      </c>
      <c r="BR367" t="s">
        <v>106</v>
      </c>
      <c r="BS367" t="s">
        <v>10720</v>
      </c>
      <c r="BT367" t="str">
        <f>HYPERLINK("https%3A%2F%2Fwww.webofscience.com%2Fwos%2Fwoscc%2Ffull-record%2FWOS:000427176100008","View Full Record in Web of Science")</f>
        <v>View Full Record in Web of Science</v>
      </c>
    </row>
    <row r="368" spans="1:72" x14ac:dyDescent="0.25">
      <c r="A368" t="s">
        <v>72</v>
      </c>
      <c r="B368" t="s">
        <v>11139</v>
      </c>
      <c r="C368" t="s">
        <v>74</v>
      </c>
      <c r="D368" t="s">
        <v>74</v>
      </c>
      <c r="E368" t="s">
        <v>74</v>
      </c>
      <c r="F368" t="s">
        <v>11140</v>
      </c>
      <c r="G368" t="s">
        <v>74</v>
      </c>
      <c r="H368" t="s">
        <v>74</v>
      </c>
      <c r="I368" s="1" t="s">
        <v>11141</v>
      </c>
      <c r="J368" t="s">
        <v>11142</v>
      </c>
      <c r="K368" t="s">
        <v>74</v>
      </c>
      <c r="L368" t="s">
        <v>74</v>
      </c>
      <c r="M368" t="s">
        <v>78</v>
      </c>
      <c r="N368" t="s">
        <v>79</v>
      </c>
      <c r="O368" t="s">
        <v>74</v>
      </c>
      <c r="P368" t="s">
        <v>74</v>
      </c>
      <c r="Q368" t="s">
        <v>74</v>
      </c>
      <c r="R368" t="s">
        <v>74</v>
      </c>
      <c r="S368" t="s">
        <v>74</v>
      </c>
      <c r="T368" s="1" t="s">
        <v>74</v>
      </c>
      <c r="U368" s="1" t="s">
        <v>74</v>
      </c>
      <c r="V368" s="1" t="s">
        <v>11143</v>
      </c>
      <c r="W368" t="s">
        <v>11144</v>
      </c>
      <c r="X368" t="s">
        <v>74</v>
      </c>
      <c r="Y368" t="s">
        <v>11145</v>
      </c>
      <c r="Z368" t="s">
        <v>11146</v>
      </c>
      <c r="AA368" t="s">
        <v>74</v>
      </c>
      <c r="AB368" t="s">
        <v>74</v>
      </c>
      <c r="AC368" t="s">
        <v>74</v>
      </c>
      <c r="AD368" t="s">
        <v>74</v>
      </c>
      <c r="AE368" t="s">
        <v>74</v>
      </c>
      <c r="AF368" t="s">
        <v>74</v>
      </c>
      <c r="AG368">
        <v>17</v>
      </c>
      <c r="AH368">
        <v>2</v>
      </c>
      <c r="AI368">
        <v>2</v>
      </c>
      <c r="AJ368">
        <v>0</v>
      </c>
      <c r="AK368">
        <v>7</v>
      </c>
      <c r="AL368" t="s">
        <v>11147</v>
      </c>
      <c r="AM368" t="s">
        <v>11148</v>
      </c>
      <c r="AN368" t="s">
        <v>11149</v>
      </c>
      <c r="AO368" t="s">
        <v>11150</v>
      </c>
      <c r="AP368" t="s">
        <v>74</v>
      </c>
      <c r="AQ368" t="s">
        <v>74</v>
      </c>
      <c r="AR368" t="s">
        <v>11151</v>
      </c>
      <c r="AS368" t="s">
        <v>11152</v>
      </c>
      <c r="AT368" t="s">
        <v>626</v>
      </c>
      <c r="AU368">
        <v>2016</v>
      </c>
      <c r="AV368">
        <v>12</v>
      </c>
      <c r="AW368">
        <v>3</v>
      </c>
      <c r="AX368" t="s">
        <v>74</v>
      </c>
      <c r="AY368" t="s">
        <v>74</v>
      </c>
      <c r="AZ368" t="s">
        <v>1020</v>
      </c>
      <c r="BA368" t="s">
        <v>74</v>
      </c>
      <c r="BB368">
        <v>191</v>
      </c>
      <c r="BC368">
        <v>202</v>
      </c>
      <c r="BD368" t="s">
        <v>74</v>
      </c>
      <c r="BE368" t="s">
        <v>11153</v>
      </c>
      <c r="BF368" t="str">
        <f>HYPERLINK("http://dx.doi.org/10.1007/s11416-015-0259-6","http://dx.doi.org/10.1007/s11416-015-0259-6")</f>
        <v>http://dx.doi.org/10.1007/s11416-015-0259-6</v>
      </c>
      <c r="BG368" t="s">
        <v>74</v>
      </c>
      <c r="BH368" t="s">
        <v>74</v>
      </c>
      <c r="BI368">
        <v>12</v>
      </c>
      <c r="BJ368" t="s">
        <v>1217</v>
      </c>
      <c r="BK368" t="s">
        <v>183</v>
      </c>
      <c r="BL368" t="s">
        <v>399</v>
      </c>
      <c r="BM368" t="s">
        <v>11154</v>
      </c>
      <c r="BN368" t="s">
        <v>74</v>
      </c>
      <c r="BO368" t="s">
        <v>74</v>
      </c>
      <c r="BP368" t="s">
        <v>74</v>
      </c>
      <c r="BQ368" t="s">
        <v>74</v>
      </c>
      <c r="BR368" t="s">
        <v>106</v>
      </c>
      <c r="BS368" t="s">
        <v>11155</v>
      </c>
      <c r="BT368" t="str">
        <f>HYPERLINK("https%3A%2F%2Fwww.webofscience.com%2Fwos%2Fwoscc%2Ffull-record%2FWOS:000387079500011","View Full Record in Web of Science")</f>
        <v>View Full Record in Web of Science</v>
      </c>
    </row>
    <row r="369" spans="1:72" x14ac:dyDescent="0.25">
      <c r="A369" t="s">
        <v>72</v>
      </c>
      <c r="B369" t="s">
        <v>11243</v>
      </c>
      <c r="C369" t="s">
        <v>74</v>
      </c>
      <c r="D369" t="s">
        <v>74</v>
      </c>
      <c r="E369" t="s">
        <v>74</v>
      </c>
      <c r="F369" t="s">
        <v>11244</v>
      </c>
      <c r="G369" t="s">
        <v>74</v>
      </c>
      <c r="H369" t="s">
        <v>74</v>
      </c>
      <c r="I369" s="1" t="s">
        <v>11245</v>
      </c>
      <c r="J369" t="s">
        <v>11246</v>
      </c>
      <c r="K369" t="s">
        <v>74</v>
      </c>
      <c r="L369" t="s">
        <v>74</v>
      </c>
      <c r="M369" t="s">
        <v>78</v>
      </c>
      <c r="N369" t="s">
        <v>79</v>
      </c>
      <c r="O369" t="s">
        <v>74</v>
      </c>
      <c r="P369" t="s">
        <v>74</v>
      </c>
      <c r="Q369" t="s">
        <v>74</v>
      </c>
      <c r="R369" t="s">
        <v>74</v>
      </c>
      <c r="S369" t="s">
        <v>74</v>
      </c>
      <c r="T369" s="1" t="s">
        <v>11247</v>
      </c>
      <c r="U369" s="1" t="s">
        <v>11248</v>
      </c>
      <c r="V369" s="1" t="s">
        <v>11249</v>
      </c>
      <c r="W369" t="s">
        <v>11250</v>
      </c>
      <c r="X369" t="s">
        <v>11251</v>
      </c>
      <c r="Y369" t="s">
        <v>11252</v>
      </c>
      <c r="Z369" t="s">
        <v>74</v>
      </c>
      <c r="AA369" t="s">
        <v>74</v>
      </c>
      <c r="AB369" t="s">
        <v>74</v>
      </c>
      <c r="AC369" t="s">
        <v>11253</v>
      </c>
      <c r="AD369" t="s">
        <v>11253</v>
      </c>
      <c r="AE369" t="s">
        <v>11254</v>
      </c>
      <c r="AF369" t="s">
        <v>74</v>
      </c>
      <c r="AG369">
        <v>62</v>
      </c>
      <c r="AH369">
        <v>2</v>
      </c>
      <c r="AI369">
        <v>2</v>
      </c>
      <c r="AJ369">
        <v>0</v>
      </c>
      <c r="AK369">
        <v>8</v>
      </c>
      <c r="AL369" t="s">
        <v>11255</v>
      </c>
      <c r="AM369" t="s">
        <v>11256</v>
      </c>
      <c r="AN369" t="s">
        <v>11257</v>
      </c>
      <c r="AO369" t="s">
        <v>11258</v>
      </c>
      <c r="AP369" t="s">
        <v>74</v>
      </c>
      <c r="AQ369" t="s">
        <v>74</v>
      </c>
      <c r="AR369" t="s">
        <v>11259</v>
      </c>
      <c r="AS369" t="s">
        <v>11260</v>
      </c>
      <c r="AT369" t="s">
        <v>4456</v>
      </c>
      <c r="AU369">
        <v>2016</v>
      </c>
      <c r="AV369">
        <v>16</v>
      </c>
      <c r="AW369">
        <v>2</v>
      </c>
      <c r="AX369" t="s">
        <v>74</v>
      </c>
      <c r="AY369" t="s">
        <v>74</v>
      </c>
      <c r="AZ369" t="s">
        <v>74</v>
      </c>
      <c r="BA369" t="s">
        <v>74</v>
      </c>
      <c r="BB369" t="s">
        <v>74</v>
      </c>
      <c r="BC369" t="s">
        <v>74</v>
      </c>
      <c r="BD369">
        <v>3738</v>
      </c>
      <c r="BE369" t="s">
        <v>74</v>
      </c>
      <c r="BF369" t="s">
        <v>74</v>
      </c>
      <c r="BG369" t="s">
        <v>74</v>
      </c>
      <c r="BH369" t="s">
        <v>74</v>
      </c>
      <c r="BI369">
        <v>18</v>
      </c>
      <c r="BJ369" t="s">
        <v>1584</v>
      </c>
      <c r="BK369" t="s">
        <v>211</v>
      </c>
      <c r="BL369" t="s">
        <v>1584</v>
      </c>
      <c r="BM369" t="s">
        <v>11261</v>
      </c>
      <c r="BN369">
        <v>27269633</v>
      </c>
      <c r="BO369" t="s">
        <v>74</v>
      </c>
      <c r="BP369" t="s">
        <v>74</v>
      </c>
      <c r="BQ369" t="s">
        <v>74</v>
      </c>
      <c r="BR369" t="s">
        <v>106</v>
      </c>
      <c r="BS369" t="s">
        <v>11262</v>
      </c>
      <c r="BT369" t="str">
        <f>HYPERLINK("https%3A%2F%2Fwww.webofscience.com%2Fwos%2Fwoscc%2Ffull-record%2FWOS:000393583300013","View Full Record in Web of Science")</f>
        <v>View Full Record in Web of Science</v>
      </c>
    </row>
    <row r="370" spans="1:72" x14ac:dyDescent="0.25">
      <c r="A370" t="s">
        <v>72</v>
      </c>
      <c r="B370" t="s">
        <v>11336</v>
      </c>
      <c r="C370" t="s">
        <v>74</v>
      </c>
      <c r="D370" t="s">
        <v>74</v>
      </c>
      <c r="E370" t="s">
        <v>74</v>
      </c>
      <c r="F370" t="s">
        <v>11337</v>
      </c>
      <c r="G370" t="s">
        <v>74</v>
      </c>
      <c r="H370" t="s">
        <v>74</v>
      </c>
      <c r="I370" s="1" t="s">
        <v>11338</v>
      </c>
      <c r="J370" t="s">
        <v>10123</v>
      </c>
      <c r="K370" t="s">
        <v>74</v>
      </c>
      <c r="L370" t="s">
        <v>74</v>
      </c>
      <c r="M370" t="s">
        <v>929</v>
      </c>
      <c r="N370" t="s">
        <v>79</v>
      </c>
      <c r="O370" t="s">
        <v>74</v>
      </c>
      <c r="P370" t="s">
        <v>74</v>
      </c>
      <c r="Q370" t="s">
        <v>74</v>
      </c>
      <c r="R370" t="s">
        <v>74</v>
      </c>
      <c r="S370" t="s">
        <v>74</v>
      </c>
      <c r="T370" s="1" t="s">
        <v>11339</v>
      </c>
      <c r="U370" s="1" t="s">
        <v>74</v>
      </c>
      <c r="V370" s="1" t="s">
        <v>11340</v>
      </c>
      <c r="W370" t="s">
        <v>11341</v>
      </c>
      <c r="X370" t="s">
        <v>11342</v>
      </c>
      <c r="Y370" t="s">
        <v>11343</v>
      </c>
      <c r="Z370" t="s">
        <v>11344</v>
      </c>
      <c r="AA370" t="s">
        <v>11345</v>
      </c>
      <c r="AB370" t="s">
        <v>11346</v>
      </c>
      <c r="AC370" t="s">
        <v>74</v>
      </c>
      <c r="AD370" t="s">
        <v>74</v>
      </c>
      <c r="AE370" t="s">
        <v>74</v>
      </c>
      <c r="AF370" t="s">
        <v>74</v>
      </c>
      <c r="AG370">
        <v>24</v>
      </c>
      <c r="AH370">
        <v>2</v>
      </c>
      <c r="AI370">
        <v>4</v>
      </c>
      <c r="AJ370">
        <v>0</v>
      </c>
      <c r="AK370">
        <v>6</v>
      </c>
      <c r="AL370" t="s">
        <v>10132</v>
      </c>
      <c r="AM370" t="s">
        <v>10133</v>
      </c>
      <c r="AN370" t="s">
        <v>10134</v>
      </c>
      <c r="AO370" t="s">
        <v>10135</v>
      </c>
      <c r="AP370" t="s">
        <v>74</v>
      </c>
      <c r="AQ370" t="s">
        <v>74</v>
      </c>
      <c r="AR370" t="s">
        <v>10136</v>
      </c>
      <c r="AS370" t="s">
        <v>10137</v>
      </c>
      <c r="AT370" t="s">
        <v>74</v>
      </c>
      <c r="AU370">
        <v>2016</v>
      </c>
      <c r="AV370">
        <v>71</v>
      </c>
      <c r="AW370">
        <v>2</v>
      </c>
      <c r="AX370" t="s">
        <v>74</v>
      </c>
      <c r="AY370" t="s">
        <v>74</v>
      </c>
      <c r="AZ370" t="s">
        <v>74</v>
      </c>
      <c r="BA370" t="s">
        <v>74</v>
      </c>
      <c r="BB370">
        <v>211</v>
      </c>
      <c r="BC370">
        <v>231</v>
      </c>
      <c r="BD370" t="s">
        <v>74</v>
      </c>
      <c r="BE370" t="s">
        <v>11347</v>
      </c>
      <c r="BF370" t="str">
        <f>HYPERLINK("http://dx.doi.org/10.4185/RLCS-2016-1092","http://dx.doi.org/10.4185/RLCS-2016-1092")</f>
        <v>http://dx.doi.org/10.4185/RLCS-2016-1092</v>
      </c>
      <c r="BG370" t="s">
        <v>74</v>
      </c>
      <c r="BH370" t="s">
        <v>74</v>
      </c>
      <c r="BI370">
        <v>21</v>
      </c>
      <c r="BJ370" t="s">
        <v>2218</v>
      </c>
      <c r="BK370" t="s">
        <v>183</v>
      </c>
      <c r="BL370" t="s">
        <v>2218</v>
      </c>
      <c r="BM370" t="s">
        <v>11348</v>
      </c>
      <c r="BN370" t="s">
        <v>74</v>
      </c>
      <c r="BO370" t="s">
        <v>791</v>
      </c>
      <c r="BP370" t="s">
        <v>74</v>
      </c>
      <c r="BQ370" t="s">
        <v>74</v>
      </c>
      <c r="BR370" t="s">
        <v>106</v>
      </c>
      <c r="BS370" t="s">
        <v>11349</v>
      </c>
      <c r="BT370" t="str">
        <f>HYPERLINK("https%3A%2F%2Fwww.webofscience.com%2Fwos%2Fwoscc%2Ffull-record%2FWOS:000375960500006","View Full Record in Web of Science")</f>
        <v>View Full Record in Web of Science</v>
      </c>
    </row>
    <row r="371" spans="1:72" x14ac:dyDescent="0.25">
      <c r="A371" t="s">
        <v>72</v>
      </c>
      <c r="B371" t="s">
        <v>11373</v>
      </c>
      <c r="C371" t="s">
        <v>74</v>
      </c>
      <c r="D371" t="s">
        <v>74</v>
      </c>
      <c r="E371" t="s">
        <v>74</v>
      </c>
      <c r="F371" t="s">
        <v>11374</v>
      </c>
      <c r="G371" t="s">
        <v>74</v>
      </c>
      <c r="H371" t="s">
        <v>74</v>
      </c>
      <c r="I371" s="1" t="s">
        <v>11375</v>
      </c>
      <c r="J371" t="s">
        <v>6645</v>
      </c>
      <c r="K371" t="s">
        <v>74</v>
      </c>
      <c r="L371" t="s">
        <v>74</v>
      </c>
      <c r="M371" t="s">
        <v>78</v>
      </c>
      <c r="N371" t="s">
        <v>79</v>
      </c>
      <c r="O371" t="s">
        <v>74</v>
      </c>
      <c r="P371" t="s">
        <v>74</v>
      </c>
      <c r="Q371" t="s">
        <v>74</v>
      </c>
      <c r="R371" t="s">
        <v>74</v>
      </c>
      <c r="S371" t="s">
        <v>74</v>
      </c>
      <c r="T371" s="1" t="s">
        <v>11376</v>
      </c>
      <c r="U371" s="1" t="s">
        <v>11377</v>
      </c>
      <c r="V371" s="1" t="s">
        <v>11378</v>
      </c>
      <c r="W371" t="s">
        <v>11379</v>
      </c>
      <c r="X371" t="s">
        <v>11380</v>
      </c>
      <c r="Y371" t="s">
        <v>11381</v>
      </c>
      <c r="Z371" t="s">
        <v>11382</v>
      </c>
      <c r="AA371" t="s">
        <v>74</v>
      </c>
      <c r="AB371" t="s">
        <v>74</v>
      </c>
      <c r="AC371" t="s">
        <v>74</v>
      </c>
      <c r="AD371" t="s">
        <v>74</v>
      </c>
      <c r="AE371" t="s">
        <v>74</v>
      </c>
      <c r="AF371" t="s">
        <v>74</v>
      </c>
      <c r="AG371">
        <v>46</v>
      </c>
      <c r="AH371">
        <v>2</v>
      </c>
      <c r="AI371">
        <v>2</v>
      </c>
      <c r="AJ371">
        <v>0</v>
      </c>
      <c r="AK371">
        <v>2</v>
      </c>
      <c r="AL371" t="s">
        <v>121</v>
      </c>
      <c r="AM371" t="s">
        <v>122</v>
      </c>
      <c r="AN371" t="s">
        <v>123</v>
      </c>
      <c r="AO371" t="s">
        <v>6655</v>
      </c>
      <c r="AP371" t="s">
        <v>6656</v>
      </c>
      <c r="AQ371" t="s">
        <v>74</v>
      </c>
      <c r="AR371" t="s">
        <v>6657</v>
      </c>
      <c r="AS371" t="s">
        <v>6658</v>
      </c>
      <c r="AT371" t="s">
        <v>2068</v>
      </c>
      <c r="AU371">
        <v>2016</v>
      </c>
      <c r="AV371">
        <v>21</v>
      </c>
      <c r="AW371">
        <v>1</v>
      </c>
      <c r="AX371" t="s">
        <v>74</v>
      </c>
      <c r="AY371" t="s">
        <v>74</v>
      </c>
      <c r="AZ371" t="s">
        <v>74</v>
      </c>
      <c r="BA371" t="s">
        <v>74</v>
      </c>
      <c r="BB371">
        <v>35</v>
      </c>
      <c r="BC371">
        <v>52</v>
      </c>
      <c r="BD371" t="s">
        <v>74</v>
      </c>
      <c r="BE371" t="s">
        <v>11383</v>
      </c>
      <c r="BF371" t="str">
        <f>HYPERLINK("http://dx.doi.org/10.1007/s10639-014-9308-x","http://dx.doi.org/10.1007/s10639-014-9308-x")</f>
        <v>http://dx.doi.org/10.1007/s10639-014-9308-x</v>
      </c>
      <c r="BG371" t="s">
        <v>74</v>
      </c>
      <c r="BH371" t="s">
        <v>74</v>
      </c>
      <c r="BI371">
        <v>18</v>
      </c>
      <c r="BJ371" t="s">
        <v>1326</v>
      </c>
      <c r="BK371" t="s">
        <v>183</v>
      </c>
      <c r="BL371" t="s">
        <v>1326</v>
      </c>
      <c r="BM371" t="s">
        <v>11384</v>
      </c>
      <c r="BN371" t="s">
        <v>74</v>
      </c>
      <c r="BO371" t="s">
        <v>74</v>
      </c>
      <c r="BP371" t="s">
        <v>74</v>
      </c>
      <c r="BQ371" t="s">
        <v>74</v>
      </c>
      <c r="BR371" t="s">
        <v>106</v>
      </c>
      <c r="BS371" t="s">
        <v>11385</v>
      </c>
      <c r="BT371" t="str">
        <f>HYPERLINK("https%3A%2F%2Fwww.webofscience.com%2Fwos%2Fwoscc%2Ffull-record%2FWOS:000410376500004","View Full Record in Web of Science")</f>
        <v>View Full Record in Web of Science</v>
      </c>
    </row>
    <row r="372" spans="1:72" x14ac:dyDescent="0.25">
      <c r="A372" t="s">
        <v>72</v>
      </c>
      <c r="B372" t="s">
        <v>11543</v>
      </c>
      <c r="C372" t="s">
        <v>74</v>
      </c>
      <c r="D372" t="s">
        <v>74</v>
      </c>
      <c r="E372" t="s">
        <v>74</v>
      </c>
      <c r="F372" t="s">
        <v>11544</v>
      </c>
      <c r="G372" t="s">
        <v>74</v>
      </c>
      <c r="H372" t="s">
        <v>74</v>
      </c>
      <c r="I372" s="1" t="s">
        <v>11545</v>
      </c>
      <c r="J372" t="s">
        <v>11546</v>
      </c>
      <c r="K372" t="s">
        <v>74</v>
      </c>
      <c r="L372" t="s">
        <v>74</v>
      </c>
      <c r="M372" t="s">
        <v>4637</v>
      </c>
      <c r="N372" t="s">
        <v>79</v>
      </c>
      <c r="O372" t="s">
        <v>74</v>
      </c>
      <c r="P372" t="s">
        <v>74</v>
      </c>
      <c r="Q372" t="s">
        <v>74</v>
      </c>
      <c r="R372" t="s">
        <v>74</v>
      </c>
      <c r="S372" t="s">
        <v>74</v>
      </c>
      <c r="T372" s="1" t="s">
        <v>74</v>
      </c>
      <c r="U372" s="1" t="s">
        <v>74</v>
      </c>
      <c r="V372" s="1" t="s">
        <v>11547</v>
      </c>
      <c r="W372" t="s">
        <v>11548</v>
      </c>
      <c r="X372" t="s">
        <v>74</v>
      </c>
      <c r="Y372" t="s">
        <v>11549</v>
      </c>
      <c r="Z372" t="s">
        <v>74</v>
      </c>
      <c r="AA372" t="s">
        <v>74</v>
      </c>
      <c r="AB372" t="s">
        <v>74</v>
      </c>
      <c r="AC372" t="s">
        <v>74</v>
      </c>
      <c r="AD372" t="s">
        <v>74</v>
      </c>
      <c r="AE372" t="s">
        <v>74</v>
      </c>
      <c r="AF372" t="s">
        <v>74</v>
      </c>
      <c r="AG372">
        <v>20</v>
      </c>
      <c r="AH372">
        <v>2</v>
      </c>
      <c r="AI372">
        <v>2</v>
      </c>
      <c r="AJ372">
        <v>0</v>
      </c>
      <c r="AK372">
        <v>2</v>
      </c>
      <c r="AL372" t="s">
        <v>11550</v>
      </c>
      <c r="AM372" t="s">
        <v>11551</v>
      </c>
      <c r="AN372" t="s">
        <v>11552</v>
      </c>
      <c r="AO372" t="s">
        <v>11553</v>
      </c>
      <c r="AP372" t="s">
        <v>11554</v>
      </c>
      <c r="AQ372" t="s">
        <v>74</v>
      </c>
      <c r="AR372" t="s">
        <v>11555</v>
      </c>
      <c r="AS372" t="s">
        <v>11556</v>
      </c>
      <c r="AT372" t="s">
        <v>74</v>
      </c>
      <c r="AU372">
        <v>2015</v>
      </c>
      <c r="AV372" t="s">
        <v>74</v>
      </c>
      <c r="AW372">
        <v>29</v>
      </c>
      <c r="AX372" t="s">
        <v>74</v>
      </c>
      <c r="AY372" t="s">
        <v>74</v>
      </c>
      <c r="AZ372" t="s">
        <v>74</v>
      </c>
      <c r="BA372" t="s">
        <v>74</v>
      </c>
      <c r="BB372" t="s">
        <v>74</v>
      </c>
      <c r="BC372" t="s">
        <v>74</v>
      </c>
      <c r="BD372" t="s">
        <v>74</v>
      </c>
      <c r="BE372" t="s">
        <v>11557</v>
      </c>
      <c r="BF372" t="str">
        <f>HYPERLINK("http://dx.doi.org/10.4000/narratologie.7398","http://dx.doi.org/10.4000/narratologie.7398")</f>
        <v>http://dx.doi.org/10.4000/narratologie.7398</v>
      </c>
      <c r="BG372" t="s">
        <v>74</v>
      </c>
      <c r="BH372" t="s">
        <v>74</v>
      </c>
      <c r="BI372">
        <v>11</v>
      </c>
      <c r="BJ372" t="s">
        <v>9837</v>
      </c>
      <c r="BK372" t="s">
        <v>183</v>
      </c>
      <c r="BL372" t="s">
        <v>9837</v>
      </c>
      <c r="BM372" t="s">
        <v>11558</v>
      </c>
      <c r="BN372" t="s">
        <v>74</v>
      </c>
      <c r="BO372" t="s">
        <v>186</v>
      </c>
      <c r="BP372" t="s">
        <v>74</v>
      </c>
      <c r="BQ372" t="s">
        <v>74</v>
      </c>
      <c r="BR372" t="s">
        <v>106</v>
      </c>
      <c r="BS372" t="s">
        <v>11559</v>
      </c>
      <c r="BT372" t="str">
        <f>HYPERLINK("https%3A%2F%2Fwww.webofscience.com%2Fwos%2Fwoscc%2Ffull-record%2FWOS:000374870700004","View Full Record in Web of Science")</f>
        <v>View Full Record in Web of Science</v>
      </c>
    </row>
    <row r="373" spans="1:72" x14ac:dyDescent="0.25">
      <c r="A373" t="s">
        <v>72</v>
      </c>
      <c r="B373" t="s">
        <v>11560</v>
      </c>
      <c r="C373" t="s">
        <v>74</v>
      </c>
      <c r="D373" t="s">
        <v>74</v>
      </c>
      <c r="E373" t="s">
        <v>74</v>
      </c>
      <c r="F373" t="s">
        <v>11561</v>
      </c>
      <c r="G373" t="s">
        <v>74</v>
      </c>
      <c r="H373" t="s">
        <v>74</v>
      </c>
      <c r="I373" s="1" t="s">
        <v>11562</v>
      </c>
      <c r="J373" t="s">
        <v>9531</v>
      </c>
      <c r="K373" t="s">
        <v>74</v>
      </c>
      <c r="L373" t="s">
        <v>74</v>
      </c>
      <c r="M373" t="s">
        <v>78</v>
      </c>
      <c r="N373" t="s">
        <v>79</v>
      </c>
      <c r="O373" t="s">
        <v>74</v>
      </c>
      <c r="P373" t="s">
        <v>74</v>
      </c>
      <c r="Q373" t="s">
        <v>74</v>
      </c>
      <c r="R373" t="s">
        <v>74</v>
      </c>
      <c r="S373" t="s">
        <v>74</v>
      </c>
      <c r="T373" s="1" t="s">
        <v>74</v>
      </c>
      <c r="U373" s="1" t="s">
        <v>74</v>
      </c>
      <c r="V373" s="1" t="s">
        <v>11563</v>
      </c>
      <c r="W373" t="s">
        <v>11564</v>
      </c>
      <c r="X373" t="s">
        <v>11565</v>
      </c>
      <c r="Y373" t="s">
        <v>11566</v>
      </c>
      <c r="Z373" t="s">
        <v>11567</v>
      </c>
      <c r="AA373" t="s">
        <v>74</v>
      </c>
      <c r="AB373" t="s">
        <v>74</v>
      </c>
      <c r="AC373" t="s">
        <v>74</v>
      </c>
      <c r="AD373" t="s">
        <v>74</v>
      </c>
      <c r="AE373" t="s">
        <v>74</v>
      </c>
      <c r="AF373" t="s">
        <v>74</v>
      </c>
      <c r="AG373">
        <v>46</v>
      </c>
      <c r="AH373">
        <v>2</v>
      </c>
      <c r="AI373">
        <v>2</v>
      </c>
      <c r="AJ373">
        <v>0</v>
      </c>
      <c r="AK373">
        <v>1</v>
      </c>
      <c r="AL373" t="s">
        <v>9536</v>
      </c>
      <c r="AM373" t="s">
        <v>9537</v>
      </c>
      <c r="AN373" t="s">
        <v>9538</v>
      </c>
      <c r="AO373" t="s">
        <v>9539</v>
      </c>
      <c r="AP373" t="s">
        <v>9540</v>
      </c>
      <c r="AQ373" t="s">
        <v>74</v>
      </c>
      <c r="AR373" t="s">
        <v>9541</v>
      </c>
      <c r="AS373" t="s">
        <v>9542</v>
      </c>
      <c r="AT373" t="s">
        <v>74</v>
      </c>
      <c r="AU373">
        <v>2015</v>
      </c>
      <c r="AV373">
        <v>26</v>
      </c>
      <c r="AW373" t="s">
        <v>74</v>
      </c>
      <c r="AX373" t="s">
        <v>74</v>
      </c>
      <c r="AY373" t="s">
        <v>74</v>
      </c>
      <c r="AZ373" t="s">
        <v>74</v>
      </c>
      <c r="BA373" t="s">
        <v>74</v>
      </c>
      <c r="BB373">
        <v>95</v>
      </c>
      <c r="BC373">
        <v>114</v>
      </c>
      <c r="BD373" t="s">
        <v>74</v>
      </c>
      <c r="BE373" t="s">
        <v>74</v>
      </c>
      <c r="BF373" t="s">
        <v>74</v>
      </c>
      <c r="BG373" t="s">
        <v>74</v>
      </c>
      <c r="BH373" t="s">
        <v>74</v>
      </c>
      <c r="BI373">
        <v>20</v>
      </c>
      <c r="BJ373" t="s">
        <v>8769</v>
      </c>
      <c r="BK373" t="s">
        <v>183</v>
      </c>
      <c r="BL373" t="s">
        <v>8769</v>
      </c>
      <c r="BM373" t="s">
        <v>11568</v>
      </c>
      <c r="BN373" t="s">
        <v>74</v>
      </c>
      <c r="BO373" t="s">
        <v>74</v>
      </c>
      <c r="BP373" t="s">
        <v>74</v>
      </c>
      <c r="BQ373" t="s">
        <v>74</v>
      </c>
      <c r="BR373" t="s">
        <v>106</v>
      </c>
      <c r="BS373" t="s">
        <v>11569</v>
      </c>
      <c r="BT373" t="str">
        <f>HYPERLINK("https%3A%2F%2Fwww.webofscience.com%2Fwos%2Fwoscc%2Ffull-record%2FWOS:000469777800020","View Full Record in Web of Science")</f>
        <v>View Full Record in Web of Science</v>
      </c>
    </row>
    <row r="374" spans="1:72" x14ac:dyDescent="0.25">
      <c r="A374" t="s">
        <v>72</v>
      </c>
      <c r="B374" t="s">
        <v>11657</v>
      </c>
      <c r="C374" t="s">
        <v>74</v>
      </c>
      <c r="D374" t="s">
        <v>74</v>
      </c>
      <c r="E374" t="s">
        <v>74</v>
      </c>
      <c r="F374" t="s">
        <v>11658</v>
      </c>
      <c r="G374" t="s">
        <v>74</v>
      </c>
      <c r="H374" t="s">
        <v>74</v>
      </c>
      <c r="I374" s="1" t="s">
        <v>11659</v>
      </c>
      <c r="J374" t="s">
        <v>11660</v>
      </c>
      <c r="K374" t="s">
        <v>74</v>
      </c>
      <c r="L374" t="s">
        <v>74</v>
      </c>
      <c r="M374" t="s">
        <v>929</v>
      </c>
      <c r="N374" t="s">
        <v>79</v>
      </c>
      <c r="O374" t="s">
        <v>74</v>
      </c>
      <c r="P374" t="s">
        <v>74</v>
      </c>
      <c r="Q374" t="s">
        <v>74</v>
      </c>
      <c r="R374" t="s">
        <v>74</v>
      </c>
      <c r="S374" t="s">
        <v>74</v>
      </c>
      <c r="T374" s="1" t="s">
        <v>11661</v>
      </c>
      <c r="U374" s="1" t="s">
        <v>74</v>
      </c>
      <c r="V374" s="1" t="s">
        <v>11662</v>
      </c>
      <c r="W374" t="s">
        <v>11663</v>
      </c>
      <c r="X374" t="s">
        <v>11664</v>
      </c>
      <c r="Y374" t="s">
        <v>11665</v>
      </c>
      <c r="Z374" t="s">
        <v>74</v>
      </c>
      <c r="AA374" t="s">
        <v>10936</v>
      </c>
      <c r="AB374" t="s">
        <v>10937</v>
      </c>
      <c r="AC374" t="s">
        <v>74</v>
      </c>
      <c r="AD374" t="s">
        <v>74</v>
      </c>
      <c r="AE374" t="s">
        <v>74</v>
      </c>
      <c r="AF374" t="s">
        <v>74</v>
      </c>
      <c r="AG374">
        <v>20</v>
      </c>
      <c r="AH374">
        <v>2</v>
      </c>
      <c r="AI374">
        <v>2</v>
      </c>
      <c r="AJ374">
        <v>0</v>
      </c>
      <c r="AK374">
        <v>20</v>
      </c>
      <c r="AL374" t="s">
        <v>11666</v>
      </c>
      <c r="AM374" t="s">
        <v>4514</v>
      </c>
      <c r="AN374" t="s">
        <v>11667</v>
      </c>
      <c r="AO374" t="s">
        <v>11668</v>
      </c>
      <c r="AP374" t="s">
        <v>74</v>
      </c>
      <c r="AQ374" t="s">
        <v>74</v>
      </c>
      <c r="AR374" t="s">
        <v>11669</v>
      </c>
      <c r="AS374" t="s">
        <v>11670</v>
      </c>
      <c r="AT374" t="s">
        <v>74</v>
      </c>
      <c r="AU374">
        <v>2015</v>
      </c>
      <c r="AV374">
        <v>13</v>
      </c>
      <c r="AW374">
        <v>2</v>
      </c>
      <c r="AX374" t="s">
        <v>74</v>
      </c>
      <c r="AY374" t="s">
        <v>74</v>
      </c>
      <c r="AZ374" t="s">
        <v>74</v>
      </c>
      <c r="BA374" t="s">
        <v>74</v>
      </c>
      <c r="BB374">
        <v>215</v>
      </c>
      <c r="BC374">
        <v>237</v>
      </c>
      <c r="BD374" t="s">
        <v>74</v>
      </c>
      <c r="BE374" t="s">
        <v>11671</v>
      </c>
      <c r="BF374" t="str">
        <f>HYPERLINK("http://dx.doi.org/10.7195/ri14.v13i2.822","http://dx.doi.org/10.7195/ri14.v13i2.822")</f>
        <v>http://dx.doi.org/10.7195/ri14.v13i2.822</v>
      </c>
      <c r="BG374" t="s">
        <v>74</v>
      </c>
      <c r="BH374" t="s">
        <v>74</v>
      </c>
      <c r="BI374">
        <v>23</v>
      </c>
      <c r="BJ374" t="s">
        <v>2218</v>
      </c>
      <c r="BK374" t="s">
        <v>183</v>
      </c>
      <c r="BL374" t="s">
        <v>2218</v>
      </c>
      <c r="BM374" t="s">
        <v>11672</v>
      </c>
      <c r="BN374" t="s">
        <v>74</v>
      </c>
      <c r="BO374" t="s">
        <v>2730</v>
      </c>
      <c r="BP374" t="s">
        <v>74</v>
      </c>
      <c r="BQ374" t="s">
        <v>74</v>
      </c>
      <c r="BR374" t="s">
        <v>106</v>
      </c>
      <c r="BS374" t="s">
        <v>11673</v>
      </c>
      <c r="BT374" t="str">
        <f>HYPERLINK("https%3A%2F%2Fwww.webofscience.com%2Fwos%2Fwoscc%2Ffull-record%2FWOS:000363796300011","View Full Record in Web of Science")</f>
        <v>View Full Record in Web of Science</v>
      </c>
    </row>
    <row r="375" spans="1:72" x14ac:dyDescent="0.25">
      <c r="A375" t="s">
        <v>72</v>
      </c>
      <c r="B375" t="s">
        <v>12085</v>
      </c>
      <c r="C375" t="s">
        <v>74</v>
      </c>
      <c r="D375" t="s">
        <v>74</v>
      </c>
      <c r="E375" t="s">
        <v>74</v>
      </c>
      <c r="F375" t="s">
        <v>12086</v>
      </c>
      <c r="G375" t="s">
        <v>74</v>
      </c>
      <c r="H375" t="s">
        <v>74</v>
      </c>
      <c r="I375" s="1" t="s">
        <v>12087</v>
      </c>
      <c r="J375" t="s">
        <v>12088</v>
      </c>
      <c r="K375" t="s">
        <v>74</v>
      </c>
      <c r="L375" t="s">
        <v>74</v>
      </c>
      <c r="M375" t="s">
        <v>78</v>
      </c>
      <c r="N375" t="s">
        <v>79</v>
      </c>
      <c r="O375" t="s">
        <v>74</v>
      </c>
      <c r="P375" t="s">
        <v>74</v>
      </c>
      <c r="Q375" t="s">
        <v>74</v>
      </c>
      <c r="R375" t="s">
        <v>74</v>
      </c>
      <c r="S375" t="s">
        <v>74</v>
      </c>
      <c r="T375" s="1" t="s">
        <v>12089</v>
      </c>
      <c r="U375" s="1" t="s">
        <v>74</v>
      </c>
      <c r="V375" s="1" t="s">
        <v>12090</v>
      </c>
      <c r="W375" t="s">
        <v>12091</v>
      </c>
      <c r="X375" t="s">
        <v>74</v>
      </c>
      <c r="Y375" t="s">
        <v>12092</v>
      </c>
      <c r="Z375" t="s">
        <v>12093</v>
      </c>
      <c r="AA375" t="s">
        <v>74</v>
      </c>
      <c r="AB375" t="s">
        <v>12094</v>
      </c>
      <c r="AC375" t="s">
        <v>12095</v>
      </c>
      <c r="AD375" t="s">
        <v>12096</v>
      </c>
      <c r="AE375" t="s">
        <v>74</v>
      </c>
      <c r="AF375" t="s">
        <v>74</v>
      </c>
      <c r="AG375">
        <v>15</v>
      </c>
      <c r="AH375">
        <v>2</v>
      </c>
      <c r="AI375">
        <v>2</v>
      </c>
      <c r="AJ375">
        <v>2</v>
      </c>
      <c r="AK375">
        <v>12</v>
      </c>
      <c r="AL375" t="s">
        <v>12097</v>
      </c>
      <c r="AM375" t="s">
        <v>175</v>
      </c>
      <c r="AN375" t="s">
        <v>12098</v>
      </c>
      <c r="AO375" t="s">
        <v>12099</v>
      </c>
      <c r="AP375" t="s">
        <v>12100</v>
      </c>
      <c r="AQ375" t="s">
        <v>74</v>
      </c>
      <c r="AR375" t="s">
        <v>12101</v>
      </c>
      <c r="AS375" t="s">
        <v>12102</v>
      </c>
      <c r="AT375" t="s">
        <v>626</v>
      </c>
      <c r="AU375">
        <v>2013</v>
      </c>
      <c r="AV375">
        <v>13</v>
      </c>
      <c r="AW375">
        <v>4</v>
      </c>
      <c r="AX375" t="s">
        <v>74</v>
      </c>
      <c r="AY375" t="s">
        <v>74</v>
      </c>
      <c r="AZ375" t="s">
        <v>74</v>
      </c>
      <c r="BA375" t="s">
        <v>74</v>
      </c>
      <c r="BB375">
        <v>336</v>
      </c>
      <c r="BC375">
        <v>339</v>
      </c>
      <c r="BD375" t="s">
        <v>74</v>
      </c>
      <c r="BE375" t="s">
        <v>12103</v>
      </c>
      <c r="BF375" t="str">
        <f>HYPERLINK("http://dx.doi.org/10.7861/clinmedicine.13-4-336","http://dx.doi.org/10.7861/clinmedicine.13-4-336")</f>
        <v>http://dx.doi.org/10.7861/clinmedicine.13-4-336</v>
      </c>
      <c r="BG375" t="s">
        <v>74</v>
      </c>
      <c r="BH375" t="s">
        <v>74</v>
      </c>
      <c r="BI375">
        <v>4</v>
      </c>
      <c r="BJ375" t="s">
        <v>840</v>
      </c>
      <c r="BK375" t="s">
        <v>102</v>
      </c>
      <c r="BL375" t="s">
        <v>841</v>
      </c>
      <c r="BM375" t="s">
        <v>12104</v>
      </c>
      <c r="BN375">
        <v>23908499</v>
      </c>
      <c r="BO375" t="s">
        <v>3175</v>
      </c>
      <c r="BP375" t="s">
        <v>74</v>
      </c>
      <c r="BQ375" t="s">
        <v>74</v>
      </c>
      <c r="BR375" t="s">
        <v>106</v>
      </c>
      <c r="BS375" t="s">
        <v>12105</v>
      </c>
      <c r="BT375" t="str">
        <f>HYPERLINK("https%3A%2F%2Fwww.webofscience.com%2Fwos%2Fwoscc%2Ffull-record%2FWOS:000326251100004","View Full Record in Web of Science")</f>
        <v>View Full Record in Web of Science</v>
      </c>
    </row>
    <row r="376" spans="1:72" x14ac:dyDescent="0.25">
      <c r="A376" t="s">
        <v>72</v>
      </c>
      <c r="B376" t="s">
        <v>12480</v>
      </c>
      <c r="C376" t="s">
        <v>74</v>
      </c>
      <c r="D376" t="s">
        <v>74</v>
      </c>
      <c r="E376" t="s">
        <v>74</v>
      </c>
      <c r="F376" t="s">
        <v>12481</v>
      </c>
      <c r="G376" t="s">
        <v>74</v>
      </c>
      <c r="H376" t="s">
        <v>74</v>
      </c>
      <c r="I376" s="1" t="s">
        <v>12482</v>
      </c>
      <c r="J376" t="s">
        <v>12483</v>
      </c>
      <c r="K376" t="s">
        <v>74</v>
      </c>
      <c r="L376" t="s">
        <v>74</v>
      </c>
      <c r="M376" t="s">
        <v>78</v>
      </c>
      <c r="N376" t="s">
        <v>79</v>
      </c>
      <c r="O376" t="s">
        <v>74</v>
      </c>
      <c r="P376" t="s">
        <v>74</v>
      </c>
      <c r="Q376" t="s">
        <v>74</v>
      </c>
      <c r="R376" t="s">
        <v>74</v>
      </c>
      <c r="S376" t="s">
        <v>74</v>
      </c>
      <c r="T376" s="1" t="s">
        <v>74</v>
      </c>
      <c r="U376" s="1" t="s">
        <v>74</v>
      </c>
      <c r="V376" s="1" t="s">
        <v>74</v>
      </c>
      <c r="W376" t="s">
        <v>12484</v>
      </c>
      <c r="X376" t="s">
        <v>12485</v>
      </c>
      <c r="Y376" t="s">
        <v>12486</v>
      </c>
      <c r="Z376" t="s">
        <v>74</v>
      </c>
      <c r="AA376" t="s">
        <v>74</v>
      </c>
      <c r="AB376" t="s">
        <v>74</v>
      </c>
      <c r="AC376" t="s">
        <v>74</v>
      </c>
      <c r="AD376" t="s">
        <v>74</v>
      </c>
      <c r="AE376" t="s">
        <v>74</v>
      </c>
      <c r="AF376" t="s">
        <v>74</v>
      </c>
      <c r="AG376">
        <v>16</v>
      </c>
      <c r="AH376">
        <v>2</v>
      </c>
      <c r="AI376">
        <v>2</v>
      </c>
      <c r="AJ376">
        <v>0</v>
      </c>
      <c r="AK376">
        <v>5</v>
      </c>
      <c r="AL376" t="s">
        <v>2153</v>
      </c>
      <c r="AM376" t="s">
        <v>2154</v>
      </c>
      <c r="AN376" t="s">
        <v>2155</v>
      </c>
      <c r="AO376" t="s">
        <v>12487</v>
      </c>
      <c r="AP376" t="s">
        <v>74</v>
      </c>
      <c r="AQ376" t="s">
        <v>74</v>
      </c>
      <c r="AR376" t="s">
        <v>12488</v>
      </c>
      <c r="AS376" t="s">
        <v>12489</v>
      </c>
      <c r="AT376" t="s">
        <v>3938</v>
      </c>
      <c r="AU376">
        <v>2010</v>
      </c>
      <c r="AV376">
        <v>29</v>
      </c>
      <c r="AW376">
        <v>2</v>
      </c>
      <c r="AX376" t="s">
        <v>74</v>
      </c>
      <c r="AY376" t="s">
        <v>74</v>
      </c>
      <c r="AZ376" t="s">
        <v>74</v>
      </c>
      <c r="BA376" t="s">
        <v>74</v>
      </c>
      <c r="BB376">
        <v>54</v>
      </c>
      <c r="BC376">
        <v>62</v>
      </c>
      <c r="BD376" t="s">
        <v>74</v>
      </c>
      <c r="BE376" t="s">
        <v>12490</v>
      </c>
      <c r="BF376" t="str">
        <f>HYPERLINK("http://dx.doi.org/10.1109/MTS.2010.937028","http://dx.doi.org/10.1109/MTS.2010.937028")</f>
        <v>http://dx.doi.org/10.1109/MTS.2010.937028</v>
      </c>
      <c r="BG376" t="s">
        <v>74</v>
      </c>
      <c r="BH376" t="s">
        <v>74</v>
      </c>
      <c r="BI376">
        <v>9</v>
      </c>
      <c r="BJ376" t="s">
        <v>7483</v>
      </c>
      <c r="BK376" t="s">
        <v>102</v>
      </c>
      <c r="BL376" t="s">
        <v>1685</v>
      </c>
      <c r="BM376" t="s">
        <v>12491</v>
      </c>
      <c r="BN376" t="s">
        <v>74</v>
      </c>
      <c r="BO376" t="s">
        <v>74</v>
      </c>
      <c r="BP376" t="s">
        <v>74</v>
      </c>
      <c r="BQ376" t="s">
        <v>74</v>
      </c>
      <c r="BR376" t="s">
        <v>106</v>
      </c>
      <c r="BS376" t="s">
        <v>12492</v>
      </c>
      <c r="BT376" t="str">
        <f>HYPERLINK("https%3A%2F%2Fwww.webofscience.com%2Fwos%2Fwoscc%2Ffull-record%2FWOS:000278535900010","View Full Record in Web of Science")</f>
        <v>View Full Record in Web of Science</v>
      </c>
    </row>
    <row r="377" spans="1:72" x14ac:dyDescent="0.25">
      <c r="A377" t="s">
        <v>72</v>
      </c>
      <c r="B377" t="s">
        <v>12548</v>
      </c>
      <c r="C377" t="s">
        <v>74</v>
      </c>
      <c r="D377" t="s">
        <v>74</v>
      </c>
      <c r="E377" t="s">
        <v>74</v>
      </c>
      <c r="F377" t="s">
        <v>12549</v>
      </c>
      <c r="G377" t="s">
        <v>74</v>
      </c>
      <c r="H377" t="s">
        <v>74</v>
      </c>
      <c r="I377" s="1" t="s">
        <v>12550</v>
      </c>
      <c r="J377" t="s">
        <v>12551</v>
      </c>
      <c r="K377" t="s">
        <v>74</v>
      </c>
      <c r="L377" t="s">
        <v>74</v>
      </c>
      <c r="M377" t="s">
        <v>78</v>
      </c>
      <c r="N377" t="s">
        <v>79</v>
      </c>
      <c r="O377" t="s">
        <v>74</v>
      </c>
      <c r="P377" t="s">
        <v>74</v>
      </c>
      <c r="Q377" t="s">
        <v>74</v>
      </c>
      <c r="R377" t="s">
        <v>74</v>
      </c>
      <c r="S377" t="s">
        <v>74</v>
      </c>
      <c r="T377" s="1" t="s">
        <v>12552</v>
      </c>
      <c r="U377" s="1" t="s">
        <v>74</v>
      </c>
      <c r="V377" s="1" t="s">
        <v>12553</v>
      </c>
      <c r="W377" t="s">
        <v>12554</v>
      </c>
      <c r="X377" t="s">
        <v>74</v>
      </c>
      <c r="Y377" t="s">
        <v>12555</v>
      </c>
      <c r="Z377" t="s">
        <v>12556</v>
      </c>
      <c r="AA377" t="s">
        <v>74</v>
      </c>
      <c r="AB377" t="s">
        <v>74</v>
      </c>
      <c r="AC377" t="s">
        <v>74</v>
      </c>
      <c r="AD377" t="s">
        <v>74</v>
      </c>
      <c r="AE377" t="s">
        <v>74</v>
      </c>
      <c r="AF377" t="s">
        <v>74</v>
      </c>
      <c r="AG377">
        <v>6</v>
      </c>
      <c r="AH377">
        <v>2</v>
      </c>
      <c r="AI377">
        <v>2</v>
      </c>
      <c r="AJ377">
        <v>0</v>
      </c>
      <c r="AK377">
        <v>4</v>
      </c>
      <c r="AL377" t="s">
        <v>12557</v>
      </c>
      <c r="AM377" t="s">
        <v>12558</v>
      </c>
      <c r="AN377" t="s">
        <v>12559</v>
      </c>
      <c r="AO377" t="s">
        <v>12560</v>
      </c>
      <c r="AP377" t="s">
        <v>74</v>
      </c>
      <c r="AQ377" t="s">
        <v>74</v>
      </c>
      <c r="AR377" t="s">
        <v>12561</v>
      </c>
      <c r="AS377" t="s">
        <v>12562</v>
      </c>
      <c r="AT377" t="s">
        <v>837</v>
      </c>
      <c r="AU377">
        <v>2009</v>
      </c>
      <c r="AV377">
        <v>43</v>
      </c>
      <c r="AW377">
        <v>4</v>
      </c>
      <c r="AX377" t="s">
        <v>74</v>
      </c>
      <c r="AY377" t="s">
        <v>74</v>
      </c>
      <c r="AZ377" t="s">
        <v>74</v>
      </c>
      <c r="BA377" t="s">
        <v>74</v>
      </c>
      <c r="BB377">
        <v>501</v>
      </c>
      <c r="BC377">
        <v>508</v>
      </c>
      <c r="BD377" t="s">
        <v>74</v>
      </c>
      <c r="BE377" t="s">
        <v>12563</v>
      </c>
      <c r="BF377" t="str">
        <f>HYPERLINK("http://dx.doi.org/10.1177/009286150904300416","http://dx.doi.org/10.1177/009286150904300416")</f>
        <v>http://dx.doi.org/10.1177/009286150904300416</v>
      </c>
      <c r="BG377" t="s">
        <v>74</v>
      </c>
      <c r="BH377" t="s">
        <v>74</v>
      </c>
      <c r="BI377">
        <v>8</v>
      </c>
      <c r="BJ377" t="s">
        <v>12564</v>
      </c>
      <c r="BK377" t="s">
        <v>102</v>
      </c>
      <c r="BL377" t="s">
        <v>12564</v>
      </c>
      <c r="BM377" t="s">
        <v>12565</v>
      </c>
      <c r="BN377" t="s">
        <v>74</v>
      </c>
      <c r="BO377" t="s">
        <v>74</v>
      </c>
      <c r="BP377" t="s">
        <v>74</v>
      </c>
      <c r="BQ377" t="s">
        <v>74</v>
      </c>
      <c r="BR377" t="s">
        <v>106</v>
      </c>
      <c r="BS377" t="s">
        <v>12566</v>
      </c>
      <c r="BT377" t="str">
        <f>HYPERLINK("https%3A%2F%2Fwww.webofscience.com%2Fwos%2Fwoscc%2Ffull-record%2FWOS:000267877500016","View Full Record in Web of Science")</f>
        <v>View Full Record in Web of Science</v>
      </c>
    </row>
    <row r="378" spans="1:72" x14ac:dyDescent="0.25">
      <c r="A378" t="s">
        <v>72</v>
      </c>
      <c r="B378" t="s">
        <v>12567</v>
      </c>
      <c r="C378" t="s">
        <v>74</v>
      </c>
      <c r="D378" t="s">
        <v>74</v>
      </c>
      <c r="E378" t="s">
        <v>74</v>
      </c>
      <c r="F378" t="s">
        <v>12568</v>
      </c>
      <c r="G378" t="s">
        <v>74</v>
      </c>
      <c r="H378" t="s">
        <v>74</v>
      </c>
      <c r="I378" s="1" t="s">
        <v>12569</v>
      </c>
      <c r="J378" t="s">
        <v>12570</v>
      </c>
      <c r="K378" t="s">
        <v>74</v>
      </c>
      <c r="L378" t="s">
        <v>74</v>
      </c>
      <c r="M378" t="s">
        <v>78</v>
      </c>
      <c r="N378" t="s">
        <v>7247</v>
      </c>
      <c r="O378" t="s">
        <v>12571</v>
      </c>
      <c r="P378" t="s">
        <v>12572</v>
      </c>
      <c r="Q378" t="s">
        <v>12573</v>
      </c>
      <c r="R378" t="s">
        <v>12574</v>
      </c>
      <c r="S378" t="s">
        <v>74</v>
      </c>
      <c r="T378" s="1" t="s">
        <v>12575</v>
      </c>
      <c r="U378" s="1" t="s">
        <v>74</v>
      </c>
      <c r="V378" s="1" t="s">
        <v>12576</v>
      </c>
      <c r="W378" t="s">
        <v>12577</v>
      </c>
      <c r="X378" t="s">
        <v>74</v>
      </c>
      <c r="Y378" t="s">
        <v>12578</v>
      </c>
      <c r="Z378" t="s">
        <v>12579</v>
      </c>
      <c r="AA378" t="s">
        <v>74</v>
      </c>
      <c r="AB378" t="s">
        <v>74</v>
      </c>
      <c r="AC378" t="s">
        <v>74</v>
      </c>
      <c r="AD378" t="s">
        <v>74</v>
      </c>
      <c r="AE378" t="s">
        <v>74</v>
      </c>
      <c r="AF378" t="s">
        <v>74</v>
      </c>
      <c r="AG378">
        <v>0</v>
      </c>
      <c r="AH378">
        <v>2</v>
      </c>
      <c r="AI378">
        <v>2</v>
      </c>
      <c r="AJ378">
        <v>1</v>
      </c>
      <c r="AK378">
        <v>2</v>
      </c>
      <c r="AL378" t="s">
        <v>12580</v>
      </c>
      <c r="AM378" t="s">
        <v>716</v>
      </c>
      <c r="AN378" t="s">
        <v>717</v>
      </c>
      <c r="AO378" t="s">
        <v>12581</v>
      </c>
      <c r="AP378" t="s">
        <v>74</v>
      </c>
      <c r="AQ378" t="s">
        <v>74</v>
      </c>
      <c r="AR378" t="s">
        <v>12582</v>
      </c>
      <c r="AS378" t="s">
        <v>12583</v>
      </c>
      <c r="AT378" t="s">
        <v>74</v>
      </c>
      <c r="AU378">
        <v>2009</v>
      </c>
      <c r="AV378">
        <v>43</v>
      </c>
      <c r="AW378">
        <v>3</v>
      </c>
      <c r="AX378" t="s">
        <v>74</v>
      </c>
      <c r="AY378" t="s">
        <v>74</v>
      </c>
      <c r="AZ378" t="s">
        <v>74</v>
      </c>
      <c r="BA378" t="s">
        <v>74</v>
      </c>
      <c r="BB378">
        <v>251</v>
      </c>
      <c r="BC378">
        <v>263</v>
      </c>
      <c r="BD378" t="s">
        <v>74</v>
      </c>
      <c r="BE378" t="s">
        <v>12584</v>
      </c>
      <c r="BF378" t="str">
        <f>HYPERLINK("http://dx.doi.org/10.1108/00330330910978554","http://dx.doi.org/10.1108/00330330910978554")</f>
        <v>http://dx.doi.org/10.1108/00330330910978554</v>
      </c>
      <c r="BG378" t="s">
        <v>74</v>
      </c>
      <c r="BH378" t="s">
        <v>74</v>
      </c>
      <c r="BI378">
        <v>13</v>
      </c>
      <c r="BJ378" t="s">
        <v>10116</v>
      </c>
      <c r="BK378" t="s">
        <v>12585</v>
      </c>
      <c r="BL378" t="s">
        <v>10117</v>
      </c>
      <c r="BM378" t="s">
        <v>12586</v>
      </c>
      <c r="BN378" t="s">
        <v>74</v>
      </c>
      <c r="BO378" t="s">
        <v>74</v>
      </c>
      <c r="BP378" t="s">
        <v>74</v>
      </c>
      <c r="BQ378" t="s">
        <v>74</v>
      </c>
      <c r="BR378" t="s">
        <v>106</v>
      </c>
      <c r="BS378" t="s">
        <v>12587</v>
      </c>
      <c r="BT378" t="str">
        <f>HYPERLINK("https%3A%2F%2Fwww.webofscience.com%2Fwos%2Fwoscc%2Ffull-record%2FWOS:000269478900002","View Full Record in Web of Science")</f>
        <v>View Full Record in Web of Science</v>
      </c>
    </row>
    <row r="379" spans="1:72" x14ac:dyDescent="0.25">
      <c r="A379" t="s">
        <v>72</v>
      </c>
      <c r="B379" t="s">
        <v>12631</v>
      </c>
      <c r="C379" t="s">
        <v>74</v>
      </c>
      <c r="D379" t="s">
        <v>74</v>
      </c>
      <c r="E379" t="s">
        <v>74</v>
      </c>
      <c r="F379" t="s">
        <v>12632</v>
      </c>
      <c r="G379" t="s">
        <v>74</v>
      </c>
      <c r="H379" t="s">
        <v>74</v>
      </c>
      <c r="I379" s="1" t="s">
        <v>12633</v>
      </c>
      <c r="J379" t="s">
        <v>12634</v>
      </c>
      <c r="K379" t="s">
        <v>74</v>
      </c>
      <c r="L379" t="s">
        <v>74</v>
      </c>
      <c r="M379" t="s">
        <v>78</v>
      </c>
      <c r="N379" t="s">
        <v>79</v>
      </c>
      <c r="O379" t="s">
        <v>74</v>
      </c>
      <c r="P379" t="s">
        <v>74</v>
      </c>
      <c r="Q379" t="s">
        <v>74</v>
      </c>
      <c r="R379" t="s">
        <v>74</v>
      </c>
      <c r="S379" t="s">
        <v>74</v>
      </c>
      <c r="T379" s="1" t="s">
        <v>12635</v>
      </c>
      <c r="U379" s="1" t="s">
        <v>74</v>
      </c>
      <c r="V379" s="1" t="s">
        <v>12636</v>
      </c>
      <c r="W379" t="s">
        <v>12637</v>
      </c>
      <c r="X379" t="s">
        <v>12638</v>
      </c>
      <c r="Y379" t="s">
        <v>12639</v>
      </c>
      <c r="Z379" t="s">
        <v>12640</v>
      </c>
      <c r="AA379" t="s">
        <v>74</v>
      </c>
      <c r="AB379" t="s">
        <v>12641</v>
      </c>
      <c r="AC379" t="s">
        <v>12642</v>
      </c>
      <c r="AD379" t="s">
        <v>12643</v>
      </c>
      <c r="AE379" t="s">
        <v>12644</v>
      </c>
      <c r="AF379" t="s">
        <v>74</v>
      </c>
      <c r="AG379">
        <v>9</v>
      </c>
      <c r="AH379">
        <v>2</v>
      </c>
      <c r="AI379">
        <v>2</v>
      </c>
      <c r="AJ379">
        <v>0</v>
      </c>
      <c r="AK379">
        <v>3</v>
      </c>
      <c r="AL379" t="s">
        <v>254</v>
      </c>
      <c r="AM379" t="s">
        <v>255</v>
      </c>
      <c r="AN379" t="s">
        <v>256</v>
      </c>
      <c r="AO379" t="s">
        <v>12645</v>
      </c>
      <c r="AP379" t="s">
        <v>12646</v>
      </c>
      <c r="AQ379" t="s">
        <v>74</v>
      </c>
      <c r="AR379" t="s">
        <v>12647</v>
      </c>
      <c r="AS379" t="s">
        <v>12648</v>
      </c>
      <c r="AT379" t="s">
        <v>12649</v>
      </c>
      <c r="AU379">
        <v>2008</v>
      </c>
      <c r="AV379">
        <v>8</v>
      </c>
      <c r="AW379">
        <v>4</v>
      </c>
      <c r="AX379" t="s">
        <v>74</v>
      </c>
      <c r="AY379" t="s">
        <v>74</v>
      </c>
      <c r="AZ379" t="s">
        <v>74</v>
      </c>
      <c r="BA379" t="s">
        <v>74</v>
      </c>
      <c r="BB379">
        <v>363</v>
      </c>
      <c r="BC379">
        <v>370</v>
      </c>
      <c r="BD379" t="s">
        <v>74</v>
      </c>
      <c r="BE379" t="s">
        <v>74</v>
      </c>
      <c r="BF379" t="s">
        <v>74</v>
      </c>
      <c r="BG379" t="s">
        <v>74</v>
      </c>
      <c r="BH379" t="s">
        <v>74</v>
      </c>
      <c r="BI379">
        <v>8</v>
      </c>
      <c r="BJ379" t="s">
        <v>7483</v>
      </c>
      <c r="BK379" t="s">
        <v>102</v>
      </c>
      <c r="BL379" t="s">
        <v>1685</v>
      </c>
      <c r="BM379" t="s">
        <v>12650</v>
      </c>
      <c r="BN379" t="s">
        <v>74</v>
      </c>
      <c r="BO379" t="s">
        <v>74</v>
      </c>
      <c r="BP379" t="s">
        <v>74</v>
      </c>
      <c r="BQ379" t="s">
        <v>74</v>
      </c>
      <c r="BR379" t="s">
        <v>106</v>
      </c>
      <c r="BS379" t="s">
        <v>12651</v>
      </c>
      <c r="BT379" t="str">
        <f>HYPERLINK("https%3A%2F%2Fwww.webofscience.com%2Fwos%2Fwoscc%2Ffull-record%2FWOS:000260442900009","View Full Record in Web of Science")</f>
        <v>View Full Record in Web of Science</v>
      </c>
    </row>
    <row r="380" spans="1:72" x14ac:dyDescent="0.25">
      <c r="A380" t="s">
        <v>72</v>
      </c>
      <c r="B380" t="s">
        <v>12871</v>
      </c>
      <c r="C380" t="s">
        <v>74</v>
      </c>
      <c r="D380" t="s">
        <v>74</v>
      </c>
      <c r="E380" t="s">
        <v>74</v>
      </c>
      <c r="F380" t="s">
        <v>12871</v>
      </c>
      <c r="G380" t="s">
        <v>74</v>
      </c>
      <c r="H380" t="s">
        <v>74</v>
      </c>
      <c r="I380" s="1" t="s">
        <v>12872</v>
      </c>
      <c r="J380" t="s">
        <v>12873</v>
      </c>
      <c r="K380" t="s">
        <v>74</v>
      </c>
      <c r="L380" t="s">
        <v>74</v>
      </c>
      <c r="M380" t="s">
        <v>78</v>
      </c>
      <c r="N380" t="s">
        <v>79</v>
      </c>
      <c r="O380" t="s">
        <v>74</v>
      </c>
      <c r="P380" t="s">
        <v>74</v>
      </c>
      <c r="Q380" t="s">
        <v>74</v>
      </c>
      <c r="R380" t="s">
        <v>74</v>
      </c>
      <c r="S380" t="s">
        <v>74</v>
      </c>
      <c r="T380" s="1" t="s">
        <v>74</v>
      </c>
      <c r="U380" s="1" t="s">
        <v>74</v>
      </c>
      <c r="V380" s="1" t="s">
        <v>74</v>
      </c>
      <c r="W380" t="s">
        <v>12874</v>
      </c>
      <c r="X380" t="s">
        <v>74</v>
      </c>
      <c r="Y380" t="s">
        <v>12875</v>
      </c>
      <c r="Z380" t="s">
        <v>74</v>
      </c>
      <c r="AA380" t="s">
        <v>74</v>
      </c>
      <c r="AB380" t="s">
        <v>12876</v>
      </c>
      <c r="AC380" t="s">
        <v>74</v>
      </c>
      <c r="AD380" t="s">
        <v>74</v>
      </c>
      <c r="AE380" t="s">
        <v>74</v>
      </c>
      <c r="AF380" t="s">
        <v>74</v>
      </c>
      <c r="AG380">
        <v>0</v>
      </c>
      <c r="AH380">
        <v>2</v>
      </c>
      <c r="AI380">
        <v>2</v>
      </c>
      <c r="AJ380">
        <v>1</v>
      </c>
      <c r="AK380">
        <v>9</v>
      </c>
      <c r="AL380" t="s">
        <v>12877</v>
      </c>
      <c r="AM380" t="s">
        <v>122</v>
      </c>
      <c r="AN380" t="s">
        <v>12878</v>
      </c>
      <c r="AO380" t="s">
        <v>12879</v>
      </c>
      <c r="AP380" t="s">
        <v>74</v>
      </c>
      <c r="AQ380" t="s">
        <v>74</v>
      </c>
      <c r="AR380" t="s">
        <v>12880</v>
      </c>
      <c r="AS380" t="s">
        <v>12881</v>
      </c>
      <c r="AT380" t="s">
        <v>1280</v>
      </c>
      <c r="AU380">
        <v>2001</v>
      </c>
      <c r="AV380">
        <v>44</v>
      </c>
      <c r="AW380">
        <v>5</v>
      </c>
      <c r="AX380" t="s">
        <v>74</v>
      </c>
      <c r="AY380" t="s">
        <v>74</v>
      </c>
      <c r="AZ380" t="s">
        <v>74</v>
      </c>
      <c r="BA380" t="s">
        <v>74</v>
      </c>
      <c r="BB380">
        <v>43</v>
      </c>
      <c r="BC380">
        <v>43</v>
      </c>
      <c r="BD380" t="s">
        <v>74</v>
      </c>
      <c r="BE380" t="s">
        <v>12882</v>
      </c>
      <c r="BF380" t="str">
        <f>HYPERLINK("http://dx.doi.org/10.1145/374308.374336","http://dx.doi.org/10.1145/374308.374336")</f>
        <v>http://dx.doi.org/10.1145/374308.374336</v>
      </c>
      <c r="BG380" t="s">
        <v>74</v>
      </c>
      <c r="BH380" t="s">
        <v>74</v>
      </c>
      <c r="BI380">
        <v>1</v>
      </c>
      <c r="BJ380" t="s">
        <v>12883</v>
      </c>
      <c r="BK380" t="s">
        <v>102</v>
      </c>
      <c r="BL380" t="s">
        <v>399</v>
      </c>
      <c r="BM380" t="s">
        <v>12884</v>
      </c>
      <c r="BN380" t="s">
        <v>74</v>
      </c>
      <c r="BO380" t="s">
        <v>791</v>
      </c>
      <c r="BP380" t="s">
        <v>74</v>
      </c>
      <c r="BQ380" t="s">
        <v>74</v>
      </c>
      <c r="BR380" t="s">
        <v>106</v>
      </c>
      <c r="BS380" t="s">
        <v>12885</v>
      </c>
      <c r="BT380" t="str">
        <f>HYPERLINK("https%3A%2F%2Fwww.webofscience.com%2Fwos%2Fwoscc%2Ffull-record%2FWOS:000168469700012","View Full Record in Web of Science")</f>
        <v>View Full Record in Web of Science</v>
      </c>
    </row>
    <row r="381" spans="1:72" x14ac:dyDescent="0.25">
      <c r="A381" t="s">
        <v>72</v>
      </c>
      <c r="B381" t="s">
        <v>616</v>
      </c>
      <c r="C381" t="s">
        <v>74</v>
      </c>
      <c r="D381" t="s">
        <v>74</v>
      </c>
      <c r="E381" t="s">
        <v>74</v>
      </c>
      <c r="F381" t="s">
        <v>617</v>
      </c>
      <c r="G381" t="s">
        <v>74</v>
      </c>
      <c r="H381" t="s">
        <v>74</v>
      </c>
      <c r="I381" s="1" t="s">
        <v>618</v>
      </c>
      <c r="J381" t="s">
        <v>191</v>
      </c>
      <c r="K381" t="s">
        <v>74</v>
      </c>
      <c r="L381" t="s">
        <v>74</v>
      </c>
      <c r="M381" t="s">
        <v>78</v>
      </c>
      <c r="N381" t="s">
        <v>79</v>
      </c>
      <c r="O381" t="s">
        <v>74</v>
      </c>
      <c r="P381" t="s">
        <v>74</v>
      </c>
      <c r="Q381" t="s">
        <v>74</v>
      </c>
      <c r="R381" t="s">
        <v>74</v>
      </c>
      <c r="S381" t="s">
        <v>74</v>
      </c>
      <c r="T381" s="1" t="s">
        <v>619</v>
      </c>
      <c r="U381" s="1" t="s">
        <v>620</v>
      </c>
      <c r="V381" s="1" t="s">
        <v>621</v>
      </c>
      <c r="W381" t="s">
        <v>622</v>
      </c>
      <c r="X381" t="s">
        <v>623</v>
      </c>
      <c r="Y381" t="s">
        <v>624</v>
      </c>
      <c r="Z381" t="s">
        <v>625</v>
      </c>
      <c r="AA381" t="s">
        <v>74</v>
      </c>
      <c r="AB381" t="s">
        <v>74</v>
      </c>
      <c r="AC381" t="s">
        <v>74</v>
      </c>
      <c r="AD381" t="s">
        <v>74</v>
      </c>
      <c r="AE381" t="s">
        <v>74</v>
      </c>
      <c r="AF381" t="s">
        <v>74</v>
      </c>
      <c r="AG381">
        <v>51</v>
      </c>
      <c r="AH381">
        <v>1</v>
      </c>
      <c r="AI381">
        <v>1</v>
      </c>
      <c r="AJ381">
        <v>8</v>
      </c>
      <c r="AK381">
        <v>8</v>
      </c>
      <c r="AL381" t="s">
        <v>202</v>
      </c>
      <c r="AM381" t="s">
        <v>203</v>
      </c>
      <c r="AN381" t="s">
        <v>204</v>
      </c>
      <c r="AO381" t="s">
        <v>74</v>
      </c>
      <c r="AP381" t="s">
        <v>205</v>
      </c>
      <c r="AQ381" t="s">
        <v>74</v>
      </c>
      <c r="AR381" t="s">
        <v>206</v>
      </c>
      <c r="AS381" t="s">
        <v>207</v>
      </c>
      <c r="AT381" t="s">
        <v>626</v>
      </c>
      <c r="AU381">
        <v>2023</v>
      </c>
      <c r="AV381">
        <v>15</v>
      </c>
      <c r="AW381">
        <v>15</v>
      </c>
      <c r="AX381" t="s">
        <v>74</v>
      </c>
      <c r="AY381" t="s">
        <v>74</v>
      </c>
      <c r="AZ381" t="s">
        <v>74</v>
      </c>
      <c r="BA381" t="s">
        <v>74</v>
      </c>
      <c r="BB381" t="s">
        <v>74</v>
      </c>
      <c r="BC381" t="s">
        <v>74</v>
      </c>
      <c r="BD381">
        <v>11509</v>
      </c>
      <c r="BE381" t="s">
        <v>627</v>
      </c>
      <c r="BF381" t="str">
        <f>HYPERLINK("http://dx.doi.org/10.3390/su151511509","http://dx.doi.org/10.3390/su151511509")</f>
        <v>http://dx.doi.org/10.3390/su151511509</v>
      </c>
      <c r="BG381" t="s">
        <v>74</v>
      </c>
      <c r="BH381" t="s">
        <v>74</v>
      </c>
      <c r="BI381">
        <v>20</v>
      </c>
      <c r="BJ381" t="s">
        <v>210</v>
      </c>
      <c r="BK381" t="s">
        <v>211</v>
      </c>
      <c r="BL381" t="s">
        <v>212</v>
      </c>
      <c r="BM381" t="s">
        <v>628</v>
      </c>
      <c r="BN381" t="s">
        <v>74</v>
      </c>
      <c r="BO381" t="s">
        <v>186</v>
      </c>
      <c r="BP381" t="s">
        <v>74</v>
      </c>
      <c r="BQ381" t="s">
        <v>74</v>
      </c>
      <c r="BR381" t="s">
        <v>106</v>
      </c>
      <c r="BS381" t="s">
        <v>629</v>
      </c>
      <c r="BT381" t="str">
        <f>HYPERLINK("https%3A%2F%2Fwww.webofscience.com%2Fwos%2Fwoscc%2Ffull-record%2FWOS:001045747500001","View Full Record in Web of Science")</f>
        <v>View Full Record in Web of Science</v>
      </c>
    </row>
    <row r="382" spans="1:72" x14ac:dyDescent="0.25">
      <c r="A382" t="s">
        <v>72</v>
      </c>
      <c r="B382" t="s">
        <v>726</v>
      </c>
      <c r="C382" t="s">
        <v>74</v>
      </c>
      <c r="D382" t="s">
        <v>74</v>
      </c>
      <c r="E382" t="s">
        <v>74</v>
      </c>
      <c r="F382" t="s">
        <v>727</v>
      </c>
      <c r="G382" t="s">
        <v>74</v>
      </c>
      <c r="H382" t="s">
        <v>74</v>
      </c>
      <c r="I382" s="1" t="s">
        <v>728</v>
      </c>
      <c r="J382" t="s">
        <v>729</v>
      </c>
      <c r="K382" t="s">
        <v>74</v>
      </c>
      <c r="L382" t="s">
        <v>74</v>
      </c>
      <c r="M382" t="s">
        <v>78</v>
      </c>
      <c r="N382" t="s">
        <v>112</v>
      </c>
      <c r="O382" t="s">
        <v>74</v>
      </c>
      <c r="P382" t="s">
        <v>74</v>
      </c>
      <c r="Q382" t="s">
        <v>74</v>
      </c>
      <c r="R382" t="s">
        <v>74</v>
      </c>
      <c r="S382" t="s">
        <v>74</v>
      </c>
      <c r="T382" s="1" t="s">
        <v>730</v>
      </c>
      <c r="U382" s="1" t="s">
        <v>731</v>
      </c>
      <c r="V382" s="1" t="s">
        <v>732</v>
      </c>
      <c r="W382" t="s">
        <v>733</v>
      </c>
      <c r="X382" t="s">
        <v>734</v>
      </c>
      <c r="Y382" t="s">
        <v>735</v>
      </c>
      <c r="Z382" t="s">
        <v>736</v>
      </c>
      <c r="AA382" t="s">
        <v>74</v>
      </c>
      <c r="AB382" t="s">
        <v>74</v>
      </c>
      <c r="AC382" t="s">
        <v>74</v>
      </c>
      <c r="AD382" t="s">
        <v>74</v>
      </c>
      <c r="AE382" t="s">
        <v>74</v>
      </c>
      <c r="AF382" t="s">
        <v>74</v>
      </c>
      <c r="AG382">
        <v>35</v>
      </c>
      <c r="AH382">
        <v>1</v>
      </c>
      <c r="AI382">
        <v>1</v>
      </c>
      <c r="AJ382">
        <v>2</v>
      </c>
      <c r="AK382">
        <v>2</v>
      </c>
      <c r="AL382" t="s">
        <v>146</v>
      </c>
      <c r="AM382" t="s">
        <v>147</v>
      </c>
      <c r="AN382" t="s">
        <v>148</v>
      </c>
      <c r="AO382" t="s">
        <v>737</v>
      </c>
      <c r="AP382" t="s">
        <v>738</v>
      </c>
      <c r="AQ382" t="s">
        <v>74</v>
      </c>
      <c r="AR382" t="s">
        <v>739</v>
      </c>
      <c r="AS382" t="s">
        <v>740</v>
      </c>
      <c r="AT382" t="s">
        <v>741</v>
      </c>
      <c r="AU382">
        <v>2023</v>
      </c>
      <c r="AV382" t="s">
        <v>74</v>
      </c>
      <c r="AW382" t="s">
        <v>74</v>
      </c>
      <c r="AX382" t="s">
        <v>74</v>
      </c>
      <c r="AY382" t="s">
        <v>74</v>
      </c>
      <c r="AZ382" t="s">
        <v>74</v>
      </c>
      <c r="BA382" t="s">
        <v>74</v>
      </c>
      <c r="BB382" t="s">
        <v>74</v>
      </c>
      <c r="BC382" t="s">
        <v>74</v>
      </c>
      <c r="BD382" t="s">
        <v>74</v>
      </c>
      <c r="BE382" t="s">
        <v>742</v>
      </c>
      <c r="BF382" t="str">
        <f>HYPERLINK("http://dx.doi.org/10.1111/jerd.13073","http://dx.doi.org/10.1111/jerd.13073")</f>
        <v>http://dx.doi.org/10.1111/jerd.13073</v>
      </c>
      <c r="BG382" t="s">
        <v>74</v>
      </c>
      <c r="BH382" t="s">
        <v>675</v>
      </c>
      <c r="BI382">
        <v>11</v>
      </c>
      <c r="BJ382" t="s">
        <v>743</v>
      </c>
      <c r="BK382" t="s">
        <v>102</v>
      </c>
      <c r="BL382" t="s">
        <v>743</v>
      </c>
      <c r="BM382" t="s">
        <v>744</v>
      </c>
      <c r="BN382">
        <v>37449557</v>
      </c>
      <c r="BO382" t="s">
        <v>74</v>
      </c>
      <c r="BP382" t="s">
        <v>74</v>
      </c>
      <c r="BQ382" t="s">
        <v>74</v>
      </c>
      <c r="BR382" t="s">
        <v>106</v>
      </c>
      <c r="BS382" t="s">
        <v>745</v>
      </c>
      <c r="BT382" t="str">
        <f>HYPERLINK("https%3A%2F%2Fwww.webofscience.com%2Fwos%2Fwoscc%2Ffull-record%2FWOS:001027659400001","View Full Record in Web of Science")</f>
        <v>View Full Record in Web of Science</v>
      </c>
    </row>
    <row r="383" spans="1:72" x14ac:dyDescent="0.25">
      <c r="A383" t="s">
        <v>72</v>
      </c>
      <c r="B383" t="s">
        <v>946</v>
      </c>
      <c r="C383" t="s">
        <v>74</v>
      </c>
      <c r="D383" t="s">
        <v>74</v>
      </c>
      <c r="E383" t="s">
        <v>74</v>
      </c>
      <c r="F383" t="s">
        <v>947</v>
      </c>
      <c r="G383" t="s">
        <v>74</v>
      </c>
      <c r="H383" t="s">
        <v>74</v>
      </c>
      <c r="I383" s="1" t="s">
        <v>948</v>
      </c>
      <c r="J383" t="s">
        <v>218</v>
      </c>
      <c r="K383" t="s">
        <v>74</v>
      </c>
      <c r="L383" t="s">
        <v>74</v>
      </c>
      <c r="M383" t="s">
        <v>78</v>
      </c>
      <c r="N383" t="s">
        <v>79</v>
      </c>
      <c r="O383" t="s">
        <v>74</v>
      </c>
      <c r="P383" t="s">
        <v>74</v>
      </c>
      <c r="Q383" t="s">
        <v>74</v>
      </c>
      <c r="R383" t="s">
        <v>74</v>
      </c>
      <c r="S383" t="s">
        <v>74</v>
      </c>
      <c r="T383" s="1" t="s">
        <v>949</v>
      </c>
      <c r="U383" s="1" t="s">
        <v>950</v>
      </c>
      <c r="V383" s="1" t="s">
        <v>951</v>
      </c>
      <c r="W383" t="s">
        <v>952</v>
      </c>
      <c r="X383" t="s">
        <v>953</v>
      </c>
      <c r="Y383" t="s">
        <v>954</v>
      </c>
      <c r="Z383" t="s">
        <v>955</v>
      </c>
      <c r="AA383" t="s">
        <v>74</v>
      </c>
      <c r="AB383" t="s">
        <v>74</v>
      </c>
      <c r="AC383" t="s">
        <v>74</v>
      </c>
      <c r="AD383" t="s">
        <v>74</v>
      </c>
      <c r="AE383" t="s">
        <v>74</v>
      </c>
      <c r="AF383" t="s">
        <v>74</v>
      </c>
      <c r="AG383">
        <v>80</v>
      </c>
      <c r="AH383">
        <v>1</v>
      </c>
      <c r="AI383">
        <v>1</v>
      </c>
      <c r="AJ383">
        <v>17</v>
      </c>
      <c r="AK383">
        <v>17</v>
      </c>
      <c r="AL383" t="s">
        <v>231</v>
      </c>
      <c r="AM383" t="s">
        <v>232</v>
      </c>
      <c r="AN383" t="s">
        <v>233</v>
      </c>
      <c r="AO383" t="s">
        <v>234</v>
      </c>
      <c r="AP383" t="s">
        <v>235</v>
      </c>
      <c r="AQ383" t="s">
        <v>74</v>
      </c>
      <c r="AR383" t="s">
        <v>236</v>
      </c>
      <c r="AS383" t="s">
        <v>237</v>
      </c>
      <c r="AT383" t="s">
        <v>356</v>
      </c>
      <c r="AU383">
        <v>2023</v>
      </c>
      <c r="AV383">
        <v>263</v>
      </c>
      <c r="AW383" t="s">
        <v>74</v>
      </c>
      <c r="AX383" t="s">
        <v>74</v>
      </c>
      <c r="AY383" t="s">
        <v>74</v>
      </c>
      <c r="AZ383" t="s">
        <v>74</v>
      </c>
      <c r="BA383" t="s">
        <v>74</v>
      </c>
      <c r="BB383" t="s">
        <v>74</v>
      </c>
      <c r="BC383" t="s">
        <v>74</v>
      </c>
      <c r="BD383">
        <v>108937</v>
      </c>
      <c r="BE383" t="s">
        <v>956</v>
      </c>
      <c r="BF383" t="str">
        <f>HYPERLINK("http://dx.doi.org/10.1016/j.ijpe.2023.108937","http://dx.doi.org/10.1016/j.ijpe.2023.108937")</f>
        <v>http://dx.doi.org/10.1016/j.ijpe.2023.108937</v>
      </c>
      <c r="BG383" t="s">
        <v>74</v>
      </c>
      <c r="BH383" t="s">
        <v>675</v>
      </c>
      <c r="BI383">
        <v>14</v>
      </c>
      <c r="BJ383" t="s">
        <v>239</v>
      </c>
      <c r="BK383" t="s">
        <v>102</v>
      </c>
      <c r="BL383" t="s">
        <v>240</v>
      </c>
      <c r="BM383" t="s">
        <v>957</v>
      </c>
      <c r="BN383" t="s">
        <v>74</v>
      </c>
      <c r="BO383" t="s">
        <v>74</v>
      </c>
      <c r="BP383" t="s">
        <v>74</v>
      </c>
      <c r="BQ383" t="s">
        <v>74</v>
      </c>
      <c r="BR383" t="s">
        <v>106</v>
      </c>
      <c r="BS383" t="s">
        <v>958</v>
      </c>
      <c r="BT383" t="str">
        <f>HYPERLINK("https%3A%2F%2Fwww.webofscience.com%2Fwos%2Fwoscc%2Ffull-record%2FWOS:001031861600001","View Full Record in Web of Science")</f>
        <v>View Full Record in Web of Science</v>
      </c>
    </row>
    <row r="384" spans="1:72" x14ac:dyDescent="0.25">
      <c r="A384" t="s">
        <v>72</v>
      </c>
      <c r="B384" t="s">
        <v>1085</v>
      </c>
      <c r="C384" t="s">
        <v>74</v>
      </c>
      <c r="D384" t="s">
        <v>74</v>
      </c>
      <c r="E384" t="s">
        <v>74</v>
      </c>
      <c r="F384" t="s">
        <v>1086</v>
      </c>
      <c r="G384" t="s">
        <v>74</v>
      </c>
      <c r="H384" t="s">
        <v>74</v>
      </c>
      <c r="I384" s="1" t="s">
        <v>1087</v>
      </c>
      <c r="J384" t="s">
        <v>1088</v>
      </c>
      <c r="K384" t="s">
        <v>74</v>
      </c>
      <c r="L384" t="s">
        <v>74</v>
      </c>
      <c r="M384" t="s">
        <v>78</v>
      </c>
      <c r="N384" t="s">
        <v>112</v>
      </c>
      <c r="O384" t="s">
        <v>74</v>
      </c>
      <c r="P384" t="s">
        <v>74</v>
      </c>
      <c r="Q384" t="s">
        <v>74</v>
      </c>
      <c r="R384" t="s">
        <v>74</v>
      </c>
      <c r="S384" t="s">
        <v>74</v>
      </c>
      <c r="T384" s="1" t="s">
        <v>1089</v>
      </c>
      <c r="U384" s="1" t="s">
        <v>1090</v>
      </c>
      <c r="V384" s="1" t="s">
        <v>1091</v>
      </c>
      <c r="W384" t="s">
        <v>1092</v>
      </c>
      <c r="X384" t="s">
        <v>1093</v>
      </c>
      <c r="Y384" t="s">
        <v>1094</v>
      </c>
      <c r="Z384" t="s">
        <v>1095</v>
      </c>
      <c r="AA384" t="s">
        <v>74</v>
      </c>
      <c r="AB384" t="s">
        <v>1096</v>
      </c>
      <c r="AC384" t="s">
        <v>74</v>
      </c>
      <c r="AD384" t="s">
        <v>74</v>
      </c>
      <c r="AE384" t="s">
        <v>74</v>
      </c>
      <c r="AF384" t="s">
        <v>74</v>
      </c>
      <c r="AG384">
        <v>54</v>
      </c>
      <c r="AH384">
        <v>1</v>
      </c>
      <c r="AI384">
        <v>1</v>
      </c>
      <c r="AJ384">
        <v>3</v>
      </c>
      <c r="AK384">
        <v>3</v>
      </c>
      <c r="AL384" t="s">
        <v>492</v>
      </c>
      <c r="AM384" t="s">
        <v>493</v>
      </c>
      <c r="AN384" t="s">
        <v>494</v>
      </c>
      <c r="AO384" t="s">
        <v>1097</v>
      </c>
      <c r="AP384" t="s">
        <v>1098</v>
      </c>
      <c r="AQ384" t="s">
        <v>74</v>
      </c>
      <c r="AR384" t="s">
        <v>1099</v>
      </c>
      <c r="AS384" t="s">
        <v>1100</v>
      </c>
      <c r="AT384" t="s">
        <v>1101</v>
      </c>
      <c r="AU384">
        <v>2023</v>
      </c>
      <c r="AV384" t="s">
        <v>74</v>
      </c>
      <c r="AW384" t="s">
        <v>74</v>
      </c>
      <c r="AX384" t="s">
        <v>74</v>
      </c>
      <c r="AY384" t="s">
        <v>74</v>
      </c>
      <c r="AZ384" t="s">
        <v>74</v>
      </c>
      <c r="BA384" t="s">
        <v>74</v>
      </c>
      <c r="BB384" t="s">
        <v>74</v>
      </c>
      <c r="BC384" t="s">
        <v>74</v>
      </c>
      <c r="BD384" t="s">
        <v>74</v>
      </c>
      <c r="BE384" t="s">
        <v>1102</v>
      </c>
      <c r="BF384" t="str">
        <f>HYPERLINK("http://dx.doi.org/10.1080/10438599.2023.2222268","http://dx.doi.org/10.1080/10438599.2023.2222268")</f>
        <v>http://dx.doi.org/10.1080/10438599.2023.2222268</v>
      </c>
      <c r="BG384" t="s">
        <v>74</v>
      </c>
      <c r="BH384" t="s">
        <v>1022</v>
      </c>
      <c r="BI384">
        <v>21</v>
      </c>
      <c r="BJ384" t="s">
        <v>521</v>
      </c>
      <c r="BK384" t="s">
        <v>156</v>
      </c>
      <c r="BL384" t="s">
        <v>265</v>
      </c>
      <c r="BM384" t="s">
        <v>1103</v>
      </c>
      <c r="BN384" t="s">
        <v>74</v>
      </c>
      <c r="BO384" t="s">
        <v>74</v>
      </c>
      <c r="BP384" t="s">
        <v>74</v>
      </c>
      <c r="BQ384" t="s">
        <v>74</v>
      </c>
      <c r="BR384" t="s">
        <v>106</v>
      </c>
      <c r="BS384" t="s">
        <v>1104</v>
      </c>
      <c r="BT384" t="str">
        <f>HYPERLINK("https%3A%2F%2Fwww.webofscience.com%2Fwos%2Fwoscc%2Ffull-record%2FWOS:001004384200001","View Full Record in Web of Science")</f>
        <v>View Full Record in Web of Science</v>
      </c>
    </row>
    <row r="385" spans="1:72" x14ac:dyDescent="0.25">
      <c r="A385" t="s">
        <v>72</v>
      </c>
      <c r="B385" t="s">
        <v>1184</v>
      </c>
      <c r="C385" t="s">
        <v>74</v>
      </c>
      <c r="D385" t="s">
        <v>74</v>
      </c>
      <c r="E385" t="s">
        <v>74</v>
      </c>
      <c r="F385" t="s">
        <v>1185</v>
      </c>
      <c r="G385" t="s">
        <v>74</v>
      </c>
      <c r="H385" t="s">
        <v>74</v>
      </c>
      <c r="I385" s="1" t="s">
        <v>1186</v>
      </c>
      <c r="J385" t="s">
        <v>321</v>
      </c>
      <c r="K385" t="s">
        <v>74</v>
      </c>
      <c r="L385" t="s">
        <v>74</v>
      </c>
      <c r="M385" t="s">
        <v>78</v>
      </c>
      <c r="N385" t="s">
        <v>79</v>
      </c>
      <c r="O385" t="s">
        <v>74</v>
      </c>
      <c r="P385" t="s">
        <v>74</v>
      </c>
      <c r="Q385" t="s">
        <v>74</v>
      </c>
      <c r="R385" t="s">
        <v>74</v>
      </c>
      <c r="S385" t="s">
        <v>74</v>
      </c>
      <c r="T385" s="1" t="s">
        <v>1187</v>
      </c>
      <c r="U385" s="1" t="s">
        <v>1188</v>
      </c>
      <c r="V385" s="1" t="s">
        <v>1189</v>
      </c>
      <c r="W385" t="s">
        <v>1190</v>
      </c>
      <c r="X385" t="s">
        <v>1191</v>
      </c>
      <c r="Y385" t="s">
        <v>1192</v>
      </c>
      <c r="Z385" t="s">
        <v>1193</v>
      </c>
      <c r="AA385" t="s">
        <v>1194</v>
      </c>
      <c r="AB385" t="s">
        <v>1195</v>
      </c>
      <c r="AC385" t="s">
        <v>1196</v>
      </c>
      <c r="AD385" t="s">
        <v>1196</v>
      </c>
      <c r="AE385" t="s">
        <v>1197</v>
      </c>
      <c r="AF385" t="s">
        <v>74</v>
      </c>
      <c r="AG385">
        <v>95</v>
      </c>
      <c r="AH385">
        <v>1</v>
      </c>
      <c r="AI385">
        <v>1</v>
      </c>
      <c r="AJ385">
        <v>49</v>
      </c>
      <c r="AK385">
        <v>49</v>
      </c>
      <c r="AL385" t="s">
        <v>332</v>
      </c>
      <c r="AM385" t="s">
        <v>122</v>
      </c>
      <c r="AN385" t="s">
        <v>333</v>
      </c>
      <c r="AO385" t="s">
        <v>334</v>
      </c>
      <c r="AP385" t="s">
        <v>335</v>
      </c>
      <c r="AQ385" t="s">
        <v>74</v>
      </c>
      <c r="AR385" t="s">
        <v>336</v>
      </c>
      <c r="AS385" t="s">
        <v>337</v>
      </c>
      <c r="AT385" t="s">
        <v>626</v>
      </c>
      <c r="AU385">
        <v>2023</v>
      </c>
      <c r="AV385">
        <v>193</v>
      </c>
      <c r="AW385" t="s">
        <v>74</v>
      </c>
      <c r="AX385" t="s">
        <v>74</v>
      </c>
      <c r="AY385" t="s">
        <v>74</v>
      </c>
      <c r="AZ385" t="s">
        <v>74</v>
      </c>
      <c r="BA385" t="s">
        <v>74</v>
      </c>
      <c r="BB385" t="s">
        <v>74</v>
      </c>
      <c r="BC385" t="s">
        <v>74</v>
      </c>
      <c r="BD385">
        <v>122638</v>
      </c>
      <c r="BE385" t="s">
        <v>1198</v>
      </c>
      <c r="BF385" t="str">
        <f>HYPERLINK("http://dx.doi.org/10.1016/j.techfore.2023.122638","http://dx.doi.org/10.1016/j.techfore.2023.122638")</f>
        <v>http://dx.doi.org/10.1016/j.techfore.2023.122638</v>
      </c>
      <c r="BG385" t="s">
        <v>74</v>
      </c>
      <c r="BH385" t="s">
        <v>1181</v>
      </c>
      <c r="BI385">
        <v>12</v>
      </c>
      <c r="BJ385" t="s">
        <v>339</v>
      </c>
      <c r="BK385" t="s">
        <v>156</v>
      </c>
      <c r="BL385" t="s">
        <v>340</v>
      </c>
      <c r="BM385" t="s">
        <v>1199</v>
      </c>
      <c r="BN385" t="s">
        <v>74</v>
      </c>
      <c r="BO385" t="s">
        <v>105</v>
      </c>
      <c r="BP385" t="s">
        <v>74</v>
      </c>
      <c r="BQ385" t="s">
        <v>74</v>
      </c>
      <c r="BR385" t="s">
        <v>106</v>
      </c>
      <c r="BS385" t="s">
        <v>1200</v>
      </c>
      <c r="BT385" t="str">
        <f>HYPERLINK("https%3A%2F%2Fwww.webofscience.com%2Fwos%2Fwoscc%2Ffull-record%2FWOS:001012928700001","View Full Record in Web of Science")</f>
        <v>View Full Record in Web of Science</v>
      </c>
    </row>
    <row r="386" spans="1:72" x14ac:dyDescent="0.25">
      <c r="A386" t="s">
        <v>72</v>
      </c>
      <c r="B386" t="s">
        <v>1201</v>
      </c>
      <c r="C386" t="s">
        <v>74</v>
      </c>
      <c r="D386" t="s">
        <v>74</v>
      </c>
      <c r="E386" t="s">
        <v>74</v>
      </c>
      <c r="F386" t="s">
        <v>1202</v>
      </c>
      <c r="G386" t="s">
        <v>74</v>
      </c>
      <c r="H386" t="s">
        <v>74</v>
      </c>
      <c r="I386" s="1" t="s">
        <v>1203</v>
      </c>
      <c r="J386" t="s">
        <v>1204</v>
      </c>
      <c r="K386" t="s">
        <v>74</v>
      </c>
      <c r="L386" t="s">
        <v>74</v>
      </c>
      <c r="M386" t="s">
        <v>78</v>
      </c>
      <c r="N386" t="s">
        <v>79</v>
      </c>
      <c r="O386" t="s">
        <v>74</v>
      </c>
      <c r="P386" t="s">
        <v>74</v>
      </c>
      <c r="Q386" t="s">
        <v>74</v>
      </c>
      <c r="R386" t="s">
        <v>74</v>
      </c>
      <c r="S386" t="s">
        <v>74</v>
      </c>
      <c r="T386" s="1" t="s">
        <v>1205</v>
      </c>
      <c r="U386" s="1" t="s">
        <v>1206</v>
      </c>
      <c r="V386" s="1" t="s">
        <v>1207</v>
      </c>
      <c r="W386" t="s">
        <v>1208</v>
      </c>
      <c r="X386" t="s">
        <v>1209</v>
      </c>
      <c r="Y386" t="s">
        <v>1210</v>
      </c>
      <c r="Z386" t="s">
        <v>1211</v>
      </c>
      <c r="AA386" t="s">
        <v>74</v>
      </c>
      <c r="AB386" t="s">
        <v>74</v>
      </c>
      <c r="AC386" t="s">
        <v>74</v>
      </c>
      <c r="AD386" t="s">
        <v>74</v>
      </c>
      <c r="AE386" t="s">
        <v>74</v>
      </c>
      <c r="AF386" t="s">
        <v>74</v>
      </c>
      <c r="AG386">
        <v>29</v>
      </c>
      <c r="AH386">
        <v>1</v>
      </c>
      <c r="AI386">
        <v>1</v>
      </c>
      <c r="AJ386">
        <v>11</v>
      </c>
      <c r="AK386">
        <v>11</v>
      </c>
      <c r="AL386" t="s">
        <v>121</v>
      </c>
      <c r="AM386" t="s">
        <v>122</v>
      </c>
      <c r="AN386" t="s">
        <v>123</v>
      </c>
      <c r="AO386" t="s">
        <v>74</v>
      </c>
      <c r="AP386" t="s">
        <v>1212</v>
      </c>
      <c r="AQ386" t="s">
        <v>74</v>
      </c>
      <c r="AR386" t="s">
        <v>1213</v>
      </c>
      <c r="AS386" t="s">
        <v>1214</v>
      </c>
      <c r="AT386" t="s">
        <v>1215</v>
      </c>
      <c r="AU386">
        <v>2023</v>
      </c>
      <c r="AV386">
        <v>12</v>
      </c>
      <c r="AW386">
        <v>1</v>
      </c>
      <c r="AX386" t="s">
        <v>74</v>
      </c>
      <c r="AY386" t="s">
        <v>74</v>
      </c>
      <c r="AZ386" t="s">
        <v>74</v>
      </c>
      <c r="BA386" t="s">
        <v>74</v>
      </c>
      <c r="BB386" t="s">
        <v>74</v>
      </c>
      <c r="BC386" t="s">
        <v>74</v>
      </c>
      <c r="BD386">
        <v>79</v>
      </c>
      <c r="BE386" t="s">
        <v>1216</v>
      </c>
      <c r="BF386" t="str">
        <f>HYPERLINK("http://dx.doi.org/10.1186/s13677-023-00454-2","http://dx.doi.org/10.1186/s13677-023-00454-2")</f>
        <v>http://dx.doi.org/10.1186/s13677-023-00454-2</v>
      </c>
      <c r="BG386" t="s">
        <v>74</v>
      </c>
      <c r="BH386" t="s">
        <v>74</v>
      </c>
      <c r="BI386">
        <v>12</v>
      </c>
      <c r="BJ386" t="s">
        <v>1217</v>
      </c>
      <c r="BK386" t="s">
        <v>102</v>
      </c>
      <c r="BL386" t="s">
        <v>399</v>
      </c>
      <c r="BM386" t="s">
        <v>1218</v>
      </c>
      <c r="BN386">
        <v>37220560</v>
      </c>
      <c r="BO386" t="s">
        <v>1219</v>
      </c>
      <c r="BP386" t="s">
        <v>74</v>
      </c>
      <c r="BQ386" t="s">
        <v>74</v>
      </c>
      <c r="BR386" t="s">
        <v>106</v>
      </c>
      <c r="BS386" t="s">
        <v>1220</v>
      </c>
      <c r="BT386" t="str">
        <f>HYPERLINK("https%3A%2F%2Fwww.webofscience.com%2Fwos%2Fwoscc%2Ffull-record%2FWOS:000989176900001","View Full Record in Web of Science")</f>
        <v>View Full Record in Web of Science</v>
      </c>
    </row>
    <row r="387" spans="1:72" x14ac:dyDescent="0.25">
      <c r="A387" t="s">
        <v>72</v>
      </c>
      <c r="B387" t="s">
        <v>1242</v>
      </c>
      <c r="C387" t="s">
        <v>74</v>
      </c>
      <c r="D387" t="s">
        <v>74</v>
      </c>
      <c r="E387" t="s">
        <v>74</v>
      </c>
      <c r="F387" t="s">
        <v>1243</v>
      </c>
      <c r="G387" t="s">
        <v>74</v>
      </c>
      <c r="H387" t="s">
        <v>74</v>
      </c>
      <c r="I387" s="1" t="s">
        <v>1244</v>
      </c>
      <c r="J387" t="s">
        <v>1245</v>
      </c>
      <c r="K387" t="s">
        <v>74</v>
      </c>
      <c r="L387" t="s">
        <v>74</v>
      </c>
      <c r="M387" t="s">
        <v>78</v>
      </c>
      <c r="N387" t="s">
        <v>112</v>
      </c>
      <c r="O387" t="s">
        <v>74</v>
      </c>
      <c r="P387" t="s">
        <v>74</v>
      </c>
      <c r="Q387" t="s">
        <v>74</v>
      </c>
      <c r="R387" t="s">
        <v>74</v>
      </c>
      <c r="S387" t="s">
        <v>74</v>
      </c>
      <c r="T387" s="1" t="s">
        <v>1246</v>
      </c>
      <c r="U387" s="1" t="s">
        <v>1247</v>
      </c>
      <c r="V387" s="1" t="s">
        <v>1248</v>
      </c>
      <c r="W387" t="s">
        <v>1249</v>
      </c>
      <c r="X387" t="s">
        <v>1250</v>
      </c>
      <c r="Y387" t="s">
        <v>1251</v>
      </c>
      <c r="Z387" t="s">
        <v>1252</v>
      </c>
      <c r="AA387" t="s">
        <v>1253</v>
      </c>
      <c r="AB387" t="s">
        <v>1254</v>
      </c>
      <c r="AC387" t="s">
        <v>1255</v>
      </c>
      <c r="AD387" t="s">
        <v>1256</v>
      </c>
      <c r="AE387" t="s">
        <v>1257</v>
      </c>
      <c r="AF387" t="s">
        <v>74</v>
      </c>
      <c r="AG387">
        <v>118</v>
      </c>
      <c r="AH387">
        <v>1</v>
      </c>
      <c r="AI387">
        <v>1</v>
      </c>
      <c r="AJ387">
        <v>12</v>
      </c>
      <c r="AK387">
        <v>12</v>
      </c>
      <c r="AL387" t="s">
        <v>492</v>
      </c>
      <c r="AM387" t="s">
        <v>493</v>
      </c>
      <c r="AN387" t="s">
        <v>494</v>
      </c>
      <c r="AO387" t="s">
        <v>1258</v>
      </c>
      <c r="AP387" t="s">
        <v>1259</v>
      </c>
      <c r="AQ387" t="s">
        <v>74</v>
      </c>
      <c r="AR387" t="s">
        <v>1260</v>
      </c>
      <c r="AS387" t="s">
        <v>1261</v>
      </c>
      <c r="AT387" t="s">
        <v>1262</v>
      </c>
      <c r="AU387">
        <v>2023</v>
      </c>
      <c r="AV387" t="s">
        <v>74</v>
      </c>
      <c r="AW387" t="s">
        <v>74</v>
      </c>
      <c r="AX387" t="s">
        <v>74</v>
      </c>
      <c r="AY387" t="s">
        <v>74</v>
      </c>
      <c r="AZ387" t="s">
        <v>74</v>
      </c>
      <c r="BA387" t="s">
        <v>74</v>
      </c>
      <c r="BB387" t="s">
        <v>74</v>
      </c>
      <c r="BC387" t="s">
        <v>74</v>
      </c>
      <c r="BD387" t="s">
        <v>74</v>
      </c>
      <c r="BE387" t="s">
        <v>1263</v>
      </c>
      <c r="BF387" t="str">
        <f>HYPERLINK("http://dx.doi.org/10.1080/08985626.2023.2208555","http://dx.doi.org/10.1080/08985626.2023.2208555")</f>
        <v>http://dx.doi.org/10.1080/08985626.2023.2208555</v>
      </c>
      <c r="BG387" t="s">
        <v>74</v>
      </c>
      <c r="BH387" t="s">
        <v>1181</v>
      </c>
      <c r="BI387">
        <v>20</v>
      </c>
      <c r="BJ387" t="s">
        <v>1264</v>
      </c>
      <c r="BK387" t="s">
        <v>156</v>
      </c>
      <c r="BL387" t="s">
        <v>1265</v>
      </c>
      <c r="BM387" t="s">
        <v>1266</v>
      </c>
      <c r="BN387" t="s">
        <v>74</v>
      </c>
      <c r="BO387" t="s">
        <v>74</v>
      </c>
      <c r="BP387" t="s">
        <v>74</v>
      </c>
      <c r="BQ387" t="s">
        <v>74</v>
      </c>
      <c r="BR387" t="s">
        <v>106</v>
      </c>
      <c r="BS387" t="s">
        <v>1267</v>
      </c>
      <c r="BT387" t="str">
        <f>HYPERLINK("https%3A%2F%2Fwww.webofscience.com%2Fwos%2Fwoscc%2Ffull-record%2FWOS:000979815600001","View Full Record in Web of Science")</f>
        <v>View Full Record in Web of Science</v>
      </c>
    </row>
    <row r="388" spans="1:72" x14ac:dyDescent="0.25">
      <c r="A388" t="s">
        <v>72</v>
      </c>
      <c r="B388" t="s">
        <v>1393</v>
      </c>
      <c r="C388" t="s">
        <v>74</v>
      </c>
      <c r="D388" t="s">
        <v>74</v>
      </c>
      <c r="E388" t="s">
        <v>74</v>
      </c>
      <c r="F388" t="s">
        <v>1394</v>
      </c>
      <c r="G388" t="s">
        <v>74</v>
      </c>
      <c r="H388" t="s">
        <v>74</v>
      </c>
      <c r="I388" s="1" t="s">
        <v>1395</v>
      </c>
      <c r="J388" t="s">
        <v>749</v>
      </c>
      <c r="K388" t="s">
        <v>74</v>
      </c>
      <c r="L388" t="s">
        <v>74</v>
      </c>
      <c r="M388" t="s">
        <v>78</v>
      </c>
      <c r="N388" t="s">
        <v>112</v>
      </c>
      <c r="O388" t="s">
        <v>74</v>
      </c>
      <c r="P388" t="s">
        <v>74</v>
      </c>
      <c r="Q388" t="s">
        <v>74</v>
      </c>
      <c r="R388" t="s">
        <v>74</v>
      </c>
      <c r="S388" t="s">
        <v>74</v>
      </c>
      <c r="T388" s="1" t="s">
        <v>1396</v>
      </c>
      <c r="U388" s="1" t="s">
        <v>1397</v>
      </c>
      <c r="V388" s="1" t="s">
        <v>1398</v>
      </c>
      <c r="W388" t="s">
        <v>1399</v>
      </c>
      <c r="X388" t="s">
        <v>1400</v>
      </c>
      <c r="Y388" t="s">
        <v>1401</v>
      </c>
      <c r="Z388" t="s">
        <v>1402</v>
      </c>
      <c r="AA388" t="s">
        <v>1403</v>
      </c>
      <c r="AB388" t="s">
        <v>1404</v>
      </c>
      <c r="AC388" t="s">
        <v>1405</v>
      </c>
      <c r="AD388" t="s">
        <v>1406</v>
      </c>
      <c r="AE388" t="s">
        <v>1407</v>
      </c>
      <c r="AF388" t="s">
        <v>74</v>
      </c>
      <c r="AG388">
        <v>79</v>
      </c>
      <c r="AH388">
        <v>1</v>
      </c>
      <c r="AI388">
        <v>1</v>
      </c>
      <c r="AJ388">
        <v>262</v>
      </c>
      <c r="AK388">
        <v>284</v>
      </c>
      <c r="AL388" t="s">
        <v>715</v>
      </c>
      <c r="AM388" t="s">
        <v>716</v>
      </c>
      <c r="AN388" t="s">
        <v>717</v>
      </c>
      <c r="AO388" t="s">
        <v>760</v>
      </c>
      <c r="AP388" t="s">
        <v>761</v>
      </c>
      <c r="AQ388" t="s">
        <v>74</v>
      </c>
      <c r="AR388" t="s">
        <v>762</v>
      </c>
      <c r="AS388" t="s">
        <v>763</v>
      </c>
      <c r="AT388" t="s">
        <v>1408</v>
      </c>
      <c r="AU388">
        <v>2023</v>
      </c>
      <c r="AV388" t="s">
        <v>74</v>
      </c>
      <c r="AW388" t="s">
        <v>74</v>
      </c>
      <c r="AX388" t="s">
        <v>74</v>
      </c>
      <c r="AY388" t="s">
        <v>74</v>
      </c>
      <c r="AZ388" t="s">
        <v>74</v>
      </c>
      <c r="BA388" t="s">
        <v>74</v>
      </c>
      <c r="BB388" t="s">
        <v>74</v>
      </c>
      <c r="BC388" t="s">
        <v>74</v>
      </c>
      <c r="BD388" t="s">
        <v>74</v>
      </c>
      <c r="BE388" t="s">
        <v>1409</v>
      </c>
      <c r="BF388" t="str">
        <f>HYPERLINK("http://dx.doi.org/10.1108/JEIM-09-2022-0350","http://dx.doi.org/10.1108/JEIM-09-2022-0350")</f>
        <v>http://dx.doi.org/10.1108/JEIM-09-2022-0350</v>
      </c>
      <c r="BG388" t="s">
        <v>74</v>
      </c>
      <c r="BH388" t="s">
        <v>1410</v>
      </c>
      <c r="BI388">
        <v>25</v>
      </c>
      <c r="BJ388" t="s">
        <v>766</v>
      </c>
      <c r="BK388" t="s">
        <v>156</v>
      </c>
      <c r="BL388" t="s">
        <v>767</v>
      </c>
      <c r="BM388" t="s">
        <v>1411</v>
      </c>
      <c r="BN388" t="s">
        <v>74</v>
      </c>
      <c r="BO388" t="s">
        <v>74</v>
      </c>
      <c r="BP388" t="s">
        <v>74</v>
      </c>
      <c r="BQ388" t="s">
        <v>74</v>
      </c>
      <c r="BR388" t="s">
        <v>106</v>
      </c>
      <c r="BS388" t="s">
        <v>1412</v>
      </c>
      <c r="BT388" t="str">
        <f>HYPERLINK("https%3A%2F%2Fwww.webofscience.com%2Fwos%2Fwoscc%2Ffull-record%2FWOS:000968128200001","View Full Record in Web of Science")</f>
        <v>View Full Record in Web of Science</v>
      </c>
    </row>
    <row r="389" spans="1:72" x14ac:dyDescent="0.25">
      <c r="A389" t="s">
        <v>72</v>
      </c>
      <c r="B389" t="s">
        <v>1454</v>
      </c>
      <c r="C389" t="s">
        <v>74</v>
      </c>
      <c r="D389" t="s">
        <v>74</v>
      </c>
      <c r="E389" t="s">
        <v>74</v>
      </c>
      <c r="F389" t="s">
        <v>1455</v>
      </c>
      <c r="G389" t="s">
        <v>74</v>
      </c>
      <c r="H389" t="s">
        <v>74</v>
      </c>
      <c r="I389" s="1" t="s">
        <v>1456</v>
      </c>
      <c r="J389" t="s">
        <v>1457</v>
      </c>
      <c r="K389" t="s">
        <v>74</v>
      </c>
      <c r="L389" t="s">
        <v>74</v>
      </c>
      <c r="M389" t="s">
        <v>78</v>
      </c>
      <c r="N389" t="s">
        <v>112</v>
      </c>
      <c r="O389" t="s">
        <v>74</v>
      </c>
      <c r="P389" t="s">
        <v>74</v>
      </c>
      <c r="Q389" t="s">
        <v>74</v>
      </c>
      <c r="R389" t="s">
        <v>74</v>
      </c>
      <c r="S389" t="s">
        <v>74</v>
      </c>
      <c r="T389" s="1" t="s">
        <v>1458</v>
      </c>
      <c r="U389" s="1" t="s">
        <v>1459</v>
      </c>
      <c r="V389" s="1" t="s">
        <v>1460</v>
      </c>
      <c r="W389" t="s">
        <v>1461</v>
      </c>
      <c r="X389" t="s">
        <v>1462</v>
      </c>
      <c r="Y389" t="s">
        <v>1463</v>
      </c>
      <c r="Z389" t="s">
        <v>1464</v>
      </c>
      <c r="AA389" t="s">
        <v>74</v>
      </c>
      <c r="AB389" t="s">
        <v>1465</v>
      </c>
      <c r="AC389" t="s">
        <v>1466</v>
      </c>
      <c r="AD389" t="s">
        <v>1466</v>
      </c>
      <c r="AE389" t="s">
        <v>1467</v>
      </c>
      <c r="AF389" t="s">
        <v>74</v>
      </c>
      <c r="AG389">
        <v>37</v>
      </c>
      <c r="AH389">
        <v>1</v>
      </c>
      <c r="AI389">
        <v>1</v>
      </c>
      <c r="AJ389">
        <v>30</v>
      </c>
      <c r="AK389">
        <v>31</v>
      </c>
      <c r="AL389" t="s">
        <v>1468</v>
      </c>
      <c r="AM389" t="s">
        <v>175</v>
      </c>
      <c r="AN389" t="s">
        <v>1469</v>
      </c>
      <c r="AO389" t="s">
        <v>1470</v>
      </c>
      <c r="AP389" t="s">
        <v>1471</v>
      </c>
      <c r="AQ389" t="s">
        <v>74</v>
      </c>
      <c r="AR389" t="s">
        <v>1472</v>
      </c>
      <c r="AS389" t="s">
        <v>1473</v>
      </c>
      <c r="AT389" t="s">
        <v>1474</v>
      </c>
      <c r="AU389">
        <v>2023</v>
      </c>
      <c r="AV389" t="s">
        <v>74</v>
      </c>
      <c r="AW389" t="s">
        <v>74</v>
      </c>
      <c r="AX389" t="s">
        <v>74</v>
      </c>
      <c r="AY389" t="s">
        <v>74</v>
      </c>
      <c r="AZ389" t="s">
        <v>74</v>
      </c>
      <c r="BA389" t="s">
        <v>74</v>
      </c>
      <c r="BB389" t="s">
        <v>74</v>
      </c>
      <c r="BC389" t="s">
        <v>74</v>
      </c>
      <c r="BD389" t="s">
        <v>74</v>
      </c>
      <c r="BE389" t="s">
        <v>1475</v>
      </c>
      <c r="BF389" t="str">
        <f>HYPERLINK("http://dx.doi.org/10.1177/00208523231164587","http://dx.doi.org/10.1177/00208523231164587")</f>
        <v>http://dx.doi.org/10.1177/00208523231164587</v>
      </c>
      <c r="BG389" t="s">
        <v>74</v>
      </c>
      <c r="BH389" t="s">
        <v>1476</v>
      </c>
      <c r="BI389">
        <v>20</v>
      </c>
      <c r="BJ389" t="s">
        <v>1477</v>
      </c>
      <c r="BK389" t="s">
        <v>156</v>
      </c>
      <c r="BL389" t="s">
        <v>1477</v>
      </c>
      <c r="BM389" t="s">
        <v>1478</v>
      </c>
      <c r="BN389" t="s">
        <v>74</v>
      </c>
      <c r="BO389" t="s">
        <v>74</v>
      </c>
      <c r="BP389" t="s">
        <v>74</v>
      </c>
      <c r="BQ389" t="s">
        <v>74</v>
      </c>
      <c r="BR389" t="s">
        <v>106</v>
      </c>
      <c r="BS389" t="s">
        <v>1479</v>
      </c>
      <c r="BT389" t="str">
        <f>HYPERLINK("https%3A%2F%2Fwww.webofscience.com%2Fwos%2Fwoscc%2Ffull-record%2FWOS:000966637800001","View Full Record in Web of Science")</f>
        <v>View Full Record in Web of Science</v>
      </c>
    </row>
    <row r="390" spans="1:72" x14ac:dyDescent="0.25">
      <c r="A390" t="s">
        <v>72</v>
      </c>
      <c r="B390" t="s">
        <v>1498</v>
      </c>
      <c r="C390" t="s">
        <v>74</v>
      </c>
      <c r="D390" t="s">
        <v>74</v>
      </c>
      <c r="E390" t="s">
        <v>74</v>
      </c>
      <c r="F390" t="s">
        <v>1499</v>
      </c>
      <c r="G390" t="s">
        <v>74</v>
      </c>
      <c r="H390" t="s">
        <v>74</v>
      </c>
      <c r="I390" s="1" t="s">
        <v>1500</v>
      </c>
      <c r="J390" t="s">
        <v>1501</v>
      </c>
      <c r="K390" t="s">
        <v>74</v>
      </c>
      <c r="L390" t="s">
        <v>74</v>
      </c>
      <c r="M390" t="s">
        <v>78</v>
      </c>
      <c r="N390" t="s">
        <v>79</v>
      </c>
      <c r="O390" t="s">
        <v>74</v>
      </c>
      <c r="P390" t="s">
        <v>74</v>
      </c>
      <c r="Q390" t="s">
        <v>74</v>
      </c>
      <c r="R390" t="s">
        <v>74</v>
      </c>
      <c r="S390" t="s">
        <v>74</v>
      </c>
      <c r="T390" s="1" t="s">
        <v>1502</v>
      </c>
      <c r="U390" s="1" t="s">
        <v>1503</v>
      </c>
      <c r="V390" s="1" t="s">
        <v>1504</v>
      </c>
      <c r="W390" t="s">
        <v>1505</v>
      </c>
      <c r="X390" t="s">
        <v>1506</v>
      </c>
      <c r="Y390" t="s">
        <v>1507</v>
      </c>
      <c r="Z390" t="s">
        <v>1508</v>
      </c>
      <c r="AA390" t="s">
        <v>74</v>
      </c>
      <c r="AB390" t="s">
        <v>1509</v>
      </c>
      <c r="AC390" t="s">
        <v>1510</v>
      </c>
      <c r="AD390" t="s">
        <v>1510</v>
      </c>
      <c r="AE390" t="s">
        <v>1511</v>
      </c>
      <c r="AF390" t="s">
        <v>74</v>
      </c>
      <c r="AG390">
        <v>49</v>
      </c>
      <c r="AH390">
        <v>1</v>
      </c>
      <c r="AI390">
        <v>1</v>
      </c>
      <c r="AJ390">
        <v>1</v>
      </c>
      <c r="AK390">
        <v>2</v>
      </c>
      <c r="AL390" t="s">
        <v>174</v>
      </c>
      <c r="AM390" t="s">
        <v>175</v>
      </c>
      <c r="AN390" t="s">
        <v>176</v>
      </c>
      <c r="AO390" t="s">
        <v>74</v>
      </c>
      <c r="AP390" t="s">
        <v>1512</v>
      </c>
      <c r="AQ390" t="s">
        <v>74</v>
      </c>
      <c r="AR390" t="s">
        <v>1513</v>
      </c>
      <c r="AS390" t="s">
        <v>1514</v>
      </c>
      <c r="AT390" t="s">
        <v>1515</v>
      </c>
      <c r="AU390">
        <v>2023</v>
      </c>
      <c r="AV390">
        <v>20</v>
      </c>
      <c r="AW390">
        <v>1</v>
      </c>
      <c r="AX390" t="s">
        <v>74</v>
      </c>
      <c r="AY390" t="s">
        <v>74</v>
      </c>
      <c r="AZ390" t="s">
        <v>74</v>
      </c>
      <c r="BA390" t="s">
        <v>74</v>
      </c>
      <c r="BB390" t="s">
        <v>74</v>
      </c>
      <c r="BC390" t="s">
        <v>74</v>
      </c>
      <c r="BD390">
        <v>40</v>
      </c>
      <c r="BE390" t="s">
        <v>1516</v>
      </c>
      <c r="BF390" t="str">
        <f>HYPERLINK("http://dx.doi.org/10.1186/s12954-023-00763-4","http://dx.doi.org/10.1186/s12954-023-00763-4")</f>
        <v>http://dx.doi.org/10.1186/s12954-023-00763-4</v>
      </c>
      <c r="BG390" t="s">
        <v>74</v>
      </c>
      <c r="BH390" t="s">
        <v>74</v>
      </c>
      <c r="BI390">
        <v>10</v>
      </c>
      <c r="BJ390" t="s">
        <v>1517</v>
      </c>
      <c r="BK390" t="s">
        <v>156</v>
      </c>
      <c r="BL390" t="s">
        <v>1517</v>
      </c>
      <c r="BM390" t="s">
        <v>1518</v>
      </c>
      <c r="BN390">
        <v>36967388</v>
      </c>
      <c r="BO390" t="s">
        <v>422</v>
      </c>
      <c r="BP390" t="s">
        <v>74</v>
      </c>
      <c r="BQ390" t="s">
        <v>74</v>
      </c>
      <c r="BR390" t="s">
        <v>106</v>
      </c>
      <c r="BS390" t="s">
        <v>1519</v>
      </c>
      <c r="BT390" t="str">
        <f>HYPERLINK("https%3A%2F%2Fwww.webofscience.com%2Fwos%2Fwoscc%2Ffull-record%2FWOS:000957037500001","View Full Record in Web of Science")</f>
        <v>View Full Record in Web of Science</v>
      </c>
    </row>
    <row r="391" spans="1:72" x14ac:dyDescent="0.25">
      <c r="A391" t="s">
        <v>72</v>
      </c>
      <c r="B391" t="s">
        <v>1625</v>
      </c>
      <c r="C391" t="s">
        <v>74</v>
      </c>
      <c r="D391" t="s">
        <v>74</v>
      </c>
      <c r="E391" t="s">
        <v>74</v>
      </c>
      <c r="F391" t="s">
        <v>1626</v>
      </c>
      <c r="G391" t="s">
        <v>74</v>
      </c>
      <c r="H391" t="s">
        <v>74</v>
      </c>
      <c r="I391" s="1" t="s">
        <v>1627</v>
      </c>
      <c r="J391" t="s">
        <v>1628</v>
      </c>
      <c r="K391" t="s">
        <v>74</v>
      </c>
      <c r="L391" t="s">
        <v>74</v>
      </c>
      <c r="M391" t="s">
        <v>78</v>
      </c>
      <c r="N391" t="s">
        <v>79</v>
      </c>
      <c r="O391" t="s">
        <v>74</v>
      </c>
      <c r="P391" t="s">
        <v>74</v>
      </c>
      <c r="Q391" t="s">
        <v>74</v>
      </c>
      <c r="R391" t="s">
        <v>74</v>
      </c>
      <c r="S391" t="s">
        <v>74</v>
      </c>
      <c r="T391" s="1" t="s">
        <v>74</v>
      </c>
      <c r="U391" s="1" t="s">
        <v>1629</v>
      </c>
      <c r="V391" s="1" t="s">
        <v>1630</v>
      </c>
      <c r="W391" t="s">
        <v>1631</v>
      </c>
      <c r="X391" t="s">
        <v>1632</v>
      </c>
      <c r="Y391" t="s">
        <v>1633</v>
      </c>
      <c r="Z391" t="s">
        <v>1634</v>
      </c>
      <c r="AA391" t="s">
        <v>74</v>
      </c>
      <c r="AB391" t="s">
        <v>1635</v>
      </c>
      <c r="AC391" t="s">
        <v>74</v>
      </c>
      <c r="AD391" t="s">
        <v>74</v>
      </c>
      <c r="AE391" t="s">
        <v>74</v>
      </c>
      <c r="AF391" t="s">
        <v>74</v>
      </c>
      <c r="AG391">
        <v>116</v>
      </c>
      <c r="AH391">
        <v>1</v>
      </c>
      <c r="AI391">
        <v>1</v>
      </c>
      <c r="AJ391">
        <v>17</v>
      </c>
      <c r="AK391">
        <v>19</v>
      </c>
      <c r="AL391" t="s">
        <v>1636</v>
      </c>
      <c r="AM391" t="s">
        <v>93</v>
      </c>
      <c r="AN391" t="s">
        <v>1637</v>
      </c>
      <c r="AO391" t="s">
        <v>1638</v>
      </c>
      <c r="AP391" t="s">
        <v>1639</v>
      </c>
      <c r="AQ391" t="s">
        <v>74</v>
      </c>
      <c r="AR391" t="s">
        <v>1640</v>
      </c>
      <c r="AS391" t="s">
        <v>1641</v>
      </c>
      <c r="AT391" t="s">
        <v>1448</v>
      </c>
      <c r="AU391">
        <v>2023</v>
      </c>
      <c r="AV391">
        <v>56</v>
      </c>
      <c r="AW391">
        <v>2</v>
      </c>
      <c r="AX391" t="s">
        <v>74</v>
      </c>
      <c r="AY391" t="s">
        <v>74</v>
      </c>
      <c r="AZ391" t="s">
        <v>74</v>
      </c>
      <c r="BA391" t="s">
        <v>74</v>
      </c>
      <c r="BB391" t="s">
        <v>74</v>
      </c>
      <c r="BC391" t="s">
        <v>74</v>
      </c>
      <c r="BD391">
        <v>102271</v>
      </c>
      <c r="BE391" t="s">
        <v>1642</v>
      </c>
      <c r="BF391" t="str">
        <f>HYPERLINK("http://dx.doi.org/10.1016/j.lrp.2022.102271","http://dx.doi.org/10.1016/j.lrp.2022.102271")</f>
        <v>http://dx.doi.org/10.1016/j.lrp.2022.102271</v>
      </c>
      <c r="BG391" t="s">
        <v>74</v>
      </c>
      <c r="BH391" t="s">
        <v>1476</v>
      </c>
      <c r="BI391">
        <v>18</v>
      </c>
      <c r="BJ391" t="s">
        <v>1643</v>
      </c>
      <c r="BK391" t="s">
        <v>156</v>
      </c>
      <c r="BL391" t="s">
        <v>1265</v>
      </c>
      <c r="BM391" t="s">
        <v>1644</v>
      </c>
      <c r="BN391" t="s">
        <v>74</v>
      </c>
      <c r="BO391" t="s">
        <v>1539</v>
      </c>
      <c r="BP391" t="s">
        <v>74</v>
      </c>
      <c r="BQ391" t="s">
        <v>74</v>
      </c>
      <c r="BR391" t="s">
        <v>106</v>
      </c>
      <c r="BS391" t="s">
        <v>1645</v>
      </c>
      <c r="BT391" t="str">
        <f>HYPERLINK("https%3A%2F%2Fwww.webofscience.com%2Fwos%2Fwoscc%2Ffull-record%2FWOS:000955918500001","View Full Record in Web of Science")</f>
        <v>View Full Record in Web of Science</v>
      </c>
    </row>
    <row r="392" spans="1:72" x14ac:dyDescent="0.25">
      <c r="A392" t="s">
        <v>72</v>
      </c>
      <c r="B392" t="s">
        <v>1646</v>
      </c>
      <c r="C392" t="s">
        <v>74</v>
      </c>
      <c r="D392" t="s">
        <v>74</v>
      </c>
      <c r="E392" t="s">
        <v>74</v>
      </c>
      <c r="F392" t="s">
        <v>1647</v>
      </c>
      <c r="G392" t="s">
        <v>74</v>
      </c>
      <c r="H392" t="s">
        <v>74</v>
      </c>
      <c r="I392" s="1" t="s">
        <v>1648</v>
      </c>
      <c r="J392" t="s">
        <v>1649</v>
      </c>
      <c r="K392" t="s">
        <v>74</v>
      </c>
      <c r="L392" t="s">
        <v>74</v>
      </c>
      <c r="M392" t="s">
        <v>78</v>
      </c>
      <c r="N392" t="s">
        <v>79</v>
      </c>
      <c r="O392" t="s">
        <v>74</v>
      </c>
      <c r="P392" t="s">
        <v>74</v>
      </c>
      <c r="Q392" t="s">
        <v>74</v>
      </c>
      <c r="R392" t="s">
        <v>74</v>
      </c>
      <c r="S392" t="s">
        <v>74</v>
      </c>
      <c r="T392" s="1" t="s">
        <v>1650</v>
      </c>
      <c r="U392" s="1" t="s">
        <v>1651</v>
      </c>
      <c r="V392" s="1" t="s">
        <v>1652</v>
      </c>
      <c r="W392" t="s">
        <v>1653</v>
      </c>
      <c r="X392" t="s">
        <v>1654</v>
      </c>
      <c r="Y392" t="s">
        <v>1655</v>
      </c>
      <c r="Z392" t="s">
        <v>1656</v>
      </c>
      <c r="AA392" t="s">
        <v>74</v>
      </c>
      <c r="AB392" t="s">
        <v>74</v>
      </c>
      <c r="AC392" t="s">
        <v>1657</v>
      </c>
      <c r="AD392" t="s">
        <v>1657</v>
      </c>
      <c r="AE392" t="s">
        <v>1658</v>
      </c>
      <c r="AF392" t="s">
        <v>74</v>
      </c>
      <c r="AG392">
        <v>69</v>
      </c>
      <c r="AH392">
        <v>1</v>
      </c>
      <c r="AI392">
        <v>1</v>
      </c>
      <c r="AJ392">
        <v>29</v>
      </c>
      <c r="AK392">
        <v>33</v>
      </c>
      <c r="AL392" t="s">
        <v>1382</v>
      </c>
      <c r="AM392" t="s">
        <v>1383</v>
      </c>
      <c r="AN392" t="s">
        <v>1384</v>
      </c>
      <c r="AO392" t="s">
        <v>1659</v>
      </c>
      <c r="AP392" t="s">
        <v>74</v>
      </c>
      <c r="AQ392" t="s">
        <v>74</v>
      </c>
      <c r="AR392" t="s">
        <v>1660</v>
      </c>
      <c r="AS392" t="s">
        <v>1661</v>
      </c>
      <c r="AT392" t="s">
        <v>1662</v>
      </c>
      <c r="AU392">
        <v>2023</v>
      </c>
      <c r="AV392">
        <v>14</v>
      </c>
      <c r="AW392" t="s">
        <v>74</v>
      </c>
      <c r="AX392" t="s">
        <v>74</v>
      </c>
      <c r="AY392" t="s">
        <v>74</v>
      </c>
      <c r="AZ392" t="s">
        <v>74</v>
      </c>
      <c r="BA392" t="s">
        <v>74</v>
      </c>
      <c r="BB392" t="s">
        <v>74</v>
      </c>
      <c r="BC392" t="s">
        <v>74</v>
      </c>
      <c r="BD392">
        <v>1153031</v>
      </c>
      <c r="BE392" t="s">
        <v>1663</v>
      </c>
      <c r="BF392" t="str">
        <f>HYPERLINK("http://dx.doi.org/10.3389/fpsyg.2023.1153031","http://dx.doi.org/10.3389/fpsyg.2023.1153031")</f>
        <v>http://dx.doi.org/10.3389/fpsyg.2023.1153031</v>
      </c>
      <c r="BG392" t="s">
        <v>74</v>
      </c>
      <c r="BH392" t="s">
        <v>74</v>
      </c>
      <c r="BI392">
        <v>13</v>
      </c>
      <c r="BJ392" t="s">
        <v>1664</v>
      </c>
      <c r="BK392" t="s">
        <v>156</v>
      </c>
      <c r="BL392" t="s">
        <v>1665</v>
      </c>
      <c r="BM392" t="s">
        <v>1666</v>
      </c>
      <c r="BN392">
        <v>36968717</v>
      </c>
      <c r="BO392" t="s">
        <v>422</v>
      </c>
      <c r="BP392" t="s">
        <v>74</v>
      </c>
      <c r="BQ392" t="s">
        <v>74</v>
      </c>
      <c r="BR392" t="s">
        <v>106</v>
      </c>
      <c r="BS392" t="s">
        <v>1667</v>
      </c>
      <c r="BT392" t="str">
        <f>HYPERLINK("https%3A%2F%2Fwww.webofscience.com%2Fwos%2Fwoscc%2Ffull-record%2FWOS:000954592100001","View Full Record in Web of Science")</f>
        <v>View Full Record in Web of Science</v>
      </c>
    </row>
    <row r="393" spans="1:72" x14ac:dyDescent="0.25">
      <c r="A393" t="s">
        <v>72</v>
      </c>
      <c r="B393" t="s">
        <v>1711</v>
      </c>
      <c r="C393" t="s">
        <v>74</v>
      </c>
      <c r="D393" t="s">
        <v>74</v>
      </c>
      <c r="E393" t="s">
        <v>74</v>
      </c>
      <c r="F393" t="s">
        <v>1712</v>
      </c>
      <c r="G393" t="s">
        <v>74</v>
      </c>
      <c r="H393" t="s">
        <v>74</v>
      </c>
      <c r="I393" s="1" t="s">
        <v>1713</v>
      </c>
      <c r="J393" t="s">
        <v>1714</v>
      </c>
      <c r="K393" t="s">
        <v>74</v>
      </c>
      <c r="L393" t="s">
        <v>74</v>
      </c>
      <c r="M393" t="s">
        <v>78</v>
      </c>
      <c r="N393" t="s">
        <v>79</v>
      </c>
      <c r="O393" t="s">
        <v>74</v>
      </c>
      <c r="P393" t="s">
        <v>74</v>
      </c>
      <c r="Q393" t="s">
        <v>74</v>
      </c>
      <c r="R393" t="s">
        <v>74</v>
      </c>
      <c r="S393" t="s">
        <v>74</v>
      </c>
      <c r="T393" s="1" t="s">
        <v>1715</v>
      </c>
      <c r="U393" s="1" t="s">
        <v>1716</v>
      </c>
      <c r="V393" s="1" t="s">
        <v>1717</v>
      </c>
      <c r="W393" t="s">
        <v>1718</v>
      </c>
      <c r="X393" t="s">
        <v>74</v>
      </c>
      <c r="Y393" t="s">
        <v>1719</v>
      </c>
      <c r="Z393" t="s">
        <v>1720</v>
      </c>
      <c r="AA393" t="s">
        <v>74</v>
      </c>
      <c r="AB393" t="s">
        <v>1721</v>
      </c>
      <c r="AC393" t="s">
        <v>1722</v>
      </c>
      <c r="AD393" t="s">
        <v>1723</v>
      </c>
      <c r="AE393" t="s">
        <v>1724</v>
      </c>
      <c r="AF393" t="s">
        <v>74</v>
      </c>
      <c r="AG393">
        <v>79</v>
      </c>
      <c r="AH393">
        <v>1</v>
      </c>
      <c r="AI393">
        <v>1</v>
      </c>
      <c r="AJ393">
        <v>5</v>
      </c>
      <c r="AK393">
        <v>6</v>
      </c>
      <c r="AL393" t="s">
        <v>202</v>
      </c>
      <c r="AM393" t="s">
        <v>203</v>
      </c>
      <c r="AN393" t="s">
        <v>204</v>
      </c>
      <c r="AO393" t="s">
        <v>74</v>
      </c>
      <c r="AP393" t="s">
        <v>1725</v>
      </c>
      <c r="AQ393" t="s">
        <v>74</v>
      </c>
      <c r="AR393" t="s">
        <v>1726</v>
      </c>
      <c r="AS393" t="s">
        <v>1727</v>
      </c>
      <c r="AT393" t="s">
        <v>1683</v>
      </c>
      <c r="AU393">
        <v>2023</v>
      </c>
      <c r="AV393">
        <v>11</v>
      </c>
      <c r="AW393">
        <v>3</v>
      </c>
      <c r="AX393" t="s">
        <v>74</v>
      </c>
      <c r="AY393" t="s">
        <v>74</v>
      </c>
      <c r="AZ393" t="s">
        <v>74</v>
      </c>
      <c r="BA393" t="s">
        <v>74</v>
      </c>
      <c r="BB393" t="s">
        <v>74</v>
      </c>
      <c r="BC393" t="s">
        <v>74</v>
      </c>
      <c r="BD393">
        <v>619</v>
      </c>
      <c r="BE393" t="s">
        <v>1728</v>
      </c>
      <c r="BF393" t="str">
        <f>HYPERLINK("http://dx.doi.org/10.3390/vaccines11030619","http://dx.doi.org/10.3390/vaccines11030619")</f>
        <v>http://dx.doi.org/10.3390/vaccines11030619</v>
      </c>
      <c r="BG393" t="s">
        <v>74</v>
      </c>
      <c r="BH393" t="s">
        <v>74</v>
      </c>
      <c r="BI393">
        <v>27</v>
      </c>
      <c r="BJ393" t="s">
        <v>1729</v>
      </c>
      <c r="BK393" t="s">
        <v>102</v>
      </c>
      <c r="BL393" t="s">
        <v>1730</v>
      </c>
      <c r="BM393" t="s">
        <v>1731</v>
      </c>
      <c r="BN393">
        <v>36992204</v>
      </c>
      <c r="BO393" t="s">
        <v>422</v>
      </c>
      <c r="BP393" t="s">
        <v>74</v>
      </c>
      <c r="BQ393" t="s">
        <v>74</v>
      </c>
      <c r="BR393" t="s">
        <v>106</v>
      </c>
      <c r="BS393" t="s">
        <v>1732</v>
      </c>
      <c r="BT393" t="str">
        <f>HYPERLINK("https%3A%2F%2Fwww.webofscience.com%2Fwos%2Fwoscc%2Ffull-record%2FWOS:000968604400001","View Full Record in Web of Science")</f>
        <v>View Full Record in Web of Science</v>
      </c>
    </row>
    <row r="394" spans="1:72" x14ac:dyDescent="0.25">
      <c r="A394" t="s">
        <v>72</v>
      </c>
      <c r="B394" t="s">
        <v>1773</v>
      </c>
      <c r="C394" t="s">
        <v>74</v>
      </c>
      <c r="D394" t="s">
        <v>74</v>
      </c>
      <c r="E394" t="s">
        <v>74</v>
      </c>
      <c r="F394" t="s">
        <v>1774</v>
      </c>
      <c r="G394" t="s">
        <v>74</v>
      </c>
      <c r="H394" t="s">
        <v>74</v>
      </c>
      <c r="I394" s="1" t="s">
        <v>1775</v>
      </c>
      <c r="J394" t="s">
        <v>1776</v>
      </c>
      <c r="K394" t="s">
        <v>74</v>
      </c>
      <c r="L394" t="s">
        <v>74</v>
      </c>
      <c r="M394" t="s">
        <v>78</v>
      </c>
      <c r="N394" t="s">
        <v>112</v>
      </c>
      <c r="O394" t="s">
        <v>74</v>
      </c>
      <c r="P394" t="s">
        <v>74</v>
      </c>
      <c r="Q394" t="s">
        <v>74</v>
      </c>
      <c r="R394" t="s">
        <v>74</v>
      </c>
      <c r="S394" t="s">
        <v>74</v>
      </c>
      <c r="T394" s="1" t="s">
        <v>1777</v>
      </c>
      <c r="U394" s="1" t="s">
        <v>74</v>
      </c>
      <c r="V394" s="1" t="s">
        <v>1778</v>
      </c>
      <c r="W394" t="s">
        <v>1779</v>
      </c>
      <c r="X394" t="s">
        <v>1780</v>
      </c>
      <c r="Y394" t="s">
        <v>1781</v>
      </c>
      <c r="Z394" t="s">
        <v>1782</v>
      </c>
      <c r="AA394" t="s">
        <v>74</v>
      </c>
      <c r="AB394" t="s">
        <v>1783</v>
      </c>
      <c r="AC394" t="s">
        <v>74</v>
      </c>
      <c r="AD394" t="s">
        <v>74</v>
      </c>
      <c r="AE394" t="s">
        <v>74</v>
      </c>
      <c r="AF394" t="s">
        <v>74</v>
      </c>
      <c r="AG394">
        <v>13</v>
      </c>
      <c r="AH394">
        <v>1</v>
      </c>
      <c r="AI394">
        <v>1</v>
      </c>
      <c r="AJ394">
        <v>6</v>
      </c>
      <c r="AK394">
        <v>7</v>
      </c>
      <c r="AL394" t="s">
        <v>1784</v>
      </c>
      <c r="AM394" t="s">
        <v>693</v>
      </c>
      <c r="AN394" t="s">
        <v>1785</v>
      </c>
      <c r="AO394" t="s">
        <v>1786</v>
      </c>
      <c r="AP394" t="s">
        <v>1787</v>
      </c>
      <c r="AQ394" t="s">
        <v>74</v>
      </c>
      <c r="AR394" t="s">
        <v>1788</v>
      </c>
      <c r="AS394" t="s">
        <v>1789</v>
      </c>
      <c r="AT394" t="s">
        <v>1790</v>
      </c>
      <c r="AU394">
        <v>2023</v>
      </c>
      <c r="AV394" t="s">
        <v>74</v>
      </c>
      <c r="AW394" t="s">
        <v>74</v>
      </c>
      <c r="AX394" t="s">
        <v>74</v>
      </c>
      <c r="AY394" t="s">
        <v>74</v>
      </c>
      <c r="AZ394" t="s">
        <v>74</v>
      </c>
      <c r="BA394" t="s">
        <v>74</v>
      </c>
      <c r="BB394" t="s">
        <v>74</v>
      </c>
      <c r="BC394" t="s">
        <v>74</v>
      </c>
      <c r="BD394" t="s">
        <v>74</v>
      </c>
      <c r="BE394" t="s">
        <v>1791</v>
      </c>
      <c r="BF394" t="str">
        <f>HYPERLINK("http://dx.doi.org/10.1515/for-2023-2006","http://dx.doi.org/10.1515/for-2023-2006")</f>
        <v>http://dx.doi.org/10.1515/for-2023-2006</v>
      </c>
      <c r="BG394" t="s">
        <v>74</v>
      </c>
      <c r="BH394" t="s">
        <v>1792</v>
      </c>
      <c r="BI394">
        <v>21</v>
      </c>
      <c r="BJ394" t="s">
        <v>1082</v>
      </c>
      <c r="BK394" t="s">
        <v>156</v>
      </c>
      <c r="BL394" t="s">
        <v>379</v>
      </c>
      <c r="BM394" t="s">
        <v>1793</v>
      </c>
      <c r="BN394" t="s">
        <v>74</v>
      </c>
      <c r="BO394" t="s">
        <v>105</v>
      </c>
      <c r="BP394" t="s">
        <v>74</v>
      </c>
      <c r="BQ394" t="s">
        <v>74</v>
      </c>
      <c r="BR394" t="s">
        <v>106</v>
      </c>
      <c r="BS394" t="s">
        <v>1794</v>
      </c>
      <c r="BT394" t="str">
        <f>HYPERLINK("https%3A%2F%2Fwww.webofscience.com%2Fwos%2Fwoscc%2Ffull-record%2FWOS:000939818500001","View Full Record in Web of Science")</f>
        <v>View Full Record in Web of Science</v>
      </c>
    </row>
    <row r="395" spans="1:72" x14ac:dyDescent="0.25">
      <c r="A395" t="s">
        <v>72</v>
      </c>
      <c r="B395" t="s">
        <v>1865</v>
      </c>
      <c r="C395" t="s">
        <v>74</v>
      </c>
      <c r="D395" t="s">
        <v>74</v>
      </c>
      <c r="E395" t="s">
        <v>74</v>
      </c>
      <c r="F395" t="s">
        <v>1866</v>
      </c>
      <c r="G395" t="s">
        <v>74</v>
      </c>
      <c r="H395" t="s">
        <v>74</v>
      </c>
      <c r="I395" s="1" t="s">
        <v>1867</v>
      </c>
      <c r="J395" t="s">
        <v>1868</v>
      </c>
      <c r="K395" t="s">
        <v>74</v>
      </c>
      <c r="L395" t="s">
        <v>74</v>
      </c>
      <c r="M395" t="s">
        <v>78</v>
      </c>
      <c r="N395" t="s">
        <v>79</v>
      </c>
      <c r="O395" t="s">
        <v>74</v>
      </c>
      <c r="P395" t="s">
        <v>74</v>
      </c>
      <c r="Q395" t="s">
        <v>74</v>
      </c>
      <c r="R395" t="s">
        <v>74</v>
      </c>
      <c r="S395" t="s">
        <v>74</v>
      </c>
      <c r="T395" s="1" t="s">
        <v>1869</v>
      </c>
      <c r="U395" s="1" t="s">
        <v>1870</v>
      </c>
      <c r="V395" s="1" t="s">
        <v>1871</v>
      </c>
      <c r="W395" t="s">
        <v>1872</v>
      </c>
      <c r="X395" t="s">
        <v>1873</v>
      </c>
      <c r="Y395" t="s">
        <v>1874</v>
      </c>
      <c r="Z395" t="s">
        <v>1875</v>
      </c>
      <c r="AA395" t="s">
        <v>1876</v>
      </c>
      <c r="AB395" t="s">
        <v>1877</v>
      </c>
      <c r="AC395" t="s">
        <v>74</v>
      </c>
      <c r="AD395" t="s">
        <v>74</v>
      </c>
      <c r="AE395" t="s">
        <v>74</v>
      </c>
      <c r="AF395" t="s">
        <v>74</v>
      </c>
      <c r="AG395">
        <v>132</v>
      </c>
      <c r="AH395">
        <v>1</v>
      </c>
      <c r="AI395">
        <v>1</v>
      </c>
      <c r="AJ395">
        <v>37</v>
      </c>
      <c r="AK395">
        <v>56</v>
      </c>
      <c r="AL395" t="s">
        <v>254</v>
      </c>
      <c r="AM395" t="s">
        <v>255</v>
      </c>
      <c r="AN395" t="s">
        <v>256</v>
      </c>
      <c r="AO395" t="s">
        <v>1878</v>
      </c>
      <c r="AP395" t="s">
        <v>1879</v>
      </c>
      <c r="AQ395" t="s">
        <v>74</v>
      </c>
      <c r="AR395" t="s">
        <v>1880</v>
      </c>
      <c r="AS395" t="s">
        <v>1881</v>
      </c>
      <c r="AT395" t="s">
        <v>1683</v>
      </c>
      <c r="AU395">
        <v>2023</v>
      </c>
      <c r="AV395">
        <v>17</v>
      </c>
      <c r="AW395">
        <v>1</v>
      </c>
      <c r="AX395" t="s">
        <v>74</v>
      </c>
      <c r="AY395" t="s">
        <v>74</v>
      </c>
      <c r="AZ395" t="s">
        <v>1020</v>
      </c>
      <c r="BA395" t="s">
        <v>74</v>
      </c>
      <c r="BB395">
        <v>359</v>
      </c>
      <c r="BC395">
        <v>393</v>
      </c>
      <c r="BD395" t="s">
        <v>74</v>
      </c>
      <c r="BE395" t="s">
        <v>1882</v>
      </c>
      <c r="BF395" t="str">
        <f>HYPERLINK("http://dx.doi.org/10.1007/s11628-023-00520-4","http://dx.doi.org/10.1007/s11628-023-00520-4")</f>
        <v>http://dx.doi.org/10.1007/s11628-023-00520-4</v>
      </c>
      <c r="BG395" t="s">
        <v>74</v>
      </c>
      <c r="BH395" t="s">
        <v>1792</v>
      </c>
      <c r="BI395">
        <v>35</v>
      </c>
      <c r="BJ395" t="s">
        <v>264</v>
      </c>
      <c r="BK395" t="s">
        <v>156</v>
      </c>
      <c r="BL395" t="s">
        <v>265</v>
      </c>
      <c r="BM395" t="s">
        <v>1883</v>
      </c>
      <c r="BN395" t="s">
        <v>74</v>
      </c>
      <c r="BO395" t="s">
        <v>791</v>
      </c>
      <c r="BP395" t="s">
        <v>74</v>
      </c>
      <c r="BQ395" t="s">
        <v>74</v>
      </c>
      <c r="BR395" t="s">
        <v>106</v>
      </c>
      <c r="BS395" t="s">
        <v>1884</v>
      </c>
      <c r="BT395" t="str">
        <f>HYPERLINK("https%3A%2F%2Fwww.webofscience.com%2Fwos%2Fwoscc%2Ffull-record%2FWOS:000925587300002","View Full Record in Web of Science")</f>
        <v>View Full Record in Web of Science</v>
      </c>
    </row>
    <row r="396" spans="1:72" x14ac:dyDescent="0.25">
      <c r="A396" t="s">
        <v>72</v>
      </c>
      <c r="B396" t="s">
        <v>1964</v>
      </c>
      <c r="C396" t="s">
        <v>74</v>
      </c>
      <c r="D396" t="s">
        <v>74</v>
      </c>
      <c r="E396" t="s">
        <v>74</v>
      </c>
      <c r="F396" t="s">
        <v>1965</v>
      </c>
      <c r="G396" t="s">
        <v>74</v>
      </c>
      <c r="H396" t="s">
        <v>74</v>
      </c>
      <c r="I396" s="1" t="s">
        <v>1966</v>
      </c>
      <c r="J396" t="s">
        <v>847</v>
      </c>
      <c r="K396" t="s">
        <v>74</v>
      </c>
      <c r="L396" t="s">
        <v>74</v>
      </c>
      <c r="M396" t="s">
        <v>78</v>
      </c>
      <c r="N396" t="s">
        <v>79</v>
      </c>
      <c r="O396" t="s">
        <v>74</v>
      </c>
      <c r="P396" t="s">
        <v>74</v>
      </c>
      <c r="Q396" t="s">
        <v>74</v>
      </c>
      <c r="R396" t="s">
        <v>74</v>
      </c>
      <c r="S396" t="s">
        <v>74</v>
      </c>
      <c r="T396" s="1" t="s">
        <v>1967</v>
      </c>
      <c r="U396" s="1" t="s">
        <v>1968</v>
      </c>
      <c r="V396" s="1" t="s">
        <v>1969</v>
      </c>
      <c r="W396" t="s">
        <v>1970</v>
      </c>
      <c r="X396" t="s">
        <v>1971</v>
      </c>
      <c r="Y396" t="s">
        <v>1972</v>
      </c>
      <c r="Z396" t="s">
        <v>1973</v>
      </c>
      <c r="AA396" t="s">
        <v>1974</v>
      </c>
      <c r="AB396" t="s">
        <v>1975</v>
      </c>
      <c r="AC396" t="s">
        <v>74</v>
      </c>
      <c r="AD396" t="s">
        <v>74</v>
      </c>
      <c r="AE396" t="s">
        <v>74</v>
      </c>
      <c r="AF396" t="s">
        <v>74</v>
      </c>
      <c r="AG396">
        <v>42</v>
      </c>
      <c r="AH396">
        <v>1</v>
      </c>
      <c r="AI396">
        <v>1</v>
      </c>
      <c r="AJ396">
        <v>20</v>
      </c>
      <c r="AK396">
        <v>32</v>
      </c>
      <c r="AL396" t="s">
        <v>202</v>
      </c>
      <c r="AM396" t="s">
        <v>203</v>
      </c>
      <c r="AN396" t="s">
        <v>204</v>
      </c>
      <c r="AO396" t="s">
        <v>855</v>
      </c>
      <c r="AP396" t="s">
        <v>74</v>
      </c>
      <c r="AQ396" t="s">
        <v>74</v>
      </c>
      <c r="AR396" t="s">
        <v>856</v>
      </c>
      <c r="AS396" t="s">
        <v>857</v>
      </c>
      <c r="AT396" t="s">
        <v>1904</v>
      </c>
      <c r="AU396">
        <v>2023</v>
      </c>
      <c r="AV396">
        <v>6</v>
      </c>
      <c r="AW396">
        <v>2</v>
      </c>
      <c r="AX396" t="s">
        <v>74</v>
      </c>
      <c r="AY396" t="s">
        <v>74</v>
      </c>
      <c r="AZ396" t="s">
        <v>74</v>
      </c>
      <c r="BA396" t="s">
        <v>74</v>
      </c>
      <c r="BB396">
        <v>1921</v>
      </c>
      <c r="BC396">
        <v>1941</v>
      </c>
      <c r="BD396" t="s">
        <v>74</v>
      </c>
      <c r="BE396" t="s">
        <v>1976</v>
      </c>
      <c r="BF396" t="str">
        <f>HYPERLINK("http://dx.doi.org/10.3390/heritage6020103","http://dx.doi.org/10.3390/heritage6020103")</f>
        <v>http://dx.doi.org/10.3390/heritage6020103</v>
      </c>
      <c r="BG396" t="s">
        <v>74</v>
      </c>
      <c r="BH396" t="s">
        <v>74</v>
      </c>
      <c r="BI396">
        <v>21</v>
      </c>
      <c r="BJ396" t="s">
        <v>859</v>
      </c>
      <c r="BK396" t="s">
        <v>183</v>
      </c>
      <c r="BL396" t="s">
        <v>860</v>
      </c>
      <c r="BM396" t="s">
        <v>1977</v>
      </c>
      <c r="BN396" t="s">
        <v>74</v>
      </c>
      <c r="BO396" t="s">
        <v>186</v>
      </c>
      <c r="BP396" t="s">
        <v>74</v>
      </c>
      <c r="BQ396" t="s">
        <v>74</v>
      </c>
      <c r="BR396" t="s">
        <v>106</v>
      </c>
      <c r="BS396" t="s">
        <v>1978</v>
      </c>
      <c r="BT396" t="str">
        <f>HYPERLINK("https%3A%2F%2Fwww.webofscience.com%2Fwos%2Fwoscc%2Ffull-record%2FWOS:000939037200001","View Full Record in Web of Science")</f>
        <v>View Full Record in Web of Science</v>
      </c>
    </row>
    <row r="397" spans="1:72" x14ac:dyDescent="0.25">
      <c r="A397" t="s">
        <v>72</v>
      </c>
      <c r="B397" t="s">
        <v>2137</v>
      </c>
      <c r="C397" t="s">
        <v>74</v>
      </c>
      <c r="D397" t="s">
        <v>74</v>
      </c>
      <c r="E397" t="s">
        <v>74</v>
      </c>
      <c r="F397" t="s">
        <v>2138</v>
      </c>
      <c r="G397" t="s">
        <v>74</v>
      </c>
      <c r="H397" t="s">
        <v>74</v>
      </c>
      <c r="I397" s="1" t="s">
        <v>2139</v>
      </c>
      <c r="J397" t="s">
        <v>2140</v>
      </c>
      <c r="K397" t="s">
        <v>74</v>
      </c>
      <c r="L397" t="s">
        <v>74</v>
      </c>
      <c r="M397" t="s">
        <v>78</v>
      </c>
      <c r="N397" t="s">
        <v>79</v>
      </c>
      <c r="O397" t="s">
        <v>74</v>
      </c>
      <c r="P397" t="s">
        <v>74</v>
      </c>
      <c r="Q397" t="s">
        <v>74</v>
      </c>
      <c r="R397" t="s">
        <v>74</v>
      </c>
      <c r="S397" t="s">
        <v>74</v>
      </c>
      <c r="T397" s="1" t="s">
        <v>2141</v>
      </c>
      <c r="U397" s="1" t="s">
        <v>2142</v>
      </c>
      <c r="V397" s="1" t="s">
        <v>2143</v>
      </c>
      <c r="W397" t="s">
        <v>2144</v>
      </c>
      <c r="X397" t="s">
        <v>2145</v>
      </c>
      <c r="Y397" t="s">
        <v>2146</v>
      </c>
      <c r="Z397" t="s">
        <v>2147</v>
      </c>
      <c r="AA397" t="s">
        <v>2148</v>
      </c>
      <c r="AB397" t="s">
        <v>2149</v>
      </c>
      <c r="AC397" t="s">
        <v>2150</v>
      </c>
      <c r="AD397" t="s">
        <v>2151</v>
      </c>
      <c r="AE397" t="s">
        <v>2152</v>
      </c>
      <c r="AF397" t="s">
        <v>74</v>
      </c>
      <c r="AG397">
        <v>101</v>
      </c>
      <c r="AH397">
        <v>1</v>
      </c>
      <c r="AI397">
        <v>1</v>
      </c>
      <c r="AJ397">
        <v>1</v>
      </c>
      <c r="AK397">
        <v>1</v>
      </c>
      <c r="AL397" t="s">
        <v>2153</v>
      </c>
      <c r="AM397" t="s">
        <v>2154</v>
      </c>
      <c r="AN397" t="s">
        <v>2155</v>
      </c>
      <c r="AO397" t="s">
        <v>2156</v>
      </c>
      <c r="AP397" t="s">
        <v>74</v>
      </c>
      <c r="AQ397" t="s">
        <v>74</v>
      </c>
      <c r="AR397" t="s">
        <v>2140</v>
      </c>
      <c r="AS397" t="s">
        <v>2157</v>
      </c>
      <c r="AT397" t="s">
        <v>74</v>
      </c>
      <c r="AU397">
        <v>2023</v>
      </c>
      <c r="AV397">
        <v>11</v>
      </c>
      <c r="AW397" t="s">
        <v>74</v>
      </c>
      <c r="AX397" t="s">
        <v>74</v>
      </c>
      <c r="AY397" t="s">
        <v>74</v>
      </c>
      <c r="AZ397" t="s">
        <v>74</v>
      </c>
      <c r="BA397" t="s">
        <v>74</v>
      </c>
      <c r="BB397">
        <v>51527</v>
      </c>
      <c r="BC397">
        <v>51556</v>
      </c>
      <c r="BD397" t="s">
        <v>74</v>
      </c>
      <c r="BE397" t="s">
        <v>2158</v>
      </c>
      <c r="BF397" t="str">
        <f>HYPERLINK("http://dx.doi.org/10.1109/ACCESS.2023.3279724","http://dx.doi.org/10.1109/ACCESS.2023.3279724")</f>
        <v>http://dx.doi.org/10.1109/ACCESS.2023.3279724</v>
      </c>
      <c r="BG397" t="s">
        <v>74</v>
      </c>
      <c r="BH397" t="s">
        <v>74</v>
      </c>
      <c r="BI397">
        <v>30</v>
      </c>
      <c r="BJ397" t="s">
        <v>2159</v>
      </c>
      <c r="BK397" t="s">
        <v>102</v>
      </c>
      <c r="BL397" t="s">
        <v>2160</v>
      </c>
      <c r="BM397" t="s">
        <v>2161</v>
      </c>
      <c r="BN397" t="s">
        <v>74</v>
      </c>
      <c r="BO397" t="s">
        <v>2162</v>
      </c>
      <c r="BP397" t="s">
        <v>74</v>
      </c>
      <c r="BQ397" t="s">
        <v>74</v>
      </c>
      <c r="BR397" t="s">
        <v>106</v>
      </c>
      <c r="BS397" t="s">
        <v>2163</v>
      </c>
      <c r="BT397" t="str">
        <f>HYPERLINK("https%3A%2F%2Fwww.webofscience.com%2Fwos%2Fwoscc%2Ffull-record%2FWOS:001005815900001","View Full Record in Web of Science")</f>
        <v>View Full Record in Web of Science</v>
      </c>
    </row>
    <row r="398" spans="1:72" x14ac:dyDescent="0.25">
      <c r="A398" t="s">
        <v>72</v>
      </c>
      <c r="B398" t="s">
        <v>2196</v>
      </c>
      <c r="C398" t="s">
        <v>74</v>
      </c>
      <c r="D398" t="s">
        <v>74</v>
      </c>
      <c r="E398" t="s">
        <v>74</v>
      </c>
      <c r="F398" t="s">
        <v>2197</v>
      </c>
      <c r="G398" t="s">
        <v>74</v>
      </c>
      <c r="H398" t="s">
        <v>74</v>
      </c>
      <c r="I398" s="1" t="s">
        <v>2198</v>
      </c>
      <c r="J398" t="s">
        <v>2199</v>
      </c>
      <c r="K398" t="s">
        <v>74</v>
      </c>
      <c r="L398" t="s">
        <v>74</v>
      </c>
      <c r="M398" t="s">
        <v>78</v>
      </c>
      <c r="N398" t="s">
        <v>79</v>
      </c>
      <c r="O398" t="s">
        <v>74</v>
      </c>
      <c r="P398" t="s">
        <v>74</v>
      </c>
      <c r="Q398" t="s">
        <v>74</v>
      </c>
      <c r="R398" t="s">
        <v>74</v>
      </c>
      <c r="S398" t="s">
        <v>74</v>
      </c>
      <c r="T398" s="1" t="s">
        <v>2200</v>
      </c>
      <c r="U398" s="1" t="s">
        <v>2201</v>
      </c>
      <c r="V398" s="1" t="s">
        <v>2202</v>
      </c>
      <c r="W398" t="s">
        <v>2203</v>
      </c>
      <c r="X398" t="s">
        <v>2204</v>
      </c>
      <c r="Y398" t="s">
        <v>2205</v>
      </c>
      <c r="Z398" t="s">
        <v>2206</v>
      </c>
      <c r="AA398" t="s">
        <v>2207</v>
      </c>
      <c r="AB398" t="s">
        <v>2208</v>
      </c>
      <c r="AC398" t="s">
        <v>2209</v>
      </c>
      <c r="AD398" t="s">
        <v>2209</v>
      </c>
      <c r="AE398" t="s">
        <v>2210</v>
      </c>
      <c r="AF398" t="s">
        <v>74</v>
      </c>
      <c r="AG398">
        <v>63</v>
      </c>
      <c r="AH398">
        <v>1</v>
      </c>
      <c r="AI398">
        <v>1</v>
      </c>
      <c r="AJ398">
        <v>30</v>
      </c>
      <c r="AK398">
        <v>30</v>
      </c>
      <c r="AL398" t="s">
        <v>2211</v>
      </c>
      <c r="AM398" t="s">
        <v>2212</v>
      </c>
      <c r="AN398" t="s">
        <v>2213</v>
      </c>
      <c r="AO398" t="s">
        <v>2214</v>
      </c>
      <c r="AP398" t="s">
        <v>74</v>
      </c>
      <c r="AQ398" t="s">
        <v>74</v>
      </c>
      <c r="AR398" t="s">
        <v>2215</v>
      </c>
      <c r="AS398" t="s">
        <v>2216</v>
      </c>
      <c r="AT398" t="s">
        <v>74</v>
      </c>
      <c r="AU398">
        <v>2023</v>
      </c>
      <c r="AV398">
        <v>11</v>
      </c>
      <c r="AW398">
        <v>3</v>
      </c>
      <c r="AX398" t="s">
        <v>74</v>
      </c>
      <c r="AY398" t="s">
        <v>74</v>
      </c>
      <c r="AZ398" t="s">
        <v>74</v>
      </c>
      <c r="BA398" t="s">
        <v>74</v>
      </c>
      <c r="BB398">
        <v>77</v>
      </c>
      <c r="BC398">
        <v>87</v>
      </c>
      <c r="BD398" t="s">
        <v>74</v>
      </c>
      <c r="BE398" t="s">
        <v>2217</v>
      </c>
      <c r="BF398" t="str">
        <f>HYPERLINK("http://dx.doi.org/10.17645/mac.v11i3.6744","http://dx.doi.org/10.17645/mac.v11i3.6744")</f>
        <v>http://dx.doi.org/10.17645/mac.v11i3.6744</v>
      </c>
      <c r="BG398" t="s">
        <v>74</v>
      </c>
      <c r="BH398" t="s">
        <v>74</v>
      </c>
      <c r="BI398">
        <v>11</v>
      </c>
      <c r="BJ398" t="s">
        <v>2218</v>
      </c>
      <c r="BK398" t="s">
        <v>156</v>
      </c>
      <c r="BL398" t="s">
        <v>2218</v>
      </c>
      <c r="BM398" t="s">
        <v>2219</v>
      </c>
      <c r="BN398" t="s">
        <v>74</v>
      </c>
      <c r="BO398" t="s">
        <v>614</v>
      </c>
      <c r="BP398" t="s">
        <v>74</v>
      </c>
      <c r="BQ398" t="s">
        <v>74</v>
      </c>
      <c r="BR398" t="s">
        <v>106</v>
      </c>
      <c r="BS398" t="s">
        <v>2220</v>
      </c>
      <c r="BT398" t="str">
        <f>HYPERLINK("https%3A%2F%2Fwww.webofscience.com%2Fwos%2Fwoscc%2Ffull-record%2FWOS:001042680500008","View Full Record in Web of Science")</f>
        <v>View Full Record in Web of Science</v>
      </c>
    </row>
    <row r="399" spans="1:72" x14ac:dyDescent="0.25">
      <c r="A399" t="s">
        <v>72</v>
      </c>
      <c r="B399" t="s">
        <v>2304</v>
      </c>
      <c r="C399" t="s">
        <v>74</v>
      </c>
      <c r="D399" t="s">
        <v>74</v>
      </c>
      <c r="E399" t="s">
        <v>74</v>
      </c>
      <c r="F399" t="s">
        <v>2305</v>
      </c>
      <c r="G399" t="s">
        <v>74</v>
      </c>
      <c r="H399" t="s">
        <v>74</v>
      </c>
      <c r="I399" s="1" t="s">
        <v>2306</v>
      </c>
      <c r="J399" t="s">
        <v>2307</v>
      </c>
      <c r="K399" t="s">
        <v>74</v>
      </c>
      <c r="L399" t="s">
        <v>74</v>
      </c>
      <c r="M399" t="s">
        <v>78</v>
      </c>
      <c r="N399" t="s">
        <v>79</v>
      </c>
      <c r="O399" t="s">
        <v>74</v>
      </c>
      <c r="P399" t="s">
        <v>74</v>
      </c>
      <c r="Q399" t="s">
        <v>74</v>
      </c>
      <c r="R399" t="s">
        <v>74</v>
      </c>
      <c r="S399" t="s">
        <v>74</v>
      </c>
      <c r="T399" s="1" t="s">
        <v>2308</v>
      </c>
      <c r="U399" s="1" t="s">
        <v>2309</v>
      </c>
      <c r="V399" s="1" t="s">
        <v>2310</v>
      </c>
      <c r="W399" t="s">
        <v>2311</v>
      </c>
      <c r="X399" t="s">
        <v>2312</v>
      </c>
      <c r="Y399" t="s">
        <v>2313</v>
      </c>
      <c r="Z399" t="s">
        <v>2314</v>
      </c>
      <c r="AA399" t="s">
        <v>74</v>
      </c>
      <c r="AB399" t="s">
        <v>2315</v>
      </c>
      <c r="AC399" t="s">
        <v>74</v>
      </c>
      <c r="AD399" t="s">
        <v>74</v>
      </c>
      <c r="AE399" t="s">
        <v>74</v>
      </c>
      <c r="AF399" t="s">
        <v>74</v>
      </c>
      <c r="AG399">
        <v>38</v>
      </c>
      <c r="AH399">
        <v>1</v>
      </c>
      <c r="AI399">
        <v>1</v>
      </c>
      <c r="AJ399">
        <v>4</v>
      </c>
      <c r="AK399">
        <v>9</v>
      </c>
      <c r="AL399" t="s">
        <v>1013</v>
      </c>
      <c r="AM399" t="s">
        <v>493</v>
      </c>
      <c r="AN399" t="s">
        <v>1014</v>
      </c>
      <c r="AO399" t="s">
        <v>2316</v>
      </c>
      <c r="AP399" t="s">
        <v>74</v>
      </c>
      <c r="AQ399" t="s">
        <v>74</v>
      </c>
      <c r="AR399" t="s">
        <v>2317</v>
      </c>
      <c r="AS399" t="s">
        <v>2318</v>
      </c>
      <c r="AT399" t="s">
        <v>2319</v>
      </c>
      <c r="AU399">
        <v>2022</v>
      </c>
      <c r="AV399">
        <v>27</v>
      </c>
      <c r="AW399">
        <v>1</v>
      </c>
      <c r="AX399" t="s">
        <v>74</v>
      </c>
      <c r="AY399" t="s">
        <v>74</v>
      </c>
      <c r="AZ399" t="s">
        <v>74</v>
      </c>
      <c r="BA399" t="s">
        <v>74</v>
      </c>
      <c r="BB399" t="s">
        <v>74</v>
      </c>
      <c r="BC399" t="s">
        <v>74</v>
      </c>
      <c r="BD399">
        <v>2114131</v>
      </c>
      <c r="BE399" t="s">
        <v>2320</v>
      </c>
      <c r="BF399" t="str">
        <f>HYPERLINK("http://dx.doi.org/10.1080/10872981.2022.2114131","http://dx.doi.org/10.1080/10872981.2022.2114131")</f>
        <v>http://dx.doi.org/10.1080/10872981.2022.2114131</v>
      </c>
      <c r="BG399" t="s">
        <v>74</v>
      </c>
      <c r="BH399" t="s">
        <v>74</v>
      </c>
      <c r="BI399">
        <v>11</v>
      </c>
      <c r="BJ399" t="s">
        <v>1326</v>
      </c>
      <c r="BK399" t="s">
        <v>156</v>
      </c>
      <c r="BL399" t="s">
        <v>1326</v>
      </c>
      <c r="BM399" t="s">
        <v>2321</v>
      </c>
      <c r="BN399">
        <v>35993348</v>
      </c>
      <c r="BO399" t="s">
        <v>614</v>
      </c>
      <c r="BP399" t="s">
        <v>74</v>
      </c>
      <c r="BQ399" t="s">
        <v>74</v>
      </c>
      <c r="BR399" t="s">
        <v>106</v>
      </c>
      <c r="BS399" t="s">
        <v>2322</v>
      </c>
      <c r="BT399" t="str">
        <f>HYPERLINK("https%3A%2F%2Fwww.webofscience.com%2Fwos%2Fwoscc%2Ffull-record%2FWOS:000842370200001","View Full Record in Web of Science")</f>
        <v>View Full Record in Web of Science</v>
      </c>
    </row>
    <row r="400" spans="1:72" x14ac:dyDescent="0.25">
      <c r="A400" t="s">
        <v>72</v>
      </c>
      <c r="B400" t="s">
        <v>2413</v>
      </c>
      <c r="C400" t="s">
        <v>74</v>
      </c>
      <c r="D400" t="s">
        <v>74</v>
      </c>
      <c r="E400" t="s">
        <v>74</v>
      </c>
      <c r="F400" t="s">
        <v>2414</v>
      </c>
      <c r="G400" t="s">
        <v>74</v>
      </c>
      <c r="H400" t="s">
        <v>74</v>
      </c>
      <c r="I400" s="1" t="s">
        <v>2415</v>
      </c>
      <c r="J400" t="s">
        <v>2398</v>
      </c>
      <c r="K400" t="s">
        <v>74</v>
      </c>
      <c r="L400" t="s">
        <v>74</v>
      </c>
      <c r="M400" t="s">
        <v>78</v>
      </c>
      <c r="N400" t="s">
        <v>79</v>
      </c>
      <c r="O400" t="s">
        <v>74</v>
      </c>
      <c r="P400" t="s">
        <v>74</v>
      </c>
      <c r="Q400" t="s">
        <v>74</v>
      </c>
      <c r="R400" t="s">
        <v>74</v>
      </c>
      <c r="S400" t="s">
        <v>74</v>
      </c>
      <c r="T400" s="1" t="s">
        <v>74</v>
      </c>
      <c r="U400" s="1" t="s">
        <v>2416</v>
      </c>
      <c r="V400" s="1" t="s">
        <v>2417</v>
      </c>
      <c r="W400" t="s">
        <v>2418</v>
      </c>
      <c r="X400" t="s">
        <v>2419</v>
      </c>
      <c r="Y400" t="s">
        <v>2420</v>
      </c>
      <c r="Z400" t="s">
        <v>2421</v>
      </c>
      <c r="AA400" t="s">
        <v>2422</v>
      </c>
      <c r="AB400" t="s">
        <v>2423</v>
      </c>
      <c r="AC400" t="s">
        <v>2424</v>
      </c>
      <c r="AD400" t="s">
        <v>2425</v>
      </c>
      <c r="AE400" t="s">
        <v>2424</v>
      </c>
      <c r="AF400" t="s">
        <v>74</v>
      </c>
      <c r="AG400">
        <v>48</v>
      </c>
      <c r="AH400">
        <v>1</v>
      </c>
      <c r="AI400">
        <v>1</v>
      </c>
      <c r="AJ400">
        <v>8</v>
      </c>
      <c r="AK400">
        <v>14</v>
      </c>
      <c r="AL400" t="s">
        <v>146</v>
      </c>
      <c r="AM400" t="s">
        <v>147</v>
      </c>
      <c r="AN400" t="s">
        <v>148</v>
      </c>
      <c r="AO400" t="s">
        <v>2406</v>
      </c>
      <c r="AP400" t="s">
        <v>2407</v>
      </c>
      <c r="AQ400" t="s">
        <v>74</v>
      </c>
      <c r="AR400" t="s">
        <v>2408</v>
      </c>
      <c r="AS400" t="s">
        <v>2409</v>
      </c>
      <c r="AT400" t="s">
        <v>1448</v>
      </c>
      <c r="AU400">
        <v>2023</v>
      </c>
      <c r="AV400">
        <v>49</v>
      </c>
      <c r="AW400">
        <v>2</v>
      </c>
      <c r="AX400" t="s">
        <v>74</v>
      </c>
      <c r="AY400" t="s">
        <v>74</v>
      </c>
      <c r="AZ400" t="s">
        <v>74</v>
      </c>
      <c r="BA400" t="s">
        <v>74</v>
      </c>
      <c r="BB400">
        <v>329</v>
      </c>
      <c r="BC400">
        <v>351</v>
      </c>
      <c r="BD400" t="s">
        <v>74</v>
      </c>
      <c r="BE400" t="s">
        <v>2426</v>
      </c>
      <c r="BF400" t="str">
        <f>HYPERLINK("http://dx.doi.org/10.1002/berj.3845","http://dx.doi.org/10.1002/berj.3845")</f>
        <v>http://dx.doi.org/10.1002/berj.3845</v>
      </c>
      <c r="BG400" t="s">
        <v>74</v>
      </c>
      <c r="BH400" t="s">
        <v>2368</v>
      </c>
      <c r="BI400">
        <v>23</v>
      </c>
      <c r="BJ400" t="s">
        <v>1326</v>
      </c>
      <c r="BK400" t="s">
        <v>156</v>
      </c>
      <c r="BL400" t="s">
        <v>1326</v>
      </c>
      <c r="BM400" t="s">
        <v>2411</v>
      </c>
      <c r="BN400" t="s">
        <v>74</v>
      </c>
      <c r="BO400" t="s">
        <v>2427</v>
      </c>
      <c r="BP400" t="s">
        <v>74</v>
      </c>
      <c r="BQ400" t="s">
        <v>74</v>
      </c>
      <c r="BR400" t="s">
        <v>106</v>
      </c>
      <c r="BS400" t="s">
        <v>2428</v>
      </c>
      <c r="BT400" t="str">
        <f>HYPERLINK("https%3A%2F%2Fwww.webofscience.com%2Fwos%2Fwoscc%2Ffull-record%2FWOS:000899226200001","View Full Record in Web of Science")</f>
        <v>View Full Record in Web of Science</v>
      </c>
    </row>
    <row r="401" spans="1:72" x14ac:dyDescent="0.25">
      <c r="A401" t="s">
        <v>72</v>
      </c>
      <c r="B401" t="s">
        <v>2452</v>
      </c>
      <c r="C401" t="s">
        <v>74</v>
      </c>
      <c r="D401" t="s">
        <v>74</v>
      </c>
      <c r="E401" t="s">
        <v>74</v>
      </c>
      <c r="F401" t="s">
        <v>2453</v>
      </c>
      <c r="G401" t="s">
        <v>74</v>
      </c>
      <c r="H401" t="s">
        <v>74</v>
      </c>
      <c r="I401" s="1" t="s">
        <v>2454</v>
      </c>
      <c r="J401" t="s">
        <v>2455</v>
      </c>
      <c r="K401" t="s">
        <v>74</v>
      </c>
      <c r="L401" t="s">
        <v>74</v>
      </c>
      <c r="M401" t="s">
        <v>78</v>
      </c>
      <c r="N401" t="s">
        <v>112</v>
      </c>
      <c r="O401" t="s">
        <v>74</v>
      </c>
      <c r="P401" t="s">
        <v>74</v>
      </c>
      <c r="Q401" t="s">
        <v>74</v>
      </c>
      <c r="R401" t="s">
        <v>74</v>
      </c>
      <c r="S401" t="s">
        <v>74</v>
      </c>
      <c r="T401" s="1" t="s">
        <v>2456</v>
      </c>
      <c r="U401" s="1" t="s">
        <v>2457</v>
      </c>
      <c r="V401" s="1" t="s">
        <v>2458</v>
      </c>
      <c r="W401" t="s">
        <v>2459</v>
      </c>
      <c r="X401" t="s">
        <v>74</v>
      </c>
      <c r="Y401" t="s">
        <v>2460</v>
      </c>
      <c r="Z401" t="s">
        <v>2461</v>
      </c>
      <c r="AA401" t="s">
        <v>2462</v>
      </c>
      <c r="AB401" t="s">
        <v>74</v>
      </c>
      <c r="AC401" t="s">
        <v>74</v>
      </c>
      <c r="AD401" t="s">
        <v>74</v>
      </c>
      <c r="AE401" t="s">
        <v>74</v>
      </c>
      <c r="AF401" t="s">
        <v>74</v>
      </c>
      <c r="AG401">
        <v>98</v>
      </c>
      <c r="AH401">
        <v>1</v>
      </c>
      <c r="AI401">
        <v>1</v>
      </c>
      <c r="AJ401">
        <v>17</v>
      </c>
      <c r="AK401">
        <v>36</v>
      </c>
      <c r="AL401" t="s">
        <v>715</v>
      </c>
      <c r="AM401" t="s">
        <v>716</v>
      </c>
      <c r="AN401" t="s">
        <v>717</v>
      </c>
      <c r="AO401" t="s">
        <v>2463</v>
      </c>
      <c r="AP401" t="s">
        <v>2464</v>
      </c>
      <c r="AQ401" t="s">
        <v>74</v>
      </c>
      <c r="AR401" t="s">
        <v>2465</v>
      </c>
      <c r="AS401" t="s">
        <v>2466</v>
      </c>
      <c r="AT401" t="s">
        <v>2467</v>
      </c>
      <c r="AU401">
        <v>2022</v>
      </c>
      <c r="AV401" t="s">
        <v>74</v>
      </c>
      <c r="AW401" t="s">
        <v>74</v>
      </c>
      <c r="AX401" t="s">
        <v>74</v>
      </c>
      <c r="AY401" t="s">
        <v>74</v>
      </c>
      <c r="AZ401" t="s">
        <v>74</v>
      </c>
      <c r="BA401" t="s">
        <v>74</v>
      </c>
      <c r="BB401" t="s">
        <v>74</v>
      </c>
      <c r="BC401" t="s">
        <v>74</v>
      </c>
      <c r="BD401" t="s">
        <v>74</v>
      </c>
      <c r="BE401" t="s">
        <v>2468</v>
      </c>
      <c r="BF401" t="str">
        <f>HYPERLINK("http://dx.doi.org/10.1108/EJIM-07-2022-0373","http://dx.doi.org/10.1108/EJIM-07-2022-0373")</f>
        <v>http://dx.doi.org/10.1108/EJIM-07-2022-0373</v>
      </c>
      <c r="BG401" t="s">
        <v>74</v>
      </c>
      <c r="BH401" t="s">
        <v>2368</v>
      </c>
      <c r="BI401">
        <v>22</v>
      </c>
      <c r="BJ401" t="s">
        <v>264</v>
      </c>
      <c r="BK401" t="s">
        <v>156</v>
      </c>
      <c r="BL401" t="s">
        <v>265</v>
      </c>
      <c r="BM401" t="s">
        <v>2469</v>
      </c>
      <c r="BN401" t="s">
        <v>74</v>
      </c>
      <c r="BO401" t="s">
        <v>74</v>
      </c>
      <c r="BP401" t="s">
        <v>74</v>
      </c>
      <c r="BQ401" t="s">
        <v>74</v>
      </c>
      <c r="BR401" t="s">
        <v>106</v>
      </c>
      <c r="BS401" t="s">
        <v>2470</v>
      </c>
      <c r="BT401" t="str">
        <f>HYPERLINK("https%3A%2F%2Fwww.webofscience.com%2Fwos%2Fwoscc%2Ffull-record%2FWOS:000897847600001","View Full Record in Web of Science")</f>
        <v>View Full Record in Web of Science</v>
      </c>
    </row>
    <row r="402" spans="1:72" x14ac:dyDescent="0.25">
      <c r="A402" t="s">
        <v>72</v>
      </c>
      <c r="B402" t="s">
        <v>2560</v>
      </c>
      <c r="C402" t="s">
        <v>74</v>
      </c>
      <c r="D402" t="s">
        <v>74</v>
      </c>
      <c r="E402" t="s">
        <v>74</v>
      </c>
      <c r="F402" t="s">
        <v>2561</v>
      </c>
      <c r="G402" t="s">
        <v>74</v>
      </c>
      <c r="H402" t="s">
        <v>74</v>
      </c>
      <c r="I402" s="1" t="s">
        <v>2562</v>
      </c>
      <c r="J402" t="s">
        <v>2563</v>
      </c>
      <c r="K402" t="s">
        <v>74</v>
      </c>
      <c r="L402" t="s">
        <v>74</v>
      </c>
      <c r="M402" t="s">
        <v>78</v>
      </c>
      <c r="N402" t="s">
        <v>79</v>
      </c>
      <c r="O402" t="s">
        <v>74</v>
      </c>
      <c r="P402" t="s">
        <v>74</v>
      </c>
      <c r="Q402" t="s">
        <v>74</v>
      </c>
      <c r="R402" t="s">
        <v>74</v>
      </c>
      <c r="S402" t="s">
        <v>74</v>
      </c>
      <c r="T402" s="1" t="s">
        <v>2564</v>
      </c>
      <c r="U402" s="1" t="s">
        <v>2565</v>
      </c>
      <c r="V402" s="1" t="s">
        <v>2566</v>
      </c>
      <c r="W402" t="s">
        <v>2567</v>
      </c>
      <c r="X402" t="s">
        <v>2568</v>
      </c>
      <c r="Y402" t="s">
        <v>2569</v>
      </c>
      <c r="Z402" t="s">
        <v>74</v>
      </c>
      <c r="AA402" t="s">
        <v>74</v>
      </c>
      <c r="AB402" t="s">
        <v>74</v>
      </c>
      <c r="AC402" t="s">
        <v>2570</v>
      </c>
      <c r="AD402" t="s">
        <v>2571</v>
      </c>
      <c r="AE402" t="s">
        <v>2572</v>
      </c>
      <c r="AF402" t="s">
        <v>74</v>
      </c>
      <c r="AG402">
        <v>67</v>
      </c>
      <c r="AH402">
        <v>1</v>
      </c>
      <c r="AI402">
        <v>1</v>
      </c>
      <c r="AJ402">
        <v>181</v>
      </c>
      <c r="AK402">
        <v>234</v>
      </c>
      <c r="AL402" t="s">
        <v>2573</v>
      </c>
      <c r="AM402" t="s">
        <v>2574</v>
      </c>
      <c r="AN402" t="s">
        <v>2575</v>
      </c>
      <c r="AO402" t="s">
        <v>2576</v>
      </c>
      <c r="AP402" t="s">
        <v>2577</v>
      </c>
      <c r="AQ402" t="s">
        <v>74</v>
      </c>
      <c r="AR402" t="s">
        <v>2578</v>
      </c>
      <c r="AS402" t="s">
        <v>2579</v>
      </c>
      <c r="AT402" t="s">
        <v>476</v>
      </c>
      <c r="AU402">
        <v>2022</v>
      </c>
      <c r="AV402">
        <v>34</v>
      </c>
      <c r="AW402">
        <v>8</v>
      </c>
      <c r="AX402" t="s">
        <v>74</v>
      </c>
      <c r="AY402" t="s">
        <v>74</v>
      </c>
      <c r="AZ402" t="s">
        <v>74</v>
      </c>
      <c r="BA402" t="s">
        <v>74</v>
      </c>
      <c r="BB402" t="s">
        <v>74</v>
      </c>
      <c r="BC402" t="s">
        <v>74</v>
      </c>
      <c r="BD402" t="s">
        <v>74</v>
      </c>
      <c r="BE402" t="s">
        <v>2580</v>
      </c>
      <c r="BF402" t="str">
        <f>HYPERLINK("http://dx.doi.org/10.4018/JOEUC.315645","http://dx.doi.org/10.4018/JOEUC.315645")</f>
        <v>http://dx.doi.org/10.4018/JOEUC.315645</v>
      </c>
      <c r="BG402" t="s">
        <v>74</v>
      </c>
      <c r="BH402" t="s">
        <v>74</v>
      </c>
      <c r="BI402">
        <v>1</v>
      </c>
      <c r="BJ402" t="s">
        <v>2581</v>
      </c>
      <c r="BK402" t="s">
        <v>211</v>
      </c>
      <c r="BL402" t="s">
        <v>767</v>
      </c>
      <c r="BM402" t="s">
        <v>2582</v>
      </c>
      <c r="BN402" t="s">
        <v>74</v>
      </c>
      <c r="BO402" t="s">
        <v>186</v>
      </c>
      <c r="BP402" t="s">
        <v>74</v>
      </c>
      <c r="BQ402" t="s">
        <v>74</v>
      </c>
      <c r="BR402" t="s">
        <v>106</v>
      </c>
      <c r="BS402" t="s">
        <v>2583</v>
      </c>
      <c r="BT402" t="str">
        <f>HYPERLINK("https%3A%2F%2Fwww.webofscience.com%2Fwos%2Fwoscc%2Ffull-record%2FWOS:000948679800010","View Full Record in Web of Science")</f>
        <v>View Full Record in Web of Science</v>
      </c>
    </row>
    <row r="403" spans="1:72" x14ac:dyDescent="0.25">
      <c r="A403" t="s">
        <v>72</v>
      </c>
      <c r="B403" t="s">
        <v>2604</v>
      </c>
      <c r="C403" t="s">
        <v>74</v>
      </c>
      <c r="D403" t="s">
        <v>74</v>
      </c>
      <c r="E403" t="s">
        <v>74</v>
      </c>
      <c r="F403" t="s">
        <v>2605</v>
      </c>
      <c r="G403" t="s">
        <v>74</v>
      </c>
      <c r="H403" t="s">
        <v>74</v>
      </c>
      <c r="I403" s="1" t="s">
        <v>2606</v>
      </c>
      <c r="J403" t="s">
        <v>2607</v>
      </c>
      <c r="K403" t="s">
        <v>74</v>
      </c>
      <c r="L403" t="s">
        <v>74</v>
      </c>
      <c r="M403" t="s">
        <v>78</v>
      </c>
      <c r="N403" t="s">
        <v>79</v>
      </c>
      <c r="O403" t="s">
        <v>74</v>
      </c>
      <c r="P403" t="s">
        <v>74</v>
      </c>
      <c r="Q403" t="s">
        <v>74</v>
      </c>
      <c r="R403" t="s">
        <v>74</v>
      </c>
      <c r="S403" t="s">
        <v>74</v>
      </c>
      <c r="T403" s="1" t="s">
        <v>2608</v>
      </c>
      <c r="U403" s="1" t="s">
        <v>2609</v>
      </c>
      <c r="V403" s="1" t="s">
        <v>2610</v>
      </c>
      <c r="W403" t="s">
        <v>2611</v>
      </c>
      <c r="X403" t="s">
        <v>2249</v>
      </c>
      <c r="Y403" t="s">
        <v>2612</v>
      </c>
      <c r="Z403" t="s">
        <v>2613</v>
      </c>
      <c r="AA403" t="s">
        <v>74</v>
      </c>
      <c r="AB403" t="s">
        <v>2614</v>
      </c>
      <c r="AC403" t="s">
        <v>74</v>
      </c>
      <c r="AD403" t="s">
        <v>74</v>
      </c>
      <c r="AE403" t="s">
        <v>74</v>
      </c>
      <c r="AF403" t="s">
        <v>74</v>
      </c>
      <c r="AG403">
        <v>86</v>
      </c>
      <c r="AH403">
        <v>1</v>
      </c>
      <c r="AI403">
        <v>1</v>
      </c>
      <c r="AJ403">
        <v>2</v>
      </c>
      <c r="AK403">
        <v>5</v>
      </c>
      <c r="AL403" t="s">
        <v>231</v>
      </c>
      <c r="AM403" t="s">
        <v>232</v>
      </c>
      <c r="AN403" t="s">
        <v>233</v>
      </c>
      <c r="AO403" t="s">
        <v>2615</v>
      </c>
      <c r="AP403" t="s">
        <v>2616</v>
      </c>
      <c r="AQ403" t="s">
        <v>74</v>
      </c>
      <c r="AR403" t="s">
        <v>2617</v>
      </c>
      <c r="AS403" t="s">
        <v>2618</v>
      </c>
      <c r="AT403" t="s">
        <v>476</v>
      </c>
      <c r="AU403">
        <v>2022</v>
      </c>
      <c r="AV403">
        <v>11</v>
      </c>
      <c r="AW403">
        <v>4</v>
      </c>
      <c r="AX403" t="s">
        <v>74</v>
      </c>
      <c r="AY403" t="s">
        <v>74</v>
      </c>
      <c r="AZ403" t="s">
        <v>74</v>
      </c>
      <c r="BA403" t="s">
        <v>74</v>
      </c>
      <c r="BB403">
        <v>467</v>
      </c>
      <c r="BC403">
        <v>478</v>
      </c>
      <c r="BD403" t="s">
        <v>74</v>
      </c>
      <c r="BE403" t="s">
        <v>2619</v>
      </c>
      <c r="BF403" t="str">
        <f>HYPERLINK("http://dx.doi.org/10.1016/j.jum.2022.08.004","http://dx.doi.org/10.1016/j.jum.2022.08.004")</f>
        <v>http://dx.doi.org/10.1016/j.jum.2022.08.004</v>
      </c>
      <c r="BG403" t="s">
        <v>74</v>
      </c>
      <c r="BH403" t="s">
        <v>2620</v>
      </c>
      <c r="BI403">
        <v>12</v>
      </c>
      <c r="BJ403" t="s">
        <v>2621</v>
      </c>
      <c r="BK403" t="s">
        <v>183</v>
      </c>
      <c r="BL403" t="s">
        <v>2621</v>
      </c>
      <c r="BM403" t="s">
        <v>2622</v>
      </c>
      <c r="BN403" t="s">
        <v>74</v>
      </c>
      <c r="BO403" t="s">
        <v>2623</v>
      </c>
      <c r="BP403" t="s">
        <v>74</v>
      </c>
      <c r="BQ403" t="s">
        <v>74</v>
      </c>
      <c r="BR403" t="s">
        <v>106</v>
      </c>
      <c r="BS403" t="s">
        <v>2624</v>
      </c>
      <c r="BT403" t="str">
        <f>HYPERLINK("https%3A%2F%2Fwww.webofscience.com%2Fwos%2Fwoscc%2Ffull-record%2FWOS:000895823100006","View Full Record in Web of Science")</f>
        <v>View Full Record in Web of Science</v>
      </c>
    </row>
    <row r="404" spans="1:72" x14ac:dyDescent="0.25">
      <c r="A404" t="s">
        <v>72</v>
      </c>
      <c r="B404" t="s">
        <v>2710</v>
      </c>
      <c r="C404" t="s">
        <v>74</v>
      </c>
      <c r="D404" t="s">
        <v>74</v>
      </c>
      <c r="E404" t="s">
        <v>74</v>
      </c>
      <c r="F404" t="s">
        <v>2711</v>
      </c>
      <c r="G404" t="s">
        <v>74</v>
      </c>
      <c r="H404" t="s">
        <v>74</v>
      </c>
      <c r="I404" s="1" t="s">
        <v>2712</v>
      </c>
      <c r="J404" t="s">
        <v>2713</v>
      </c>
      <c r="K404" t="s">
        <v>74</v>
      </c>
      <c r="L404" t="s">
        <v>74</v>
      </c>
      <c r="M404" t="s">
        <v>929</v>
      </c>
      <c r="N404" t="s">
        <v>79</v>
      </c>
      <c r="O404" t="s">
        <v>74</v>
      </c>
      <c r="P404" t="s">
        <v>74</v>
      </c>
      <c r="Q404" t="s">
        <v>74</v>
      </c>
      <c r="R404" t="s">
        <v>74</v>
      </c>
      <c r="S404" t="s">
        <v>74</v>
      </c>
      <c r="T404" s="1" t="s">
        <v>2714</v>
      </c>
      <c r="U404" s="1" t="s">
        <v>2715</v>
      </c>
      <c r="V404" s="1" t="s">
        <v>2716</v>
      </c>
      <c r="W404" t="s">
        <v>2717</v>
      </c>
      <c r="X404" t="s">
        <v>2718</v>
      </c>
      <c r="Y404" t="s">
        <v>2719</v>
      </c>
      <c r="Z404" t="s">
        <v>2720</v>
      </c>
      <c r="AA404" t="s">
        <v>74</v>
      </c>
      <c r="AB404" t="s">
        <v>74</v>
      </c>
      <c r="AC404" t="s">
        <v>74</v>
      </c>
      <c r="AD404" t="s">
        <v>74</v>
      </c>
      <c r="AE404" t="s">
        <v>74</v>
      </c>
      <c r="AF404" t="s">
        <v>74</v>
      </c>
      <c r="AG404">
        <v>32</v>
      </c>
      <c r="AH404">
        <v>1</v>
      </c>
      <c r="AI404">
        <v>1</v>
      </c>
      <c r="AJ404">
        <v>3</v>
      </c>
      <c r="AK404">
        <v>8</v>
      </c>
      <c r="AL404" t="s">
        <v>2721</v>
      </c>
      <c r="AM404" t="s">
        <v>2722</v>
      </c>
      <c r="AN404" t="s">
        <v>2723</v>
      </c>
      <c r="AO404" t="s">
        <v>2724</v>
      </c>
      <c r="AP404" t="s">
        <v>2725</v>
      </c>
      <c r="AQ404" t="s">
        <v>74</v>
      </c>
      <c r="AR404" t="s">
        <v>2726</v>
      </c>
      <c r="AS404" t="s">
        <v>2727</v>
      </c>
      <c r="AT404" t="s">
        <v>99</v>
      </c>
      <c r="AU404">
        <v>2022</v>
      </c>
      <c r="AV404" t="s">
        <v>74</v>
      </c>
      <c r="AW404" t="s">
        <v>74</v>
      </c>
      <c r="AX404" t="s">
        <v>74</v>
      </c>
      <c r="AY404" t="s">
        <v>74</v>
      </c>
      <c r="AZ404" t="s">
        <v>1020</v>
      </c>
      <c r="BA404" t="s">
        <v>74</v>
      </c>
      <c r="BB404">
        <v>5</v>
      </c>
      <c r="BC404">
        <v>23</v>
      </c>
      <c r="BD404" t="s">
        <v>74</v>
      </c>
      <c r="BE404" t="s">
        <v>2728</v>
      </c>
      <c r="BF404" t="str">
        <f>HYPERLINK("http://dx.doi.org/10.5565/rev/analisi.3463","http://dx.doi.org/10.5565/rev/analisi.3463")</f>
        <v>http://dx.doi.org/10.5565/rev/analisi.3463</v>
      </c>
      <c r="BG404" t="s">
        <v>74</v>
      </c>
      <c r="BH404" t="s">
        <v>74</v>
      </c>
      <c r="BI404">
        <v>19</v>
      </c>
      <c r="BJ404" t="s">
        <v>2218</v>
      </c>
      <c r="BK404" t="s">
        <v>183</v>
      </c>
      <c r="BL404" t="s">
        <v>2218</v>
      </c>
      <c r="BM404" t="s">
        <v>2729</v>
      </c>
      <c r="BN404" t="s">
        <v>74</v>
      </c>
      <c r="BO404" t="s">
        <v>2730</v>
      </c>
      <c r="BP404" t="s">
        <v>74</v>
      </c>
      <c r="BQ404" t="s">
        <v>74</v>
      </c>
      <c r="BR404" t="s">
        <v>106</v>
      </c>
      <c r="BS404" t="s">
        <v>2731</v>
      </c>
      <c r="BT404" t="str">
        <f>HYPERLINK("https%3A%2F%2Fwww.webofscience.com%2Fwos%2Fwoscc%2Ffull-record%2FWOS:000897909700002","View Full Record in Web of Science")</f>
        <v>View Full Record in Web of Science</v>
      </c>
    </row>
    <row r="405" spans="1:72" x14ac:dyDescent="0.25">
      <c r="A405" t="s">
        <v>72</v>
      </c>
      <c r="B405" t="s">
        <v>2791</v>
      </c>
      <c r="C405" t="s">
        <v>74</v>
      </c>
      <c r="D405" t="s">
        <v>74</v>
      </c>
      <c r="E405" t="s">
        <v>74</v>
      </c>
      <c r="F405" t="s">
        <v>2792</v>
      </c>
      <c r="G405" t="s">
        <v>74</v>
      </c>
      <c r="H405" t="s">
        <v>74</v>
      </c>
      <c r="I405" s="1" t="s">
        <v>2793</v>
      </c>
      <c r="J405" t="s">
        <v>321</v>
      </c>
      <c r="K405" t="s">
        <v>74</v>
      </c>
      <c r="L405" t="s">
        <v>74</v>
      </c>
      <c r="M405" t="s">
        <v>78</v>
      </c>
      <c r="N405" t="s">
        <v>79</v>
      </c>
      <c r="O405" t="s">
        <v>74</v>
      </c>
      <c r="P405" t="s">
        <v>74</v>
      </c>
      <c r="Q405" t="s">
        <v>74</v>
      </c>
      <c r="R405" t="s">
        <v>74</v>
      </c>
      <c r="S405" t="s">
        <v>74</v>
      </c>
      <c r="T405" s="1" t="s">
        <v>2794</v>
      </c>
      <c r="U405" s="1" t="s">
        <v>2795</v>
      </c>
      <c r="V405" s="1" t="s">
        <v>2796</v>
      </c>
      <c r="W405" t="s">
        <v>2797</v>
      </c>
      <c r="X405" t="s">
        <v>2798</v>
      </c>
      <c r="Y405" t="s">
        <v>2799</v>
      </c>
      <c r="Z405" t="s">
        <v>2800</v>
      </c>
      <c r="AA405" t="s">
        <v>2801</v>
      </c>
      <c r="AB405" t="s">
        <v>2802</v>
      </c>
      <c r="AC405" t="s">
        <v>74</v>
      </c>
      <c r="AD405" t="s">
        <v>74</v>
      </c>
      <c r="AE405" t="s">
        <v>74</v>
      </c>
      <c r="AF405" t="s">
        <v>74</v>
      </c>
      <c r="AG405">
        <v>163</v>
      </c>
      <c r="AH405">
        <v>1</v>
      </c>
      <c r="AI405">
        <v>1</v>
      </c>
      <c r="AJ405">
        <v>5</v>
      </c>
      <c r="AK405">
        <v>11</v>
      </c>
      <c r="AL405" t="s">
        <v>332</v>
      </c>
      <c r="AM405" t="s">
        <v>122</v>
      </c>
      <c r="AN405" t="s">
        <v>333</v>
      </c>
      <c r="AO405" t="s">
        <v>334</v>
      </c>
      <c r="AP405" t="s">
        <v>335</v>
      </c>
      <c r="AQ405" t="s">
        <v>74</v>
      </c>
      <c r="AR405" t="s">
        <v>336</v>
      </c>
      <c r="AS405" t="s">
        <v>337</v>
      </c>
      <c r="AT405" t="s">
        <v>476</v>
      </c>
      <c r="AU405">
        <v>2022</v>
      </c>
      <c r="AV405">
        <v>185</v>
      </c>
      <c r="AW405" t="s">
        <v>74</v>
      </c>
      <c r="AX405" t="s">
        <v>74</v>
      </c>
      <c r="AY405" t="s">
        <v>74</v>
      </c>
      <c r="AZ405" t="s">
        <v>74</v>
      </c>
      <c r="BA405" t="s">
        <v>74</v>
      </c>
      <c r="BB405" t="s">
        <v>74</v>
      </c>
      <c r="BC405" t="s">
        <v>74</v>
      </c>
      <c r="BD405">
        <v>122100</v>
      </c>
      <c r="BE405" t="s">
        <v>2803</v>
      </c>
      <c r="BF405" t="str">
        <f>HYPERLINK("http://dx.doi.org/10.1016/j.techfore.2022.122100","http://dx.doi.org/10.1016/j.techfore.2022.122100")</f>
        <v>http://dx.doi.org/10.1016/j.techfore.2022.122100</v>
      </c>
      <c r="BG405" t="s">
        <v>74</v>
      </c>
      <c r="BH405" t="s">
        <v>2788</v>
      </c>
      <c r="BI405">
        <v>22</v>
      </c>
      <c r="BJ405" t="s">
        <v>339</v>
      </c>
      <c r="BK405" t="s">
        <v>156</v>
      </c>
      <c r="BL405" t="s">
        <v>340</v>
      </c>
      <c r="BM405" t="s">
        <v>2804</v>
      </c>
      <c r="BN405" t="s">
        <v>74</v>
      </c>
      <c r="BO405" t="s">
        <v>2805</v>
      </c>
      <c r="BP405" t="s">
        <v>74</v>
      </c>
      <c r="BQ405" t="s">
        <v>74</v>
      </c>
      <c r="BR405" t="s">
        <v>106</v>
      </c>
      <c r="BS405" t="s">
        <v>2806</v>
      </c>
      <c r="BT405" t="str">
        <f>HYPERLINK("https%3A%2F%2Fwww.webofscience.com%2Fwos%2Fwoscc%2Ffull-record%2FWOS:000917668300005","View Full Record in Web of Science")</f>
        <v>View Full Record in Web of Science</v>
      </c>
    </row>
    <row r="406" spans="1:72" x14ac:dyDescent="0.25">
      <c r="A406" t="s">
        <v>72</v>
      </c>
      <c r="B406" t="s">
        <v>2807</v>
      </c>
      <c r="C406" t="s">
        <v>74</v>
      </c>
      <c r="D406" t="s">
        <v>74</v>
      </c>
      <c r="E406" t="s">
        <v>74</v>
      </c>
      <c r="F406" t="s">
        <v>2808</v>
      </c>
      <c r="G406" t="s">
        <v>74</v>
      </c>
      <c r="H406" t="s">
        <v>74</v>
      </c>
      <c r="I406" s="1" t="s">
        <v>2809</v>
      </c>
      <c r="J406" t="s">
        <v>2810</v>
      </c>
      <c r="K406" t="s">
        <v>74</v>
      </c>
      <c r="L406" t="s">
        <v>74</v>
      </c>
      <c r="M406" t="s">
        <v>78</v>
      </c>
      <c r="N406" t="s">
        <v>79</v>
      </c>
      <c r="O406" t="s">
        <v>74</v>
      </c>
      <c r="P406" t="s">
        <v>74</v>
      </c>
      <c r="Q406" t="s">
        <v>74</v>
      </c>
      <c r="R406" t="s">
        <v>74</v>
      </c>
      <c r="S406" t="s">
        <v>74</v>
      </c>
      <c r="T406" s="1" t="s">
        <v>74</v>
      </c>
      <c r="U406" s="1" t="s">
        <v>2811</v>
      </c>
      <c r="V406" s="1" t="s">
        <v>2812</v>
      </c>
      <c r="W406" t="s">
        <v>2813</v>
      </c>
      <c r="X406" t="s">
        <v>2814</v>
      </c>
      <c r="Y406" t="s">
        <v>2815</v>
      </c>
      <c r="Z406" t="s">
        <v>2816</v>
      </c>
      <c r="AA406" t="s">
        <v>74</v>
      </c>
      <c r="AB406" t="s">
        <v>2817</v>
      </c>
      <c r="AC406" t="s">
        <v>74</v>
      </c>
      <c r="AD406" t="s">
        <v>74</v>
      </c>
      <c r="AE406" t="s">
        <v>74</v>
      </c>
      <c r="AF406" t="s">
        <v>74</v>
      </c>
      <c r="AG406">
        <v>61</v>
      </c>
      <c r="AH406">
        <v>1</v>
      </c>
      <c r="AI406">
        <v>1</v>
      </c>
      <c r="AJ406">
        <v>5</v>
      </c>
      <c r="AK406">
        <v>19</v>
      </c>
      <c r="AL406" t="s">
        <v>2818</v>
      </c>
      <c r="AM406" t="s">
        <v>2819</v>
      </c>
      <c r="AN406" t="s">
        <v>2820</v>
      </c>
      <c r="AO406" t="s">
        <v>2821</v>
      </c>
      <c r="AP406" t="s">
        <v>2822</v>
      </c>
      <c r="AQ406" t="s">
        <v>74</v>
      </c>
      <c r="AR406" t="s">
        <v>2823</v>
      </c>
      <c r="AS406" t="s">
        <v>2824</v>
      </c>
      <c r="AT406" t="s">
        <v>99</v>
      </c>
      <c r="AU406">
        <v>2022</v>
      </c>
      <c r="AV406">
        <v>31</v>
      </c>
      <c r="AW406">
        <v>6</v>
      </c>
      <c r="AX406" t="s">
        <v>74</v>
      </c>
      <c r="AY406" t="s">
        <v>74</v>
      </c>
      <c r="AZ406" t="s">
        <v>1020</v>
      </c>
      <c r="BA406" t="s">
        <v>74</v>
      </c>
      <c r="BB406">
        <v>613</v>
      </c>
      <c r="BC406">
        <v>622</v>
      </c>
      <c r="BD406" t="s">
        <v>74</v>
      </c>
      <c r="BE406" t="s">
        <v>2825</v>
      </c>
      <c r="BF406" t="str">
        <f>HYPERLINK("http://dx.doi.org/10.1002/jsc.2528","http://dx.doi.org/10.1002/jsc.2528")</f>
        <v>http://dx.doi.org/10.1002/jsc.2528</v>
      </c>
      <c r="BG406" t="s">
        <v>74</v>
      </c>
      <c r="BH406" t="s">
        <v>2788</v>
      </c>
      <c r="BI406">
        <v>10</v>
      </c>
      <c r="BJ406" t="s">
        <v>479</v>
      </c>
      <c r="BK406" t="s">
        <v>183</v>
      </c>
      <c r="BL406" t="s">
        <v>265</v>
      </c>
      <c r="BM406" t="s">
        <v>2826</v>
      </c>
      <c r="BN406" t="s">
        <v>74</v>
      </c>
      <c r="BO406" t="s">
        <v>2827</v>
      </c>
      <c r="BP406" t="s">
        <v>74</v>
      </c>
      <c r="BQ406" t="s">
        <v>74</v>
      </c>
      <c r="BR406" t="s">
        <v>106</v>
      </c>
      <c r="BS406" t="s">
        <v>2828</v>
      </c>
      <c r="BT406" t="str">
        <f>HYPERLINK("https%3A%2F%2Fwww.webofscience.com%2Fwos%2Fwoscc%2Ffull-record%2FWOS:000869789100001","View Full Record in Web of Science")</f>
        <v>View Full Record in Web of Science</v>
      </c>
    </row>
    <row r="407" spans="1:72" x14ac:dyDescent="0.25">
      <c r="A407" t="s">
        <v>72</v>
      </c>
      <c r="B407" t="s">
        <v>2932</v>
      </c>
      <c r="C407" t="s">
        <v>74</v>
      </c>
      <c r="D407" t="s">
        <v>74</v>
      </c>
      <c r="E407" t="s">
        <v>74</v>
      </c>
      <c r="F407" t="s">
        <v>2933</v>
      </c>
      <c r="G407" t="s">
        <v>74</v>
      </c>
      <c r="H407" t="s">
        <v>74</v>
      </c>
      <c r="I407" s="1" t="s">
        <v>2934</v>
      </c>
      <c r="J407" t="s">
        <v>191</v>
      </c>
      <c r="K407" t="s">
        <v>74</v>
      </c>
      <c r="L407" t="s">
        <v>74</v>
      </c>
      <c r="M407" t="s">
        <v>78</v>
      </c>
      <c r="N407" t="s">
        <v>79</v>
      </c>
      <c r="O407" t="s">
        <v>74</v>
      </c>
      <c r="P407" t="s">
        <v>74</v>
      </c>
      <c r="Q407" t="s">
        <v>74</v>
      </c>
      <c r="R407" t="s">
        <v>74</v>
      </c>
      <c r="S407" t="s">
        <v>74</v>
      </c>
      <c r="T407" s="1" t="s">
        <v>2935</v>
      </c>
      <c r="U407" s="1" t="s">
        <v>2936</v>
      </c>
      <c r="V407" s="1" t="s">
        <v>2937</v>
      </c>
      <c r="W407" t="s">
        <v>2938</v>
      </c>
      <c r="X407" t="s">
        <v>2939</v>
      </c>
      <c r="Y407" t="s">
        <v>2940</v>
      </c>
      <c r="Z407" t="s">
        <v>2941</v>
      </c>
      <c r="AA407" t="s">
        <v>2942</v>
      </c>
      <c r="AB407" t="s">
        <v>2943</v>
      </c>
      <c r="AC407" t="s">
        <v>74</v>
      </c>
      <c r="AD407" t="s">
        <v>74</v>
      </c>
      <c r="AE407" t="s">
        <v>74</v>
      </c>
      <c r="AF407" t="s">
        <v>74</v>
      </c>
      <c r="AG407">
        <v>77</v>
      </c>
      <c r="AH407">
        <v>1</v>
      </c>
      <c r="AI407">
        <v>1</v>
      </c>
      <c r="AJ407">
        <v>4</v>
      </c>
      <c r="AK407">
        <v>15</v>
      </c>
      <c r="AL407" t="s">
        <v>202</v>
      </c>
      <c r="AM407" t="s">
        <v>203</v>
      </c>
      <c r="AN407" t="s">
        <v>204</v>
      </c>
      <c r="AO407" t="s">
        <v>74</v>
      </c>
      <c r="AP407" t="s">
        <v>205</v>
      </c>
      <c r="AQ407" t="s">
        <v>74</v>
      </c>
      <c r="AR407" t="s">
        <v>206</v>
      </c>
      <c r="AS407" t="s">
        <v>207</v>
      </c>
      <c r="AT407" t="s">
        <v>208</v>
      </c>
      <c r="AU407">
        <v>2022</v>
      </c>
      <c r="AV407">
        <v>14</v>
      </c>
      <c r="AW407">
        <v>20</v>
      </c>
      <c r="AX407" t="s">
        <v>74</v>
      </c>
      <c r="AY407" t="s">
        <v>74</v>
      </c>
      <c r="AZ407" t="s">
        <v>74</v>
      </c>
      <c r="BA407" t="s">
        <v>74</v>
      </c>
      <c r="BB407" t="s">
        <v>74</v>
      </c>
      <c r="BC407" t="s">
        <v>74</v>
      </c>
      <c r="BD407">
        <v>13549</v>
      </c>
      <c r="BE407" t="s">
        <v>2944</v>
      </c>
      <c r="BF407" t="str">
        <f>HYPERLINK("http://dx.doi.org/10.3390/su142013549","http://dx.doi.org/10.3390/su142013549")</f>
        <v>http://dx.doi.org/10.3390/su142013549</v>
      </c>
      <c r="BG407" t="s">
        <v>74</v>
      </c>
      <c r="BH407" t="s">
        <v>74</v>
      </c>
      <c r="BI407">
        <v>14</v>
      </c>
      <c r="BJ407" t="s">
        <v>210</v>
      </c>
      <c r="BK407" t="s">
        <v>211</v>
      </c>
      <c r="BL407" t="s">
        <v>212</v>
      </c>
      <c r="BM407" t="s">
        <v>2945</v>
      </c>
      <c r="BN407" t="s">
        <v>74</v>
      </c>
      <c r="BO407" t="s">
        <v>2946</v>
      </c>
      <c r="BP407" t="s">
        <v>74</v>
      </c>
      <c r="BQ407" t="s">
        <v>74</v>
      </c>
      <c r="BR407" t="s">
        <v>106</v>
      </c>
      <c r="BS407" t="s">
        <v>2947</v>
      </c>
      <c r="BT407" t="str">
        <f>HYPERLINK("https%3A%2F%2Fwww.webofscience.com%2Fwos%2Fwoscc%2Ffull-record%2FWOS:000873375900001","View Full Record in Web of Science")</f>
        <v>View Full Record in Web of Science</v>
      </c>
    </row>
    <row r="408" spans="1:72" x14ac:dyDescent="0.25">
      <c r="A408" t="s">
        <v>72</v>
      </c>
      <c r="B408" t="s">
        <v>3070</v>
      </c>
      <c r="C408" t="s">
        <v>74</v>
      </c>
      <c r="D408" t="s">
        <v>74</v>
      </c>
      <c r="E408" t="s">
        <v>74</v>
      </c>
      <c r="F408" t="s">
        <v>3071</v>
      </c>
      <c r="G408" t="s">
        <v>74</v>
      </c>
      <c r="H408" t="s">
        <v>74</v>
      </c>
      <c r="I408" s="1" t="s">
        <v>3072</v>
      </c>
      <c r="J408" t="s">
        <v>3073</v>
      </c>
      <c r="K408" t="s">
        <v>74</v>
      </c>
      <c r="L408" t="s">
        <v>74</v>
      </c>
      <c r="M408" t="s">
        <v>78</v>
      </c>
      <c r="N408" t="s">
        <v>79</v>
      </c>
      <c r="O408" t="s">
        <v>74</v>
      </c>
      <c r="P408" t="s">
        <v>74</v>
      </c>
      <c r="Q408" t="s">
        <v>74</v>
      </c>
      <c r="R408" t="s">
        <v>74</v>
      </c>
      <c r="S408" t="s">
        <v>74</v>
      </c>
      <c r="T408" s="1" t="s">
        <v>3074</v>
      </c>
      <c r="U408" s="1" t="s">
        <v>3075</v>
      </c>
      <c r="V408" s="1" t="s">
        <v>3076</v>
      </c>
      <c r="W408" t="s">
        <v>3077</v>
      </c>
      <c r="X408" t="s">
        <v>3078</v>
      </c>
      <c r="Y408" t="s">
        <v>3079</v>
      </c>
      <c r="Z408" t="s">
        <v>3080</v>
      </c>
      <c r="AA408" t="s">
        <v>3081</v>
      </c>
      <c r="AB408" t="s">
        <v>3082</v>
      </c>
      <c r="AC408" t="s">
        <v>74</v>
      </c>
      <c r="AD408" t="s">
        <v>74</v>
      </c>
      <c r="AE408" t="s">
        <v>74</v>
      </c>
      <c r="AF408" t="s">
        <v>74</v>
      </c>
      <c r="AG408">
        <v>58</v>
      </c>
      <c r="AH408">
        <v>1</v>
      </c>
      <c r="AI408">
        <v>1</v>
      </c>
      <c r="AJ408">
        <v>13</v>
      </c>
      <c r="AK408">
        <v>22</v>
      </c>
      <c r="AL408" t="s">
        <v>3083</v>
      </c>
      <c r="AM408" t="s">
        <v>3084</v>
      </c>
      <c r="AN408" t="s">
        <v>3085</v>
      </c>
      <c r="AO408" t="s">
        <v>3086</v>
      </c>
      <c r="AP408" t="s">
        <v>3087</v>
      </c>
      <c r="AQ408" t="s">
        <v>74</v>
      </c>
      <c r="AR408" t="s">
        <v>3088</v>
      </c>
      <c r="AS408" t="s">
        <v>3089</v>
      </c>
      <c r="AT408" t="s">
        <v>3090</v>
      </c>
      <c r="AU408">
        <v>2022</v>
      </c>
      <c r="AV408">
        <v>20</v>
      </c>
      <c r="AW408" t="s">
        <v>74</v>
      </c>
      <c r="AX408" t="s">
        <v>74</v>
      </c>
      <c r="AY408" t="s">
        <v>74</v>
      </c>
      <c r="AZ408" t="s">
        <v>74</v>
      </c>
      <c r="BA408" t="s">
        <v>74</v>
      </c>
      <c r="BB408" t="s">
        <v>74</v>
      </c>
      <c r="BC408" t="s">
        <v>74</v>
      </c>
      <c r="BD408" t="s">
        <v>3091</v>
      </c>
      <c r="BE408" t="s">
        <v>3092</v>
      </c>
      <c r="BF408" t="str">
        <f>HYPERLINK("http://dx.doi.org/10.4102/sajhrm.v20i0.1992","http://dx.doi.org/10.4102/sajhrm.v20i0.1992")</f>
        <v>http://dx.doi.org/10.4102/sajhrm.v20i0.1992</v>
      </c>
      <c r="BG408" t="s">
        <v>74</v>
      </c>
      <c r="BH408" t="s">
        <v>74</v>
      </c>
      <c r="BI408">
        <v>12</v>
      </c>
      <c r="BJ408" t="s">
        <v>315</v>
      </c>
      <c r="BK408" t="s">
        <v>183</v>
      </c>
      <c r="BL408" t="s">
        <v>265</v>
      </c>
      <c r="BM408" t="s">
        <v>3093</v>
      </c>
      <c r="BN408" t="s">
        <v>74</v>
      </c>
      <c r="BO408" t="s">
        <v>186</v>
      </c>
      <c r="BP408" t="s">
        <v>74</v>
      </c>
      <c r="BQ408" t="s">
        <v>74</v>
      </c>
      <c r="BR408" t="s">
        <v>106</v>
      </c>
      <c r="BS408" t="s">
        <v>3094</v>
      </c>
      <c r="BT408" t="str">
        <f>HYPERLINK("https%3A%2F%2Fwww.webofscience.com%2Fwos%2Fwoscc%2Ffull-record%2FWOS:000871496100001","View Full Record in Web of Science")</f>
        <v>View Full Record in Web of Science</v>
      </c>
    </row>
    <row r="409" spans="1:72" x14ac:dyDescent="0.25">
      <c r="A409" t="s">
        <v>72</v>
      </c>
      <c r="B409" t="s">
        <v>3095</v>
      </c>
      <c r="C409" t="s">
        <v>74</v>
      </c>
      <c r="D409" t="s">
        <v>74</v>
      </c>
      <c r="E409" t="s">
        <v>74</v>
      </c>
      <c r="F409" t="s">
        <v>3096</v>
      </c>
      <c r="G409" t="s">
        <v>74</v>
      </c>
      <c r="H409" t="s">
        <v>74</v>
      </c>
      <c r="I409" s="1" t="s">
        <v>3097</v>
      </c>
      <c r="J409" t="s">
        <v>1649</v>
      </c>
      <c r="K409" t="s">
        <v>74</v>
      </c>
      <c r="L409" t="s">
        <v>74</v>
      </c>
      <c r="M409" t="s">
        <v>78</v>
      </c>
      <c r="N409" t="s">
        <v>79</v>
      </c>
      <c r="O409" t="s">
        <v>74</v>
      </c>
      <c r="P409" t="s">
        <v>74</v>
      </c>
      <c r="Q409" t="s">
        <v>74</v>
      </c>
      <c r="R409" t="s">
        <v>74</v>
      </c>
      <c r="S409" t="s">
        <v>74</v>
      </c>
      <c r="T409" s="1" t="s">
        <v>3098</v>
      </c>
      <c r="U409" s="1" t="s">
        <v>3099</v>
      </c>
      <c r="V409" s="1" t="s">
        <v>3100</v>
      </c>
      <c r="W409" t="s">
        <v>3101</v>
      </c>
      <c r="X409" t="s">
        <v>3102</v>
      </c>
      <c r="Y409" t="s">
        <v>3103</v>
      </c>
      <c r="Z409" t="s">
        <v>3104</v>
      </c>
      <c r="AA409" t="s">
        <v>74</v>
      </c>
      <c r="AB409" t="s">
        <v>74</v>
      </c>
      <c r="AC409" t="s">
        <v>3105</v>
      </c>
      <c r="AD409" t="s">
        <v>3106</v>
      </c>
      <c r="AE409" t="s">
        <v>3107</v>
      </c>
      <c r="AF409" t="s">
        <v>74</v>
      </c>
      <c r="AG409">
        <v>14</v>
      </c>
      <c r="AH409">
        <v>1</v>
      </c>
      <c r="AI409">
        <v>1</v>
      </c>
      <c r="AJ409">
        <v>19</v>
      </c>
      <c r="AK409">
        <v>49</v>
      </c>
      <c r="AL409" t="s">
        <v>1382</v>
      </c>
      <c r="AM409" t="s">
        <v>1383</v>
      </c>
      <c r="AN409" t="s">
        <v>1384</v>
      </c>
      <c r="AO409" t="s">
        <v>1659</v>
      </c>
      <c r="AP409" t="s">
        <v>74</v>
      </c>
      <c r="AQ409" t="s">
        <v>74</v>
      </c>
      <c r="AR409" t="s">
        <v>1660</v>
      </c>
      <c r="AS409" t="s">
        <v>1661</v>
      </c>
      <c r="AT409" t="s">
        <v>3090</v>
      </c>
      <c r="AU409">
        <v>2022</v>
      </c>
      <c r="AV409">
        <v>13</v>
      </c>
      <c r="AW409" t="s">
        <v>74</v>
      </c>
      <c r="AX409" t="s">
        <v>74</v>
      </c>
      <c r="AY409" t="s">
        <v>74</v>
      </c>
      <c r="AZ409" t="s">
        <v>74</v>
      </c>
      <c r="BA409" t="s">
        <v>74</v>
      </c>
      <c r="BB409" t="s">
        <v>74</v>
      </c>
      <c r="BC409" t="s">
        <v>74</v>
      </c>
      <c r="BD409">
        <v>1013228</v>
      </c>
      <c r="BE409" t="s">
        <v>3108</v>
      </c>
      <c r="BF409" t="str">
        <f>HYPERLINK("http://dx.doi.org/10.3389/fpsyg.2022.1013228","http://dx.doi.org/10.3389/fpsyg.2022.1013228")</f>
        <v>http://dx.doi.org/10.3389/fpsyg.2022.1013228</v>
      </c>
      <c r="BG409" t="s">
        <v>74</v>
      </c>
      <c r="BH409" t="s">
        <v>74</v>
      </c>
      <c r="BI409">
        <v>11</v>
      </c>
      <c r="BJ409" t="s">
        <v>1664</v>
      </c>
      <c r="BK409" t="s">
        <v>156</v>
      </c>
      <c r="BL409" t="s">
        <v>1665</v>
      </c>
      <c r="BM409" t="s">
        <v>3109</v>
      </c>
      <c r="BN409">
        <v>36211899</v>
      </c>
      <c r="BO409" t="s">
        <v>422</v>
      </c>
      <c r="BP409" t="s">
        <v>74</v>
      </c>
      <c r="BQ409" t="s">
        <v>74</v>
      </c>
      <c r="BR409" t="s">
        <v>106</v>
      </c>
      <c r="BS409" t="s">
        <v>3110</v>
      </c>
      <c r="BT409" t="str">
        <f>HYPERLINK("https%3A%2F%2Fwww.webofscience.com%2Fwos%2Fwoscc%2Ffull-record%2FWOS:000891411200001","View Full Record in Web of Science")</f>
        <v>View Full Record in Web of Science</v>
      </c>
    </row>
    <row r="410" spans="1:72" x14ac:dyDescent="0.25">
      <c r="A410" t="s">
        <v>72</v>
      </c>
      <c r="B410" t="s">
        <v>3199</v>
      </c>
      <c r="C410" t="s">
        <v>74</v>
      </c>
      <c r="D410" t="s">
        <v>74</v>
      </c>
      <c r="E410" t="s">
        <v>74</v>
      </c>
      <c r="F410" t="s">
        <v>3200</v>
      </c>
      <c r="G410" t="s">
        <v>74</v>
      </c>
      <c r="H410" t="s">
        <v>74</v>
      </c>
      <c r="I410" s="1" t="s">
        <v>3201</v>
      </c>
      <c r="J410" t="s">
        <v>3202</v>
      </c>
      <c r="K410" t="s">
        <v>74</v>
      </c>
      <c r="L410" t="s">
        <v>74</v>
      </c>
      <c r="M410" t="s">
        <v>78</v>
      </c>
      <c r="N410" t="s">
        <v>79</v>
      </c>
      <c r="O410" t="s">
        <v>74</v>
      </c>
      <c r="P410" t="s">
        <v>74</v>
      </c>
      <c r="Q410" t="s">
        <v>74</v>
      </c>
      <c r="R410" t="s">
        <v>74</v>
      </c>
      <c r="S410" t="s">
        <v>74</v>
      </c>
      <c r="T410" s="1" t="s">
        <v>3203</v>
      </c>
      <c r="U410" s="1" t="s">
        <v>3204</v>
      </c>
      <c r="V410" s="1" t="s">
        <v>3205</v>
      </c>
      <c r="W410" t="s">
        <v>3206</v>
      </c>
      <c r="X410" t="s">
        <v>3207</v>
      </c>
      <c r="Y410" t="s">
        <v>3208</v>
      </c>
      <c r="Z410" t="s">
        <v>3209</v>
      </c>
      <c r="AA410" t="s">
        <v>3210</v>
      </c>
      <c r="AB410" t="s">
        <v>3211</v>
      </c>
      <c r="AC410" t="s">
        <v>3212</v>
      </c>
      <c r="AD410" t="s">
        <v>3213</v>
      </c>
      <c r="AE410" t="s">
        <v>3214</v>
      </c>
      <c r="AF410" t="s">
        <v>74</v>
      </c>
      <c r="AG410">
        <v>37</v>
      </c>
      <c r="AH410">
        <v>1</v>
      </c>
      <c r="AI410">
        <v>1</v>
      </c>
      <c r="AJ410">
        <v>0</v>
      </c>
      <c r="AK410">
        <v>1</v>
      </c>
      <c r="AL410" t="s">
        <v>174</v>
      </c>
      <c r="AM410" t="s">
        <v>175</v>
      </c>
      <c r="AN410" t="s">
        <v>176</v>
      </c>
      <c r="AO410" t="s">
        <v>74</v>
      </c>
      <c r="AP410" t="s">
        <v>3215</v>
      </c>
      <c r="AQ410" t="s">
        <v>74</v>
      </c>
      <c r="AR410" t="s">
        <v>3202</v>
      </c>
      <c r="AS410" t="s">
        <v>3216</v>
      </c>
      <c r="AT410" t="s">
        <v>3217</v>
      </c>
      <c r="AU410">
        <v>2022</v>
      </c>
      <c r="AV410">
        <v>23</v>
      </c>
      <c r="AW410">
        <v>1</v>
      </c>
      <c r="AX410" t="s">
        <v>74</v>
      </c>
      <c r="AY410" t="s">
        <v>74</v>
      </c>
      <c r="AZ410" t="s">
        <v>74</v>
      </c>
      <c r="BA410" t="s">
        <v>74</v>
      </c>
      <c r="BB410" t="s">
        <v>74</v>
      </c>
      <c r="BC410" t="s">
        <v>74</v>
      </c>
      <c r="BD410">
        <v>761</v>
      </c>
      <c r="BE410" t="s">
        <v>3218</v>
      </c>
      <c r="BF410" t="str">
        <f>HYPERLINK("http://dx.doi.org/10.1186/s13063-022-06623-z","http://dx.doi.org/10.1186/s13063-022-06623-z")</f>
        <v>http://dx.doi.org/10.1186/s13063-022-06623-z</v>
      </c>
      <c r="BG410" t="s">
        <v>74</v>
      </c>
      <c r="BH410" t="s">
        <v>74</v>
      </c>
      <c r="BI410">
        <v>12</v>
      </c>
      <c r="BJ410" t="s">
        <v>182</v>
      </c>
      <c r="BK410" t="s">
        <v>102</v>
      </c>
      <c r="BL410" t="s">
        <v>184</v>
      </c>
      <c r="BM410" t="s">
        <v>3219</v>
      </c>
      <c r="BN410">
        <v>36071463</v>
      </c>
      <c r="BO410" t="s">
        <v>422</v>
      </c>
      <c r="BP410" t="s">
        <v>74</v>
      </c>
      <c r="BQ410" t="s">
        <v>74</v>
      </c>
      <c r="BR410" t="s">
        <v>106</v>
      </c>
      <c r="BS410" t="s">
        <v>3220</v>
      </c>
      <c r="BT410" t="str">
        <f>HYPERLINK("https%3A%2F%2Fwww.webofscience.com%2Fwos%2Fwoscc%2Ffull-record%2FWOS:000850816900003","View Full Record in Web of Science")</f>
        <v>View Full Record in Web of Science</v>
      </c>
    </row>
    <row r="411" spans="1:72" x14ac:dyDescent="0.25">
      <c r="A411" t="s">
        <v>72</v>
      </c>
      <c r="B411" t="s">
        <v>3387</v>
      </c>
      <c r="C411" t="s">
        <v>74</v>
      </c>
      <c r="D411" t="s">
        <v>74</v>
      </c>
      <c r="E411" t="s">
        <v>74</v>
      </c>
      <c r="F411" t="s">
        <v>3388</v>
      </c>
      <c r="G411" t="s">
        <v>74</v>
      </c>
      <c r="H411" t="s">
        <v>74</v>
      </c>
      <c r="I411" s="1" t="s">
        <v>3389</v>
      </c>
      <c r="J411" t="s">
        <v>3390</v>
      </c>
      <c r="K411" t="s">
        <v>74</v>
      </c>
      <c r="L411" t="s">
        <v>74</v>
      </c>
      <c r="M411" t="s">
        <v>78</v>
      </c>
      <c r="N411" t="s">
        <v>79</v>
      </c>
      <c r="O411" t="s">
        <v>74</v>
      </c>
      <c r="P411" t="s">
        <v>74</v>
      </c>
      <c r="Q411" t="s">
        <v>74</v>
      </c>
      <c r="R411" t="s">
        <v>74</v>
      </c>
      <c r="S411" t="s">
        <v>74</v>
      </c>
      <c r="T411" s="1" t="s">
        <v>3391</v>
      </c>
      <c r="U411" s="1" t="s">
        <v>74</v>
      </c>
      <c r="V411" s="1" t="s">
        <v>3392</v>
      </c>
      <c r="W411" t="s">
        <v>3393</v>
      </c>
      <c r="X411" t="s">
        <v>3394</v>
      </c>
      <c r="Y411" t="s">
        <v>3395</v>
      </c>
      <c r="Z411" t="s">
        <v>3396</v>
      </c>
      <c r="AA411" t="s">
        <v>3397</v>
      </c>
      <c r="AB411" t="s">
        <v>3398</v>
      </c>
      <c r="AC411" t="s">
        <v>74</v>
      </c>
      <c r="AD411" t="s">
        <v>74</v>
      </c>
      <c r="AE411" t="s">
        <v>74</v>
      </c>
      <c r="AF411" t="s">
        <v>74</v>
      </c>
      <c r="AG411">
        <v>48</v>
      </c>
      <c r="AH411">
        <v>1</v>
      </c>
      <c r="AI411">
        <v>1</v>
      </c>
      <c r="AJ411">
        <v>3</v>
      </c>
      <c r="AK411">
        <v>5</v>
      </c>
      <c r="AL411" t="s">
        <v>1636</v>
      </c>
      <c r="AM411" t="s">
        <v>93</v>
      </c>
      <c r="AN411" t="s">
        <v>1637</v>
      </c>
      <c r="AO411" t="s">
        <v>3399</v>
      </c>
      <c r="AP411" t="s">
        <v>3400</v>
      </c>
      <c r="AQ411" t="s">
        <v>74</v>
      </c>
      <c r="AR411" t="s">
        <v>3401</v>
      </c>
      <c r="AS411" t="s">
        <v>3402</v>
      </c>
      <c r="AT411" t="s">
        <v>356</v>
      </c>
      <c r="AU411">
        <v>2022</v>
      </c>
      <c r="AV411">
        <v>46</v>
      </c>
      <c r="AW411">
        <v>8</v>
      </c>
      <c r="AX411" t="s">
        <v>74</v>
      </c>
      <c r="AY411" t="s">
        <v>74</v>
      </c>
      <c r="AZ411" t="s">
        <v>74</v>
      </c>
      <c r="BA411" t="s">
        <v>74</v>
      </c>
      <c r="BB411" t="s">
        <v>74</v>
      </c>
      <c r="BC411" t="s">
        <v>74</v>
      </c>
      <c r="BD411">
        <v>102367</v>
      </c>
      <c r="BE411" t="s">
        <v>3403</v>
      </c>
      <c r="BF411" t="str">
        <f>HYPERLINK("http://dx.doi.org/10.1016/j.telpol.2022.102367","http://dx.doi.org/10.1016/j.telpol.2022.102367")</f>
        <v>http://dx.doi.org/10.1016/j.telpol.2022.102367</v>
      </c>
      <c r="BG411" t="s">
        <v>74</v>
      </c>
      <c r="BH411" t="s">
        <v>74</v>
      </c>
      <c r="BI411">
        <v>14</v>
      </c>
      <c r="BJ411" t="s">
        <v>3404</v>
      </c>
      <c r="BK411" t="s">
        <v>211</v>
      </c>
      <c r="BL411" t="s">
        <v>3404</v>
      </c>
      <c r="BM411" t="s">
        <v>3405</v>
      </c>
      <c r="BN411" t="s">
        <v>74</v>
      </c>
      <c r="BO411" t="s">
        <v>74</v>
      </c>
      <c r="BP411" t="s">
        <v>74</v>
      </c>
      <c r="BQ411" t="s">
        <v>74</v>
      </c>
      <c r="BR411" t="s">
        <v>106</v>
      </c>
      <c r="BS411" t="s">
        <v>3406</v>
      </c>
      <c r="BT411" t="str">
        <f>HYPERLINK("https%3A%2F%2Fwww.webofscience.com%2Fwos%2Fwoscc%2Ffull-record%2FWOS:000929053500004","View Full Record in Web of Science")</f>
        <v>View Full Record in Web of Science</v>
      </c>
    </row>
    <row r="412" spans="1:72" x14ac:dyDescent="0.25">
      <c r="A412" t="s">
        <v>72</v>
      </c>
      <c r="B412" t="s">
        <v>3443</v>
      </c>
      <c r="C412" t="s">
        <v>74</v>
      </c>
      <c r="D412" t="s">
        <v>74</v>
      </c>
      <c r="E412" t="s">
        <v>74</v>
      </c>
      <c r="F412" t="s">
        <v>3444</v>
      </c>
      <c r="G412" t="s">
        <v>74</v>
      </c>
      <c r="H412" t="s">
        <v>74</v>
      </c>
      <c r="I412" s="1" t="s">
        <v>3445</v>
      </c>
      <c r="J412" t="s">
        <v>3446</v>
      </c>
      <c r="K412" t="s">
        <v>74</v>
      </c>
      <c r="L412" t="s">
        <v>74</v>
      </c>
      <c r="M412" t="s">
        <v>78</v>
      </c>
      <c r="N412" t="s">
        <v>112</v>
      </c>
      <c r="O412" t="s">
        <v>74</v>
      </c>
      <c r="P412" t="s">
        <v>74</v>
      </c>
      <c r="Q412" t="s">
        <v>74</v>
      </c>
      <c r="R412" t="s">
        <v>74</v>
      </c>
      <c r="S412" t="s">
        <v>74</v>
      </c>
      <c r="T412" s="1" t="s">
        <v>3447</v>
      </c>
      <c r="U412" s="1" t="s">
        <v>3448</v>
      </c>
      <c r="V412" s="1" t="s">
        <v>3449</v>
      </c>
      <c r="W412" t="s">
        <v>3450</v>
      </c>
      <c r="X412" t="s">
        <v>3451</v>
      </c>
      <c r="Y412" t="s">
        <v>3452</v>
      </c>
      <c r="Z412" t="s">
        <v>3453</v>
      </c>
      <c r="AA412" t="s">
        <v>74</v>
      </c>
      <c r="AB412" t="s">
        <v>3454</v>
      </c>
      <c r="AC412" t="s">
        <v>3455</v>
      </c>
      <c r="AD412" t="s">
        <v>3456</v>
      </c>
      <c r="AE412" t="s">
        <v>3457</v>
      </c>
      <c r="AF412" t="s">
        <v>74</v>
      </c>
      <c r="AG412">
        <v>138</v>
      </c>
      <c r="AH412">
        <v>1</v>
      </c>
      <c r="AI412">
        <v>1</v>
      </c>
      <c r="AJ412">
        <v>6</v>
      </c>
      <c r="AK412">
        <v>19</v>
      </c>
      <c r="AL412" t="s">
        <v>1013</v>
      </c>
      <c r="AM412" t="s">
        <v>493</v>
      </c>
      <c r="AN412" t="s">
        <v>1014</v>
      </c>
      <c r="AO412" t="s">
        <v>3458</v>
      </c>
      <c r="AP412" t="s">
        <v>3459</v>
      </c>
      <c r="AQ412" t="s">
        <v>74</v>
      </c>
      <c r="AR412" t="s">
        <v>3460</v>
      </c>
      <c r="AS412" t="s">
        <v>3461</v>
      </c>
      <c r="AT412" t="s">
        <v>3462</v>
      </c>
      <c r="AU412">
        <v>2022</v>
      </c>
      <c r="AV412" t="s">
        <v>74</v>
      </c>
      <c r="AW412" t="s">
        <v>74</v>
      </c>
      <c r="AX412" t="s">
        <v>74</v>
      </c>
      <c r="AY412" t="s">
        <v>74</v>
      </c>
      <c r="AZ412" t="s">
        <v>74</v>
      </c>
      <c r="BA412" t="s">
        <v>74</v>
      </c>
      <c r="BB412" t="s">
        <v>74</v>
      </c>
      <c r="BC412" t="s">
        <v>74</v>
      </c>
      <c r="BD412" t="s">
        <v>74</v>
      </c>
      <c r="BE412" t="s">
        <v>3463</v>
      </c>
      <c r="BF412" t="str">
        <f>HYPERLINK("http://dx.doi.org/10.1080/15623599.2022.2119071","http://dx.doi.org/10.1080/15623599.2022.2119071")</f>
        <v>http://dx.doi.org/10.1080/15623599.2022.2119071</v>
      </c>
      <c r="BG412" t="s">
        <v>74</v>
      </c>
      <c r="BH412" t="s">
        <v>3464</v>
      </c>
      <c r="BI412">
        <v>10</v>
      </c>
      <c r="BJ412" t="s">
        <v>315</v>
      </c>
      <c r="BK412" t="s">
        <v>183</v>
      </c>
      <c r="BL412" t="s">
        <v>265</v>
      </c>
      <c r="BM412" t="s">
        <v>3465</v>
      </c>
      <c r="BN412" t="s">
        <v>74</v>
      </c>
      <c r="BO412" t="s">
        <v>74</v>
      </c>
      <c r="BP412" t="s">
        <v>74</v>
      </c>
      <c r="BQ412" t="s">
        <v>74</v>
      </c>
      <c r="BR412" t="s">
        <v>106</v>
      </c>
      <c r="BS412" t="s">
        <v>3466</v>
      </c>
      <c r="BT412" t="str">
        <f>HYPERLINK("https%3A%2F%2Fwww.webofscience.com%2Fwos%2Fwoscc%2Ffull-record%2FWOS:000852177800001","View Full Record in Web of Science")</f>
        <v>View Full Record in Web of Science</v>
      </c>
    </row>
    <row r="413" spans="1:72" x14ac:dyDescent="0.25">
      <c r="A413" t="s">
        <v>72</v>
      </c>
      <c r="B413" t="s">
        <v>3628</v>
      </c>
      <c r="C413" t="s">
        <v>74</v>
      </c>
      <c r="D413" t="s">
        <v>74</v>
      </c>
      <c r="E413" t="s">
        <v>74</v>
      </c>
      <c r="F413" t="s">
        <v>3629</v>
      </c>
      <c r="G413" t="s">
        <v>74</v>
      </c>
      <c r="H413" t="s">
        <v>74</v>
      </c>
      <c r="I413" s="1" t="s">
        <v>3630</v>
      </c>
      <c r="J413" t="s">
        <v>3631</v>
      </c>
      <c r="K413" t="s">
        <v>74</v>
      </c>
      <c r="L413" t="s">
        <v>74</v>
      </c>
      <c r="M413" t="s">
        <v>78</v>
      </c>
      <c r="N413" t="s">
        <v>79</v>
      </c>
      <c r="O413" t="s">
        <v>74</v>
      </c>
      <c r="P413" t="s">
        <v>74</v>
      </c>
      <c r="Q413" t="s">
        <v>74</v>
      </c>
      <c r="R413" t="s">
        <v>74</v>
      </c>
      <c r="S413" t="s">
        <v>74</v>
      </c>
      <c r="T413" s="1" t="s">
        <v>3632</v>
      </c>
      <c r="U413" s="1" t="s">
        <v>3633</v>
      </c>
      <c r="V413" s="1" t="s">
        <v>3634</v>
      </c>
      <c r="W413" t="s">
        <v>3635</v>
      </c>
      <c r="X413" t="s">
        <v>3636</v>
      </c>
      <c r="Y413" t="s">
        <v>3637</v>
      </c>
      <c r="Z413" t="s">
        <v>3638</v>
      </c>
      <c r="AA413" t="s">
        <v>74</v>
      </c>
      <c r="AB413" t="s">
        <v>74</v>
      </c>
      <c r="AC413" t="s">
        <v>74</v>
      </c>
      <c r="AD413" t="s">
        <v>74</v>
      </c>
      <c r="AE413" t="s">
        <v>74</v>
      </c>
      <c r="AF413" t="s">
        <v>74</v>
      </c>
      <c r="AG413">
        <v>82</v>
      </c>
      <c r="AH413">
        <v>1</v>
      </c>
      <c r="AI413">
        <v>1</v>
      </c>
      <c r="AJ413">
        <v>1</v>
      </c>
      <c r="AK413">
        <v>1</v>
      </c>
      <c r="AL413" t="s">
        <v>1382</v>
      </c>
      <c r="AM413" t="s">
        <v>1383</v>
      </c>
      <c r="AN413" t="s">
        <v>1384</v>
      </c>
      <c r="AO413" t="s">
        <v>74</v>
      </c>
      <c r="AP413" t="s">
        <v>3639</v>
      </c>
      <c r="AQ413" t="s">
        <v>74</v>
      </c>
      <c r="AR413" t="s">
        <v>3640</v>
      </c>
      <c r="AS413" t="s">
        <v>3641</v>
      </c>
      <c r="AT413" t="s">
        <v>3642</v>
      </c>
      <c r="AU413">
        <v>2022</v>
      </c>
      <c r="AV413">
        <v>3</v>
      </c>
      <c r="AW413" t="s">
        <v>74</v>
      </c>
      <c r="AX413" t="s">
        <v>74</v>
      </c>
      <c r="AY413" t="s">
        <v>74</v>
      </c>
      <c r="AZ413" t="s">
        <v>74</v>
      </c>
      <c r="BA413" t="s">
        <v>74</v>
      </c>
      <c r="BB413" t="s">
        <v>74</v>
      </c>
      <c r="BC413" t="s">
        <v>74</v>
      </c>
      <c r="BD413">
        <v>942822</v>
      </c>
      <c r="BE413" t="s">
        <v>3643</v>
      </c>
      <c r="BF413" t="str">
        <f>HYPERLINK("http://dx.doi.org/10.3389/fresc.2022.942822","http://dx.doi.org/10.3389/fresc.2022.942822")</f>
        <v>http://dx.doi.org/10.3389/fresc.2022.942822</v>
      </c>
      <c r="BG413" t="s">
        <v>74</v>
      </c>
      <c r="BH413" t="s">
        <v>74</v>
      </c>
      <c r="BI413">
        <v>19</v>
      </c>
      <c r="BJ413" t="s">
        <v>3644</v>
      </c>
      <c r="BK413" t="s">
        <v>183</v>
      </c>
      <c r="BL413" t="s">
        <v>3644</v>
      </c>
      <c r="BM413" t="s">
        <v>3645</v>
      </c>
      <c r="BN413">
        <v>36188996</v>
      </c>
      <c r="BO413" t="s">
        <v>422</v>
      </c>
      <c r="BP413" t="s">
        <v>74</v>
      </c>
      <c r="BQ413" t="s">
        <v>74</v>
      </c>
      <c r="BR413" t="s">
        <v>106</v>
      </c>
      <c r="BS413" t="s">
        <v>3646</v>
      </c>
      <c r="BT413" t="str">
        <f>HYPERLINK("https%3A%2F%2Fwww.webofscience.com%2Fwos%2Fwoscc%2Ffull-record%2FWOS:001006612900001","View Full Record in Web of Science")</f>
        <v>View Full Record in Web of Science</v>
      </c>
    </row>
    <row r="414" spans="1:72" x14ac:dyDescent="0.25">
      <c r="A414" t="s">
        <v>72</v>
      </c>
      <c r="B414" t="s">
        <v>3647</v>
      </c>
      <c r="C414" t="s">
        <v>74</v>
      </c>
      <c r="D414" t="s">
        <v>74</v>
      </c>
      <c r="E414" t="s">
        <v>74</v>
      </c>
      <c r="F414" t="s">
        <v>3648</v>
      </c>
      <c r="G414" t="s">
        <v>74</v>
      </c>
      <c r="H414" t="s">
        <v>74</v>
      </c>
      <c r="I414" s="1" t="s">
        <v>3649</v>
      </c>
      <c r="J414" t="s">
        <v>1911</v>
      </c>
      <c r="K414" t="s">
        <v>74</v>
      </c>
      <c r="L414" t="s">
        <v>74</v>
      </c>
      <c r="M414" t="s">
        <v>78</v>
      </c>
      <c r="N414" t="s">
        <v>79</v>
      </c>
      <c r="O414" t="s">
        <v>74</v>
      </c>
      <c r="P414" t="s">
        <v>74</v>
      </c>
      <c r="Q414" t="s">
        <v>74</v>
      </c>
      <c r="R414" t="s">
        <v>74</v>
      </c>
      <c r="S414" t="s">
        <v>74</v>
      </c>
      <c r="T414" s="1" t="s">
        <v>3650</v>
      </c>
      <c r="U414" s="1" t="s">
        <v>3651</v>
      </c>
      <c r="V414" s="1" t="s">
        <v>3652</v>
      </c>
      <c r="W414" t="s">
        <v>3653</v>
      </c>
      <c r="X414" t="s">
        <v>3654</v>
      </c>
      <c r="Y414" t="s">
        <v>3655</v>
      </c>
      <c r="Z414" t="s">
        <v>3656</v>
      </c>
      <c r="AA414" t="s">
        <v>74</v>
      </c>
      <c r="AB414" t="s">
        <v>3657</v>
      </c>
      <c r="AC414" t="s">
        <v>74</v>
      </c>
      <c r="AD414" t="s">
        <v>74</v>
      </c>
      <c r="AE414" t="s">
        <v>74</v>
      </c>
      <c r="AF414" t="s">
        <v>74</v>
      </c>
      <c r="AG414">
        <v>84</v>
      </c>
      <c r="AH414">
        <v>1</v>
      </c>
      <c r="AI414">
        <v>1</v>
      </c>
      <c r="AJ414">
        <v>17</v>
      </c>
      <c r="AK414">
        <v>47</v>
      </c>
      <c r="AL414" t="s">
        <v>1919</v>
      </c>
      <c r="AM414" t="s">
        <v>1920</v>
      </c>
      <c r="AN414" t="s">
        <v>1921</v>
      </c>
      <c r="AO414" t="s">
        <v>1922</v>
      </c>
      <c r="AP414" t="s">
        <v>1923</v>
      </c>
      <c r="AQ414" t="s">
        <v>74</v>
      </c>
      <c r="AR414" t="s">
        <v>1924</v>
      </c>
      <c r="AS414" t="s">
        <v>1925</v>
      </c>
      <c r="AT414" t="s">
        <v>1448</v>
      </c>
      <c r="AU414">
        <v>2022</v>
      </c>
      <c r="AV414">
        <v>26</v>
      </c>
      <c r="AW414">
        <v>3</v>
      </c>
      <c r="AX414" t="s">
        <v>74</v>
      </c>
      <c r="AY414" t="s">
        <v>74</v>
      </c>
      <c r="AZ414" t="s">
        <v>74</v>
      </c>
      <c r="BA414" t="s">
        <v>74</v>
      </c>
      <c r="BB414" t="s">
        <v>74</v>
      </c>
      <c r="BC414" t="s">
        <v>74</v>
      </c>
      <c r="BD414">
        <v>2240019</v>
      </c>
      <c r="BE414" t="s">
        <v>3658</v>
      </c>
      <c r="BF414" t="str">
        <f>HYPERLINK("http://dx.doi.org/10.1142/S1363919622400199","http://dx.doi.org/10.1142/S1363919622400199")</f>
        <v>http://dx.doi.org/10.1142/S1363919622400199</v>
      </c>
      <c r="BG414" t="s">
        <v>74</v>
      </c>
      <c r="BH414" t="s">
        <v>3464</v>
      </c>
      <c r="BI414">
        <v>27</v>
      </c>
      <c r="BJ414" t="s">
        <v>315</v>
      </c>
      <c r="BK414" t="s">
        <v>183</v>
      </c>
      <c r="BL414" t="s">
        <v>265</v>
      </c>
      <c r="BM414" t="s">
        <v>3659</v>
      </c>
      <c r="BN414" t="s">
        <v>74</v>
      </c>
      <c r="BO414" t="s">
        <v>74</v>
      </c>
      <c r="BP414" t="s">
        <v>74</v>
      </c>
      <c r="BQ414" t="s">
        <v>74</v>
      </c>
      <c r="BR414" t="s">
        <v>106</v>
      </c>
      <c r="BS414" t="s">
        <v>3660</v>
      </c>
      <c r="BT414" t="str">
        <f>HYPERLINK("https%3A%2F%2Fwww.webofscience.com%2Fwos%2Fwoscc%2Ffull-record%2FWOS:000848604400002","View Full Record in Web of Science")</f>
        <v>View Full Record in Web of Science</v>
      </c>
    </row>
    <row r="415" spans="1:72" x14ac:dyDescent="0.25">
      <c r="A415" t="s">
        <v>72</v>
      </c>
      <c r="B415" t="s">
        <v>3768</v>
      </c>
      <c r="C415" t="s">
        <v>74</v>
      </c>
      <c r="D415" t="s">
        <v>74</v>
      </c>
      <c r="E415" t="s">
        <v>74</v>
      </c>
      <c r="F415" t="s">
        <v>3769</v>
      </c>
      <c r="G415" t="s">
        <v>74</v>
      </c>
      <c r="H415" t="s">
        <v>74</v>
      </c>
      <c r="I415" s="1" t="s">
        <v>3770</v>
      </c>
      <c r="J415" t="s">
        <v>1911</v>
      </c>
      <c r="K415" t="s">
        <v>74</v>
      </c>
      <c r="L415" t="s">
        <v>74</v>
      </c>
      <c r="M415" t="s">
        <v>78</v>
      </c>
      <c r="N415" t="s">
        <v>79</v>
      </c>
      <c r="O415" t="s">
        <v>74</v>
      </c>
      <c r="P415" t="s">
        <v>74</v>
      </c>
      <c r="Q415" t="s">
        <v>74</v>
      </c>
      <c r="R415" t="s">
        <v>74</v>
      </c>
      <c r="S415" t="s">
        <v>74</v>
      </c>
      <c r="T415" s="1" t="s">
        <v>3771</v>
      </c>
      <c r="U415" s="1" t="s">
        <v>3772</v>
      </c>
      <c r="V415" s="1" t="s">
        <v>3773</v>
      </c>
      <c r="W415" t="s">
        <v>3774</v>
      </c>
      <c r="X415" t="s">
        <v>3775</v>
      </c>
      <c r="Y415" t="s">
        <v>3776</v>
      </c>
      <c r="Z415" t="s">
        <v>3777</v>
      </c>
      <c r="AA415" t="s">
        <v>74</v>
      </c>
      <c r="AB415" t="s">
        <v>74</v>
      </c>
      <c r="AC415" t="s">
        <v>74</v>
      </c>
      <c r="AD415" t="s">
        <v>74</v>
      </c>
      <c r="AE415" t="s">
        <v>74</v>
      </c>
      <c r="AF415" t="s">
        <v>74</v>
      </c>
      <c r="AG415">
        <v>72</v>
      </c>
      <c r="AH415">
        <v>1</v>
      </c>
      <c r="AI415">
        <v>1</v>
      </c>
      <c r="AJ415">
        <v>10</v>
      </c>
      <c r="AK415">
        <v>34</v>
      </c>
      <c r="AL415" t="s">
        <v>1919</v>
      </c>
      <c r="AM415" t="s">
        <v>1920</v>
      </c>
      <c r="AN415" t="s">
        <v>1921</v>
      </c>
      <c r="AO415" t="s">
        <v>1922</v>
      </c>
      <c r="AP415" t="s">
        <v>1923</v>
      </c>
      <c r="AQ415" t="s">
        <v>74</v>
      </c>
      <c r="AR415" t="s">
        <v>1924</v>
      </c>
      <c r="AS415" t="s">
        <v>1925</v>
      </c>
      <c r="AT415" t="s">
        <v>1448</v>
      </c>
      <c r="AU415">
        <v>2022</v>
      </c>
      <c r="AV415">
        <v>26</v>
      </c>
      <c r="AW415">
        <v>3</v>
      </c>
      <c r="AX415" t="s">
        <v>74</v>
      </c>
      <c r="AY415" t="s">
        <v>74</v>
      </c>
      <c r="AZ415" t="s">
        <v>74</v>
      </c>
      <c r="BA415" t="s">
        <v>74</v>
      </c>
      <c r="BB415" t="s">
        <v>74</v>
      </c>
      <c r="BC415" t="s">
        <v>74</v>
      </c>
      <c r="BD415">
        <v>2240020</v>
      </c>
      <c r="BE415" t="s">
        <v>3778</v>
      </c>
      <c r="BF415" t="str">
        <f>HYPERLINK("http://dx.doi.org/10.1142/S1363919622400205","http://dx.doi.org/10.1142/S1363919622400205")</f>
        <v>http://dx.doi.org/10.1142/S1363919622400205</v>
      </c>
      <c r="BG415" t="s">
        <v>74</v>
      </c>
      <c r="BH415" t="s">
        <v>3746</v>
      </c>
      <c r="BI415">
        <v>33</v>
      </c>
      <c r="BJ415" t="s">
        <v>315</v>
      </c>
      <c r="BK415" t="s">
        <v>183</v>
      </c>
      <c r="BL415" t="s">
        <v>265</v>
      </c>
      <c r="BM415" t="s">
        <v>3659</v>
      </c>
      <c r="BN415" t="s">
        <v>74</v>
      </c>
      <c r="BO415" t="s">
        <v>74</v>
      </c>
      <c r="BP415" t="s">
        <v>74</v>
      </c>
      <c r="BQ415" t="s">
        <v>74</v>
      </c>
      <c r="BR415" t="s">
        <v>106</v>
      </c>
      <c r="BS415" t="s">
        <v>3779</v>
      </c>
      <c r="BT415" t="str">
        <f>HYPERLINK("https%3A%2F%2Fwww.webofscience.com%2Fwos%2Fwoscc%2Ffull-record%2FWOS:000848604700001","View Full Record in Web of Science")</f>
        <v>View Full Record in Web of Science</v>
      </c>
    </row>
    <row r="416" spans="1:72" x14ac:dyDescent="0.25">
      <c r="A416" t="s">
        <v>72</v>
      </c>
      <c r="B416" t="s">
        <v>3880</v>
      </c>
      <c r="C416" t="s">
        <v>74</v>
      </c>
      <c r="D416" t="s">
        <v>74</v>
      </c>
      <c r="E416" t="s">
        <v>74</v>
      </c>
      <c r="F416" t="s">
        <v>3881</v>
      </c>
      <c r="G416" t="s">
        <v>74</v>
      </c>
      <c r="H416" t="s">
        <v>74</v>
      </c>
      <c r="I416" s="1" t="s">
        <v>3882</v>
      </c>
      <c r="J416" t="s">
        <v>3883</v>
      </c>
      <c r="K416" t="s">
        <v>74</v>
      </c>
      <c r="L416" t="s">
        <v>74</v>
      </c>
      <c r="M416" t="s">
        <v>78</v>
      </c>
      <c r="N416" t="s">
        <v>79</v>
      </c>
      <c r="O416" t="s">
        <v>74</v>
      </c>
      <c r="P416" t="s">
        <v>74</v>
      </c>
      <c r="Q416" t="s">
        <v>74</v>
      </c>
      <c r="R416" t="s">
        <v>74</v>
      </c>
      <c r="S416" t="s">
        <v>74</v>
      </c>
      <c r="T416" s="1" t="s">
        <v>3884</v>
      </c>
      <c r="U416" s="1" t="s">
        <v>3885</v>
      </c>
      <c r="V416" s="1" t="s">
        <v>3886</v>
      </c>
      <c r="W416" t="s">
        <v>3887</v>
      </c>
      <c r="X416" t="s">
        <v>3888</v>
      </c>
      <c r="Y416" t="s">
        <v>3889</v>
      </c>
      <c r="Z416" t="s">
        <v>3890</v>
      </c>
      <c r="AA416" t="s">
        <v>3891</v>
      </c>
      <c r="AB416" t="s">
        <v>3892</v>
      </c>
      <c r="AC416" t="s">
        <v>74</v>
      </c>
      <c r="AD416" t="s">
        <v>74</v>
      </c>
      <c r="AE416" t="s">
        <v>74</v>
      </c>
      <c r="AF416" t="s">
        <v>74</v>
      </c>
      <c r="AG416">
        <v>64</v>
      </c>
      <c r="AH416">
        <v>1</v>
      </c>
      <c r="AI416">
        <v>1</v>
      </c>
      <c r="AJ416">
        <v>2</v>
      </c>
      <c r="AK416">
        <v>5</v>
      </c>
      <c r="AL416" t="s">
        <v>1468</v>
      </c>
      <c r="AM416" t="s">
        <v>175</v>
      </c>
      <c r="AN416" t="s">
        <v>1469</v>
      </c>
      <c r="AO416" t="s">
        <v>3893</v>
      </c>
      <c r="AP416" t="s">
        <v>3894</v>
      </c>
      <c r="AQ416" t="s">
        <v>74</v>
      </c>
      <c r="AR416" t="s">
        <v>3895</v>
      </c>
      <c r="AS416" t="s">
        <v>3896</v>
      </c>
      <c r="AT416" t="s">
        <v>356</v>
      </c>
      <c r="AU416">
        <v>2023</v>
      </c>
      <c r="AV416">
        <v>16</v>
      </c>
      <c r="AW416">
        <v>3</v>
      </c>
      <c r="AX416" t="s">
        <v>74</v>
      </c>
      <c r="AY416" t="s">
        <v>74</v>
      </c>
      <c r="AZ416" t="s">
        <v>74</v>
      </c>
      <c r="BA416" t="s">
        <v>74</v>
      </c>
      <c r="BB416">
        <v>364</v>
      </c>
      <c r="BC416">
        <v>382</v>
      </c>
      <c r="BD416" t="s">
        <v>74</v>
      </c>
      <c r="BE416" t="s">
        <v>3897</v>
      </c>
      <c r="BF416" t="str">
        <f>HYPERLINK("http://dx.doi.org/10.1177/17506352221101257","http://dx.doi.org/10.1177/17506352221101257")</f>
        <v>http://dx.doi.org/10.1177/17506352221101257</v>
      </c>
      <c r="BG416" t="s">
        <v>74</v>
      </c>
      <c r="BH416" t="s">
        <v>3875</v>
      </c>
      <c r="BI416">
        <v>19</v>
      </c>
      <c r="BJ416" t="s">
        <v>2218</v>
      </c>
      <c r="BK416" t="s">
        <v>183</v>
      </c>
      <c r="BL416" t="s">
        <v>2218</v>
      </c>
      <c r="BM416" t="s">
        <v>3898</v>
      </c>
      <c r="BN416" t="s">
        <v>74</v>
      </c>
      <c r="BO416" t="s">
        <v>74</v>
      </c>
      <c r="BP416" t="s">
        <v>74</v>
      </c>
      <c r="BQ416" t="s">
        <v>74</v>
      </c>
      <c r="BR416" t="s">
        <v>106</v>
      </c>
      <c r="BS416" t="s">
        <v>3899</v>
      </c>
      <c r="BT416" t="str">
        <f>HYPERLINK("https%3A%2F%2Fwww.webofscience.com%2Fwos%2Fwoscc%2Ffull-record%2FWOS:000811019600001","View Full Record in Web of Science")</f>
        <v>View Full Record in Web of Science</v>
      </c>
    </row>
    <row r="417" spans="1:72" x14ac:dyDescent="0.25">
      <c r="A417" t="s">
        <v>72</v>
      </c>
      <c r="B417" t="s">
        <v>3900</v>
      </c>
      <c r="C417" t="s">
        <v>74</v>
      </c>
      <c r="D417" t="s">
        <v>74</v>
      </c>
      <c r="E417" t="s">
        <v>74</v>
      </c>
      <c r="F417" t="s">
        <v>3901</v>
      </c>
      <c r="G417" t="s">
        <v>74</v>
      </c>
      <c r="H417" t="s">
        <v>74</v>
      </c>
      <c r="I417" s="1" t="s">
        <v>3902</v>
      </c>
      <c r="J417" t="s">
        <v>2119</v>
      </c>
      <c r="K417" t="s">
        <v>74</v>
      </c>
      <c r="L417" t="s">
        <v>74</v>
      </c>
      <c r="M417" t="s">
        <v>78</v>
      </c>
      <c r="N417" t="s">
        <v>79</v>
      </c>
      <c r="O417" t="s">
        <v>74</v>
      </c>
      <c r="P417" t="s">
        <v>74</v>
      </c>
      <c r="Q417" t="s">
        <v>74</v>
      </c>
      <c r="R417" t="s">
        <v>74</v>
      </c>
      <c r="S417" t="s">
        <v>74</v>
      </c>
      <c r="T417" s="1" t="s">
        <v>3903</v>
      </c>
      <c r="U417" s="1" t="s">
        <v>3904</v>
      </c>
      <c r="V417" s="1" t="s">
        <v>3905</v>
      </c>
      <c r="W417" t="s">
        <v>3906</v>
      </c>
      <c r="X417" t="s">
        <v>3907</v>
      </c>
      <c r="Y417" t="s">
        <v>3908</v>
      </c>
      <c r="Z417" t="s">
        <v>3909</v>
      </c>
      <c r="AA417" t="s">
        <v>3910</v>
      </c>
      <c r="AB417" t="s">
        <v>3911</v>
      </c>
      <c r="AC417" t="s">
        <v>3912</v>
      </c>
      <c r="AD417" t="s">
        <v>3913</v>
      </c>
      <c r="AE417" t="s">
        <v>3914</v>
      </c>
      <c r="AF417" t="s">
        <v>74</v>
      </c>
      <c r="AG417">
        <v>19</v>
      </c>
      <c r="AH417">
        <v>1</v>
      </c>
      <c r="AI417">
        <v>1</v>
      </c>
      <c r="AJ417">
        <v>0</v>
      </c>
      <c r="AK417">
        <v>2</v>
      </c>
      <c r="AL417" t="s">
        <v>2128</v>
      </c>
      <c r="AM417" t="s">
        <v>2129</v>
      </c>
      <c r="AN417" t="s">
        <v>2130</v>
      </c>
      <c r="AO417" t="s">
        <v>74</v>
      </c>
      <c r="AP417" t="s">
        <v>2131</v>
      </c>
      <c r="AQ417" t="s">
        <v>74</v>
      </c>
      <c r="AR417" t="s">
        <v>2132</v>
      </c>
      <c r="AS417" t="s">
        <v>2133</v>
      </c>
      <c r="AT417" t="s">
        <v>1138</v>
      </c>
      <c r="AU417">
        <v>2022</v>
      </c>
      <c r="AV417">
        <v>6</v>
      </c>
      <c r="AW417">
        <v>6</v>
      </c>
      <c r="AX417" t="s">
        <v>74</v>
      </c>
      <c r="AY417" t="s">
        <v>74</v>
      </c>
      <c r="AZ417" t="s">
        <v>74</v>
      </c>
      <c r="BA417" t="s">
        <v>74</v>
      </c>
      <c r="BB417" t="s">
        <v>74</v>
      </c>
      <c r="BC417" t="s">
        <v>74</v>
      </c>
      <c r="BD417" t="s">
        <v>3915</v>
      </c>
      <c r="BE417" t="s">
        <v>3916</v>
      </c>
      <c r="BF417" t="str">
        <f>HYPERLINK("http://dx.doi.org/10.2196/29930","http://dx.doi.org/10.2196/29930")</f>
        <v>http://dx.doi.org/10.2196/29930</v>
      </c>
      <c r="BG417" t="s">
        <v>74</v>
      </c>
      <c r="BH417" t="s">
        <v>74</v>
      </c>
      <c r="BI417">
        <v>10</v>
      </c>
      <c r="BJ417" t="s">
        <v>1390</v>
      </c>
      <c r="BK417" t="s">
        <v>183</v>
      </c>
      <c r="BL417" t="s">
        <v>1390</v>
      </c>
      <c r="BM417" t="s">
        <v>3917</v>
      </c>
      <c r="BN417">
        <v>35687406</v>
      </c>
      <c r="BO417" t="s">
        <v>3828</v>
      </c>
      <c r="BP417" t="s">
        <v>74</v>
      </c>
      <c r="BQ417" t="s">
        <v>74</v>
      </c>
      <c r="BR417" t="s">
        <v>106</v>
      </c>
      <c r="BS417" t="s">
        <v>3918</v>
      </c>
      <c r="BT417" t="str">
        <f>HYPERLINK("https%3A%2F%2Fwww.webofscience.com%2Fwos%2Fwoscc%2Ffull-record%2FWOS:000854080300016","View Full Record in Web of Science")</f>
        <v>View Full Record in Web of Science</v>
      </c>
    </row>
    <row r="418" spans="1:72" x14ac:dyDescent="0.25">
      <c r="A418" t="s">
        <v>72</v>
      </c>
      <c r="B418" t="s">
        <v>4324</v>
      </c>
      <c r="C418" t="s">
        <v>74</v>
      </c>
      <c r="D418" t="s">
        <v>74</v>
      </c>
      <c r="E418" t="s">
        <v>74</v>
      </c>
      <c r="F418" t="s">
        <v>4325</v>
      </c>
      <c r="G418" t="s">
        <v>74</v>
      </c>
      <c r="H418" t="s">
        <v>74</v>
      </c>
      <c r="I418" s="1" t="s">
        <v>4326</v>
      </c>
      <c r="J418" t="s">
        <v>3180</v>
      </c>
      <c r="K418" t="s">
        <v>74</v>
      </c>
      <c r="L418" t="s">
        <v>74</v>
      </c>
      <c r="M418" t="s">
        <v>78</v>
      </c>
      <c r="N418" t="s">
        <v>79</v>
      </c>
      <c r="O418" t="s">
        <v>74</v>
      </c>
      <c r="P418" t="s">
        <v>74</v>
      </c>
      <c r="Q418" t="s">
        <v>74</v>
      </c>
      <c r="R418" t="s">
        <v>74</v>
      </c>
      <c r="S418" t="s">
        <v>74</v>
      </c>
      <c r="T418" s="1" t="s">
        <v>4327</v>
      </c>
      <c r="U418" s="1" t="s">
        <v>4328</v>
      </c>
      <c r="V418" s="1" t="s">
        <v>4329</v>
      </c>
      <c r="W418" t="s">
        <v>4330</v>
      </c>
      <c r="X418" t="s">
        <v>4331</v>
      </c>
      <c r="Y418" t="s">
        <v>4332</v>
      </c>
      <c r="Z418" t="s">
        <v>4333</v>
      </c>
      <c r="AA418" t="s">
        <v>74</v>
      </c>
      <c r="AB418" t="s">
        <v>4334</v>
      </c>
      <c r="AC418" t="s">
        <v>74</v>
      </c>
      <c r="AD418" t="s">
        <v>74</v>
      </c>
      <c r="AE418" t="s">
        <v>74</v>
      </c>
      <c r="AF418" t="s">
        <v>74</v>
      </c>
      <c r="AG418">
        <v>56</v>
      </c>
      <c r="AH418">
        <v>1</v>
      </c>
      <c r="AI418">
        <v>1</v>
      </c>
      <c r="AJ418">
        <v>9</v>
      </c>
      <c r="AK418">
        <v>36</v>
      </c>
      <c r="AL418" t="s">
        <v>3188</v>
      </c>
      <c r="AM418" t="s">
        <v>3189</v>
      </c>
      <c r="AN418" t="s">
        <v>3190</v>
      </c>
      <c r="AO418" t="s">
        <v>3191</v>
      </c>
      <c r="AP418" t="s">
        <v>3192</v>
      </c>
      <c r="AQ418" t="s">
        <v>74</v>
      </c>
      <c r="AR418" t="s">
        <v>3193</v>
      </c>
      <c r="AS418" t="s">
        <v>3194</v>
      </c>
      <c r="AT418" t="s">
        <v>4335</v>
      </c>
      <c r="AU418">
        <v>2023</v>
      </c>
      <c r="AV418">
        <v>63</v>
      </c>
      <c r="AW418">
        <v>2</v>
      </c>
      <c r="AX418" t="s">
        <v>74</v>
      </c>
      <c r="AY418" t="s">
        <v>74</v>
      </c>
      <c r="AZ418" t="s">
        <v>74</v>
      </c>
      <c r="BA418" t="s">
        <v>74</v>
      </c>
      <c r="BB418">
        <v>281</v>
      </c>
      <c r="BC418">
        <v>292</v>
      </c>
      <c r="BD418" t="s">
        <v>74</v>
      </c>
      <c r="BE418" t="s">
        <v>4336</v>
      </c>
      <c r="BF418" t="str">
        <f>HYPERLINK("http://dx.doi.org/10.1080/08874417.2022.2057373","http://dx.doi.org/10.1080/08874417.2022.2057373")</f>
        <v>http://dx.doi.org/10.1080/08874417.2022.2057373</v>
      </c>
      <c r="BG418" t="s">
        <v>74</v>
      </c>
      <c r="BH418" t="s">
        <v>4337</v>
      </c>
      <c r="BI418">
        <v>12</v>
      </c>
      <c r="BJ418" t="s">
        <v>1217</v>
      </c>
      <c r="BK418" t="s">
        <v>102</v>
      </c>
      <c r="BL418" t="s">
        <v>399</v>
      </c>
      <c r="BM418" t="s">
        <v>4338</v>
      </c>
      <c r="BN418" t="s">
        <v>74</v>
      </c>
      <c r="BO418" t="s">
        <v>105</v>
      </c>
      <c r="BP418" t="s">
        <v>74</v>
      </c>
      <c r="BQ418" t="s">
        <v>74</v>
      </c>
      <c r="BR418" t="s">
        <v>106</v>
      </c>
      <c r="BS418" t="s">
        <v>4339</v>
      </c>
      <c r="BT418" t="str">
        <f>HYPERLINK("https%3A%2F%2Fwww.webofscience.com%2Fwos%2Fwoscc%2Ffull-record%2FWOS:000790136000001","View Full Record in Web of Science")</f>
        <v>View Full Record in Web of Science</v>
      </c>
    </row>
    <row r="419" spans="1:72" x14ac:dyDescent="0.25">
      <c r="A419" t="s">
        <v>72</v>
      </c>
      <c r="B419" t="s">
        <v>4462</v>
      </c>
      <c r="C419" t="s">
        <v>74</v>
      </c>
      <c r="D419" t="s">
        <v>74</v>
      </c>
      <c r="E419" t="s">
        <v>74</v>
      </c>
      <c r="F419" t="s">
        <v>4463</v>
      </c>
      <c r="G419" t="s">
        <v>74</v>
      </c>
      <c r="H419" t="s">
        <v>74</v>
      </c>
      <c r="I419" s="1" t="s">
        <v>4464</v>
      </c>
      <c r="J419" t="s">
        <v>4465</v>
      </c>
      <c r="K419" t="s">
        <v>74</v>
      </c>
      <c r="L419" t="s">
        <v>74</v>
      </c>
      <c r="M419" t="s">
        <v>2896</v>
      </c>
      <c r="N419" t="s">
        <v>79</v>
      </c>
      <c r="O419" t="s">
        <v>74</v>
      </c>
      <c r="P419" t="s">
        <v>74</v>
      </c>
      <c r="Q419" t="s">
        <v>74</v>
      </c>
      <c r="R419" t="s">
        <v>74</v>
      </c>
      <c r="S419" t="s">
        <v>74</v>
      </c>
      <c r="T419" s="1" t="s">
        <v>4466</v>
      </c>
      <c r="U419" s="1" t="s">
        <v>74</v>
      </c>
      <c r="V419" s="1" t="s">
        <v>4467</v>
      </c>
      <c r="W419" t="s">
        <v>4468</v>
      </c>
      <c r="X419" t="s">
        <v>4469</v>
      </c>
      <c r="Y419" t="s">
        <v>4470</v>
      </c>
      <c r="Z419" t="s">
        <v>4471</v>
      </c>
      <c r="AA419" t="s">
        <v>74</v>
      </c>
      <c r="AB419" t="s">
        <v>74</v>
      </c>
      <c r="AC419" t="s">
        <v>74</v>
      </c>
      <c r="AD419" t="s">
        <v>74</v>
      </c>
      <c r="AE419" t="s">
        <v>74</v>
      </c>
      <c r="AF419" t="s">
        <v>74</v>
      </c>
      <c r="AG419">
        <v>43</v>
      </c>
      <c r="AH419">
        <v>1</v>
      </c>
      <c r="AI419">
        <v>1</v>
      </c>
      <c r="AJ419">
        <v>15</v>
      </c>
      <c r="AK419">
        <v>69</v>
      </c>
      <c r="AL419" t="s">
        <v>4472</v>
      </c>
      <c r="AM419" t="s">
        <v>4473</v>
      </c>
      <c r="AN419" t="s">
        <v>4474</v>
      </c>
      <c r="AO419" t="s">
        <v>4475</v>
      </c>
      <c r="AP419" t="s">
        <v>4476</v>
      </c>
      <c r="AQ419" t="s">
        <v>74</v>
      </c>
      <c r="AR419" t="s">
        <v>4465</v>
      </c>
      <c r="AS419" t="s">
        <v>4477</v>
      </c>
      <c r="AT419" t="s">
        <v>4456</v>
      </c>
      <c r="AU419">
        <v>2022</v>
      </c>
      <c r="AV419">
        <v>28</v>
      </c>
      <c r="AW419">
        <v>2</v>
      </c>
      <c r="AX419" t="s">
        <v>74</v>
      </c>
      <c r="AY419" t="s">
        <v>74</v>
      </c>
      <c r="AZ419" t="s">
        <v>74</v>
      </c>
      <c r="BA419" t="s">
        <v>74</v>
      </c>
      <c r="BB419">
        <v>13</v>
      </c>
      <c r="BC419">
        <v>39</v>
      </c>
      <c r="BD419" t="s">
        <v>4478</v>
      </c>
      <c r="BE419" t="s">
        <v>4479</v>
      </c>
      <c r="BF419" t="str">
        <f>HYPERLINK("http://dx.doi.org/10.19132/1808-5245282.116231","http://dx.doi.org/10.19132/1808-5245282.116231")</f>
        <v>http://dx.doi.org/10.19132/1808-5245282.116231</v>
      </c>
      <c r="BG419" t="s">
        <v>74</v>
      </c>
      <c r="BH419" t="s">
        <v>74</v>
      </c>
      <c r="BI419">
        <v>27</v>
      </c>
      <c r="BJ419" t="s">
        <v>3050</v>
      </c>
      <c r="BK419" t="s">
        <v>183</v>
      </c>
      <c r="BL419" t="s">
        <v>3050</v>
      </c>
      <c r="BM419" t="s">
        <v>4480</v>
      </c>
      <c r="BN419" t="s">
        <v>74</v>
      </c>
      <c r="BO419" t="s">
        <v>186</v>
      </c>
      <c r="BP419" t="s">
        <v>74</v>
      </c>
      <c r="BQ419" t="s">
        <v>74</v>
      </c>
      <c r="BR419" t="s">
        <v>106</v>
      </c>
      <c r="BS419" t="s">
        <v>4481</v>
      </c>
      <c r="BT419" t="str">
        <f>HYPERLINK("https%3A%2F%2Fwww.webofscience.com%2Fwos%2Fwoscc%2Ffull-record%2FWOS:000761017800008","View Full Record in Web of Science")</f>
        <v>View Full Record in Web of Science</v>
      </c>
    </row>
    <row r="420" spans="1:72" x14ac:dyDescent="0.25">
      <c r="A420" t="s">
        <v>72</v>
      </c>
      <c r="B420" t="s">
        <v>4501</v>
      </c>
      <c r="C420" t="s">
        <v>74</v>
      </c>
      <c r="D420" t="s">
        <v>74</v>
      </c>
      <c r="E420" t="s">
        <v>74</v>
      </c>
      <c r="F420" t="s">
        <v>4502</v>
      </c>
      <c r="G420" t="s">
        <v>74</v>
      </c>
      <c r="H420" t="s">
        <v>74</v>
      </c>
      <c r="I420" s="1" t="s">
        <v>4503</v>
      </c>
      <c r="J420" t="s">
        <v>4504</v>
      </c>
      <c r="K420" t="s">
        <v>74</v>
      </c>
      <c r="L420" t="s">
        <v>74</v>
      </c>
      <c r="M420" t="s">
        <v>929</v>
      </c>
      <c r="N420" t="s">
        <v>79</v>
      </c>
      <c r="O420" t="s">
        <v>74</v>
      </c>
      <c r="P420" t="s">
        <v>74</v>
      </c>
      <c r="Q420" t="s">
        <v>74</v>
      </c>
      <c r="R420" t="s">
        <v>74</v>
      </c>
      <c r="S420" t="s">
        <v>74</v>
      </c>
      <c r="T420" s="1" t="s">
        <v>4505</v>
      </c>
      <c r="U420" s="1" t="s">
        <v>74</v>
      </c>
      <c r="V420" s="1" t="s">
        <v>4506</v>
      </c>
      <c r="W420" t="s">
        <v>4507</v>
      </c>
      <c r="X420" t="s">
        <v>4508</v>
      </c>
      <c r="Y420" t="s">
        <v>4509</v>
      </c>
      <c r="Z420" t="s">
        <v>4510</v>
      </c>
      <c r="AA420" t="s">
        <v>4511</v>
      </c>
      <c r="AB420" t="s">
        <v>4512</v>
      </c>
      <c r="AC420" t="s">
        <v>74</v>
      </c>
      <c r="AD420" t="s">
        <v>74</v>
      </c>
      <c r="AE420" t="s">
        <v>74</v>
      </c>
      <c r="AF420" t="s">
        <v>74</v>
      </c>
      <c r="AG420">
        <v>26</v>
      </c>
      <c r="AH420">
        <v>1</v>
      </c>
      <c r="AI420">
        <v>3</v>
      </c>
      <c r="AJ420">
        <v>3</v>
      </c>
      <c r="AK420">
        <v>11</v>
      </c>
      <c r="AL420" t="s">
        <v>4513</v>
      </c>
      <c r="AM420" t="s">
        <v>4514</v>
      </c>
      <c r="AN420" t="s">
        <v>4515</v>
      </c>
      <c r="AO420" t="s">
        <v>4516</v>
      </c>
      <c r="AP420" t="s">
        <v>74</v>
      </c>
      <c r="AQ420" t="s">
        <v>74</v>
      </c>
      <c r="AR420" t="s">
        <v>4517</v>
      </c>
      <c r="AS420" t="s">
        <v>4518</v>
      </c>
      <c r="AT420" t="s">
        <v>1448</v>
      </c>
      <c r="AU420">
        <v>2022</v>
      </c>
      <c r="AV420">
        <v>20</v>
      </c>
      <c r="AW420">
        <v>2</v>
      </c>
      <c r="AX420" t="s">
        <v>74</v>
      </c>
      <c r="AY420" t="s">
        <v>74</v>
      </c>
      <c r="AZ420" t="s">
        <v>74</v>
      </c>
      <c r="BA420" t="s">
        <v>74</v>
      </c>
      <c r="BB420">
        <v>47</v>
      </c>
      <c r="BC420">
        <v>64</v>
      </c>
      <c r="BD420" t="s">
        <v>74</v>
      </c>
      <c r="BE420" t="s">
        <v>4519</v>
      </c>
      <c r="BF420" t="str">
        <f>HYPERLINK("http://dx.doi.org/10.15366/reice2022.20.2.003","http://dx.doi.org/10.15366/reice2022.20.2.003")</f>
        <v>http://dx.doi.org/10.15366/reice2022.20.2.003</v>
      </c>
      <c r="BG420" t="s">
        <v>74</v>
      </c>
      <c r="BH420" t="s">
        <v>74</v>
      </c>
      <c r="BI420">
        <v>18</v>
      </c>
      <c r="BJ420" t="s">
        <v>1326</v>
      </c>
      <c r="BK420" t="s">
        <v>183</v>
      </c>
      <c r="BL420" t="s">
        <v>1326</v>
      </c>
      <c r="BM420" t="s">
        <v>4520</v>
      </c>
      <c r="BN420" t="s">
        <v>74</v>
      </c>
      <c r="BO420" t="s">
        <v>4521</v>
      </c>
      <c r="BP420" t="s">
        <v>74</v>
      </c>
      <c r="BQ420" t="s">
        <v>74</v>
      </c>
      <c r="BR420" t="s">
        <v>106</v>
      </c>
      <c r="BS420" t="s">
        <v>4522</v>
      </c>
      <c r="BT420" t="str">
        <f>HYPERLINK("https%3A%2F%2Fwww.webofscience.com%2Fwos%2Fwoscc%2Ffull-record%2FWOS:000797875600004","View Full Record in Web of Science")</f>
        <v>View Full Record in Web of Science</v>
      </c>
    </row>
    <row r="421" spans="1:72" x14ac:dyDescent="0.25">
      <c r="A421" t="s">
        <v>72</v>
      </c>
      <c r="B421" t="s">
        <v>4612</v>
      </c>
      <c r="C421" t="s">
        <v>74</v>
      </c>
      <c r="D421" t="s">
        <v>74</v>
      </c>
      <c r="E421" t="s">
        <v>74</v>
      </c>
      <c r="F421" t="s">
        <v>4613</v>
      </c>
      <c r="G421" t="s">
        <v>74</v>
      </c>
      <c r="H421" t="s">
        <v>74</v>
      </c>
      <c r="I421" s="1" t="s">
        <v>4614</v>
      </c>
      <c r="J421" t="s">
        <v>4615</v>
      </c>
      <c r="K421" t="s">
        <v>74</v>
      </c>
      <c r="L421" t="s">
        <v>74</v>
      </c>
      <c r="M421" t="s">
        <v>78</v>
      </c>
      <c r="N421" t="s">
        <v>79</v>
      </c>
      <c r="O421" t="s">
        <v>74</v>
      </c>
      <c r="P421" t="s">
        <v>74</v>
      </c>
      <c r="Q421" t="s">
        <v>74</v>
      </c>
      <c r="R421" t="s">
        <v>74</v>
      </c>
      <c r="S421" t="s">
        <v>74</v>
      </c>
      <c r="T421" s="1" t="s">
        <v>4616</v>
      </c>
      <c r="U421" s="1" t="s">
        <v>4617</v>
      </c>
      <c r="V421" s="1" t="s">
        <v>4618</v>
      </c>
      <c r="W421" t="s">
        <v>4619</v>
      </c>
      <c r="X421" t="s">
        <v>4620</v>
      </c>
      <c r="Y421" t="s">
        <v>4621</v>
      </c>
      <c r="Z421" t="s">
        <v>4622</v>
      </c>
      <c r="AA421" t="s">
        <v>4623</v>
      </c>
      <c r="AB421" t="s">
        <v>4624</v>
      </c>
      <c r="AC421" t="s">
        <v>74</v>
      </c>
      <c r="AD421" t="s">
        <v>74</v>
      </c>
      <c r="AE421" t="s">
        <v>74</v>
      </c>
      <c r="AF421" t="s">
        <v>74</v>
      </c>
      <c r="AG421">
        <v>48</v>
      </c>
      <c r="AH421">
        <v>1</v>
      </c>
      <c r="AI421">
        <v>1</v>
      </c>
      <c r="AJ421">
        <v>1</v>
      </c>
      <c r="AK421">
        <v>6</v>
      </c>
      <c r="AL421" t="s">
        <v>492</v>
      </c>
      <c r="AM421" t="s">
        <v>493</v>
      </c>
      <c r="AN421" t="s">
        <v>494</v>
      </c>
      <c r="AO421" t="s">
        <v>4625</v>
      </c>
      <c r="AP421" t="s">
        <v>4626</v>
      </c>
      <c r="AQ421" t="s">
        <v>74</v>
      </c>
      <c r="AR421" t="s">
        <v>4627</v>
      </c>
      <c r="AS421" t="s">
        <v>4628</v>
      </c>
      <c r="AT421" t="s">
        <v>4210</v>
      </c>
      <c r="AU421">
        <v>2023</v>
      </c>
      <c r="AV421">
        <v>24</v>
      </c>
      <c r="AW421">
        <v>3</v>
      </c>
      <c r="AX421" t="s">
        <v>74</v>
      </c>
      <c r="AY421" t="s">
        <v>74</v>
      </c>
      <c r="AZ421" t="s">
        <v>74</v>
      </c>
      <c r="BA421" t="s">
        <v>74</v>
      </c>
      <c r="BB421">
        <v>311</v>
      </c>
      <c r="BC421">
        <v>329</v>
      </c>
      <c r="BD421" t="s">
        <v>74</v>
      </c>
      <c r="BE421" t="s">
        <v>4629</v>
      </c>
      <c r="BF421" t="str">
        <f>HYPERLINK("http://dx.doi.org/10.1080/1528008X.2022.2050876","http://dx.doi.org/10.1080/1528008X.2022.2050876")</f>
        <v>http://dx.doi.org/10.1080/1528008X.2022.2050876</v>
      </c>
      <c r="BG421" t="s">
        <v>74</v>
      </c>
      <c r="BH421" t="s">
        <v>4559</v>
      </c>
      <c r="BI421">
        <v>19</v>
      </c>
      <c r="BJ421" t="s">
        <v>4630</v>
      </c>
      <c r="BK421" t="s">
        <v>183</v>
      </c>
      <c r="BL421" t="s">
        <v>943</v>
      </c>
      <c r="BM421" t="s">
        <v>4631</v>
      </c>
      <c r="BN421" t="s">
        <v>74</v>
      </c>
      <c r="BO421" t="s">
        <v>74</v>
      </c>
      <c r="BP421" t="s">
        <v>74</v>
      </c>
      <c r="BQ421" t="s">
        <v>74</v>
      </c>
      <c r="BR421" t="s">
        <v>106</v>
      </c>
      <c r="BS421" t="s">
        <v>4632</v>
      </c>
      <c r="BT421" t="str">
        <f>HYPERLINK("https%3A%2F%2Fwww.webofscience.com%2Fwos%2Fwoscc%2Ffull-record%2FWOS:000767649100001","View Full Record in Web of Science")</f>
        <v>View Full Record in Web of Science</v>
      </c>
    </row>
    <row r="422" spans="1:72" x14ac:dyDescent="0.25">
      <c r="A422" t="s">
        <v>72</v>
      </c>
      <c r="B422" t="s">
        <v>4677</v>
      </c>
      <c r="C422" t="s">
        <v>74</v>
      </c>
      <c r="D422" t="s">
        <v>74</v>
      </c>
      <c r="E422" t="s">
        <v>74</v>
      </c>
      <c r="F422" t="s">
        <v>4678</v>
      </c>
      <c r="G422" t="s">
        <v>74</v>
      </c>
      <c r="H422" t="s">
        <v>74</v>
      </c>
      <c r="I422" s="1" t="s">
        <v>4679</v>
      </c>
      <c r="J422" t="s">
        <v>4680</v>
      </c>
      <c r="K422" t="s">
        <v>74</v>
      </c>
      <c r="L422" t="s">
        <v>74</v>
      </c>
      <c r="M422" t="s">
        <v>78</v>
      </c>
      <c r="N422" t="s">
        <v>79</v>
      </c>
      <c r="O422" t="s">
        <v>74</v>
      </c>
      <c r="P422" t="s">
        <v>74</v>
      </c>
      <c r="Q422" t="s">
        <v>74</v>
      </c>
      <c r="R422" t="s">
        <v>74</v>
      </c>
      <c r="S422" t="s">
        <v>74</v>
      </c>
      <c r="T422" s="1" t="s">
        <v>4681</v>
      </c>
      <c r="U422" s="1" t="s">
        <v>74</v>
      </c>
      <c r="V422" s="1" t="s">
        <v>4682</v>
      </c>
      <c r="W422" t="s">
        <v>4683</v>
      </c>
      <c r="X422" t="s">
        <v>4684</v>
      </c>
      <c r="Y422" t="s">
        <v>4685</v>
      </c>
      <c r="Z422" t="s">
        <v>4686</v>
      </c>
      <c r="AA422" t="s">
        <v>4687</v>
      </c>
      <c r="AB422" t="s">
        <v>4688</v>
      </c>
      <c r="AC422" t="s">
        <v>4689</v>
      </c>
      <c r="AD422" t="s">
        <v>4690</v>
      </c>
      <c r="AE422" t="s">
        <v>4691</v>
      </c>
      <c r="AF422" t="s">
        <v>74</v>
      </c>
      <c r="AG422">
        <v>24</v>
      </c>
      <c r="AH422">
        <v>1</v>
      </c>
      <c r="AI422">
        <v>1</v>
      </c>
      <c r="AJ422">
        <v>1</v>
      </c>
      <c r="AK422">
        <v>4</v>
      </c>
      <c r="AL422" t="s">
        <v>332</v>
      </c>
      <c r="AM422" t="s">
        <v>122</v>
      </c>
      <c r="AN422" t="s">
        <v>333</v>
      </c>
      <c r="AO422" t="s">
        <v>4692</v>
      </c>
      <c r="AP422" t="s">
        <v>4693</v>
      </c>
      <c r="AQ422" t="s">
        <v>74</v>
      </c>
      <c r="AR422" t="s">
        <v>4694</v>
      </c>
      <c r="AS422" t="s">
        <v>4695</v>
      </c>
      <c r="AT422" t="s">
        <v>1683</v>
      </c>
      <c r="AU422">
        <v>2022</v>
      </c>
      <c r="AV422">
        <v>114</v>
      </c>
      <c r="AW422" t="s">
        <v>74</v>
      </c>
      <c r="AX422" t="s">
        <v>74</v>
      </c>
      <c r="AY422" t="s">
        <v>74</v>
      </c>
      <c r="AZ422" t="s">
        <v>74</v>
      </c>
      <c r="BA422" t="s">
        <v>74</v>
      </c>
      <c r="BB422" t="s">
        <v>74</v>
      </c>
      <c r="BC422" t="s">
        <v>74</v>
      </c>
      <c r="BD422">
        <v>106687</v>
      </c>
      <c r="BE422" t="s">
        <v>4696</v>
      </c>
      <c r="BF422" t="str">
        <f>HYPERLINK("http://dx.doi.org/10.1016/j.cct.2022.106687","http://dx.doi.org/10.1016/j.cct.2022.106687")</f>
        <v>http://dx.doi.org/10.1016/j.cct.2022.106687</v>
      </c>
      <c r="BG422" t="s">
        <v>74</v>
      </c>
      <c r="BH422" t="s">
        <v>4674</v>
      </c>
      <c r="BI422">
        <v>4</v>
      </c>
      <c r="BJ422" t="s">
        <v>4697</v>
      </c>
      <c r="BK422" t="s">
        <v>102</v>
      </c>
      <c r="BL422" t="s">
        <v>4698</v>
      </c>
      <c r="BM422" t="s">
        <v>4699</v>
      </c>
      <c r="BN422">
        <v>35085830</v>
      </c>
      <c r="BO422" t="s">
        <v>2623</v>
      </c>
      <c r="BP422" t="s">
        <v>74</v>
      </c>
      <c r="BQ422" t="s">
        <v>74</v>
      </c>
      <c r="BR422" t="s">
        <v>106</v>
      </c>
      <c r="BS422" t="s">
        <v>4700</v>
      </c>
      <c r="BT422" t="str">
        <f>HYPERLINK("https%3A%2F%2Fwww.webofscience.com%2Fwos%2Fwoscc%2Ffull-record%2FWOS:000820252100006","View Full Record in Web of Science")</f>
        <v>View Full Record in Web of Science</v>
      </c>
    </row>
    <row r="423" spans="1:72" x14ac:dyDescent="0.25">
      <c r="A423" t="s">
        <v>72</v>
      </c>
      <c r="B423" t="s">
        <v>4966</v>
      </c>
      <c r="C423" t="s">
        <v>74</v>
      </c>
      <c r="D423" t="s">
        <v>74</v>
      </c>
      <c r="E423" t="s">
        <v>74</v>
      </c>
      <c r="F423" t="s">
        <v>4967</v>
      </c>
      <c r="G423" t="s">
        <v>74</v>
      </c>
      <c r="H423" t="s">
        <v>74</v>
      </c>
      <c r="I423" s="1" t="s">
        <v>4968</v>
      </c>
      <c r="J423" t="s">
        <v>4969</v>
      </c>
      <c r="K423" t="s">
        <v>74</v>
      </c>
      <c r="L423" t="s">
        <v>74</v>
      </c>
      <c r="M423" t="s">
        <v>78</v>
      </c>
      <c r="N423" t="s">
        <v>79</v>
      </c>
      <c r="O423" t="s">
        <v>74</v>
      </c>
      <c r="P423" t="s">
        <v>74</v>
      </c>
      <c r="Q423" t="s">
        <v>74</v>
      </c>
      <c r="R423" t="s">
        <v>74</v>
      </c>
      <c r="S423" t="s">
        <v>74</v>
      </c>
      <c r="T423" s="1" t="s">
        <v>4970</v>
      </c>
      <c r="U423" s="1" t="s">
        <v>4971</v>
      </c>
      <c r="V423" s="1" t="s">
        <v>4972</v>
      </c>
      <c r="W423" t="s">
        <v>4973</v>
      </c>
      <c r="X423" t="s">
        <v>4974</v>
      </c>
      <c r="Y423" t="s">
        <v>4975</v>
      </c>
      <c r="Z423" t="s">
        <v>4976</v>
      </c>
      <c r="AA423" t="s">
        <v>74</v>
      </c>
      <c r="AB423" t="s">
        <v>74</v>
      </c>
      <c r="AC423" t="s">
        <v>74</v>
      </c>
      <c r="AD423" t="s">
        <v>74</v>
      </c>
      <c r="AE423" t="s">
        <v>74</v>
      </c>
      <c r="AF423" t="s">
        <v>74</v>
      </c>
      <c r="AG423">
        <v>68</v>
      </c>
      <c r="AH423">
        <v>1</v>
      </c>
      <c r="AI423">
        <v>1</v>
      </c>
      <c r="AJ423">
        <v>0</v>
      </c>
      <c r="AK423">
        <v>0</v>
      </c>
      <c r="AL423" t="s">
        <v>4977</v>
      </c>
      <c r="AM423" t="s">
        <v>4978</v>
      </c>
      <c r="AN423" t="s">
        <v>4979</v>
      </c>
      <c r="AO423" t="s">
        <v>4980</v>
      </c>
      <c r="AP423" t="s">
        <v>74</v>
      </c>
      <c r="AQ423" t="s">
        <v>74</v>
      </c>
      <c r="AR423" t="s">
        <v>4981</v>
      </c>
      <c r="AS423" t="s">
        <v>4982</v>
      </c>
      <c r="AT423" t="s">
        <v>74</v>
      </c>
      <c r="AU423">
        <v>2022</v>
      </c>
      <c r="AV423">
        <v>16</v>
      </c>
      <c r="AW423" t="s">
        <v>74</v>
      </c>
      <c r="AX423" t="s">
        <v>74</v>
      </c>
      <c r="AY423" t="s">
        <v>74</v>
      </c>
      <c r="AZ423" t="s">
        <v>74</v>
      </c>
      <c r="BA423" t="s">
        <v>74</v>
      </c>
      <c r="BB423">
        <v>2669</v>
      </c>
      <c r="BC423">
        <v>2687</v>
      </c>
      <c r="BD423" t="s">
        <v>74</v>
      </c>
      <c r="BE423" t="s">
        <v>74</v>
      </c>
      <c r="BF423" t="s">
        <v>74</v>
      </c>
      <c r="BG423" t="s">
        <v>74</v>
      </c>
      <c r="BH423" t="s">
        <v>74</v>
      </c>
      <c r="BI423">
        <v>19</v>
      </c>
      <c r="BJ423" t="s">
        <v>2218</v>
      </c>
      <c r="BK423" t="s">
        <v>156</v>
      </c>
      <c r="BL423" t="s">
        <v>2218</v>
      </c>
      <c r="BM423" t="s">
        <v>4983</v>
      </c>
      <c r="BN423" t="s">
        <v>74</v>
      </c>
      <c r="BO423" t="s">
        <v>74</v>
      </c>
      <c r="BP423" t="s">
        <v>74</v>
      </c>
      <c r="BQ423" t="s">
        <v>74</v>
      </c>
      <c r="BR423" t="s">
        <v>106</v>
      </c>
      <c r="BS423" t="s">
        <v>4984</v>
      </c>
      <c r="BT423" t="str">
        <f>HYPERLINK("https%3A%2F%2Fwww.webofscience.com%2Fwos%2Fwoscc%2Ffull-record%2FWOS:001079739800002","View Full Record in Web of Science")</f>
        <v>View Full Record in Web of Science</v>
      </c>
    </row>
    <row r="424" spans="1:72" x14ac:dyDescent="0.25">
      <c r="A424" t="s">
        <v>72</v>
      </c>
      <c r="B424" t="s">
        <v>5223</v>
      </c>
      <c r="C424" t="s">
        <v>74</v>
      </c>
      <c r="D424" t="s">
        <v>74</v>
      </c>
      <c r="E424" t="s">
        <v>74</v>
      </c>
      <c r="F424" t="s">
        <v>5224</v>
      </c>
      <c r="G424" t="s">
        <v>74</v>
      </c>
      <c r="H424" t="s">
        <v>74</v>
      </c>
      <c r="I424" s="1" t="s">
        <v>5225</v>
      </c>
      <c r="J424" t="s">
        <v>5226</v>
      </c>
      <c r="K424" t="s">
        <v>74</v>
      </c>
      <c r="L424" t="s">
        <v>74</v>
      </c>
      <c r="M424" t="s">
        <v>929</v>
      </c>
      <c r="N424" t="s">
        <v>79</v>
      </c>
      <c r="O424" t="s">
        <v>74</v>
      </c>
      <c r="P424" t="s">
        <v>74</v>
      </c>
      <c r="Q424" t="s">
        <v>74</v>
      </c>
      <c r="R424" t="s">
        <v>74</v>
      </c>
      <c r="S424" t="s">
        <v>74</v>
      </c>
      <c r="T424" s="1" t="s">
        <v>5227</v>
      </c>
      <c r="U424" s="1" t="s">
        <v>5228</v>
      </c>
      <c r="V424" s="1" t="s">
        <v>5229</v>
      </c>
      <c r="W424" t="s">
        <v>5230</v>
      </c>
      <c r="X424" t="s">
        <v>5231</v>
      </c>
      <c r="Y424" t="s">
        <v>5232</v>
      </c>
      <c r="Z424" t="s">
        <v>5233</v>
      </c>
      <c r="AA424" t="s">
        <v>5234</v>
      </c>
      <c r="AB424" t="s">
        <v>74</v>
      </c>
      <c r="AC424" t="s">
        <v>74</v>
      </c>
      <c r="AD424" t="s">
        <v>74</v>
      </c>
      <c r="AE424" t="s">
        <v>74</v>
      </c>
      <c r="AF424" t="s">
        <v>74</v>
      </c>
      <c r="AG424">
        <v>32</v>
      </c>
      <c r="AH424">
        <v>1</v>
      </c>
      <c r="AI424">
        <v>1</v>
      </c>
      <c r="AJ424">
        <v>1</v>
      </c>
      <c r="AK424">
        <v>8</v>
      </c>
      <c r="AL424" t="s">
        <v>5235</v>
      </c>
      <c r="AM424" t="s">
        <v>5236</v>
      </c>
      <c r="AN424" t="s">
        <v>5237</v>
      </c>
      <c r="AO424" t="s">
        <v>5238</v>
      </c>
      <c r="AP424" t="s">
        <v>5239</v>
      </c>
      <c r="AQ424" t="s">
        <v>74</v>
      </c>
      <c r="AR424" t="s">
        <v>5240</v>
      </c>
      <c r="AS424" t="s">
        <v>5241</v>
      </c>
      <c r="AT424" t="s">
        <v>74</v>
      </c>
      <c r="AU424">
        <v>2022</v>
      </c>
      <c r="AV424">
        <v>49</v>
      </c>
      <c r="AW424">
        <v>90</v>
      </c>
      <c r="AX424" t="s">
        <v>74</v>
      </c>
      <c r="AY424" t="s">
        <v>74</v>
      </c>
      <c r="AZ424" t="s">
        <v>74</v>
      </c>
      <c r="BA424" t="s">
        <v>74</v>
      </c>
      <c r="BB424">
        <v>53</v>
      </c>
      <c r="BC424">
        <v>80</v>
      </c>
      <c r="BD424" t="s">
        <v>74</v>
      </c>
      <c r="BE424" t="s">
        <v>5242</v>
      </c>
      <c r="BF424" t="str">
        <f>HYPERLINK("http://dx.doi.org/10.21678/apuntes.90.1372","http://dx.doi.org/10.21678/apuntes.90.1372")</f>
        <v>http://dx.doi.org/10.21678/apuntes.90.1372</v>
      </c>
      <c r="BG424" t="s">
        <v>74</v>
      </c>
      <c r="BH424" t="s">
        <v>74</v>
      </c>
      <c r="BI424">
        <v>28</v>
      </c>
      <c r="BJ424" t="s">
        <v>942</v>
      </c>
      <c r="BK424" t="s">
        <v>183</v>
      </c>
      <c r="BL424" t="s">
        <v>943</v>
      </c>
      <c r="BM424" t="s">
        <v>5243</v>
      </c>
      <c r="BN424" t="s">
        <v>74</v>
      </c>
      <c r="BO424" t="s">
        <v>2730</v>
      </c>
      <c r="BP424" t="s">
        <v>74</v>
      </c>
      <c r="BQ424" t="s">
        <v>74</v>
      </c>
      <c r="BR424" t="s">
        <v>106</v>
      </c>
      <c r="BS424" t="s">
        <v>5244</v>
      </c>
      <c r="BT424" t="str">
        <f>HYPERLINK("https%3A%2F%2Fwww.webofscience.com%2Fwos%2Fwoscc%2Ffull-record%2FWOS:000748501500002","View Full Record in Web of Science")</f>
        <v>View Full Record in Web of Science</v>
      </c>
    </row>
    <row r="425" spans="1:72" x14ac:dyDescent="0.25">
      <c r="A425" t="s">
        <v>72</v>
      </c>
      <c r="B425" t="s">
        <v>5686</v>
      </c>
      <c r="C425" t="s">
        <v>74</v>
      </c>
      <c r="D425" t="s">
        <v>74</v>
      </c>
      <c r="E425" t="s">
        <v>74</v>
      </c>
      <c r="F425" t="s">
        <v>5687</v>
      </c>
      <c r="G425" t="s">
        <v>74</v>
      </c>
      <c r="H425" t="s">
        <v>74</v>
      </c>
      <c r="I425" s="1" t="s">
        <v>5688</v>
      </c>
      <c r="J425" t="s">
        <v>5689</v>
      </c>
      <c r="K425" t="s">
        <v>74</v>
      </c>
      <c r="L425" t="s">
        <v>74</v>
      </c>
      <c r="M425" t="s">
        <v>78</v>
      </c>
      <c r="N425" t="s">
        <v>79</v>
      </c>
      <c r="O425" t="s">
        <v>74</v>
      </c>
      <c r="P425" t="s">
        <v>74</v>
      </c>
      <c r="Q425" t="s">
        <v>74</v>
      </c>
      <c r="R425" t="s">
        <v>74</v>
      </c>
      <c r="S425" t="s">
        <v>74</v>
      </c>
      <c r="T425" s="1" t="s">
        <v>5690</v>
      </c>
      <c r="U425" s="1" t="s">
        <v>5691</v>
      </c>
      <c r="V425" s="1" t="s">
        <v>5692</v>
      </c>
      <c r="W425" t="s">
        <v>5693</v>
      </c>
      <c r="X425" t="s">
        <v>5694</v>
      </c>
      <c r="Y425" t="s">
        <v>5695</v>
      </c>
      <c r="Z425" t="s">
        <v>5696</v>
      </c>
      <c r="AA425" t="s">
        <v>5697</v>
      </c>
      <c r="AB425" t="s">
        <v>5698</v>
      </c>
      <c r="AC425" t="s">
        <v>74</v>
      </c>
      <c r="AD425" t="s">
        <v>74</v>
      </c>
      <c r="AE425" t="s">
        <v>74</v>
      </c>
      <c r="AF425" t="s">
        <v>74</v>
      </c>
      <c r="AG425">
        <v>18</v>
      </c>
      <c r="AH425">
        <v>1</v>
      </c>
      <c r="AI425">
        <v>1</v>
      </c>
      <c r="AJ425">
        <v>2</v>
      </c>
      <c r="AK425">
        <v>15</v>
      </c>
      <c r="AL425" t="s">
        <v>146</v>
      </c>
      <c r="AM425" t="s">
        <v>147</v>
      </c>
      <c r="AN425" t="s">
        <v>148</v>
      </c>
      <c r="AO425" t="s">
        <v>5699</v>
      </c>
      <c r="AP425" t="s">
        <v>5700</v>
      </c>
      <c r="AQ425" t="s">
        <v>74</v>
      </c>
      <c r="AR425" t="s">
        <v>5701</v>
      </c>
      <c r="AS425" t="s">
        <v>5702</v>
      </c>
      <c r="AT425" t="s">
        <v>1280</v>
      </c>
      <c r="AU425">
        <v>2022</v>
      </c>
      <c r="AV425">
        <v>26</v>
      </c>
      <c r="AW425">
        <v>2</v>
      </c>
      <c r="AX425" t="s">
        <v>74</v>
      </c>
      <c r="AY425" t="s">
        <v>74</v>
      </c>
      <c r="AZ425" t="s">
        <v>74</v>
      </c>
      <c r="BA425" t="s">
        <v>74</v>
      </c>
      <c r="BB425">
        <v>404</v>
      </c>
      <c r="BC425">
        <v>408</v>
      </c>
      <c r="BD425" t="s">
        <v>74</v>
      </c>
      <c r="BE425" t="s">
        <v>5703</v>
      </c>
      <c r="BF425" t="str">
        <f>HYPERLINK("http://dx.doi.org/10.1111/eje.12716","http://dx.doi.org/10.1111/eje.12716")</f>
        <v>http://dx.doi.org/10.1111/eje.12716</v>
      </c>
      <c r="BG425" t="s">
        <v>74</v>
      </c>
      <c r="BH425" t="s">
        <v>5683</v>
      </c>
      <c r="BI425">
        <v>5</v>
      </c>
      <c r="BJ425" t="s">
        <v>5704</v>
      </c>
      <c r="BK425" t="s">
        <v>102</v>
      </c>
      <c r="BL425" t="s">
        <v>5705</v>
      </c>
      <c r="BM425" t="s">
        <v>5706</v>
      </c>
      <c r="BN425">
        <v>34510674</v>
      </c>
      <c r="BO425" t="s">
        <v>74</v>
      </c>
      <c r="BP425" t="s">
        <v>74</v>
      </c>
      <c r="BQ425" t="s">
        <v>74</v>
      </c>
      <c r="BR425" t="s">
        <v>106</v>
      </c>
      <c r="BS425" t="s">
        <v>5707</v>
      </c>
      <c r="BT425" t="str">
        <f>HYPERLINK("https%3A%2F%2Fwww.webofscience.com%2Fwos%2Fwoscc%2Ffull-record%2FWOS:000700037800001","View Full Record in Web of Science")</f>
        <v>View Full Record in Web of Science</v>
      </c>
    </row>
    <row r="426" spans="1:72" x14ac:dyDescent="0.25">
      <c r="A426" t="s">
        <v>72</v>
      </c>
      <c r="B426" t="s">
        <v>5812</v>
      </c>
      <c r="C426" t="s">
        <v>74</v>
      </c>
      <c r="D426" t="s">
        <v>74</v>
      </c>
      <c r="E426" t="s">
        <v>74</v>
      </c>
      <c r="F426" t="s">
        <v>5813</v>
      </c>
      <c r="G426" t="s">
        <v>74</v>
      </c>
      <c r="H426" t="s">
        <v>74</v>
      </c>
      <c r="I426" s="1" t="s">
        <v>5814</v>
      </c>
      <c r="J426" t="s">
        <v>5815</v>
      </c>
      <c r="K426" t="s">
        <v>74</v>
      </c>
      <c r="L426" t="s">
        <v>74</v>
      </c>
      <c r="M426" t="s">
        <v>2896</v>
      </c>
      <c r="N426" t="s">
        <v>79</v>
      </c>
      <c r="O426" t="s">
        <v>74</v>
      </c>
      <c r="P426" t="s">
        <v>74</v>
      </c>
      <c r="Q426" t="s">
        <v>74</v>
      </c>
      <c r="R426" t="s">
        <v>74</v>
      </c>
      <c r="S426" t="s">
        <v>74</v>
      </c>
      <c r="T426" s="1" t="s">
        <v>5816</v>
      </c>
      <c r="U426" s="1" t="s">
        <v>74</v>
      </c>
      <c r="V426" s="1" t="s">
        <v>5817</v>
      </c>
      <c r="W426" t="s">
        <v>5818</v>
      </c>
      <c r="X426" t="s">
        <v>5819</v>
      </c>
      <c r="Y426" t="s">
        <v>5820</v>
      </c>
      <c r="Z426" t="s">
        <v>5821</v>
      </c>
      <c r="AA426" t="s">
        <v>74</v>
      </c>
      <c r="AB426" t="s">
        <v>74</v>
      </c>
      <c r="AC426" t="s">
        <v>74</v>
      </c>
      <c r="AD426" t="s">
        <v>74</v>
      </c>
      <c r="AE426" t="s">
        <v>74</v>
      </c>
      <c r="AF426" t="s">
        <v>74</v>
      </c>
      <c r="AG426">
        <v>34</v>
      </c>
      <c r="AH426">
        <v>1</v>
      </c>
      <c r="AI426">
        <v>1</v>
      </c>
      <c r="AJ426">
        <v>5</v>
      </c>
      <c r="AK426">
        <v>35</v>
      </c>
      <c r="AL426" t="s">
        <v>5822</v>
      </c>
      <c r="AM426" t="s">
        <v>5823</v>
      </c>
      <c r="AN426" t="s">
        <v>5824</v>
      </c>
      <c r="AO426" t="s">
        <v>5825</v>
      </c>
      <c r="AP426" t="s">
        <v>5826</v>
      </c>
      <c r="AQ426" t="s">
        <v>74</v>
      </c>
      <c r="AR426" t="s">
        <v>5827</v>
      </c>
      <c r="AS426" t="s">
        <v>5828</v>
      </c>
      <c r="AT426" t="s">
        <v>376</v>
      </c>
      <c r="AU426">
        <v>2021</v>
      </c>
      <c r="AV426">
        <v>18</v>
      </c>
      <c r="AW426">
        <v>3</v>
      </c>
      <c r="AX426" t="s">
        <v>74</v>
      </c>
      <c r="AY426" t="s">
        <v>74</v>
      </c>
      <c r="AZ426" t="s">
        <v>74</v>
      </c>
      <c r="BA426" t="s">
        <v>74</v>
      </c>
      <c r="BB426">
        <v>102</v>
      </c>
      <c r="BC426">
        <v>130</v>
      </c>
      <c r="BD426" t="s">
        <v>74</v>
      </c>
      <c r="BE426" t="s">
        <v>5829</v>
      </c>
      <c r="BF426" t="str">
        <f>HYPERLINK("http://dx.doi.org/10.25112/rgd.v18i3.2784","http://dx.doi.org/10.25112/rgd.v18i3.2784")</f>
        <v>http://dx.doi.org/10.25112/rgd.v18i3.2784</v>
      </c>
      <c r="BG426" t="s">
        <v>74</v>
      </c>
      <c r="BH426" t="s">
        <v>74</v>
      </c>
      <c r="BI426">
        <v>29</v>
      </c>
      <c r="BJ426" t="s">
        <v>1023</v>
      </c>
      <c r="BK426" t="s">
        <v>183</v>
      </c>
      <c r="BL426" t="s">
        <v>265</v>
      </c>
      <c r="BM426" t="s">
        <v>5830</v>
      </c>
      <c r="BN426" t="s">
        <v>74</v>
      </c>
      <c r="BO426" t="s">
        <v>186</v>
      </c>
      <c r="BP426" t="s">
        <v>74</v>
      </c>
      <c r="BQ426" t="s">
        <v>74</v>
      </c>
      <c r="BR426" t="s">
        <v>106</v>
      </c>
      <c r="BS426" t="s">
        <v>5831</v>
      </c>
      <c r="BT426" t="str">
        <f>HYPERLINK("https%3A%2F%2Fwww.webofscience.com%2Fwos%2Fwoscc%2Ffull-record%2FWOS:000728112300006","View Full Record in Web of Science")</f>
        <v>View Full Record in Web of Science</v>
      </c>
    </row>
    <row r="427" spans="1:72" x14ac:dyDescent="0.25">
      <c r="A427" t="s">
        <v>72</v>
      </c>
      <c r="B427" t="s">
        <v>5832</v>
      </c>
      <c r="C427" t="s">
        <v>74</v>
      </c>
      <c r="D427" t="s">
        <v>74</v>
      </c>
      <c r="E427" t="s">
        <v>74</v>
      </c>
      <c r="F427" t="s">
        <v>5833</v>
      </c>
      <c r="G427" t="s">
        <v>74</v>
      </c>
      <c r="H427" t="s">
        <v>74</v>
      </c>
      <c r="I427" s="1" t="s">
        <v>5834</v>
      </c>
      <c r="J427" t="s">
        <v>5835</v>
      </c>
      <c r="K427" t="s">
        <v>74</v>
      </c>
      <c r="L427" t="s">
        <v>74</v>
      </c>
      <c r="M427" t="s">
        <v>78</v>
      </c>
      <c r="N427" t="s">
        <v>79</v>
      </c>
      <c r="O427" t="s">
        <v>74</v>
      </c>
      <c r="P427" t="s">
        <v>74</v>
      </c>
      <c r="Q427" t="s">
        <v>74</v>
      </c>
      <c r="R427" t="s">
        <v>74</v>
      </c>
      <c r="S427" t="s">
        <v>74</v>
      </c>
      <c r="T427" s="1" t="s">
        <v>5836</v>
      </c>
      <c r="U427" s="1" t="s">
        <v>74</v>
      </c>
      <c r="V427" s="1" t="s">
        <v>5837</v>
      </c>
      <c r="W427" t="s">
        <v>5838</v>
      </c>
      <c r="X427" t="s">
        <v>5839</v>
      </c>
      <c r="Y427" t="s">
        <v>5840</v>
      </c>
      <c r="Z427" t="s">
        <v>74</v>
      </c>
      <c r="AA427" t="s">
        <v>74</v>
      </c>
      <c r="AB427" t="s">
        <v>74</v>
      </c>
      <c r="AC427" t="s">
        <v>74</v>
      </c>
      <c r="AD427" t="s">
        <v>74</v>
      </c>
      <c r="AE427" t="s">
        <v>74</v>
      </c>
      <c r="AF427" t="s">
        <v>74</v>
      </c>
      <c r="AG427">
        <v>1</v>
      </c>
      <c r="AH427">
        <v>1</v>
      </c>
      <c r="AI427">
        <v>1</v>
      </c>
      <c r="AJ427">
        <v>6</v>
      </c>
      <c r="AK427">
        <v>42</v>
      </c>
      <c r="AL427" t="s">
        <v>5841</v>
      </c>
      <c r="AM427" t="s">
        <v>5842</v>
      </c>
      <c r="AN427" t="s">
        <v>5843</v>
      </c>
      <c r="AO427" t="s">
        <v>5844</v>
      </c>
      <c r="AP427" t="s">
        <v>5845</v>
      </c>
      <c r="AQ427" t="s">
        <v>74</v>
      </c>
      <c r="AR427" t="s">
        <v>5846</v>
      </c>
      <c r="AS427" t="s">
        <v>5847</v>
      </c>
      <c r="AT427" t="s">
        <v>5848</v>
      </c>
      <c r="AU427">
        <v>2021</v>
      </c>
      <c r="AV427">
        <v>23</v>
      </c>
      <c r="AW427">
        <v>5</v>
      </c>
      <c r="AX427" t="s">
        <v>74</v>
      </c>
      <c r="AY427" t="s">
        <v>74</v>
      </c>
      <c r="AZ427" t="s">
        <v>74</v>
      </c>
      <c r="BA427" t="s">
        <v>74</v>
      </c>
      <c r="BB427">
        <v>17</v>
      </c>
      <c r="BC427">
        <v>22</v>
      </c>
      <c r="BD427" t="s">
        <v>74</v>
      </c>
      <c r="BE427" t="s">
        <v>5849</v>
      </c>
      <c r="BF427" t="str">
        <f>HYPERLINK("http://dx.doi.org/10.1109/MITP.2021.3069910","http://dx.doi.org/10.1109/MITP.2021.3069910")</f>
        <v>http://dx.doi.org/10.1109/MITP.2021.3069910</v>
      </c>
      <c r="BG427" t="s">
        <v>74</v>
      </c>
      <c r="BH427" t="s">
        <v>74</v>
      </c>
      <c r="BI427">
        <v>6</v>
      </c>
      <c r="BJ427" t="s">
        <v>5850</v>
      </c>
      <c r="BK427" t="s">
        <v>102</v>
      </c>
      <c r="BL427" t="s">
        <v>3155</v>
      </c>
      <c r="BM427" t="s">
        <v>5851</v>
      </c>
      <c r="BN427" t="s">
        <v>74</v>
      </c>
      <c r="BO427" t="s">
        <v>74</v>
      </c>
      <c r="BP427" t="s">
        <v>74</v>
      </c>
      <c r="BQ427" t="s">
        <v>74</v>
      </c>
      <c r="BR427" t="s">
        <v>106</v>
      </c>
      <c r="BS427" t="s">
        <v>5852</v>
      </c>
      <c r="BT427" t="str">
        <f>HYPERLINK("https%3A%2F%2Fwww.webofscience.com%2Fwos%2Fwoscc%2Ffull-record%2FWOS:000706829300013","View Full Record in Web of Science")</f>
        <v>View Full Record in Web of Science</v>
      </c>
    </row>
    <row r="428" spans="1:72" x14ac:dyDescent="0.25">
      <c r="A428" t="s">
        <v>72</v>
      </c>
      <c r="B428" t="s">
        <v>6063</v>
      </c>
      <c r="C428" t="s">
        <v>74</v>
      </c>
      <c r="D428" t="s">
        <v>74</v>
      </c>
      <c r="E428" t="s">
        <v>74</v>
      </c>
      <c r="F428" t="s">
        <v>6064</v>
      </c>
      <c r="G428" t="s">
        <v>74</v>
      </c>
      <c r="H428" t="s">
        <v>74</v>
      </c>
      <c r="I428" s="1" t="s">
        <v>6065</v>
      </c>
      <c r="J428" t="s">
        <v>6066</v>
      </c>
      <c r="K428" t="s">
        <v>74</v>
      </c>
      <c r="L428" t="s">
        <v>74</v>
      </c>
      <c r="M428" t="s">
        <v>78</v>
      </c>
      <c r="N428" t="s">
        <v>79</v>
      </c>
      <c r="O428" t="s">
        <v>74</v>
      </c>
      <c r="P428" t="s">
        <v>74</v>
      </c>
      <c r="Q428" t="s">
        <v>74</v>
      </c>
      <c r="R428" t="s">
        <v>74</v>
      </c>
      <c r="S428" t="s">
        <v>74</v>
      </c>
      <c r="T428" s="1" t="s">
        <v>6067</v>
      </c>
      <c r="U428" s="1" t="s">
        <v>74</v>
      </c>
      <c r="V428" s="1" t="s">
        <v>6068</v>
      </c>
      <c r="W428" t="s">
        <v>6069</v>
      </c>
      <c r="X428" t="s">
        <v>6070</v>
      </c>
      <c r="Y428" t="s">
        <v>6071</v>
      </c>
      <c r="Z428" t="s">
        <v>6072</v>
      </c>
      <c r="AA428" t="s">
        <v>74</v>
      </c>
      <c r="AB428" t="s">
        <v>74</v>
      </c>
      <c r="AC428" t="s">
        <v>74</v>
      </c>
      <c r="AD428" t="s">
        <v>74</v>
      </c>
      <c r="AE428" t="s">
        <v>74</v>
      </c>
      <c r="AF428" t="s">
        <v>74</v>
      </c>
      <c r="AG428">
        <v>39</v>
      </c>
      <c r="AH428">
        <v>1</v>
      </c>
      <c r="AI428">
        <v>1</v>
      </c>
      <c r="AJ428">
        <v>2</v>
      </c>
      <c r="AK428">
        <v>13</v>
      </c>
      <c r="AL428" t="s">
        <v>1856</v>
      </c>
      <c r="AM428" t="s">
        <v>1857</v>
      </c>
      <c r="AN428" t="s">
        <v>1858</v>
      </c>
      <c r="AO428" t="s">
        <v>6073</v>
      </c>
      <c r="AP428" t="s">
        <v>6074</v>
      </c>
      <c r="AQ428" t="s">
        <v>74</v>
      </c>
      <c r="AR428" t="s">
        <v>6075</v>
      </c>
      <c r="AS428" t="s">
        <v>6076</v>
      </c>
      <c r="AT428" t="s">
        <v>476</v>
      </c>
      <c r="AU428">
        <v>2022</v>
      </c>
      <c r="AV428">
        <v>23</v>
      </c>
      <c r="AW428">
        <v>4</v>
      </c>
      <c r="AX428" t="s">
        <v>74</v>
      </c>
      <c r="AY428" t="s">
        <v>74</v>
      </c>
      <c r="AZ428" t="s">
        <v>74</v>
      </c>
      <c r="BA428" t="s">
        <v>74</v>
      </c>
      <c r="BB428">
        <v>351</v>
      </c>
      <c r="BC428">
        <v>367</v>
      </c>
      <c r="BD428" t="s">
        <v>74</v>
      </c>
      <c r="BE428" t="s">
        <v>6077</v>
      </c>
      <c r="BF428" t="str">
        <f>HYPERLINK("http://dx.doi.org/10.1057/s41261-021-00169-x","http://dx.doi.org/10.1057/s41261-021-00169-x")</f>
        <v>http://dx.doi.org/10.1057/s41261-021-00169-x</v>
      </c>
      <c r="BG428" t="s">
        <v>74</v>
      </c>
      <c r="BH428" t="s">
        <v>6012</v>
      </c>
      <c r="BI428">
        <v>17</v>
      </c>
      <c r="BJ428" t="s">
        <v>479</v>
      </c>
      <c r="BK428" t="s">
        <v>183</v>
      </c>
      <c r="BL428" t="s">
        <v>265</v>
      </c>
      <c r="BM428" t="s">
        <v>6078</v>
      </c>
      <c r="BN428" t="s">
        <v>74</v>
      </c>
      <c r="BO428" t="s">
        <v>74</v>
      </c>
      <c r="BP428" t="s">
        <v>74</v>
      </c>
      <c r="BQ428" t="s">
        <v>74</v>
      </c>
      <c r="BR428" t="s">
        <v>106</v>
      </c>
      <c r="BS428" t="s">
        <v>6079</v>
      </c>
      <c r="BT428" t="str">
        <f>HYPERLINK("https%3A%2F%2Fwww.webofscience.com%2Fwos%2Fwoscc%2Ffull-record%2FWOS:000673014800001","View Full Record in Web of Science")</f>
        <v>View Full Record in Web of Science</v>
      </c>
    </row>
    <row r="429" spans="1:72" x14ac:dyDescent="0.25">
      <c r="A429" t="s">
        <v>72</v>
      </c>
      <c r="B429" t="s">
        <v>6094</v>
      </c>
      <c r="C429" t="s">
        <v>74</v>
      </c>
      <c r="D429" t="s">
        <v>74</v>
      </c>
      <c r="E429" t="s">
        <v>74</v>
      </c>
      <c r="F429" t="s">
        <v>6095</v>
      </c>
      <c r="G429" t="s">
        <v>74</v>
      </c>
      <c r="H429" t="s">
        <v>74</v>
      </c>
      <c r="I429" s="1" t="s">
        <v>6096</v>
      </c>
      <c r="J429" t="s">
        <v>6097</v>
      </c>
      <c r="K429" t="s">
        <v>74</v>
      </c>
      <c r="L429" t="s">
        <v>74</v>
      </c>
      <c r="M429" t="s">
        <v>78</v>
      </c>
      <c r="N429" t="s">
        <v>79</v>
      </c>
      <c r="O429" t="s">
        <v>74</v>
      </c>
      <c r="P429" t="s">
        <v>74</v>
      </c>
      <c r="Q429" t="s">
        <v>74</v>
      </c>
      <c r="R429" t="s">
        <v>74</v>
      </c>
      <c r="S429" t="s">
        <v>74</v>
      </c>
      <c r="T429" s="1" t="s">
        <v>6098</v>
      </c>
      <c r="U429" s="1" t="s">
        <v>6099</v>
      </c>
      <c r="V429" s="1" t="s">
        <v>6100</v>
      </c>
      <c r="W429" t="s">
        <v>6101</v>
      </c>
      <c r="X429" t="s">
        <v>6102</v>
      </c>
      <c r="Y429" t="s">
        <v>6103</v>
      </c>
      <c r="Z429" t="s">
        <v>6104</v>
      </c>
      <c r="AA429" t="s">
        <v>6105</v>
      </c>
      <c r="AB429" t="s">
        <v>6106</v>
      </c>
      <c r="AC429" t="s">
        <v>6107</v>
      </c>
      <c r="AD429" t="s">
        <v>6108</v>
      </c>
      <c r="AE429" t="s">
        <v>6109</v>
      </c>
      <c r="AF429" t="s">
        <v>74</v>
      </c>
      <c r="AG429">
        <v>12</v>
      </c>
      <c r="AH429">
        <v>1</v>
      </c>
      <c r="AI429">
        <v>1</v>
      </c>
      <c r="AJ429">
        <v>0</v>
      </c>
      <c r="AK429">
        <v>5</v>
      </c>
      <c r="AL429" t="s">
        <v>6110</v>
      </c>
      <c r="AM429" t="s">
        <v>6111</v>
      </c>
      <c r="AN429" t="s">
        <v>6112</v>
      </c>
      <c r="AO429" t="s">
        <v>6113</v>
      </c>
      <c r="AP429" t="s">
        <v>74</v>
      </c>
      <c r="AQ429" t="s">
        <v>74</v>
      </c>
      <c r="AR429" t="s">
        <v>6114</v>
      </c>
      <c r="AS429" t="s">
        <v>6115</v>
      </c>
      <c r="AT429" t="s">
        <v>837</v>
      </c>
      <c r="AU429">
        <v>2021</v>
      </c>
      <c r="AV429">
        <v>15</v>
      </c>
      <c r="AW429">
        <v>7</v>
      </c>
      <c r="AX429" t="s">
        <v>74</v>
      </c>
      <c r="AY429" t="s">
        <v>74</v>
      </c>
      <c r="AZ429" t="s">
        <v>74</v>
      </c>
      <c r="BA429" t="s">
        <v>74</v>
      </c>
      <c r="BB429">
        <v>1668</v>
      </c>
      <c r="BC429">
        <v>1671</v>
      </c>
      <c r="BD429" t="s">
        <v>74</v>
      </c>
      <c r="BE429" t="s">
        <v>6116</v>
      </c>
      <c r="BF429" t="str">
        <f>HYPERLINK("http://dx.doi.org/10.53350/pjmhs211571668","http://dx.doi.org/10.53350/pjmhs211571668")</f>
        <v>http://dx.doi.org/10.53350/pjmhs211571668</v>
      </c>
      <c r="BG429" t="s">
        <v>74</v>
      </c>
      <c r="BH429" t="s">
        <v>74</v>
      </c>
      <c r="BI429">
        <v>4</v>
      </c>
      <c r="BJ429" t="s">
        <v>840</v>
      </c>
      <c r="BK429" t="s">
        <v>183</v>
      </c>
      <c r="BL429" t="s">
        <v>841</v>
      </c>
      <c r="BM429" t="s">
        <v>6117</v>
      </c>
      <c r="BN429" t="s">
        <v>74</v>
      </c>
      <c r="BO429" t="s">
        <v>791</v>
      </c>
      <c r="BP429" t="s">
        <v>74</v>
      </c>
      <c r="BQ429" t="s">
        <v>74</v>
      </c>
      <c r="BR429" t="s">
        <v>106</v>
      </c>
      <c r="BS429" t="s">
        <v>6118</v>
      </c>
      <c r="BT429" t="str">
        <f>HYPERLINK("https%3A%2F%2Fwww.webofscience.com%2Fwos%2Fwoscc%2Ffull-record%2FWOS:000690456000038","View Full Record in Web of Science")</f>
        <v>View Full Record in Web of Science</v>
      </c>
    </row>
    <row r="430" spans="1:72" x14ac:dyDescent="0.25">
      <c r="A430" t="s">
        <v>72</v>
      </c>
      <c r="B430" t="s">
        <v>6406</v>
      </c>
      <c r="C430" t="s">
        <v>74</v>
      </c>
      <c r="D430" t="s">
        <v>74</v>
      </c>
      <c r="E430" t="s">
        <v>74</v>
      </c>
      <c r="F430" t="s">
        <v>6407</v>
      </c>
      <c r="G430" t="s">
        <v>74</v>
      </c>
      <c r="H430" t="s">
        <v>74</v>
      </c>
      <c r="I430" s="1" t="s">
        <v>6408</v>
      </c>
      <c r="J430" t="s">
        <v>6409</v>
      </c>
      <c r="K430" t="s">
        <v>74</v>
      </c>
      <c r="L430" t="s">
        <v>74</v>
      </c>
      <c r="M430" t="s">
        <v>78</v>
      </c>
      <c r="N430" t="s">
        <v>79</v>
      </c>
      <c r="O430" t="s">
        <v>74</v>
      </c>
      <c r="P430" t="s">
        <v>74</v>
      </c>
      <c r="Q430" t="s">
        <v>74</v>
      </c>
      <c r="R430" t="s">
        <v>74</v>
      </c>
      <c r="S430" t="s">
        <v>74</v>
      </c>
      <c r="T430" s="1" t="s">
        <v>6410</v>
      </c>
      <c r="U430" s="1" t="s">
        <v>74</v>
      </c>
      <c r="V430" s="1" t="s">
        <v>6411</v>
      </c>
      <c r="W430" t="s">
        <v>6412</v>
      </c>
      <c r="X430" t="s">
        <v>6413</v>
      </c>
      <c r="Y430" t="s">
        <v>6414</v>
      </c>
      <c r="Z430" t="s">
        <v>6415</v>
      </c>
      <c r="AA430" t="s">
        <v>6416</v>
      </c>
      <c r="AB430" t="s">
        <v>6417</v>
      </c>
      <c r="AC430" t="s">
        <v>74</v>
      </c>
      <c r="AD430" t="s">
        <v>74</v>
      </c>
      <c r="AE430" t="s">
        <v>74</v>
      </c>
      <c r="AF430" t="s">
        <v>74</v>
      </c>
      <c r="AG430">
        <v>25</v>
      </c>
      <c r="AH430">
        <v>1</v>
      </c>
      <c r="AI430">
        <v>1</v>
      </c>
      <c r="AJ430">
        <v>0</v>
      </c>
      <c r="AK430">
        <v>1</v>
      </c>
      <c r="AL430" t="s">
        <v>1013</v>
      </c>
      <c r="AM430" t="s">
        <v>493</v>
      </c>
      <c r="AN430" t="s">
        <v>1014</v>
      </c>
      <c r="AO430" t="s">
        <v>6418</v>
      </c>
      <c r="AP430" t="s">
        <v>6419</v>
      </c>
      <c r="AQ430" t="s">
        <v>74</v>
      </c>
      <c r="AR430" t="s">
        <v>6420</v>
      </c>
      <c r="AS430" t="s">
        <v>6421</v>
      </c>
      <c r="AT430" t="s">
        <v>4210</v>
      </c>
      <c r="AU430">
        <v>2021</v>
      </c>
      <c r="AV430">
        <v>14</v>
      </c>
      <c r="AW430">
        <v>2</v>
      </c>
      <c r="AX430" t="s">
        <v>74</v>
      </c>
      <c r="AY430" t="s">
        <v>74</v>
      </c>
      <c r="AZ430" t="s">
        <v>74</v>
      </c>
      <c r="BA430" t="s">
        <v>74</v>
      </c>
      <c r="BB430">
        <v>162</v>
      </c>
      <c r="BC430">
        <v>172</v>
      </c>
      <c r="BD430" t="s">
        <v>74</v>
      </c>
      <c r="BE430" t="s">
        <v>6422</v>
      </c>
      <c r="BF430" t="str">
        <f>HYPERLINK("http://dx.doi.org/10.1080/17543266.2021.1903085","http://dx.doi.org/10.1080/17543266.2021.1903085")</f>
        <v>http://dx.doi.org/10.1080/17543266.2021.1903085</v>
      </c>
      <c r="BG430" t="s">
        <v>74</v>
      </c>
      <c r="BH430" t="s">
        <v>74</v>
      </c>
      <c r="BI430">
        <v>11</v>
      </c>
      <c r="BJ430" t="s">
        <v>6423</v>
      </c>
      <c r="BK430" t="s">
        <v>183</v>
      </c>
      <c r="BL430" t="s">
        <v>6424</v>
      </c>
      <c r="BM430" t="s">
        <v>6425</v>
      </c>
      <c r="BN430" t="s">
        <v>74</v>
      </c>
      <c r="BO430" t="s">
        <v>74</v>
      </c>
      <c r="BP430" t="s">
        <v>74</v>
      </c>
      <c r="BQ430" t="s">
        <v>74</v>
      </c>
      <c r="BR430" t="s">
        <v>106</v>
      </c>
      <c r="BS430" t="s">
        <v>6426</v>
      </c>
      <c r="BT430" t="str">
        <f>HYPERLINK("https%3A%2F%2Fwww.webofscience.com%2Fwos%2Fwoscc%2Ffull-record%2FWOS:000898268600004","View Full Record in Web of Science")</f>
        <v>View Full Record in Web of Science</v>
      </c>
    </row>
    <row r="431" spans="1:72" x14ac:dyDescent="0.25">
      <c r="A431" t="s">
        <v>72</v>
      </c>
      <c r="B431" t="s">
        <v>6463</v>
      </c>
      <c r="C431" t="s">
        <v>74</v>
      </c>
      <c r="D431" t="s">
        <v>74</v>
      </c>
      <c r="E431" t="s">
        <v>74</v>
      </c>
      <c r="F431" t="s">
        <v>6464</v>
      </c>
      <c r="G431" t="s">
        <v>74</v>
      </c>
      <c r="H431" t="s">
        <v>74</v>
      </c>
      <c r="I431" s="1" t="s">
        <v>6465</v>
      </c>
      <c r="J431" t="s">
        <v>6466</v>
      </c>
      <c r="K431" t="s">
        <v>74</v>
      </c>
      <c r="L431" t="s">
        <v>74</v>
      </c>
      <c r="M431" t="s">
        <v>78</v>
      </c>
      <c r="N431" t="s">
        <v>112</v>
      </c>
      <c r="O431" t="s">
        <v>74</v>
      </c>
      <c r="P431" t="s">
        <v>74</v>
      </c>
      <c r="Q431" t="s">
        <v>74</v>
      </c>
      <c r="R431" t="s">
        <v>74</v>
      </c>
      <c r="S431" t="s">
        <v>74</v>
      </c>
      <c r="T431" s="1" t="s">
        <v>6467</v>
      </c>
      <c r="U431" s="1" t="s">
        <v>6468</v>
      </c>
      <c r="V431" s="1" t="s">
        <v>6469</v>
      </c>
      <c r="W431" t="s">
        <v>6470</v>
      </c>
      <c r="X431" t="s">
        <v>6471</v>
      </c>
      <c r="Y431" t="s">
        <v>6472</v>
      </c>
      <c r="Z431" t="s">
        <v>6473</v>
      </c>
      <c r="AA431" t="s">
        <v>6474</v>
      </c>
      <c r="AB431" t="s">
        <v>6475</v>
      </c>
      <c r="AC431" t="s">
        <v>6476</v>
      </c>
      <c r="AD431" t="s">
        <v>6476</v>
      </c>
      <c r="AE431" t="s">
        <v>6477</v>
      </c>
      <c r="AF431" t="s">
        <v>74</v>
      </c>
      <c r="AG431">
        <v>80</v>
      </c>
      <c r="AH431">
        <v>1</v>
      </c>
      <c r="AI431">
        <v>1</v>
      </c>
      <c r="AJ431">
        <v>2</v>
      </c>
      <c r="AK431">
        <v>15</v>
      </c>
      <c r="AL431" t="s">
        <v>1468</v>
      </c>
      <c r="AM431" t="s">
        <v>175</v>
      </c>
      <c r="AN431" t="s">
        <v>1469</v>
      </c>
      <c r="AO431" t="s">
        <v>6478</v>
      </c>
      <c r="AP431" t="s">
        <v>6479</v>
      </c>
      <c r="AQ431" t="s">
        <v>74</v>
      </c>
      <c r="AR431" t="s">
        <v>6480</v>
      </c>
      <c r="AS431" t="s">
        <v>6481</v>
      </c>
      <c r="AT431" t="s">
        <v>6482</v>
      </c>
      <c r="AU431">
        <v>2021</v>
      </c>
      <c r="AV431" t="s">
        <v>74</v>
      </c>
      <c r="AW431" t="s">
        <v>74</v>
      </c>
      <c r="AX431" t="s">
        <v>74</v>
      </c>
      <c r="AY431" t="s">
        <v>74</v>
      </c>
      <c r="AZ431" t="s">
        <v>74</v>
      </c>
      <c r="BA431" t="s">
        <v>74</v>
      </c>
      <c r="BB431" t="s">
        <v>74</v>
      </c>
      <c r="BC431" t="s">
        <v>74</v>
      </c>
      <c r="BD431">
        <v>972150920988652</v>
      </c>
      <c r="BE431" t="s">
        <v>6483</v>
      </c>
      <c r="BF431" t="str">
        <f>HYPERLINK("http://dx.doi.org/10.1177/0972150920988652","http://dx.doi.org/10.1177/0972150920988652")</f>
        <v>http://dx.doi.org/10.1177/0972150920988652</v>
      </c>
      <c r="BG431" t="s">
        <v>74</v>
      </c>
      <c r="BH431" t="s">
        <v>6460</v>
      </c>
      <c r="BI431">
        <v>19</v>
      </c>
      <c r="BJ431" t="s">
        <v>1023</v>
      </c>
      <c r="BK431" t="s">
        <v>183</v>
      </c>
      <c r="BL431" t="s">
        <v>265</v>
      </c>
      <c r="BM431" t="s">
        <v>6484</v>
      </c>
      <c r="BN431" t="s">
        <v>74</v>
      </c>
      <c r="BO431" t="s">
        <v>74</v>
      </c>
      <c r="BP431" t="s">
        <v>74</v>
      </c>
      <c r="BQ431" t="s">
        <v>74</v>
      </c>
      <c r="BR431" t="s">
        <v>106</v>
      </c>
      <c r="BS431" t="s">
        <v>6485</v>
      </c>
      <c r="BT431" t="str">
        <f>HYPERLINK("https%3A%2F%2Fwww.webofscience.com%2Fwos%2Fwoscc%2Ffull-record%2FWOS:000645176800001","View Full Record in Web of Science")</f>
        <v>View Full Record in Web of Science</v>
      </c>
    </row>
    <row r="432" spans="1:72" x14ac:dyDescent="0.25">
      <c r="A432" t="s">
        <v>72</v>
      </c>
      <c r="B432" t="s">
        <v>6982</v>
      </c>
      <c r="C432" t="s">
        <v>74</v>
      </c>
      <c r="D432" t="s">
        <v>74</v>
      </c>
      <c r="E432" t="s">
        <v>74</v>
      </c>
      <c r="F432" t="s">
        <v>6983</v>
      </c>
      <c r="G432" t="s">
        <v>74</v>
      </c>
      <c r="H432" t="s">
        <v>74</v>
      </c>
      <c r="I432" s="1" t="s">
        <v>6984</v>
      </c>
      <c r="J432" t="s">
        <v>1332</v>
      </c>
      <c r="K432" t="s">
        <v>74</v>
      </c>
      <c r="L432" t="s">
        <v>74</v>
      </c>
      <c r="M432" t="s">
        <v>78</v>
      </c>
      <c r="N432" t="s">
        <v>79</v>
      </c>
      <c r="O432" t="s">
        <v>74</v>
      </c>
      <c r="P432" t="s">
        <v>74</v>
      </c>
      <c r="Q432" t="s">
        <v>74</v>
      </c>
      <c r="R432" t="s">
        <v>74</v>
      </c>
      <c r="S432" t="s">
        <v>74</v>
      </c>
      <c r="T432" s="1" t="s">
        <v>6985</v>
      </c>
      <c r="U432" s="1" t="s">
        <v>74</v>
      </c>
      <c r="V432" s="1" t="s">
        <v>6986</v>
      </c>
      <c r="W432" t="s">
        <v>6987</v>
      </c>
      <c r="X432" t="s">
        <v>6070</v>
      </c>
      <c r="Y432" t="s">
        <v>6988</v>
      </c>
      <c r="Z432" t="s">
        <v>6989</v>
      </c>
      <c r="AA432" t="s">
        <v>74</v>
      </c>
      <c r="AB432" t="s">
        <v>74</v>
      </c>
      <c r="AC432" t="s">
        <v>74</v>
      </c>
      <c r="AD432" t="s">
        <v>74</v>
      </c>
      <c r="AE432" t="s">
        <v>74</v>
      </c>
      <c r="AF432" t="s">
        <v>74</v>
      </c>
      <c r="AG432">
        <v>31</v>
      </c>
      <c r="AH432">
        <v>1</v>
      </c>
      <c r="AI432">
        <v>1</v>
      </c>
      <c r="AJ432">
        <v>1</v>
      </c>
      <c r="AK432">
        <v>10</v>
      </c>
      <c r="AL432" t="s">
        <v>1341</v>
      </c>
      <c r="AM432" t="s">
        <v>1342</v>
      </c>
      <c r="AN432" t="s">
        <v>1343</v>
      </c>
      <c r="AO432" t="s">
        <v>1344</v>
      </c>
      <c r="AP432" t="s">
        <v>74</v>
      </c>
      <c r="AQ432" t="s">
        <v>74</v>
      </c>
      <c r="AR432" t="s">
        <v>1346</v>
      </c>
      <c r="AS432" t="s">
        <v>1347</v>
      </c>
      <c r="AT432" t="s">
        <v>6990</v>
      </c>
      <c r="AU432">
        <v>2021</v>
      </c>
      <c r="AV432">
        <v>12</v>
      </c>
      <c r="AW432">
        <v>32</v>
      </c>
      <c r="AX432" t="s">
        <v>74</v>
      </c>
      <c r="AY432" t="s">
        <v>74</v>
      </c>
      <c r="AZ432" t="s">
        <v>74</v>
      </c>
      <c r="BA432" t="s">
        <v>74</v>
      </c>
      <c r="BB432">
        <v>414</v>
      </c>
      <c r="BC432">
        <v>443</v>
      </c>
      <c r="BD432" t="s">
        <v>74</v>
      </c>
      <c r="BE432" t="s">
        <v>6991</v>
      </c>
      <c r="BF432" t="str">
        <f>HYPERLINK("http://dx.doi.org/10.46925//rdluz.32.25","http://dx.doi.org/10.46925//rdluz.32.25")</f>
        <v>http://dx.doi.org/10.46925//rdluz.32.25</v>
      </c>
      <c r="BG432" t="s">
        <v>74</v>
      </c>
      <c r="BH432" t="s">
        <v>74</v>
      </c>
      <c r="BI432">
        <v>30</v>
      </c>
      <c r="BJ432" t="s">
        <v>942</v>
      </c>
      <c r="BK432" t="s">
        <v>183</v>
      </c>
      <c r="BL432" t="s">
        <v>943</v>
      </c>
      <c r="BM432" t="s">
        <v>6992</v>
      </c>
      <c r="BN432" t="s">
        <v>74</v>
      </c>
      <c r="BO432" t="s">
        <v>105</v>
      </c>
      <c r="BP432" t="s">
        <v>74</v>
      </c>
      <c r="BQ432" t="s">
        <v>74</v>
      </c>
      <c r="BR432" t="s">
        <v>106</v>
      </c>
      <c r="BS432" t="s">
        <v>6993</v>
      </c>
      <c r="BT432" t="str">
        <f>HYPERLINK("https%3A%2F%2Fwww.webofscience.com%2Fwos%2Fwoscc%2Ffull-record%2FWOS:000625361900025","View Full Record in Web of Science")</f>
        <v>View Full Record in Web of Science</v>
      </c>
    </row>
    <row r="433" spans="1:72" x14ac:dyDescent="0.25">
      <c r="A433" t="s">
        <v>72</v>
      </c>
      <c r="B433" t="s">
        <v>6994</v>
      </c>
      <c r="C433" t="s">
        <v>74</v>
      </c>
      <c r="D433" t="s">
        <v>74</v>
      </c>
      <c r="E433" t="s">
        <v>74</v>
      </c>
      <c r="F433" t="s">
        <v>6995</v>
      </c>
      <c r="G433" t="s">
        <v>74</v>
      </c>
      <c r="H433" t="s">
        <v>74</v>
      </c>
      <c r="I433" s="1" t="s">
        <v>6996</v>
      </c>
      <c r="J433" t="s">
        <v>6997</v>
      </c>
      <c r="K433" t="s">
        <v>74</v>
      </c>
      <c r="L433" t="s">
        <v>74</v>
      </c>
      <c r="M433" t="s">
        <v>929</v>
      </c>
      <c r="N433" t="s">
        <v>79</v>
      </c>
      <c r="O433" t="s">
        <v>74</v>
      </c>
      <c r="P433" t="s">
        <v>74</v>
      </c>
      <c r="Q433" t="s">
        <v>74</v>
      </c>
      <c r="R433" t="s">
        <v>74</v>
      </c>
      <c r="S433" t="s">
        <v>74</v>
      </c>
      <c r="T433" s="1" t="s">
        <v>6998</v>
      </c>
      <c r="U433" s="1" t="s">
        <v>6999</v>
      </c>
      <c r="V433" s="1" t="s">
        <v>7000</v>
      </c>
      <c r="W433" t="s">
        <v>7001</v>
      </c>
      <c r="X433" t="s">
        <v>7002</v>
      </c>
      <c r="Y433" t="s">
        <v>7003</v>
      </c>
      <c r="Z433" t="s">
        <v>7004</v>
      </c>
      <c r="AA433" t="s">
        <v>74</v>
      </c>
      <c r="AB433" t="s">
        <v>74</v>
      </c>
      <c r="AC433" t="s">
        <v>74</v>
      </c>
      <c r="AD433" t="s">
        <v>74</v>
      </c>
      <c r="AE433" t="s">
        <v>74</v>
      </c>
      <c r="AF433" t="s">
        <v>74</v>
      </c>
      <c r="AG433">
        <v>51</v>
      </c>
      <c r="AH433">
        <v>1</v>
      </c>
      <c r="AI433">
        <v>2</v>
      </c>
      <c r="AJ433">
        <v>1</v>
      </c>
      <c r="AK433">
        <v>6</v>
      </c>
      <c r="AL433" t="s">
        <v>7005</v>
      </c>
      <c r="AM433" t="s">
        <v>7006</v>
      </c>
      <c r="AN433" t="s">
        <v>7007</v>
      </c>
      <c r="AO433" t="s">
        <v>7008</v>
      </c>
      <c r="AP433" t="s">
        <v>74</v>
      </c>
      <c r="AQ433" t="s">
        <v>74</v>
      </c>
      <c r="AR433" t="s">
        <v>6997</v>
      </c>
      <c r="AS433" t="s">
        <v>7009</v>
      </c>
      <c r="AT433" t="s">
        <v>2068</v>
      </c>
      <c r="AU433">
        <v>2021</v>
      </c>
      <c r="AV433">
        <v>10</v>
      </c>
      <c r="AW433">
        <v>1</v>
      </c>
      <c r="AX433" t="s">
        <v>74</v>
      </c>
      <c r="AY433" t="s">
        <v>74</v>
      </c>
      <c r="AZ433" t="s">
        <v>74</v>
      </c>
      <c r="BA433" t="s">
        <v>74</v>
      </c>
      <c r="BB433">
        <v>21</v>
      </c>
      <c r="BC433">
        <v>34</v>
      </c>
      <c r="BD433" t="s">
        <v>74</v>
      </c>
      <c r="BE433" t="s">
        <v>74</v>
      </c>
      <c r="BF433" t="s">
        <v>74</v>
      </c>
      <c r="BG433" t="s">
        <v>74</v>
      </c>
      <c r="BH433" t="s">
        <v>74</v>
      </c>
      <c r="BI433">
        <v>14</v>
      </c>
      <c r="BJ433" t="s">
        <v>1326</v>
      </c>
      <c r="BK433" t="s">
        <v>183</v>
      </c>
      <c r="BL433" t="s">
        <v>1326</v>
      </c>
      <c r="BM433" t="s">
        <v>7010</v>
      </c>
      <c r="BN433" t="s">
        <v>74</v>
      </c>
      <c r="BO433" t="s">
        <v>74</v>
      </c>
      <c r="BP433" t="s">
        <v>74</v>
      </c>
      <c r="BQ433" t="s">
        <v>74</v>
      </c>
      <c r="BR433" t="s">
        <v>106</v>
      </c>
      <c r="BS433" t="s">
        <v>7011</v>
      </c>
      <c r="BT433" t="str">
        <f>HYPERLINK("https%3A%2F%2Fwww.webofscience.com%2Fwos%2Fwoscc%2Ffull-record%2FWOS:000614413700002","View Full Record in Web of Science")</f>
        <v>View Full Record in Web of Science</v>
      </c>
    </row>
    <row r="434" spans="1:72" x14ac:dyDescent="0.25">
      <c r="A434" t="s">
        <v>72</v>
      </c>
      <c r="B434" t="s">
        <v>7012</v>
      </c>
      <c r="C434" t="s">
        <v>74</v>
      </c>
      <c r="D434" t="s">
        <v>74</v>
      </c>
      <c r="E434" t="s">
        <v>74</v>
      </c>
      <c r="F434" t="s">
        <v>7013</v>
      </c>
      <c r="G434" t="s">
        <v>74</v>
      </c>
      <c r="H434" t="s">
        <v>74</v>
      </c>
      <c r="I434" s="1" t="s">
        <v>7014</v>
      </c>
      <c r="J434" t="s">
        <v>7015</v>
      </c>
      <c r="K434" t="s">
        <v>74</v>
      </c>
      <c r="L434" t="s">
        <v>74</v>
      </c>
      <c r="M434" t="s">
        <v>929</v>
      </c>
      <c r="N434" t="s">
        <v>79</v>
      </c>
      <c r="O434" t="s">
        <v>74</v>
      </c>
      <c r="P434" t="s">
        <v>74</v>
      </c>
      <c r="Q434" t="s">
        <v>74</v>
      </c>
      <c r="R434" t="s">
        <v>74</v>
      </c>
      <c r="S434" t="s">
        <v>74</v>
      </c>
      <c r="T434" s="1" t="s">
        <v>7016</v>
      </c>
      <c r="U434" s="1" t="s">
        <v>7017</v>
      </c>
      <c r="V434" s="1" t="s">
        <v>7018</v>
      </c>
      <c r="W434" t="s">
        <v>7019</v>
      </c>
      <c r="X434" t="s">
        <v>74</v>
      </c>
      <c r="Y434" t="s">
        <v>7020</v>
      </c>
      <c r="Z434" t="s">
        <v>74</v>
      </c>
      <c r="AA434" t="s">
        <v>74</v>
      </c>
      <c r="AB434" t="s">
        <v>74</v>
      </c>
      <c r="AC434" t="s">
        <v>74</v>
      </c>
      <c r="AD434" t="s">
        <v>74</v>
      </c>
      <c r="AE434" t="s">
        <v>74</v>
      </c>
      <c r="AF434" t="s">
        <v>74</v>
      </c>
      <c r="AG434">
        <v>64</v>
      </c>
      <c r="AH434">
        <v>1</v>
      </c>
      <c r="AI434">
        <v>1</v>
      </c>
      <c r="AJ434">
        <v>0</v>
      </c>
      <c r="AK434">
        <v>6</v>
      </c>
      <c r="AL434" t="s">
        <v>7021</v>
      </c>
      <c r="AM434" t="s">
        <v>4514</v>
      </c>
      <c r="AN434" t="s">
        <v>7022</v>
      </c>
      <c r="AO434" t="s">
        <v>7023</v>
      </c>
      <c r="AP434" t="s">
        <v>7024</v>
      </c>
      <c r="AQ434" t="s">
        <v>74</v>
      </c>
      <c r="AR434" t="s">
        <v>7025</v>
      </c>
      <c r="AS434" t="s">
        <v>7026</v>
      </c>
      <c r="AT434" t="s">
        <v>6990</v>
      </c>
      <c r="AU434">
        <v>2021</v>
      </c>
      <c r="AV434">
        <v>85</v>
      </c>
      <c r="AW434">
        <v>1</v>
      </c>
      <c r="AX434" t="s">
        <v>74</v>
      </c>
      <c r="AY434" t="s">
        <v>74</v>
      </c>
      <c r="AZ434" t="s">
        <v>74</v>
      </c>
      <c r="BA434" t="s">
        <v>74</v>
      </c>
      <c r="BB434">
        <v>159</v>
      </c>
      <c r="BC434">
        <v>183</v>
      </c>
      <c r="BD434" t="s">
        <v>74</v>
      </c>
      <c r="BE434" t="s">
        <v>7027</v>
      </c>
      <c r="BF434" t="str">
        <f>HYPERLINK("http://dx.doi.org/10.35362/rie8514100","http://dx.doi.org/10.35362/rie8514100")</f>
        <v>http://dx.doi.org/10.35362/rie8514100</v>
      </c>
      <c r="BG434" t="s">
        <v>74</v>
      </c>
      <c r="BH434" t="s">
        <v>74</v>
      </c>
      <c r="BI434">
        <v>25</v>
      </c>
      <c r="BJ434" t="s">
        <v>1326</v>
      </c>
      <c r="BK434" t="s">
        <v>183</v>
      </c>
      <c r="BL434" t="s">
        <v>1326</v>
      </c>
      <c r="BM434" t="s">
        <v>7028</v>
      </c>
      <c r="BN434" t="s">
        <v>74</v>
      </c>
      <c r="BO434" t="s">
        <v>186</v>
      </c>
      <c r="BP434" t="s">
        <v>74</v>
      </c>
      <c r="BQ434" t="s">
        <v>74</v>
      </c>
      <c r="BR434" t="s">
        <v>106</v>
      </c>
      <c r="BS434" t="s">
        <v>7029</v>
      </c>
      <c r="BT434" t="str">
        <f>HYPERLINK("https%3A%2F%2Fwww.webofscience.com%2Fwos%2Fwoscc%2Ffull-record%2FWOS:000609636000009","View Full Record in Web of Science")</f>
        <v>View Full Record in Web of Science</v>
      </c>
    </row>
    <row r="435" spans="1:72" x14ac:dyDescent="0.25">
      <c r="A435" t="s">
        <v>72</v>
      </c>
      <c r="B435" t="s">
        <v>7178</v>
      </c>
      <c r="C435" t="s">
        <v>74</v>
      </c>
      <c r="D435" t="s">
        <v>74</v>
      </c>
      <c r="E435" t="s">
        <v>74</v>
      </c>
      <c r="F435" t="s">
        <v>7179</v>
      </c>
      <c r="G435" t="s">
        <v>74</v>
      </c>
      <c r="H435" t="s">
        <v>74</v>
      </c>
      <c r="I435" s="1" t="s">
        <v>7180</v>
      </c>
      <c r="J435" t="s">
        <v>7181</v>
      </c>
      <c r="K435" t="s">
        <v>74</v>
      </c>
      <c r="L435" t="s">
        <v>74</v>
      </c>
      <c r="M435" t="s">
        <v>78</v>
      </c>
      <c r="N435" t="s">
        <v>79</v>
      </c>
      <c r="O435" t="s">
        <v>74</v>
      </c>
      <c r="P435" t="s">
        <v>74</v>
      </c>
      <c r="Q435" t="s">
        <v>74</v>
      </c>
      <c r="R435" t="s">
        <v>74</v>
      </c>
      <c r="S435" t="s">
        <v>74</v>
      </c>
      <c r="T435" s="1" t="s">
        <v>7182</v>
      </c>
      <c r="U435" s="1" t="s">
        <v>7183</v>
      </c>
      <c r="V435" s="1" t="s">
        <v>7184</v>
      </c>
      <c r="W435" t="s">
        <v>7185</v>
      </c>
      <c r="X435" t="s">
        <v>7186</v>
      </c>
      <c r="Y435" t="s">
        <v>7187</v>
      </c>
      <c r="Z435" t="s">
        <v>7188</v>
      </c>
      <c r="AA435" t="s">
        <v>74</v>
      </c>
      <c r="AB435" t="s">
        <v>7189</v>
      </c>
      <c r="AC435" t="s">
        <v>74</v>
      </c>
      <c r="AD435" t="s">
        <v>74</v>
      </c>
      <c r="AE435" t="s">
        <v>74</v>
      </c>
      <c r="AF435" t="s">
        <v>74</v>
      </c>
      <c r="AG435">
        <v>65</v>
      </c>
      <c r="AH435">
        <v>1</v>
      </c>
      <c r="AI435">
        <v>1</v>
      </c>
      <c r="AJ435">
        <v>8</v>
      </c>
      <c r="AK435">
        <v>67</v>
      </c>
      <c r="AL435" t="s">
        <v>7190</v>
      </c>
      <c r="AM435" t="s">
        <v>5282</v>
      </c>
      <c r="AN435" t="s">
        <v>7191</v>
      </c>
      <c r="AO435" t="s">
        <v>7192</v>
      </c>
      <c r="AP435" t="s">
        <v>7193</v>
      </c>
      <c r="AQ435" t="s">
        <v>74</v>
      </c>
      <c r="AR435" t="s">
        <v>7194</v>
      </c>
      <c r="AS435" t="s">
        <v>7195</v>
      </c>
      <c r="AT435" t="s">
        <v>74</v>
      </c>
      <c r="AU435">
        <v>2021</v>
      </c>
      <c r="AV435">
        <v>22</v>
      </c>
      <c r="AW435">
        <v>5</v>
      </c>
      <c r="AX435" t="s">
        <v>74</v>
      </c>
      <c r="AY435" t="s">
        <v>74</v>
      </c>
      <c r="AZ435" t="s">
        <v>74</v>
      </c>
      <c r="BA435" t="s">
        <v>74</v>
      </c>
      <c r="BB435">
        <v>1323</v>
      </c>
      <c r="BC435">
        <v>1341</v>
      </c>
      <c r="BD435" t="s">
        <v>74</v>
      </c>
      <c r="BE435" t="s">
        <v>7196</v>
      </c>
      <c r="BF435" t="str">
        <f>HYPERLINK("http://dx.doi.org/10.3846/jbem.2021.15527","http://dx.doi.org/10.3846/jbem.2021.15527")</f>
        <v>http://dx.doi.org/10.3846/jbem.2021.15527</v>
      </c>
      <c r="BG435" t="s">
        <v>74</v>
      </c>
      <c r="BH435" t="s">
        <v>74</v>
      </c>
      <c r="BI435">
        <v>19</v>
      </c>
      <c r="BJ435" t="s">
        <v>5288</v>
      </c>
      <c r="BK435" t="s">
        <v>156</v>
      </c>
      <c r="BL435" t="s">
        <v>265</v>
      </c>
      <c r="BM435" t="s">
        <v>7197</v>
      </c>
      <c r="BN435" t="s">
        <v>74</v>
      </c>
      <c r="BO435" t="s">
        <v>186</v>
      </c>
      <c r="BP435" t="s">
        <v>74</v>
      </c>
      <c r="BQ435" t="s">
        <v>74</v>
      </c>
      <c r="BR435" t="s">
        <v>106</v>
      </c>
      <c r="BS435" t="s">
        <v>7198</v>
      </c>
      <c r="BT435" t="str">
        <f>HYPERLINK("https%3A%2F%2Fwww.webofscience.com%2Fwos%2Fwoscc%2Ffull-record%2FWOS:000707502900005","View Full Record in Web of Science")</f>
        <v>View Full Record in Web of Science</v>
      </c>
    </row>
    <row r="436" spans="1:72" x14ac:dyDescent="0.25">
      <c r="A436" t="s">
        <v>72</v>
      </c>
      <c r="B436" t="s">
        <v>7220</v>
      </c>
      <c r="C436" t="s">
        <v>74</v>
      </c>
      <c r="D436" t="s">
        <v>74</v>
      </c>
      <c r="E436" t="s">
        <v>74</v>
      </c>
      <c r="F436" t="s">
        <v>7221</v>
      </c>
      <c r="G436" t="s">
        <v>74</v>
      </c>
      <c r="H436" t="s">
        <v>74</v>
      </c>
      <c r="I436" s="1" t="s">
        <v>7222</v>
      </c>
      <c r="J436" t="s">
        <v>7223</v>
      </c>
      <c r="K436" t="s">
        <v>74</v>
      </c>
      <c r="L436" t="s">
        <v>74</v>
      </c>
      <c r="M436" t="s">
        <v>78</v>
      </c>
      <c r="N436" t="s">
        <v>79</v>
      </c>
      <c r="O436" t="s">
        <v>74</v>
      </c>
      <c r="P436" t="s">
        <v>74</v>
      </c>
      <c r="Q436" t="s">
        <v>74</v>
      </c>
      <c r="R436" t="s">
        <v>74</v>
      </c>
      <c r="S436" t="s">
        <v>74</v>
      </c>
      <c r="T436" s="1" t="s">
        <v>7224</v>
      </c>
      <c r="U436" s="1" t="s">
        <v>7225</v>
      </c>
      <c r="V436" s="1" t="s">
        <v>7226</v>
      </c>
      <c r="W436" t="s">
        <v>7227</v>
      </c>
      <c r="X436" t="s">
        <v>7228</v>
      </c>
      <c r="Y436" t="s">
        <v>7229</v>
      </c>
      <c r="Z436" t="s">
        <v>7230</v>
      </c>
      <c r="AA436" t="s">
        <v>7231</v>
      </c>
      <c r="AB436" t="s">
        <v>7232</v>
      </c>
      <c r="AC436" t="s">
        <v>74</v>
      </c>
      <c r="AD436" t="s">
        <v>74</v>
      </c>
      <c r="AE436" t="s">
        <v>74</v>
      </c>
      <c r="AF436" t="s">
        <v>74</v>
      </c>
      <c r="AG436">
        <v>21</v>
      </c>
      <c r="AH436">
        <v>1</v>
      </c>
      <c r="AI436">
        <v>1</v>
      </c>
      <c r="AJ436">
        <v>5</v>
      </c>
      <c r="AK436">
        <v>42</v>
      </c>
      <c r="AL436" t="s">
        <v>7233</v>
      </c>
      <c r="AM436" t="s">
        <v>7234</v>
      </c>
      <c r="AN436" t="s">
        <v>7235</v>
      </c>
      <c r="AO436" t="s">
        <v>7236</v>
      </c>
      <c r="AP436" t="s">
        <v>7237</v>
      </c>
      <c r="AQ436" t="s">
        <v>74</v>
      </c>
      <c r="AR436" t="s">
        <v>7238</v>
      </c>
      <c r="AS436" t="s">
        <v>7239</v>
      </c>
      <c r="AT436" t="s">
        <v>6990</v>
      </c>
      <c r="AU436">
        <v>2021</v>
      </c>
      <c r="AV436">
        <v>22</v>
      </c>
      <c r="AW436">
        <v>1</v>
      </c>
      <c r="AX436" t="s">
        <v>74</v>
      </c>
      <c r="AY436" t="s">
        <v>74</v>
      </c>
      <c r="AZ436" t="s">
        <v>74</v>
      </c>
      <c r="BA436" t="s">
        <v>74</v>
      </c>
      <c r="BB436">
        <v>125</v>
      </c>
      <c r="BC436">
        <v>150</v>
      </c>
      <c r="BD436" t="s">
        <v>74</v>
      </c>
      <c r="BE436" t="s">
        <v>7240</v>
      </c>
      <c r="BF436" t="str">
        <f>HYPERLINK("http://dx.doi.org/10.13058/raep.2021.v22n1.1888","http://dx.doi.org/10.13058/raep.2021.v22n1.1888")</f>
        <v>http://dx.doi.org/10.13058/raep.2021.v22n1.1888</v>
      </c>
      <c r="BG436" t="s">
        <v>74</v>
      </c>
      <c r="BH436" t="s">
        <v>74</v>
      </c>
      <c r="BI436">
        <v>26</v>
      </c>
      <c r="BJ436" t="s">
        <v>315</v>
      </c>
      <c r="BK436" t="s">
        <v>183</v>
      </c>
      <c r="BL436" t="s">
        <v>265</v>
      </c>
      <c r="BM436" t="s">
        <v>7241</v>
      </c>
      <c r="BN436" t="s">
        <v>74</v>
      </c>
      <c r="BO436" t="s">
        <v>186</v>
      </c>
      <c r="BP436" t="s">
        <v>74</v>
      </c>
      <c r="BQ436" t="s">
        <v>74</v>
      </c>
      <c r="BR436" t="s">
        <v>106</v>
      </c>
      <c r="BS436" t="s">
        <v>7242</v>
      </c>
      <c r="BT436" t="str">
        <f>HYPERLINK("https%3A%2F%2Fwww.webofscience.com%2Fwos%2Fwoscc%2Ffull-record%2FWOS:000652354900005","View Full Record in Web of Science")</f>
        <v>View Full Record in Web of Science</v>
      </c>
    </row>
    <row r="437" spans="1:72" x14ac:dyDescent="0.25">
      <c r="A437" t="s">
        <v>72</v>
      </c>
      <c r="B437" t="s">
        <v>7290</v>
      </c>
      <c r="C437" t="s">
        <v>74</v>
      </c>
      <c r="D437" t="s">
        <v>74</v>
      </c>
      <c r="E437" t="s">
        <v>74</v>
      </c>
      <c r="F437" t="s">
        <v>7290</v>
      </c>
      <c r="G437" t="s">
        <v>74</v>
      </c>
      <c r="H437" t="s">
        <v>74</v>
      </c>
      <c r="I437" s="1" t="s">
        <v>7291</v>
      </c>
      <c r="J437" t="s">
        <v>7292</v>
      </c>
      <c r="K437" t="s">
        <v>74</v>
      </c>
      <c r="L437" t="s">
        <v>74</v>
      </c>
      <c r="M437" t="s">
        <v>78</v>
      </c>
      <c r="N437" t="s">
        <v>79</v>
      </c>
      <c r="O437" t="s">
        <v>74</v>
      </c>
      <c r="P437" t="s">
        <v>74</v>
      </c>
      <c r="Q437" t="s">
        <v>74</v>
      </c>
      <c r="R437" t="s">
        <v>74</v>
      </c>
      <c r="S437" t="s">
        <v>74</v>
      </c>
      <c r="T437" s="1" t="s">
        <v>7293</v>
      </c>
      <c r="U437" s="1" t="s">
        <v>74</v>
      </c>
      <c r="V437" s="1" t="s">
        <v>7294</v>
      </c>
      <c r="W437" t="s">
        <v>7295</v>
      </c>
      <c r="X437" t="s">
        <v>7296</v>
      </c>
      <c r="Y437" t="s">
        <v>7297</v>
      </c>
      <c r="Z437" t="s">
        <v>7298</v>
      </c>
      <c r="AA437" t="s">
        <v>7299</v>
      </c>
      <c r="AB437" t="s">
        <v>7300</v>
      </c>
      <c r="AC437" t="s">
        <v>74</v>
      </c>
      <c r="AD437" t="s">
        <v>74</v>
      </c>
      <c r="AE437" t="s">
        <v>74</v>
      </c>
      <c r="AF437" t="s">
        <v>74</v>
      </c>
      <c r="AG437">
        <v>25</v>
      </c>
      <c r="AH437">
        <v>1</v>
      </c>
      <c r="AI437">
        <v>1</v>
      </c>
      <c r="AJ437">
        <v>1</v>
      </c>
      <c r="AK437">
        <v>4</v>
      </c>
      <c r="AL437" t="s">
        <v>7301</v>
      </c>
      <c r="AM437" t="s">
        <v>2764</v>
      </c>
      <c r="AN437" t="s">
        <v>7302</v>
      </c>
      <c r="AO437" t="s">
        <v>7303</v>
      </c>
      <c r="AP437" t="s">
        <v>74</v>
      </c>
      <c r="AQ437" t="s">
        <v>74</v>
      </c>
      <c r="AR437" t="s">
        <v>7304</v>
      </c>
      <c r="AS437" t="s">
        <v>7305</v>
      </c>
      <c r="AT437" t="s">
        <v>74</v>
      </c>
      <c r="AU437">
        <v>2021</v>
      </c>
      <c r="AV437">
        <v>16</v>
      </c>
      <c r="AW437">
        <v>1</v>
      </c>
      <c r="AX437" t="s">
        <v>74</v>
      </c>
      <c r="AY437" t="s">
        <v>74</v>
      </c>
      <c r="AZ437" t="s">
        <v>74</v>
      </c>
      <c r="BA437" t="s">
        <v>74</v>
      </c>
      <c r="BB437">
        <v>96</v>
      </c>
      <c r="BC437">
        <v>109</v>
      </c>
      <c r="BD437" t="s">
        <v>74</v>
      </c>
      <c r="BE437" t="s">
        <v>7306</v>
      </c>
      <c r="BF437" t="str">
        <f>HYPERLINK("http://dx.doi.org/10.17323/1996-7845-2021-01-06","http://dx.doi.org/10.17323/1996-7845-2021-01-06")</f>
        <v>http://dx.doi.org/10.17323/1996-7845-2021-01-06</v>
      </c>
      <c r="BG437" t="s">
        <v>74</v>
      </c>
      <c r="BH437" t="s">
        <v>74</v>
      </c>
      <c r="BI437">
        <v>14</v>
      </c>
      <c r="BJ437" t="s">
        <v>977</v>
      </c>
      <c r="BK437" t="s">
        <v>183</v>
      </c>
      <c r="BL437" t="s">
        <v>977</v>
      </c>
      <c r="BM437" t="s">
        <v>7307</v>
      </c>
      <c r="BN437" t="s">
        <v>74</v>
      </c>
      <c r="BO437" t="s">
        <v>791</v>
      </c>
      <c r="BP437" t="s">
        <v>74</v>
      </c>
      <c r="BQ437" t="s">
        <v>74</v>
      </c>
      <c r="BR437" t="s">
        <v>106</v>
      </c>
      <c r="BS437" t="s">
        <v>7308</v>
      </c>
      <c r="BT437" t="str">
        <f>HYPERLINK("https%3A%2F%2Fwww.webofscience.com%2Fwos%2Fwoscc%2Ffull-record%2FWOS:000670430900006","View Full Record in Web of Science")</f>
        <v>View Full Record in Web of Science</v>
      </c>
    </row>
    <row r="438" spans="1:72" x14ac:dyDescent="0.25">
      <c r="A438" t="s">
        <v>72</v>
      </c>
      <c r="B438" t="s">
        <v>8087</v>
      </c>
      <c r="C438" t="s">
        <v>74</v>
      </c>
      <c r="D438" t="s">
        <v>74</v>
      </c>
      <c r="E438" t="s">
        <v>74</v>
      </c>
      <c r="F438" t="s">
        <v>8088</v>
      </c>
      <c r="G438" t="s">
        <v>74</v>
      </c>
      <c r="H438" t="s">
        <v>74</v>
      </c>
      <c r="I438" s="1" t="s">
        <v>8089</v>
      </c>
      <c r="J438" t="s">
        <v>8090</v>
      </c>
      <c r="K438" t="s">
        <v>74</v>
      </c>
      <c r="L438" t="s">
        <v>74</v>
      </c>
      <c r="M438" t="s">
        <v>2896</v>
      </c>
      <c r="N438" t="s">
        <v>79</v>
      </c>
      <c r="O438" t="s">
        <v>74</v>
      </c>
      <c r="P438" t="s">
        <v>74</v>
      </c>
      <c r="Q438" t="s">
        <v>74</v>
      </c>
      <c r="R438" t="s">
        <v>74</v>
      </c>
      <c r="S438" t="s">
        <v>74</v>
      </c>
      <c r="T438" s="1" t="s">
        <v>8091</v>
      </c>
      <c r="U438" s="1" t="s">
        <v>74</v>
      </c>
      <c r="V438" s="1" t="s">
        <v>8092</v>
      </c>
      <c r="W438" t="s">
        <v>8093</v>
      </c>
      <c r="X438" t="s">
        <v>8094</v>
      </c>
      <c r="Y438" t="s">
        <v>8095</v>
      </c>
      <c r="Z438" t="s">
        <v>8096</v>
      </c>
      <c r="AA438" t="s">
        <v>8097</v>
      </c>
      <c r="AB438" t="s">
        <v>8098</v>
      </c>
      <c r="AC438" t="s">
        <v>74</v>
      </c>
      <c r="AD438" t="s">
        <v>74</v>
      </c>
      <c r="AE438" t="s">
        <v>74</v>
      </c>
      <c r="AF438" t="s">
        <v>74</v>
      </c>
      <c r="AG438">
        <v>27</v>
      </c>
      <c r="AH438">
        <v>1</v>
      </c>
      <c r="AI438">
        <v>1</v>
      </c>
      <c r="AJ438">
        <v>1</v>
      </c>
      <c r="AK438">
        <v>11</v>
      </c>
      <c r="AL438" t="s">
        <v>8099</v>
      </c>
      <c r="AM438" t="s">
        <v>8100</v>
      </c>
      <c r="AN438" t="s">
        <v>8101</v>
      </c>
      <c r="AO438" t="s">
        <v>8102</v>
      </c>
      <c r="AP438" t="s">
        <v>8103</v>
      </c>
      <c r="AQ438" t="s">
        <v>74</v>
      </c>
      <c r="AR438" t="s">
        <v>8104</v>
      </c>
      <c r="AS438" t="s">
        <v>8105</v>
      </c>
      <c r="AT438" t="s">
        <v>4456</v>
      </c>
      <c r="AU438">
        <v>2020</v>
      </c>
      <c r="AV438">
        <v>30</v>
      </c>
      <c r="AW438">
        <v>2</v>
      </c>
      <c r="AX438" t="s">
        <v>74</v>
      </c>
      <c r="AY438" t="s">
        <v>74</v>
      </c>
      <c r="AZ438" t="s">
        <v>74</v>
      </c>
      <c r="BA438" t="s">
        <v>74</v>
      </c>
      <c r="BB438" t="s">
        <v>74</v>
      </c>
      <c r="BC438" t="s">
        <v>74</v>
      </c>
      <c r="BD438" t="s">
        <v>74</v>
      </c>
      <c r="BE438" t="s">
        <v>74</v>
      </c>
      <c r="BF438" t="s">
        <v>74</v>
      </c>
      <c r="BG438" t="s">
        <v>74</v>
      </c>
      <c r="BH438" t="s">
        <v>74</v>
      </c>
      <c r="BI438">
        <v>16</v>
      </c>
      <c r="BJ438" t="s">
        <v>3050</v>
      </c>
      <c r="BK438" t="s">
        <v>156</v>
      </c>
      <c r="BL438" t="s">
        <v>3050</v>
      </c>
      <c r="BM438" t="s">
        <v>8106</v>
      </c>
      <c r="BN438" t="s">
        <v>74</v>
      </c>
      <c r="BO438" t="s">
        <v>74</v>
      </c>
      <c r="BP438" t="s">
        <v>74</v>
      </c>
      <c r="BQ438" t="s">
        <v>74</v>
      </c>
      <c r="BR438" t="s">
        <v>106</v>
      </c>
      <c r="BS438" t="s">
        <v>8107</v>
      </c>
      <c r="BT438" t="str">
        <f>HYPERLINK("https%3A%2F%2Fwww.webofscience.com%2Fwos%2Fwoscc%2Ffull-record%2FWOS:000544324900015","View Full Record in Web of Science")</f>
        <v>View Full Record in Web of Science</v>
      </c>
    </row>
    <row r="439" spans="1:72" x14ac:dyDescent="0.25">
      <c r="A439" t="s">
        <v>72</v>
      </c>
      <c r="B439" t="s">
        <v>8404</v>
      </c>
      <c r="C439" t="s">
        <v>74</v>
      </c>
      <c r="D439" t="s">
        <v>74</v>
      </c>
      <c r="E439" t="s">
        <v>74</v>
      </c>
      <c r="F439" t="s">
        <v>8405</v>
      </c>
      <c r="G439" t="s">
        <v>74</v>
      </c>
      <c r="H439" t="s">
        <v>74</v>
      </c>
      <c r="I439" s="1" t="s">
        <v>8406</v>
      </c>
      <c r="J439" t="s">
        <v>8407</v>
      </c>
      <c r="K439" t="s">
        <v>74</v>
      </c>
      <c r="L439" t="s">
        <v>74</v>
      </c>
      <c r="M439" t="s">
        <v>78</v>
      </c>
      <c r="N439" t="s">
        <v>79</v>
      </c>
      <c r="O439" t="s">
        <v>74</v>
      </c>
      <c r="P439" t="s">
        <v>74</v>
      </c>
      <c r="Q439" t="s">
        <v>74</v>
      </c>
      <c r="R439" t="s">
        <v>74</v>
      </c>
      <c r="S439" t="s">
        <v>74</v>
      </c>
      <c r="T439" s="1" t="s">
        <v>8408</v>
      </c>
      <c r="U439" s="1" t="s">
        <v>8409</v>
      </c>
      <c r="V439" s="1" t="s">
        <v>8410</v>
      </c>
      <c r="W439" t="s">
        <v>8411</v>
      </c>
      <c r="X439" t="s">
        <v>8412</v>
      </c>
      <c r="Y439" t="s">
        <v>8413</v>
      </c>
      <c r="Z439" t="s">
        <v>8414</v>
      </c>
      <c r="AA439" t="s">
        <v>8415</v>
      </c>
      <c r="AB439" t="s">
        <v>8416</v>
      </c>
      <c r="AC439" t="s">
        <v>74</v>
      </c>
      <c r="AD439" t="s">
        <v>74</v>
      </c>
      <c r="AE439" t="s">
        <v>74</v>
      </c>
      <c r="AF439" t="s">
        <v>74</v>
      </c>
      <c r="AG439">
        <v>51</v>
      </c>
      <c r="AH439">
        <v>1</v>
      </c>
      <c r="AI439">
        <v>1</v>
      </c>
      <c r="AJ439">
        <v>1</v>
      </c>
      <c r="AK439">
        <v>17</v>
      </c>
      <c r="AL439" t="s">
        <v>8417</v>
      </c>
      <c r="AM439" t="s">
        <v>8418</v>
      </c>
      <c r="AN439" t="s">
        <v>8419</v>
      </c>
      <c r="AO439" t="s">
        <v>8420</v>
      </c>
      <c r="AP439" t="s">
        <v>8421</v>
      </c>
      <c r="AQ439" t="s">
        <v>74</v>
      </c>
      <c r="AR439" t="s">
        <v>8422</v>
      </c>
      <c r="AS439" t="s">
        <v>8423</v>
      </c>
      <c r="AT439" t="s">
        <v>74</v>
      </c>
      <c r="AU439">
        <v>2020</v>
      </c>
      <c r="AV439">
        <v>45</v>
      </c>
      <c r="AW439">
        <v>1</v>
      </c>
      <c r="AX439" t="s">
        <v>74</v>
      </c>
      <c r="AY439" t="s">
        <v>74</v>
      </c>
      <c r="AZ439" t="s">
        <v>74</v>
      </c>
      <c r="BA439" t="s">
        <v>74</v>
      </c>
      <c r="BB439">
        <v>129</v>
      </c>
      <c r="BC439">
        <v>141</v>
      </c>
      <c r="BD439" t="s">
        <v>74</v>
      </c>
      <c r="BE439" t="s">
        <v>8424</v>
      </c>
      <c r="BF439" t="str">
        <f>HYPERLINK("http://dx.doi.org/10.22230/cjc.2020v45n1a3471","http://dx.doi.org/10.22230/cjc.2020v45n1a3471")</f>
        <v>http://dx.doi.org/10.22230/cjc.2020v45n1a3471</v>
      </c>
      <c r="BG439" t="s">
        <v>74</v>
      </c>
      <c r="BH439" t="s">
        <v>74</v>
      </c>
      <c r="BI439">
        <v>13</v>
      </c>
      <c r="BJ439" t="s">
        <v>2218</v>
      </c>
      <c r="BK439" t="s">
        <v>183</v>
      </c>
      <c r="BL439" t="s">
        <v>2218</v>
      </c>
      <c r="BM439" t="s">
        <v>8425</v>
      </c>
      <c r="BN439" t="s">
        <v>74</v>
      </c>
      <c r="BO439" t="s">
        <v>1351</v>
      </c>
      <c r="BP439" t="s">
        <v>74</v>
      </c>
      <c r="BQ439" t="s">
        <v>74</v>
      </c>
      <c r="BR439" t="s">
        <v>106</v>
      </c>
      <c r="BS439" t="s">
        <v>8426</v>
      </c>
      <c r="BT439" t="str">
        <f>HYPERLINK("https%3A%2F%2Fwww.webofscience.com%2Fwos%2Fwoscc%2Ffull-record%2FWOS:000544927600014","View Full Record in Web of Science")</f>
        <v>View Full Record in Web of Science</v>
      </c>
    </row>
    <row r="440" spans="1:72" x14ac:dyDescent="0.25">
      <c r="A440" t="s">
        <v>72</v>
      </c>
      <c r="B440" t="s">
        <v>8516</v>
      </c>
      <c r="C440" t="s">
        <v>74</v>
      </c>
      <c r="D440" t="s">
        <v>74</v>
      </c>
      <c r="E440" t="s">
        <v>74</v>
      </c>
      <c r="F440" t="s">
        <v>8517</v>
      </c>
      <c r="G440" t="s">
        <v>74</v>
      </c>
      <c r="H440" t="s">
        <v>74</v>
      </c>
      <c r="I440" s="1" t="s">
        <v>8518</v>
      </c>
      <c r="J440" t="s">
        <v>8519</v>
      </c>
      <c r="K440" t="s">
        <v>74</v>
      </c>
      <c r="L440" t="s">
        <v>74</v>
      </c>
      <c r="M440" t="s">
        <v>78</v>
      </c>
      <c r="N440" t="s">
        <v>79</v>
      </c>
      <c r="O440" t="s">
        <v>74</v>
      </c>
      <c r="P440" t="s">
        <v>74</v>
      </c>
      <c r="Q440" t="s">
        <v>74</v>
      </c>
      <c r="R440" t="s">
        <v>74</v>
      </c>
      <c r="S440" t="s">
        <v>74</v>
      </c>
      <c r="T440" s="1" t="s">
        <v>8520</v>
      </c>
      <c r="U440" s="1" t="s">
        <v>74</v>
      </c>
      <c r="V440" s="1" t="s">
        <v>8521</v>
      </c>
      <c r="W440" t="s">
        <v>8522</v>
      </c>
      <c r="X440" t="s">
        <v>8523</v>
      </c>
      <c r="Y440" t="s">
        <v>8524</v>
      </c>
      <c r="Z440" t="s">
        <v>8525</v>
      </c>
      <c r="AA440" t="s">
        <v>8526</v>
      </c>
      <c r="AB440" t="s">
        <v>8527</v>
      </c>
      <c r="AC440" t="s">
        <v>8528</v>
      </c>
      <c r="AD440" t="s">
        <v>8529</v>
      </c>
      <c r="AE440" t="s">
        <v>8530</v>
      </c>
      <c r="AF440" t="s">
        <v>74</v>
      </c>
      <c r="AG440">
        <v>19</v>
      </c>
      <c r="AH440">
        <v>1</v>
      </c>
      <c r="AI440">
        <v>2</v>
      </c>
      <c r="AJ440">
        <v>8</v>
      </c>
      <c r="AK440">
        <v>54</v>
      </c>
      <c r="AL440" t="s">
        <v>8531</v>
      </c>
      <c r="AM440" t="s">
        <v>8532</v>
      </c>
      <c r="AN440" t="s">
        <v>8533</v>
      </c>
      <c r="AO440" t="s">
        <v>8534</v>
      </c>
      <c r="AP440" t="s">
        <v>74</v>
      </c>
      <c r="AQ440" t="s">
        <v>74</v>
      </c>
      <c r="AR440" t="s">
        <v>8535</v>
      </c>
      <c r="AS440" t="s">
        <v>8536</v>
      </c>
      <c r="AT440" t="s">
        <v>74</v>
      </c>
      <c r="AU440">
        <v>2020</v>
      </c>
      <c r="AV440">
        <v>8</v>
      </c>
      <c r="AW440">
        <v>3</v>
      </c>
      <c r="AX440" t="s">
        <v>74</v>
      </c>
      <c r="AY440" t="s">
        <v>74</v>
      </c>
      <c r="AZ440" t="s">
        <v>74</v>
      </c>
      <c r="BA440" t="s">
        <v>74</v>
      </c>
      <c r="BB440">
        <v>190</v>
      </c>
      <c r="BC440">
        <v>196</v>
      </c>
      <c r="BD440" t="s">
        <v>74</v>
      </c>
      <c r="BE440" t="s">
        <v>74</v>
      </c>
      <c r="BF440" t="s">
        <v>74</v>
      </c>
      <c r="BG440" t="s">
        <v>74</v>
      </c>
      <c r="BH440" t="s">
        <v>74</v>
      </c>
      <c r="BI440">
        <v>7</v>
      </c>
      <c r="BJ440" t="s">
        <v>942</v>
      </c>
      <c r="BK440" t="s">
        <v>183</v>
      </c>
      <c r="BL440" t="s">
        <v>943</v>
      </c>
      <c r="BM440" t="s">
        <v>8537</v>
      </c>
      <c r="BN440" t="s">
        <v>74</v>
      </c>
      <c r="BO440" t="s">
        <v>74</v>
      </c>
      <c r="BP440" t="s">
        <v>74</v>
      </c>
      <c r="BQ440" t="s">
        <v>74</v>
      </c>
      <c r="BR440" t="s">
        <v>106</v>
      </c>
      <c r="BS440" t="s">
        <v>8538</v>
      </c>
      <c r="BT440" t="str">
        <f>HYPERLINK("https%3A%2F%2Fwww.webofscience.com%2Fwos%2Fwoscc%2Ffull-record%2FWOS:000577136000001","View Full Record in Web of Science")</f>
        <v>View Full Record in Web of Science</v>
      </c>
    </row>
    <row r="441" spans="1:72" x14ac:dyDescent="0.25">
      <c r="A441" t="s">
        <v>72</v>
      </c>
      <c r="B441" t="s">
        <v>8616</v>
      </c>
      <c r="C441" t="s">
        <v>74</v>
      </c>
      <c r="D441" t="s">
        <v>74</v>
      </c>
      <c r="E441" t="s">
        <v>74</v>
      </c>
      <c r="F441" t="s">
        <v>8617</v>
      </c>
      <c r="G441" t="s">
        <v>74</v>
      </c>
      <c r="H441" t="s">
        <v>74</v>
      </c>
      <c r="I441" s="1" t="s">
        <v>8618</v>
      </c>
      <c r="J441" t="s">
        <v>8619</v>
      </c>
      <c r="K441" t="s">
        <v>74</v>
      </c>
      <c r="L441" t="s">
        <v>74</v>
      </c>
      <c r="M441" t="s">
        <v>78</v>
      </c>
      <c r="N441" t="s">
        <v>79</v>
      </c>
      <c r="O441" t="s">
        <v>74</v>
      </c>
      <c r="P441" t="s">
        <v>74</v>
      </c>
      <c r="Q441" t="s">
        <v>74</v>
      </c>
      <c r="R441" t="s">
        <v>74</v>
      </c>
      <c r="S441" t="s">
        <v>74</v>
      </c>
      <c r="T441" s="1" t="s">
        <v>8620</v>
      </c>
      <c r="U441" s="1" t="s">
        <v>8621</v>
      </c>
      <c r="V441" s="1" t="s">
        <v>8622</v>
      </c>
      <c r="W441" t="s">
        <v>8623</v>
      </c>
      <c r="X441" t="s">
        <v>8624</v>
      </c>
      <c r="Y441" t="s">
        <v>8625</v>
      </c>
      <c r="Z441" t="s">
        <v>8626</v>
      </c>
      <c r="AA441" t="s">
        <v>74</v>
      </c>
      <c r="AB441" t="s">
        <v>74</v>
      </c>
      <c r="AC441" t="s">
        <v>8627</v>
      </c>
      <c r="AD441" t="s">
        <v>8627</v>
      </c>
      <c r="AE441" t="s">
        <v>8628</v>
      </c>
      <c r="AF441" t="s">
        <v>74</v>
      </c>
      <c r="AG441">
        <v>58</v>
      </c>
      <c r="AH441">
        <v>1</v>
      </c>
      <c r="AI441">
        <v>1</v>
      </c>
      <c r="AJ441">
        <v>0</v>
      </c>
      <c r="AK441">
        <v>17</v>
      </c>
      <c r="AL441" t="s">
        <v>121</v>
      </c>
      <c r="AM441" t="s">
        <v>122</v>
      </c>
      <c r="AN441" t="s">
        <v>123</v>
      </c>
      <c r="AO441" t="s">
        <v>8629</v>
      </c>
      <c r="AP441" t="s">
        <v>8630</v>
      </c>
      <c r="AQ441" t="s">
        <v>74</v>
      </c>
      <c r="AR441" t="s">
        <v>8631</v>
      </c>
      <c r="AS441" t="s">
        <v>8632</v>
      </c>
      <c r="AT441" t="s">
        <v>476</v>
      </c>
      <c r="AU441">
        <v>2019</v>
      </c>
      <c r="AV441">
        <v>42</v>
      </c>
      <c r="AW441">
        <v>4</v>
      </c>
      <c r="AX441" t="s">
        <v>74</v>
      </c>
      <c r="AY441" t="s">
        <v>74</v>
      </c>
      <c r="AZ441" t="s">
        <v>74</v>
      </c>
      <c r="BA441" t="s">
        <v>74</v>
      </c>
      <c r="BB441">
        <v>567</v>
      </c>
      <c r="BC441">
        <v>585</v>
      </c>
      <c r="BD441" t="s">
        <v>74</v>
      </c>
      <c r="BE441" t="s">
        <v>8633</v>
      </c>
      <c r="BF441" t="str">
        <f>HYPERLINK("http://dx.doi.org/10.1007/s11133-019-09432-0","http://dx.doi.org/10.1007/s11133-019-09432-0")</f>
        <v>http://dx.doi.org/10.1007/s11133-019-09432-0</v>
      </c>
      <c r="BG441" t="s">
        <v>74</v>
      </c>
      <c r="BH441" t="s">
        <v>74</v>
      </c>
      <c r="BI441">
        <v>19</v>
      </c>
      <c r="BJ441" t="s">
        <v>5263</v>
      </c>
      <c r="BK441" t="s">
        <v>156</v>
      </c>
      <c r="BL441" t="s">
        <v>5263</v>
      </c>
      <c r="BM441" t="s">
        <v>8634</v>
      </c>
      <c r="BN441" t="s">
        <v>74</v>
      </c>
      <c r="BO441" t="s">
        <v>74</v>
      </c>
      <c r="BP441" t="s">
        <v>74</v>
      </c>
      <c r="BQ441" t="s">
        <v>74</v>
      </c>
      <c r="BR441" t="s">
        <v>106</v>
      </c>
      <c r="BS441" t="s">
        <v>8635</v>
      </c>
      <c r="BT441" t="str">
        <f>HYPERLINK("https%3A%2F%2Fwww.webofscience.com%2Fwos%2Fwoscc%2Ffull-record%2FWOS:000496582700003","View Full Record in Web of Science")</f>
        <v>View Full Record in Web of Science</v>
      </c>
    </row>
    <row r="442" spans="1:72" x14ac:dyDescent="0.25">
      <c r="A442" t="s">
        <v>72</v>
      </c>
      <c r="B442" t="s">
        <v>8912</v>
      </c>
      <c r="C442" t="s">
        <v>74</v>
      </c>
      <c r="D442" t="s">
        <v>74</v>
      </c>
      <c r="E442" t="s">
        <v>74</v>
      </c>
      <c r="F442" t="s">
        <v>8913</v>
      </c>
      <c r="G442" t="s">
        <v>74</v>
      </c>
      <c r="H442" t="s">
        <v>74</v>
      </c>
      <c r="I442" s="1" t="s">
        <v>8914</v>
      </c>
      <c r="J442" t="s">
        <v>8915</v>
      </c>
      <c r="K442" t="s">
        <v>74</v>
      </c>
      <c r="L442" t="s">
        <v>74</v>
      </c>
      <c r="M442" t="s">
        <v>78</v>
      </c>
      <c r="N442" t="s">
        <v>79</v>
      </c>
      <c r="O442" t="s">
        <v>74</v>
      </c>
      <c r="P442" t="s">
        <v>74</v>
      </c>
      <c r="Q442" t="s">
        <v>74</v>
      </c>
      <c r="R442" t="s">
        <v>74</v>
      </c>
      <c r="S442" t="s">
        <v>74</v>
      </c>
      <c r="T442" s="1" t="s">
        <v>74</v>
      </c>
      <c r="U442" s="1" t="s">
        <v>8916</v>
      </c>
      <c r="V442" s="1" t="s">
        <v>8917</v>
      </c>
      <c r="W442" t="s">
        <v>74</v>
      </c>
      <c r="X442" t="s">
        <v>74</v>
      </c>
      <c r="Y442" t="s">
        <v>74</v>
      </c>
      <c r="Z442" t="s">
        <v>8918</v>
      </c>
      <c r="AA442" t="s">
        <v>74</v>
      </c>
      <c r="AB442" t="s">
        <v>74</v>
      </c>
      <c r="AC442" t="s">
        <v>74</v>
      </c>
      <c r="AD442" t="s">
        <v>74</v>
      </c>
      <c r="AE442" t="s">
        <v>74</v>
      </c>
      <c r="AF442" t="s">
        <v>74</v>
      </c>
      <c r="AG442">
        <v>47</v>
      </c>
      <c r="AH442">
        <v>1</v>
      </c>
      <c r="AI442">
        <v>1</v>
      </c>
      <c r="AJ442">
        <v>0</v>
      </c>
      <c r="AK442">
        <v>14</v>
      </c>
      <c r="AL442" t="s">
        <v>146</v>
      </c>
      <c r="AM442" t="s">
        <v>147</v>
      </c>
      <c r="AN442" t="s">
        <v>148</v>
      </c>
      <c r="AO442" t="s">
        <v>8919</v>
      </c>
      <c r="AP442" t="s">
        <v>8920</v>
      </c>
      <c r="AQ442" t="s">
        <v>74</v>
      </c>
      <c r="AR442" t="s">
        <v>8921</v>
      </c>
      <c r="AS442" t="s">
        <v>8922</v>
      </c>
      <c r="AT442" t="s">
        <v>356</v>
      </c>
      <c r="AU442">
        <v>2019</v>
      </c>
      <c r="AV442">
        <v>121</v>
      </c>
      <c r="AW442">
        <v>3</v>
      </c>
      <c r="AX442" t="s">
        <v>74</v>
      </c>
      <c r="AY442" t="s">
        <v>74</v>
      </c>
      <c r="AZ442" t="s">
        <v>74</v>
      </c>
      <c r="BA442" t="s">
        <v>74</v>
      </c>
      <c r="BB442">
        <v>667</v>
      </c>
      <c r="BC442">
        <v>679</v>
      </c>
      <c r="BD442" t="s">
        <v>74</v>
      </c>
      <c r="BE442" t="s">
        <v>8923</v>
      </c>
      <c r="BF442" t="str">
        <f>HYPERLINK("http://dx.doi.org/10.1111/aman.13273","http://dx.doi.org/10.1111/aman.13273")</f>
        <v>http://dx.doi.org/10.1111/aman.13273</v>
      </c>
      <c r="BG442" t="s">
        <v>74</v>
      </c>
      <c r="BH442" t="s">
        <v>74</v>
      </c>
      <c r="BI442">
        <v>13</v>
      </c>
      <c r="BJ442" t="s">
        <v>8924</v>
      </c>
      <c r="BK442" t="s">
        <v>156</v>
      </c>
      <c r="BL442" t="s">
        <v>8924</v>
      </c>
      <c r="BM442" t="s">
        <v>8925</v>
      </c>
      <c r="BN442" t="s">
        <v>74</v>
      </c>
      <c r="BO442" t="s">
        <v>74</v>
      </c>
      <c r="BP442" t="s">
        <v>74</v>
      </c>
      <c r="BQ442" t="s">
        <v>74</v>
      </c>
      <c r="BR442" t="s">
        <v>106</v>
      </c>
      <c r="BS442" t="s">
        <v>8926</v>
      </c>
      <c r="BT442" t="str">
        <f>HYPERLINK("https%3A%2F%2Fwww.webofscience.com%2Fwos%2Fwoscc%2Ffull-record%2FWOS:000481740200010","View Full Record in Web of Science")</f>
        <v>View Full Record in Web of Science</v>
      </c>
    </row>
    <row r="443" spans="1:72" x14ac:dyDescent="0.25">
      <c r="A443" t="s">
        <v>72</v>
      </c>
      <c r="B443" t="s">
        <v>9075</v>
      </c>
      <c r="C443" t="s">
        <v>74</v>
      </c>
      <c r="D443" t="s">
        <v>74</v>
      </c>
      <c r="E443" t="s">
        <v>74</v>
      </c>
      <c r="F443" t="s">
        <v>9076</v>
      </c>
      <c r="G443" t="s">
        <v>74</v>
      </c>
      <c r="H443" t="s">
        <v>74</v>
      </c>
      <c r="I443" s="1" t="s">
        <v>9077</v>
      </c>
      <c r="J443" t="s">
        <v>8111</v>
      </c>
      <c r="K443" t="s">
        <v>74</v>
      </c>
      <c r="L443" t="s">
        <v>74</v>
      </c>
      <c r="M443" t="s">
        <v>2896</v>
      </c>
      <c r="N443" t="s">
        <v>79</v>
      </c>
      <c r="O443" t="s">
        <v>74</v>
      </c>
      <c r="P443" t="s">
        <v>74</v>
      </c>
      <c r="Q443" t="s">
        <v>74</v>
      </c>
      <c r="R443" t="s">
        <v>74</v>
      </c>
      <c r="S443" t="s">
        <v>74</v>
      </c>
      <c r="T443" s="1" t="s">
        <v>9078</v>
      </c>
      <c r="U443" s="1" t="s">
        <v>74</v>
      </c>
      <c r="V443" s="1" t="s">
        <v>9079</v>
      </c>
      <c r="W443" t="s">
        <v>9080</v>
      </c>
      <c r="X443" t="s">
        <v>2249</v>
      </c>
      <c r="Y443" t="s">
        <v>9081</v>
      </c>
      <c r="Z443" t="s">
        <v>9082</v>
      </c>
      <c r="AA443" t="s">
        <v>9083</v>
      </c>
      <c r="AB443" t="s">
        <v>9084</v>
      </c>
      <c r="AC443" t="s">
        <v>74</v>
      </c>
      <c r="AD443" t="s">
        <v>74</v>
      </c>
      <c r="AE443" t="s">
        <v>74</v>
      </c>
      <c r="AF443" t="s">
        <v>74</v>
      </c>
      <c r="AG443">
        <v>43</v>
      </c>
      <c r="AH443">
        <v>1</v>
      </c>
      <c r="AI443">
        <v>1</v>
      </c>
      <c r="AJ443">
        <v>2</v>
      </c>
      <c r="AK443">
        <v>20</v>
      </c>
      <c r="AL443" t="s">
        <v>8121</v>
      </c>
      <c r="AM443" t="s">
        <v>8122</v>
      </c>
      <c r="AN443" t="s">
        <v>8123</v>
      </c>
      <c r="AO443" t="s">
        <v>8124</v>
      </c>
      <c r="AP443" t="s">
        <v>8125</v>
      </c>
      <c r="AQ443" t="s">
        <v>74</v>
      </c>
      <c r="AR443" t="s">
        <v>8126</v>
      </c>
      <c r="AS443" t="s">
        <v>8127</v>
      </c>
      <c r="AT443" t="s">
        <v>4456</v>
      </c>
      <c r="AU443">
        <v>2019</v>
      </c>
      <c r="AV443">
        <v>19</v>
      </c>
      <c r="AW443">
        <v>2</v>
      </c>
      <c r="AX443" t="s">
        <v>74</v>
      </c>
      <c r="AY443" t="s">
        <v>74</v>
      </c>
      <c r="AZ443" t="s">
        <v>74</v>
      </c>
      <c r="BA443" t="s">
        <v>74</v>
      </c>
      <c r="BB443">
        <v>175</v>
      </c>
      <c r="BC443">
        <v>194</v>
      </c>
      <c r="BD443" t="s">
        <v>74</v>
      </c>
      <c r="BE443" t="s">
        <v>9085</v>
      </c>
      <c r="BF443" t="str">
        <f>HYPERLINK("http://dx.doi.org/10.20397/2177-6652/2019.v19i2.1533","http://dx.doi.org/10.20397/2177-6652/2019.v19i2.1533")</f>
        <v>http://dx.doi.org/10.20397/2177-6652/2019.v19i2.1533</v>
      </c>
      <c r="BG443" t="s">
        <v>74</v>
      </c>
      <c r="BH443" t="s">
        <v>74</v>
      </c>
      <c r="BI443">
        <v>20</v>
      </c>
      <c r="BJ443" t="s">
        <v>315</v>
      </c>
      <c r="BK443" t="s">
        <v>183</v>
      </c>
      <c r="BL443" t="s">
        <v>265</v>
      </c>
      <c r="BM443" t="s">
        <v>9086</v>
      </c>
      <c r="BN443" t="s">
        <v>74</v>
      </c>
      <c r="BO443" t="s">
        <v>186</v>
      </c>
      <c r="BP443" t="s">
        <v>74</v>
      </c>
      <c r="BQ443" t="s">
        <v>74</v>
      </c>
      <c r="BR443" t="s">
        <v>106</v>
      </c>
      <c r="BS443" t="s">
        <v>9087</v>
      </c>
      <c r="BT443" t="str">
        <f>HYPERLINK("https%3A%2F%2Fwww.webofscience.com%2Fwos%2Fwoscc%2Ffull-record%2FWOS:000462912100009","View Full Record in Web of Science")</f>
        <v>View Full Record in Web of Science</v>
      </c>
    </row>
    <row r="444" spans="1:72" x14ac:dyDescent="0.25">
      <c r="A444" t="s">
        <v>7120</v>
      </c>
      <c r="B444" t="s">
        <v>1625</v>
      </c>
      <c r="C444" t="s">
        <v>74</v>
      </c>
      <c r="D444" t="s">
        <v>9288</v>
      </c>
      <c r="E444" t="s">
        <v>74</v>
      </c>
      <c r="F444" t="s">
        <v>1626</v>
      </c>
      <c r="G444" t="s">
        <v>74</v>
      </c>
      <c r="H444" t="s">
        <v>74</v>
      </c>
      <c r="I444" s="1" t="s">
        <v>9289</v>
      </c>
      <c r="J444" t="s">
        <v>9290</v>
      </c>
      <c r="K444" t="s">
        <v>9291</v>
      </c>
      <c r="L444" t="s">
        <v>74</v>
      </c>
      <c r="M444" t="s">
        <v>78</v>
      </c>
      <c r="N444" t="s">
        <v>4932</v>
      </c>
      <c r="O444" t="s">
        <v>74</v>
      </c>
      <c r="P444" t="s">
        <v>74</v>
      </c>
      <c r="Q444" t="s">
        <v>74</v>
      </c>
      <c r="R444" t="s">
        <v>74</v>
      </c>
      <c r="S444" t="s">
        <v>74</v>
      </c>
      <c r="T444" s="1" t="s">
        <v>9292</v>
      </c>
      <c r="U444" s="1" t="s">
        <v>9293</v>
      </c>
      <c r="V444" s="1" t="s">
        <v>9294</v>
      </c>
      <c r="W444" t="s">
        <v>9295</v>
      </c>
      <c r="X444" t="s">
        <v>9296</v>
      </c>
      <c r="Y444" t="s">
        <v>9297</v>
      </c>
      <c r="Z444" t="s">
        <v>74</v>
      </c>
      <c r="AA444" t="s">
        <v>74</v>
      </c>
      <c r="AB444" t="s">
        <v>1635</v>
      </c>
      <c r="AC444" t="s">
        <v>74</v>
      </c>
      <c r="AD444" t="s">
        <v>74</v>
      </c>
      <c r="AE444" t="s">
        <v>74</v>
      </c>
      <c r="AF444" t="s">
        <v>74</v>
      </c>
      <c r="AG444">
        <v>100</v>
      </c>
      <c r="AH444">
        <v>1</v>
      </c>
      <c r="AI444">
        <v>1</v>
      </c>
      <c r="AJ444">
        <v>0</v>
      </c>
      <c r="AK444">
        <v>10</v>
      </c>
      <c r="AL444" t="s">
        <v>715</v>
      </c>
      <c r="AM444" t="s">
        <v>716</v>
      </c>
      <c r="AN444" t="s">
        <v>9298</v>
      </c>
      <c r="AO444" t="s">
        <v>9299</v>
      </c>
      <c r="AP444" t="s">
        <v>74</v>
      </c>
      <c r="AQ444" t="s">
        <v>9300</v>
      </c>
      <c r="AR444" t="s">
        <v>9301</v>
      </c>
      <c r="AS444" t="s">
        <v>74</v>
      </c>
      <c r="AT444" t="s">
        <v>74</v>
      </c>
      <c r="AU444">
        <v>2019</v>
      </c>
      <c r="AV444">
        <v>64</v>
      </c>
      <c r="AW444" t="s">
        <v>74</v>
      </c>
      <c r="AX444" t="s">
        <v>74</v>
      </c>
      <c r="AY444" t="s">
        <v>74</v>
      </c>
      <c r="AZ444" t="s">
        <v>74</v>
      </c>
      <c r="BA444" t="s">
        <v>74</v>
      </c>
      <c r="BB444">
        <v>91</v>
      </c>
      <c r="BC444">
        <v>115</v>
      </c>
      <c r="BD444" t="s">
        <v>74</v>
      </c>
      <c r="BE444" t="s">
        <v>9302</v>
      </c>
      <c r="BF444" t="str">
        <f>HYPERLINK("http://dx.doi.org/10.1108/S0733-558X20190000064007","http://dx.doi.org/10.1108/S0733-558X20190000064007")</f>
        <v>http://dx.doi.org/10.1108/S0733-558X20190000064007</v>
      </c>
      <c r="BG444" t="s">
        <v>74</v>
      </c>
      <c r="BH444" t="s">
        <v>74</v>
      </c>
      <c r="BI444">
        <v>25</v>
      </c>
      <c r="BJ444" t="s">
        <v>9303</v>
      </c>
      <c r="BK444" t="s">
        <v>4943</v>
      </c>
      <c r="BL444" t="s">
        <v>9304</v>
      </c>
      <c r="BM444" t="s">
        <v>9305</v>
      </c>
      <c r="BN444" t="s">
        <v>74</v>
      </c>
      <c r="BO444" t="s">
        <v>2623</v>
      </c>
      <c r="BP444" t="s">
        <v>74</v>
      </c>
      <c r="BQ444" t="s">
        <v>74</v>
      </c>
      <c r="BR444" t="s">
        <v>106</v>
      </c>
      <c r="BS444" t="s">
        <v>9306</v>
      </c>
      <c r="BT444" t="str">
        <f>HYPERLINK("https%3A%2F%2Fwww.webofscience.com%2Fwos%2Fwoscc%2Ffull-record%2FWOS:000606978100005","View Full Record in Web of Science")</f>
        <v>View Full Record in Web of Science</v>
      </c>
    </row>
    <row r="445" spans="1:72" x14ac:dyDescent="0.25">
      <c r="A445" t="s">
        <v>72</v>
      </c>
      <c r="B445" t="s">
        <v>9528</v>
      </c>
      <c r="C445" t="s">
        <v>74</v>
      </c>
      <c r="D445" t="s">
        <v>74</v>
      </c>
      <c r="E445" t="s">
        <v>74</v>
      </c>
      <c r="F445" t="s">
        <v>9529</v>
      </c>
      <c r="G445" t="s">
        <v>74</v>
      </c>
      <c r="H445" t="s">
        <v>74</v>
      </c>
      <c r="I445" s="1" t="s">
        <v>9530</v>
      </c>
      <c r="J445" t="s">
        <v>9531</v>
      </c>
      <c r="K445" t="s">
        <v>74</v>
      </c>
      <c r="L445" t="s">
        <v>74</v>
      </c>
      <c r="M445" t="s">
        <v>78</v>
      </c>
      <c r="N445" t="s">
        <v>79</v>
      </c>
      <c r="O445" t="s">
        <v>74</v>
      </c>
      <c r="P445" t="s">
        <v>74</v>
      </c>
      <c r="Q445" t="s">
        <v>74</v>
      </c>
      <c r="R445" t="s">
        <v>74</v>
      </c>
      <c r="S445" t="s">
        <v>74</v>
      </c>
      <c r="T445" s="1" t="s">
        <v>74</v>
      </c>
      <c r="U445" s="1" t="s">
        <v>7782</v>
      </c>
      <c r="V445" s="1" t="s">
        <v>9532</v>
      </c>
      <c r="W445" t="s">
        <v>9533</v>
      </c>
      <c r="X445" t="s">
        <v>3250</v>
      </c>
      <c r="Y445" t="s">
        <v>9534</v>
      </c>
      <c r="Z445" t="s">
        <v>9535</v>
      </c>
      <c r="AA445" t="s">
        <v>74</v>
      </c>
      <c r="AB445" t="s">
        <v>74</v>
      </c>
      <c r="AC445" t="s">
        <v>74</v>
      </c>
      <c r="AD445" t="s">
        <v>74</v>
      </c>
      <c r="AE445" t="s">
        <v>74</v>
      </c>
      <c r="AF445" t="s">
        <v>74</v>
      </c>
      <c r="AG445">
        <v>36</v>
      </c>
      <c r="AH445">
        <v>1</v>
      </c>
      <c r="AI445">
        <v>1</v>
      </c>
      <c r="AJ445">
        <v>0</v>
      </c>
      <c r="AK445">
        <v>1</v>
      </c>
      <c r="AL445" t="s">
        <v>9536</v>
      </c>
      <c r="AM445" t="s">
        <v>9537</v>
      </c>
      <c r="AN445" t="s">
        <v>9538</v>
      </c>
      <c r="AO445" t="s">
        <v>9539</v>
      </c>
      <c r="AP445" t="s">
        <v>9540</v>
      </c>
      <c r="AQ445" t="s">
        <v>74</v>
      </c>
      <c r="AR445" t="s">
        <v>9541</v>
      </c>
      <c r="AS445" t="s">
        <v>9542</v>
      </c>
      <c r="AT445" t="s">
        <v>74</v>
      </c>
      <c r="AU445">
        <v>2019</v>
      </c>
      <c r="AV445">
        <v>30</v>
      </c>
      <c r="AW445" t="s">
        <v>74</v>
      </c>
      <c r="AX445" t="s">
        <v>74</v>
      </c>
      <c r="AY445" t="s">
        <v>74</v>
      </c>
      <c r="AZ445" t="s">
        <v>74</v>
      </c>
      <c r="BA445" t="s">
        <v>74</v>
      </c>
      <c r="BB445">
        <v>123</v>
      </c>
      <c r="BC445">
        <v>138</v>
      </c>
      <c r="BD445" t="s">
        <v>74</v>
      </c>
      <c r="BE445" t="s">
        <v>74</v>
      </c>
      <c r="BF445" t="s">
        <v>74</v>
      </c>
      <c r="BG445" t="s">
        <v>74</v>
      </c>
      <c r="BH445" t="s">
        <v>74</v>
      </c>
      <c r="BI445">
        <v>16</v>
      </c>
      <c r="BJ445" t="s">
        <v>8769</v>
      </c>
      <c r="BK445" t="s">
        <v>183</v>
      </c>
      <c r="BL445" t="s">
        <v>8769</v>
      </c>
      <c r="BM445" t="s">
        <v>9543</v>
      </c>
      <c r="BN445" t="s">
        <v>74</v>
      </c>
      <c r="BO445" t="s">
        <v>74</v>
      </c>
      <c r="BP445" t="s">
        <v>74</v>
      </c>
      <c r="BQ445" t="s">
        <v>74</v>
      </c>
      <c r="BR445" t="s">
        <v>106</v>
      </c>
      <c r="BS445" t="s">
        <v>9544</v>
      </c>
      <c r="BT445" t="str">
        <f>HYPERLINK("https%3A%2F%2Fwww.webofscience.com%2Fwos%2Fwoscc%2Ffull-record%2FWOS:000513890800009","View Full Record in Web of Science")</f>
        <v>View Full Record in Web of Science</v>
      </c>
    </row>
    <row r="446" spans="1:72" x14ac:dyDescent="0.25">
      <c r="A446" t="s">
        <v>72</v>
      </c>
      <c r="B446" t="s">
        <v>9822</v>
      </c>
      <c r="C446" t="s">
        <v>74</v>
      </c>
      <c r="D446" t="s">
        <v>74</v>
      </c>
      <c r="E446" t="s">
        <v>74</v>
      </c>
      <c r="F446" t="s">
        <v>9823</v>
      </c>
      <c r="G446" t="s">
        <v>74</v>
      </c>
      <c r="H446" t="s">
        <v>74</v>
      </c>
      <c r="I446" s="1" t="s">
        <v>9824</v>
      </c>
      <c r="J446" t="s">
        <v>9825</v>
      </c>
      <c r="K446" t="s">
        <v>74</v>
      </c>
      <c r="L446" t="s">
        <v>74</v>
      </c>
      <c r="M446" t="s">
        <v>78</v>
      </c>
      <c r="N446" t="s">
        <v>79</v>
      </c>
      <c r="O446" t="s">
        <v>74</v>
      </c>
      <c r="P446" t="s">
        <v>74</v>
      </c>
      <c r="Q446" t="s">
        <v>74</v>
      </c>
      <c r="R446" t="s">
        <v>74</v>
      </c>
      <c r="S446" t="s">
        <v>74</v>
      </c>
      <c r="T446" s="1" t="s">
        <v>9826</v>
      </c>
      <c r="U446" s="1" t="s">
        <v>74</v>
      </c>
      <c r="V446" s="1" t="s">
        <v>9827</v>
      </c>
      <c r="W446" t="s">
        <v>9828</v>
      </c>
      <c r="X446" t="s">
        <v>9829</v>
      </c>
      <c r="Y446" t="s">
        <v>9830</v>
      </c>
      <c r="Z446" t="s">
        <v>74</v>
      </c>
      <c r="AA446" t="s">
        <v>74</v>
      </c>
      <c r="AB446" t="s">
        <v>74</v>
      </c>
      <c r="AC446" t="s">
        <v>74</v>
      </c>
      <c r="AD446" t="s">
        <v>74</v>
      </c>
      <c r="AE446" t="s">
        <v>74</v>
      </c>
      <c r="AF446" t="s">
        <v>74</v>
      </c>
      <c r="AG446">
        <v>32</v>
      </c>
      <c r="AH446">
        <v>1</v>
      </c>
      <c r="AI446">
        <v>1</v>
      </c>
      <c r="AJ446">
        <v>0</v>
      </c>
      <c r="AK446">
        <v>4</v>
      </c>
      <c r="AL446" t="s">
        <v>9831</v>
      </c>
      <c r="AM446" t="s">
        <v>9832</v>
      </c>
      <c r="AN446" t="s">
        <v>9833</v>
      </c>
      <c r="AO446" t="s">
        <v>9834</v>
      </c>
      <c r="AP446" t="s">
        <v>74</v>
      </c>
      <c r="AQ446" t="s">
        <v>74</v>
      </c>
      <c r="AR446" t="s">
        <v>9825</v>
      </c>
      <c r="AS446" t="s">
        <v>9835</v>
      </c>
      <c r="AT446" t="s">
        <v>1138</v>
      </c>
      <c r="AU446">
        <v>2018</v>
      </c>
      <c r="AV446">
        <v>39</v>
      </c>
      <c r="AW446">
        <v>2</v>
      </c>
      <c r="AX446" t="s">
        <v>74</v>
      </c>
      <c r="AY446" t="s">
        <v>74</v>
      </c>
      <c r="AZ446" t="s">
        <v>74</v>
      </c>
      <c r="BA446" t="s">
        <v>74</v>
      </c>
      <c r="BB446">
        <v>359</v>
      </c>
      <c r="BC446">
        <v>382</v>
      </c>
      <c r="BD446" t="s">
        <v>74</v>
      </c>
      <c r="BE446" t="s">
        <v>9836</v>
      </c>
      <c r="BF446" t="str">
        <f>HYPERLINK("http://dx.doi.org/10.1215/03335372-4324505","http://dx.doi.org/10.1215/03335372-4324505")</f>
        <v>http://dx.doi.org/10.1215/03335372-4324505</v>
      </c>
      <c r="BG446" t="s">
        <v>74</v>
      </c>
      <c r="BH446" t="s">
        <v>74</v>
      </c>
      <c r="BI446">
        <v>24</v>
      </c>
      <c r="BJ446" t="s">
        <v>9837</v>
      </c>
      <c r="BK446" t="s">
        <v>3239</v>
      </c>
      <c r="BL446" t="s">
        <v>9837</v>
      </c>
      <c r="BM446" t="s">
        <v>9838</v>
      </c>
      <c r="BN446" t="s">
        <v>74</v>
      </c>
      <c r="BO446" t="s">
        <v>74</v>
      </c>
      <c r="BP446" t="s">
        <v>74</v>
      </c>
      <c r="BQ446" t="s">
        <v>74</v>
      </c>
      <c r="BR446" t="s">
        <v>106</v>
      </c>
      <c r="BS446" t="s">
        <v>9839</v>
      </c>
      <c r="BT446" t="str">
        <f>HYPERLINK("https%3A%2F%2Fwww.webofscience.com%2Fwos%2Fwoscc%2Ffull-record%2FWOS:000442375300008","View Full Record in Web of Science")</f>
        <v>View Full Record in Web of Science</v>
      </c>
    </row>
    <row r="447" spans="1:72" x14ac:dyDescent="0.25">
      <c r="A447" t="s">
        <v>72</v>
      </c>
      <c r="B447" t="s">
        <v>9871</v>
      </c>
      <c r="C447" t="s">
        <v>74</v>
      </c>
      <c r="D447" t="s">
        <v>74</v>
      </c>
      <c r="E447" t="s">
        <v>74</v>
      </c>
      <c r="F447" t="s">
        <v>9872</v>
      </c>
      <c r="G447" t="s">
        <v>74</v>
      </c>
      <c r="H447" t="s">
        <v>74</v>
      </c>
      <c r="I447" s="1" t="s">
        <v>9873</v>
      </c>
      <c r="J447" t="s">
        <v>9874</v>
      </c>
      <c r="K447" t="s">
        <v>74</v>
      </c>
      <c r="L447" t="s">
        <v>74</v>
      </c>
      <c r="M447" t="s">
        <v>78</v>
      </c>
      <c r="N447" t="s">
        <v>79</v>
      </c>
      <c r="O447" t="s">
        <v>74</v>
      </c>
      <c r="P447" t="s">
        <v>74</v>
      </c>
      <c r="Q447" t="s">
        <v>74</v>
      </c>
      <c r="R447" t="s">
        <v>74</v>
      </c>
      <c r="S447" t="s">
        <v>74</v>
      </c>
      <c r="T447" s="1" t="s">
        <v>9875</v>
      </c>
      <c r="U447" s="1" t="s">
        <v>9876</v>
      </c>
      <c r="V447" s="1" t="s">
        <v>9877</v>
      </c>
      <c r="W447" t="s">
        <v>9878</v>
      </c>
      <c r="X447" t="s">
        <v>9879</v>
      </c>
      <c r="Y447" t="s">
        <v>9880</v>
      </c>
      <c r="Z447" t="s">
        <v>9881</v>
      </c>
      <c r="AA447" t="s">
        <v>9882</v>
      </c>
      <c r="AB447" t="s">
        <v>9883</v>
      </c>
      <c r="AC447" t="s">
        <v>9884</v>
      </c>
      <c r="AD447" t="s">
        <v>9884</v>
      </c>
      <c r="AE447" t="s">
        <v>9885</v>
      </c>
      <c r="AF447" t="s">
        <v>74</v>
      </c>
      <c r="AG447">
        <v>30</v>
      </c>
      <c r="AH447">
        <v>1</v>
      </c>
      <c r="AI447">
        <v>1</v>
      </c>
      <c r="AJ447">
        <v>2</v>
      </c>
      <c r="AK447">
        <v>3</v>
      </c>
      <c r="AL447" t="s">
        <v>9886</v>
      </c>
      <c r="AM447" t="s">
        <v>2281</v>
      </c>
      <c r="AN447" t="s">
        <v>9887</v>
      </c>
      <c r="AO447" t="s">
        <v>9888</v>
      </c>
      <c r="AP447" t="s">
        <v>74</v>
      </c>
      <c r="AQ447" t="s">
        <v>74</v>
      </c>
      <c r="AR447" t="s">
        <v>9889</v>
      </c>
      <c r="AS447" t="s">
        <v>9890</v>
      </c>
      <c r="AT447" t="s">
        <v>1280</v>
      </c>
      <c r="AU447">
        <v>2018</v>
      </c>
      <c r="AV447">
        <v>64</v>
      </c>
      <c r="AW447">
        <v>5</v>
      </c>
      <c r="AX447" t="s">
        <v>74</v>
      </c>
      <c r="AY447" t="s">
        <v>74</v>
      </c>
      <c r="AZ447" t="s">
        <v>74</v>
      </c>
      <c r="BA447" t="s">
        <v>74</v>
      </c>
      <c r="BB447">
        <v>443</v>
      </c>
      <c r="BC447">
        <v>447</v>
      </c>
      <c r="BD447" t="s">
        <v>74</v>
      </c>
      <c r="BE447" t="s">
        <v>9891</v>
      </c>
      <c r="BF447" t="str">
        <f>HYPERLINK("http://dx.doi.org/10.1590/1806-9282.64.05.443","http://dx.doi.org/10.1590/1806-9282.64.05.443")</f>
        <v>http://dx.doi.org/10.1590/1806-9282.64.05.443</v>
      </c>
      <c r="BG447" t="s">
        <v>74</v>
      </c>
      <c r="BH447" t="s">
        <v>74</v>
      </c>
      <c r="BI447">
        <v>5</v>
      </c>
      <c r="BJ447" t="s">
        <v>840</v>
      </c>
      <c r="BK447" t="s">
        <v>102</v>
      </c>
      <c r="BL447" t="s">
        <v>841</v>
      </c>
      <c r="BM447" t="s">
        <v>9892</v>
      </c>
      <c r="BN447">
        <v>30304144</v>
      </c>
      <c r="BO447" t="s">
        <v>614</v>
      </c>
      <c r="BP447" t="s">
        <v>74</v>
      </c>
      <c r="BQ447" t="s">
        <v>74</v>
      </c>
      <c r="BR447" t="s">
        <v>106</v>
      </c>
      <c r="BS447" t="s">
        <v>9893</v>
      </c>
      <c r="BT447" t="str">
        <f>HYPERLINK("https%3A%2F%2Fwww.webofscience.com%2Fwos%2Fwoscc%2Ffull-record%2FWOS:000446591800010","View Full Record in Web of Science")</f>
        <v>View Full Record in Web of Science</v>
      </c>
    </row>
    <row r="448" spans="1:72" x14ac:dyDescent="0.25">
      <c r="A448" t="s">
        <v>72</v>
      </c>
      <c r="B448" t="s">
        <v>10141</v>
      </c>
      <c r="C448" t="s">
        <v>74</v>
      </c>
      <c r="D448" t="s">
        <v>74</v>
      </c>
      <c r="E448" t="s">
        <v>74</v>
      </c>
      <c r="F448" t="s">
        <v>10142</v>
      </c>
      <c r="G448" t="s">
        <v>74</v>
      </c>
      <c r="H448" t="s">
        <v>74</v>
      </c>
      <c r="I448" s="1" t="s">
        <v>10143</v>
      </c>
      <c r="J448" t="s">
        <v>10144</v>
      </c>
      <c r="K448" t="s">
        <v>74</v>
      </c>
      <c r="L448" t="s">
        <v>74</v>
      </c>
      <c r="M448" t="s">
        <v>78</v>
      </c>
      <c r="N448" t="s">
        <v>79</v>
      </c>
      <c r="O448" t="s">
        <v>74</v>
      </c>
      <c r="P448" t="s">
        <v>74</v>
      </c>
      <c r="Q448" t="s">
        <v>74</v>
      </c>
      <c r="R448" t="s">
        <v>74</v>
      </c>
      <c r="S448" t="s">
        <v>74</v>
      </c>
      <c r="T448" s="1" t="s">
        <v>10145</v>
      </c>
      <c r="U448" s="1" t="s">
        <v>74</v>
      </c>
      <c r="V448" s="1" t="s">
        <v>10146</v>
      </c>
      <c r="W448" t="s">
        <v>10147</v>
      </c>
      <c r="X448" t="s">
        <v>10148</v>
      </c>
      <c r="Y448" t="s">
        <v>10149</v>
      </c>
      <c r="Z448" t="s">
        <v>10150</v>
      </c>
      <c r="AA448" t="s">
        <v>10151</v>
      </c>
      <c r="AB448" t="s">
        <v>10152</v>
      </c>
      <c r="AC448" t="s">
        <v>74</v>
      </c>
      <c r="AD448" t="s">
        <v>74</v>
      </c>
      <c r="AE448" t="s">
        <v>74</v>
      </c>
      <c r="AF448" t="s">
        <v>74</v>
      </c>
      <c r="AG448">
        <v>35</v>
      </c>
      <c r="AH448">
        <v>1</v>
      </c>
      <c r="AI448">
        <v>1</v>
      </c>
      <c r="AJ448">
        <v>1</v>
      </c>
      <c r="AK448">
        <v>4</v>
      </c>
      <c r="AL448" t="s">
        <v>715</v>
      </c>
      <c r="AM448" t="s">
        <v>716</v>
      </c>
      <c r="AN448" t="s">
        <v>717</v>
      </c>
      <c r="AO448" t="s">
        <v>10153</v>
      </c>
      <c r="AP448" t="s">
        <v>10154</v>
      </c>
      <c r="AQ448" t="s">
        <v>74</v>
      </c>
      <c r="AR448" t="s">
        <v>10144</v>
      </c>
      <c r="AS448" t="s">
        <v>10155</v>
      </c>
      <c r="AT448" t="s">
        <v>74</v>
      </c>
      <c r="AU448">
        <v>2018</v>
      </c>
      <c r="AV448">
        <v>31</v>
      </c>
      <c r="AW448">
        <v>2</v>
      </c>
      <c r="AX448" t="s">
        <v>74</v>
      </c>
      <c r="AY448" t="s">
        <v>74</v>
      </c>
      <c r="AZ448" t="s">
        <v>74</v>
      </c>
      <c r="BA448" t="s">
        <v>74</v>
      </c>
      <c r="BB448">
        <v>98</v>
      </c>
      <c r="BC448">
        <v>113</v>
      </c>
      <c r="BD448" t="s">
        <v>74</v>
      </c>
      <c r="BE448" t="s">
        <v>10156</v>
      </c>
      <c r="BF448" t="str">
        <f>HYPERLINK("http://dx.doi.org/10.1108/BL-03-2018-0012","http://dx.doi.org/10.1108/BL-03-2018-0012")</f>
        <v>http://dx.doi.org/10.1108/BL-03-2018-0012</v>
      </c>
      <c r="BG448" t="s">
        <v>74</v>
      </c>
      <c r="BH448" t="s">
        <v>74</v>
      </c>
      <c r="BI448">
        <v>16</v>
      </c>
      <c r="BJ448" t="s">
        <v>3050</v>
      </c>
      <c r="BK448" t="s">
        <v>183</v>
      </c>
      <c r="BL448" t="s">
        <v>3050</v>
      </c>
      <c r="BM448" t="s">
        <v>10157</v>
      </c>
      <c r="BN448" t="s">
        <v>74</v>
      </c>
      <c r="BO448" t="s">
        <v>74</v>
      </c>
      <c r="BP448" t="s">
        <v>74</v>
      </c>
      <c r="BQ448" t="s">
        <v>74</v>
      </c>
      <c r="BR448" t="s">
        <v>106</v>
      </c>
      <c r="BS448" t="s">
        <v>10158</v>
      </c>
      <c r="BT448" t="str">
        <f>HYPERLINK("https%3A%2F%2Fwww.webofscience.com%2Fwos%2Fwoscc%2Ffull-record%2FWOS:000435558000001","View Full Record in Web of Science")</f>
        <v>View Full Record in Web of Science</v>
      </c>
    </row>
    <row r="449" spans="1:72" x14ac:dyDescent="0.25">
      <c r="A449" t="s">
        <v>7120</v>
      </c>
      <c r="B449" t="s">
        <v>10707</v>
      </c>
      <c r="C449" t="s">
        <v>74</v>
      </c>
      <c r="D449" t="s">
        <v>10721</v>
      </c>
      <c r="E449" t="s">
        <v>74</v>
      </c>
      <c r="F449" t="s">
        <v>10708</v>
      </c>
      <c r="G449" t="s">
        <v>74</v>
      </c>
      <c r="H449" t="s">
        <v>74</v>
      </c>
      <c r="I449" s="1" t="s">
        <v>10722</v>
      </c>
      <c r="J449" t="s">
        <v>10723</v>
      </c>
      <c r="K449" t="s">
        <v>10724</v>
      </c>
      <c r="L449" t="s">
        <v>74</v>
      </c>
      <c r="M449" t="s">
        <v>78</v>
      </c>
      <c r="N449" t="s">
        <v>4932</v>
      </c>
      <c r="O449" t="s">
        <v>74</v>
      </c>
      <c r="P449" t="s">
        <v>74</v>
      </c>
      <c r="Q449" t="s">
        <v>74</v>
      </c>
      <c r="R449" t="s">
        <v>74</v>
      </c>
      <c r="S449" t="s">
        <v>74</v>
      </c>
      <c r="T449" s="1" t="s">
        <v>10725</v>
      </c>
      <c r="U449" s="1" t="s">
        <v>74</v>
      </c>
      <c r="V449" s="1" t="s">
        <v>10726</v>
      </c>
      <c r="W449" t="s">
        <v>10727</v>
      </c>
      <c r="X449" t="s">
        <v>74</v>
      </c>
      <c r="Y449" t="s">
        <v>10728</v>
      </c>
      <c r="Z449" t="s">
        <v>74</v>
      </c>
      <c r="AA449" t="s">
        <v>74</v>
      </c>
      <c r="AB449" t="s">
        <v>74</v>
      </c>
      <c r="AC449" t="s">
        <v>74</v>
      </c>
      <c r="AD449" t="s">
        <v>74</v>
      </c>
      <c r="AE449" t="s">
        <v>74</v>
      </c>
      <c r="AF449" t="s">
        <v>74</v>
      </c>
      <c r="AG449">
        <v>15</v>
      </c>
      <c r="AH449">
        <v>1</v>
      </c>
      <c r="AI449">
        <v>1</v>
      </c>
      <c r="AJ449">
        <v>0</v>
      </c>
      <c r="AK449">
        <v>6</v>
      </c>
      <c r="AL449" t="s">
        <v>715</v>
      </c>
      <c r="AM449" t="s">
        <v>716</v>
      </c>
      <c r="AN449" t="s">
        <v>9298</v>
      </c>
      <c r="AO449" t="s">
        <v>10729</v>
      </c>
      <c r="AP449" t="s">
        <v>74</v>
      </c>
      <c r="AQ449" t="s">
        <v>10730</v>
      </c>
      <c r="AR449" t="s">
        <v>10731</v>
      </c>
      <c r="AS449" t="s">
        <v>74</v>
      </c>
      <c r="AT449" t="s">
        <v>74</v>
      </c>
      <c r="AU449">
        <v>2017</v>
      </c>
      <c r="AV449">
        <v>35</v>
      </c>
      <c r="AW449" t="s">
        <v>74</v>
      </c>
      <c r="AX449" t="s">
        <v>74</v>
      </c>
      <c r="AY449" t="s">
        <v>74</v>
      </c>
      <c r="AZ449" t="s">
        <v>74</v>
      </c>
      <c r="BA449" t="s">
        <v>74</v>
      </c>
      <c r="BB449">
        <v>289</v>
      </c>
      <c r="BC449">
        <v>311</v>
      </c>
      <c r="BD449" t="s">
        <v>74</v>
      </c>
      <c r="BE449" t="s">
        <v>10732</v>
      </c>
      <c r="BF449" t="str">
        <f>HYPERLINK("http://dx.doi.org/10.1108/S0732-067120160000035020","http://dx.doi.org/10.1108/S0732-067120160000035020")</f>
        <v>http://dx.doi.org/10.1108/S0732-067120160000035020</v>
      </c>
      <c r="BG449" t="s">
        <v>74</v>
      </c>
      <c r="BH449" t="s">
        <v>74</v>
      </c>
      <c r="BI449">
        <v>23</v>
      </c>
      <c r="BJ449" t="s">
        <v>3050</v>
      </c>
      <c r="BK449" t="s">
        <v>4943</v>
      </c>
      <c r="BL449" t="s">
        <v>3050</v>
      </c>
      <c r="BM449" t="s">
        <v>10733</v>
      </c>
      <c r="BN449" t="s">
        <v>74</v>
      </c>
      <c r="BO449" t="s">
        <v>74</v>
      </c>
      <c r="BP449" t="s">
        <v>74</v>
      </c>
      <c r="BQ449" t="s">
        <v>74</v>
      </c>
      <c r="BR449" t="s">
        <v>106</v>
      </c>
      <c r="BS449" t="s">
        <v>10734</v>
      </c>
      <c r="BT449" t="str">
        <f>HYPERLINK("https%3A%2F%2Fwww.webofscience.com%2Fwos%2Fwoscc%2Ffull-record%2FWOS:000411797600013","View Full Record in Web of Science")</f>
        <v>View Full Record in Web of Science</v>
      </c>
    </row>
    <row r="450" spans="1:72" x14ac:dyDescent="0.25">
      <c r="A450" t="s">
        <v>477</v>
      </c>
      <c r="B450" t="s">
        <v>10735</v>
      </c>
      <c r="C450" t="s">
        <v>74</v>
      </c>
      <c r="D450" t="s">
        <v>10736</v>
      </c>
      <c r="E450" t="s">
        <v>74</v>
      </c>
      <c r="F450" t="s">
        <v>10737</v>
      </c>
      <c r="G450" t="s">
        <v>74</v>
      </c>
      <c r="H450" t="s">
        <v>74</v>
      </c>
      <c r="I450" s="1" t="s">
        <v>10738</v>
      </c>
      <c r="J450" t="s">
        <v>10739</v>
      </c>
      <c r="K450" t="s">
        <v>10740</v>
      </c>
      <c r="L450" t="s">
        <v>74</v>
      </c>
      <c r="M450" t="s">
        <v>78</v>
      </c>
      <c r="N450" t="s">
        <v>4932</v>
      </c>
      <c r="O450" t="s">
        <v>74</v>
      </c>
      <c r="P450" t="s">
        <v>74</v>
      </c>
      <c r="Q450" t="s">
        <v>74</v>
      </c>
      <c r="R450" t="s">
        <v>74</v>
      </c>
      <c r="S450" t="s">
        <v>74</v>
      </c>
      <c r="T450" s="1" t="s">
        <v>74</v>
      </c>
      <c r="U450" s="1" t="s">
        <v>10741</v>
      </c>
      <c r="V450" s="1" t="s">
        <v>74</v>
      </c>
      <c r="W450" t="s">
        <v>10742</v>
      </c>
      <c r="X450" t="s">
        <v>10743</v>
      </c>
      <c r="Y450" t="s">
        <v>10744</v>
      </c>
      <c r="Z450" t="s">
        <v>74</v>
      </c>
      <c r="AA450" t="s">
        <v>10745</v>
      </c>
      <c r="AB450" t="s">
        <v>10746</v>
      </c>
      <c r="AC450" t="s">
        <v>74</v>
      </c>
      <c r="AD450" t="s">
        <v>74</v>
      </c>
      <c r="AE450" t="s">
        <v>74</v>
      </c>
      <c r="AF450" t="s">
        <v>74</v>
      </c>
      <c r="AG450">
        <v>13</v>
      </c>
      <c r="AH450">
        <v>1</v>
      </c>
      <c r="AI450">
        <v>1</v>
      </c>
      <c r="AJ450">
        <v>0</v>
      </c>
      <c r="AK450">
        <v>1</v>
      </c>
      <c r="AL450" t="s">
        <v>4936</v>
      </c>
      <c r="AM450" t="s">
        <v>493</v>
      </c>
      <c r="AN450" t="s">
        <v>4937</v>
      </c>
      <c r="AO450" t="s">
        <v>74</v>
      </c>
      <c r="AP450" t="s">
        <v>74</v>
      </c>
      <c r="AQ450" t="s">
        <v>10747</v>
      </c>
      <c r="AR450" t="s">
        <v>10748</v>
      </c>
      <c r="AS450" t="s">
        <v>74</v>
      </c>
      <c r="AT450" t="s">
        <v>74</v>
      </c>
      <c r="AU450">
        <v>2017</v>
      </c>
      <c r="AV450" t="s">
        <v>74</v>
      </c>
      <c r="AW450" t="s">
        <v>74</v>
      </c>
      <c r="AX450" t="s">
        <v>74</v>
      </c>
      <c r="AY450" t="s">
        <v>74</v>
      </c>
      <c r="AZ450" t="s">
        <v>74</v>
      </c>
      <c r="BA450" t="s">
        <v>74</v>
      </c>
      <c r="BB450">
        <v>19</v>
      </c>
      <c r="BC450">
        <v>40</v>
      </c>
      <c r="BD450" t="s">
        <v>74</v>
      </c>
      <c r="BE450" t="s">
        <v>74</v>
      </c>
      <c r="BF450" t="s">
        <v>74</v>
      </c>
      <c r="BG450" t="s">
        <v>74</v>
      </c>
      <c r="BH450" t="s">
        <v>74</v>
      </c>
      <c r="BI450">
        <v>22</v>
      </c>
      <c r="BJ450" t="s">
        <v>10749</v>
      </c>
      <c r="BK450" t="s">
        <v>4943</v>
      </c>
      <c r="BL450" t="s">
        <v>10750</v>
      </c>
      <c r="BM450" t="s">
        <v>10751</v>
      </c>
      <c r="BN450" t="s">
        <v>74</v>
      </c>
      <c r="BO450" t="s">
        <v>74</v>
      </c>
      <c r="BP450" t="s">
        <v>74</v>
      </c>
      <c r="BQ450" t="s">
        <v>74</v>
      </c>
      <c r="BR450" t="s">
        <v>106</v>
      </c>
      <c r="BS450" t="s">
        <v>10752</v>
      </c>
      <c r="BT450" t="str">
        <f>HYPERLINK("https%3A%2F%2Fwww.webofscience.com%2Fwos%2Fwoscc%2Ffull-record%2FWOS:000404288800003","View Full Record in Web of Science")</f>
        <v>View Full Record in Web of Science</v>
      </c>
    </row>
    <row r="451" spans="1:72" x14ac:dyDescent="0.25">
      <c r="A451" t="s">
        <v>72</v>
      </c>
      <c r="B451" t="s">
        <v>10925</v>
      </c>
      <c r="C451" t="s">
        <v>74</v>
      </c>
      <c r="D451" t="s">
        <v>74</v>
      </c>
      <c r="E451" t="s">
        <v>74</v>
      </c>
      <c r="F451" t="s">
        <v>10926</v>
      </c>
      <c r="G451" t="s">
        <v>74</v>
      </c>
      <c r="H451" t="s">
        <v>74</v>
      </c>
      <c r="I451" s="1" t="s">
        <v>10927</v>
      </c>
      <c r="J451" t="s">
        <v>10928</v>
      </c>
      <c r="K451" t="s">
        <v>74</v>
      </c>
      <c r="L451" t="s">
        <v>74</v>
      </c>
      <c r="M451" t="s">
        <v>929</v>
      </c>
      <c r="N451" t="s">
        <v>79</v>
      </c>
      <c r="O451" t="s">
        <v>74</v>
      </c>
      <c r="P451" t="s">
        <v>74</v>
      </c>
      <c r="Q451" t="s">
        <v>74</v>
      </c>
      <c r="R451" t="s">
        <v>74</v>
      </c>
      <c r="S451" t="s">
        <v>74</v>
      </c>
      <c r="T451" s="1" t="s">
        <v>10929</v>
      </c>
      <c r="U451" s="1" t="s">
        <v>10930</v>
      </c>
      <c r="V451" s="1" t="s">
        <v>10931</v>
      </c>
      <c r="W451" t="s">
        <v>10932</v>
      </c>
      <c r="X451" t="s">
        <v>10933</v>
      </c>
      <c r="Y451" t="s">
        <v>10934</v>
      </c>
      <c r="Z451" t="s">
        <v>10935</v>
      </c>
      <c r="AA451" t="s">
        <v>10936</v>
      </c>
      <c r="AB451" t="s">
        <v>10937</v>
      </c>
      <c r="AC451" t="s">
        <v>74</v>
      </c>
      <c r="AD451" t="s">
        <v>74</v>
      </c>
      <c r="AE451" t="s">
        <v>74</v>
      </c>
      <c r="AF451" t="s">
        <v>74</v>
      </c>
      <c r="AG451">
        <v>20</v>
      </c>
      <c r="AH451">
        <v>1</v>
      </c>
      <c r="AI451">
        <v>1</v>
      </c>
      <c r="AJ451">
        <v>0</v>
      </c>
      <c r="AK451">
        <v>3</v>
      </c>
      <c r="AL451" t="s">
        <v>10938</v>
      </c>
      <c r="AM451" t="s">
        <v>9621</v>
      </c>
      <c r="AN451" t="s">
        <v>10939</v>
      </c>
      <c r="AO451" t="s">
        <v>10940</v>
      </c>
      <c r="AP451" t="s">
        <v>10941</v>
      </c>
      <c r="AQ451" t="s">
        <v>74</v>
      </c>
      <c r="AR451" t="s">
        <v>10928</v>
      </c>
      <c r="AS451" t="s">
        <v>10942</v>
      </c>
      <c r="AT451" t="s">
        <v>74</v>
      </c>
      <c r="AU451">
        <v>2017</v>
      </c>
      <c r="AV451" t="s">
        <v>74</v>
      </c>
      <c r="AW451">
        <v>41</v>
      </c>
      <c r="AX451" t="s">
        <v>74</v>
      </c>
      <c r="AY451" t="s">
        <v>74</v>
      </c>
      <c r="AZ451" t="s">
        <v>74</v>
      </c>
      <c r="BA451" t="s">
        <v>74</v>
      </c>
      <c r="BB451">
        <v>173</v>
      </c>
      <c r="BC451">
        <v>191</v>
      </c>
      <c r="BD451" t="s">
        <v>74</v>
      </c>
      <c r="BE451" t="s">
        <v>74</v>
      </c>
      <c r="BF451" t="s">
        <v>74</v>
      </c>
      <c r="BG451" t="s">
        <v>74</v>
      </c>
      <c r="BH451" t="s">
        <v>74</v>
      </c>
      <c r="BI451">
        <v>19</v>
      </c>
      <c r="BJ451" t="s">
        <v>2218</v>
      </c>
      <c r="BK451" t="s">
        <v>183</v>
      </c>
      <c r="BL451" t="s">
        <v>2218</v>
      </c>
      <c r="BM451" t="s">
        <v>10943</v>
      </c>
      <c r="BN451" t="s">
        <v>74</v>
      </c>
      <c r="BO451" t="s">
        <v>74</v>
      </c>
      <c r="BP451" t="s">
        <v>74</v>
      </c>
      <c r="BQ451" t="s">
        <v>74</v>
      </c>
      <c r="BR451" t="s">
        <v>106</v>
      </c>
      <c r="BS451" t="s">
        <v>10944</v>
      </c>
      <c r="BT451" t="str">
        <f>HYPERLINK("https%3A%2F%2Fwww.webofscience.com%2Fwos%2Fwoscc%2Ffull-record%2FWOS:000437730000011","View Full Record in Web of Science")</f>
        <v>View Full Record in Web of Science</v>
      </c>
    </row>
    <row r="452" spans="1:72" x14ac:dyDescent="0.25">
      <c r="A452" t="s">
        <v>477</v>
      </c>
      <c r="B452" t="s">
        <v>10945</v>
      </c>
      <c r="C452" t="s">
        <v>10946</v>
      </c>
      <c r="D452" t="s">
        <v>74</v>
      </c>
      <c r="E452" t="s">
        <v>74</v>
      </c>
      <c r="F452" t="s">
        <v>10947</v>
      </c>
      <c r="G452" t="s">
        <v>10946</v>
      </c>
      <c r="H452" t="s">
        <v>74</v>
      </c>
      <c r="I452" s="1" t="s">
        <v>10948</v>
      </c>
      <c r="J452" t="s">
        <v>10949</v>
      </c>
      <c r="K452" t="s">
        <v>10950</v>
      </c>
      <c r="L452" t="s">
        <v>74</v>
      </c>
      <c r="M452" t="s">
        <v>78</v>
      </c>
      <c r="N452" t="s">
        <v>4932</v>
      </c>
      <c r="O452" t="s">
        <v>74</v>
      </c>
      <c r="P452" t="s">
        <v>74</v>
      </c>
      <c r="Q452" t="s">
        <v>74</v>
      </c>
      <c r="R452" t="s">
        <v>74</v>
      </c>
      <c r="S452" t="s">
        <v>74</v>
      </c>
      <c r="T452" s="1" t="s">
        <v>74</v>
      </c>
      <c r="U452" s="1" t="s">
        <v>74</v>
      </c>
      <c r="V452" s="1" t="s">
        <v>10951</v>
      </c>
      <c r="W452" t="s">
        <v>10952</v>
      </c>
      <c r="X452" t="s">
        <v>10953</v>
      </c>
      <c r="Y452" t="s">
        <v>10954</v>
      </c>
      <c r="Z452" t="s">
        <v>74</v>
      </c>
      <c r="AA452" t="s">
        <v>10955</v>
      </c>
      <c r="AB452" t="s">
        <v>10956</v>
      </c>
      <c r="AC452" t="s">
        <v>74</v>
      </c>
      <c r="AD452" t="s">
        <v>74</v>
      </c>
      <c r="AE452" t="s">
        <v>74</v>
      </c>
      <c r="AF452" t="s">
        <v>74</v>
      </c>
      <c r="AG452">
        <v>20</v>
      </c>
      <c r="AH452">
        <v>1</v>
      </c>
      <c r="AI452">
        <v>1</v>
      </c>
      <c r="AJ452">
        <v>0</v>
      </c>
      <c r="AK452">
        <v>8</v>
      </c>
      <c r="AL452" t="s">
        <v>121</v>
      </c>
      <c r="AM452" t="s">
        <v>122</v>
      </c>
      <c r="AN452" t="s">
        <v>10957</v>
      </c>
      <c r="AO452" t="s">
        <v>74</v>
      </c>
      <c r="AP452" t="s">
        <v>74</v>
      </c>
      <c r="AQ452" t="s">
        <v>10958</v>
      </c>
      <c r="AR452" t="s">
        <v>10959</v>
      </c>
      <c r="AS452" t="s">
        <v>74</v>
      </c>
      <c r="AT452" t="s">
        <v>74</v>
      </c>
      <c r="AU452">
        <v>2017</v>
      </c>
      <c r="AV452">
        <v>16</v>
      </c>
      <c r="AW452" t="s">
        <v>74</v>
      </c>
      <c r="AX452" t="s">
        <v>74</v>
      </c>
      <c r="AY452" t="s">
        <v>74</v>
      </c>
      <c r="AZ452" t="s">
        <v>74</v>
      </c>
      <c r="BA452" t="s">
        <v>74</v>
      </c>
      <c r="BB452">
        <v>7</v>
      </c>
      <c r="BC452">
        <v>20</v>
      </c>
      <c r="BD452" t="s">
        <v>74</v>
      </c>
      <c r="BE452" t="s">
        <v>10960</v>
      </c>
      <c r="BF452" t="str">
        <f>HYPERLINK("http://dx.doi.org/10.1007/978-3-319-60348-3_2","http://dx.doi.org/10.1007/978-3-319-60348-3_2")</f>
        <v>http://dx.doi.org/10.1007/978-3-319-60348-3_2</v>
      </c>
      <c r="BG452" t="s">
        <v>10961</v>
      </c>
      <c r="BH452" t="s">
        <v>74</v>
      </c>
      <c r="BI452">
        <v>14</v>
      </c>
      <c r="BJ452" t="s">
        <v>10962</v>
      </c>
      <c r="BK452" t="s">
        <v>4943</v>
      </c>
      <c r="BL452" t="s">
        <v>340</v>
      </c>
      <c r="BM452" t="s">
        <v>10963</v>
      </c>
      <c r="BN452" t="s">
        <v>74</v>
      </c>
      <c r="BO452" t="s">
        <v>74</v>
      </c>
      <c r="BP452" t="s">
        <v>74</v>
      </c>
      <c r="BQ452" t="s">
        <v>74</v>
      </c>
      <c r="BR452" t="s">
        <v>106</v>
      </c>
      <c r="BS452" t="s">
        <v>10964</v>
      </c>
      <c r="BT452" t="str">
        <f>HYPERLINK("https%3A%2F%2Fwww.webofscience.com%2Fwos%2Fwoscc%2Ffull-record%2FWOS:000440134800003","View Full Record in Web of Science")</f>
        <v>View Full Record in Web of Science</v>
      </c>
    </row>
    <row r="453" spans="1:72" x14ac:dyDescent="0.25">
      <c r="A453" t="s">
        <v>72</v>
      </c>
      <c r="B453" t="s">
        <v>10965</v>
      </c>
      <c r="C453" t="s">
        <v>74</v>
      </c>
      <c r="D453" t="s">
        <v>74</v>
      </c>
      <c r="E453" t="s">
        <v>74</v>
      </c>
      <c r="F453" t="s">
        <v>10966</v>
      </c>
      <c r="G453" t="s">
        <v>74</v>
      </c>
      <c r="H453" t="s">
        <v>74</v>
      </c>
      <c r="I453" s="1" t="s">
        <v>10967</v>
      </c>
      <c r="J453" t="s">
        <v>10968</v>
      </c>
      <c r="K453" t="s">
        <v>74</v>
      </c>
      <c r="L453" t="s">
        <v>74</v>
      </c>
      <c r="M453" t="s">
        <v>78</v>
      </c>
      <c r="N453" t="s">
        <v>79</v>
      </c>
      <c r="O453" t="s">
        <v>74</v>
      </c>
      <c r="P453" t="s">
        <v>74</v>
      </c>
      <c r="Q453" t="s">
        <v>74</v>
      </c>
      <c r="R453" t="s">
        <v>74</v>
      </c>
      <c r="S453" t="s">
        <v>74</v>
      </c>
      <c r="T453" s="1" t="s">
        <v>10969</v>
      </c>
      <c r="U453" s="1" t="s">
        <v>74</v>
      </c>
      <c r="V453" s="1" t="s">
        <v>10970</v>
      </c>
      <c r="W453" t="s">
        <v>10971</v>
      </c>
      <c r="X453" t="s">
        <v>74</v>
      </c>
      <c r="Y453" t="s">
        <v>10972</v>
      </c>
      <c r="Z453" t="s">
        <v>10973</v>
      </c>
      <c r="AA453" t="s">
        <v>74</v>
      </c>
      <c r="AB453" t="s">
        <v>74</v>
      </c>
      <c r="AC453" t="s">
        <v>74</v>
      </c>
      <c r="AD453" t="s">
        <v>74</v>
      </c>
      <c r="AE453" t="s">
        <v>74</v>
      </c>
      <c r="AF453" t="s">
        <v>74</v>
      </c>
      <c r="AG453">
        <v>0</v>
      </c>
      <c r="AH453">
        <v>1</v>
      </c>
      <c r="AI453">
        <v>1</v>
      </c>
      <c r="AJ453">
        <v>0</v>
      </c>
      <c r="AK453">
        <v>8</v>
      </c>
      <c r="AL453" t="s">
        <v>715</v>
      </c>
      <c r="AM453" t="s">
        <v>716</v>
      </c>
      <c r="AN453" t="s">
        <v>717</v>
      </c>
      <c r="AO453" t="s">
        <v>10974</v>
      </c>
      <c r="AP453" t="s">
        <v>10975</v>
      </c>
      <c r="AQ453" t="s">
        <v>74</v>
      </c>
      <c r="AR453" t="s">
        <v>10976</v>
      </c>
      <c r="AS453" t="s">
        <v>10977</v>
      </c>
      <c r="AT453" t="s">
        <v>74</v>
      </c>
      <c r="AU453">
        <v>2017</v>
      </c>
      <c r="AV453">
        <v>25</v>
      </c>
      <c r="AW453">
        <v>3</v>
      </c>
      <c r="AX453" t="s">
        <v>74</v>
      </c>
      <c r="AY453" t="s">
        <v>74</v>
      </c>
      <c r="AZ453" t="s">
        <v>1020</v>
      </c>
      <c r="BA453" t="s">
        <v>74</v>
      </c>
      <c r="BB453">
        <v>177</v>
      </c>
      <c r="BC453">
        <v>180</v>
      </c>
      <c r="BD453" t="s">
        <v>74</v>
      </c>
      <c r="BE453" t="s">
        <v>10978</v>
      </c>
      <c r="BF453" t="str">
        <f>HYPERLINK("http://dx.doi.org/10.1108/OTH-05-2017-0025","http://dx.doi.org/10.1108/OTH-05-2017-0025")</f>
        <v>http://dx.doi.org/10.1108/OTH-05-2017-0025</v>
      </c>
      <c r="BG453" t="s">
        <v>74</v>
      </c>
      <c r="BH453" t="s">
        <v>74</v>
      </c>
      <c r="BI453">
        <v>4</v>
      </c>
      <c r="BJ453" t="s">
        <v>1326</v>
      </c>
      <c r="BK453" t="s">
        <v>183</v>
      </c>
      <c r="BL453" t="s">
        <v>1326</v>
      </c>
      <c r="BM453" t="s">
        <v>10979</v>
      </c>
      <c r="BN453" t="s">
        <v>74</v>
      </c>
      <c r="BO453" t="s">
        <v>74</v>
      </c>
      <c r="BP453" t="s">
        <v>74</v>
      </c>
      <c r="BQ453" t="s">
        <v>74</v>
      </c>
      <c r="BR453" t="s">
        <v>106</v>
      </c>
      <c r="BS453" t="s">
        <v>10980</v>
      </c>
      <c r="BT453" t="str">
        <f>HYPERLINK("https%3A%2F%2Fwww.webofscience.com%2Fwos%2Fwoscc%2Ffull-record%2FWOS:000407594600008","View Full Record in Web of Science")</f>
        <v>View Full Record in Web of Science</v>
      </c>
    </row>
    <row r="454" spans="1:72" x14ac:dyDescent="0.25">
      <c r="A454" t="s">
        <v>72</v>
      </c>
      <c r="B454" t="s">
        <v>11098</v>
      </c>
      <c r="C454" t="s">
        <v>74</v>
      </c>
      <c r="D454" t="s">
        <v>74</v>
      </c>
      <c r="E454" t="s">
        <v>74</v>
      </c>
      <c r="F454" t="s">
        <v>11099</v>
      </c>
      <c r="G454" t="s">
        <v>74</v>
      </c>
      <c r="H454" t="s">
        <v>74</v>
      </c>
      <c r="I454" s="1" t="s">
        <v>11100</v>
      </c>
      <c r="J454" t="s">
        <v>11101</v>
      </c>
      <c r="K454" t="s">
        <v>74</v>
      </c>
      <c r="L454" t="s">
        <v>74</v>
      </c>
      <c r="M454" t="s">
        <v>78</v>
      </c>
      <c r="N454" t="s">
        <v>7247</v>
      </c>
      <c r="O454" t="s">
        <v>11102</v>
      </c>
      <c r="P454" t="s">
        <v>11103</v>
      </c>
      <c r="Q454" t="s">
        <v>11104</v>
      </c>
      <c r="R454" t="s">
        <v>11105</v>
      </c>
      <c r="S454" t="s">
        <v>74</v>
      </c>
      <c r="T454" s="1" t="s">
        <v>74</v>
      </c>
      <c r="U454" s="1" t="s">
        <v>74</v>
      </c>
      <c r="V454" s="1" t="s">
        <v>11106</v>
      </c>
      <c r="W454" t="s">
        <v>11107</v>
      </c>
      <c r="X454" t="s">
        <v>9522</v>
      </c>
      <c r="Y454" t="s">
        <v>11108</v>
      </c>
      <c r="Z454" t="s">
        <v>74</v>
      </c>
      <c r="AA454" t="s">
        <v>74</v>
      </c>
      <c r="AB454" t="s">
        <v>74</v>
      </c>
      <c r="AC454" t="s">
        <v>74</v>
      </c>
      <c r="AD454" t="s">
        <v>74</v>
      </c>
      <c r="AE454" t="s">
        <v>74</v>
      </c>
      <c r="AF454" t="s">
        <v>74</v>
      </c>
      <c r="AG454">
        <v>56</v>
      </c>
      <c r="AH454">
        <v>1</v>
      </c>
      <c r="AI454">
        <v>1</v>
      </c>
      <c r="AJ454">
        <v>0</v>
      </c>
      <c r="AK454">
        <v>15</v>
      </c>
      <c r="AL454" t="s">
        <v>11109</v>
      </c>
      <c r="AM454" t="s">
        <v>9646</v>
      </c>
      <c r="AN454" t="s">
        <v>11110</v>
      </c>
      <c r="AO454" t="s">
        <v>11111</v>
      </c>
      <c r="AP454" t="s">
        <v>11112</v>
      </c>
      <c r="AQ454" t="s">
        <v>74</v>
      </c>
      <c r="AR454" t="s">
        <v>11113</v>
      </c>
      <c r="AS454" t="s">
        <v>11114</v>
      </c>
      <c r="AT454" t="s">
        <v>11115</v>
      </c>
      <c r="AU454">
        <v>2016</v>
      </c>
      <c r="AV454">
        <v>65</v>
      </c>
      <c r="AW454">
        <v>2</v>
      </c>
      <c r="AX454" t="s">
        <v>74</v>
      </c>
      <c r="AY454" t="s">
        <v>74</v>
      </c>
      <c r="AZ454" t="s">
        <v>74</v>
      </c>
      <c r="BA454" t="s">
        <v>74</v>
      </c>
      <c r="BB454">
        <v>165</v>
      </c>
      <c r="BC454">
        <v>179</v>
      </c>
      <c r="BD454" t="s">
        <v>74</v>
      </c>
      <c r="BE454" t="s">
        <v>11116</v>
      </c>
      <c r="BF454" t="str">
        <f>HYPERLINK("http://dx.doi.org/10.1353/lib.2016.0029","http://dx.doi.org/10.1353/lib.2016.0029")</f>
        <v>http://dx.doi.org/10.1353/lib.2016.0029</v>
      </c>
      <c r="BG454" t="s">
        <v>74</v>
      </c>
      <c r="BH454" t="s">
        <v>74</v>
      </c>
      <c r="BI454">
        <v>15</v>
      </c>
      <c r="BJ454" t="s">
        <v>3050</v>
      </c>
      <c r="BK454" t="s">
        <v>7901</v>
      </c>
      <c r="BL454" t="s">
        <v>3050</v>
      </c>
      <c r="BM454" t="s">
        <v>11117</v>
      </c>
      <c r="BN454" t="s">
        <v>74</v>
      </c>
      <c r="BO454" t="s">
        <v>2623</v>
      </c>
      <c r="BP454" t="s">
        <v>74</v>
      </c>
      <c r="BQ454" t="s">
        <v>74</v>
      </c>
      <c r="BR454" t="s">
        <v>106</v>
      </c>
      <c r="BS454" t="s">
        <v>11118</v>
      </c>
      <c r="BT454" t="str">
        <f>HYPERLINK("https%3A%2F%2Fwww.webofscience.com%2Fwos%2Fwoscc%2Ffull-record%2FWOS:000388440900006","View Full Record in Web of Science")</f>
        <v>View Full Record in Web of Science</v>
      </c>
    </row>
    <row r="455" spans="1:72" x14ac:dyDescent="0.25">
      <c r="A455" t="s">
        <v>72</v>
      </c>
      <c r="B455" t="s">
        <v>11198</v>
      </c>
      <c r="C455" t="s">
        <v>74</v>
      </c>
      <c r="D455" t="s">
        <v>74</v>
      </c>
      <c r="E455" t="s">
        <v>74</v>
      </c>
      <c r="F455" t="s">
        <v>11199</v>
      </c>
      <c r="G455" t="s">
        <v>74</v>
      </c>
      <c r="H455" t="s">
        <v>74</v>
      </c>
      <c r="I455" s="1" t="s">
        <v>11200</v>
      </c>
      <c r="J455" t="s">
        <v>11201</v>
      </c>
      <c r="K455" t="s">
        <v>74</v>
      </c>
      <c r="L455" t="s">
        <v>74</v>
      </c>
      <c r="M455" t="s">
        <v>78</v>
      </c>
      <c r="N455" t="s">
        <v>79</v>
      </c>
      <c r="O455" t="s">
        <v>74</v>
      </c>
      <c r="P455" t="s">
        <v>74</v>
      </c>
      <c r="Q455" t="s">
        <v>74</v>
      </c>
      <c r="R455" t="s">
        <v>74</v>
      </c>
      <c r="S455" t="s">
        <v>74</v>
      </c>
      <c r="T455" s="1" t="s">
        <v>11202</v>
      </c>
      <c r="U455" s="1" t="s">
        <v>11203</v>
      </c>
      <c r="V455" s="1" t="s">
        <v>11204</v>
      </c>
      <c r="W455" t="s">
        <v>11205</v>
      </c>
      <c r="X455" t="s">
        <v>11206</v>
      </c>
      <c r="Y455" t="s">
        <v>11207</v>
      </c>
      <c r="Z455" t="s">
        <v>11208</v>
      </c>
      <c r="AA455" t="s">
        <v>11209</v>
      </c>
      <c r="AB455" t="s">
        <v>74</v>
      </c>
      <c r="AC455" t="s">
        <v>11210</v>
      </c>
      <c r="AD455" t="s">
        <v>11211</v>
      </c>
      <c r="AE455" t="s">
        <v>11212</v>
      </c>
      <c r="AF455" t="s">
        <v>74</v>
      </c>
      <c r="AG455">
        <v>13</v>
      </c>
      <c r="AH455">
        <v>1</v>
      </c>
      <c r="AI455">
        <v>1</v>
      </c>
      <c r="AJ455">
        <v>1</v>
      </c>
      <c r="AK455">
        <v>11</v>
      </c>
      <c r="AL455" t="s">
        <v>2153</v>
      </c>
      <c r="AM455" t="s">
        <v>2154</v>
      </c>
      <c r="AN455" t="s">
        <v>2155</v>
      </c>
      <c r="AO455" t="s">
        <v>11213</v>
      </c>
      <c r="AP455" t="s">
        <v>11214</v>
      </c>
      <c r="AQ455" t="s">
        <v>74</v>
      </c>
      <c r="AR455" t="s">
        <v>11215</v>
      </c>
      <c r="AS455" t="s">
        <v>11216</v>
      </c>
      <c r="AT455" t="s">
        <v>1138</v>
      </c>
      <c r="AU455">
        <v>2016</v>
      </c>
      <c r="AV455">
        <v>26</v>
      </c>
      <c r="AW455">
        <v>4</v>
      </c>
      <c r="AX455" t="s">
        <v>74</v>
      </c>
      <c r="AY455" t="s">
        <v>74</v>
      </c>
      <c r="AZ455" t="s">
        <v>74</v>
      </c>
      <c r="BA455" t="s">
        <v>74</v>
      </c>
      <c r="BB455" t="s">
        <v>74</v>
      </c>
      <c r="BC455" t="s">
        <v>74</v>
      </c>
      <c r="BD455">
        <v>600105</v>
      </c>
      <c r="BE455" t="s">
        <v>11217</v>
      </c>
      <c r="BF455" t="str">
        <f>HYPERLINK("http://dx.doi.org/10.1109/TASC.2015.2513211","http://dx.doi.org/10.1109/TASC.2015.2513211")</f>
        <v>http://dx.doi.org/10.1109/TASC.2015.2513211</v>
      </c>
      <c r="BG455" t="s">
        <v>74</v>
      </c>
      <c r="BH455" t="s">
        <v>74</v>
      </c>
      <c r="BI455">
        <v>5</v>
      </c>
      <c r="BJ455" t="s">
        <v>11218</v>
      </c>
      <c r="BK455" t="s">
        <v>102</v>
      </c>
      <c r="BL455" t="s">
        <v>11219</v>
      </c>
      <c r="BM455" t="s">
        <v>11220</v>
      </c>
      <c r="BN455" t="s">
        <v>74</v>
      </c>
      <c r="BO455" t="s">
        <v>74</v>
      </c>
      <c r="BP455" t="s">
        <v>74</v>
      </c>
      <c r="BQ455" t="s">
        <v>74</v>
      </c>
      <c r="BR455" t="s">
        <v>106</v>
      </c>
      <c r="BS455" t="s">
        <v>11221</v>
      </c>
      <c r="BT455" t="str">
        <f>HYPERLINK("https%3A%2F%2Fwww.webofscience.com%2Fwos%2Fwoscc%2Ffull-record%2FWOS:000369078300001","View Full Record in Web of Science")</f>
        <v>View Full Record in Web of Science</v>
      </c>
    </row>
    <row r="456" spans="1:72" x14ac:dyDescent="0.25">
      <c r="A456" t="s">
        <v>72</v>
      </c>
      <c r="B456" t="s">
        <v>11222</v>
      </c>
      <c r="C456" t="s">
        <v>74</v>
      </c>
      <c r="D456" t="s">
        <v>74</v>
      </c>
      <c r="E456" t="s">
        <v>74</v>
      </c>
      <c r="F456" t="s">
        <v>11223</v>
      </c>
      <c r="G456" t="s">
        <v>74</v>
      </c>
      <c r="H456" t="s">
        <v>74</v>
      </c>
      <c r="I456" s="1" t="s">
        <v>11224</v>
      </c>
      <c r="J456" t="s">
        <v>11225</v>
      </c>
      <c r="K456" t="s">
        <v>74</v>
      </c>
      <c r="L456" t="s">
        <v>74</v>
      </c>
      <c r="M456" t="s">
        <v>78</v>
      </c>
      <c r="N456" t="s">
        <v>79</v>
      </c>
      <c r="O456" t="s">
        <v>74</v>
      </c>
      <c r="P456" t="s">
        <v>74</v>
      </c>
      <c r="Q456" t="s">
        <v>74</v>
      </c>
      <c r="R456" t="s">
        <v>74</v>
      </c>
      <c r="S456" t="s">
        <v>74</v>
      </c>
      <c r="T456" s="1" t="s">
        <v>11226</v>
      </c>
      <c r="U456" s="1" t="s">
        <v>74</v>
      </c>
      <c r="V456" s="1" t="s">
        <v>11227</v>
      </c>
      <c r="W456" t="s">
        <v>11228</v>
      </c>
      <c r="X456" t="s">
        <v>11229</v>
      </c>
      <c r="Y456" t="s">
        <v>11230</v>
      </c>
      <c r="Z456" t="s">
        <v>11231</v>
      </c>
      <c r="AA456" t="s">
        <v>11232</v>
      </c>
      <c r="AB456" t="s">
        <v>11233</v>
      </c>
      <c r="AC456" t="s">
        <v>11234</v>
      </c>
      <c r="AD456" t="s">
        <v>11234</v>
      </c>
      <c r="AE456" t="s">
        <v>11235</v>
      </c>
      <c r="AF456" t="s">
        <v>74</v>
      </c>
      <c r="AG456">
        <v>24</v>
      </c>
      <c r="AH456">
        <v>1</v>
      </c>
      <c r="AI456">
        <v>1</v>
      </c>
      <c r="AJ456">
        <v>3</v>
      </c>
      <c r="AK456">
        <v>21</v>
      </c>
      <c r="AL456" t="s">
        <v>1468</v>
      </c>
      <c r="AM456" t="s">
        <v>175</v>
      </c>
      <c r="AN456" t="s">
        <v>1469</v>
      </c>
      <c r="AO456" t="s">
        <v>11236</v>
      </c>
      <c r="AP456" t="s">
        <v>11237</v>
      </c>
      <c r="AQ456" t="s">
        <v>74</v>
      </c>
      <c r="AR456" t="s">
        <v>11238</v>
      </c>
      <c r="AS456" t="s">
        <v>11239</v>
      </c>
      <c r="AT456" t="s">
        <v>1138</v>
      </c>
      <c r="AU456">
        <v>2016</v>
      </c>
      <c r="AV456">
        <v>48</v>
      </c>
      <c r="AW456">
        <v>2</v>
      </c>
      <c r="AX456" t="s">
        <v>74</v>
      </c>
      <c r="AY456" t="s">
        <v>74</v>
      </c>
      <c r="AZ456" t="s">
        <v>74</v>
      </c>
      <c r="BA456" t="s">
        <v>74</v>
      </c>
      <c r="BB456">
        <v>209</v>
      </c>
      <c r="BC456">
        <v>217</v>
      </c>
      <c r="BD456" t="s">
        <v>74</v>
      </c>
      <c r="BE456" t="s">
        <v>11240</v>
      </c>
      <c r="BF456" t="str">
        <f>HYPERLINK("http://dx.doi.org/10.1177/0961000615591649","http://dx.doi.org/10.1177/0961000615591649")</f>
        <v>http://dx.doi.org/10.1177/0961000615591649</v>
      </c>
      <c r="BG456" t="s">
        <v>74</v>
      </c>
      <c r="BH456" t="s">
        <v>74</v>
      </c>
      <c r="BI456">
        <v>9</v>
      </c>
      <c r="BJ456" t="s">
        <v>3050</v>
      </c>
      <c r="BK456" t="s">
        <v>156</v>
      </c>
      <c r="BL456" t="s">
        <v>3050</v>
      </c>
      <c r="BM456" t="s">
        <v>11241</v>
      </c>
      <c r="BN456" t="s">
        <v>74</v>
      </c>
      <c r="BO456" t="s">
        <v>74</v>
      </c>
      <c r="BP456" t="s">
        <v>74</v>
      </c>
      <c r="BQ456" t="s">
        <v>74</v>
      </c>
      <c r="BR456" t="s">
        <v>106</v>
      </c>
      <c r="BS456" t="s">
        <v>11242</v>
      </c>
      <c r="BT456" t="str">
        <f>HYPERLINK("https%3A%2F%2Fwww.webofscience.com%2Fwos%2Fwoscc%2Ffull-record%2FWOS:000378142900007","View Full Record in Web of Science")</f>
        <v>View Full Record in Web of Science</v>
      </c>
    </row>
    <row r="457" spans="1:72" x14ac:dyDescent="0.25">
      <c r="A457" t="s">
        <v>72</v>
      </c>
      <c r="B457" t="s">
        <v>11318</v>
      </c>
      <c r="C457" t="s">
        <v>74</v>
      </c>
      <c r="D457" t="s">
        <v>74</v>
      </c>
      <c r="E457" t="s">
        <v>74</v>
      </c>
      <c r="F457" t="s">
        <v>11319</v>
      </c>
      <c r="G457" t="s">
        <v>74</v>
      </c>
      <c r="H457" t="s">
        <v>74</v>
      </c>
      <c r="I457" s="1" t="s">
        <v>11320</v>
      </c>
      <c r="J457" t="s">
        <v>11321</v>
      </c>
      <c r="K457" t="s">
        <v>74</v>
      </c>
      <c r="L457" t="s">
        <v>74</v>
      </c>
      <c r="M457" t="s">
        <v>929</v>
      </c>
      <c r="N457" t="s">
        <v>79</v>
      </c>
      <c r="O457" t="s">
        <v>74</v>
      </c>
      <c r="P457" t="s">
        <v>74</v>
      </c>
      <c r="Q457" t="s">
        <v>74</v>
      </c>
      <c r="R457" t="s">
        <v>74</v>
      </c>
      <c r="S457" t="s">
        <v>74</v>
      </c>
      <c r="T457" s="1" t="s">
        <v>11322</v>
      </c>
      <c r="U457" s="1" t="s">
        <v>74</v>
      </c>
      <c r="V457" s="1" t="s">
        <v>11323</v>
      </c>
      <c r="W457" t="s">
        <v>11324</v>
      </c>
      <c r="X457" t="s">
        <v>74</v>
      </c>
      <c r="Y457" t="s">
        <v>11325</v>
      </c>
      <c r="Z457" t="s">
        <v>11326</v>
      </c>
      <c r="AA457" t="s">
        <v>74</v>
      </c>
      <c r="AB457" t="s">
        <v>74</v>
      </c>
      <c r="AC457" t="s">
        <v>74</v>
      </c>
      <c r="AD457" t="s">
        <v>74</v>
      </c>
      <c r="AE457" t="s">
        <v>74</v>
      </c>
      <c r="AF457" t="s">
        <v>74</v>
      </c>
      <c r="AG457">
        <v>11</v>
      </c>
      <c r="AH457">
        <v>1</v>
      </c>
      <c r="AI457">
        <v>1</v>
      </c>
      <c r="AJ457">
        <v>1</v>
      </c>
      <c r="AK457">
        <v>7</v>
      </c>
      <c r="AL457" t="s">
        <v>11327</v>
      </c>
      <c r="AM457" t="s">
        <v>11328</v>
      </c>
      <c r="AN457" t="s">
        <v>11329</v>
      </c>
      <c r="AO457" t="s">
        <v>11330</v>
      </c>
      <c r="AP457" t="s">
        <v>11331</v>
      </c>
      <c r="AQ457" t="s">
        <v>74</v>
      </c>
      <c r="AR457" t="s">
        <v>11332</v>
      </c>
      <c r="AS457" t="s">
        <v>11333</v>
      </c>
      <c r="AT457" t="s">
        <v>74</v>
      </c>
      <c r="AU457">
        <v>2016</v>
      </c>
      <c r="AV457">
        <v>9</v>
      </c>
      <c r="AW457">
        <v>1</v>
      </c>
      <c r="AX457" t="s">
        <v>74</v>
      </c>
      <c r="AY457" t="s">
        <v>74</v>
      </c>
      <c r="AZ457" t="s">
        <v>74</v>
      </c>
      <c r="BA457" t="s">
        <v>74</v>
      </c>
      <c r="BB457">
        <v>126</v>
      </c>
      <c r="BC457">
        <v>130</v>
      </c>
      <c r="BD457" t="s">
        <v>74</v>
      </c>
      <c r="BE457" t="s">
        <v>74</v>
      </c>
      <c r="BF457" t="s">
        <v>74</v>
      </c>
      <c r="BG457" t="s">
        <v>74</v>
      </c>
      <c r="BH457" t="s">
        <v>74</v>
      </c>
      <c r="BI457">
        <v>5</v>
      </c>
      <c r="BJ457" t="s">
        <v>1664</v>
      </c>
      <c r="BK457" t="s">
        <v>156</v>
      </c>
      <c r="BL457" t="s">
        <v>1665</v>
      </c>
      <c r="BM457" t="s">
        <v>11334</v>
      </c>
      <c r="BN457" t="s">
        <v>74</v>
      </c>
      <c r="BO457" t="s">
        <v>74</v>
      </c>
      <c r="BP457" t="s">
        <v>74</v>
      </c>
      <c r="BQ457" t="s">
        <v>74</v>
      </c>
      <c r="BR457" t="s">
        <v>106</v>
      </c>
      <c r="BS457" t="s">
        <v>11335</v>
      </c>
      <c r="BT457" t="str">
        <f>HYPERLINK("https%3A%2F%2Fwww.webofscience.com%2Fwos%2Fwoscc%2Ffull-record%2FWOS:000388576900012","View Full Record in Web of Science")</f>
        <v>View Full Record in Web of Science</v>
      </c>
    </row>
    <row r="458" spans="1:72" x14ac:dyDescent="0.25">
      <c r="A458" t="s">
        <v>72</v>
      </c>
      <c r="B458" t="s">
        <v>11769</v>
      </c>
      <c r="C458" t="s">
        <v>74</v>
      </c>
      <c r="D458" t="s">
        <v>74</v>
      </c>
      <c r="E458" t="s">
        <v>74</v>
      </c>
      <c r="F458" t="s">
        <v>11770</v>
      </c>
      <c r="G458" t="s">
        <v>74</v>
      </c>
      <c r="H458" t="s">
        <v>74</v>
      </c>
      <c r="I458" s="1" t="s">
        <v>11771</v>
      </c>
      <c r="J458" t="s">
        <v>11772</v>
      </c>
      <c r="K458" t="s">
        <v>74</v>
      </c>
      <c r="L458" t="s">
        <v>74</v>
      </c>
      <c r="M458" t="s">
        <v>929</v>
      </c>
      <c r="N458" t="s">
        <v>79</v>
      </c>
      <c r="O458" t="s">
        <v>74</v>
      </c>
      <c r="P458" t="s">
        <v>74</v>
      </c>
      <c r="Q458" t="s">
        <v>74</v>
      </c>
      <c r="R458" t="s">
        <v>74</v>
      </c>
      <c r="S458" t="s">
        <v>74</v>
      </c>
      <c r="T458" s="1" t="s">
        <v>11773</v>
      </c>
      <c r="U458" s="1" t="s">
        <v>74</v>
      </c>
      <c r="V458" s="1" t="s">
        <v>11774</v>
      </c>
      <c r="W458" t="s">
        <v>11775</v>
      </c>
      <c r="X458" t="s">
        <v>11776</v>
      </c>
      <c r="Y458" t="s">
        <v>11777</v>
      </c>
      <c r="Z458" t="s">
        <v>11778</v>
      </c>
      <c r="AA458" t="s">
        <v>74</v>
      </c>
      <c r="AB458" t="s">
        <v>74</v>
      </c>
      <c r="AC458" t="s">
        <v>74</v>
      </c>
      <c r="AD458" t="s">
        <v>74</v>
      </c>
      <c r="AE458" t="s">
        <v>74</v>
      </c>
      <c r="AF458" t="s">
        <v>74</v>
      </c>
      <c r="AG458">
        <v>18</v>
      </c>
      <c r="AH458">
        <v>1</v>
      </c>
      <c r="AI458">
        <v>1</v>
      </c>
      <c r="AJ458">
        <v>0</v>
      </c>
      <c r="AK458">
        <v>0</v>
      </c>
      <c r="AL458" t="s">
        <v>11779</v>
      </c>
      <c r="AM458" t="s">
        <v>11189</v>
      </c>
      <c r="AN458" t="s">
        <v>11780</v>
      </c>
      <c r="AO458" t="s">
        <v>11781</v>
      </c>
      <c r="AP458" t="s">
        <v>11782</v>
      </c>
      <c r="AQ458" t="s">
        <v>74</v>
      </c>
      <c r="AR458" t="s">
        <v>11783</v>
      </c>
      <c r="AS458" t="s">
        <v>11784</v>
      </c>
      <c r="AT458" t="s">
        <v>208</v>
      </c>
      <c r="AU458">
        <v>2014</v>
      </c>
      <c r="AV458" t="s">
        <v>74</v>
      </c>
      <c r="AW458">
        <v>126</v>
      </c>
      <c r="AX458" t="s">
        <v>74</v>
      </c>
      <c r="AY458" t="s">
        <v>74</v>
      </c>
      <c r="AZ458" t="s">
        <v>74</v>
      </c>
      <c r="BA458" t="s">
        <v>74</v>
      </c>
      <c r="BB458">
        <v>116</v>
      </c>
      <c r="BC458">
        <v>123</v>
      </c>
      <c r="BD458" t="s">
        <v>74</v>
      </c>
      <c r="BE458" t="s">
        <v>74</v>
      </c>
      <c r="BF458" t="s">
        <v>74</v>
      </c>
      <c r="BG458" t="s">
        <v>74</v>
      </c>
      <c r="BH458" t="s">
        <v>74</v>
      </c>
      <c r="BI458">
        <v>8</v>
      </c>
      <c r="BJ458" t="s">
        <v>2218</v>
      </c>
      <c r="BK458" t="s">
        <v>183</v>
      </c>
      <c r="BL458" t="s">
        <v>2218</v>
      </c>
      <c r="BM458" t="s">
        <v>11785</v>
      </c>
      <c r="BN458" t="s">
        <v>74</v>
      </c>
      <c r="BO458" t="s">
        <v>74</v>
      </c>
      <c r="BP458" t="s">
        <v>74</v>
      </c>
      <c r="BQ458" t="s">
        <v>74</v>
      </c>
      <c r="BR458" t="s">
        <v>106</v>
      </c>
      <c r="BS458" t="s">
        <v>11786</v>
      </c>
      <c r="BT458" t="str">
        <f>HYPERLINK("https%3A%2F%2Fwww.webofscience.com%2Fwos%2Fwoscc%2Ffull-record%2FWOS:000454015100012","View Full Record in Web of Science")</f>
        <v>View Full Record in Web of Science</v>
      </c>
    </row>
    <row r="459" spans="1:72" x14ac:dyDescent="0.25">
      <c r="A459" t="s">
        <v>72</v>
      </c>
      <c r="B459" t="s">
        <v>11787</v>
      </c>
      <c r="C459" t="s">
        <v>74</v>
      </c>
      <c r="D459" t="s">
        <v>74</v>
      </c>
      <c r="E459" t="s">
        <v>74</v>
      </c>
      <c r="F459" t="s">
        <v>11788</v>
      </c>
      <c r="G459" t="s">
        <v>74</v>
      </c>
      <c r="H459" t="s">
        <v>74</v>
      </c>
      <c r="I459" s="1" t="s">
        <v>11789</v>
      </c>
      <c r="J459" t="s">
        <v>11790</v>
      </c>
      <c r="K459" t="s">
        <v>74</v>
      </c>
      <c r="L459" t="s">
        <v>74</v>
      </c>
      <c r="M459" t="s">
        <v>78</v>
      </c>
      <c r="N459" t="s">
        <v>79</v>
      </c>
      <c r="O459" t="s">
        <v>74</v>
      </c>
      <c r="P459" t="s">
        <v>74</v>
      </c>
      <c r="Q459" t="s">
        <v>74</v>
      </c>
      <c r="R459" t="s">
        <v>74</v>
      </c>
      <c r="S459" t="s">
        <v>74</v>
      </c>
      <c r="T459" s="1" t="s">
        <v>11791</v>
      </c>
      <c r="U459" s="1" t="s">
        <v>11792</v>
      </c>
      <c r="V459" s="1" t="s">
        <v>11793</v>
      </c>
      <c r="W459" t="s">
        <v>11794</v>
      </c>
      <c r="X459" t="s">
        <v>11795</v>
      </c>
      <c r="Y459" t="s">
        <v>11796</v>
      </c>
      <c r="Z459" t="s">
        <v>11797</v>
      </c>
      <c r="AA459" t="s">
        <v>74</v>
      </c>
      <c r="AB459" t="s">
        <v>74</v>
      </c>
      <c r="AC459" t="s">
        <v>74</v>
      </c>
      <c r="AD459" t="s">
        <v>74</v>
      </c>
      <c r="AE459" t="s">
        <v>74</v>
      </c>
      <c r="AF459" t="s">
        <v>74</v>
      </c>
      <c r="AG459">
        <v>7</v>
      </c>
      <c r="AH459">
        <v>1</v>
      </c>
      <c r="AI459">
        <v>2</v>
      </c>
      <c r="AJ459">
        <v>0</v>
      </c>
      <c r="AK459">
        <v>0</v>
      </c>
      <c r="AL459" t="s">
        <v>11798</v>
      </c>
      <c r="AM459" t="s">
        <v>11799</v>
      </c>
      <c r="AN459" t="s">
        <v>11800</v>
      </c>
      <c r="AO459" t="s">
        <v>11801</v>
      </c>
      <c r="AP459" t="s">
        <v>11802</v>
      </c>
      <c r="AQ459" t="s">
        <v>74</v>
      </c>
      <c r="AR459" t="s">
        <v>11803</v>
      </c>
      <c r="AS459" t="s">
        <v>11804</v>
      </c>
      <c r="AT459" t="s">
        <v>837</v>
      </c>
      <c r="AU459">
        <v>2014</v>
      </c>
      <c r="AV459">
        <v>69</v>
      </c>
      <c r="AW459">
        <v>3</v>
      </c>
      <c r="AX459" t="s">
        <v>74</v>
      </c>
      <c r="AY459" t="s">
        <v>74</v>
      </c>
      <c r="AZ459" t="s">
        <v>74</v>
      </c>
      <c r="BA459" t="s">
        <v>74</v>
      </c>
      <c r="BB459">
        <v>573</v>
      </c>
      <c r="BC459">
        <v>575</v>
      </c>
      <c r="BD459" t="s">
        <v>74</v>
      </c>
      <c r="BE459" t="s">
        <v>11805</v>
      </c>
      <c r="BF459" t="str">
        <f>HYPERLINK("http://dx.doi.org/10.1007/s12013-014-9834-6","http://dx.doi.org/10.1007/s12013-014-9834-6")</f>
        <v>http://dx.doi.org/10.1007/s12013-014-9834-6</v>
      </c>
      <c r="BG459" t="s">
        <v>74</v>
      </c>
      <c r="BH459" t="s">
        <v>74</v>
      </c>
      <c r="BI459">
        <v>3</v>
      </c>
      <c r="BJ459" t="s">
        <v>11806</v>
      </c>
      <c r="BK459" t="s">
        <v>102</v>
      </c>
      <c r="BL459" t="s">
        <v>11806</v>
      </c>
      <c r="BM459" t="s">
        <v>11807</v>
      </c>
      <c r="BN459">
        <v>24554484</v>
      </c>
      <c r="BO459" t="s">
        <v>74</v>
      </c>
      <c r="BP459" t="s">
        <v>74</v>
      </c>
      <c r="BQ459" t="s">
        <v>74</v>
      </c>
      <c r="BR459" t="s">
        <v>106</v>
      </c>
      <c r="BS459" t="s">
        <v>11808</v>
      </c>
      <c r="BT459" t="str">
        <f>HYPERLINK("https%3A%2F%2Fwww.webofscience.com%2Fwos%2Fwoscc%2Ffull-record%2FWOS:000337787700026","View Full Record in Web of Science")</f>
        <v>View Full Record in Web of Science</v>
      </c>
    </row>
    <row r="460" spans="1:72" x14ac:dyDescent="0.25">
      <c r="A460" t="s">
        <v>477</v>
      </c>
      <c r="B460" t="s">
        <v>11970</v>
      </c>
      <c r="C460" t="s">
        <v>74</v>
      </c>
      <c r="D460" t="s">
        <v>11971</v>
      </c>
      <c r="E460" t="s">
        <v>74</v>
      </c>
      <c r="F460" t="s">
        <v>11972</v>
      </c>
      <c r="G460" t="s">
        <v>74</v>
      </c>
      <c r="H460" t="s">
        <v>74</v>
      </c>
      <c r="I460" s="1" t="s">
        <v>11973</v>
      </c>
      <c r="J460" t="s">
        <v>11974</v>
      </c>
      <c r="K460" t="s">
        <v>74</v>
      </c>
      <c r="L460" t="s">
        <v>74</v>
      </c>
      <c r="M460" t="s">
        <v>78</v>
      </c>
      <c r="N460" t="s">
        <v>4932</v>
      </c>
      <c r="O460" t="s">
        <v>74</v>
      </c>
      <c r="P460" t="s">
        <v>74</v>
      </c>
      <c r="Q460" t="s">
        <v>74</v>
      </c>
      <c r="R460" t="s">
        <v>74</v>
      </c>
      <c r="S460" t="s">
        <v>74</v>
      </c>
      <c r="T460" s="1" t="s">
        <v>74</v>
      </c>
      <c r="U460" s="1" t="s">
        <v>74</v>
      </c>
      <c r="V460" s="1" t="s">
        <v>74</v>
      </c>
      <c r="W460" t="s">
        <v>11975</v>
      </c>
      <c r="X460" t="s">
        <v>11976</v>
      </c>
      <c r="Y460" t="s">
        <v>11977</v>
      </c>
      <c r="Z460" t="s">
        <v>74</v>
      </c>
      <c r="AA460" t="s">
        <v>74</v>
      </c>
      <c r="AB460" t="s">
        <v>74</v>
      </c>
      <c r="AC460" t="s">
        <v>74</v>
      </c>
      <c r="AD460" t="s">
        <v>74</v>
      </c>
      <c r="AE460" t="s">
        <v>74</v>
      </c>
      <c r="AF460" t="s">
        <v>74</v>
      </c>
      <c r="AG460">
        <v>10</v>
      </c>
      <c r="AH460">
        <v>1</v>
      </c>
      <c r="AI460">
        <v>1</v>
      </c>
      <c r="AJ460">
        <v>0</v>
      </c>
      <c r="AK460">
        <v>1</v>
      </c>
      <c r="AL460" t="s">
        <v>3433</v>
      </c>
      <c r="AM460" t="s">
        <v>878</v>
      </c>
      <c r="AN460" t="s">
        <v>11978</v>
      </c>
      <c r="AO460" t="s">
        <v>74</v>
      </c>
      <c r="AP460" t="s">
        <v>74</v>
      </c>
      <c r="AQ460" t="s">
        <v>11979</v>
      </c>
      <c r="AR460" t="s">
        <v>74</v>
      </c>
      <c r="AS460" t="s">
        <v>74</v>
      </c>
      <c r="AT460" t="s">
        <v>74</v>
      </c>
      <c r="AU460">
        <v>2014</v>
      </c>
      <c r="AV460" t="s">
        <v>74</v>
      </c>
      <c r="AW460" t="s">
        <v>74</v>
      </c>
      <c r="AX460" t="s">
        <v>74</v>
      </c>
      <c r="AY460" t="s">
        <v>74</v>
      </c>
      <c r="AZ460" t="s">
        <v>74</v>
      </c>
      <c r="BA460" t="s">
        <v>74</v>
      </c>
      <c r="BB460">
        <v>202</v>
      </c>
      <c r="BC460">
        <v>211</v>
      </c>
      <c r="BD460" t="s">
        <v>74</v>
      </c>
      <c r="BE460" t="s">
        <v>74</v>
      </c>
      <c r="BF460" t="s">
        <v>74</v>
      </c>
      <c r="BG460" t="s">
        <v>11980</v>
      </c>
      <c r="BH460" t="s">
        <v>74</v>
      </c>
      <c r="BI460">
        <v>10</v>
      </c>
      <c r="BJ460" t="s">
        <v>11981</v>
      </c>
      <c r="BK460" t="s">
        <v>4943</v>
      </c>
      <c r="BL460" t="s">
        <v>11982</v>
      </c>
      <c r="BM460" t="s">
        <v>11983</v>
      </c>
      <c r="BN460" t="s">
        <v>74</v>
      </c>
      <c r="BO460" t="s">
        <v>74</v>
      </c>
      <c r="BP460" t="s">
        <v>74</v>
      </c>
      <c r="BQ460" t="s">
        <v>74</v>
      </c>
      <c r="BR460" t="s">
        <v>106</v>
      </c>
      <c r="BS460" t="s">
        <v>11984</v>
      </c>
      <c r="BT460" t="str">
        <f>HYPERLINK("https%3A%2F%2Fwww.webofscience.com%2Fwos%2Fwoscc%2Ffull-record%2FWOS:000340103000020","View Full Record in Web of Science")</f>
        <v>View Full Record in Web of Science</v>
      </c>
    </row>
    <row r="461" spans="1:72" x14ac:dyDescent="0.25">
      <c r="A461" t="s">
        <v>72</v>
      </c>
      <c r="B461" t="s">
        <v>11985</v>
      </c>
      <c r="C461" t="s">
        <v>74</v>
      </c>
      <c r="D461" t="s">
        <v>74</v>
      </c>
      <c r="E461" t="s">
        <v>74</v>
      </c>
      <c r="F461" t="s">
        <v>11986</v>
      </c>
      <c r="G461" t="s">
        <v>74</v>
      </c>
      <c r="H461" t="s">
        <v>74</v>
      </c>
      <c r="I461" s="1" t="s">
        <v>11987</v>
      </c>
      <c r="J461" t="s">
        <v>11988</v>
      </c>
      <c r="K461" t="s">
        <v>74</v>
      </c>
      <c r="L461" t="s">
        <v>74</v>
      </c>
      <c r="M461" t="s">
        <v>78</v>
      </c>
      <c r="N461" t="s">
        <v>79</v>
      </c>
      <c r="O461" t="s">
        <v>74</v>
      </c>
      <c r="P461" t="s">
        <v>74</v>
      </c>
      <c r="Q461" t="s">
        <v>74</v>
      </c>
      <c r="R461" t="s">
        <v>74</v>
      </c>
      <c r="S461" t="s">
        <v>74</v>
      </c>
      <c r="T461" s="1" t="s">
        <v>11989</v>
      </c>
      <c r="U461" s="1" t="s">
        <v>74</v>
      </c>
      <c r="V461" s="1" t="s">
        <v>11990</v>
      </c>
      <c r="W461" t="s">
        <v>74</v>
      </c>
      <c r="X461" t="s">
        <v>74</v>
      </c>
      <c r="Y461" t="s">
        <v>11991</v>
      </c>
      <c r="Z461" t="s">
        <v>11992</v>
      </c>
      <c r="AA461" t="s">
        <v>74</v>
      </c>
      <c r="AB461" t="s">
        <v>74</v>
      </c>
      <c r="AC461" t="s">
        <v>74</v>
      </c>
      <c r="AD461" t="s">
        <v>74</v>
      </c>
      <c r="AE461" t="s">
        <v>74</v>
      </c>
      <c r="AF461" t="s">
        <v>74</v>
      </c>
      <c r="AG461">
        <v>45</v>
      </c>
      <c r="AH461">
        <v>1</v>
      </c>
      <c r="AI461">
        <v>1</v>
      </c>
      <c r="AJ461">
        <v>0</v>
      </c>
      <c r="AK461">
        <v>0</v>
      </c>
      <c r="AL461" t="s">
        <v>121</v>
      </c>
      <c r="AM461" t="s">
        <v>122</v>
      </c>
      <c r="AN461" t="s">
        <v>11993</v>
      </c>
      <c r="AO461" t="s">
        <v>11994</v>
      </c>
      <c r="AP461" t="s">
        <v>11995</v>
      </c>
      <c r="AQ461" t="s">
        <v>74</v>
      </c>
      <c r="AR461" t="s">
        <v>11996</v>
      </c>
      <c r="AS461" t="s">
        <v>11997</v>
      </c>
      <c r="AT461" t="s">
        <v>476</v>
      </c>
      <c r="AU461">
        <v>2013</v>
      </c>
      <c r="AV461">
        <v>29</v>
      </c>
      <c r="AW461">
        <v>4</v>
      </c>
      <c r="AX461" t="s">
        <v>74</v>
      </c>
      <c r="AY461" t="s">
        <v>74</v>
      </c>
      <c r="AZ461" t="s">
        <v>74</v>
      </c>
      <c r="BA461" t="s">
        <v>74</v>
      </c>
      <c r="BB461">
        <v>301</v>
      </c>
      <c r="BC461">
        <v>317</v>
      </c>
      <c r="BD461" t="s">
        <v>74</v>
      </c>
      <c r="BE461" t="s">
        <v>11998</v>
      </c>
      <c r="BF461" t="str">
        <f>HYPERLINK("http://dx.doi.org/10.1007/s12109-013-9330-7","http://dx.doi.org/10.1007/s12109-013-9330-7")</f>
        <v>http://dx.doi.org/10.1007/s12109-013-9330-7</v>
      </c>
      <c r="BG461" t="s">
        <v>74</v>
      </c>
      <c r="BH461" t="s">
        <v>74</v>
      </c>
      <c r="BI461">
        <v>17</v>
      </c>
      <c r="BJ461" t="s">
        <v>3050</v>
      </c>
      <c r="BK461" t="s">
        <v>183</v>
      </c>
      <c r="BL461" t="s">
        <v>3050</v>
      </c>
      <c r="BM461" t="s">
        <v>11999</v>
      </c>
      <c r="BN461" t="s">
        <v>74</v>
      </c>
      <c r="BO461" t="s">
        <v>74</v>
      </c>
      <c r="BP461" t="s">
        <v>74</v>
      </c>
      <c r="BQ461" t="s">
        <v>74</v>
      </c>
      <c r="BR461" t="s">
        <v>106</v>
      </c>
      <c r="BS461" t="s">
        <v>12000</v>
      </c>
      <c r="BT461" t="str">
        <f>HYPERLINK("https%3A%2F%2Fwww.webofscience.com%2Fwos%2Fwoscc%2Ffull-record%2FWOS:000448354600002","View Full Record in Web of Science")</f>
        <v>View Full Record in Web of Science</v>
      </c>
    </row>
    <row r="462" spans="1:72" x14ac:dyDescent="0.25">
      <c r="A462" t="s">
        <v>72</v>
      </c>
      <c r="B462" t="s">
        <v>12156</v>
      </c>
      <c r="C462" t="s">
        <v>74</v>
      </c>
      <c r="D462" t="s">
        <v>74</v>
      </c>
      <c r="E462" t="s">
        <v>74</v>
      </c>
      <c r="F462" t="s">
        <v>12157</v>
      </c>
      <c r="G462" t="s">
        <v>74</v>
      </c>
      <c r="H462" t="s">
        <v>74</v>
      </c>
      <c r="I462" s="1" t="s">
        <v>12158</v>
      </c>
      <c r="J462" t="s">
        <v>12159</v>
      </c>
      <c r="K462" t="s">
        <v>74</v>
      </c>
      <c r="L462" t="s">
        <v>74</v>
      </c>
      <c r="M462" t="s">
        <v>78</v>
      </c>
      <c r="N462" t="s">
        <v>79</v>
      </c>
      <c r="O462" t="s">
        <v>74</v>
      </c>
      <c r="P462" t="s">
        <v>74</v>
      </c>
      <c r="Q462" t="s">
        <v>74</v>
      </c>
      <c r="R462" t="s">
        <v>74</v>
      </c>
      <c r="S462" t="s">
        <v>74</v>
      </c>
      <c r="T462" s="1" t="s">
        <v>12160</v>
      </c>
      <c r="U462" s="1" t="s">
        <v>12161</v>
      </c>
      <c r="V462" s="1" t="s">
        <v>12162</v>
      </c>
      <c r="W462" t="s">
        <v>12163</v>
      </c>
      <c r="X462" t="s">
        <v>12164</v>
      </c>
      <c r="Y462" t="s">
        <v>12165</v>
      </c>
      <c r="Z462" t="s">
        <v>12166</v>
      </c>
      <c r="AA462" t="s">
        <v>74</v>
      </c>
      <c r="AB462" t="s">
        <v>74</v>
      </c>
      <c r="AC462" t="s">
        <v>74</v>
      </c>
      <c r="AD462" t="s">
        <v>74</v>
      </c>
      <c r="AE462" t="s">
        <v>74</v>
      </c>
      <c r="AF462" t="s">
        <v>74</v>
      </c>
      <c r="AG462">
        <v>57</v>
      </c>
      <c r="AH462">
        <v>1</v>
      </c>
      <c r="AI462">
        <v>1</v>
      </c>
      <c r="AJ462">
        <v>0</v>
      </c>
      <c r="AK462">
        <v>2</v>
      </c>
      <c r="AL462" t="s">
        <v>12167</v>
      </c>
      <c r="AM462" t="s">
        <v>7643</v>
      </c>
      <c r="AN462" t="s">
        <v>12168</v>
      </c>
      <c r="AO462" t="s">
        <v>12169</v>
      </c>
      <c r="AP462" t="s">
        <v>74</v>
      </c>
      <c r="AQ462" t="s">
        <v>74</v>
      </c>
      <c r="AR462" t="s">
        <v>12170</v>
      </c>
      <c r="AS462" t="s">
        <v>12171</v>
      </c>
      <c r="AT462" t="s">
        <v>1138</v>
      </c>
      <c r="AU462">
        <v>2013</v>
      </c>
      <c r="AV462">
        <v>15</v>
      </c>
      <c r="AW462">
        <v>2</v>
      </c>
      <c r="AX462" t="s">
        <v>74</v>
      </c>
      <c r="AY462" t="s">
        <v>74</v>
      </c>
      <c r="AZ462" t="s">
        <v>74</v>
      </c>
      <c r="BA462" t="s">
        <v>74</v>
      </c>
      <c r="BB462">
        <v>54</v>
      </c>
      <c r="BC462">
        <v>66</v>
      </c>
      <c r="BD462" t="s">
        <v>74</v>
      </c>
      <c r="BE462" t="s">
        <v>74</v>
      </c>
      <c r="BF462" t="s">
        <v>74</v>
      </c>
      <c r="BG462" t="s">
        <v>74</v>
      </c>
      <c r="BH462" t="s">
        <v>74</v>
      </c>
      <c r="BI462">
        <v>13</v>
      </c>
      <c r="BJ462" t="s">
        <v>12172</v>
      </c>
      <c r="BK462" t="s">
        <v>102</v>
      </c>
      <c r="BL462" t="s">
        <v>12172</v>
      </c>
      <c r="BM462" t="s">
        <v>12173</v>
      </c>
      <c r="BN462" t="s">
        <v>74</v>
      </c>
      <c r="BO462" t="s">
        <v>74</v>
      </c>
      <c r="BP462" t="s">
        <v>74</v>
      </c>
      <c r="BQ462" t="s">
        <v>74</v>
      </c>
      <c r="BR462" t="s">
        <v>106</v>
      </c>
      <c r="BS462" t="s">
        <v>12174</v>
      </c>
      <c r="BT462" t="str">
        <f>HYPERLINK("https%3A%2F%2Fwww.webofscience.com%2Fwos%2Fwoscc%2Ffull-record%2FWOS:000321155600007","View Full Record in Web of Science")</f>
        <v>View Full Record in Web of Science</v>
      </c>
    </row>
    <row r="463" spans="1:72" x14ac:dyDescent="0.25">
      <c r="A463" t="s">
        <v>477</v>
      </c>
      <c r="B463" t="s">
        <v>12245</v>
      </c>
      <c r="C463" t="s">
        <v>12246</v>
      </c>
      <c r="D463" t="s">
        <v>74</v>
      </c>
      <c r="E463" t="s">
        <v>74</v>
      </c>
      <c r="F463" t="s">
        <v>12247</v>
      </c>
      <c r="G463" t="s">
        <v>12246</v>
      </c>
      <c r="H463" t="s">
        <v>74</v>
      </c>
      <c r="I463" s="1" t="s">
        <v>12248</v>
      </c>
      <c r="J463" t="s">
        <v>12249</v>
      </c>
      <c r="K463" t="s">
        <v>74</v>
      </c>
      <c r="L463" t="s">
        <v>74</v>
      </c>
      <c r="M463" t="s">
        <v>78</v>
      </c>
      <c r="N463" t="s">
        <v>4932</v>
      </c>
      <c r="O463" t="s">
        <v>74</v>
      </c>
      <c r="P463" t="s">
        <v>74</v>
      </c>
      <c r="Q463" t="s">
        <v>74</v>
      </c>
      <c r="R463" t="s">
        <v>74</v>
      </c>
      <c r="S463" t="s">
        <v>74</v>
      </c>
      <c r="T463" s="1" t="s">
        <v>74</v>
      </c>
      <c r="U463" s="1" t="s">
        <v>12250</v>
      </c>
      <c r="V463" s="1" t="s">
        <v>12251</v>
      </c>
      <c r="W463" t="s">
        <v>12252</v>
      </c>
      <c r="X463" t="s">
        <v>12253</v>
      </c>
      <c r="Y463" t="s">
        <v>12254</v>
      </c>
      <c r="Z463" t="s">
        <v>74</v>
      </c>
      <c r="AA463" t="s">
        <v>12255</v>
      </c>
      <c r="AB463" t="s">
        <v>12256</v>
      </c>
      <c r="AC463" t="s">
        <v>74</v>
      </c>
      <c r="AD463" t="s">
        <v>74</v>
      </c>
      <c r="AE463" t="s">
        <v>74</v>
      </c>
      <c r="AF463" t="s">
        <v>74</v>
      </c>
      <c r="AG463">
        <v>112</v>
      </c>
      <c r="AH463">
        <v>1</v>
      </c>
      <c r="AI463">
        <v>1</v>
      </c>
      <c r="AJ463">
        <v>1</v>
      </c>
      <c r="AK463">
        <v>2</v>
      </c>
      <c r="AL463" t="s">
        <v>2573</v>
      </c>
      <c r="AM463" t="s">
        <v>11695</v>
      </c>
      <c r="AN463" t="s">
        <v>11696</v>
      </c>
      <c r="AO463" t="s">
        <v>74</v>
      </c>
      <c r="AP463" t="s">
        <v>74</v>
      </c>
      <c r="AQ463" t="s">
        <v>12257</v>
      </c>
      <c r="AR463" t="s">
        <v>74</v>
      </c>
      <c r="AS463" t="s">
        <v>74</v>
      </c>
      <c r="AT463" t="s">
        <v>74</v>
      </c>
      <c r="AU463">
        <v>2013</v>
      </c>
      <c r="AV463" t="s">
        <v>74</v>
      </c>
      <c r="AW463" t="s">
        <v>74</v>
      </c>
      <c r="AX463" t="s">
        <v>74</v>
      </c>
      <c r="AY463" t="s">
        <v>74</v>
      </c>
      <c r="AZ463" t="s">
        <v>74</v>
      </c>
      <c r="BA463" t="s">
        <v>74</v>
      </c>
      <c r="BB463">
        <v>321</v>
      </c>
      <c r="BC463">
        <v>340</v>
      </c>
      <c r="BD463" t="s">
        <v>74</v>
      </c>
      <c r="BE463" t="s">
        <v>12258</v>
      </c>
      <c r="BF463" t="str">
        <f>HYPERLINK("http://dx.doi.org/10.4018/978-1-4666-4173-0.ch016","http://dx.doi.org/10.4018/978-1-4666-4173-0.ch016")</f>
        <v>http://dx.doi.org/10.4018/978-1-4666-4173-0.ch016</v>
      </c>
      <c r="BG463" t="s">
        <v>12259</v>
      </c>
      <c r="BH463" t="s">
        <v>74</v>
      </c>
      <c r="BI463">
        <v>20</v>
      </c>
      <c r="BJ463" t="s">
        <v>12260</v>
      </c>
      <c r="BK463" t="s">
        <v>9423</v>
      </c>
      <c r="BL463" t="s">
        <v>12261</v>
      </c>
      <c r="BM463" t="s">
        <v>12262</v>
      </c>
      <c r="BN463" t="s">
        <v>74</v>
      </c>
      <c r="BO463" t="s">
        <v>74</v>
      </c>
      <c r="BP463" t="s">
        <v>74</v>
      </c>
      <c r="BQ463" t="s">
        <v>74</v>
      </c>
      <c r="BR463" t="s">
        <v>106</v>
      </c>
      <c r="BS463" t="s">
        <v>12263</v>
      </c>
      <c r="BT463" t="str">
        <f>HYPERLINK("https%3A%2F%2Fwww.webofscience.com%2Fwos%2Fwoscc%2Ffull-record%2FWOS:000398771300018","View Full Record in Web of Science")</f>
        <v>View Full Record in Web of Science</v>
      </c>
    </row>
    <row r="464" spans="1:72" x14ac:dyDescent="0.25">
      <c r="A464" t="s">
        <v>72</v>
      </c>
      <c r="B464" t="s">
        <v>12264</v>
      </c>
      <c r="C464" t="s">
        <v>74</v>
      </c>
      <c r="D464" t="s">
        <v>74</v>
      </c>
      <c r="E464" t="s">
        <v>74</v>
      </c>
      <c r="F464" t="s">
        <v>12265</v>
      </c>
      <c r="G464" t="s">
        <v>74</v>
      </c>
      <c r="H464" t="s">
        <v>74</v>
      </c>
      <c r="I464" s="1" t="s">
        <v>12266</v>
      </c>
      <c r="J464" t="s">
        <v>3608</v>
      </c>
      <c r="K464" t="s">
        <v>74</v>
      </c>
      <c r="L464" t="s">
        <v>74</v>
      </c>
      <c r="M464" t="s">
        <v>78</v>
      </c>
      <c r="N464" t="s">
        <v>79</v>
      </c>
      <c r="O464" t="s">
        <v>74</v>
      </c>
      <c r="P464" t="s">
        <v>74</v>
      </c>
      <c r="Q464" t="s">
        <v>74</v>
      </c>
      <c r="R464" t="s">
        <v>74</v>
      </c>
      <c r="S464" t="s">
        <v>74</v>
      </c>
      <c r="T464" s="1" t="s">
        <v>74</v>
      </c>
      <c r="U464" s="1" t="s">
        <v>12267</v>
      </c>
      <c r="V464" s="1" t="s">
        <v>12268</v>
      </c>
      <c r="W464" t="s">
        <v>12269</v>
      </c>
      <c r="X464" t="s">
        <v>12270</v>
      </c>
      <c r="Y464" t="s">
        <v>12271</v>
      </c>
      <c r="Z464" t="s">
        <v>12272</v>
      </c>
      <c r="AA464" t="s">
        <v>74</v>
      </c>
      <c r="AB464" t="s">
        <v>74</v>
      </c>
      <c r="AC464" t="s">
        <v>12273</v>
      </c>
      <c r="AD464" t="s">
        <v>12274</v>
      </c>
      <c r="AE464" t="s">
        <v>12275</v>
      </c>
      <c r="AF464" t="s">
        <v>74</v>
      </c>
      <c r="AG464">
        <v>29</v>
      </c>
      <c r="AH464">
        <v>1</v>
      </c>
      <c r="AI464">
        <v>1</v>
      </c>
      <c r="AJ464">
        <v>0</v>
      </c>
      <c r="AK464">
        <v>8</v>
      </c>
      <c r="AL464" t="s">
        <v>3146</v>
      </c>
      <c r="AM464" t="s">
        <v>175</v>
      </c>
      <c r="AN464" t="s">
        <v>3147</v>
      </c>
      <c r="AO464" t="s">
        <v>3618</v>
      </c>
      <c r="AP464" t="s">
        <v>3619</v>
      </c>
      <c r="AQ464" t="s">
        <v>74</v>
      </c>
      <c r="AR464" t="s">
        <v>3620</v>
      </c>
      <c r="AS464" t="s">
        <v>3621</v>
      </c>
      <c r="AT464" t="s">
        <v>74</v>
      </c>
      <c r="AU464">
        <v>2013</v>
      </c>
      <c r="AV464">
        <v>2013</v>
      </c>
      <c r="AW464" t="s">
        <v>74</v>
      </c>
      <c r="AX464" t="s">
        <v>74</v>
      </c>
      <c r="AY464" t="s">
        <v>74</v>
      </c>
      <c r="AZ464" t="s">
        <v>74</v>
      </c>
      <c r="BA464" t="s">
        <v>74</v>
      </c>
      <c r="BB464" t="s">
        <v>74</v>
      </c>
      <c r="BC464" t="s">
        <v>74</v>
      </c>
      <c r="BD464">
        <v>836414</v>
      </c>
      <c r="BE464" t="s">
        <v>12276</v>
      </c>
      <c r="BF464" t="str">
        <f>HYPERLINK("http://dx.doi.org/10.1155/2013/836414","http://dx.doi.org/10.1155/2013/836414")</f>
        <v>http://dx.doi.org/10.1155/2013/836414</v>
      </c>
      <c r="BG464" t="s">
        <v>74</v>
      </c>
      <c r="BH464" t="s">
        <v>74</v>
      </c>
      <c r="BI464">
        <v>12</v>
      </c>
      <c r="BJ464" t="s">
        <v>3624</v>
      </c>
      <c r="BK464" t="s">
        <v>102</v>
      </c>
      <c r="BL464" t="s">
        <v>3625</v>
      </c>
      <c r="BM464" t="s">
        <v>12277</v>
      </c>
      <c r="BN464" t="s">
        <v>74</v>
      </c>
      <c r="BO464" t="s">
        <v>2162</v>
      </c>
      <c r="BP464" t="s">
        <v>74</v>
      </c>
      <c r="BQ464" t="s">
        <v>74</v>
      </c>
      <c r="BR464" t="s">
        <v>106</v>
      </c>
      <c r="BS464" t="s">
        <v>12278</v>
      </c>
      <c r="BT464" t="str">
        <f>HYPERLINK("https%3A%2F%2Fwww.webofscience.com%2Fwos%2Fwoscc%2Ffull-record%2FWOS:000318760900001","View Full Record in Web of Science")</f>
        <v>View Full Record in Web of Science</v>
      </c>
    </row>
    <row r="465" spans="1:72" x14ac:dyDescent="0.25">
      <c r="A465" t="s">
        <v>7120</v>
      </c>
      <c r="B465" t="s">
        <v>12493</v>
      </c>
      <c r="C465" t="s">
        <v>74</v>
      </c>
      <c r="D465" t="s">
        <v>12494</v>
      </c>
      <c r="E465" t="s">
        <v>74</v>
      </c>
      <c r="F465" t="s">
        <v>12495</v>
      </c>
      <c r="G465" t="s">
        <v>74</v>
      </c>
      <c r="H465" t="s">
        <v>74</v>
      </c>
      <c r="I465" s="1" t="s">
        <v>12496</v>
      </c>
      <c r="J465" t="s">
        <v>12497</v>
      </c>
      <c r="K465" t="s">
        <v>12498</v>
      </c>
      <c r="L465" t="s">
        <v>74</v>
      </c>
      <c r="M465" t="s">
        <v>78</v>
      </c>
      <c r="N465" t="s">
        <v>4932</v>
      </c>
      <c r="O465" t="s">
        <v>74</v>
      </c>
      <c r="P465" t="s">
        <v>74</v>
      </c>
      <c r="Q465" t="s">
        <v>74</v>
      </c>
      <c r="R465" t="s">
        <v>74</v>
      </c>
      <c r="S465" t="s">
        <v>74</v>
      </c>
      <c r="T465" s="1" t="s">
        <v>74</v>
      </c>
      <c r="U465" s="1" t="s">
        <v>12499</v>
      </c>
      <c r="V465" s="1" t="s">
        <v>12500</v>
      </c>
      <c r="W465" t="s">
        <v>12501</v>
      </c>
      <c r="X465" t="s">
        <v>12502</v>
      </c>
      <c r="Y465" t="s">
        <v>12503</v>
      </c>
      <c r="Z465" t="s">
        <v>12504</v>
      </c>
      <c r="AA465" t="s">
        <v>74</v>
      </c>
      <c r="AB465" t="s">
        <v>74</v>
      </c>
      <c r="AC465" t="s">
        <v>74</v>
      </c>
      <c r="AD465" t="s">
        <v>74</v>
      </c>
      <c r="AE465" t="s">
        <v>74</v>
      </c>
      <c r="AF465" t="s">
        <v>74</v>
      </c>
      <c r="AG465">
        <v>55</v>
      </c>
      <c r="AH465">
        <v>1</v>
      </c>
      <c r="AI465">
        <v>1</v>
      </c>
      <c r="AJ465">
        <v>0</v>
      </c>
      <c r="AK465">
        <v>4</v>
      </c>
      <c r="AL465" t="s">
        <v>121</v>
      </c>
      <c r="AM465" t="s">
        <v>122</v>
      </c>
      <c r="AN465" t="s">
        <v>10957</v>
      </c>
      <c r="AO465" t="s">
        <v>12505</v>
      </c>
      <c r="AP465" t="s">
        <v>74</v>
      </c>
      <c r="AQ465" t="s">
        <v>12506</v>
      </c>
      <c r="AR465" t="s">
        <v>12507</v>
      </c>
      <c r="AS465" t="s">
        <v>74</v>
      </c>
      <c r="AT465" t="s">
        <v>74</v>
      </c>
      <c r="AU465">
        <v>2010</v>
      </c>
      <c r="AV465">
        <v>25</v>
      </c>
      <c r="AW465" t="s">
        <v>74</v>
      </c>
      <c r="AX465" t="s">
        <v>74</v>
      </c>
      <c r="AY465" t="s">
        <v>74</v>
      </c>
      <c r="AZ465" t="s">
        <v>74</v>
      </c>
      <c r="BA465" t="s">
        <v>74</v>
      </c>
      <c r="BB465">
        <v>505</v>
      </c>
      <c r="BC465">
        <v>524</v>
      </c>
      <c r="BD465" t="s">
        <v>74</v>
      </c>
      <c r="BE465" t="s">
        <v>12508</v>
      </c>
      <c r="BF465" t="str">
        <f>HYPERLINK("http://dx.doi.org/10.1007/978-1-4419-6536-3_26","http://dx.doi.org/10.1007/978-1-4419-6536-3_26")</f>
        <v>http://dx.doi.org/10.1007/978-1-4419-6536-3_26</v>
      </c>
      <c r="BG465" t="s">
        <v>12509</v>
      </c>
      <c r="BH465" t="s">
        <v>74</v>
      </c>
      <c r="BI465">
        <v>20</v>
      </c>
      <c r="BJ465" t="s">
        <v>12510</v>
      </c>
      <c r="BK465" t="s">
        <v>12511</v>
      </c>
      <c r="BL465" t="s">
        <v>9937</v>
      </c>
      <c r="BM465" t="s">
        <v>12512</v>
      </c>
      <c r="BN465" t="s">
        <v>74</v>
      </c>
      <c r="BO465" t="s">
        <v>74</v>
      </c>
      <c r="BP465" t="s">
        <v>74</v>
      </c>
      <c r="BQ465" t="s">
        <v>74</v>
      </c>
      <c r="BR465" t="s">
        <v>106</v>
      </c>
      <c r="BS465" t="s">
        <v>12513</v>
      </c>
      <c r="BT465" t="str">
        <f>HYPERLINK("https%3A%2F%2Fwww.webofscience.com%2Fwos%2Fwoscc%2Ffull-record%2FWOS:000281964400026","View Full Record in Web of Science")</f>
        <v>View Full Record in Web of Science</v>
      </c>
    </row>
    <row r="466" spans="1:72" x14ac:dyDescent="0.25">
      <c r="A466" t="s">
        <v>72</v>
      </c>
      <c r="B466" t="s">
        <v>12681</v>
      </c>
      <c r="C466" t="s">
        <v>74</v>
      </c>
      <c r="D466" t="s">
        <v>74</v>
      </c>
      <c r="E466" t="s">
        <v>74</v>
      </c>
      <c r="F466" t="s">
        <v>12682</v>
      </c>
      <c r="G466" t="s">
        <v>74</v>
      </c>
      <c r="H466" t="s">
        <v>74</v>
      </c>
      <c r="I466" s="1" t="s">
        <v>12683</v>
      </c>
      <c r="J466" t="s">
        <v>12534</v>
      </c>
      <c r="K466" t="s">
        <v>74</v>
      </c>
      <c r="L466" t="s">
        <v>74</v>
      </c>
      <c r="M466" t="s">
        <v>78</v>
      </c>
      <c r="N466" t="s">
        <v>79</v>
      </c>
      <c r="O466" t="s">
        <v>74</v>
      </c>
      <c r="P466" t="s">
        <v>74</v>
      </c>
      <c r="Q466" t="s">
        <v>74</v>
      </c>
      <c r="R466" t="s">
        <v>74</v>
      </c>
      <c r="S466" t="s">
        <v>74</v>
      </c>
      <c r="T466" s="1" t="s">
        <v>12684</v>
      </c>
      <c r="U466" s="1" t="s">
        <v>74</v>
      </c>
      <c r="V466" s="1" t="s">
        <v>12685</v>
      </c>
      <c r="W466" t="s">
        <v>12686</v>
      </c>
      <c r="X466" t="s">
        <v>74</v>
      </c>
      <c r="Y466" t="s">
        <v>12687</v>
      </c>
      <c r="Z466" t="s">
        <v>74</v>
      </c>
      <c r="AA466" t="s">
        <v>74</v>
      </c>
      <c r="AB466" t="s">
        <v>12688</v>
      </c>
      <c r="AC466" t="s">
        <v>74</v>
      </c>
      <c r="AD466" t="s">
        <v>74</v>
      </c>
      <c r="AE466" t="s">
        <v>74</v>
      </c>
      <c r="AF466" t="s">
        <v>74</v>
      </c>
      <c r="AG466">
        <v>20</v>
      </c>
      <c r="AH466">
        <v>1</v>
      </c>
      <c r="AI466">
        <v>1</v>
      </c>
      <c r="AJ466">
        <v>0</v>
      </c>
      <c r="AK466">
        <v>1</v>
      </c>
      <c r="AL466" t="s">
        <v>492</v>
      </c>
      <c r="AM466" t="s">
        <v>493</v>
      </c>
      <c r="AN466" t="s">
        <v>494</v>
      </c>
      <c r="AO466" t="s">
        <v>12541</v>
      </c>
      <c r="AP466" t="s">
        <v>12542</v>
      </c>
      <c r="AQ466" t="s">
        <v>74</v>
      </c>
      <c r="AR466" t="s">
        <v>12689</v>
      </c>
      <c r="AS466" t="s">
        <v>12690</v>
      </c>
      <c r="AT466" t="s">
        <v>74</v>
      </c>
      <c r="AU466">
        <v>2008</v>
      </c>
      <c r="AV466">
        <v>5</v>
      </c>
      <c r="AW466">
        <v>2</v>
      </c>
      <c r="AX466" t="s">
        <v>74</v>
      </c>
      <c r="AY466" t="s">
        <v>74</v>
      </c>
      <c r="AZ466" t="s">
        <v>74</v>
      </c>
      <c r="BA466" t="s">
        <v>74</v>
      </c>
      <c r="BB466">
        <v>47</v>
      </c>
      <c r="BC466">
        <v>69</v>
      </c>
      <c r="BD466" t="s">
        <v>74</v>
      </c>
      <c r="BE466" t="s">
        <v>12691</v>
      </c>
      <c r="BF466" t="str">
        <f>HYPERLINK("http://dx.doi.org/10.1080/16522354.2008.11073466","http://dx.doi.org/10.1080/16522354.2008.11073466")</f>
        <v>http://dx.doi.org/10.1080/16522354.2008.11073466</v>
      </c>
      <c r="BG466" t="s">
        <v>74</v>
      </c>
      <c r="BH466" t="s">
        <v>74</v>
      </c>
      <c r="BI466">
        <v>23</v>
      </c>
      <c r="BJ466" t="s">
        <v>1023</v>
      </c>
      <c r="BK466" t="s">
        <v>183</v>
      </c>
      <c r="BL466" t="s">
        <v>265</v>
      </c>
      <c r="BM466" t="s">
        <v>12692</v>
      </c>
      <c r="BN466" t="s">
        <v>74</v>
      </c>
      <c r="BO466" t="s">
        <v>74</v>
      </c>
      <c r="BP466" t="s">
        <v>74</v>
      </c>
      <c r="BQ466" t="s">
        <v>74</v>
      </c>
      <c r="BR466" t="s">
        <v>106</v>
      </c>
      <c r="BS466" t="s">
        <v>12693</v>
      </c>
      <c r="BT466" t="str">
        <f>HYPERLINK("https%3A%2F%2Fwww.webofscience.com%2Fwos%2Fwoscc%2Ffull-record%2FWOS:000409716500003","View Full Record in Web of Science")</f>
        <v>View Full Record in Web of Science</v>
      </c>
    </row>
    <row r="467" spans="1:72" x14ac:dyDescent="0.25">
      <c r="A467" t="s">
        <v>72</v>
      </c>
      <c r="B467" t="s">
        <v>12754</v>
      </c>
      <c r="C467" t="s">
        <v>74</v>
      </c>
      <c r="D467" t="s">
        <v>74</v>
      </c>
      <c r="E467" t="s">
        <v>74</v>
      </c>
      <c r="F467" t="s">
        <v>12712</v>
      </c>
      <c r="G467" t="s">
        <v>74</v>
      </c>
      <c r="H467" t="s">
        <v>74</v>
      </c>
      <c r="I467" s="1" t="s">
        <v>12755</v>
      </c>
      <c r="J467" t="s">
        <v>12714</v>
      </c>
      <c r="K467" t="s">
        <v>74</v>
      </c>
      <c r="L467" t="s">
        <v>74</v>
      </c>
      <c r="M467" t="s">
        <v>78</v>
      </c>
      <c r="N467" t="s">
        <v>79</v>
      </c>
      <c r="O467" t="s">
        <v>74</v>
      </c>
      <c r="P467" t="s">
        <v>74</v>
      </c>
      <c r="Q467" t="s">
        <v>74</v>
      </c>
      <c r="R467" t="s">
        <v>74</v>
      </c>
      <c r="S467" t="s">
        <v>74</v>
      </c>
      <c r="T467" s="1" t="s">
        <v>12756</v>
      </c>
      <c r="U467" s="1" t="s">
        <v>12757</v>
      </c>
      <c r="V467" s="1" t="s">
        <v>12758</v>
      </c>
      <c r="W467" t="s">
        <v>12759</v>
      </c>
      <c r="X467" t="s">
        <v>12723</v>
      </c>
      <c r="Y467" t="s">
        <v>12724</v>
      </c>
      <c r="Z467" t="s">
        <v>12760</v>
      </c>
      <c r="AA467" t="s">
        <v>74</v>
      </c>
      <c r="AB467" t="s">
        <v>12726</v>
      </c>
      <c r="AC467" t="s">
        <v>74</v>
      </c>
      <c r="AD467" t="s">
        <v>74</v>
      </c>
      <c r="AE467" t="s">
        <v>74</v>
      </c>
      <c r="AF467" t="s">
        <v>74</v>
      </c>
      <c r="AG467">
        <v>13</v>
      </c>
      <c r="AH467">
        <v>1</v>
      </c>
      <c r="AI467">
        <v>1</v>
      </c>
      <c r="AJ467">
        <v>0</v>
      </c>
      <c r="AK467">
        <v>2</v>
      </c>
      <c r="AL467" t="s">
        <v>1636</v>
      </c>
      <c r="AM467" t="s">
        <v>93</v>
      </c>
      <c r="AN467" t="s">
        <v>1637</v>
      </c>
      <c r="AO467" t="s">
        <v>12727</v>
      </c>
      <c r="AP467" t="s">
        <v>74</v>
      </c>
      <c r="AQ467" t="s">
        <v>74</v>
      </c>
      <c r="AR467" t="s">
        <v>12728</v>
      </c>
      <c r="AS467" t="s">
        <v>12729</v>
      </c>
      <c r="AT467" t="s">
        <v>2068</v>
      </c>
      <c r="AU467">
        <v>2007</v>
      </c>
      <c r="AV467">
        <v>38</v>
      </c>
      <c r="AW467">
        <v>1</v>
      </c>
      <c r="AX467" t="s">
        <v>74</v>
      </c>
      <c r="AY467" t="s">
        <v>74</v>
      </c>
      <c r="AZ467" t="s">
        <v>74</v>
      </c>
      <c r="BA467" t="s">
        <v>74</v>
      </c>
      <c r="BB467">
        <v>140</v>
      </c>
      <c r="BC467">
        <v>147</v>
      </c>
      <c r="BD467" t="s">
        <v>74</v>
      </c>
      <c r="BE467" t="s">
        <v>12761</v>
      </c>
      <c r="BF467" t="str">
        <f>HYPERLINK("http://dx.doi.org/10.1016/j.mejo.2006.08.002","http://dx.doi.org/10.1016/j.mejo.2006.08.002")</f>
        <v>http://dx.doi.org/10.1016/j.mejo.2006.08.002</v>
      </c>
      <c r="BG467" t="s">
        <v>74</v>
      </c>
      <c r="BH467" t="s">
        <v>74</v>
      </c>
      <c r="BI467">
        <v>8</v>
      </c>
      <c r="BJ467" t="s">
        <v>12732</v>
      </c>
      <c r="BK467" t="s">
        <v>102</v>
      </c>
      <c r="BL467" t="s">
        <v>12734</v>
      </c>
      <c r="BM467" t="s">
        <v>12762</v>
      </c>
      <c r="BN467" t="s">
        <v>74</v>
      </c>
      <c r="BO467" t="s">
        <v>74</v>
      </c>
      <c r="BP467" t="s">
        <v>74</v>
      </c>
      <c r="BQ467" t="s">
        <v>74</v>
      </c>
      <c r="BR467" t="s">
        <v>106</v>
      </c>
      <c r="BS467" t="s">
        <v>12763</v>
      </c>
      <c r="BT467" t="str">
        <f>HYPERLINK("https%3A%2F%2Fwww.webofscience.com%2Fwos%2Fwoscc%2Ffull-record%2FWOS:000243832300026","View Full Record in Web of Science")</f>
        <v>View Full Record in Web of Science</v>
      </c>
    </row>
    <row r="468" spans="1:72" x14ac:dyDescent="0.25">
      <c r="A468" t="s">
        <v>72</v>
      </c>
      <c r="B468" t="s">
        <v>12800</v>
      </c>
      <c r="C468" t="s">
        <v>74</v>
      </c>
      <c r="D468" t="s">
        <v>74</v>
      </c>
      <c r="E468" t="s">
        <v>74</v>
      </c>
      <c r="F468" t="s">
        <v>12801</v>
      </c>
      <c r="G468" t="s">
        <v>74</v>
      </c>
      <c r="H468" t="s">
        <v>74</v>
      </c>
      <c r="I468" s="1" t="s">
        <v>12802</v>
      </c>
      <c r="J468" t="s">
        <v>12803</v>
      </c>
      <c r="K468" t="s">
        <v>74</v>
      </c>
      <c r="L468" t="s">
        <v>74</v>
      </c>
      <c r="M468" t="s">
        <v>78</v>
      </c>
      <c r="N468" t="s">
        <v>79</v>
      </c>
      <c r="O468" t="s">
        <v>74</v>
      </c>
      <c r="P468" t="s">
        <v>74</v>
      </c>
      <c r="Q468" t="s">
        <v>74</v>
      </c>
      <c r="R468" t="s">
        <v>74</v>
      </c>
      <c r="S468" t="s">
        <v>74</v>
      </c>
      <c r="T468" s="1" t="s">
        <v>12804</v>
      </c>
      <c r="U468" s="1" t="s">
        <v>74</v>
      </c>
      <c r="V468" s="1" t="s">
        <v>12805</v>
      </c>
      <c r="W468" t="s">
        <v>12806</v>
      </c>
      <c r="X468" t="s">
        <v>12807</v>
      </c>
      <c r="Y468" t="s">
        <v>12808</v>
      </c>
      <c r="Z468" t="s">
        <v>12809</v>
      </c>
      <c r="AA468" t="s">
        <v>74</v>
      </c>
      <c r="AB468" t="s">
        <v>12810</v>
      </c>
      <c r="AC468" t="s">
        <v>74</v>
      </c>
      <c r="AD468" t="s">
        <v>74</v>
      </c>
      <c r="AE468" t="s">
        <v>74</v>
      </c>
      <c r="AF468" t="s">
        <v>74</v>
      </c>
      <c r="AG468">
        <v>11</v>
      </c>
      <c r="AH468">
        <v>1</v>
      </c>
      <c r="AI468">
        <v>1</v>
      </c>
      <c r="AJ468">
        <v>0</v>
      </c>
      <c r="AK468">
        <v>0</v>
      </c>
      <c r="AL468" t="s">
        <v>715</v>
      </c>
      <c r="AM468" t="s">
        <v>716</v>
      </c>
      <c r="AN468" t="s">
        <v>717</v>
      </c>
      <c r="AO468" t="s">
        <v>12811</v>
      </c>
      <c r="AP468" t="s">
        <v>12812</v>
      </c>
      <c r="AQ468" t="s">
        <v>74</v>
      </c>
      <c r="AR468" t="s">
        <v>12813</v>
      </c>
      <c r="AS468" t="s">
        <v>12814</v>
      </c>
      <c r="AT468" t="s">
        <v>74</v>
      </c>
      <c r="AU468">
        <v>2006</v>
      </c>
      <c r="AV468">
        <v>55</v>
      </c>
      <c r="AW468">
        <v>9</v>
      </c>
      <c r="AX468" t="s">
        <v>74</v>
      </c>
      <c r="AY468" t="s">
        <v>74</v>
      </c>
      <c r="AZ468" t="s">
        <v>74</v>
      </c>
      <c r="BA468" t="s">
        <v>74</v>
      </c>
      <c r="BB468">
        <v>621</v>
      </c>
      <c r="BC468" t="s">
        <v>11057</v>
      </c>
      <c r="BD468" t="s">
        <v>74</v>
      </c>
      <c r="BE468" t="s">
        <v>12815</v>
      </c>
      <c r="BF468" t="str">
        <f>HYPERLINK("http://dx.doi.org/10.1108/00242530610706806","http://dx.doi.org/10.1108/00242530610706806")</f>
        <v>http://dx.doi.org/10.1108/00242530610706806</v>
      </c>
      <c r="BG468" t="s">
        <v>74</v>
      </c>
      <c r="BH468" t="s">
        <v>74</v>
      </c>
      <c r="BI468">
        <v>12</v>
      </c>
      <c r="BJ468" t="s">
        <v>3050</v>
      </c>
      <c r="BK468" t="s">
        <v>183</v>
      </c>
      <c r="BL468" t="s">
        <v>3050</v>
      </c>
      <c r="BM468" t="s">
        <v>12816</v>
      </c>
      <c r="BN468" t="s">
        <v>74</v>
      </c>
      <c r="BO468" t="s">
        <v>74</v>
      </c>
      <c r="BP468" t="s">
        <v>74</v>
      </c>
      <c r="BQ468" t="s">
        <v>74</v>
      </c>
      <c r="BR468" t="s">
        <v>106</v>
      </c>
      <c r="BS468" t="s">
        <v>12817</v>
      </c>
      <c r="BT468" t="str">
        <f>HYPERLINK("https%3A%2F%2Fwww.webofscience.com%2Fwos%2Fwoscc%2Ffull-record%2FWOS:000213048700007","View Full Record in Web of Science")</f>
        <v>View Full Record in Web of Science</v>
      </c>
    </row>
    <row r="469" spans="1:72" x14ac:dyDescent="0.25">
      <c r="A469" t="s">
        <v>72</v>
      </c>
      <c r="B469" t="s">
        <v>73</v>
      </c>
      <c r="C469" t="s">
        <v>74</v>
      </c>
      <c r="D469" t="s">
        <v>74</v>
      </c>
      <c r="E469" t="s">
        <v>74</v>
      </c>
      <c r="F469" t="s">
        <v>75</v>
      </c>
      <c r="G469" t="s">
        <v>74</v>
      </c>
      <c r="H469" t="s">
        <v>74</v>
      </c>
      <c r="I469" s="1" t="s">
        <v>76</v>
      </c>
      <c r="J469" t="s">
        <v>77</v>
      </c>
      <c r="K469" t="s">
        <v>74</v>
      </c>
      <c r="L469" t="s">
        <v>74</v>
      </c>
      <c r="M469" t="s">
        <v>78</v>
      </c>
      <c r="N469" t="s">
        <v>79</v>
      </c>
      <c r="O469" t="s">
        <v>74</v>
      </c>
      <c r="P469" t="s">
        <v>74</v>
      </c>
      <c r="Q469" t="s">
        <v>74</v>
      </c>
      <c r="R469" t="s">
        <v>74</v>
      </c>
      <c r="S469" t="s">
        <v>74</v>
      </c>
      <c r="T469" s="1" t="s">
        <v>80</v>
      </c>
      <c r="U469" s="1" t="s">
        <v>81</v>
      </c>
      <c r="V469" s="1" t="s">
        <v>82</v>
      </c>
      <c r="W469" t="s">
        <v>83</v>
      </c>
      <c r="X469" t="s">
        <v>84</v>
      </c>
      <c r="Y469" t="s">
        <v>85</v>
      </c>
      <c r="Z469" t="s">
        <v>86</v>
      </c>
      <c r="AA469" t="s">
        <v>87</v>
      </c>
      <c r="AB469" t="s">
        <v>88</v>
      </c>
      <c r="AC469" t="s">
        <v>89</v>
      </c>
      <c r="AD469" t="s">
        <v>90</v>
      </c>
      <c r="AE469" t="s">
        <v>91</v>
      </c>
      <c r="AF469" t="s">
        <v>74</v>
      </c>
      <c r="AG469">
        <v>55</v>
      </c>
      <c r="AH469">
        <v>0</v>
      </c>
      <c r="AI469">
        <v>0</v>
      </c>
      <c r="AJ469">
        <v>1</v>
      </c>
      <c r="AK469">
        <v>1</v>
      </c>
      <c r="AL469" t="s">
        <v>92</v>
      </c>
      <c r="AM469" t="s">
        <v>93</v>
      </c>
      <c r="AN469" t="s">
        <v>94</v>
      </c>
      <c r="AO469" t="s">
        <v>95</v>
      </c>
      <c r="AP469" t="s">
        <v>96</v>
      </c>
      <c r="AQ469" t="s">
        <v>74</v>
      </c>
      <c r="AR469" t="s">
        <v>97</v>
      </c>
      <c r="AS469" t="s">
        <v>98</v>
      </c>
      <c r="AT469" t="s">
        <v>99</v>
      </c>
      <c r="AU469">
        <v>2023</v>
      </c>
      <c r="AV469">
        <v>185</v>
      </c>
      <c r="AW469" t="s">
        <v>74</v>
      </c>
      <c r="AX469" t="s">
        <v>74</v>
      </c>
      <c r="AY469" t="s">
        <v>74</v>
      </c>
      <c r="AZ469" t="s">
        <v>74</v>
      </c>
      <c r="BA469" t="s">
        <v>74</v>
      </c>
      <c r="BB469" t="s">
        <v>74</v>
      </c>
      <c r="BC469" t="s">
        <v>74</v>
      </c>
      <c r="BD469">
        <v>109645</v>
      </c>
      <c r="BE469" t="s">
        <v>100</v>
      </c>
      <c r="BF469" t="str">
        <f>HYPERLINK("http://dx.doi.org/10.1016/j.cie.2023.109645","http://dx.doi.org/10.1016/j.cie.2023.109645")</f>
        <v>http://dx.doi.org/10.1016/j.cie.2023.109645</v>
      </c>
      <c r="BG469" t="s">
        <v>74</v>
      </c>
      <c r="BH469" t="s">
        <v>74</v>
      </c>
      <c r="BI469">
        <v>19</v>
      </c>
      <c r="BJ469" t="s">
        <v>101</v>
      </c>
      <c r="BK469" t="s">
        <v>102</v>
      </c>
      <c r="BL469" t="s">
        <v>103</v>
      </c>
      <c r="BM469" t="s">
        <v>104</v>
      </c>
      <c r="BN469" t="s">
        <v>74</v>
      </c>
      <c r="BO469" t="s">
        <v>105</v>
      </c>
      <c r="BP469" t="s">
        <v>74</v>
      </c>
      <c r="BQ469" t="s">
        <v>74</v>
      </c>
      <c r="BR469" t="s">
        <v>106</v>
      </c>
      <c r="BS469" t="s">
        <v>107</v>
      </c>
      <c r="BT469" t="str">
        <f>HYPERLINK("https%3A%2F%2Fwww.webofscience.com%2Fwos%2Fwoscc%2Ffull-record%2FWOS:001087097800001","View Full Record in Web of Science")</f>
        <v>View Full Record in Web of Science</v>
      </c>
    </row>
    <row r="470" spans="1:72" x14ac:dyDescent="0.25">
      <c r="A470" t="s">
        <v>72</v>
      </c>
      <c r="B470" t="s">
        <v>108</v>
      </c>
      <c r="C470" t="s">
        <v>74</v>
      </c>
      <c r="D470" t="s">
        <v>74</v>
      </c>
      <c r="E470" t="s">
        <v>74</v>
      </c>
      <c r="F470" t="s">
        <v>109</v>
      </c>
      <c r="G470" t="s">
        <v>74</v>
      </c>
      <c r="H470" t="s">
        <v>74</v>
      </c>
      <c r="I470" s="1" t="s">
        <v>110</v>
      </c>
      <c r="J470" t="s">
        <v>111</v>
      </c>
      <c r="K470" t="s">
        <v>74</v>
      </c>
      <c r="L470" t="s">
        <v>74</v>
      </c>
      <c r="M470" t="s">
        <v>78</v>
      </c>
      <c r="N470" t="s">
        <v>112</v>
      </c>
      <c r="O470" t="s">
        <v>74</v>
      </c>
      <c r="P470" t="s">
        <v>74</v>
      </c>
      <c r="Q470" t="s">
        <v>74</v>
      </c>
      <c r="R470" t="s">
        <v>74</v>
      </c>
      <c r="S470" t="s">
        <v>74</v>
      </c>
      <c r="T470" s="1" t="s">
        <v>113</v>
      </c>
      <c r="U470" s="1" t="s">
        <v>74</v>
      </c>
      <c r="V470" s="1" t="s">
        <v>114</v>
      </c>
      <c r="W470" t="s">
        <v>115</v>
      </c>
      <c r="X470" t="s">
        <v>116</v>
      </c>
      <c r="Y470" t="s">
        <v>117</v>
      </c>
      <c r="Z470" t="s">
        <v>118</v>
      </c>
      <c r="AA470" t="s">
        <v>74</v>
      </c>
      <c r="AB470" t="s">
        <v>119</v>
      </c>
      <c r="AC470" t="s">
        <v>120</v>
      </c>
      <c r="AD470" t="s">
        <v>120</v>
      </c>
      <c r="AE470" t="s">
        <v>120</v>
      </c>
      <c r="AF470" t="s">
        <v>74</v>
      </c>
      <c r="AG470">
        <v>22</v>
      </c>
      <c r="AH470">
        <v>0</v>
      </c>
      <c r="AI470">
        <v>0</v>
      </c>
      <c r="AJ470">
        <v>0</v>
      </c>
      <c r="AK470">
        <v>0</v>
      </c>
      <c r="AL470" t="s">
        <v>121</v>
      </c>
      <c r="AM470" t="s">
        <v>122</v>
      </c>
      <c r="AN470" t="s">
        <v>123</v>
      </c>
      <c r="AO470" t="s">
        <v>124</v>
      </c>
      <c r="AP470" t="s">
        <v>125</v>
      </c>
      <c r="AQ470" t="s">
        <v>74</v>
      </c>
      <c r="AR470" t="s">
        <v>126</v>
      </c>
      <c r="AS470" t="s">
        <v>127</v>
      </c>
      <c r="AT470" t="s">
        <v>128</v>
      </c>
      <c r="AU470">
        <v>2023</v>
      </c>
      <c r="AV470" t="s">
        <v>74</v>
      </c>
      <c r="AW470" t="s">
        <v>74</v>
      </c>
      <c r="AX470" t="s">
        <v>74</v>
      </c>
      <c r="AY470" t="s">
        <v>74</v>
      </c>
      <c r="AZ470" t="s">
        <v>74</v>
      </c>
      <c r="BA470" t="s">
        <v>74</v>
      </c>
      <c r="BB470" t="s">
        <v>74</v>
      </c>
      <c r="BC470" t="s">
        <v>74</v>
      </c>
      <c r="BD470" t="s">
        <v>74</v>
      </c>
      <c r="BE470" t="s">
        <v>129</v>
      </c>
      <c r="BF470" t="str">
        <f>HYPERLINK("http://dx.doi.org/10.1007/s13187-023-02374-w","http://dx.doi.org/10.1007/s13187-023-02374-w")</f>
        <v>http://dx.doi.org/10.1007/s13187-023-02374-w</v>
      </c>
      <c r="BG470" t="s">
        <v>74</v>
      </c>
      <c r="BH470" t="s">
        <v>130</v>
      </c>
      <c r="BI470">
        <v>8</v>
      </c>
      <c r="BJ470" t="s">
        <v>131</v>
      </c>
      <c r="BK470" t="s">
        <v>102</v>
      </c>
      <c r="BL470" t="s">
        <v>132</v>
      </c>
      <c r="BM470" t="s">
        <v>133</v>
      </c>
      <c r="BN470">
        <v>37875743</v>
      </c>
      <c r="BO470" t="s">
        <v>74</v>
      </c>
      <c r="BP470" t="s">
        <v>74</v>
      </c>
      <c r="BQ470" t="s">
        <v>74</v>
      </c>
      <c r="BR470" t="s">
        <v>106</v>
      </c>
      <c r="BS470" t="s">
        <v>134</v>
      </c>
      <c r="BT470" t="str">
        <f>HYPERLINK("https%3A%2F%2Fwww.webofscience.com%2Fwos%2Fwoscc%2Ffull-record%2FWOS:001087960200001","View Full Record in Web of Science")</f>
        <v>View Full Record in Web of Science</v>
      </c>
    </row>
    <row r="471" spans="1:72" x14ac:dyDescent="0.25">
      <c r="A471" t="s">
        <v>72</v>
      </c>
      <c r="B471" t="s">
        <v>135</v>
      </c>
      <c r="C471" t="s">
        <v>74</v>
      </c>
      <c r="D471" t="s">
        <v>74</v>
      </c>
      <c r="E471" t="s">
        <v>74</v>
      </c>
      <c r="F471" t="s">
        <v>136</v>
      </c>
      <c r="G471" t="s">
        <v>74</v>
      </c>
      <c r="H471" t="s">
        <v>74</v>
      </c>
      <c r="I471" s="1" t="s">
        <v>137</v>
      </c>
      <c r="J471" t="s">
        <v>138</v>
      </c>
      <c r="K471" t="s">
        <v>74</v>
      </c>
      <c r="L471" t="s">
        <v>74</v>
      </c>
      <c r="M471" t="s">
        <v>78</v>
      </c>
      <c r="N471" t="s">
        <v>112</v>
      </c>
      <c r="O471" t="s">
        <v>74</v>
      </c>
      <c r="P471" t="s">
        <v>74</v>
      </c>
      <c r="Q471" t="s">
        <v>74</v>
      </c>
      <c r="R471" t="s">
        <v>74</v>
      </c>
      <c r="S471" t="s">
        <v>74</v>
      </c>
      <c r="T471" s="1" t="s">
        <v>139</v>
      </c>
      <c r="U471" s="1" t="s">
        <v>140</v>
      </c>
      <c r="V471" s="1" t="s">
        <v>141</v>
      </c>
      <c r="W471" t="s">
        <v>142</v>
      </c>
      <c r="X471" t="s">
        <v>143</v>
      </c>
      <c r="Y471" t="s">
        <v>144</v>
      </c>
      <c r="Z471" t="s">
        <v>145</v>
      </c>
      <c r="AA471" t="s">
        <v>74</v>
      </c>
      <c r="AB471" t="s">
        <v>74</v>
      </c>
      <c r="AC471" t="s">
        <v>74</v>
      </c>
      <c r="AD471" t="s">
        <v>74</v>
      </c>
      <c r="AE471" t="s">
        <v>74</v>
      </c>
      <c r="AF471" t="s">
        <v>74</v>
      </c>
      <c r="AG471">
        <v>60</v>
      </c>
      <c r="AH471">
        <v>0</v>
      </c>
      <c r="AI471">
        <v>0</v>
      </c>
      <c r="AJ471">
        <v>1</v>
      </c>
      <c r="AK471">
        <v>1</v>
      </c>
      <c r="AL471" t="s">
        <v>146</v>
      </c>
      <c r="AM471" t="s">
        <v>147</v>
      </c>
      <c r="AN471" t="s">
        <v>148</v>
      </c>
      <c r="AO471" t="s">
        <v>149</v>
      </c>
      <c r="AP471" t="s">
        <v>150</v>
      </c>
      <c r="AQ471" t="s">
        <v>74</v>
      </c>
      <c r="AR471" t="s">
        <v>151</v>
      </c>
      <c r="AS471" t="s">
        <v>152</v>
      </c>
      <c r="AT471" t="s">
        <v>153</v>
      </c>
      <c r="AU471">
        <v>2023</v>
      </c>
      <c r="AV471" t="s">
        <v>74</v>
      </c>
      <c r="AW471" t="s">
        <v>74</v>
      </c>
      <c r="AX471" t="s">
        <v>74</v>
      </c>
      <c r="AY471" t="s">
        <v>74</v>
      </c>
      <c r="AZ471" t="s">
        <v>74</v>
      </c>
      <c r="BA471" t="s">
        <v>74</v>
      </c>
      <c r="BB471" t="s">
        <v>74</v>
      </c>
      <c r="BC471" t="s">
        <v>74</v>
      </c>
      <c r="BD471" t="s">
        <v>74</v>
      </c>
      <c r="BE471" t="s">
        <v>154</v>
      </c>
      <c r="BF471" t="str">
        <f>HYPERLINK("http://dx.doi.org/10.1002/mar.21929","http://dx.doi.org/10.1002/mar.21929")</f>
        <v>http://dx.doi.org/10.1002/mar.21929</v>
      </c>
      <c r="BG471" t="s">
        <v>74</v>
      </c>
      <c r="BH471" t="s">
        <v>130</v>
      </c>
      <c r="BI471">
        <v>20</v>
      </c>
      <c r="BJ471" t="s">
        <v>155</v>
      </c>
      <c r="BK471" t="s">
        <v>156</v>
      </c>
      <c r="BL471" t="s">
        <v>157</v>
      </c>
      <c r="BM471" t="s">
        <v>158</v>
      </c>
      <c r="BN471" t="s">
        <v>74</v>
      </c>
      <c r="BO471" t="s">
        <v>105</v>
      </c>
      <c r="BP471" t="s">
        <v>74</v>
      </c>
      <c r="BQ471" t="s">
        <v>74</v>
      </c>
      <c r="BR471" t="s">
        <v>106</v>
      </c>
      <c r="BS471" t="s">
        <v>159</v>
      </c>
      <c r="BT471" t="str">
        <f>HYPERLINK("https%3A%2F%2Fwww.webofscience.com%2Fwos%2Fwoscc%2Ffull-record%2FWOS:001086060300001","View Full Record in Web of Science")</f>
        <v>View Full Record in Web of Science</v>
      </c>
    </row>
    <row r="472" spans="1:72" x14ac:dyDescent="0.25">
      <c r="A472" t="s">
        <v>72</v>
      </c>
      <c r="B472" t="s">
        <v>160</v>
      </c>
      <c r="C472" t="s">
        <v>74</v>
      </c>
      <c r="D472" t="s">
        <v>74</v>
      </c>
      <c r="E472" t="s">
        <v>74</v>
      </c>
      <c r="F472" t="s">
        <v>161</v>
      </c>
      <c r="G472" t="s">
        <v>74</v>
      </c>
      <c r="H472" t="s">
        <v>74</v>
      </c>
      <c r="I472" s="1" t="s">
        <v>162</v>
      </c>
      <c r="J472" t="s">
        <v>163</v>
      </c>
      <c r="K472" t="s">
        <v>74</v>
      </c>
      <c r="L472" t="s">
        <v>74</v>
      </c>
      <c r="M472" t="s">
        <v>78</v>
      </c>
      <c r="N472" t="s">
        <v>79</v>
      </c>
      <c r="O472" t="s">
        <v>74</v>
      </c>
      <c r="P472" t="s">
        <v>74</v>
      </c>
      <c r="Q472" t="s">
        <v>74</v>
      </c>
      <c r="R472" t="s">
        <v>74</v>
      </c>
      <c r="S472" t="s">
        <v>74</v>
      </c>
      <c r="T472" s="1" t="s">
        <v>164</v>
      </c>
      <c r="U472" s="1" t="s">
        <v>165</v>
      </c>
      <c r="V472" s="1" t="s">
        <v>166</v>
      </c>
      <c r="W472" t="s">
        <v>167</v>
      </c>
      <c r="X472" t="s">
        <v>168</v>
      </c>
      <c r="Y472" t="s">
        <v>169</v>
      </c>
      <c r="Z472" t="s">
        <v>170</v>
      </c>
      <c r="AA472" t="s">
        <v>74</v>
      </c>
      <c r="AB472" t="s">
        <v>171</v>
      </c>
      <c r="AC472" t="s">
        <v>172</v>
      </c>
      <c r="AD472" t="s">
        <v>172</v>
      </c>
      <c r="AE472" t="s">
        <v>173</v>
      </c>
      <c r="AF472" t="s">
        <v>74</v>
      </c>
      <c r="AG472">
        <v>48</v>
      </c>
      <c r="AH472">
        <v>0</v>
      </c>
      <c r="AI472">
        <v>0</v>
      </c>
      <c r="AJ472">
        <v>0</v>
      </c>
      <c r="AK472">
        <v>0</v>
      </c>
      <c r="AL472" t="s">
        <v>174</v>
      </c>
      <c r="AM472" t="s">
        <v>175</v>
      </c>
      <c r="AN472" t="s">
        <v>176</v>
      </c>
      <c r="AO472" t="s">
        <v>74</v>
      </c>
      <c r="AP472" t="s">
        <v>177</v>
      </c>
      <c r="AQ472" t="s">
        <v>74</v>
      </c>
      <c r="AR472" t="s">
        <v>178</v>
      </c>
      <c r="AS472" t="s">
        <v>179</v>
      </c>
      <c r="AT472" t="s">
        <v>180</v>
      </c>
      <c r="AU472">
        <v>2023</v>
      </c>
      <c r="AV472">
        <v>9</v>
      </c>
      <c r="AW472">
        <v>1</v>
      </c>
      <c r="AX472" t="s">
        <v>74</v>
      </c>
      <c r="AY472" t="s">
        <v>74</v>
      </c>
      <c r="AZ472" t="s">
        <v>74</v>
      </c>
      <c r="BA472" t="s">
        <v>74</v>
      </c>
      <c r="BB472" t="s">
        <v>74</v>
      </c>
      <c r="BC472" t="s">
        <v>74</v>
      </c>
      <c r="BD472">
        <v>176</v>
      </c>
      <c r="BE472" t="s">
        <v>181</v>
      </c>
      <c r="BF472" t="str">
        <f>HYPERLINK("http://dx.doi.org/10.1186/s40814-023-01401-3","http://dx.doi.org/10.1186/s40814-023-01401-3")</f>
        <v>http://dx.doi.org/10.1186/s40814-023-01401-3</v>
      </c>
      <c r="BG472" t="s">
        <v>74</v>
      </c>
      <c r="BH472" t="s">
        <v>74</v>
      </c>
      <c r="BI472">
        <v>14</v>
      </c>
      <c r="BJ472" t="s">
        <v>182</v>
      </c>
      <c r="BK472" t="s">
        <v>183</v>
      </c>
      <c r="BL472" t="s">
        <v>184</v>
      </c>
      <c r="BM472" t="s">
        <v>185</v>
      </c>
      <c r="BN472">
        <v>37848959</v>
      </c>
      <c r="BO472" t="s">
        <v>186</v>
      </c>
      <c r="BP472" t="s">
        <v>74</v>
      </c>
      <c r="BQ472" t="s">
        <v>74</v>
      </c>
      <c r="BR472" t="s">
        <v>106</v>
      </c>
      <c r="BS472" t="s">
        <v>187</v>
      </c>
      <c r="BT472" t="str">
        <f>HYPERLINK("https%3A%2F%2Fwww.webofscience.com%2Fwos%2Fwoscc%2Ffull-record%2FWOS:001090408300001","View Full Record in Web of Science")</f>
        <v>View Full Record in Web of Science</v>
      </c>
    </row>
    <row r="473" spans="1:72" x14ac:dyDescent="0.25">
      <c r="A473" t="s">
        <v>72</v>
      </c>
      <c r="B473" t="s">
        <v>188</v>
      </c>
      <c r="C473" t="s">
        <v>74</v>
      </c>
      <c r="D473" t="s">
        <v>74</v>
      </c>
      <c r="E473" t="s">
        <v>74</v>
      </c>
      <c r="F473" t="s">
        <v>189</v>
      </c>
      <c r="G473" t="s">
        <v>74</v>
      </c>
      <c r="H473" t="s">
        <v>74</v>
      </c>
      <c r="I473" s="1" t="s">
        <v>190</v>
      </c>
      <c r="J473" t="s">
        <v>191</v>
      </c>
      <c r="K473" t="s">
        <v>74</v>
      </c>
      <c r="L473" t="s">
        <v>74</v>
      </c>
      <c r="M473" t="s">
        <v>78</v>
      </c>
      <c r="N473" t="s">
        <v>79</v>
      </c>
      <c r="O473" t="s">
        <v>74</v>
      </c>
      <c r="P473" t="s">
        <v>74</v>
      </c>
      <c r="Q473" t="s">
        <v>74</v>
      </c>
      <c r="R473" t="s">
        <v>74</v>
      </c>
      <c r="S473" t="s">
        <v>74</v>
      </c>
      <c r="T473" s="1" t="s">
        <v>192</v>
      </c>
      <c r="U473" s="1" t="s">
        <v>193</v>
      </c>
      <c r="V473" s="1" t="s">
        <v>194</v>
      </c>
      <c r="W473" t="s">
        <v>195</v>
      </c>
      <c r="X473" t="s">
        <v>196</v>
      </c>
      <c r="Y473" t="s">
        <v>197</v>
      </c>
      <c r="Z473" t="s">
        <v>198</v>
      </c>
      <c r="AA473" t="s">
        <v>74</v>
      </c>
      <c r="AB473" t="s">
        <v>74</v>
      </c>
      <c r="AC473" t="s">
        <v>199</v>
      </c>
      <c r="AD473" t="s">
        <v>200</v>
      </c>
      <c r="AE473" t="s">
        <v>201</v>
      </c>
      <c r="AF473" t="s">
        <v>74</v>
      </c>
      <c r="AG473">
        <v>60</v>
      </c>
      <c r="AH473">
        <v>0</v>
      </c>
      <c r="AI473">
        <v>0</v>
      </c>
      <c r="AJ473">
        <v>2</v>
      </c>
      <c r="AK473">
        <v>2</v>
      </c>
      <c r="AL473" t="s">
        <v>202</v>
      </c>
      <c r="AM473" t="s">
        <v>203</v>
      </c>
      <c r="AN473" t="s">
        <v>204</v>
      </c>
      <c r="AO473" t="s">
        <v>74</v>
      </c>
      <c r="AP473" t="s">
        <v>205</v>
      </c>
      <c r="AQ473" t="s">
        <v>74</v>
      </c>
      <c r="AR473" t="s">
        <v>206</v>
      </c>
      <c r="AS473" t="s">
        <v>207</v>
      </c>
      <c r="AT473" t="s">
        <v>208</v>
      </c>
      <c r="AU473">
        <v>2023</v>
      </c>
      <c r="AV473">
        <v>15</v>
      </c>
      <c r="AW473">
        <v>19</v>
      </c>
      <c r="AX473" t="s">
        <v>74</v>
      </c>
      <c r="AY473" t="s">
        <v>74</v>
      </c>
      <c r="AZ473" t="s">
        <v>74</v>
      </c>
      <c r="BA473" t="s">
        <v>74</v>
      </c>
      <c r="BB473" t="s">
        <v>74</v>
      </c>
      <c r="BC473" t="s">
        <v>74</v>
      </c>
      <c r="BD473">
        <v>14168</v>
      </c>
      <c r="BE473" t="s">
        <v>209</v>
      </c>
      <c r="BF473" t="str">
        <f>HYPERLINK("http://dx.doi.org/10.3390/su151914168","http://dx.doi.org/10.3390/su151914168")</f>
        <v>http://dx.doi.org/10.3390/su151914168</v>
      </c>
      <c r="BG473" t="s">
        <v>74</v>
      </c>
      <c r="BH473" t="s">
        <v>74</v>
      </c>
      <c r="BI473">
        <v>37</v>
      </c>
      <c r="BJ473" t="s">
        <v>210</v>
      </c>
      <c r="BK473" t="s">
        <v>211</v>
      </c>
      <c r="BL473" t="s">
        <v>212</v>
      </c>
      <c r="BM473" t="s">
        <v>213</v>
      </c>
      <c r="BN473" t="s">
        <v>74</v>
      </c>
      <c r="BO473" t="s">
        <v>186</v>
      </c>
      <c r="BP473" t="s">
        <v>74</v>
      </c>
      <c r="BQ473" t="s">
        <v>74</v>
      </c>
      <c r="BR473" t="s">
        <v>106</v>
      </c>
      <c r="BS473" t="s">
        <v>214</v>
      </c>
      <c r="BT473" t="str">
        <f>HYPERLINK("https%3A%2F%2Fwww.webofscience.com%2Fwos%2Fwoscc%2Ffull-record%2FWOS:001085854500001","View Full Record in Web of Science")</f>
        <v>View Full Record in Web of Science</v>
      </c>
    </row>
    <row r="474" spans="1:72" x14ac:dyDescent="0.25">
      <c r="A474" t="s">
        <v>72</v>
      </c>
      <c r="B474" t="s">
        <v>215</v>
      </c>
      <c r="C474" t="s">
        <v>74</v>
      </c>
      <c r="D474" t="s">
        <v>74</v>
      </c>
      <c r="E474" t="s">
        <v>74</v>
      </c>
      <c r="F474" t="s">
        <v>216</v>
      </c>
      <c r="G474" t="s">
        <v>74</v>
      </c>
      <c r="H474" t="s">
        <v>74</v>
      </c>
      <c r="I474" s="1" t="s">
        <v>217</v>
      </c>
      <c r="J474" t="s">
        <v>218</v>
      </c>
      <c r="K474" t="s">
        <v>74</v>
      </c>
      <c r="L474" t="s">
        <v>74</v>
      </c>
      <c r="M474" t="s">
        <v>78</v>
      </c>
      <c r="N474" t="s">
        <v>79</v>
      </c>
      <c r="O474" t="s">
        <v>74</v>
      </c>
      <c r="P474" t="s">
        <v>74</v>
      </c>
      <c r="Q474" t="s">
        <v>74</v>
      </c>
      <c r="R474" t="s">
        <v>74</v>
      </c>
      <c r="S474" t="s">
        <v>74</v>
      </c>
      <c r="T474" s="1" t="s">
        <v>219</v>
      </c>
      <c r="U474" s="1" t="s">
        <v>220</v>
      </c>
      <c r="V474" s="1" t="s">
        <v>221</v>
      </c>
      <c r="W474" t="s">
        <v>222</v>
      </c>
      <c r="X474" t="s">
        <v>223</v>
      </c>
      <c r="Y474" t="s">
        <v>224</v>
      </c>
      <c r="Z474" t="s">
        <v>225</v>
      </c>
      <c r="AA474" t="s">
        <v>226</v>
      </c>
      <c r="AB474" t="s">
        <v>227</v>
      </c>
      <c r="AC474" t="s">
        <v>228</v>
      </c>
      <c r="AD474" t="s">
        <v>229</v>
      </c>
      <c r="AE474" t="s">
        <v>230</v>
      </c>
      <c r="AF474" t="s">
        <v>74</v>
      </c>
      <c r="AG474">
        <v>89</v>
      </c>
      <c r="AH474">
        <v>0</v>
      </c>
      <c r="AI474">
        <v>0</v>
      </c>
      <c r="AJ474">
        <v>7</v>
      </c>
      <c r="AK474">
        <v>7</v>
      </c>
      <c r="AL474" t="s">
        <v>231</v>
      </c>
      <c r="AM474" t="s">
        <v>232</v>
      </c>
      <c r="AN474" t="s">
        <v>233</v>
      </c>
      <c r="AO474" t="s">
        <v>234</v>
      </c>
      <c r="AP474" t="s">
        <v>235</v>
      </c>
      <c r="AQ474" t="s">
        <v>74</v>
      </c>
      <c r="AR474" t="s">
        <v>236</v>
      </c>
      <c r="AS474" t="s">
        <v>237</v>
      </c>
      <c r="AT474" t="s">
        <v>208</v>
      </c>
      <c r="AU474">
        <v>2023</v>
      </c>
      <c r="AV474">
        <v>264</v>
      </c>
      <c r="AW474" t="s">
        <v>74</v>
      </c>
      <c r="AX474" t="s">
        <v>74</v>
      </c>
      <c r="AY474" t="s">
        <v>74</v>
      </c>
      <c r="AZ474" t="s">
        <v>74</v>
      </c>
      <c r="BA474" t="s">
        <v>74</v>
      </c>
      <c r="BB474" t="s">
        <v>74</v>
      </c>
      <c r="BC474" t="s">
        <v>74</v>
      </c>
      <c r="BD474">
        <v>108983</v>
      </c>
      <c r="BE474" t="s">
        <v>238</v>
      </c>
      <c r="BF474" t="str">
        <f>HYPERLINK("http://dx.doi.org/10.1016/j.ijpe.2023.108983","http://dx.doi.org/10.1016/j.ijpe.2023.108983")</f>
        <v>http://dx.doi.org/10.1016/j.ijpe.2023.108983</v>
      </c>
      <c r="BG474" t="s">
        <v>74</v>
      </c>
      <c r="BH474" t="s">
        <v>74</v>
      </c>
      <c r="BI474">
        <v>16</v>
      </c>
      <c r="BJ474" t="s">
        <v>239</v>
      </c>
      <c r="BK474" t="s">
        <v>102</v>
      </c>
      <c r="BL474" t="s">
        <v>240</v>
      </c>
      <c r="BM474" t="s">
        <v>241</v>
      </c>
      <c r="BN474" t="s">
        <v>74</v>
      </c>
      <c r="BO474" t="s">
        <v>74</v>
      </c>
      <c r="BP474" t="s">
        <v>74</v>
      </c>
      <c r="BQ474" t="s">
        <v>74</v>
      </c>
      <c r="BR474" t="s">
        <v>106</v>
      </c>
      <c r="BS474" t="s">
        <v>242</v>
      </c>
      <c r="BT474" t="str">
        <f>HYPERLINK("https%3A%2F%2Fwww.webofscience.com%2Fwos%2Fwoscc%2Ffull-record%2FWOS:001049479700001","View Full Record in Web of Science")</f>
        <v>View Full Record in Web of Science</v>
      </c>
    </row>
    <row r="475" spans="1:72" x14ac:dyDescent="0.25">
      <c r="A475" t="s">
        <v>72</v>
      </c>
      <c r="B475" t="s">
        <v>243</v>
      </c>
      <c r="C475" t="s">
        <v>74</v>
      </c>
      <c r="D475" t="s">
        <v>74</v>
      </c>
      <c r="E475" t="s">
        <v>74</v>
      </c>
      <c r="F475" t="s">
        <v>244</v>
      </c>
      <c r="G475" t="s">
        <v>74</v>
      </c>
      <c r="H475" t="s">
        <v>74</v>
      </c>
      <c r="I475" s="1" t="s">
        <v>245</v>
      </c>
      <c r="J475" t="s">
        <v>246</v>
      </c>
      <c r="K475" t="s">
        <v>74</v>
      </c>
      <c r="L475" t="s">
        <v>74</v>
      </c>
      <c r="M475" t="s">
        <v>78</v>
      </c>
      <c r="N475" t="s">
        <v>112</v>
      </c>
      <c r="O475" t="s">
        <v>74</v>
      </c>
      <c r="P475" t="s">
        <v>74</v>
      </c>
      <c r="Q475" t="s">
        <v>74</v>
      </c>
      <c r="R475" t="s">
        <v>74</v>
      </c>
      <c r="S475" t="s">
        <v>74</v>
      </c>
      <c r="T475" s="1" t="s">
        <v>247</v>
      </c>
      <c r="U475" s="1" t="s">
        <v>248</v>
      </c>
      <c r="V475" s="1" t="s">
        <v>249</v>
      </c>
      <c r="W475" t="s">
        <v>250</v>
      </c>
      <c r="X475" t="s">
        <v>251</v>
      </c>
      <c r="Y475" t="s">
        <v>252</v>
      </c>
      <c r="Z475" t="s">
        <v>253</v>
      </c>
      <c r="AA475" t="s">
        <v>74</v>
      </c>
      <c r="AB475" t="s">
        <v>74</v>
      </c>
      <c r="AC475" t="s">
        <v>74</v>
      </c>
      <c r="AD475" t="s">
        <v>74</v>
      </c>
      <c r="AE475" t="s">
        <v>74</v>
      </c>
      <c r="AF475" t="s">
        <v>74</v>
      </c>
      <c r="AG475">
        <v>144</v>
      </c>
      <c r="AH475">
        <v>0</v>
      </c>
      <c r="AI475">
        <v>0</v>
      </c>
      <c r="AJ475">
        <v>1</v>
      </c>
      <c r="AK475">
        <v>1</v>
      </c>
      <c r="AL475" t="s">
        <v>254</v>
      </c>
      <c r="AM475" t="s">
        <v>255</v>
      </c>
      <c r="AN475" t="s">
        <v>256</v>
      </c>
      <c r="AO475" t="s">
        <v>257</v>
      </c>
      <c r="AP475" t="s">
        <v>258</v>
      </c>
      <c r="AQ475" t="s">
        <v>74</v>
      </c>
      <c r="AR475" t="s">
        <v>259</v>
      </c>
      <c r="AS475" t="s">
        <v>260</v>
      </c>
      <c r="AT475" t="s">
        <v>261</v>
      </c>
      <c r="AU475">
        <v>2023</v>
      </c>
      <c r="AV475" t="s">
        <v>74</v>
      </c>
      <c r="AW475" t="s">
        <v>74</v>
      </c>
      <c r="AX475" t="s">
        <v>74</v>
      </c>
      <c r="AY475" t="s">
        <v>74</v>
      </c>
      <c r="AZ475" t="s">
        <v>74</v>
      </c>
      <c r="BA475" t="s">
        <v>74</v>
      </c>
      <c r="BB475" t="s">
        <v>74</v>
      </c>
      <c r="BC475" t="s">
        <v>74</v>
      </c>
      <c r="BD475" t="s">
        <v>74</v>
      </c>
      <c r="BE475" t="s">
        <v>262</v>
      </c>
      <c r="BF475" t="str">
        <f>HYPERLINK("http://dx.doi.org/10.1007/s10257-023-00651-1","http://dx.doi.org/10.1007/s10257-023-00651-1")</f>
        <v>http://dx.doi.org/10.1007/s10257-023-00651-1</v>
      </c>
      <c r="BG475" t="s">
        <v>74</v>
      </c>
      <c r="BH475" t="s">
        <v>263</v>
      </c>
      <c r="BI475">
        <v>39</v>
      </c>
      <c r="BJ475" t="s">
        <v>264</v>
      </c>
      <c r="BK475" t="s">
        <v>156</v>
      </c>
      <c r="BL475" t="s">
        <v>265</v>
      </c>
      <c r="BM475" t="s">
        <v>266</v>
      </c>
      <c r="BN475" t="s">
        <v>74</v>
      </c>
      <c r="BO475" t="s">
        <v>74</v>
      </c>
      <c r="BP475" t="s">
        <v>74</v>
      </c>
      <c r="BQ475" t="s">
        <v>74</v>
      </c>
      <c r="BR475" t="s">
        <v>106</v>
      </c>
      <c r="BS475" t="s">
        <v>267</v>
      </c>
      <c r="BT475" t="str">
        <f>HYPERLINK("https%3A%2F%2Fwww.webofscience.com%2Fwos%2Fwoscc%2Ffull-record%2FWOS:001074928700001","View Full Record in Web of Science")</f>
        <v>View Full Record in Web of Science</v>
      </c>
    </row>
    <row r="476" spans="1:72" x14ac:dyDescent="0.25">
      <c r="A476" t="s">
        <v>72</v>
      </c>
      <c r="B476" t="s">
        <v>268</v>
      </c>
      <c r="C476" t="s">
        <v>74</v>
      </c>
      <c r="D476" t="s">
        <v>74</v>
      </c>
      <c r="E476" t="s">
        <v>74</v>
      </c>
      <c r="F476" t="s">
        <v>269</v>
      </c>
      <c r="G476" t="s">
        <v>74</v>
      </c>
      <c r="H476" t="s">
        <v>74</v>
      </c>
      <c r="I476" s="1" t="s">
        <v>270</v>
      </c>
      <c r="J476" t="s">
        <v>271</v>
      </c>
      <c r="K476" t="s">
        <v>74</v>
      </c>
      <c r="L476" t="s">
        <v>74</v>
      </c>
      <c r="M476" t="s">
        <v>78</v>
      </c>
      <c r="N476" t="s">
        <v>79</v>
      </c>
      <c r="O476" t="s">
        <v>74</v>
      </c>
      <c r="P476" t="s">
        <v>74</v>
      </c>
      <c r="Q476" t="s">
        <v>74</v>
      </c>
      <c r="R476" t="s">
        <v>74</v>
      </c>
      <c r="S476" t="s">
        <v>74</v>
      </c>
      <c r="T476" s="1" t="s">
        <v>272</v>
      </c>
      <c r="U476" s="1" t="s">
        <v>273</v>
      </c>
      <c r="V476" s="1" t="s">
        <v>274</v>
      </c>
      <c r="W476" t="s">
        <v>275</v>
      </c>
      <c r="X476" t="s">
        <v>276</v>
      </c>
      <c r="Y476" t="s">
        <v>277</v>
      </c>
      <c r="Z476" t="s">
        <v>278</v>
      </c>
      <c r="AA476" t="s">
        <v>279</v>
      </c>
      <c r="AB476" t="s">
        <v>280</v>
      </c>
      <c r="AC476" t="s">
        <v>281</v>
      </c>
      <c r="AD476" t="s">
        <v>282</v>
      </c>
      <c r="AE476" t="s">
        <v>283</v>
      </c>
      <c r="AF476" t="s">
        <v>74</v>
      </c>
      <c r="AG476">
        <v>123</v>
      </c>
      <c r="AH476">
        <v>0</v>
      </c>
      <c r="AI476">
        <v>0</v>
      </c>
      <c r="AJ476">
        <v>12</v>
      </c>
      <c r="AK476">
        <v>12</v>
      </c>
      <c r="AL476" t="s">
        <v>284</v>
      </c>
      <c r="AM476" t="s">
        <v>285</v>
      </c>
      <c r="AN476" t="s">
        <v>286</v>
      </c>
      <c r="AO476" t="s">
        <v>287</v>
      </c>
      <c r="AP476" t="s">
        <v>288</v>
      </c>
      <c r="AQ476" t="s">
        <v>74</v>
      </c>
      <c r="AR476" t="s">
        <v>289</v>
      </c>
      <c r="AS476" t="s">
        <v>290</v>
      </c>
      <c r="AT476" t="s">
        <v>99</v>
      </c>
      <c r="AU476">
        <v>2023</v>
      </c>
      <c r="AV476">
        <v>80</v>
      </c>
      <c r="AW476" t="s">
        <v>74</v>
      </c>
      <c r="AX476" t="s">
        <v>74</v>
      </c>
      <c r="AY476" t="s">
        <v>74</v>
      </c>
      <c r="AZ476" t="s">
        <v>74</v>
      </c>
      <c r="BA476" t="s">
        <v>74</v>
      </c>
      <c r="BB476">
        <v>130</v>
      </c>
      <c r="BC476">
        <v>141</v>
      </c>
      <c r="BD476" t="s">
        <v>74</v>
      </c>
      <c r="BE476" t="s">
        <v>291</v>
      </c>
      <c r="BF476" t="str">
        <f>HYPERLINK("http://dx.doi.org/10.1016/j.ymben.2023.09.012","http://dx.doi.org/10.1016/j.ymben.2023.09.012")</f>
        <v>http://dx.doi.org/10.1016/j.ymben.2023.09.012</v>
      </c>
      <c r="BG476" t="s">
        <v>74</v>
      </c>
      <c r="BH476" t="s">
        <v>263</v>
      </c>
      <c r="BI476">
        <v>12</v>
      </c>
      <c r="BJ476" t="s">
        <v>292</v>
      </c>
      <c r="BK476" t="s">
        <v>102</v>
      </c>
      <c r="BL476" t="s">
        <v>292</v>
      </c>
      <c r="BM476" t="s">
        <v>293</v>
      </c>
      <c r="BN476">
        <v>37734652</v>
      </c>
      <c r="BO476" t="s">
        <v>74</v>
      </c>
      <c r="BP476" t="s">
        <v>74</v>
      </c>
      <c r="BQ476" t="s">
        <v>74</v>
      </c>
      <c r="BR476" t="s">
        <v>106</v>
      </c>
      <c r="BS476" t="s">
        <v>294</v>
      </c>
      <c r="BT476" t="str">
        <f>HYPERLINK("https%3A%2F%2Fwww.webofscience.com%2Fwos%2Fwoscc%2Ffull-record%2FWOS:001086006300001","View Full Record in Web of Science")</f>
        <v>View Full Record in Web of Science</v>
      </c>
    </row>
    <row r="477" spans="1:72" x14ac:dyDescent="0.25">
      <c r="A477" t="s">
        <v>72</v>
      </c>
      <c r="B477" t="s">
        <v>295</v>
      </c>
      <c r="C477" t="s">
        <v>74</v>
      </c>
      <c r="D477" t="s">
        <v>74</v>
      </c>
      <c r="E477" t="s">
        <v>74</v>
      </c>
      <c r="F477" t="s">
        <v>296</v>
      </c>
      <c r="G477" t="s">
        <v>74</v>
      </c>
      <c r="H477" t="s">
        <v>74</v>
      </c>
      <c r="I477" s="1" t="s">
        <v>297</v>
      </c>
      <c r="J477" t="s">
        <v>298</v>
      </c>
      <c r="K477" t="s">
        <v>74</v>
      </c>
      <c r="L477" t="s">
        <v>74</v>
      </c>
      <c r="M477" t="s">
        <v>78</v>
      </c>
      <c r="N477" t="s">
        <v>112</v>
      </c>
      <c r="O477" t="s">
        <v>74</v>
      </c>
      <c r="P477" t="s">
        <v>74</v>
      </c>
      <c r="Q477" t="s">
        <v>74</v>
      </c>
      <c r="R477" t="s">
        <v>74</v>
      </c>
      <c r="S477" t="s">
        <v>74</v>
      </c>
      <c r="T477" s="1" t="s">
        <v>74</v>
      </c>
      <c r="U477" s="1" t="s">
        <v>299</v>
      </c>
      <c r="V477" s="1" t="s">
        <v>300</v>
      </c>
      <c r="W477" t="s">
        <v>301</v>
      </c>
      <c r="X477" t="s">
        <v>302</v>
      </c>
      <c r="Y477" t="s">
        <v>303</v>
      </c>
      <c r="Z477" t="s">
        <v>304</v>
      </c>
      <c r="AA477" t="s">
        <v>305</v>
      </c>
      <c r="AB477" t="s">
        <v>306</v>
      </c>
      <c r="AC477" t="s">
        <v>307</v>
      </c>
      <c r="AD477" t="s">
        <v>307</v>
      </c>
      <c r="AE477" t="s">
        <v>308</v>
      </c>
      <c r="AF477" t="s">
        <v>74</v>
      </c>
      <c r="AG477">
        <v>69</v>
      </c>
      <c r="AH477">
        <v>0</v>
      </c>
      <c r="AI477">
        <v>0</v>
      </c>
      <c r="AJ477">
        <v>0</v>
      </c>
      <c r="AK477">
        <v>0</v>
      </c>
      <c r="AL477" t="s">
        <v>146</v>
      </c>
      <c r="AM477" t="s">
        <v>147</v>
      </c>
      <c r="AN477" t="s">
        <v>148</v>
      </c>
      <c r="AO477" t="s">
        <v>309</v>
      </c>
      <c r="AP477" t="s">
        <v>310</v>
      </c>
      <c r="AQ477" t="s">
        <v>74</v>
      </c>
      <c r="AR477" t="s">
        <v>311</v>
      </c>
      <c r="AS477" t="s">
        <v>312</v>
      </c>
      <c r="AT477" t="s">
        <v>313</v>
      </c>
      <c r="AU477">
        <v>2023</v>
      </c>
      <c r="AV477" t="s">
        <v>74</v>
      </c>
      <c r="AW477" t="s">
        <v>74</v>
      </c>
      <c r="AX477" t="s">
        <v>74</v>
      </c>
      <c r="AY477" t="s">
        <v>74</v>
      </c>
      <c r="AZ477" t="s">
        <v>74</v>
      </c>
      <c r="BA477" t="s">
        <v>74</v>
      </c>
      <c r="BB477" t="s">
        <v>74</v>
      </c>
      <c r="BC477" t="s">
        <v>74</v>
      </c>
      <c r="BD477" t="s">
        <v>74</v>
      </c>
      <c r="BE477" t="s">
        <v>314</v>
      </c>
      <c r="BF477" t="str">
        <f>HYPERLINK("http://dx.doi.org/10.1002/kpm.1765","http://dx.doi.org/10.1002/kpm.1765")</f>
        <v>http://dx.doi.org/10.1002/kpm.1765</v>
      </c>
      <c r="BG477" t="s">
        <v>74</v>
      </c>
      <c r="BH477" t="s">
        <v>263</v>
      </c>
      <c r="BI477">
        <v>12</v>
      </c>
      <c r="BJ477" t="s">
        <v>315</v>
      </c>
      <c r="BK477" t="s">
        <v>183</v>
      </c>
      <c r="BL477" t="s">
        <v>265</v>
      </c>
      <c r="BM477" t="s">
        <v>316</v>
      </c>
      <c r="BN477" t="s">
        <v>74</v>
      </c>
      <c r="BO477" t="s">
        <v>105</v>
      </c>
      <c r="BP477" t="s">
        <v>74</v>
      </c>
      <c r="BQ477" t="s">
        <v>74</v>
      </c>
      <c r="BR477" t="s">
        <v>106</v>
      </c>
      <c r="BS477" t="s">
        <v>317</v>
      </c>
      <c r="BT477" t="str">
        <f>HYPERLINK("https%3A%2F%2Fwww.webofscience.com%2Fwos%2Fwoscc%2Ffull-record%2FWOS:001071980700001","View Full Record in Web of Science")</f>
        <v>View Full Record in Web of Science</v>
      </c>
    </row>
    <row r="478" spans="1:72" x14ac:dyDescent="0.25">
      <c r="A478" t="s">
        <v>72</v>
      </c>
      <c r="B478" t="s">
        <v>318</v>
      </c>
      <c r="C478" t="s">
        <v>74</v>
      </c>
      <c r="D478" t="s">
        <v>74</v>
      </c>
      <c r="E478" t="s">
        <v>74</v>
      </c>
      <c r="F478" t="s">
        <v>319</v>
      </c>
      <c r="G478" t="s">
        <v>74</v>
      </c>
      <c r="H478" t="s">
        <v>74</v>
      </c>
      <c r="I478" s="1" t="s">
        <v>320</v>
      </c>
      <c r="J478" t="s">
        <v>321</v>
      </c>
      <c r="K478" t="s">
        <v>74</v>
      </c>
      <c r="L478" t="s">
        <v>74</v>
      </c>
      <c r="M478" t="s">
        <v>78</v>
      </c>
      <c r="N478" t="s">
        <v>79</v>
      </c>
      <c r="O478" t="s">
        <v>74</v>
      </c>
      <c r="P478" t="s">
        <v>74</v>
      </c>
      <c r="Q478" t="s">
        <v>74</v>
      </c>
      <c r="R478" t="s">
        <v>74</v>
      </c>
      <c r="S478" t="s">
        <v>74</v>
      </c>
      <c r="T478" s="1" t="s">
        <v>322</v>
      </c>
      <c r="U478" s="1" t="s">
        <v>323</v>
      </c>
      <c r="V478" s="1" t="s">
        <v>324</v>
      </c>
      <c r="W478" t="s">
        <v>325</v>
      </c>
      <c r="X478" t="s">
        <v>326</v>
      </c>
      <c r="Y478" t="s">
        <v>327</v>
      </c>
      <c r="Z478" t="s">
        <v>328</v>
      </c>
      <c r="AA478" t="s">
        <v>74</v>
      </c>
      <c r="AB478" t="s">
        <v>329</v>
      </c>
      <c r="AC478" t="s">
        <v>330</v>
      </c>
      <c r="AD478" t="s">
        <v>330</v>
      </c>
      <c r="AE478" t="s">
        <v>331</v>
      </c>
      <c r="AF478" t="s">
        <v>74</v>
      </c>
      <c r="AG478">
        <v>39</v>
      </c>
      <c r="AH478">
        <v>0</v>
      </c>
      <c r="AI478">
        <v>0</v>
      </c>
      <c r="AJ478">
        <v>2</v>
      </c>
      <c r="AK478">
        <v>2</v>
      </c>
      <c r="AL478" t="s">
        <v>332</v>
      </c>
      <c r="AM478" t="s">
        <v>122</v>
      </c>
      <c r="AN478" t="s">
        <v>333</v>
      </c>
      <c r="AO478" t="s">
        <v>334</v>
      </c>
      <c r="AP478" t="s">
        <v>335</v>
      </c>
      <c r="AQ478" t="s">
        <v>74</v>
      </c>
      <c r="AR478" t="s">
        <v>336</v>
      </c>
      <c r="AS478" t="s">
        <v>337</v>
      </c>
      <c r="AT478" t="s">
        <v>99</v>
      </c>
      <c r="AU478">
        <v>2023</v>
      </c>
      <c r="AV478">
        <v>196</v>
      </c>
      <c r="AW478" t="s">
        <v>74</v>
      </c>
      <c r="AX478" t="s">
        <v>74</v>
      </c>
      <c r="AY478" t="s">
        <v>74</v>
      </c>
      <c r="AZ478" t="s">
        <v>74</v>
      </c>
      <c r="BA478" t="s">
        <v>74</v>
      </c>
      <c r="BB478" t="s">
        <v>74</v>
      </c>
      <c r="BC478" t="s">
        <v>74</v>
      </c>
      <c r="BD478">
        <v>122855</v>
      </c>
      <c r="BE478" t="s">
        <v>338</v>
      </c>
      <c r="BF478" t="str">
        <f>HYPERLINK("http://dx.doi.org/10.1016/j.techfore.2023.122855","http://dx.doi.org/10.1016/j.techfore.2023.122855")</f>
        <v>http://dx.doi.org/10.1016/j.techfore.2023.122855</v>
      </c>
      <c r="BG478" t="s">
        <v>74</v>
      </c>
      <c r="BH478" t="s">
        <v>263</v>
      </c>
      <c r="BI478">
        <v>11</v>
      </c>
      <c r="BJ478" t="s">
        <v>339</v>
      </c>
      <c r="BK478" t="s">
        <v>156</v>
      </c>
      <c r="BL478" t="s">
        <v>340</v>
      </c>
      <c r="BM478" t="s">
        <v>341</v>
      </c>
      <c r="BN478" t="s">
        <v>74</v>
      </c>
      <c r="BO478" t="s">
        <v>74</v>
      </c>
      <c r="BP478" t="s">
        <v>74</v>
      </c>
      <c r="BQ478" t="s">
        <v>74</v>
      </c>
      <c r="BR478" t="s">
        <v>106</v>
      </c>
      <c r="BS478" t="s">
        <v>342</v>
      </c>
      <c r="BT478" t="str">
        <f>HYPERLINK("https%3A%2F%2Fwww.webofscience.com%2Fwos%2Fwoscc%2Ffull-record%2FWOS:001081454800001","View Full Record in Web of Science")</f>
        <v>View Full Record in Web of Science</v>
      </c>
    </row>
    <row r="479" spans="1:72" x14ac:dyDescent="0.25">
      <c r="A479" t="s">
        <v>72</v>
      </c>
      <c r="B479" t="s">
        <v>343</v>
      </c>
      <c r="C479" t="s">
        <v>74</v>
      </c>
      <c r="D479" t="s">
        <v>74</v>
      </c>
      <c r="E479" t="s">
        <v>74</v>
      </c>
      <c r="F479" t="s">
        <v>344</v>
      </c>
      <c r="G479" t="s">
        <v>74</v>
      </c>
      <c r="H479" t="s">
        <v>74</v>
      </c>
      <c r="I479" s="1" t="s">
        <v>345</v>
      </c>
      <c r="J479" t="s">
        <v>191</v>
      </c>
      <c r="K479" t="s">
        <v>74</v>
      </c>
      <c r="L479" t="s">
        <v>74</v>
      </c>
      <c r="M479" t="s">
        <v>78</v>
      </c>
      <c r="N479" t="s">
        <v>79</v>
      </c>
      <c r="O479" t="s">
        <v>74</v>
      </c>
      <c r="P479" t="s">
        <v>74</v>
      </c>
      <c r="Q479" t="s">
        <v>74</v>
      </c>
      <c r="R479" t="s">
        <v>74</v>
      </c>
      <c r="S479" t="s">
        <v>74</v>
      </c>
      <c r="T479" s="1" t="s">
        <v>346</v>
      </c>
      <c r="U479" s="1" t="s">
        <v>347</v>
      </c>
      <c r="V479" s="1" t="s">
        <v>348</v>
      </c>
      <c r="W479" t="s">
        <v>349</v>
      </c>
      <c r="X479" t="s">
        <v>350</v>
      </c>
      <c r="Y479" t="s">
        <v>351</v>
      </c>
      <c r="Z479" t="s">
        <v>352</v>
      </c>
      <c r="AA479" t="s">
        <v>74</v>
      </c>
      <c r="AB479" t="s">
        <v>353</v>
      </c>
      <c r="AC479" t="s">
        <v>354</v>
      </c>
      <c r="AD479" t="s">
        <v>354</v>
      </c>
      <c r="AE479" t="s">
        <v>355</v>
      </c>
      <c r="AF479" t="s">
        <v>74</v>
      </c>
      <c r="AG479">
        <v>97</v>
      </c>
      <c r="AH479">
        <v>0</v>
      </c>
      <c r="AI479">
        <v>0</v>
      </c>
      <c r="AJ479">
        <v>5</v>
      </c>
      <c r="AK479">
        <v>5</v>
      </c>
      <c r="AL479" t="s">
        <v>202</v>
      </c>
      <c r="AM479" t="s">
        <v>203</v>
      </c>
      <c r="AN479" t="s">
        <v>204</v>
      </c>
      <c r="AO479" t="s">
        <v>74</v>
      </c>
      <c r="AP479" t="s">
        <v>205</v>
      </c>
      <c r="AQ479" t="s">
        <v>74</v>
      </c>
      <c r="AR479" t="s">
        <v>206</v>
      </c>
      <c r="AS479" t="s">
        <v>207</v>
      </c>
      <c r="AT479" t="s">
        <v>356</v>
      </c>
      <c r="AU479">
        <v>2023</v>
      </c>
      <c r="AV479">
        <v>15</v>
      </c>
      <c r="AW479">
        <v>18</v>
      </c>
      <c r="AX479" t="s">
        <v>74</v>
      </c>
      <c r="AY479" t="s">
        <v>74</v>
      </c>
      <c r="AZ479" t="s">
        <v>74</v>
      </c>
      <c r="BA479" t="s">
        <v>74</v>
      </c>
      <c r="BB479" t="s">
        <v>74</v>
      </c>
      <c r="BC479" t="s">
        <v>74</v>
      </c>
      <c r="BD479">
        <v>13809</v>
      </c>
      <c r="BE479" t="s">
        <v>357</v>
      </c>
      <c r="BF479" t="str">
        <f>HYPERLINK("http://dx.doi.org/10.3390/su151813809","http://dx.doi.org/10.3390/su151813809")</f>
        <v>http://dx.doi.org/10.3390/su151813809</v>
      </c>
      <c r="BG479" t="s">
        <v>74</v>
      </c>
      <c r="BH479" t="s">
        <v>74</v>
      </c>
      <c r="BI479">
        <v>18</v>
      </c>
      <c r="BJ479" t="s">
        <v>210</v>
      </c>
      <c r="BK479" t="s">
        <v>211</v>
      </c>
      <c r="BL479" t="s">
        <v>212</v>
      </c>
      <c r="BM479" t="s">
        <v>358</v>
      </c>
      <c r="BN479" t="s">
        <v>74</v>
      </c>
      <c r="BO479" t="s">
        <v>186</v>
      </c>
      <c r="BP479" t="s">
        <v>74</v>
      </c>
      <c r="BQ479" t="s">
        <v>74</v>
      </c>
      <c r="BR479" t="s">
        <v>106</v>
      </c>
      <c r="BS479" t="s">
        <v>359</v>
      </c>
      <c r="BT479" t="str">
        <f>HYPERLINK("https%3A%2F%2Fwww.webofscience.com%2Fwos%2Fwoscc%2Ffull-record%2FWOS:001072299000001","View Full Record in Web of Science")</f>
        <v>View Full Record in Web of Science</v>
      </c>
    </row>
    <row r="480" spans="1:72" x14ac:dyDescent="0.25">
      <c r="A480" t="s">
        <v>72</v>
      </c>
      <c r="B480" t="s">
        <v>360</v>
      </c>
      <c r="C480" t="s">
        <v>74</v>
      </c>
      <c r="D480" t="s">
        <v>74</v>
      </c>
      <c r="E480" t="s">
        <v>74</v>
      </c>
      <c r="F480" t="s">
        <v>361</v>
      </c>
      <c r="G480" t="s">
        <v>74</v>
      </c>
      <c r="H480" t="s">
        <v>74</v>
      </c>
      <c r="I480" s="1" t="s">
        <v>362</v>
      </c>
      <c r="J480" t="s">
        <v>363</v>
      </c>
      <c r="K480" t="s">
        <v>74</v>
      </c>
      <c r="L480" t="s">
        <v>74</v>
      </c>
      <c r="M480" t="s">
        <v>78</v>
      </c>
      <c r="N480" t="s">
        <v>79</v>
      </c>
      <c r="O480" t="s">
        <v>74</v>
      </c>
      <c r="P480" t="s">
        <v>74</v>
      </c>
      <c r="Q480" t="s">
        <v>74</v>
      </c>
      <c r="R480" t="s">
        <v>74</v>
      </c>
      <c r="S480" t="s">
        <v>74</v>
      </c>
      <c r="T480" s="1" t="s">
        <v>364</v>
      </c>
      <c r="U480" s="1" t="s">
        <v>74</v>
      </c>
      <c r="V480" s="1" t="s">
        <v>365</v>
      </c>
      <c r="W480" t="s">
        <v>366</v>
      </c>
      <c r="X480" t="s">
        <v>367</v>
      </c>
      <c r="Y480" t="s">
        <v>368</v>
      </c>
      <c r="Z480" t="s">
        <v>369</v>
      </c>
      <c r="AA480" t="s">
        <v>74</v>
      </c>
      <c r="AB480" t="s">
        <v>74</v>
      </c>
      <c r="AC480" t="s">
        <v>74</v>
      </c>
      <c r="AD480" t="s">
        <v>74</v>
      </c>
      <c r="AE480" t="s">
        <v>74</v>
      </c>
      <c r="AF480" t="s">
        <v>74</v>
      </c>
      <c r="AG480">
        <v>23</v>
      </c>
      <c r="AH480">
        <v>0</v>
      </c>
      <c r="AI480">
        <v>0</v>
      </c>
      <c r="AJ480">
        <v>2</v>
      </c>
      <c r="AK480">
        <v>2</v>
      </c>
      <c r="AL480" t="s">
        <v>370</v>
      </c>
      <c r="AM480" t="s">
        <v>371</v>
      </c>
      <c r="AN480" t="s">
        <v>372</v>
      </c>
      <c r="AO480" t="s">
        <v>74</v>
      </c>
      <c r="AP480" t="s">
        <v>373</v>
      </c>
      <c r="AQ480" t="s">
        <v>74</v>
      </c>
      <c r="AR480" t="s">
        <v>374</v>
      </c>
      <c r="AS480" t="s">
        <v>375</v>
      </c>
      <c r="AT480" t="s">
        <v>376</v>
      </c>
      <c r="AU480">
        <v>2023</v>
      </c>
      <c r="AV480">
        <v>14</v>
      </c>
      <c r="AW480">
        <v>3</v>
      </c>
      <c r="AX480" t="s">
        <v>74</v>
      </c>
      <c r="AY480" t="s">
        <v>74</v>
      </c>
      <c r="AZ480" t="s">
        <v>74</v>
      </c>
      <c r="BA480" t="s">
        <v>74</v>
      </c>
      <c r="BB480">
        <v>300</v>
      </c>
      <c r="BC480">
        <v>312</v>
      </c>
      <c r="BD480" t="s">
        <v>74</v>
      </c>
      <c r="BE480" t="s">
        <v>377</v>
      </c>
      <c r="BF480" t="str">
        <f>HYPERLINK("http://dx.doi.org/10.4013/rechtd.2022.143.01","http://dx.doi.org/10.4013/rechtd.2022.143.01")</f>
        <v>http://dx.doi.org/10.4013/rechtd.2022.143.01</v>
      </c>
      <c r="BG480" t="s">
        <v>74</v>
      </c>
      <c r="BH480" t="s">
        <v>74</v>
      </c>
      <c r="BI480">
        <v>13</v>
      </c>
      <c r="BJ480" t="s">
        <v>378</v>
      </c>
      <c r="BK480" t="s">
        <v>183</v>
      </c>
      <c r="BL480" t="s">
        <v>379</v>
      </c>
      <c r="BM480" t="s">
        <v>380</v>
      </c>
      <c r="BN480" t="s">
        <v>74</v>
      </c>
      <c r="BO480" t="s">
        <v>186</v>
      </c>
      <c r="BP480" t="s">
        <v>74</v>
      </c>
      <c r="BQ480" t="s">
        <v>74</v>
      </c>
      <c r="BR480" t="s">
        <v>106</v>
      </c>
      <c r="BS480" t="s">
        <v>381</v>
      </c>
      <c r="BT480" t="str">
        <f>HYPERLINK("https%3A%2F%2Fwww.webofscience.com%2Fwos%2Fwoscc%2Ffull-record%2FWOS:001051855000002","View Full Record in Web of Science")</f>
        <v>View Full Record in Web of Science</v>
      </c>
    </row>
    <row r="481" spans="1:72" x14ac:dyDescent="0.25">
      <c r="A481" t="s">
        <v>72</v>
      </c>
      <c r="B481" t="s">
        <v>382</v>
      </c>
      <c r="C481" t="s">
        <v>74</v>
      </c>
      <c r="D481" t="s">
        <v>74</v>
      </c>
      <c r="E481" t="s">
        <v>74</v>
      </c>
      <c r="F481" t="s">
        <v>383</v>
      </c>
      <c r="G481" t="s">
        <v>74</v>
      </c>
      <c r="H481" t="s">
        <v>74</v>
      </c>
      <c r="I481" s="1" t="s">
        <v>384</v>
      </c>
      <c r="J481" t="s">
        <v>385</v>
      </c>
      <c r="K481" t="s">
        <v>74</v>
      </c>
      <c r="L481" t="s">
        <v>74</v>
      </c>
      <c r="M481" t="s">
        <v>78</v>
      </c>
      <c r="N481" t="s">
        <v>79</v>
      </c>
      <c r="O481" t="s">
        <v>74</v>
      </c>
      <c r="P481" t="s">
        <v>74</v>
      </c>
      <c r="Q481" t="s">
        <v>74</v>
      </c>
      <c r="R481" t="s">
        <v>74</v>
      </c>
      <c r="S481" t="s">
        <v>74</v>
      </c>
      <c r="T481" s="1" t="s">
        <v>386</v>
      </c>
      <c r="U481" s="1" t="s">
        <v>74</v>
      </c>
      <c r="V481" s="1" t="s">
        <v>387</v>
      </c>
      <c r="W481" t="s">
        <v>388</v>
      </c>
      <c r="X481" t="s">
        <v>389</v>
      </c>
      <c r="Y481" t="s">
        <v>390</v>
      </c>
      <c r="Z481" t="s">
        <v>391</v>
      </c>
      <c r="AA481" t="s">
        <v>74</v>
      </c>
      <c r="AB481" t="s">
        <v>74</v>
      </c>
      <c r="AC481" t="s">
        <v>392</v>
      </c>
      <c r="AD481" t="s">
        <v>392</v>
      </c>
      <c r="AE481" t="s">
        <v>393</v>
      </c>
      <c r="AF481" t="s">
        <v>74</v>
      </c>
      <c r="AG481">
        <v>47</v>
      </c>
      <c r="AH481">
        <v>0</v>
      </c>
      <c r="AI481">
        <v>0</v>
      </c>
      <c r="AJ481">
        <v>5</v>
      </c>
      <c r="AK481">
        <v>5</v>
      </c>
      <c r="AL481" t="s">
        <v>202</v>
      </c>
      <c r="AM481" t="s">
        <v>203</v>
      </c>
      <c r="AN481" t="s">
        <v>204</v>
      </c>
      <c r="AO481" t="s">
        <v>74</v>
      </c>
      <c r="AP481" t="s">
        <v>394</v>
      </c>
      <c r="AQ481" t="s">
        <v>74</v>
      </c>
      <c r="AR481" t="s">
        <v>395</v>
      </c>
      <c r="AS481" t="s">
        <v>396</v>
      </c>
      <c r="AT481" t="s">
        <v>356</v>
      </c>
      <c r="AU481">
        <v>2023</v>
      </c>
      <c r="AV481">
        <v>7</v>
      </c>
      <c r="AW481">
        <v>9</v>
      </c>
      <c r="AX481" t="s">
        <v>74</v>
      </c>
      <c r="AY481" t="s">
        <v>74</v>
      </c>
      <c r="AZ481" t="s">
        <v>74</v>
      </c>
      <c r="BA481" t="s">
        <v>74</v>
      </c>
      <c r="BB481" t="s">
        <v>74</v>
      </c>
      <c r="BC481" t="s">
        <v>74</v>
      </c>
      <c r="BD481">
        <v>87</v>
      </c>
      <c r="BE481" t="s">
        <v>397</v>
      </c>
      <c r="BF481" t="str">
        <f>HYPERLINK("http://dx.doi.org/10.3390/mti7090087","http://dx.doi.org/10.3390/mti7090087")</f>
        <v>http://dx.doi.org/10.3390/mti7090087</v>
      </c>
      <c r="BG481" t="s">
        <v>74</v>
      </c>
      <c r="BH481" t="s">
        <v>74</v>
      </c>
      <c r="BI481">
        <v>24</v>
      </c>
      <c r="BJ481" t="s">
        <v>398</v>
      </c>
      <c r="BK481" t="s">
        <v>183</v>
      </c>
      <c r="BL481" t="s">
        <v>399</v>
      </c>
      <c r="BM481" t="s">
        <v>400</v>
      </c>
      <c r="BN481" t="s">
        <v>74</v>
      </c>
      <c r="BO481" t="s">
        <v>186</v>
      </c>
      <c r="BP481" t="s">
        <v>74</v>
      </c>
      <c r="BQ481" t="s">
        <v>74</v>
      </c>
      <c r="BR481" t="s">
        <v>106</v>
      </c>
      <c r="BS481" t="s">
        <v>401</v>
      </c>
      <c r="BT481" t="str">
        <f>HYPERLINK("https%3A%2F%2Fwww.webofscience.com%2Fwos%2Fwoscc%2Ffull-record%2FWOS:001072589100001","View Full Record in Web of Science")</f>
        <v>View Full Record in Web of Science</v>
      </c>
    </row>
    <row r="482" spans="1:72" x14ac:dyDescent="0.25">
      <c r="A482" t="s">
        <v>72</v>
      </c>
      <c r="B482" t="s">
        <v>402</v>
      </c>
      <c r="C482" t="s">
        <v>74</v>
      </c>
      <c r="D482" t="s">
        <v>74</v>
      </c>
      <c r="E482" t="s">
        <v>74</v>
      </c>
      <c r="F482" t="s">
        <v>403</v>
      </c>
      <c r="G482" t="s">
        <v>74</v>
      </c>
      <c r="H482" t="s">
        <v>74</v>
      </c>
      <c r="I482" s="1" t="s">
        <v>404</v>
      </c>
      <c r="J482" t="s">
        <v>405</v>
      </c>
      <c r="K482" t="s">
        <v>74</v>
      </c>
      <c r="L482" t="s">
        <v>74</v>
      </c>
      <c r="M482" t="s">
        <v>78</v>
      </c>
      <c r="N482" t="s">
        <v>79</v>
      </c>
      <c r="O482" t="s">
        <v>74</v>
      </c>
      <c r="P482" t="s">
        <v>74</v>
      </c>
      <c r="Q482" t="s">
        <v>74</v>
      </c>
      <c r="R482" t="s">
        <v>74</v>
      </c>
      <c r="S482" t="s">
        <v>74</v>
      </c>
      <c r="T482" s="1" t="s">
        <v>406</v>
      </c>
      <c r="U482" s="1" t="s">
        <v>407</v>
      </c>
      <c r="V482" s="1" t="s">
        <v>408</v>
      </c>
      <c r="W482" t="s">
        <v>409</v>
      </c>
      <c r="X482" t="s">
        <v>410</v>
      </c>
      <c r="Y482" t="s">
        <v>411</v>
      </c>
      <c r="Z482" t="s">
        <v>412</v>
      </c>
      <c r="AA482" t="s">
        <v>74</v>
      </c>
      <c r="AB482" t="s">
        <v>74</v>
      </c>
      <c r="AC482" t="s">
        <v>413</v>
      </c>
      <c r="AD482" t="s">
        <v>414</v>
      </c>
      <c r="AE482" t="s">
        <v>415</v>
      </c>
      <c r="AF482" t="s">
        <v>74</v>
      </c>
      <c r="AG482">
        <v>36</v>
      </c>
      <c r="AH482">
        <v>0</v>
      </c>
      <c r="AI482">
        <v>0</v>
      </c>
      <c r="AJ482">
        <v>7</v>
      </c>
      <c r="AK482">
        <v>7</v>
      </c>
      <c r="AL482" t="s">
        <v>231</v>
      </c>
      <c r="AM482" t="s">
        <v>232</v>
      </c>
      <c r="AN482" t="s">
        <v>233</v>
      </c>
      <c r="AO482" t="s">
        <v>74</v>
      </c>
      <c r="AP482" t="s">
        <v>416</v>
      </c>
      <c r="AQ482" t="s">
        <v>74</v>
      </c>
      <c r="AR482" t="s">
        <v>417</v>
      </c>
      <c r="AS482" t="s">
        <v>418</v>
      </c>
      <c r="AT482" t="s">
        <v>356</v>
      </c>
      <c r="AU482">
        <v>2023</v>
      </c>
      <c r="AV482">
        <v>38</v>
      </c>
      <c r="AW482" t="s">
        <v>74</v>
      </c>
      <c r="AX482" t="s">
        <v>74</v>
      </c>
      <c r="AY482" t="s">
        <v>74</v>
      </c>
      <c r="AZ482" t="s">
        <v>74</v>
      </c>
      <c r="BA482" t="s">
        <v>74</v>
      </c>
      <c r="BB482" t="s">
        <v>74</v>
      </c>
      <c r="BC482" t="s">
        <v>74</v>
      </c>
      <c r="BD482">
        <v>100837</v>
      </c>
      <c r="BE482" t="s">
        <v>419</v>
      </c>
      <c r="BF482" t="str">
        <f>HYPERLINK("http://dx.doi.org/10.1016/j.lanwpc.2023.100837","http://dx.doi.org/10.1016/j.lanwpc.2023.100837")</f>
        <v>http://dx.doi.org/10.1016/j.lanwpc.2023.100837</v>
      </c>
      <c r="BG482" t="s">
        <v>74</v>
      </c>
      <c r="BH482" t="s">
        <v>74</v>
      </c>
      <c r="BI482">
        <v>10</v>
      </c>
      <c r="BJ482" t="s">
        <v>420</v>
      </c>
      <c r="BK482" t="s">
        <v>211</v>
      </c>
      <c r="BL482" t="s">
        <v>420</v>
      </c>
      <c r="BM482" t="s">
        <v>421</v>
      </c>
      <c r="BN482">
        <v>37520278</v>
      </c>
      <c r="BO482" t="s">
        <v>422</v>
      </c>
      <c r="BP482" t="s">
        <v>74</v>
      </c>
      <c r="BQ482" t="s">
        <v>74</v>
      </c>
      <c r="BR482" t="s">
        <v>106</v>
      </c>
      <c r="BS482" t="s">
        <v>423</v>
      </c>
      <c r="BT482" t="str">
        <f>HYPERLINK("https%3A%2F%2Fwww.webofscience.com%2Fwos%2Fwoscc%2Ffull-record%2FWOS:001058121000001","View Full Record in Web of Science")</f>
        <v>View Full Record in Web of Science</v>
      </c>
    </row>
    <row r="483" spans="1:72" x14ac:dyDescent="0.25">
      <c r="A483" t="s">
        <v>72</v>
      </c>
      <c r="B483" t="s">
        <v>424</v>
      </c>
      <c r="C483" t="s">
        <v>74</v>
      </c>
      <c r="D483" t="s">
        <v>74</v>
      </c>
      <c r="E483" t="s">
        <v>74</v>
      </c>
      <c r="F483" t="s">
        <v>425</v>
      </c>
      <c r="G483" t="s">
        <v>74</v>
      </c>
      <c r="H483" t="s">
        <v>74</v>
      </c>
      <c r="I483" s="1" t="s">
        <v>426</v>
      </c>
      <c r="J483" t="s">
        <v>427</v>
      </c>
      <c r="K483" t="s">
        <v>74</v>
      </c>
      <c r="L483" t="s">
        <v>74</v>
      </c>
      <c r="M483" t="s">
        <v>78</v>
      </c>
      <c r="N483" t="s">
        <v>79</v>
      </c>
      <c r="O483" t="s">
        <v>74</v>
      </c>
      <c r="P483" t="s">
        <v>74</v>
      </c>
      <c r="Q483" t="s">
        <v>74</v>
      </c>
      <c r="R483" t="s">
        <v>74</v>
      </c>
      <c r="S483" t="s">
        <v>74</v>
      </c>
      <c r="T483" s="1" t="s">
        <v>428</v>
      </c>
      <c r="U483" s="1" t="s">
        <v>429</v>
      </c>
      <c r="V483" s="1" t="s">
        <v>430</v>
      </c>
      <c r="W483" t="s">
        <v>431</v>
      </c>
      <c r="X483" t="s">
        <v>432</v>
      </c>
      <c r="Y483" t="s">
        <v>433</v>
      </c>
      <c r="Z483" t="s">
        <v>434</v>
      </c>
      <c r="AA483" t="s">
        <v>74</v>
      </c>
      <c r="AB483" t="s">
        <v>74</v>
      </c>
      <c r="AC483" t="s">
        <v>435</v>
      </c>
      <c r="AD483" t="s">
        <v>436</v>
      </c>
      <c r="AE483" t="s">
        <v>437</v>
      </c>
      <c r="AF483" t="s">
        <v>74</v>
      </c>
      <c r="AG483">
        <v>46</v>
      </c>
      <c r="AH483">
        <v>0</v>
      </c>
      <c r="AI483">
        <v>0</v>
      </c>
      <c r="AJ483">
        <v>4</v>
      </c>
      <c r="AK483">
        <v>4</v>
      </c>
      <c r="AL483" t="s">
        <v>202</v>
      </c>
      <c r="AM483" t="s">
        <v>203</v>
      </c>
      <c r="AN483" t="s">
        <v>204</v>
      </c>
      <c r="AO483" t="s">
        <v>74</v>
      </c>
      <c r="AP483" t="s">
        <v>438</v>
      </c>
      <c r="AQ483" t="s">
        <v>74</v>
      </c>
      <c r="AR483" t="s">
        <v>439</v>
      </c>
      <c r="AS483" t="s">
        <v>440</v>
      </c>
      <c r="AT483" t="s">
        <v>356</v>
      </c>
      <c r="AU483">
        <v>2023</v>
      </c>
      <c r="AV483">
        <v>7</v>
      </c>
      <c r="AW483">
        <v>9</v>
      </c>
      <c r="AX483" t="s">
        <v>74</v>
      </c>
      <c r="AY483" t="s">
        <v>74</v>
      </c>
      <c r="AZ483" t="s">
        <v>74</v>
      </c>
      <c r="BA483" t="s">
        <v>74</v>
      </c>
      <c r="BB483" t="s">
        <v>74</v>
      </c>
      <c r="BC483" t="s">
        <v>74</v>
      </c>
      <c r="BD483">
        <v>576</v>
      </c>
      <c r="BE483" t="s">
        <v>441</v>
      </c>
      <c r="BF483" t="str">
        <f>HYPERLINK("http://dx.doi.org/10.3390/drones7090576","http://dx.doi.org/10.3390/drones7090576")</f>
        <v>http://dx.doi.org/10.3390/drones7090576</v>
      </c>
      <c r="BG483" t="s">
        <v>74</v>
      </c>
      <c r="BH483" t="s">
        <v>74</v>
      </c>
      <c r="BI483">
        <v>23</v>
      </c>
      <c r="BJ483" t="s">
        <v>442</v>
      </c>
      <c r="BK483" t="s">
        <v>102</v>
      </c>
      <c r="BL483" t="s">
        <v>442</v>
      </c>
      <c r="BM483" t="s">
        <v>443</v>
      </c>
      <c r="BN483" t="s">
        <v>74</v>
      </c>
      <c r="BO483" t="s">
        <v>186</v>
      </c>
      <c r="BP483" t="s">
        <v>74</v>
      </c>
      <c r="BQ483" t="s">
        <v>74</v>
      </c>
      <c r="BR483" t="s">
        <v>106</v>
      </c>
      <c r="BS483" t="s">
        <v>444</v>
      </c>
      <c r="BT483" t="str">
        <f>HYPERLINK("https%3A%2F%2Fwww.webofscience.com%2Fwos%2Fwoscc%2Ffull-record%2FWOS:001074507600001","View Full Record in Web of Science")</f>
        <v>View Full Record in Web of Science</v>
      </c>
    </row>
    <row r="484" spans="1:72" x14ac:dyDescent="0.25">
      <c r="A484" t="s">
        <v>72</v>
      </c>
      <c r="B484" t="s">
        <v>445</v>
      </c>
      <c r="C484" t="s">
        <v>74</v>
      </c>
      <c r="D484" t="s">
        <v>74</v>
      </c>
      <c r="E484" t="s">
        <v>74</v>
      </c>
      <c r="F484" t="s">
        <v>446</v>
      </c>
      <c r="G484" t="s">
        <v>74</v>
      </c>
      <c r="H484" t="s">
        <v>74</v>
      </c>
      <c r="I484" s="1" t="s">
        <v>447</v>
      </c>
      <c r="J484" t="s">
        <v>191</v>
      </c>
      <c r="K484" t="s">
        <v>74</v>
      </c>
      <c r="L484" t="s">
        <v>74</v>
      </c>
      <c r="M484" t="s">
        <v>78</v>
      </c>
      <c r="N484" t="s">
        <v>79</v>
      </c>
      <c r="O484" t="s">
        <v>74</v>
      </c>
      <c r="P484" t="s">
        <v>74</v>
      </c>
      <c r="Q484" t="s">
        <v>74</v>
      </c>
      <c r="R484" t="s">
        <v>74</v>
      </c>
      <c r="S484" t="s">
        <v>74</v>
      </c>
      <c r="T484" s="1" t="s">
        <v>448</v>
      </c>
      <c r="U484" s="1" t="s">
        <v>74</v>
      </c>
      <c r="V484" s="1" t="s">
        <v>449</v>
      </c>
      <c r="W484" t="s">
        <v>450</v>
      </c>
      <c r="X484" t="s">
        <v>451</v>
      </c>
      <c r="Y484" t="s">
        <v>452</v>
      </c>
      <c r="Z484" t="s">
        <v>453</v>
      </c>
      <c r="AA484" t="s">
        <v>74</v>
      </c>
      <c r="AB484" t="s">
        <v>74</v>
      </c>
      <c r="AC484" t="s">
        <v>454</v>
      </c>
      <c r="AD484" t="s">
        <v>454</v>
      </c>
      <c r="AE484" t="s">
        <v>454</v>
      </c>
      <c r="AF484" t="s">
        <v>74</v>
      </c>
      <c r="AG484">
        <v>47</v>
      </c>
      <c r="AH484">
        <v>0</v>
      </c>
      <c r="AI484">
        <v>0</v>
      </c>
      <c r="AJ484">
        <v>21</v>
      </c>
      <c r="AK484">
        <v>21</v>
      </c>
      <c r="AL484" t="s">
        <v>202</v>
      </c>
      <c r="AM484" t="s">
        <v>203</v>
      </c>
      <c r="AN484" t="s">
        <v>204</v>
      </c>
      <c r="AO484" t="s">
        <v>74</v>
      </c>
      <c r="AP484" t="s">
        <v>205</v>
      </c>
      <c r="AQ484" t="s">
        <v>74</v>
      </c>
      <c r="AR484" t="s">
        <v>206</v>
      </c>
      <c r="AS484" t="s">
        <v>207</v>
      </c>
      <c r="AT484" t="s">
        <v>356</v>
      </c>
      <c r="AU484">
        <v>2023</v>
      </c>
      <c r="AV484">
        <v>15</v>
      </c>
      <c r="AW484">
        <v>18</v>
      </c>
      <c r="AX484" t="s">
        <v>74</v>
      </c>
      <c r="AY484" t="s">
        <v>74</v>
      </c>
      <c r="AZ484" t="s">
        <v>74</v>
      </c>
      <c r="BA484" t="s">
        <v>74</v>
      </c>
      <c r="BB484" t="s">
        <v>74</v>
      </c>
      <c r="BC484" t="s">
        <v>74</v>
      </c>
      <c r="BD484">
        <v>13607</v>
      </c>
      <c r="BE484" t="s">
        <v>455</v>
      </c>
      <c r="BF484" t="str">
        <f>HYPERLINK("http://dx.doi.org/10.3390/su151813607","http://dx.doi.org/10.3390/su151813607")</f>
        <v>http://dx.doi.org/10.3390/su151813607</v>
      </c>
      <c r="BG484" t="s">
        <v>74</v>
      </c>
      <c r="BH484" t="s">
        <v>74</v>
      </c>
      <c r="BI484">
        <v>16</v>
      </c>
      <c r="BJ484" t="s">
        <v>210</v>
      </c>
      <c r="BK484" t="s">
        <v>211</v>
      </c>
      <c r="BL484" t="s">
        <v>212</v>
      </c>
      <c r="BM484" t="s">
        <v>456</v>
      </c>
      <c r="BN484" t="s">
        <v>74</v>
      </c>
      <c r="BO484" t="s">
        <v>186</v>
      </c>
      <c r="BP484" t="s">
        <v>74</v>
      </c>
      <c r="BQ484" t="s">
        <v>74</v>
      </c>
      <c r="BR484" t="s">
        <v>106</v>
      </c>
      <c r="BS484" t="s">
        <v>457</v>
      </c>
      <c r="BT484" t="str">
        <f>HYPERLINK("https%3A%2F%2Fwww.webofscience.com%2Fwos%2Fwoscc%2Ffull-record%2FWOS:001072309400001","View Full Record in Web of Science")</f>
        <v>View Full Record in Web of Science</v>
      </c>
    </row>
    <row r="485" spans="1:72" x14ac:dyDescent="0.25">
      <c r="A485" t="s">
        <v>72</v>
      </c>
      <c r="B485" t="s">
        <v>458</v>
      </c>
      <c r="C485" t="s">
        <v>74</v>
      </c>
      <c r="D485" t="s">
        <v>74</v>
      </c>
      <c r="E485" t="s">
        <v>74</v>
      </c>
      <c r="F485" t="s">
        <v>459</v>
      </c>
      <c r="G485" t="s">
        <v>74</v>
      </c>
      <c r="H485" t="s">
        <v>74</v>
      </c>
      <c r="I485" s="1" t="s">
        <v>460</v>
      </c>
      <c r="J485" t="s">
        <v>461</v>
      </c>
      <c r="K485" t="s">
        <v>74</v>
      </c>
      <c r="L485" t="s">
        <v>74</v>
      </c>
      <c r="M485" t="s">
        <v>78</v>
      </c>
      <c r="N485" t="s">
        <v>79</v>
      </c>
      <c r="O485" t="s">
        <v>74</v>
      </c>
      <c r="P485" t="s">
        <v>74</v>
      </c>
      <c r="Q485" t="s">
        <v>74</v>
      </c>
      <c r="R485" t="s">
        <v>74</v>
      </c>
      <c r="S485" t="s">
        <v>74</v>
      </c>
      <c r="T485" s="1" t="s">
        <v>462</v>
      </c>
      <c r="U485" s="1" t="s">
        <v>74</v>
      </c>
      <c r="V485" s="1" t="s">
        <v>463</v>
      </c>
      <c r="W485" t="s">
        <v>464</v>
      </c>
      <c r="X485" t="s">
        <v>465</v>
      </c>
      <c r="Y485" t="s">
        <v>466</v>
      </c>
      <c r="Z485" t="s">
        <v>467</v>
      </c>
      <c r="AA485" t="s">
        <v>74</v>
      </c>
      <c r="AB485" t="s">
        <v>468</v>
      </c>
      <c r="AC485" t="s">
        <v>469</v>
      </c>
      <c r="AD485" t="s">
        <v>470</v>
      </c>
      <c r="AE485" t="s">
        <v>471</v>
      </c>
      <c r="AF485" t="s">
        <v>74</v>
      </c>
      <c r="AG485">
        <v>9</v>
      </c>
      <c r="AH485">
        <v>0</v>
      </c>
      <c r="AI485">
        <v>0</v>
      </c>
      <c r="AJ485">
        <v>99</v>
      </c>
      <c r="AK485">
        <v>99</v>
      </c>
      <c r="AL485" t="s">
        <v>284</v>
      </c>
      <c r="AM485" t="s">
        <v>285</v>
      </c>
      <c r="AN485" t="s">
        <v>286</v>
      </c>
      <c r="AO485" t="s">
        <v>472</v>
      </c>
      <c r="AP485" t="s">
        <v>473</v>
      </c>
      <c r="AQ485" t="s">
        <v>74</v>
      </c>
      <c r="AR485" t="s">
        <v>474</v>
      </c>
      <c r="AS485" t="s">
        <v>475</v>
      </c>
      <c r="AT485" t="s">
        <v>476</v>
      </c>
      <c r="AU485">
        <v>2023</v>
      </c>
      <c r="AV485">
        <v>58</v>
      </c>
      <c r="AW485" t="s">
        <v>74</v>
      </c>
      <c r="AX485" t="s">
        <v>477</v>
      </c>
      <c r="AY485" t="s">
        <v>74</v>
      </c>
      <c r="AZ485" t="s">
        <v>74</v>
      </c>
      <c r="BA485" t="s">
        <v>74</v>
      </c>
      <c r="BB485" t="s">
        <v>74</v>
      </c>
      <c r="BC485" t="s">
        <v>74</v>
      </c>
      <c r="BD485">
        <v>104370</v>
      </c>
      <c r="BE485" t="s">
        <v>478</v>
      </c>
      <c r="BF485" t="str">
        <f>HYPERLINK("http://dx.doi.org/10.1016/j.frl.2023.104370","http://dx.doi.org/10.1016/j.frl.2023.104370")</f>
        <v>http://dx.doi.org/10.1016/j.frl.2023.104370</v>
      </c>
      <c r="BG485" t="s">
        <v>74</v>
      </c>
      <c r="BH485" t="s">
        <v>263</v>
      </c>
      <c r="BI485">
        <v>6</v>
      </c>
      <c r="BJ485" t="s">
        <v>479</v>
      </c>
      <c r="BK485" t="s">
        <v>156</v>
      </c>
      <c r="BL485" t="s">
        <v>265</v>
      </c>
      <c r="BM485" t="s">
        <v>480</v>
      </c>
      <c r="BN485" t="s">
        <v>74</v>
      </c>
      <c r="BO485" t="s">
        <v>74</v>
      </c>
      <c r="BP485" t="s">
        <v>74</v>
      </c>
      <c r="BQ485" t="s">
        <v>74</v>
      </c>
      <c r="BR485" t="s">
        <v>106</v>
      </c>
      <c r="BS485" t="s">
        <v>481</v>
      </c>
      <c r="BT485" t="str">
        <f>HYPERLINK("https%3A%2F%2Fwww.webofscience.com%2Fwos%2Fwoscc%2Ffull-record%2FWOS:001070782700001","View Full Record in Web of Science")</f>
        <v>View Full Record in Web of Science</v>
      </c>
    </row>
    <row r="486" spans="1:72" x14ac:dyDescent="0.25">
      <c r="A486" t="s">
        <v>72</v>
      </c>
      <c r="B486" t="s">
        <v>482</v>
      </c>
      <c r="C486" t="s">
        <v>74</v>
      </c>
      <c r="D486" t="s">
        <v>74</v>
      </c>
      <c r="E486" t="s">
        <v>74</v>
      </c>
      <c r="F486" t="s">
        <v>483</v>
      </c>
      <c r="G486" t="s">
        <v>74</v>
      </c>
      <c r="H486" t="s">
        <v>74</v>
      </c>
      <c r="I486" s="1" t="s">
        <v>484</v>
      </c>
      <c r="J486" t="s">
        <v>485</v>
      </c>
      <c r="K486" t="s">
        <v>74</v>
      </c>
      <c r="L486" t="s">
        <v>74</v>
      </c>
      <c r="M486" t="s">
        <v>78</v>
      </c>
      <c r="N486" t="s">
        <v>112</v>
      </c>
      <c r="O486" t="s">
        <v>74</v>
      </c>
      <c r="P486" t="s">
        <v>74</v>
      </c>
      <c r="Q486" t="s">
        <v>74</v>
      </c>
      <c r="R486" t="s">
        <v>74</v>
      </c>
      <c r="S486" t="s">
        <v>74</v>
      </c>
      <c r="T486" s="1" t="s">
        <v>486</v>
      </c>
      <c r="U486" s="1" t="s">
        <v>487</v>
      </c>
      <c r="V486" s="1" t="s">
        <v>488</v>
      </c>
      <c r="W486" t="s">
        <v>489</v>
      </c>
      <c r="X486" t="s">
        <v>490</v>
      </c>
      <c r="Y486" t="s">
        <v>491</v>
      </c>
      <c r="Z486" t="s">
        <v>74</v>
      </c>
      <c r="AA486" t="s">
        <v>74</v>
      </c>
      <c r="AB486" t="s">
        <v>74</v>
      </c>
      <c r="AC486" t="s">
        <v>74</v>
      </c>
      <c r="AD486" t="s">
        <v>74</v>
      </c>
      <c r="AE486" t="s">
        <v>74</v>
      </c>
      <c r="AF486" t="s">
        <v>74</v>
      </c>
      <c r="AG486">
        <v>208</v>
      </c>
      <c r="AH486">
        <v>0</v>
      </c>
      <c r="AI486">
        <v>0</v>
      </c>
      <c r="AJ486">
        <v>11</v>
      </c>
      <c r="AK486">
        <v>11</v>
      </c>
      <c r="AL486" t="s">
        <v>492</v>
      </c>
      <c r="AM486" t="s">
        <v>493</v>
      </c>
      <c r="AN486" t="s">
        <v>494</v>
      </c>
      <c r="AO486" t="s">
        <v>495</v>
      </c>
      <c r="AP486" t="s">
        <v>496</v>
      </c>
      <c r="AQ486" t="s">
        <v>74</v>
      </c>
      <c r="AR486" t="s">
        <v>497</v>
      </c>
      <c r="AS486" t="s">
        <v>498</v>
      </c>
      <c r="AT486" t="s">
        <v>499</v>
      </c>
      <c r="AU486">
        <v>2023</v>
      </c>
      <c r="AV486" t="s">
        <v>74</v>
      </c>
      <c r="AW486" t="s">
        <v>74</v>
      </c>
      <c r="AX486" t="s">
        <v>74</v>
      </c>
      <c r="AY486" t="s">
        <v>74</v>
      </c>
      <c r="AZ486" t="s">
        <v>74</v>
      </c>
      <c r="BA486" t="s">
        <v>74</v>
      </c>
      <c r="BB486" t="s">
        <v>74</v>
      </c>
      <c r="BC486" t="s">
        <v>74</v>
      </c>
      <c r="BD486" t="s">
        <v>74</v>
      </c>
      <c r="BE486" t="s">
        <v>500</v>
      </c>
      <c r="BF486" t="str">
        <f>HYPERLINK("http://dx.doi.org/10.1080/13691066.2023.2249231","http://dx.doi.org/10.1080/13691066.2023.2249231")</f>
        <v>http://dx.doi.org/10.1080/13691066.2023.2249231</v>
      </c>
      <c r="BG486" t="s">
        <v>74</v>
      </c>
      <c r="BH486" t="s">
        <v>501</v>
      </c>
      <c r="BI486">
        <v>36</v>
      </c>
      <c r="BJ486" t="s">
        <v>479</v>
      </c>
      <c r="BK486" t="s">
        <v>156</v>
      </c>
      <c r="BL486" t="s">
        <v>265</v>
      </c>
      <c r="BM486" t="s">
        <v>502</v>
      </c>
      <c r="BN486" t="s">
        <v>74</v>
      </c>
      <c r="BO486" t="s">
        <v>74</v>
      </c>
      <c r="BP486" t="s">
        <v>74</v>
      </c>
      <c r="BQ486" t="s">
        <v>74</v>
      </c>
      <c r="BR486" t="s">
        <v>106</v>
      </c>
      <c r="BS486" t="s">
        <v>503</v>
      </c>
      <c r="BT486" t="str">
        <f>HYPERLINK("https%3A%2F%2Fwww.webofscience.com%2Fwos%2Fwoscc%2Ffull-record%2FWOS:001060341700001","View Full Record in Web of Science")</f>
        <v>View Full Record in Web of Science</v>
      </c>
    </row>
    <row r="487" spans="1:72" x14ac:dyDescent="0.25">
      <c r="A487" t="s">
        <v>72</v>
      </c>
      <c r="B487" t="s">
        <v>504</v>
      </c>
      <c r="C487" t="s">
        <v>74</v>
      </c>
      <c r="D487" t="s">
        <v>74</v>
      </c>
      <c r="E487" t="s">
        <v>74</v>
      </c>
      <c r="F487" t="s">
        <v>505</v>
      </c>
      <c r="G487" t="s">
        <v>74</v>
      </c>
      <c r="H487" t="s">
        <v>74</v>
      </c>
      <c r="I487" s="1" t="s">
        <v>506</v>
      </c>
      <c r="J487" t="s">
        <v>507</v>
      </c>
      <c r="K487" t="s">
        <v>74</v>
      </c>
      <c r="L487" t="s">
        <v>74</v>
      </c>
      <c r="M487" t="s">
        <v>78</v>
      </c>
      <c r="N487" t="s">
        <v>112</v>
      </c>
      <c r="O487" t="s">
        <v>74</v>
      </c>
      <c r="P487" t="s">
        <v>74</v>
      </c>
      <c r="Q487" t="s">
        <v>74</v>
      </c>
      <c r="R487" t="s">
        <v>74</v>
      </c>
      <c r="S487" t="s">
        <v>74</v>
      </c>
      <c r="T487" s="1" t="s">
        <v>508</v>
      </c>
      <c r="U487" s="1" t="s">
        <v>509</v>
      </c>
      <c r="V487" s="1" t="s">
        <v>510</v>
      </c>
      <c r="W487" t="s">
        <v>511</v>
      </c>
      <c r="X487" t="s">
        <v>512</v>
      </c>
      <c r="Y487" t="s">
        <v>513</v>
      </c>
      <c r="Z487" t="s">
        <v>514</v>
      </c>
      <c r="AA487" t="s">
        <v>74</v>
      </c>
      <c r="AB487" t="s">
        <v>74</v>
      </c>
      <c r="AC487" t="s">
        <v>74</v>
      </c>
      <c r="AD487" t="s">
        <v>74</v>
      </c>
      <c r="AE487" t="s">
        <v>74</v>
      </c>
      <c r="AF487" t="s">
        <v>74</v>
      </c>
      <c r="AG487">
        <v>64</v>
      </c>
      <c r="AH487">
        <v>0</v>
      </c>
      <c r="AI487">
        <v>0</v>
      </c>
      <c r="AJ487">
        <v>2</v>
      </c>
      <c r="AK487">
        <v>2</v>
      </c>
      <c r="AL487" t="s">
        <v>121</v>
      </c>
      <c r="AM487" t="s">
        <v>122</v>
      </c>
      <c r="AN487" t="s">
        <v>123</v>
      </c>
      <c r="AO487" t="s">
        <v>515</v>
      </c>
      <c r="AP487" t="s">
        <v>516</v>
      </c>
      <c r="AQ487" t="s">
        <v>74</v>
      </c>
      <c r="AR487" t="s">
        <v>517</v>
      </c>
      <c r="AS487" t="s">
        <v>518</v>
      </c>
      <c r="AT487" t="s">
        <v>519</v>
      </c>
      <c r="AU487">
        <v>2023</v>
      </c>
      <c r="AV487" t="s">
        <v>74</v>
      </c>
      <c r="AW487" t="s">
        <v>74</v>
      </c>
      <c r="AX487" t="s">
        <v>74</v>
      </c>
      <c r="AY487" t="s">
        <v>74</v>
      </c>
      <c r="AZ487" t="s">
        <v>74</v>
      </c>
      <c r="BA487" t="s">
        <v>74</v>
      </c>
      <c r="BB487" t="s">
        <v>74</v>
      </c>
      <c r="BC487" t="s">
        <v>74</v>
      </c>
      <c r="BD487" t="s">
        <v>74</v>
      </c>
      <c r="BE487" t="s">
        <v>520</v>
      </c>
      <c r="BF487" t="str">
        <f>HYPERLINK("http://dx.doi.org/10.1007/s13132-023-01479-3","http://dx.doi.org/10.1007/s13132-023-01479-3")</f>
        <v>http://dx.doi.org/10.1007/s13132-023-01479-3</v>
      </c>
      <c r="BG487" t="s">
        <v>74</v>
      </c>
      <c r="BH487" t="s">
        <v>501</v>
      </c>
      <c r="BI487">
        <v>21</v>
      </c>
      <c r="BJ487" t="s">
        <v>521</v>
      </c>
      <c r="BK487" t="s">
        <v>156</v>
      </c>
      <c r="BL487" t="s">
        <v>265</v>
      </c>
      <c r="BM487" t="s">
        <v>522</v>
      </c>
      <c r="BN487" t="s">
        <v>74</v>
      </c>
      <c r="BO487" t="s">
        <v>105</v>
      </c>
      <c r="BP487" t="s">
        <v>74</v>
      </c>
      <c r="BQ487" t="s">
        <v>74</v>
      </c>
      <c r="BR487" t="s">
        <v>106</v>
      </c>
      <c r="BS487" t="s">
        <v>523</v>
      </c>
      <c r="BT487" t="str">
        <f>HYPERLINK("https%3A%2F%2Fwww.webofscience.com%2Fwos%2Fwoscc%2Ffull-record%2FWOS:001079400900002","View Full Record in Web of Science")</f>
        <v>View Full Record in Web of Science</v>
      </c>
    </row>
    <row r="488" spans="1:72" x14ac:dyDescent="0.25">
      <c r="A488" t="s">
        <v>72</v>
      </c>
      <c r="B488" t="s">
        <v>524</v>
      </c>
      <c r="C488" t="s">
        <v>74</v>
      </c>
      <c r="D488" t="s">
        <v>74</v>
      </c>
      <c r="E488" t="s">
        <v>74</v>
      </c>
      <c r="F488" t="s">
        <v>525</v>
      </c>
      <c r="G488" t="s">
        <v>74</v>
      </c>
      <c r="H488" t="s">
        <v>74</v>
      </c>
      <c r="I488" s="1" t="s">
        <v>526</v>
      </c>
      <c r="J488" t="s">
        <v>527</v>
      </c>
      <c r="K488" t="s">
        <v>74</v>
      </c>
      <c r="L488" t="s">
        <v>74</v>
      </c>
      <c r="M488" t="s">
        <v>78</v>
      </c>
      <c r="N488" t="s">
        <v>79</v>
      </c>
      <c r="O488" t="s">
        <v>74</v>
      </c>
      <c r="P488" t="s">
        <v>74</v>
      </c>
      <c r="Q488" t="s">
        <v>74</v>
      </c>
      <c r="R488" t="s">
        <v>74</v>
      </c>
      <c r="S488" t="s">
        <v>74</v>
      </c>
      <c r="T488" s="1" t="s">
        <v>528</v>
      </c>
      <c r="U488" s="1" t="s">
        <v>529</v>
      </c>
      <c r="V488" s="1" t="s">
        <v>530</v>
      </c>
      <c r="W488" t="s">
        <v>531</v>
      </c>
      <c r="X488" t="s">
        <v>532</v>
      </c>
      <c r="Y488" t="s">
        <v>533</v>
      </c>
      <c r="Z488" t="s">
        <v>534</v>
      </c>
      <c r="AA488" t="s">
        <v>535</v>
      </c>
      <c r="AB488" t="s">
        <v>536</v>
      </c>
      <c r="AC488" t="s">
        <v>537</v>
      </c>
      <c r="AD488" t="s">
        <v>538</v>
      </c>
      <c r="AE488" t="s">
        <v>539</v>
      </c>
      <c r="AF488" t="s">
        <v>74</v>
      </c>
      <c r="AG488">
        <v>56</v>
      </c>
      <c r="AH488">
        <v>0</v>
      </c>
      <c r="AI488">
        <v>0</v>
      </c>
      <c r="AJ488">
        <v>9</v>
      </c>
      <c r="AK488">
        <v>9</v>
      </c>
      <c r="AL488" t="s">
        <v>254</v>
      </c>
      <c r="AM488" t="s">
        <v>255</v>
      </c>
      <c r="AN488" t="s">
        <v>256</v>
      </c>
      <c r="AO488" t="s">
        <v>540</v>
      </c>
      <c r="AP488" t="s">
        <v>541</v>
      </c>
      <c r="AQ488" t="s">
        <v>74</v>
      </c>
      <c r="AR488" t="s">
        <v>542</v>
      </c>
      <c r="AS488" t="s">
        <v>543</v>
      </c>
      <c r="AT488" t="s">
        <v>356</v>
      </c>
      <c r="AU488">
        <v>2023</v>
      </c>
      <c r="AV488">
        <v>30</v>
      </c>
      <c r="AW488">
        <v>43</v>
      </c>
      <c r="AX488" t="s">
        <v>74</v>
      </c>
      <c r="AY488" t="s">
        <v>74</v>
      </c>
      <c r="AZ488" t="s">
        <v>74</v>
      </c>
      <c r="BA488" t="s">
        <v>74</v>
      </c>
      <c r="BB488">
        <v>98156</v>
      </c>
      <c r="BC488">
        <v>98182</v>
      </c>
      <c r="BD488" t="s">
        <v>74</v>
      </c>
      <c r="BE488" t="s">
        <v>544</v>
      </c>
      <c r="BF488" t="str">
        <f>HYPERLINK("http://dx.doi.org/10.1007/s11356-023-29333-8","http://dx.doi.org/10.1007/s11356-023-29333-8")</f>
        <v>http://dx.doi.org/10.1007/s11356-023-29333-8</v>
      </c>
      <c r="BG488" t="s">
        <v>74</v>
      </c>
      <c r="BH488" t="s">
        <v>501</v>
      </c>
      <c r="BI488">
        <v>27</v>
      </c>
      <c r="BJ488" t="s">
        <v>545</v>
      </c>
      <c r="BK488" t="s">
        <v>102</v>
      </c>
      <c r="BL488" t="s">
        <v>546</v>
      </c>
      <c r="BM488" t="s">
        <v>547</v>
      </c>
      <c r="BN488">
        <v>37608173</v>
      </c>
      <c r="BO488" t="s">
        <v>74</v>
      </c>
      <c r="BP488" t="s">
        <v>74</v>
      </c>
      <c r="BQ488" t="s">
        <v>74</v>
      </c>
      <c r="BR488" t="s">
        <v>106</v>
      </c>
      <c r="BS488" t="s">
        <v>548</v>
      </c>
      <c r="BT488" t="str">
        <f>HYPERLINK("https%3A%2F%2Fwww.webofscience.com%2Fwos%2Fwoscc%2Ffull-record%2FWOS:001052843500011","View Full Record in Web of Science")</f>
        <v>View Full Record in Web of Science</v>
      </c>
    </row>
    <row r="489" spans="1:72" x14ac:dyDescent="0.25">
      <c r="A489" t="s">
        <v>72</v>
      </c>
      <c r="B489" t="s">
        <v>549</v>
      </c>
      <c r="C489" t="s">
        <v>74</v>
      </c>
      <c r="D489" t="s">
        <v>74</v>
      </c>
      <c r="E489" t="s">
        <v>74</v>
      </c>
      <c r="F489" t="s">
        <v>550</v>
      </c>
      <c r="G489" t="s">
        <v>74</v>
      </c>
      <c r="H489" t="s">
        <v>74</v>
      </c>
      <c r="I489" s="1" t="s">
        <v>551</v>
      </c>
      <c r="J489" t="s">
        <v>552</v>
      </c>
      <c r="K489" t="s">
        <v>74</v>
      </c>
      <c r="L489" t="s">
        <v>74</v>
      </c>
      <c r="M489" t="s">
        <v>78</v>
      </c>
      <c r="N489" t="s">
        <v>112</v>
      </c>
      <c r="O489" t="s">
        <v>74</v>
      </c>
      <c r="P489" t="s">
        <v>74</v>
      </c>
      <c r="Q489" t="s">
        <v>74</v>
      </c>
      <c r="R489" t="s">
        <v>74</v>
      </c>
      <c r="S489" t="s">
        <v>74</v>
      </c>
      <c r="T489" s="1" t="s">
        <v>553</v>
      </c>
      <c r="U489" s="1" t="s">
        <v>554</v>
      </c>
      <c r="V489" s="1" t="s">
        <v>555</v>
      </c>
      <c r="W489" t="s">
        <v>556</v>
      </c>
      <c r="X489" t="s">
        <v>557</v>
      </c>
      <c r="Y489" t="s">
        <v>558</v>
      </c>
      <c r="Z489" t="s">
        <v>559</v>
      </c>
      <c r="AA489" t="s">
        <v>74</v>
      </c>
      <c r="AB489" t="s">
        <v>560</v>
      </c>
      <c r="AC489" t="s">
        <v>74</v>
      </c>
      <c r="AD489" t="s">
        <v>74</v>
      </c>
      <c r="AE489" t="s">
        <v>74</v>
      </c>
      <c r="AF489" t="s">
        <v>74</v>
      </c>
      <c r="AG489">
        <v>81</v>
      </c>
      <c r="AH489">
        <v>0</v>
      </c>
      <c r="AI489">
        <v>0</v>
      </c>
      <c r="AJ489">
        <v>1</v>
      </c>
      <c r="AK489">
        <v>1</v>
      </c>
      <c r="AL489" t="s">
        <v>121</v>
      </c>
      <c r="AM489" t="s">
        <v>122</v>
      </c>
      <c r="AN489" t="s">
        <v>123</v>
      </c>
      <c r="AO489" t="s">
        <v>561</v>
      </c>
      <c r="AP489" t="s">
        <v>562</v>
      </c>
      <c r="AQ489" t="s">
        <v>74</v>
      </c>
      <c r="AR489" t="s">
        <v>563</v>
      </c>
      <c r="AS489" t="s">
        <v>564</v>
      </c>
      <c r="AT489" t="s">
        <v>565</v>
      </c>
      <c r="AU489">
        <v>2023</v>
      </c>
      <c r="AV489" t="s">
        <v>74</v>
      </c>
      <c r="AW489" t="s">
        <v>74</v>
      </c>
      <c r="AX489" t="s">
        <v>74</v>
      </c>
      <c r="AY489" t="s">
        <v>74</v>
      </c>
      <c r="AZ489" t="s">
        <v>74</v>
      </c>
      <c r="BA489" t="s">
        <v>74</v>
      </c>
      <c r="BB489" t="s">
        <v>74</v>
      </c>
      <c r="BC489" t="s">
        <v>74</v>
      </c>
      <c r="BD489" t="s">
        <v>74</v>
      </c>
      <c r="BE489" t="s">
        <v>566</v>
      </c>
      <c r="BF489" t="str">
        <f>HYPERLINK("http://dx.doi.org/10.1007/s00146-023-01743-9","http://dx.doi.org/10.1007/s00146-023-01743-9")</f>
        <v>http://dx.doi.org/10.1007/s00146-023-01743-9</v>
      </c>
      <c r="BG489" t="s">
        <v>74</v>
      </c>
      <c r="BH489" t="s">
        <v>501</v>
      </c>
      <c r="BI489">
        <v>13</v>
      </c>
      <c r="BJ489" t="s">
        <v>567</v>
      </c>
      <c r="BK489" t="s">
        <v>183</v>
      </c>
      <c r="BL489" t="s">
        <v>399</v>
      </c>
      <c r="BM489" t="s">
        <v>568</v>
      </c>
      <c r="BN489" t="s">
        <v>74</v>
      </c>
      <c r="BO489" t="s">
        <v>105</v>
      </c>
      <c r="BP489" t="s">
        <v>74</v>
      </c>
      <c r="BQ489" t="s">
        <v>74</v>
      </c>
      <c r="BR489" t="s">
        <v>106</v>
      </c>
      <c r="BS489" t="s">
        <v>569</v>
      </c>
      <c r="BT489" t="str">
        <f>HYPERLINK("https%3A%2F%2Fwww.webofscience.com%2Fwos%2Fwoscc%2Ffull-record%2FWOS:001052011900001","View Full Record in Web of Science")</f>
        <v>View Full Record in Web of Science</v>
      </c>
    </row>
    <row r="490" spans="1:72" x14ac:dyDescent="0.25">
      <c r="A490" t="s">
        <v>72</v>
      </c>
      <c r="B490" t="s">
        <v>570</v>
      </c>
      <c r="C490" t="s">
        <v>74</v>
      </c>
      <c r="D490" t="s">
        <v>74</v>
      </c>
      <c r="E490" t="s">
        <v>74</v>
      </c>
      <c r="F490" t="s">
        <v>571</v>
      </c>
      <c r="G490" t="s">
        <v>74</v>
      </c>
      <c r="H490" t="s">
        <v>74</v>
      </c>
      <c r="I490" s="1" t="s">
        <v>572</v>
      </c>
      <c r="J490" t="s">
        <v>573</v>
      </c>
      <c r="K490" t="s">
        <v>74</v>
      </c>
      <c r="L490" t="s">
        <v>74</v>
      </c>
      <c r="M490" t="s">
        <v>78</v>
      </c>
      <c r="N490" t="s">
        <v>112</v>
      </c>
      <c r="O490" t="s">
        <v>74</v>
      </c>
      <c r="P490" t="s">
        <v>74</v>
      </c>
      <c r="Q490" t="s">
        <v>74</v>
      </c>
      <c r="R490" t="s">
        <v>74</v>
      </c>
      <c r="S490" t="s">
        <v>74</v>
      </c>
      <c r="T490" s="1" t="s">
        <v>574</v>
      </c>
      <c r="U490" s="1" t="s">
        <v>74</v>
      </c>
      <c r="V490" s="1" t="s">
        <v>575</v>
      </c>
      <c r="W490" t="s">
        <v>576</v>
      </c>
      <c r="X490" t="s">
        <v>577</v>
      </c>
      <c r="Y490" t="s">
        <v>578</v>
      </c>
      <c r="Z490" t="s">
        <v>579</v>
      </c>
      <c r="AA490" t="s">
        <v>74</v>
      </c>
      <c r="AB490" t="s">
        <v>74</v>
      </c>
      <c r="AC490" t="s">
        <v>580</v>
      </c>
      <c r="AD490" t="s">
        <v>581</v>
      </c>
      <c r="AE490" t="s">
        <v>582</v>
      </c>
      <c r="AF490" t="s">
        <v>74</v>
      </c>
      <c r="AG490">
        <v>65</v>
      </c>
      <c r="AH490">
        <v>0</v>
      </c>
      <c r="AI490">
        <v>0</v>
      </c>
      <c r="AJ490">
        <v>11</v>
      </c>
      <c r="AK490">
        <v>11</v>
      </c>
      <c r="AL490" t="s">
        <v>492</v>
      </c>
      <c r="AM490" t="s">
        <v>493</v>
      </c>
      <c r="AN490" t="s">
        <v>494</v>
      </c>
      <c r="AO490" t="s">
        <v>583</v>
      </c>
      <c r="AP490" t="s">
        <v>584</v>
      </c>
      <c r="AQ490" t="s">
        <v>74</v>
      </c>
      <c r="AR490" t="s">
        <v>585</v>
      </c>
      <c r="AS490" t="s">
        <v>586</v>
      </c>
      <c r="AT490" t="s">
        <v>587</v>
      </c>
      <c r="AU490">
        <v>2023</v>
      </c>
      <c r="AV490" t="s">
        <v>74</v>
      </c>
      <c r="AW490" t="s">
        <v>74</v>
      </c>
      <c r="AX490" t="s">
        <v>74</v>
      </c>
      <c r="AY490" t="s">
        <v>74</v>
      </c>
      <c r="AZ490" t="s">
        <v>74</v>
      </c>
      <c r="BA490" t="s">
        <v>74</v>
      </c>
      <c r="BB490" t="s">
        <v>74</v>
      </c>
      <c r="BC490" t="s">
        <v>74</v>
      </c>
      <c r="BD490" t="s">
        <v>74</v>
      </c>
      <c r="BE490" t="s">
        <v>588</v>
      </c>
      <c r="BF490" t="str">
        <f>HYPERLINK("http://dx.doi.org/10.1080/1369118X.2023.2246526","http://dx.doi.org/10.1080/1369118X.2023.2246526")</f>
        <v>http://dx.doi.org/10.1080/1369118X.2023.2246526</v>
      </c>
      <c r="BG490" t="s">
        <v>74</v>
      </c>
      <c r="BH490" t="s">
        <v>501</v>
      </c>
      <c r="BI490">
        <v>18</v>
      </c>
      <c r="BJ490" t="s">
        <v>589</v>
      </c>
      <c r="BK490" t="s">
        <v>156</v>
      </c>
      <c r="BL490" t="s">
        <v>589</v>
      </c>
      <c r="BM490" t="s">
        <v>590</v>
      </c>
      <c r="BN490" t="s">
        <v>74</v>
      </c>
      <c r="BO490" t="s">
        <v>105</v>
      </c>
      <c r="BP490" t="s">
        <v>74</v>
      </c>
      <c r="BQ490" t="s">
        <v>74</v>
      </c>
      <c r="BR490" t="s">
        <v>106</v>
      </c>
      <c r="BS490" t="s">
        <v>591</v>
      </c>
      <c r="BT490" t="str">
        <f>HYPERLINK("https%3A%2F%2Fwww.webofscience.com%2Fwos%2Fwoscc%2Ffull-record%2FWOS:001049136200001","View Full Record in Web of Science")</f>
        <v>View Full Record in Web of Science</v>
      </c>
    </row>
    <row r="491" spans="1:72" x14ac:dyDescent="0.25">
      <c r="A491" t="s">
        <v>72</v>
      </c>
      <c r="B491" t="s">
        <v>592</v>
      </c>
      <c r="C491" t="s">
        <v>74</v>
      </c>
      <c r="D491" t="s">
        <v>74</v>
      </c>
      <c r="E491" t="s">
        <v>74</v>
      </c>
      <c r="F491" t="s">
        <v>593</v>
      </c>
      <c r="G491" t="s">
        <v>74</v>
      </c>
      <c r="H491" t="s">
        <v>74</v>
      </c>
      <c r="I491" s="1" t="s">
        <v>594</v>
      </c>
      <c r="J491" t="s">
        <v>595</v>
      </c>
      <c r="K491" t="s">
        <v>74</v>
      </c>
      <c r="L491" t="s">
        <v>74</v>
      </c>
      <c r="M491" t="s">
        <v>78</v>
      </c>
      <c r="N491" t="s">
        <v>79</v>
      </c>
      <c r="O491" t="s">
        <v>74</v>
      </c>
      <c r="P491" t="s">
        <v>74</v>
      </c>
      <c r="Q491" t="s">
        <v>74</v>
      </c>
      <c r="R491" t="s">
        <v>74</v>
      </c>
      <c r="S491" t="s">
        <v>74</v>
      </c>
      <c r="T491" s="1" t="s">
        <v>596</v>
      </c>
      <c r="U491" s="1" t="s">
        <v>597</v>
      </c>
      <c r="V491" s="1" t="s">
        <v>598</v>
      </c>
      <c r="W491" t="s">
        <v>599</v>
      </c>
      <c r="X491" t="s">
        <v>600</v>
      </c>
      <c r="Y491" t="s">
        <v>601</v>
      </c>
      <c r="Z491" t="s">
        <v>602</v>
      </c>
      <c r="AA491" t="s">
        <v>603</v>
      </c>
      <c r="AB491" t="s">
        <v>74</v>
      </c>
      <c r="AC491" t="s">
        <v>604</v>
      </c>
      <c r="AD491" t="s">
        <v>605</v>
      </c>
      <c r="AE491" t="s">
        <v>606</v>
      </c>
      <c r="AF491" t="s">
        <v>74</v>
      </c>
      <c r="AG491">
        <v>89</v>
      </c>
      <c r="AH491">
        <v>0</v>
      </c>
      <c r="AI491">
        <v>0</v>
      </c>
      <c r="AJ491">
        <v>3</v>
      </c>
      <c r="AK491">
        <v>3</v>
      </c>
      <c r="AL491" t="s">
        <v>174</v>
      </c>
      <c r="AM491" t="s">
        <v>175</v>
      </c>
      <c r="AN491" t="s">
        <v>176</v>
      </c>
      <c r="AO491" t="s">
        <v>74</v>
      </c>
      <c r="AP491" t="s">
        <v>607</v>
      </c>
      <c r="AQ491" t="s">
        <v>74</v>
      </c>
      <c r="AR491" t="s">
        <v>608</v>
      </c>
      <c r="AS491" t="s">
        <v>609</v>
      </c>
      <c r="AT491" t="s">
        <v>610</v>
      </c>
      <c r="AU491">
        <v>2023</v>
      </c>
      <c r="AV491">
        <v>23</v>
      </c>
      <c r="AW491">
        <v>1</v>
      </c>
      <c r="AX491" t="s">
        <v>74</v>
      </c>
      <c r="AY491" t="s">
        <v>74</v>
      </c>
      <c r="AZ491" t="s">
        <v>74</v>
      </c>
      <c r="BA491" t="s">
        <v>74</v>
      </c>
      <c r="BB491" t="s">
        <v>74</v>
      </c>
      <c r="BC491" t="s">
        <v>74</v>
      </c>
      <c r="BD491">
        <v>848</v>
      </c>
      <c r="BE491" t="s">
        <v>611</v>
      </c>
      <c r="BF491" t="str">
        <f>HYPERLINK("http://dx.doi.org/10.1186/s12913-023-09867-w","http://dx.doi.org/10.1186/s12913-023-09867-w")</f>
        <v>http://dx.doi.org/10.1186/s12913-023-09867-w</v>
      </c>
      <c r="BG491" t="s">
        <v>74</v>
      </c>
      <c r="BH491" t="s">
        <v>74</v>
      </c>
      <c r="BI491">
        <v>15</v>
      </c>
      <c r="BJ491" t="s">
        <v>612</v>
      </c>
      <c r="BK491" t="s">
        <v>102</v>
      </c>
      <c r="BL491" t="s">
        <v>612</v>
      </c>
      <c r="BM491" t="s">
        <v>613</v>
      </c>
      <c r="BN491">
        <v>37563599</v>
      </c>
      <c r="BO491" t="s">
        <v>614</v>
      </c>
      <c r="BP491" t="s">
        <v>74</v>
      </c>
      <c r="BQ491" t="s">
        <v>74</v>
      </c>
      <c r="BR491" t="s">
        <v>106</v>
      </c>
      <c r="BS491" t="s">
        <v>615</v>
      </c>
      <c r="BT491" t="str">
        <f>HYPERLINK("https%3A%2F%2Fwww.webofscience.com%2Fwos%2Fwoscc%2Ffull-record%2FWOS:001048669500004","View Full Record in Web of Science")</f>
        <v>View Full Record in Web of Science</v>
      </c>
    </row>
    <row r="492" spans="1:72" x14ac:dyDescent="0.25">
      <c r="A492" t="s">
        <v>72</v>
      </c>
      <c r="B492" t="s">
        <v>630</v>
      </c>
      <c r="C492" t="s">
        <v>74</v>
      </c>
      <c r="D492" t="s">
        <v>74</v>
      </c>
      <c r="E492" t="s">
        <v>74</v>
      </c>
      <c r="F492" t="s">
        <v>631</v>
      </c>
      <c r="G492" t="s">
        <v>74</v>
      </c>
      <c r="H492" t="s">
        <v>74</v>
      </c>
      <c r="I492" s="1" t="s">
        <v>632</v>
      </c>
      <c r="J492" t="s">
        <v>633</v>
      </c>
      <c r="K492" t="s">
        <v>74</v>
      </c>
      <c r="L492" t="s">
        <v>74</v>
      </c>
      <c r="M492" t="s">
        <v>78</v>
      </c>
      <c r="N492" t="s">
        <v>79</v>
      </c>
      <c r="O492" t="s">
        <v>74</v>
      </c>
      <c r="P492" t="s">
        <v>74</v>
      </c>
      <c r="Q492" t="s">
        <v>74</v>
      </c>
      <c r="R492" t="s">
        <v>74</v>
      </c>
      <c r="S492" t="s">
        <v>74</v>
      </c>
      <c r="T492" s="1" t="s">
        <v>634</v>
      </c>
      <c r="U492" s="1" t="s">
        <v>635</v>
      </c>
      <c r="V492" s="1" t="s">
        <v>636</v>
      </c>
      <c r="W492" t="s">
        <v>637</v>
      </c>
      <c r="X492" t="s">
        <v>638</v>
      </c>
      <c r="Y492" t="s">
        <v>639</v>
      </c>
      <c r="Z492" t="s">
        <v>640</v>
      </c>
      <c r="AA492" t="s">
        <v>74</v>
      </c>
      <c r="AB492" t="s">
        <v>74</v>
      </c>
      <c r="AC492" t="s">
        <v>641</v>
      </c>
      <c r="AD492" t="s">
        <v>642</v>
      </c>
      <c r="AE492" t="s">
        <v>643</v>
      </c>
      <c r="AF492" t="s">
        <v>74</v>
      </c>
      <c r="AG492">
        <v>40</v>
      </c>
      <c r="AH492">
        <v>0</v>
      </c>
      <c r="AI492">
        <v>0</v>
      </c>
      <c r="AJ492">
        <v>1</v>
      </c>
      <c r="AK492">
        <v>1</v>
      </c>
      <c r="AL492" t="s">
        <v>644</v>
      </c>
      <c r="AM492" t="s">
        <v>645</v>
      </c>
      <c r="AN492" t="s">
        <v>646</v>
      </c>
      <c r="AO492" t="s">
        <v>647</v>
      </c>
      <c r="AP492" t="s">
        <v>74</v>
      </c>
      <c r="AQ492" t="s">
        <v>74</v>
      </c>
      <c r="AR492" t="s">
        <v>648</v>
      </c>
      <c r="AS492" t="s">
        <v>649</v>
      </c>
      <c r="AT492" t="s">
        <v>626</v>
      </c>
      <c r="AU492">
        <v>2023</v>
      </c>
      <c r="AV492">
        <v>14</v>
      </c>
      <c r="AW492">
        <v>4</v>
      </c>
      <c r="AX492" t="s">
        <v>74</v>
      </c>
      <c r="AY492" t="s">
        <v>74</v>
      </c>
      <c r="AZ492" t="s">
        <v>74</v>
      </c>
      <c r="BA492" t="s">
        <v>74</v>
      </c>
      <c r="BB492">
        <v>620</v>
      </c>
      <c r="BC492">
        <v>631</v>
      </c>
      <c r="BD492" t="s">
        <v>74</v>
      </c>
      <c r="BE492" t="s">
        <v>650</v>
      </c>
      <c r="BF492" t="str">
        <f>HYPERLINK("http://dx.doi.org/10.1055/a-2090-5745","http://dx.doi.org/10.1055/a-2090-5745")</f>
        <v>http://dx.doi.org/10.1055/a-2090-5745</v>
      </c>
      <c r="BG492" t="s">
        <v>74</v>
      </c>
      <c r="BH492" t="s">
        <v>74</v>
      </c>
      <c r="BI492">
        <v>12</v>
      </c>
      <c r="BJ492" t="s">
        <v>651</v>
      </c>
      <c r="BK492" t="s">
        <v>102</v>
      </c>
      <c r="BL492" t="s">
        <v>651</v>
      </c>
      <c r="BM492" t="s">
        <v>652</v>
      </c>
      <c r="BN492">
        <v>37164328</v>
      </c>
      <c r="BO492" t="s">
        <v>74</v>
      </c>
      <c r="BP492" t="s">
        <v>74</v>
      </c>
      <c r="BQ492" t="s">
        <v>74</v>
      </c>
      <c r="BR492" t="s">
        <v>106</v>
      </c>
      <c r="BS492" t="s">
        <v>653</v>
      </c>
      <c r="BT492" t="str">
        <f>HYPERLINK("https%3A%2F%2Fwww.webofscience.com%2Fwos%2Fwoscc%2Ffull-record%2FWOS:001045004800002","View Full Record in Web of Science")</f>
        <v>View Full Record in Web of Science</v>
      </c>
    </row>
    <row r="493" spans="1:72" x14ac:dyDescent="0.25">
      <c r="A493" t="s">
        <v>72</v>
      </c>
      <c r="B493" t="s">
        <v>654</v>
      </c>
      <c r="C493" t="s">
        <v>74</v>
      </c>
      <c r="D493" t="s">
        <v>74</v>
      </c>
      <c r="E493" t="s">
        <v>74</v>
      </c>
      <c r="F493" t="s">
        <v>655</v>
      </c>
      <c r="G493" t="s">
        <v>74</v>
      </c>
      <c r="H493" t="s">
        <v>74</v>
      </c>
      <c r="I493" s="1" t="s">
        <v>656</v>
      </c>
      <c r="J493" t="s">
        <v>657</v>
      </c>
      <c r="K493" t="s">
        <v>74</v>
      </c>
      <c r="L493" t="s">
        <v>74</v>
      </c>
      <c r="M493" t="s">
        <v>78</v>
      </c>
      <c r="N493" t="s">
        <v>112</v>
      </c>
      <c r="O493" t="s">
        <v>74</v>
      </c>
      <c r="P493" t="s">
        <v>74</v>
      </c>
      <c r="Q493" t="s">
        <v>74</v>
      </c>
      <c r="R493" t="s">
        <v>74</v>
      </c>
      <c r="S493" t="s">
        <v>74</v>
      </c>
      <c r="T493" s="1" t="s">
        <v>658</v>
      </c>
      <c r="U493" s="1" t="s">
        <v>659</v>
      </c>
      <c r="V493" s="1" t="s">
        <v>660</v>
      </c>
      <c r="W493" t="s">
        <v>661</v>
      </c>
      <c r="X493" t="s">
        <v>662</v>
      </c>
      <c r="Y493" t="s">
        <v>663</v>
      </c>
      <c r="Z493" t="s">
        <v>664</v>
      </c>
      <c r="AA493" t="s">
        <v>665</v>
      </c>
      <c r="AB493" t="s">
        <v>666</v>
      </c>
      <c r="AC493" t="s">
        <v>667</v>
      </c>
      <c r="AD493" t="s">
        <v>667</v>
      </c>
      <c r="AE493" t="s">
        <v>668</v>
      </c>
      <c r="AF493" t="s">
        <v>74</v>
      </c>
      <c r="AG493">
        <v>74</v>
      </c>
      <c r="AH493">
        <v>0</v>
      </c>
      <c r="AI493">
        <v>0</v>
      </c>
      <c r="AJ493">
        <v>4</v>
      </c>
      <c r="AK493">
        <v>4</v>
      </c>
      <c r="AL493" t="s">
        <v>492</v>
      </c>
      <c r="AM493" t="s">
        <v>493</v>
      </c>
      <c r="AN493" t="s">
        <v>494</v>
      </c>
      <c r="AO493" t="s">
        <v>669</v>
      </c>
      <c r="AP493" t="s">
        <v>670</v>
      </c>
      <c r="AQ493" t="s">
        <v>74</v>
      </c>
      <c r="AR493" t="s">
        <v>671</v>
      </c>
      <c r="AS493" t="s">
        <v>672</v>
      </c>
      <c r="AT493" t="s">
        <v>673</v>
      </c>
      <c r="AU493">
        <v>2023</v>
      </c>
      <c r="AV493" t="s">
        <v>74</v>
      </c>
      <c r="AW493" t="s">
        <v>74</v>
      </c>
      <c r="AX493" t="s">
        <v>74</v>
      </c>
      <c r="AY493" t="s">
        <v>74</v>
      </c>
      <c r="AZ493" t="s">
        <v>74</v>
      </c>
      <c r="BA493" t="s">
        <v>74</v>
      </c>
      <c r="BB493" t="s">
        <v>74</v>
      </c>
      <c r="BC493" t="s">
        <v>74</v>
      </c>
      <c r="BD493" t="s">
        <v>74</v>
      </c>
      <c r="BE493" t="s">
        <v>674</v>
      </c>
      <c r="BF493" t="str">
        <f>HYPERLINK("http://dx.doi.org/10.1080/08841241.2023.2239756","http://dx.doi.org/10.1080/08841241.2023.2239756")</f>
        <v>http://dx.doi.org/10.1080/08841241.2023.2239756</v>
      </c>
      <c r="BG493" t="s">
        <v>74</v>
      </c>
      <c r="BH493" t="s">
        <v>675</v>
      </c>
      <c r="BI493">
        <v>24</v>
      </c>
      <c r="BJ493" t="s">
        <v>676</v>
      </c>
      <c r="BK493" t="s">
        <v>156</v>
      </c>
      <c r="BL493" t="s">
        <v>677</v>
      </c>
      <c r="BM493" t="s">
        <v>678</v>
      </c>
      <c r="BN493" t="s">
        <v>74</v>
      </c>
      <c r="BO493" t="s">
        <v>74</v>
      </c>
      <c r="BP493" t="s">
        <v>74</v>
      </c>
      <c r="BQ493" t="s">
        <v>74</v>
      </c>
      <c r="BR493" t="s">
        <v>106</v>
      </c>
      <c r="BS493" t="s">
        <v>679</v>
      </c>
      <c r="BT493" t="str">
        <f>HYPERLINK("https%3A%2F%2Fwww.webofscience.com%2Fwos%2Fwoscc%2Ffull-record%2FWOS:001033165800001","View Full Record in Web of Science")</f>
        <v>View Full Record in Web of Science</v>
      </c>
    </row>
    <row r="494" spans="1:72" x14ac:dyDescent="0.25">
      <c r="A494" t="s">
        <v>72</v>
      </c>
      <c r="B494" t="s">
        <v>680</v>
      </c>
      <c r="C494" t="s">
        <v>74</v>
      </c>
      <c r="D494" t="s">
        <v>74</v>
      </c>
      <c r="E494" t="s">
        <v>74</v>
      </c>
      <c r="F494" t="s">
        <v>681</v>
      </c>
      <c r="G494" t="s">
        <v>74</v>
      </c>
      <c r="H494" t="s">
        <v>74</v>
      </c>
      <c r="I494" s="1" t="s">
        <v>682</v>
      </c>
      <c r="J494" t="s">
        <v>683</v>
      </c>
      <c r="K494" t="s">
        <v>74</v>
      </c>
      <c r="L494" t="s">
        <v>74</v>
      </c>
      <c r="M494" t="s">
        <v>78</v>
      </c>
      <c r="N494" t="s">
        <v>79</v>
      </c>
      <c r="O494" t="s">
        <v>74</v>
      </c>
      <c r="P494" t="s">
        <v>74</v>
      </c>
      <c r="Q494" t="s">
        <v>74</v>
      </c>
      <c r="R494" t="s">
        <v>74</v>
      </c>
      <c r="S494" t="s">
        <v>74</v>
      </c>
      <c r="T494" s="1" t="s">
        <v>74</v>
      </c>
      <c r="U494" s="1" t="s">
        <v>684</v>
      </c>
      <c r="V494" s="1" t="s">
        <v>685</v>
      </c>
      <c r="W494" t="s">
        <v>686</v>
      </c>
      <c r="X494" t="s">
        <v>687</v>
      </c>
      <c r="Y494" t="s">
        <v>688</v>
      </c>
      <c r="Z494" t="s">
        <v>689</v>
      </c>
      <c r="AA494" t="s">
        <v>74</v>
      </c>
      <c r="AB494" t="s">
        <v>74</v>
      </c>
      <c r="AC494" t="s">
        <v>690</v>
      </c>
      <c r="AD494" t="s">
        <v>690</v>
      </c>
      <c r="AE494" t="s">
        <v>691</v>
      </c>
      <c r="AF494" t="s">
        <v>74</v>
      </c>
      <c r="AG494">
        <v>41</v>
      </c>
      <c r="AH494">
        <v>0</v>
      </c>
      <c r="AI494">
        <v>0</v>
      </c>
      <c r="AJ494">
        <v>4</v>
      </c>
      <c r="AK494">
        <v>4</v>
      </c>
      <c r="AL494" t="s">
        <v>692</v>
      </c>
      <c r="AM494" t="s">
        <v>693</v>
      </c>
      <c r="AN494" t="s">
        <v>694</v>
      </c>
      <c r="AO494" t="s">
        <v>695</v>
      </c>
      <c r="AP494" t="s">
        <v>74</v>
      </c>
      <c r="AQ494" t="s">
        <v>74</v>
      </c>
      <c r="AR494" t="s">
        <v>696</v>
      </c>
      <c r="AS494" t="s">
        <v>697</v>
      </c>
      <c r="AT494" t="s">
        <v>698</v>
      </c>
      <c r="AU494">
        <v>2023</v>
      </c>
      <c r="AV494">
        <v>13</v>
      </c>
      <c r="AW494">
        <v>1</v>
      </c>
      <c r="AX494" t="s">
        <v>74</v>
      </c>
      <c r="AY494" t="s">
        <v>74</v>
      </c>
      <c r="AZ494" t="s">
        <v>74</v>
      </c>
      <c r="BA494" t="s">
        <v>74</v>
      </c>
      <c r="BB494" t="s">
        <v>74</v>
      </c>
      <c r="BC494" t="s">
        <v>74</v>
      </c>
      <c r="BD494">
        <v>11895</v>
      </c>
      <c r="BE494" t="s">
        <v>699</v>
      </c>
      <c r="BF494" t="str">
        <f>HYPERLINK("http://dx.doi.org/10.1038/s41598-023-39042-4","http://dx.doi.org/10.1038/s41598-023-39042-4")</f>
        <v>http://dx.doi.org/10.1038/s41598-023-39042-4</v>
      </c>
      <c r="BG494" t="s">
        <v>74</v>
      </c>
      <c r="BH494" t="s">
        <v>74</v>
      </c>
      <c r="BI494">
        <v>9</v>
      </c>
      <c r="BJ494" t="s">
        <v>700</v>
      </c>
      <c r="BK494" t="s">
        <v>102</v>
      </c>
      <c r="BL494" t="s">
        <v>701</v>
      </c>
      <c r="BM494" t="s">
        <v>702</v>
      </c>
      <c r="BN494">
        <v>37482602</v>
      </c>
      <c r="BO494" t="s">
        <v>614</v>
      </c>
      <c r="BP494" t="s">
        <v>74</v>
      </c>
      <c r="BQ494" t="s">
        <v>74</v>
      </c>
      <c r="BR494" t="s">
        <v>106</v>
      </c>
      <c r="BS494" t="s">
        <v>703</v>
      </c>
      <c r="BT494" t="str">
        <f>HYPERLINK("https%3A%2F%2Fwww.webofscience.com%2Fwos%2Fwoscc%2Ffull-record%2FWOS:001034811000017","View Full Record in Web of Science")</f>
        <v>View Full Record in Web of Science</v>
      </c>
    </row>
    <row r="495" spans="1:72" x14ac:dyDescent="0.25">
      <c r="A495" t="s">
        <v>72</v>
      </c>
      <c r="B495" t="s">
        <v>704</v>
      </c>
      <c r="C495" t="s">
        <v>74</v>
      </c>
      <c r="D495" t="s">
        <v>74</v>
      </c>
      <c r="E495" t="s">
        <v>74</v>
      </c>
      <c r="F495" t="s">
        <v>705</v>
      </c>
      <c r="G495" t="s">
        <v>74</v>
      </c>
      <c r="H495" t="s">
        <v>74</v>
      </c>
      <c r="I495" s="1" t="s">
        <v>706</v>
      </c>
      <c r="J495" t="s">
        <v>707</v>
      </c>
      <c r="K495" t="s">
        <v>74</v>
      </c>
      <c r="L495" t="s">
        <v>74</v>
      </c>
      <c r="M495" t="s">
        <v>78</v>
      </c>
      <c r="N495" t="s">
        <v>112</v>
      </c>
      <c r="O495" t="s">
        <v>74</v>
      </c>
      <c r="P495" t="s">
        <v>74</v>
      </c>
      <c r="Q495" t="s">
        <v>74</v>
      </c>
      <c r="R495" t="s">
        <v>74</v>
      </c>
      <c r="S495" t="s">
        <v>74</v>
      </c>
      <c r="T495" s="1" t="s">
        <v>708</v>
      </c>
      <c r="U495" s="1" t="s">
        <v>709</v>
      </c>
      <c r="V495" s="1" t="s">
        <v>710</v>
      </c>
      <c r="W495" t="s">
        <v>711</v>
      </c>
      <c r="X495" t="s">
        <v>712</v>
      </c>
      <c r="Y495" t="s">
        <v>713</v>
      </c>
      <c r="Z495" t="s">
        <v>714</v>
      </c>
      <c r="AA495" t="s">
        <v>74</v>
      </c>
      <c r="AB495" t="s">
        <v>74</v>
      </c>
      <c r="AC495" t="s">
        <v>74</v>
      </c>
      <c r="AD495" t="s">
        <v>74</v>
      </c>
      <c r="AE495" t="s">
        <v>74</v>
      </c>
      <c r="AF495" t="s">
        <v>74</v>
      </c>
      <c r="AG495">
        <v>122</v>
      </c>
      <c r="AH495">
        <v>0</v>
      </c>
      <c r="AI495">
        <v>0</v>
      </c>
      <c r="AJ495">
        <v>16</v>
      </c>
      <c r="AK495">
        <v>16</v>
      </c>
      <c r="AL495" t="s">
        <v>715</v>
      </c>
      <c r="AM495" t="s">
        <v>716</v>
      </c>
      <c r="AN495" t="s">
        <v>717</v>
      </c>
      <c r="AO495" t="s">
        <v>718</v>
      </c>
      <c r="AP495" t="s">
        <v>719</v>
      </c>
      <c r="AQ495" t="s">
        <v>74</v>
      </c>
      <c r="AR495" t="s">
        <v>707</v>
      </c>
      <c r="AS495" t="s">
        <v>720</v>
      </c>
      <c r="AT495" t="s">
        <v>721</v>
      </c>
      <c r="AU495">
        <v>2023</v>
      </c>
      <c r="AV495" t="s">
        <v>74</v>
      </c>
      <c r="AW495" t="s">
        <v>74</v>
      </c>
      <c r="AX495" t="s">
        <v>74</v>
      </c>
      <c r="AY495" t="s">
        <v>74</v>
      </c>
      <c r="AZ495" t="s">
        <v>74</v>
      </c>
      <c r="BA495" t="s">
        <v>74</v>
      </c>
      <c r="BB495" t="s">
        <v>74</v>
      </c>
      <c r="BC495" t="s">
        <v>74</v>
      </c>
      <c r="BD495" t="s">
        <v>74</v>
      </c>
      <c r="BE495" t="s">
        <v>722</v>
      </c>
      <c r="BF495" t="str">
        <f>HYPERLINK("http://dx.doi.org/10.1108/K-04-2023-0677","http://dx.doi.org/10.1108/K-04-2023-0677")</f>
        <v>http://dx.doi.org/10.1108/K-04-2023-0677</v>
      </c>
      <c r="BG495" t="s">
        <v>74</v>
      </c>
      <c r="BH495" t="s">
        <v>675</v>
      </c>
      <c r="BI495">
        <v>24</v>
      </c>
      <c r="BJ495" t="s">
        <v>723</v>
      </c>
      <c r="BK495" t="s">
        <v>102</v>
      </c>
      <c r="BL495" t="s">
        <v>399</v>
      </c>
      <c r="BM495" t="s">
        <v>724</v>
      </c>
      <c r="BN495" t="s">
        <v>74</v>
      </c>
      <c r="BO495" t="s">
        <v>74</v>
      </c>
      <c r="BP495" t="s">
        <v>74</v>
      </c>
      <c r="BQ495" t="s">
        <v>74</v>
      </c>
      <c r="BR495" t="s">
        <v>106</v>
      </c>
      <c r="BS495" t="s">
        <v>725</v>
      </c>
      <c r="BT495" t="str">
        <f>HYPERLINK("https%3A%2F%2Fwww.webofscience.com%2Fwos%2Fwoscc%2Ffull-record%2FWOS:001030720600001","View Full Record in Web of Science")</f>
        <v>View Full Record in Web of Science</v>
      </c>
    </row>
    <row r="496" spans="1:72" x14ac:dyDescent="0.25">
      <c r="A496" t="s">
        <v>72</v>
      </c>
      <c r="B496" t="s">
        <v>746</v>
      </c>
      <c r="C496" t="s">
        <v>74</v>
      </c>
      <c r="D496" t="s">
        <v>74</v>
      </c>
      <c r="E496" t="s">
        <v>74</v>
      </c>
      <c r="F496" t="s">
        <v>747</v>
      </c>
      <c r="G496" t="s">
        <v>74</v>
      </c>
      <c r="H496" t="s">
        <v>74</v>
      </c>
      <c r="I496" s="1" t="s">
        <v>748</v>
      </c>
      <c r="J496" t="s">
        <v>749</v>
      </c>
      <c r="K496" t="s">
        <v>74</v>
      </c>
      <c r="L496" t="s">
        <v>74</v>
      </c>
      <c r="M496" t="s">
        <v>78</v>
      </c>
      <c r="N496" t="s">
        <v>79</v>
      </c>
      <c r="O496" t="s">
        <v>74</v>
      </c>
      <c r="P496" t="s">
        <v>74</v>
      </c>
      <c r="Q496" t="s">
        <v>74</v>
      </c>
      <c r="R496" t="s">
        <v>74</v>
      </c>
      <c r="S496" t="s">
        <v>74</v>
      </c>
      <c r="T496" s="1" t="s">
        <v>750</v>
      </c>
      <c r="U496" s="1" t="s">
        <v>751</v>
      </c>
      <c r="V496" s="1" t="s">
        <v>752</v>
      </c>
      <c r="W496" t="s">
        <v>753</v>
      </c>
      <c r="X496" t="s">
        <v>754</v>
      </c>
      <c r="Y496" t="s">
        <v>755</v>
      </c>
      <c r="Z496" t="s">
        <v>756</v>
      </c>
      <c r="AA496" t="s">
        <v>74</v>
      </c>
      <c r="AB496" t="s">
        <v>74</v>
      </c>
      <c r="AC496" t="s">
        <v>757</v>
      </c>
      <c r="AD496" t="s">
        <v>758</v>
      </c>
      <c r="AE496" t="s">
        <v>759</v>
      </c>
      <c r="AF496" t="s">
        <v>74</v>
      </c>
      <c r="AG496">
        <v>72</v>
      </c>
      <c r="AH496">
        <v>0</v>
      </c>
      <c r="AI496">
        <v>0</v>
      </c>
      <c r="AJ496">
        <v>53</v>
      </c>
      <c r="AK496">
        <v>53</v>
      </c>
      <c r="AL496" t="s">
        <v>715</v>
      </c>
      <c r="AM496" t="s">
        <v>716</v>
      </c>
      <c r="AN496" t="s">
        <v>717</v>
      </c>
      <c r="AO496" t="s">
        <v>760</v>
      </c>
      <c r="AP496" t="s">
        <v>761</v>
      </c>
      <c r="AQ496" t="s">
        <v>74</v>
      </c>
      <c r="AR496" t="s">
        <v>762</v>
      </c>
      <c r="AS496" t="s">
        <v>763</v>
      </c>
      <c r="AT496" t="s">
        <v>764</v>
      </c>
      <c r="AU496">
        <v>2023</v>
      </c>
      <c r="AV496">
        <v>36</v>
      </c>
      <c r="AW496">
        <v>5</v>
      </c>
      <c r="AX496" t="s">
        <v>74</v>
      </c>
      <c r="AY496" t="s">
        <v>74</v>
      </c>
      <c r="AZ496" t="s">
        <v>74</v>
      </c>
      <c r="BA496" t="s">
        <v>74</v>
      </c>
      <c r="BB496">
        <v>1402</v>
      </c>
      <c r="BC496">
        <v>1420</v>
      </c>
      <c r="BD496" t="s">
        <v>74</v>
      </c>
      <c r="BE496" t="s">
        <v>765</v>
      </c>
      <c r="BF496" t="str">
        <f>HYPERLINK("http://dx.doi.org/10.1108/JEIM-08-2022-0280","http://dx.doi.org/10.1108/JEIM-08-2022-0280")</f>
        <v>http://dx.doi.org/10.1108/JEIM-08-2022-0280</v>
      </c>
      <c r="BG496" t="s">
        <v>74</v>
      </c>
      <c r="BH496" t="s">
        <v>675</v>
      </c>
      <c r="BI496">
        <v>19</v>
      </c>
      <c r="BJ496" t="s">
        <v>766</v>
      </c>
      <c r="BK496" t="s">
        <v>156</v>
      </c>
      <c r="BL496" t="s">
        <v>767</v>
      </c>
      <c r="BM496" t="s">
        <v>768</v>
      </c>
      <c r="BN496" t="s">
        <v>74</v>
      </c>
      <c r="BO496" t="s">
        <v>74</v>
      </c>
      <c r="BP496" t="s">
        <v>74</v>
      </c>
      <c r="BQ496" t="s">
        <v>74</v>
      </c>
      <c r="BR496" t="s">
        <v>106</v>
      </c>
      <c r="BS496" t="s">
        <v>769</v>
      </c>
      <c r="BT496" t="str">
        <f>HYPERLINK("https%3A%2F%2Fwww.webofscience.com%2Fwos%2Fwoscc%2Ffull-record%2FWOS:001024625500001","View Full Record in Web of Science")</f>
        <v>View Full Record in Web of Science</v>
      </c>
    </row>
    <row r="497" spans="1:72" x14ac:dyDescent="0.25">
      <c r="A497" t="s">
        <v>72</v>
      </c>
      <c r="B497" t="s">
        <v>770</v>
      </c>
      <c r="C497" t="s">
        <v>74</v>
      </c>
      <c r="D497" t="s">
        <v>74</v>
      </c>
      <c r="E497" t="s">
        <v>74</v>
      </c>
      <c r="F497" t="s">
        <v>771</v>
      </c>
      <c r="G497" t="s">
        <v>74</v>
      </c>
      <c r="H497" t="s">
        <v>74</v>
      </c>
      <c r="I497" s="1" t="s">
        <v>772</v>
      </c>
      <c r="J497" t="s">
        <v>773</v>
      </c>
      <c r="K497" t="s">
        <v>74</v>
      </c>
      <c r="L497" t="s">
        <v>74</v>
      </c>
      <c r="M497" t="s">
        <v>78</v>
      </c>
      <c r="N497" t="s">
        <v>112</v>
      </c>
      <c r="O497" t="s">
        <v>74</v>
      </c>
      <c r="P497" t="s">
        <v>74</v>
      </c>
      <c r="Q497" t="s">
        <v>74</v>
      </c>
      <c r="R497" t="s">
        <v>74</v>
      </c>
      <c r="S497" t="s">
        <v>74</v>
      </c>
      <c r="T497" s="1" t="s">
        <v>774</v>
      </c>
      <c r="U497" s="1" t="s">
        <v>775</v>
      </c>
      <c r="V497" s="1" t="s">
        <v>776</v>
      </c>
      <c r="W497" t="s">
        <v>777</v>
      </c>
      <c r="X497" t="s">
        <v>778</v>
      </c>
      <c r="Y497" t="s">
        <v>779</v>
      </c>
      <c r="Z497" t="s">
        <v>780</v>
      </c>
      <c r="AA497" t="s">
        <v>781</v>
      </c>
      <c r="AB497" t="s">
        <v>782</v>
      </c>
      <c r="AC497" t="s">
        <v>74</v>
      </c>
      <c r="AD497" t="s">
        <v>74</v>
      </c>
      <c r="AE497" t="s">
        <v>74</v>
      </c>
      <c r="AF497" t="s">
        <v>74</v>
      </c>
      <c r="AG497">
        <v>65</v>
      </c>
      <c r="AH497">
        <v>0</v>
      </c>
      <c r="AI497">
        <v>0</v>
      </c>
      <c r="AJ497">
        <v>8</v>
      </c>
      <c r="AK497">
        <v>8</v>
      </c>
      <c r="AL497" t="s">
        <v>146</v>
      </c>
      <c r="AM497" t="s">
        <v>147</v>
      </c>
      <c r="AN497" t="s">
        <v>148</v>
      </c>
      <c r="AO497" t="s">
        <v>74</v>
      </c>
      <c r="AP497" t="s">
        <v>783</v>
      </c>
      <c r="AQ497" t="s">
        <v>74</v>
      </c>
      <c r="AR497" t="s">
        <v>784</v>
      </c>
      <c r="AS497" t="s">
        <v>785</v>
      </c>
      <c r="AT497" t="s">
        <v>786</v>
      </c>
      <c r="AU497">
        <v>2023</v>
      </c>
      <c r="AV497" t="s">
        <v>74</v>
      </c>
      <c r="AW497" t="s">
        <v>74</v>
      </c>
      <c r="AX497" t="s">
        <v>74</v>
      </c>
      <c r="AY497" t="s">
        <v>74</v>
      </c>
      <c r="AZ497" t="s">
        <v>74</v>
      </c>
      <c r="BA497" t="s">
        <v>74</v>
      </c>
      <c r="BB497" t="s">
        <v>74</v>
      </c>
      <c r="BC497" t="s">
        <v>74</v>
      </c>
      <c r="BD497" t="s">
        <v>74</v>
      </c>
      <c r="BE497" t="s">
        <v>787</v>
      </c>
      <c r="BF497" t="str">
        <f>HYPERLINK("http://dx.doi.org/10.1002/bsd2.264","http://dx.doi.org/10.1002/bsd2.264")</f>
        <v>http://dx.doi.org/10.1002/bsd2.264</v>
      </c>
      <c r="BG497" t="s">
        <v>74</v>
      </c>
      <c r="BH497" t="s">
        <v>675</v>
      </c>
      <c r="BI497">
        <v>12</v>
      </c>
      <c r="BJ497" t="s">
        <v>788</v>
      </c>
      <c r="BK497" t="s">
        <v>183</v>
      </c>
      <c r="BL497" t="s">
        <v>789</v>
      </c>
      <c r="BM497" t="s">
        <v>790</v>
      </c>
      <c r="BN497" t="s">
        <v>74</v>
      </c>
      <c r="BO497" t="s">
        <v>791</v>
      </c>
      <c r="BP497" t="s">
        <v>74</v>
      </c>
      <c r="BQ497" t="s">
        <v>74</v>
      </c>
      <c r="BR497" t="s">
        <v>106</v>
      </c>
      <c r="BS497" t="s">
        <v>792</v>
      </c>
      <c r="BT497" t="str">
        <f>HYPERLINK("https%3A%2F%2Fwww.webofscience.com%2Fwos%2Fwoscc%2Ffull-record%2FWOS:001029603200001","View Full Record in Web of Science")</f>
        <v>View Full Record in Web of Science</v>
      </c>
    </row>
    <row r="498" spans="1:72" x14ac:dyDescent="0.25">
      <c r="A498" t="s">
        <v>72</v>
      </c>
      <c r="B498" t="s">
        <v>793</v>
      </c>
      <c r="C498" t="s">
        <v>74</v>
      </c>
      <c r="D498" t="s">
        <v>74</v>
      </c>
      <c r="E498" t="s">
        <v>74</v>
      </c>
      <c r="F498" t="s">
        <v>794</v>
      </c>
      <c r="G498" t="s">
        <v>74</v>
      </c>
      <c r="H498" t="s">
        <v>74</v>
      </c>
      <c r="I498" s="1" t="s">
        <v>795</v>
      </c>
      <c r="J498" t="s">
        <v>796</v>
      </c>
      <c r="K498" t="s">
        <v>74</v>
      </c>
      <c r="L498" t="s">
        <v>74</v>
      </c>
      <c r="M498" t="s">
        <v>78</v>
      </c>
      <c r="N498" t="s">
        <v>112</v>
      </c>
      <c r="O498" t="s">
        <v>74</v>
      </c>
      <c r="P498" t="s">
        <v>74</v>
      </c>
      <c r="Q498" t="s">
        <v>74</v>
      </c>
      <c r="R498" t="s">
        <v>74</v>
      </c>
      <c r="S498" t="s">
        <v>74</v>
      </c>
      <c r="T498" s="1" t="s">
        <v>797</v>
      </c>
      <c r="U498" s="1" t="s">
        <v>798</v>
      </c>
      <c r="V498" s="1" t="s">
        <v>799</v>
      </c>
      <c r="W498" t="s">
        <v>800</v>
      </c>
      <c r="X498" t="s">
        <v>801</v>
      </c>
      <c r="Y498" t="s">
        <v>802</v>
      </c>
      <c r="Z498" t="s">
        <v>803</v>
      </c>
      <c r="AA498" t="s">
        <v>74</v>
      </c>
      <c r="AB498" t="s">
        <v>804</v>
      </c>
      <c r="AC498" t="s">
        <v>74</v>
      </c>
      <c r="AD498" t="s">
        <v>74</v>
      </c>
      <c r="AE498" t="s">
        <v>74</v>
      </c>
      <c r="AF498" t="s">
        <v>74</v>
      </c>
      <c r="AG498">
        <v>38</v>
      </c>
      <c r="AH498">
        <v>0</v>
      </c>
      <c r="AI498">
        <v>0</v>
      </c>
      <c r="AJ498">
        <v>2</v>
      </c>
      <c r="AK498">
        <v>2</v>
      </c>
      <c r="AL498" t="s">
        <v>805</v>
      </c>
      <c r="AM498" t="s">
        <v>806</v>
      </c>
      <c r="AN498" t="s">
        <v>807</v>
      </c>
      <c r="AO498" t="s">
        <v>808</v>
      </c>
      <c r="AP498" t="s">
        <v>809</v>
      </c>
      <c r="AQ498" t="s">
        <v>74</v>
      </c>
      <c r="AR498" t="s">
        <v>810</v>
      </c>
      <c r="AS498" t="s">
        <v>811</v>
      </c>
      <c r="AT498" t="s">
        <v>812</v>
      </c>
      <c r="AU498">
        <v>2023</v>
      </c>
      <c r="AV498" t="s">
        <v>74</v>
      </c>
      <c r="AW498" t="s">
        <v>74</v>
      </c>
      <c r="AX498" t="s">
        <v>74</v>
      </c>
      <c r="AY498" t="s">
        <v>74</v>
      </c>
      <c r="AZ498" t="s">
        <v>74</v>
      </c>
      <c r="BA498" t="s">
        <v>74</v>
      </c>
      <c r="BB498" t="s">
        <v>74</v>
      </c>
      <c r="BC498" t="s">
        <v>74</v>
      </c>
      <c r="BD498" t="s">
        <v>74</v>
      </c>
      <c r="BE498" t="s">
        <v>813</v>
      </c>
      <c r="BF498" t="str">
        <f>HYPERLINK("http://dx.doi.org/10.1071/SH22191","http://dx.doi.org/10.1071/SH22191")</f>
        <v>http://dx.doi.org/10.1071/SH22191</v>
      </c>
      <c r="BG498" t="s">
        <v>74</v>
      </c>
      <c r="BH498" t="s">
        <v>675</v>
      </c>
      <c r="BI498">
        <v>10</v>
      </c>
      <c r="BJ498" t="s">
        <v>814</v>
      </c>
      <c r="BK498" t="s">
        <v>211</v>
      </c>
      <c r="BL498" t="s">
        <v>814</v>
      </c>
      <c r="BM498" t="s">
        <v>815</v>
      </c>
      <c r="BN498">
        <v>37407286</v>
      </c>
      <c r="BO498" t="s">
        <v>105</v>
      </c>
      <c r="BP498" t="s">
        <v>74</v>
      </c>
      <c r="BQ498" t="s">
        <v>74</v>
      </c>
      <c r="BR498" t="s">
        <v>106</v>
      </c>
      <c r="BS498" t="s">
        <v>816</v>
      </c>
      <c r="BT498" t="str">
        <f>HYPERLINK("https%3A%2F%2Fwww.webofscience.com%2Fwos%2Fwoscc%2Ffull-record%2FWOS:001024279200001","View Full Record in Web of Science")</f>
        <v>View Full Record in Web of Science</v>
      </c>
    </row>
    <row r="499" spans="1:72" x14ac:dyDescent="0.25">
      <c r="A499" t="s">
        <v>72</v>
      </c>
      <c r="B499" t="s">
        <v>817</v>
      </c>
      <c r="C499" t="s">
        <v>74</v>
      </c>
      <c r="D499" t="s">
        <v>74</v>
      </c>
      <c r="E499" t="s">
        <v>74</v>
      </c>
      <c r="F499" t="s">
        <v>818</v>
      </c>
      <c r="G499" t="s">
        <v>74</v>
      </c>
      <c r="H499" t="s">
        <v>74</v>
      </c>
      <c r="I499" s="1" t="s">
        <v>819</v>
      </c>
      <c r="J499" t="s">
        <v>820</v>
      </c>
      <c r="K499" t="s">
        <v>74</v>
      </c>
      <c r="L499" t="s">
        <v>74</v>
      </c>
      <c r="M499" t="s">
        <v>78</v>
      </c>
      <c r="N499" t="s">
        <v>79</v>
      </c>
      <c r="O499" t="s">
        <v>74</v>
      </c>
      <c r="P499" t="s">
        <v>74</v>
      </c>
      <c r="Q499" t="s">
        <v>74</v>
      </c>
      <c r="R499" t="s">
        <v>74</v>
      </c>
      <c r="S499" t="s">
        <v>74</v>
      </c>
      <c r="T499" s="1" t="s">
        <v>821</v>
      </c>
      <c r="U499" s="1" t="s">
        <v>822</v>
      </c>
      <c r="V499" s="1" t="s">
        <v>823</v>
      </c>
      <c r="W499" t="s">
        <v>824</v>
      </c>
      <c r="X499" t="s">
        <v>825</v>
      </c>
      <c r="Y499" t="s">
        <v>826</v>
      </c>
      <c r="Z499" t="s">
        <v>827</v>
      </c>
      <c r="AA499" t="s">
        <v>828</v>
      </c>
      <c r="AB499" t="s">
        <v>829</v>
      </c>
      <c r="AC499" t="s">
        <v>830</v>
      </c>
      <c r="AD499" t="s">
        <v>831</v>
      </c>
      <c r="AE499" t="s">
        <v>832</v>
      </c>
      <c r="AF499" t="s">
        <v>74</v>
      </c>
      <c r="AG499">
        <v>35</v>
      </c>
      <c r="AH499">
        <v>0</v>
      </c>
      <c r="AI499">
        <v>0</v>
      </c>
      <c r="AJ499">
        <v>2</v>
      </c>
      <c r="AK499">
        <v>2</v>
      </c>
      <c r="AL499" t="s">
        <v>833</v>
      </c>
      <c r="AM499" t="s">
        <v>175</v>
      </c>
      <c r="AN499" t="s">
        <v>834</v>
      </c>
      <c r="AO499" t="s">
        <v>835</v>
      </c>
      <c r="AP499" t="s">
        <v>74</v>
      </c>
      <c r="AQ499" t="s">
        <v>74</v>
      </c>
      <c r="AR499" t="s">
        <v>820</v>
      </c>
      <c r="AS499" t="s">
        <v>836</v>
      </c>
      <c r="AT499" t="s">
        <v>837</v>
      </c>
      <c r="AU499">
        <v>2023</v>
      </c>
      <c r="AV499">
        <v>13</v>
      </c>
      <c r="AW499">
        <v>7</v>
      </c>
      <c r="AX499" t="s">
        <v>74</v>
      </c>
      <c r="AY499" t="s">
        <v>74</v>
      </c>
      <c r="AZ499" t="s">
        <v>74</v>
      </c>
      <c r="BA499" t="s">
        <v>74</v>
      </c>
      <c r="BB499" t="s">
        <v>74</v>
      </c>
      <c r="BC499" t="s">
        <v>74</v>
      </c>
      <c r="BD499" t="s">
        <v>838</v>
      </c>
      <c r="BE499" t="s">
        <v>839</v>
      </c>
      <c r="BF499" t="str">
        <f>HYPERLINK("http://dx.doi.org/10.1136/bmjopen-2023-072040","http://dx.doi.org/10.1136/bmjopen-2023-072040")</f>
        <v>http://dx.doi.org/10.1136/bmjopen-2023-072040</v>
      </c>
      <c r="BG499" t="s">
        <v>74</v>
      </c>
      <c r="BH499" t="s">
        <v>74</v>
      </c>
      <c r="BI499">
        <v>11</v>
      </c>
      <c r="BJ499" t="s">
        <v>840</v>
      </c>
      <c r="BK499" t="s">
        <v>102</v>
      </c>
      <c r="BL499" t="s">
        <v>841</v>
      </c>
      <c r="BM499" t="s">
        <v>842</v>
      </c>
      <c r="BN499">
        <v>37451717</v>
      </c>
      <c r="BO499" t="s">
        <v>422</v>
      </c>
      <c r="BP499" t="s">
        <v>74</v>
      </c>
      <c r="BQ499" t="s">
        <v>74</v>
      </c>
      <c r="BR499" t="s">
        <v>106</v>
      </c>
      <c r="BS499" t="s">
        <v>843</v>
      </c>
      <c r="BT499" t="str">
        <f>HYPERLINK("https%3A%2F%2Fwww.webofscience.com%2Fwos%2Fwoscc%2Ffull-record%2FWOS:001042144500003","View Full Record in Web of Science")</f>
        <v>View Full Record in Web of Science</v>
      </c>
    </row>
    <row r="500" spans="1:72" x14ac:dyDescent="0.25">
      <c r="A500" t="s">
        <v>72</v>
      </c>
      <c r="B500" t="s">
        <v>844</v>
      </c>
      <c r="C500" t="s">
        <v>74</v>
      </c>
      <c r="D500" t="s">
        <v>74</v>
      </c>
      <c r="E500" t="s">
        <v>74</v>
      </c>
      <c r="F500" t="s">
        <v>845</v>
      </c>
      <c r="G500" t="s">
        <v>74</v>
      </c>
      <c r="H500" t="s">
        <v>74</v>
      </c>
      <c r="I500" s="1" t="s">
        <v>846</v>
      </c>
      <c r="J500" t="s">
        <v>847</v>
      </c>
      <c r="K500" t="s">
        <v>74</v>
      </c>
      <c r="L500" t="s">
        <v>74</v>
      </c>
      <c r="M500" t="s">
        <v>78</v>
      </c>
      <c r="N500" t="s">
        <v>79</v>
      </c>
      <c r="O500" t="s">
        <v>74</v>
      </c>
      <c r="P500" t="s">
        <v>74</v>
      </c>
      <c r="Q500" t="s">
        <v>74</v>
      </c>
      <c r="R500" t="s">
        <v>74</v>
      </c>
      <c r="S500" t="s">
        <v>74</v>
      </c>
      <c r="T500" s="1" t="s">
        <v>848</v>
      </c>
      <c r="U500" s="1" t="s">
        <v>849</v>
      </c>
      <c r="V500" s="1" t="s">
        <v>850</v>
      </c>
      <c r="W500" t="s">
        <v>851</v>
      </c>
      <c r="X500" t="s">
        <v>852</v>
      </c>
      <c r="Y500" t="s">
        <v>853</v>
      </c>
      <c r="Z500" t="s">
        <v>854</v>
      </c>
      <c r="AA500" t="s">
        <v>74</v>
      </c>
      <c r="AB500" t="s">
        <v>74</v>
      </c>
      <c r="AC500" t="s">
        <v>74</v>
      </c>
      <c r="AD500" t="s">
        <v>74</v>
      </c>
      <c r="AE500" t="s">
        <v>74</v>
      </c>
      <c r="AF500" t="s">
        <v>74</v>
      </c>
      <c r="AG500">
        <v>139</v>
      </c>
      <c r="AH500">
        <v>0</v>
      </c>
      <c r="AI500">
        <v>0</v>
      </c>
      <c r="AJ500">
        <v>3</v>
      </c>
      <c r="AK500">
        <v>3</v>
      </c>
      <c r="AL500" t="s">
        <v>202</v>
      </c>
      <c r="AM500" t="s">
        <v>203</v>
      </c>
      <c r="AN500" t="s">
        <v>204</v>
      </c>
      <c r="AO500" t="s">
        <v>855</v>
      </c>
      <c r="AP500" t="s">
        <v>74</v>
      </c>
      <c r="AQ500" t="s">
        <v>74</v>
      </c>
      <c r="AR500" t="s">
        <v>856</v>
      </c>
      <c r="AS500" t="s">
        <v>857</v>
      </c>
      <c r="AT500" t="s">
        <v>837</v>
      </c>
      <c r="AU500">
        <v>2023</v>
      </c>
      <c r="AV500">
        <v>6</v>
      </c>
      <c r="AW500">
        <v>7</v>
      </c>
      <c r="AX500" t="s">
        <v>74</v>
      </c>
      <c r="AY500" t="s">
        <v>74</v>
      </c>
      <c r="AZ500" t="s">
        <v>74</v>
      </c>
      <c r="BA500" t="s">
        <v>74</v>
      </c>
      <c r="BB500">
        <v>4956</v>
      </c>
      <c r="BC500">
        <v>4992</v>
      </c>
      <c r="BD500" t="s">
        <v>74</v>
      </c>
      <c r="BE500" t="s">
        <v>858</v>
      </c>
      <c r="BF500" t="str">
        <f>HYPERLINK("http://dx.doi.org/10.3390/heritage6070264","http://dx.doi.org/10.3390/heritage6070264")</f>
        <v>http://dx.doi.org/10.3390/heritage6070264</v>
      </c>
      <c r="BG500" t="s">
        <v>74</v>
      </c>
      <c r="BH500" t="s">
        <v>74</v>
      </c>
      <c r="BI500">
        <v>37</v>
      </c>
      <c r="BJ500" t="s">
        <v>859</v>
      </c>
      <c r="BK500" t="s">
        <v>183</v>
      </c>
      <c r="BL500" t="s">
        <v>860</v>
      </c>
      <c r="BM500" t="s">
        <v>861</v>
      </c>
      <c r="BN500" t="s">
        <v>74</v>
      </c>
      <c r="BO500" t="s">
        <v>186</v>
      </c>
      <c r="BP500" t="s">
        <v>74</v>
      </c>
      <c r="BQ500" t="s">
        <v>74</v>
      </c>
      <c r="BR500" t="s">
        <v>106</v>
      </c>
      <c r="BS500" t="s">
        <v>862</v>
      </c>
      <c r="BT500" t="str">
        <f>HYPERLINK("https%3A%2F%2Fwww.webofscience.com%2Fwos%2Fwoscc%2Ffull-record%2FWOS:001036130900001","View Full Record in Web of Science")</f>
        <v>View Full Record in Web of Science</v>
      </c>
    </row>
    <row r="501" spans="1:72" x14ac:dyDescent="0.25">
      <c r="A501" t="s">
        <v>72</v>
      </c>
      <c r="B501" t="s">
        <v>863</v>
      </c>
      <c r="C501" t="s">
        <v>74</v>
      </c>
      <c r="D501" t="s">
        <v>74</v>
      </c>
      <c r="E501" t="s">
        <v>74</v>
      </c>
      <c r="F501" t="s">
        <v>864</v>
      </c>
      <c r="G501" t="s">
        <v>74</v>
      </c>
      <c r="H501" t="s">
        <v>74</v>
      </c>
      <c r="I501" s="1" t="s">
        <v>865</v>
      </c>
      <c r="J501" t="s">
        <v>866</v>
      </c>
      <c r="K501" t="s">
        <v>74</v>
      </c>
      <c r="L501" t="s">
        <v>74</v>
      </c>
      <c r="M501" t="s">
        <v>78</v>
      </c>
      <c r="N501" t="s">
        <v>79</v>
      </c>
      <c r="O501" t="s">
        <v>74</v>
      </c>
      <c r="P501" t="s">
        <v>74</v>
      </c>
      <c r="Q501" t="s">
        <v>74</v>
      </c>
      <c r="R501" t="s">
        <v>74</v>
      </c>
      <c r="S501" t="s">
        <v>74</v>
      </c>
      <c r="T501" s="1" t="s">
        <v>867</v>
      </c>
      <c r="U501" s="1" t="s">
        <v>868</v>
      </c>
      <c r="V501" s="1" t="s">
        <v>869</v>
      </c>
      <c r="W501" t="s">
        <v>870</v>
      </c>
      <c r="X501" t="s">
        <v>871</v>
      </c>
      <c r="Y501" t="s">
        <v>872</v>
      </c>
      <c r="Z501" t="s">
        <v>873</v>
      </c>
      <c r="AA501" t="s">
        <v>74</v>
      </c>
      <c r="AB501" t="s">
        <v>74</v>
      </c>
      <c r="AC501" t="s">
        <v>874</v>
      </c>
      <c r="AD501" t="s">
        <v>875</v>
      </c>
      <c r="AE501" t="s">
        <v>876</v>
      </c>
      <c r="AF501" t="s">
        <v>74</v>
      </c>
      <c r="AG501">
        <v>16</v>
      </c>
      <c r="AH501">
        <v>0</v>
      </c>
      <c r="AI501">
        <v>0</v>
      </c>
      <c r="AJ501">
        <v>1</v>
      </c>
      <c r="AK501">
        <v>1</v>
      </c>
      <c r="AL501" t="s">
        <v>877</v>
      </c>
      <c r="AM501" t="s">
        <v>878</v>
      </c>
      <c r="AN501" t="s">
        <v>879</v>
      </c>
      <c r="AO501" t="s">
        <v>74</v>
      </c>
      <c r="AP501" t="s">
        <v>880</v>
      </c>
      <c r="AQ501" t="s">
        <v>74</v>
      </c>
      <c r="AR501" t="s">
        <v>866</v>
      </c>
      <c r="AS501" t="s">
        <v>881</v>
      </c>
      <c r="AT501" t="s">
        <v>837</v>
      </c>
      <c r="AU501">
        <v>2023</v>
      </c>
      <c r="AV501">
        <v>9</v>
      </c>
      <c r="AW501">
        <v>7</v>
      </c>
      <c r="AX501" t="s">
        <v>74</v>
      </c>
      <c r="AY501" t="s">
        <v>74</v>
      </c>
      <c r="AZ501" t="s">
        <v>74</v>
      </c>
      <c r="BA501" t="s">
        <v>74</v>
      </c>
      <c r="BB501" t="s">
        <v>74</v>
      </c>
      <c r="BC501" t="s">
        <v>74</v>
      </c>
      <c r="BD501" t="s">
        <v>882</v>
      </c>
      <c r="BE501" t="s">
        <v>883</v>
      </c>
      <c r="BF501" t="str">
        <f>HYPERLINK("http://dx.doi.org/10.1016/j.heliyon.2023.e18004","http://dx.doi.org/10.1016/j.heliyon.2023.e18004")</f>
        <v>http://dx.doi.org/10.1016/j.heliyon.2023.e18004</v>
      </c>
      <c r="BG501" t="s">
        <v>74</v>
      </c>
      <c r="BH501" t="s">
        <v>74</v>
      </c>
      <c r="BI501">
        <v>8</v>
      </c>
      <c r="BJ501" t="s">
        <v>700</v>
      </c>
      <c r="BK501" t="s">
        <v>102</v>
      </c>
      <c r="BL501" t="s">
        <v>701</v>
      </c>
      <c r="BM501" t="s">
        <v>884</v>
      </c>
      <c r="BN501">
        <v>37483804</v>
      </c>
      <c r="BO501" t="s">
        <v>422</v>
      </c>
      <c r="BP501" t="s">
        <v>74</v>
      </c>
      <c r="BQ501" t="s">
        <v>74</v>
      </c>
      <c r="BR501" t="s">
        <v>106</v>
      </c>
      <c r="BS501" t="s">
        <v>885</v>
      </c>
      <c r="BT501" t="str">
        <f>HYPERLINK("https%3A%2F%2Fwww.webofscience.com%2Fwos%2Fwoscc%2Ffull-record%2FWOS:001048302300001","View Full Record in Web of Science")</f>
        <v>View Full Record in Web of Science</v>
      </c>
    </row>
    <row r="502" spans="1:72" x14ac:dyDescent="0.25">
      <c r="A502" t="s">
        <v>72</v>
      </c>
      <c r="B502" t="s">
        <v>886</v>
      </c>
      <c r="C502" t="s">
        <v>74</v>
      </c>
      <c r="D502" t="s">
        <v>74</v>
      </c>
      <c r="E502" t="s">
        <v>74</v>
      </c>
      <c r="F502" t="s">
        <v>887</v>
      </c>
      <c r="G502" t="s">
        <v>74</v>
      </c>
      <c r="H502" t="s">
        <v>74</v>
      </c>
      <c r="I502" s="1" t="s">
        <v>888</v>
      </c>
      <c r="J502" t="s">
        <v>889</v>
      </c>
      <c r="K502" t="s">
        <v>74</v>
      </c>
      <c r="L502" t="s">
        <v>74</v>
      </c>
      <c r="M502" t="s">
        <v>78</v>
      </c>
      <c r="N502" t="s">
        <v>79</v>
      </c>
      <c r="O502" t="s">
        <v>74</v>
      </c>
      <c r="P502" t="s">
        <v>74</v>
      </c>
      <c r="Q502" t="s">
        <v>74</v>
      </c>
      <c r="R502" t="s">
        <v>74</v>
      </c>
      <c r="S502" t="s">
        <v>74</v>
      </c>
      <c r="T502" s="1" t="s">
        <v>890</v>
      </c>
      <c r="U502" s="1" t="s">
        <v>891</v>
      </c>
      <c r="V502" s="1" t="s">
        <v>892</v>
      </c>
      <c r="W502" t="s">
        <v>893</v>
      </c>
      <c r="X502" t="s">
        <v>894</v>
      </c>
      <c r="Y502" t="s">
        <v>895</v>
      </c>
      <c r="Z502" t="s">
        <v>896</v>
      </c>
      <c r="AA502" t="s">
        <v>74</v>
      </c>
      <c r="AB502" t="s">
        <v>897</v>
      </c>
      <c r="AC502" t="s">
        <v>898</v>
      </c>
      <c r="AD502" t="s">
        <v>898</v>
      </c>
      <c r="AE502" t="s">
        <v>898</v>
      </c>
      <c r="AF502" t="s">
        <v>74</v>
      </c>
      <c r="AG502">
        <v>42</v>
      </c>
      <c r="AH502">
        <v>0</v>
      </c>
      <c r="AI502">
        <v>0</v>
      </c>
      <c r="AJ502">
        <v>0</v>
      </c>
      <c r="AK502">
        <v>0</v>
      </c>
      <c r="AL502" t="s">
        <v>231</v>
      </c>
      <c r="AM502" t="s">
        <v>232</v>
      </c>
      <c r="AN502" t="s">
        <v>233</v>
      </c>
      <c r="AO502" t="s">
        <v>899</v>
      </c>
      <c r="AP502" t="s">
        <v>74</v>
      </c>
      <c r="AQ502" t="s">
        <v>74</v>
      </c>
      <c r="AR502" t="s">
        <v>900</v>
      </c>
      <c r="AS502" t="s">
        <v>901</v>
      </c>
      <c r="AT502" t="s">
        <v>837</v>
      </c>
      <c r="AU502">
        <v>2023</v>
      </c>
      <c r="AV502">
        <v>23</v>
      </c>
      <c r="AW502" t="s">
        <v>74</v>
      </c>
      <c r="AX502" t="s">
        <v>74</v>
      </c>
      <c r="AY502" t="s">
        <v>74</v>
      </c>
      <c r="AZ502" t="s">
        <v>74</v>
      </c>
      <c r="BA502" t="s">
        <v>74</v>
      </c>
      <c r="BB502" t="s">
        <v>74</v>
      </c>
      <c r="BC502" t="s">
        <v>74</v>
      </c>
      <c r="BD502">
        <v>100534</v>
      </c>
      <c r="BE502" t="s">
        <v>902</v>
      </c>
      <c r="BF502" t="str">
        <f>HYPERLINK("http://dx.doi.org/10.1016/j.lana.2023.100534","http://dx.doi.org/10.1016/j.lana.2023.100534")</f>
        <v>http://dx.doi.org/10.1016/j.lana.2023.100534</v>
      </c>
      <c r="BG502" t="s">
        <v>74</v>
      </c>
      <c r="BH502" t="s">
        <v>74</v>
      </c>
      <c r="BI502">
        <v>10</v>
      </c>
      <c r="BJ502" t="s">
        <v>420</v>
      </c>
      <c r="BK502" t="s">
        <v>183</v>
      </c>
      <c r="BL502" t="s">
        <v>420</v>
      </c>
      <c r="BM502" t="s">
        <v>903</v>
      </c>
      <c r="BN502">
        <v>37497398</v>
      </c>
      <c r="BO502" t="s">
        <v>614</v>
      </c>
      <c r="BP502" t="s">
        <v>74</v>
      </c>
      <c r="BQ502" t="s">
        <v>74</v>
      </c>
      <c r="BR502" t="s">
        <v>106</v>
      </c>
      <c r="BS502" t="s">
        <v>904</v>
      </c>
      <c r="BT502" t="str">
        <f>HYPERLINK("https%3A%2F%2Fwww.webofscience.com%2Fwos%2Fwoscc%2Ffull-record%2FWOS:001061736100001","View Full Record in Web of Science")</f>
        <v>View Full Record in Web of Science</v>
      </c>
    </row>
    <row r="503" spans="1:72" x14ac:dyDescent="0.25">
      <c r="A503" t="s">
        <v>72</v>
      </c>
      <c r="B503" t="s">
        <v>905</v>
      </c>
      <c r="C503" t="s">
        <v>74</v>
      </c>
      <c r="D503" t="s">
        <v>74</v>
      </c>
      <c r="E503" t="s">
        <v>74</v>
      </c>
      <c r="F503" t="s">
        <v>906</v>
      </c>
      <c r="G503" t="s">
        <v>74</v>
      </c>
      <c r="H503" t="s">
        <v>74</v>
      </c>
      <c r="I503" s="1" t="s">
        <v>907</v>
      </c>
      <c r="J503" t="s">
        <v>908</v>
      </c>
      <c r="K503" t="s">
        <v>74</v>
      </c>
      <c r="L503" t="s">
        <v>74</v>
      </c>
      <c r="M503" t="s">
        <v>78</v>
      </c>
      <c r="N503" t="s">
        <v>79</v>
      </c>
      <c r="O503" t="s">
        <v>74</v>
      </c>
      <c r="P503" t="s">
        <v>74</v>
      </c>
      <c r="Q503" t="s">
        <v>74</v>
      </c>
      <c r="R503" t="s">
        <v>74</v>
      </c>
      <c r="S503" t="s">
        <v>74</v>
      </c>
      <c r="T503" s="1" t="s">
        <v>909</v>
      </c>
      <c r="U503" s="1" t="s">
        <v>910</v>
      </c>
      <c r="V503" s="1" t="s">
        <v>911</v>
      </c>
      <c r="W503" t="s">
        <v>912</v>
      </c>
      <c r="X503" t="s">
        <v>74</v>
      </c>
      <c r="Y503" t="s">
        <v>913</v>
      </c>
      <c r="Z503" t="s">
        <v>914</v>
      </c>
      <c r="AA503" t="s">
        <v>74</v>
      </c>
      <c r="AB503" t="s">
        <v>915</v>
      </c>
      <c r="AC503" t="s">
        <v>74</v>
      </c>
      <c r="AD503" t="s">
        <v>74</v>
      </c>
      <c r="AE503" t="s">
        <v>74</v>
      </c>
      <c r="AF503" t="s">
        <v>74</v>
      </c>
      <c r="AG503">
        <v>20</v>
      </c>
      <c r="AH503">
        <v>0</v>
      </c>
      <c r="AI503">
        <v>0</v>
      </c>
      <c r="AJ503">
        <v>0</v>
      </c>
      <c r="AK503">
        <v>0</v>
      </c>
      <c r="AL503" t="s">
        <v>833</v>
      </c>
      <c r="AM503" t="s">
        <v>175</v>
      </c>
      <c r="AN503" t="s">
        <v>834</v>
      </c>
      <c r="AO503" t="s">
        <v>74</v>
      </c>
      <c r="AP503" t="s">
        <v>916</v>
      </c>
      <c r="AQ503" t="s">
        <v>74</v>
      </c>
      <c r="AR503" t="s">
        <v>917</v>
      </c>
      <c r="AS503" t="s">
        <v>918</v>
      </c>
      <c r="AT503" t="s">
        <v>837</v>
      </c>
      <c r="AU503">
        <v>2023</v>
      </c>
      <c r="AV503">
        <v>12</v>
      </c>
      <c r="AW503">
        <v>3</v>
      </c>
      <c r="AX503" t="s">
        <v>74</v>
      </c>
      <c r="AY503" t="s">
        <v>74</v>
      </c>
      <c r="AZ503" t="s">
        <v>74</v>
      </c>
      <c r="BA503" t="s">
        <v>74</v>
      </c>
      <c r="BB503" t="s">
        <v>74</v>
      </c>
      <c r="BC503" t="s">
        <v>74</v>
      </c>
      <c r="BD503" t="s">
        <v>919</v>
      </c>
      <c r="BE503" t="s">
        <v>920</v>
      </c>
      <c r="BF503" t="str">
        <f>HYPERLINK("http://dx.doi.org/10.1136/bmjoq-2023-002270","http://dx.doi.org/10.1136/bmjoq-2023-002270")</f>
        <v>http://dx.doi.org/10.1136/bmjoq-2023-002270</v>
      </c>
      <c r="BG503" t="s">
        <v>74</v>
      </c>
      <c r="BH503" t="s">
        <v>74</v>
      </c>
      <c r="BI503">
        <v>5</v>
      </c>
      <c r="BJ503" t="s">
        <v>921</v>
      </c>
      <c r="BK503" t="s">
        <v>183</v>
      </c>
      <c r="BL503" t="s">
        <v>922</v>
      </c>
      <c r="BM503" t="s">
        <v>923</v>
      </c>
      <c r="BN503">
        <v>37553274</v>
      </c>
      <c r="BO503" t="s">
        <v>422</v>
      </c>
      <c r="BP503" t="s">
        <v>74</v>
      </c>
      <c r="BQ503" t="s">
        <v>74</v>
      </c>
      <c r="BR503" t="s">
        <v>106</v>
      </c>
      <c r="BS503" t="s">
        <v>924</v>
      </c>
      <c r="BT503" t="str">
        <f>HYPERLINK("https%3A%2F%2Fwww.webofscience.com%2Fwos%2Fwoscc%2Ffull-record%2FWOS:001045112600001","View Full Record in Web of Science")</f>
        <v>View Full Record in Web of Science</v>
      </c>
    </row>
    <row r="504" spans="1:72" x14ac:dyDescent="0.25">
      <c r="A504" t="s">
        <v>72</v>
      </c>
      <c r="B504" t="s">
        <v>925</v>
      </c>
      <c r="C504" t="s">
        <v>74</v>
      </c>
      <c r="D504" t="s">
        <v>74</v>
      </c>
      <c r="E504" t="s">
        <v>74</v>
      </c>
      <c r="F504" t="s">
        <v>926</v>
      </c>
      <c r="G504" t="s">
        <v>74</v>
      </c>
      <c r="H504" t="s">
        <v>74</v>
      </c>
      <c r="I504" s="1" t="s">
        <v>927</v>
      </c>
      <c r="J504" t="s">
        <v>928</v>
      </c>
      <c r="K504" t="s">
        <v>74</v>
      </c>
      <c r="L504" t="s">
        <v>74</v>
      </c>
      <c r="M504" t="s">
        <v>929</v>
      </c>
      <c r="N504" t="s">
        <v>79</v>
      </c>
      <c r="O504" t="s">
        <v>74</v>
      </c>
      <c r="P504" t="s">
        <v>74</v>
      </c>
      <c r="Q504" t="s">
        <v>74</v>
      </c>
      <c r="R504" t="s">
        <v>74</v>
      </c>
      <c r="S504" t="s">
        <v>74</v>
      </c>
      <c r="T504" s="1" t="s">
        <v>930</v>
      </c>
      <c r="U504" s="1" t="s">
        <v>74</v>
      </c>
      <c r="V504" s="1" t="s">
        <v>931</v>
      </c>
      <c r="W504" t="s">
        <v>932</v>
      </c>
      <c r="X504" t="s">
        <v>74</v>
      </c>
      <c r="Y504" t="s">
        <v>933</v>
      </c>
      <c r="Z504" t="s">
        <v>934</v>
      </c>
      <c r="AA504" t="s">
        <v>74</v>
      </c>
      <c r="AB504" t="s">
        <v>74</v>
      </c>
      <c r="AC504" t="s">
        <v>74</v>
      </c>
      <c r="AD504" t="s">
        <v>74</v>
      </c>
      <c r="AE504" t="s">
        <v>74</v>
      </c>
      <c r="AF504" t="s">
        <v>74</v>
      </c>
      <c r="AG504">
        <v>18</v>
      </c>
      <c r="AH504">
        <v>0</v>
      </c>
      <c r="AI504">
        <v>0</v>
      </c>
      <c r="AJ504">
        <v>0</v>
      </c>
      <c r="AK504">
        <v>0</v>
      </c>
      <c r="AL504" t="s">
        <v>935</v>
      </c>
      <c r="AM504" t="s">
        <v>936</v>
      </c>
      <c r="AN504" t="s">
        <v>937</v>
      </c>
      <c r="AO504" t="s">
        <v>938</v>
      </c>
      <c r="AP504" t="s">
        <v>74</v>
      </c>
      <c r="AQ504" t="s">
        <v>74</v>
      </c>
      <c r="AR504" t="s">
        <v>939</v>
      </c>
      <c r="AS504" t="s">
        <v>940</v>
      </c>
      <c r="AT504" t="s">
        <v>941</v>
      </c>
      <c r="AU504">
        <v>2023</v>
      </c>
      <c r="AV504">
        <v>15</v>
      </c>
      <c r="AW504">
        <v>4</v>
      </c>
      <c r="AX504" t="s">
        <v>74</v>
      </c>
      <c r="AY504" t="s">
        <v>74</v>
      </c>
      <c r="AZ504" t="s">
        <v>74</v>
      </c>
      <c r="BA504" t="s">
        <v>74</v>
      </c>
      <c r="BB504">
        <v>76</v>
      </c>
      <c r="BC504">
        <v>84</v>
      </c>
      <c r="BD504" t="s">
        <v>74</v>
      </c>
      <c r="BE504" t="s">
        <v>74</v>
      </c>
      <c r="BF504" t="s">
        <v>74</v>
      </c>
      <c r="BG504" t="s">
        <v>74</v>
      </c>
      <c r="BH504" t="s">
        <v>74</v>
      </c>
      <c r="BI504">
        <v>9</v>
      </c>
      <c r="BJ504" t="s">
        <v>942</v>
      </c>
      <c r="BK504" t="s">
        <v>183</v>
      </c>
      <c r="BL504" t="s">
        <v>943</v>
      </c>
      <c r="BM504" t="s">
        <v>944</v>
      </c>
      <c r="BN504" t="s">
        <v>74</v>
      </c>
      <c r="BO504" t="s">
        <v>74</v>
      </c>
      <c r="BP504" t="s">
        <v>74</v>
      </c>
      <c r="BQ504" t="s">
        <v>74</v>
      </c>
      <c r="BR504" t="s">
        <v>106</v>
      </c>
      <c r="BS504" t="s">
        <v>945</v>
      </c>
      <c r="BT504" t="str">
        <f>HYPERLINK("https%3A%2F%2Fwww.webofscience.com%2Fwos%2Fwoscc%2Ffull-record%2FWOS:001089011500007","View Full Record in Web of Science")</f>
        <v>View Full Record in Web of Science</v>
      </c>
    </row>
    <row r="505" spans="1:72" x14ac:dyDescent="0.25">
      <c r="A505" t="s">
        <v>72</v>
      </c>
      <c r="B505" t="s">
        <v>959</v>
      </c>
      <c r="C505" t="s">
        <v>74</v>
      </c>
      <c r="D505" t="s">
        <v>74</v>
      </c>
      <c r="E505" t="s">
        <v>74</v>
      </c>
      <c r="F505" t="s">
        <v>960</v>
      </c>
      <c r="G505" t="s">
        <v>74</v>
      </c>
      <c r="H505" t="s">
        <v>74</v>
      </c>
      <c r="I505" s="1" t="s">
        <v>961</v>
      </c>
      <c r="J505" t="s">
        <v>962</v>
      </c>
      <c r="K505" t="s">
        <v>74</v>
      </c>
      <c r="L505" t="s">
        <v>74</v>
      </c>
      <c r="M505" t="s">
        <v>78</v>
      </c>
      <c r="N505" t="s">
        <v>79</v>
      </c>
      <c r="O505" t="s">
        <v>74</v>
      </c>
      <c r="P505" t="s">
        <v>74</v>
      </c>
      <c r="Q505" t="s">
        <v>74</v>
      </c>
      <c r="R505" t="s">
        <v>74</v>
      </c>
      <c r="S505" t="s">
        <v>74</v>
      </c>
      <c r="T505" s="1" t="s">
        <v>963</v>
      </c>
      <c r="U505" s="1" t="s">
        <v>74</v>
      </c>
      <c r="V505" s="1" t="s">
        <v>964</v>
      </c>
      <c r="W505" t="s">
        <v>965</v>
      </c>
      <c r="X505" t="s">
        <v>966</v>
      </c>
      <c r="Y505" t="s">
        <v>967</v>
      </c>
      <c r="Z505" t="s">
        <v>968</v>
      </c>
      <c r="AA505" t="s">
        <v>74</v>
      </c>
      <c r="AB505" t="s">
        <v>74</v>
      </c>
      <c r="AC505" t="s">
        <v>74</v>
      </c>
      <c r="AD505" t="s">
        <v>74</v>
      </c>
      <c r="AE505" t="s">
        <v>74</v>
      </c>
      <c r="AF505" t="s">
        <v>74</v>
      </c>
      <c r="AG505">
        <v>32</v>
      </c>
      <c r="AH505">
        <v>0</v>
      </c>
      <c r="AI505">
        <v>0</v>
      </c>
      <c r="AJ505">
        <v>2</v>
      </c>
      <c r="AK505">
        <v>2</v>
      </c>
      <c r="AL505" t="s">
        <v>969</v>
      </c>
      <c r="AM505" t="s">
        <v>970</v>
      </c>
      <c r="AN505" t="s">
        <v>971</v>
      </c>
      <c r="AO505" t="s">
        <v>972</v>
      </c>
      <c r="AP505" t="s">
        <v>973</v>
      </c>
      <c r="AQ505" t="s">
        <v>74</v>
      </c>
      <c r="AR505" t="s">
        <v>974</v>
      </c>
      <c r="AS505" t="s">
        <v>975</v>
      </c>
      <c r="AT505" t="s">
        <v>837</v>
      </c>
      <c r="AU505">
        <v>2023</v>
      </c>
      <c r="AV505">
        <v>18</v>
      </c>
      <c r="AW505" t="s">
        <v>976</v>
      </c>
      <c r="AX505" t="s">
        <v>74</v>
      </c>
      <c r="AY505" t="s">
        <v>74</v>
      </c>
      <c r="AZ505" t="s">
        <v>74</v>
      </c>
      <c r="BA505" t="s">
        <v>74</v>
      </c>
      <c r="BB505">
        <v>253</v>
      </c>
      <c r="BC505">
        <v>260</v>
      </c>
      <c r="BD505" t="s">
        <v>74</v>
      </c>
      <c r="BE505" t="s">
        <v>74</v>
      </c>
      <c r="BF505" t="s">
        <v>74</v>
      </c>
      <c r="BG505" t="s">
        <v>74</v>
      </c>
      <c r="BH505" t="s">
        <v>74</v>
      </c>
      <c r="BI505">
        <v>8</v>
      </c>
      <c r="BJ505" t="s">
        <v>977</v>
      </c>
      <c r="BK505" t="s">
        <v>183</v>
      </c>
      <c r="BL505" t="s">
        <v>977</v>
      </c>
      <c r="BM505" t="s">
        <v>978</v>
      </c>
      <c r="BN505" t="s">
        <v>74</v>
      </c>
      <c r="BO505" t="s">
        <v>74</v>
      </c>
      <c r="BP505" t="s">
        <v>74</v>
      </c>
      <c r="BQ505" t="s">
        <v>74</v>
      </c>
      <c r="BR505" t="s">
        <v>106</v>
      </c>
      <c r="BS505" t="s">
        <v>979</v>
      </c>
      <c r="BT505" t="str">
        <f>HYPERLINK("https%3A%2F%2Fwww.webofscience.com%2Fwos%2Fwoscc%2Ffull-record%2FWOS:001020547500001","View Full Record in Web of Science")</f>
        <v>View Full Record in Web of Science</v>
      </c>
    </row>
    <row r="506" spans="1:72" x14ac:dyDescent="0.25">
      <c r="A506" t="s">
        <v>72</v>
      </c>
      <c r="B506" t="s">
        <v>980</v>
      </c>
      <c r="C506" t="s">
        <v>74</v>
      </c>
      <c r="D506" t="s">
        <v>74</v>
      </c>
      <c r="E506" t="s">
        <v>74</v>
      </c>
      <c r="F506" t="s">
        <v>981</v>
      </c>
      <c r="G506" t="s">
        <v>74</v>
      </c>
      <c r="H506" t="s">
        <v>74</v>
      </c>
      <c r="I506" s="1" t="s">
        <v>982</v>
      </c>
      <c r="J506" t="s">
        <v>983</v>
      </c>
      <c r="K506" t="s">
        <v>74</v>
      </c>
      <c r="L506" t="s">
        <v>74</v>
      </c>
      <c r="M506" t="s">
        <v>78</v>
      </c>
      <c r="N506" t="s">
        <v>79</v>
      </c>
      <c r="O506" t="s">
        <v>74</v>
      </c>
      <c r="P506" t="s">
        <v>74</v>
      </c>
      <c r="Q506" t="s">
        <v>74</v>
      </c>
      <c r="R506" t="s">
        <v>74</v>
      </c>
      <c r="S506" t="s">
        <v>74</v>
      </c>
      <c r="T506" s="1" t="s">
        <v>984</v>
      </c>
      <c r="U506" s="1" t="s">
        <v>985</v>
      </c>
      <c r="V506" s="1" t="s">
        <v>986</v>
      </c>
      <c r="W506" t="s">
        <v>987</v>
      </c>
      <c r="X506" t="s">
        <v>988</v>
      </c>
      <c r="Y506" t="s">
        <v>989</v>
      </c>
      <c r="Z506" t="s">
        <v>990</v>
      </c>
      <c r="AA506" t="s">
        <v>991</v>
      </c>
      <c r="AB506" t="s">
        <v>992</v>
      </c>
      <c r="AC506" t="s">
        <v>74</v>
      </c>
      <c r="AD506" t="s">
        <v>74</v>
      </c>
      <c r="AE506" t="s">
        <v>74</v>
      </c>
      <c r="AF506" t="s">
        <v>74</v>
      </c>
      <c r="AG506">
        <v>51</v>
      </c>
      <c r="AH506">
        <v>0</v>
      </c>
      <c r="AI506">
        <v>0</v>
      </c>
      <c r="AJ506">
        <v>17</v>
      </c>
      <c r="AK506">
        <v>17</v>
      </c>
      <c r="AL506" t="s">
        <v>715</v>
      </c>
      <c r="AM506" t="s">
        <v>716</v>
      </c>
      <c r="AN506" t="s">
        <v>717</v>
      </c>
      <c r="AO506" t="s">
        <v>993</v>
      </c>
      <c r="AP506" t="s">
        <v>994</v>
      </c>
      <c r="AQ506" t="s">
        <v>74</v>
      </c>
      <c r="AR506" t="s">
        <v>995</v>
      </c>
      <c r="AS506" t="s">
        <v>996</v>
      </c>
      <c r="AT506" t="s">
        <v>997</v>
      </c>
      <c r="AU506">
        <v>2023</v>
      </c>
      <c r="AV506">
        <v>51</v>
      </c>
      <c r="AW506">
        <v>13</v>
      </c>
      <c r="AX506" t="s">
        <v>74</v>
      </c>
      <c r="AY506" t="s">
        <v>74</v>
      </c>
      <c r="AZ506" t="s">
        <v>74</v>
      </c>
      <c r="BA506" t="s">
        <v>74</v>
      </c>
      <c r="BB506">
        <v>81</v>
      </c>
      <c r="BC506">
        <v>100</v>
      </c>
      <c r="BD506" t="s">
        <v>74</v>
      </c>
      <c r="BE506" t="s">
        <v>998</v>
      </c>
      <c r="BF506" t="str">
        <f>HYPERLINK("http://dx.doi.org/10.1108/IJRDM-12-2021-0588","http://dx.doi.org/10.1108/IJRDM-12-2021-0588")</f>
        <v>http://dx.doi.org/10.1108/IJRDM-12-2021-0588</v>
      </c>
      <c r="BG506" t="s">
        <v>74</v>
      </c>
      <c r="BH506" t="s">
        <v>74</v>
      </c>
      <c r="BI506">
        <v>20</v>
      </c>
      <c r="BJ506" t="s">
        <v>264</v>
      </c>
      <c r="BK506" t="s">
        <v>156</v>
      </c>
      <c r="BL506" t="s">
        <v>265</v>
      </c>
      <c r="BM506" t="s">
        <v>999</v>
      </c>
      <c r="BN506" t="s">
        <v>74</v>
      </c>
      <c r="BO506" t="s">
        <v>105</v>
      </c>
      <c r="BP506" t="s">
        <v>74</v>
      </c>
      <c r="BQ506" t="s">
        <v>74</v>
      </c>
      <c r="BR506" t="s">
        <v>106</v>
      </c>
      <c r="BS506" t="s">
        <v>1000</v>
      </c>
      <c r="BT506" t="str">
        <f>HYPERLINK("https%3A%2F%2Fwww.webofscience.com%2Fwos%2Fwoscc%2Ffull-record%2FWOS:001019862400001","View Full Record in Web of Science")</f>
        <v>View Full Record in Web of Science</v>
      </c>
    </row>
    <row r="507" spans="1:72" x14ac:dyDescent="0.25">
      <c r="A507" t="s">
        <v>72</v>
      </c>
      <c r="B507" t="s">
        <v>1001</v>
      </c>
      <c r="C507" t="s">
        <v>74</v>
      </c>
      <c r="D507" t="s">
        <v>74</v>
      </c>
      <c r="E507" t="s">
        <v>74</v>
      </c>
      <c r="F507" t="s">
        <v>1002</v>
      </c>
      <c r="G507" t="s">
        <v>74</v>
      </c>
      <c r="H507" t="s">
        <v>74</v>
      </c>
      <c r="I507" s="1" t="s">
        <v>1003</v>
      </c>
      <c r="J507" t="s">
        <v>1004</v>
      </c>
      <c r="K507" t="s">
        <v>74</v>
      </c>
      <c r="L507" t="s">
        <v>74</v>
      </c>
      <c r="M507" t="s">
        <v>78</v>
      </c>
      <c r="N507" t="s">
        <v>79</v>
      </c>
      <c r="O507" t="s">
        <v>74</v>
      </c>
      <c r="P507" t="s">
        <v>74</v>
      </c>
      <c r="Q507" t="s">
        <v>74</v>
      </c>
      <c r="R507" t="s">
        <v>74</v>
      </c>
      <c r="S507" t="s">
        <v>74</v>
      </c>
      <c r="T507" s="1" t="s">
        <v>1005</v>
      </c>
      <c r="U507" s="1" t="s">
        <v>1006</v>
      </c>
      <c r="V507" s="1" t="s">
        <v>1007</v>
      </c>
      <c r="W507" t="s">
        <v>1008</v>
      </c>
      <c r="X507" t="s">
        <v>1009</v>
      </c>
      <c r="Y507" t="s">
        <v>1010</v>
      </c>
      <c r="Z507" t="s">
        <v>1011</v>
      </c>
      <c r="AA507" t="s">
        <v>74</v>
      </c>
      <c r="AB507" t="s">
        <v>1012</v>
      </c>
      <c r="AC507" t="s">
        <v>74</v>
      </c>
      <c r="AD507" t="s">
        <v>74</v>
      </c>
      <c r="AE507" t="s">
        <v>74</v>
      </c>
      <c r="AF507" t="s">
        <v>74</v>
      </c>
      <c r="AG507">
        <v>31</v>
      </c>
      <c r="AH507">
        <v>0</v>
      </c>
      <c r="AI507">
        <v>0</v>
      </c>
      <c r="AJ507">
        <v>4</v>
      </c>
      <c r="AK507">
        <v>4</v>
      </c>
      <c r="AL507" t="s">
        <v>1013</v>
      </c>
      <c r="AM507" t="s">
        <v>493</v>
      </c>
      <c r="AN507" t="s">
        <v>1014</v>
      </c>
      <c r="AO507" t="s">
        <v>1015</v>
      </c>
      <c r="AP507" t="s">
        <v>1016</v>
      </c>
      <c r="AQ507" t="s">
        <v>74</v>
      </c>
      <c r="AR507" t="s">
        <v>1017</v>
      </c>
      <c r="AS507" t="s">
        <v>1018</v>
      </c>
      <c r="AT507" t="s">
        <v>1019</v>
      </c>
      <c r="AU507">
        <v>2023</v>
      </c>
      <c r="AV507">
        <v>14</v>
      </c>
      <c r="AW507">
        <v>4</v>
      </c>
      <c r="AX507" t="s">
        <v>74</v>
      </c>
      <c r="AY507" t="s">
        <v>74</v>
      </c>
      <c r="AZ507" t="s">
        <v>1020</v>
      </c>
      <c r="BA507" t="s">
        <v>74</v>
      </c>
      <c r="BB507">
        <v>429</v>
      </c>
      <c r="BC507">
        <v>448</v>
      </c>
      <c r="BD507" t="s">
        <v>74</v>
      </c>
      <c r="BE507" t="s">
        <v>1021</v>
      </c>
      <c r="BF507" t="str">
        <f>HYPERLINK("http://dx.doi.org/10.1080/20932685.2023.2214164","http://dx.doi.org/10.1080/20932685.2023.2214164")</f>
        <v>http://dx.doi.org/10.1080/20932685.2023.2214164</v>
      </c>
      <c r="BG507" t="s">
        <v>74</v>
      </c>
      <c r="BH507" t="s">
        <v>1022</v>
      </c>
      <c r="BI507">
        <v>20</v>
      </c>
      <c r="BJ507" t="s">
        <v>1023</v>
      </c>
      <c r="BK507" t="s">
        <v>183</v>
      </c>
      <c r="BL507" t="s">
        <v>265</v>
      </c>
      <c r="BM507" t="s">
        <v>1024</v>
      </c>
      <c r="BN507" t="s">
        <v>74</v>
      </c>
      <c r="BO507" t="s">
        <v>74</v>
      </c>
      <c r="BP507" t="s">
        <v>74</v>
      </c>
      <c r="BQ507" t="s">
        <v>74</v>
      </c>
      <c r="BR507" t="s">
        <v>106</v>
      </c>
      <c r="BS507" t="s">
        <v>1025</v>
      </c>
      <c r="BT507" t="str">
        <f>HYPERLINK("https%3A%2F%2Fwww.webofscience.com%2Fwos%2Fwoscc%2Ffull-record%2FWOS:001016606200001","View Full Record in Web of Science")</f>
        <v>View Full Record in Web of Science</v>
      </c>
    </row>
    <row r="508" spans="1:72" x14ac:dyDescent="0.25">
      <c r="A508" t="s">
        <v>72</v>
      </c>
      <c r="B508" t="s">
        <v>1026</v>
      </c>
      <c r="C508" t="s">
        <v>74</v>
      </c>
      <c r="D508" t="s">
        <v>74</v>
      </c>
      <c r="E508" t="s">
        <v>74</v>
      </c>
      <c r="F508" t="s">
        <v>1027</v>
      </c>
      <c r="G508" t="s">
        <v>74</v>
      </c>
      <c r="H508" t="s">
        <v>74</v>
      </c>
      <c r="I508" s="1" t="s">
        <v>1028</v>
      </c>
      <c r="J508" t="s">
        <v>1029</v>
      </c>
      <c r="K508" t="s">
        <v>74</v>
      </c>
      <c r="L508" t="s">
        <v>74</v>
      </c>
      <c r="M508" t="s">
        <v>1030</v>
      </c>
      <c r="N508" t="s">
        <v>112</v>
      </c>
      <c r="O508" t="s">
        <v>74</v>
      </c>
      <c r="P508" t="s">
        <v>74</v>
      </c>
      <c r="Q508" t="s">
        <v>74</v>
      </c>
      <c r="R508" t="s">
        <v>74</v>
      </c>
      <c r="S508" t="s">
        <v>74</v>
      </c>
      <c r="T508" s="1" t="s">
        <v>1031</v>
      </c>
      <c r="U508" s="1" t="s">
        <v>74</v>
      </c>
      <c r="V508" s="1" t="s">
        <v>1032</v>
      </c>
      <c r="W508" t="s">
        <v>1033</v>
      </c>
      <c r="X508" t="s">
        <v>1034</v>
      </c>
      <c r="Y508" t="s">
        <v>1035</v>
      </c>
      <c r="Z508" t="s">
        <v>1036</v>
      </c>
      <c r="AA508" t="s">
        <v>74</v>
      </c>
      <c r="AB508" t="s">
        <v>74</v>
      </c>
      <c r="AC508" t="s">
        <v>74</v>
      </c>
      <c r="AD508" t="s">
        <v>74</v>
      </c>
      <c r="AE508" t="s">
        <v>74</v>
      </c>
      <c r="AF508" t="s">
        <v>74</v>
      </c>
      <c r="AG508">
        <v>25</v>
      </c>
      <c r="AH508">
        <v>0</v>
      </c>
      <c r="AI508">
        <v>0</v>
      </c>
      <c r="AJ508">
        <v>0</v>
      </c>
      <c r="AK508">
        <v>0</v>
      </c>
      <c r="AL508" t="s">
        <v>121</v>
      </c>
      <c r="AM508" t="s">
        <v>122</v>
      </c>
      <c r="AN508" t="s">
        <v>123</v>
      </c>
      <c r="AO508" t="s">
        <v>1037</v>
      </c>
      <c r="AP508" t="s">
        <v>1038</v>
      </c>
      <c r="AQ508" t="s">
        <v>74</v>
      </c>
      <c r="AR508" t="s">
        <v>1029</v>
      </c>
      <c r="AS508" t="s">
        <v>1039</v>
      </c>
      <c r="AT508" t="s">
        <v>1040</v>
      </c>
      <c r="AU508">
        <v>2023</v>
      </c>
      <c r="AV508" t="s">
        <v>74</v>
      </c>
      <c r="AW508" t="s">
        <v>74</v>
      </c>
      <c r="AX508" t="s">
        <v>74</v>
      </c>
      <c r="AY508" t="s">
        <v>74</v>
      </c>
      <c r="AZ508" t="s">
        <v>74</v>
      </c>
      <c r="BA508" t="s">
        <v>74</v>
      </c>
      <c r="BB508" t="s">
        <v>74</v>
      </c>
      <c r="BC508" t="s">
        <v>74</v>
      </c>
      <c r="BD508" t="s">
        <v>74</v>
      </c>
      <c r="BE508" t="s">
        <v>1041</v>
      </c>
      <c r="BF508" t="str">
        <f>HYPERLINK("http://dx.doi.org/10.1007/s00132-023-04395-1","http://dx.doi.org/10.1007/s00132-023-04395-1")</f>
        <v>http://dx.doi.org/10.1007/s00132-023-04395-1</v>
      </c>
      <c r="BG508" t="s">
        <v>74</v>
      </c>
      <c r="BH508" t="s">
        <v>1022</v>
      </c>
      <c r="BI508">
        <v>8</v>
      </c>
      <c r="BJ508" t="s">
        <v>1042</v>
      </c>
      <c r="BK508" t="s">
        <v>102</v>
      </c>
      <c r="BL508" t="s">
        <v>1042</v>
      </c>
      <c r="BM508" t="s">
        <v>1043</v>
      </c>
      <c r="BN508">
        <v>37347272</v>
      </c>
      <c r="BO508" t="s">
        <v>74</v>
      </c>
      <c r="BP508" t="s">
        <v>74</v>
      </c>
      <c r="BQ508" t="s">
        <v>74</v>
      </c>
      <c r="BR508" t="s">
        <v>106</v>
      </c>
      <c r="BS508" t="s">
        <v>1044</v>
      </c>
      <c r="BT508" t="str">
        <f>HYPERLINK("https%3A%2F%2Fwww.webofscience.com%2Fwos%2Fwoscc%2Ffull-record%2FWOS:001019315200001","View Full Record in Web of Science")</f>
        <v>View Full Record in Web of Science</v>
      </c>
    </row>
    <row r="509" spans="1:72" x14ac:dyDescent="0.25">
      <c r="A509" t="s">
        <v>72</v>
      </c>
      <c r="B509" t="s">
        <v>1045</v>
      </c>
      <c r="C509" t="s">
        <v>74</v>
      </c>
      <c r="D509" t="s">
        <v>74</v>
      </c>
      <c r="E509" t="s">
        <v>74</v>
      </c>
      <c r="F509" t="s">
        <v>1046</v>
      </c>
      <c r="G509" t="s">
        <v>74</v>
      </c>
      <c r="H509" t="s">
        <v>74</v>
      </c>
      <c r="I509" s="1" t="s">
        <v>1047</v>
      </c>
      <c r="J509" t="s">
        <v>163</v>
      </c>
      <c r="K509" t="s">
        <v>74</v>
      </c>
      <c r="L509" t="s">
        <v>74</v>
      </c>
      <c r="M509" t="s">
        <v>78</v>
      </c>
      <c r="N509" t="s">
        <v>79</v>
      </c>
      <c r="O509" t="s">
        <v>74</v>
      </c>
      <c r="P509" t="s">
        <v>74</v>
      </c>
      <c r="Q509" t="s">
        <v>74</v>
      </c>
      <c r="R509" t="s">
        <v>74</v>
      </c>
      <c r="S509" t="s">
        <v>74</v>
      </c>
      <c r="T509" s="1" t="s">
        <v>1048</v>
      </c>
      <c r="U509" s="1" t="s">
        <v>1049</v>
      </c>
      <c r="V509" s="1" t="s">
        <v>1050</v>
      </c>
      <c r="W509" t="s">
        <v>1051</v>
      </c>
      <c r="X509" t="s">
        <v>1052</v>
      </c>
      <c r="Y509" t="s">
        <v>1053</v>
      </c>
      <c r="Z509" t="s">
        <v>1054</v>
      </c>
      <c r="AA509" t="s">
        <v>74</v>
      </c>
      <c r="AB509" t="s">
        <v>1055</v>
      </c>
      <c r="AC509" t="s">
        <v>1056</v>
      </c>
      <c r="AD509" t="s">
        <v>1057</v>
      </c>
      <c r="AE509" t="s">
        <v>1058</v>
      </c>
      <c r="AF509" t="s">
        <v>74</v>
      </c>
      <c r="AG509">
        <v>47</v>
      </c>
      <c r="AH509">
        <v>0</v>
      </c>
      <c r="AI509">
        <v>0</v>
      </c>
      <c r="AJ509">
        <v>0</v>
      </c>
      <c r="AK509">
        <v>0</v>
      </c>
      <c r="AL509" t="s">
        <v>174</v>
      </c>
      <c r="AM509" t="s">
        <v>175</v>
      </c>
      <c r="AN509" t="s">
        <v>176</v>
      </c>
      <c r="AO509" t="s">
        <v>74</v>
      </c>
      <c r="AP509" t="s">
        <v>177</v>
      </c>
      <c r="AQ509" t="s">
        <v>74</v>
      </c>
      <c r="AR509" t="s">
        <v>178</v>
      </c>
      <c r="AS509" t="s">
        <v>179</v>
      </c>
      <c r="AT509" t="s">
        <v>1059</v>
      </c>
      <c r="AU509">
        <v>2023</v>
      </c>
      <c r="AV509">
        <v>9</v>
      </c>
      <c r="AW509">
        <v>1</v>
      </c>
      <c r="AX509" t="s">
        <v>74</v>
      </c>
      <c r="AY509" t="s">
        <v>74</v>
      </c>
      <c r="AZ509" t="s">
        <v>74</v>
      </c>
      <c r="BA509" t="s">
        <v>74</v>
      </c>
      <c r="BB509" t="s">
        <v>74</v>
      </c>
      <c r="BC509" t="s">
        <v>74</v>
      </c>
      <c r="BD509">
        <v>104</v>
      </c>
      <c r="BE509" t="s">
        <v>1060</v>
      </c>
      <c r="BF509" t="str">
        <f>HYPERLINK("http://dx.doi.org/10.1186/s40814-023-01336-9","http://dx.doi.org/10.1186/s40814-023-01336-9")</f>
        <v>http://dx.doi.org/10.1186/s40814-023-01336-9</v>
      </c>
      <c r="BG509" t="s">
        <v>74</v>
      </c>
      <c r="BH509" t="s">
        <v>74</v>
      </c>
      <c r="BI509">
        <v>10</v>
      </c>
      <c r="BJ509" t="s">
        <v>182</v>
      </c>
      <c r="BK509" t="s">
        <v>183</v>
      </c>
      <c r="BL509" t="s">
        <v>184</v>
      </c>
      <c r="BM509" t="s">
        <v>1061</v>
      </c>
      <c r="BN509">
        <v>37349825</v>
      </c>
      <c r="BO509" t="s">
        <v>422</v>
      </c>
      <c r="BP509" t="s">
        <v>74</v>
      </c>
      <c r="BQ509" t="s">
        <v>74</v>
      </c>
      <c r="BR509" t="s">
        <v>106</v>
      </c>
      <c r="BS509" t="s">
        <v>1062</v>
      </c>
      <c r="BT509" t="str">
        <f>HYPERLINK("https%3A%2F%2Fwww.webofscience.com%2Fwos%2Fwoscc%2Ffull-record%2FWOS:001018461900002","View Full Record in Web of Science")</f>
        <v>View Full Record in Web of Science</v>
      </c>
    </row>
    <row r="510" spans="1:72" x14ac:dyDescent="0.25">
      <c r="A510" t="s">
        <v>72</v>
      </c>
      <c r="B510" t="s">
        <v>1063</v>
      </c>
      <c r="C510" t="s">
        <v>74</v>
      </c>
      <c r="D510" t="s">
        <v>74</v>
      </c>
      <c r="E510" t="s">
        <v>74</v>
      </c>
      <c r="F510" t="s">
        <v>1064</v>
      </c>
      <c r="G510" t="s">
        <v>74</v>
      </c>
      <c r="H510" t="s">
        <v>74</v>
      </c>
      <c r="I510" s="1" t="s">
        <v>1065</v>
      </c>
      <c r="J510" t="s">
        <v>1066</v>
      </c>
      <c r="K510" t="s">
        <v>74</v>
      </c>
      <c r="L510" t="s">
        <v>74</v>
      </c>
      <c r="M510" t="s">
        <v>78</v>
      </c>
      <c r="N510" t="s">
        <v>79</v>
      </c>
      <c r="O510" t="s">
        <v>74</v>
      </c>
      <c r="P510" t="s">
        <v>74</v>
      </c>
      <c r="Q510" t="s">
        <v>74</v>
      </c>
      <c r="R510" t="s">
        <v>74</v>
      </c>
      <c r="S510" t="s">
        <v>74</v>
      </c>
      <c r="T510" s="1" t="s">
        <v>1067</v>
      </c>
      <c r="U510" s="1" t="s">
        <v>1068</v>
      </c>
      <c r="V510" s="1" t="s">
        <v>1069</v>
      </c>
      <c r="W510" t="s">
        <v>1070</v>
      </c>
      <c r="X510" t="s">
        <v>1071</v>
      </c>
      <c r="Y510" t="s">
        <v>1072</v>
      </c>
      <c r="Z510" t="s">
        <v>1073</v>
      </c>
      <c r="AA510" t="s">
        <v>74</v>
      </c>
      <c r="AB510" t="s">
        <v>74</v>
      </c>
      <c r="AC510" t="s">
        <v>74</v>
      </c>
      <c r="AD510" t="s">
        <v>74</v>
      </c>
      <c r="AE510" t="s">
        <v>74</v>
      </c>
      <c r="AF510" t="s">
        <v>74</v>
      </c>
      <c r="AG510">
        <v>88</v>
      </c>
      <c r="AH510">
        <v>0</v>
      </c>
      <c r="AI510">
        <v>0</v>
      </c>
      <c r="AJ510">
        <v>6</v>
      </c>
      <c r="AK510">
        <v>6</v>
      </c>
      <c r="AL510" t="s">
        <v>1074</v>
      </c>
      <c r="AM510" t="s">
        <v>1075</v>
      </c>
      <c r="AN510" t="s">
        <v>1076</v>
      </c>
      <c r="AO510" t="s">
        <v>1077</v>
      </c>
      <c r="AP510" t="s">
        <v>1078</v>
      </c>
      <c r="AQ510" t="s">
        <v>74</v>
      </c>
      <c r="AR510" t="s">
        <v>1079</v>
      </c>
      <c r="AS510" t="s">
        <v>1080</v>
      </c>
      <c r="AT510" t="s">
        <v>356</v>
      </c>
      <c r="AU510">
        <v>2023</v>
      </c>
      <c r="AV510">
        <v>51</v>
      </c>
      <c r="AW510">
        <v>5</v>
      </c>
      <c r="AX510" t="s">
        <v>74</v>
      </c>
      <c r="AY510" t="s">
        <v>74</v>
      </c>
      <c r="AZ510" t="s">
        <v>74</v>
      </c>
      <c r="BA510" t="s">
        <v>74</v>
      </c>
      <c r="BB510">
        <v>570</v>
      </c>
      <c r="BC510">
        <v>587</v>
      </c>
      <c r="BD510" t="s">
        <v>74</v>
      </c>
      <c r="BE510" t="s">
        <v>1081</v>
      </c>
      <c r="BF510" t="str">
        <f>HYPERLINK("http://dx.doi.org/10.1177/1532673X231184434","http://dx.doi.org/10.1177/1532673X231184434")</f>
        <v>http://dx.doi.org/10.1177/1532673X231184434</v>
      </c>
      <c r="BG510" t="s">
        <v>74</v>
      </c>
      <c r="BH510" t="s">
        <v>1022</v>
      </c>
      <c r="BI510">
        <v>18</v>
      </c>
      <c r="BJ510" t="s">
        <v>1082</v>
      </c>
      <c r="BK510" t="s">
        <v>156</v>
      </c>
      <c r="BL510" t="s">
        <v>379</v>
      </c>
      <c r="BM510" t="s">
        <v>1083</v>
      </c>
      <c r="BN510" t="s">
        <v>74</v>
      </c>
      <c r="BO510" t="s">
        <v>74</v>
      </c>
      <c r="BP510" t="s">
        <v>74</v>
      </c>
      <c r="BQ510" t="s">
        <v>74</v>
      </c>
      <c r="BR510" t="s">
        <v>106</v>
      </c>
      <c r="BS510" t="s">
        <v>1084</v>
      </c>
      <c r="BT510" t="str">
        <f>HYPERLINK("https%3A%2F%2Fwww.webofscience.com%2Fwos%2Fwoscc%2Ffull-record%2FWOS:001009298700001","View Full Record in Web of Science")</f>
        <v>View Full Record in Web of Science</v>
      </c>
    </row>
    <row r="511" spans="1:72" x14ac:dyDescent="0.25">
      <c r="A511" t="s">
        <v>72</v>
      </c>
      <c r="B511" t="s">
        <v>1105</v>
      </c>
      <c r="C511" t="s">
        <v>74</v>
      </c>
      <c r="D511" t="s">
        <v>74</v>
      </c>
      <c r="E511" t="s">
        <v>74</v>
      </c>
      <c r="F511" t="s">
        <v>1106</v>
      </c>
      <c r="G511" t="s">
        <v>74</v>
      </c>
      <c r="H511" t="s">
        <v>74</v>
      </c>
      <c r="I511" s="1" t="s">
        <v>1107</v>
      </c>
      <c r="J511" t="s">
        <v>1108</v>
      </c>
      <c r="K511" t="s">
        <v>74</v>
      </c>
      <c r="L511" t="s">
        <v>74</v>
      </c>
      <c r="M511" t="s">
        <v>78</v>
      </c>
      <c r="N511" t="s">
        <v>79</v>
      </c>
      <c r="O511" t="s">
        <v>74</v>
      </c>
      <c r="P511" t="s">
        <v>74</v>
      </c>
      <c r="Q511" t="s">
        <v>74</v>
      </c>
      <c r="R511" t="s">
        <v>74</v>
      </c>
      <c r="S511" t="s">
        <v>74</v>
      </c>
      <c r="T511" s="1" t="s">
        <v>1109</v>
      </c>
      <c r="U511" s="1" t="s">
        <v>1110</v>
      </c>
      <c r="V511" s="1" t="s">
        <v>1111</v>
      </c>
      <c r="W511" t="s">
        <v>1112</v>
      </c>
      <c r="X511" t="s">
        <v>1113</v>
      </c>
      <c r="Y511" t="s">
        <v>1114</v>
      </c>
      <c r="Z511" t="s">
        <v>1115</v>
      </c>
      <c r="AA511" t="s">
        <v>74</v>
      </c>
      <c r="AB511" t="s">
        <v>1116</v>
      </c>
      <c r="AC511" t="s">
        <v>74</v>
      </c>
      <c r="AD511" t="s">
        <v>74</v>
      </c>
      <c r="AE511" t="s">
        <v>74</v>
      </c>
      <c r="AF511" t="s">
        <v>74</v>
      </c>
      <c r="AG511">
        <v>77</v>
      </c>
      <c r="AH511">
        <v>0</v>
      </c>
      <c r="AI511">
        <v>0</v>
      </c>
      <c r="AJ511">
        <v>2</v>
      </c>
      <c r="AK511">
        <v>2</v>
      </c>
      <c r="AL511" t="s">
        <v>715</v>
      </c>
      <c r="AM511" t="s">
        <v>716</v>
      </c>
      <c r="AN511" t="s">
        <v>717</v>
      </c>
      <c r="AO511" t="s">
        <v>1117</v>
      </c>
      <c r="AP511" t="s">
        <v>1118</v>
      </c>
      <c r="AQ511" t="s">
        <v>74</v>
      </c>
      <c r="AR511" t="s">
        <v>1119</v>
      </c>
      <c r="AS511" t="s">
        <v>1120</v>
      </c>
      <c r="AT511" t="s">
        <v>1121</v>
      </c>
      <c r="AU511">
        <v>2023</v>
      </c>
      <c r="AV511">
        <v>40</v>
      </c>
      <c r="AW511">
        <v>4</v>
      </c>
      <c r="AX511" t="s">
        <v>74</v>
      </c>
      <c r="AY511" t="s">
        <v>74</v>
      </c>
      <c r="AZ511" t="s">
        <v>1020</v>
      </c>
      <c r="BA511" t="s">
        <v>74</v>
      </c>
      <c r="BB511">
        <v>606</v>
      </c>
      <c r="BC511">
        <v>624</v>
      </c>
      <c r="BD511" t="s">
        <v>74</v>
      </c>
      <c r="BE511" t="s">
        <v>1122</v>
      </c>
      <c r="BF511" t="str">
        <f>HYPERLINK("http://dx.doi.org/10.1108/SEF-12-2022-0554","http://dx.doi.org/10.1108/SEF-12-2022-0554")</f>
        <v>http://dx.doi.org/10.1108/SEF-12-2022-0554</v>
      </c>
      <c r="BG511" t="s">
        <v>74</v>
      </c>
      <c r="BH511" t="s">
        <v>1022</v>
      </c>
      <c r="BI511">
        <v>19</v>
      </c>
      <c r="BJ511" t="s">
        <v>479</v>
      </c>
      <c r="BK511" t="s">
        <v>183</v>
      </c>
      <c r="BL511" t="s">
        <v>265</v>
      </c>
      <c r="BM511" t="s">
        <v>1123</v>
      </c>
      <c r="BN511" t="s">
        <v>74</v>
      </c>
      <c r="BO511" t="s">
        <v>74</v>
      </c>
      <c r="BP511" t="s">
        <v>74</v>
      </c>
      <c r="BQ511" t="s">
        <v>74</v>
      </c>
      <c r="BR511" t="s">
        <v>106</v>
      </c>
      <c r="BS511" t="s">
        <v>1124</v>
      </c>
      <c r="BT511" t="str">
        <f>HYPERLINK("https%3A%2F%2Fwww.webofscience.com%2Fwos%2Fwoscc%2Ffull-record%2FWOS:000998454700001","View Full Record in Web of Science")</f>
        <v>View Full Record in Web of Science</v>
      </c>
    </row>
    <row r="512" spans="1:72" x14ac:dyDescent="0.25">
      <c r="A512" t="s">
        <v>72</v>
      </c>
      <c r="B512" t="s">
        <v>1125</v>
      </c>
      <c r="C512" t="s">
        <v>74</v>
      </c>
      <c r="D512" t="s">
        <v>74</v>
      </c>
      <c r="E512" t="s">
        <v>74</v>
      </c>
      <c r="F512" t="s">
        <v>1126</v>
      </c>
      <c r="G512" t="s">
        <v>74</v>
      </c>
      <c r="H512" t="s">
        <v>74</v>
      </c>
      <c r="I512" s="1" t="s">
        <v>1127</v>
      </c>
      <c r="J512" t="s">
        <v>1128</v>
      </c>
      <c r="K512" t="s">
        <v>74</v>
      </c>
      <c r="L512" t="s">
        <v>74</v>
      </c>
      <c r="M512" t="s">
        <v>78</v>
      </c>
      <c r="N512" t="s">
        <v>79</v>
      </c>
      <c r="O512" t="s">
        <v>74</v>
      </c>
      <c r="P512" t="s">
        <v>74</v>
      </c>
      <c r="Q512" t="s">
        <v>74</v>
      </c>
      <c r="R512" t="s">
        <v>74</v>
      </c>
      <c r="S512" t="s">
        <v>74</v>
      </c>
      <c r="T512" s="1" t="s">
        <v>1129</v>
      </c>
      <c r="U512" s="1" t="s">
        <v>1130</v>
      </c>
      <c r="V512" s="1" t="s">
        <v>1131</v>
      </c>
      <c r="W512" t="s">
        <v>1132</v>
      </c>
      <c r="X512" t="s">
        <v>74</v>
      </c>
      <c r="Y512" t="s">
        <v>1133</v>
      </c>
      <c r="Z512" t="s">
        <v>1134</v>
      </c>
      <c r="AA512" t="s">
        <v>74</v>
      </c>
      <c r="AB512" t="s">
        <v>1135</v>
      </c>
      <c r="AC512" t="s">
        <v>74</v>
      </c>
      <c r="AD512" t="s">
        <v>74</v>
      </c>
      <c r="AE512" t="s">
        <v>74</v>
      </c>
      <c r="AF512" t="s">
        <v>74</v>
      </c>
      <c r="AG512">
        <v>125</v>
      </c>
      <c r="AH512">
        <v>0</v>
      </c>
      <c r="AI512">
        <v>0</v>
      </c>
      <c r="AJ512">
        <v>5</v>
      </c>
      <c r="AK512">
        <v>5</v>
      </c>
      <c r="AL512" t="s">
        <v>202</v>
      </c>
      <c r="AM512" t="s">
        <v>203</v>
      </c>
      <c r="AN512" t="s">
        <v>204</v>
      </c>
      <c r="AO512" t="s">
        <v>74</v>
      </c>
      <c r="AP512" t="s">
        <v>1136</v>
      </c>
      <c r="AQ512" t="s">
        <v>74</v>
      </c>
      <c r="AR512" t="s">
        <v>1128</v>
      </c>
      <c r="AS512" t="s">
        <v>1137</v>
      </c>
      <c r="AT512" t="s">
        <v>1138</v>
      </c>
      <c r="AU512">
        <v>2023</v>
      </c>
      <c r="AV512">
        <v>11</v>
      </c>
      <c r="AW512">
        <v>6</v>
      </c>
      <c r="AX512" t="s">
        <v>74</v>
      </c>
      <c r="AY512" t="s">
        <v>74</v>
      </c>
      <c r="AZ512" t="s">
        <v>74</v>
      </c>
      <c r="BA512" t="s">
        <v>74</v>
      </c>
      <c r="BB512" t="s">
        <v>74</v>
      </c>
      <c r="BC512" t="s">
        <v>74</v>
      </c>
      <c r="BD512">
        <v>106</v>
      </c>
      <c r="BE512" t="s">
        <v>1139</v>
      </c>
      <c r="BF512" t="str">
        <f>HYPERLINK("http://dx.doi.org/10.3390/risks11060106","http://dx.doi.org/10.3390/risks11060106")</f>
        <v>http://dx.doi.org/10.3390/risks11060106</v>
      </c>
      <c r="BG512" t="s">
        <v>74</v>
      </c>
      <c r="BH512" t="s">
        <v>74</v>
      </c>
      <c r="BI512">
        <v>23</v>
      </c>
      <c r="BJ512" t="s">
        <v>479</v>
      </c>
      <c r="BK512" t="s">
        <v>183</v>
      </c>
      <c r="BL512" t="s">
        <v>265</v>
      </c>
      <c r="BM512" t="s">
        <v>1140</v>
      </c>
      <c r="BN512" t="s">
        <v>74</v>
      </c>
      <c r="BO512" t="s">
        <v>186</v>
      </c>
      <c r="BP512" t="s">
        <v>74</v>
      </c>
      <c r="BQ512" t="s">
        <v>74</v>
      </c>
      <c r="BR512" t="s">
        <v>106</v>
      </c>
      <c r="BS512" t="s">
        <v>1141</v>
      </c>
      <c r="BT512" t="str">
        <f>HYPERLINK("https%3A%2F%2Fwww.webofscience.com%2Fwos%2Fwoscc%2Ffull-record%2FWOS:001015841000001","View Full Record in Web of Science")</f>
        <v>View Full Record in Web of Science</v>
      </c>
    </row>
    <row r="513" spans="1:72" x14ac:dyDescent="0.25">
      <c r="A513" t="s">
        <v>72</v>
      </c>
      <c r="B513" t="s">
        <v>1142</v>
      </c>
      <c r="C513" t="s">
        <v>74</v>
      </c>
      <c r="D513" t="s">
        <v>74</v>
      </c>
      <c r="E513" t="s">
        <v>74</v>
      </c>
      <c r="F513" t="s">
        <v>1143</v>
      </c>
      <c r="G513" t="s">
        <v>74</v>
      </c>
      <c r="H513" t="s">
        <v>74</v>
      </c>
      <c r="I513" s="1" t="s">
        <v>1144</v>
      </c>
      <c r="J513" t="s">
        <v>1145</v>
      </c>
      <c r="K513" t="s">
        <v>74</v>
      </c>
      <c r="L513" t="s">
        <v>74</v>
      </c>
      <c r="M513" t="s">
        <v>78</v>
      </c>
      <c r="N513" t="s">
        <v>79</v>
      </c>
      <c r="O513" t="s">
        <v>74</v>
      </c>
      <c r="P513" t="s">
        <v>74</v>
      </c>
      <c r="Q513" t="s">
        <v>74</v>
      </c>
      <c r="R513" t="s">
        <v>74</v>
      </c>
      <c r="S513" t="s">
        <v>74</v>
      </c>
      <c r="T513" s="1" t="s">
        <v>1146</v>
      </c>
      <c r="U513" s="1" t="s">
        <v>1147</v>
      </c>
      <c r="V513" s="1" t="s">
        <v>1148</v>
      </c>
      <c r="W513" t="s">
        <v>1149</v>
      </c>
      <c r="X513" t="s">
        <v>1150</v>
      </c>
      <c r="Y513" t="s">
        <v>1151</v>
      </c>
      <c r="Z513" t="s">
        <v>1152</v>
      </c>
      <c r="AA513" t="s">
        <v>74</v>
      </c>
      <c r="AB513" t="s">
        <v>1153</v>
      </c>
      <c r="AC513" t="s">
        <v>74</v>
      </c>
      <c r="AD513" t="s">
        <v>74</v>
      </c>
      <c r="AE513" t="s">
        <v>74</v>
      </c>
      <c r="AF513" t="s">
        <v>74</v>
      </c>
      <c r="AG513">
        <v>73</v>
      </c>
      <c r="AH513">
        <v>0</v>
      </c>
      <c r="AI513">
        <v>0</v>
      </c>
      <c r="AJ513">
        <v>5</v>
      </c>
      <c r="AK513">
        <v>5</v>
      </c>
      <c r="AL513" t="s">
        <v>1154</v>
      </c>
      <c r="AM513" t="s">
        <v>1155</v>
      </c>
      <c r="AN513" t="s">
        <v>1156</v>
      </c>
      <c r="AO513" t="s">
        <v>1157</v>
      </c>
      <c r="AP513" t="s">
        <v>1158</v>
      </c>
      <c r="AQ513" t="s">
        <v>74</v>
      </c>
      <c r="AR513" t="s">
        <v>1159</v>
      </c>
      <c r="AS513" t="s">
        <v>1160</v>
      </c>
      <c r="AT513" t="s">
        <v>1138</v>
      </c>
      <c r="AU513">
        <v>2023</v>
      </c>
      <c r="AV513">
        <v>28</v>
      </c>
      <c r="AW513">
        <v>1</v>
      </c>
      <c r="AX513" t="s">
        <v>74</v>
      </c>
      <c r="AY513" t="s">
        <v>74</v>
      </c>
      <c r="AZ513" t="s">
        <v>74</v>
      </c>
      <c r="BA513" t="s">
        <v>74</v>
      </c>
      <c r="BB513">
        <v>211</v>
      </c>
      <c r="BC513">
        <v>226</v>
      </c>
      <c r="BD513" t="s">
        <v>74</v>
      </c>
      <c r="BE513" t="s">
        <v>1161</v>
      </c>
      <c r="BF513" t="str">
        <f>HYPERLINK("http://dx.doi.org/10.30924/mjcmi.28.1.14","http://dx.doi.org/10.30924/mjcmi.28.1.14")</f>
        <v>http://dx.doi.org/10.30924/mjcmi.28.1.14</v>
      </c>
      <c r="BG513" t="s">
        <v>74</v>
      </c>
      <c r="BH513" t="s">
        <v>74</v>
      </c>
      <c r="BI513">
        <v>16</v>
      </c>
      <c r="BJ513" t="s">
        <v>315</v>
      </c>
      <c r="BK513" t="s">
        <v>183</v>
      </c>
      <c r="BL513" t="s">
        <v>265</v>
      </c>
      <c r="BM513" t="s">
        <v>1162</v>
      </c>
      <c r="BN513" t="s">
        <v>74</v>
      </c>
      <c r="BO513" t="s">
        <v>186</v>
      </c>
      <c r="BP513" t="s">
        <v>74</v>
      </c>
      <c r="BQ513" t="s">
        <v>74</v>
      </c>
      <c r="BR513" t="s">
        <v>106</v>
      </c>
      <c r="BS513" t="s">
        <v>1163</v>
      </c>
      <c r="BT513" t="str">
        <f>HYPERLINK("https%3A%2F%2Fwww.webofscience.com%2Fwos%2Fwoscc%2Ffull-record%2FWOS:001022810800005","View Full Record in Web of Science")</f>
        <v>View Full Record in Web of Science</v>
      </c>
    </row>
    <row r="514" spans="1:72" x14ac:dyDescent="0.25">
      <c r="A514" t="s">
        <v>72</v>
      </c>
      <c r="B514" t="s">
        <v>1164</v>
      </c>
      <c r="C514" t="s">
        <v>74</v>
      </c>
      <c r="D514" t="s">
        <v>74</v>
      </c>
      <c r="E514" t="s">
        <v>74</v>
      </c>
      <c r="F514" t="s">
        <v>1165</v>
      </c>
      <c r="G514" t="s">
        <v>74</v>
      </c>
      <c r="H514" t="s">
        <v>74</v>
      </c>
      <c r="I514" s="1" t="s">
        <v>1166</v>
      </c>
      <c r="J514" t="s">
        <v>1167</v>
      </c>
      <c r="K514" t="s">
        <v>74</v>
      </c>
      <c r="L514" t="s">
        <v>74</v>
      </c>
      <c r="M514" t="s">
        <v>78</v>
      </c>
      <c r="N514" t="s">
        <v>112</v>
      </c>
      <c r="O514" t="s">
        <v>74</v>
      </c>
      <c r="P514" t="s">
        <v>74</v>
      </c>
      <c r="Q514" t="s">
        <v>74</v>
      </c>
      <c r="R514" t="s">
        <v>74</v>
      </c>
      <c r="S514" t="s">
        <v>74</v>
      </c>
      <c r="T514" s="1" t="s">
        <v>1168</v>
      </c>
      <c r="U514" s="1" t="s">
        <v>1169</v>
      </c>
      <c r="V514" s="1" t="s">
        <v>1170</v>
      </c>
      <c r="W514" t="s">
        <v>1171</v>
      </c>
      <c r="X514" t="s">
        <v>1172</v>
      </c>
      <c r="Y514" t="s">
        <v>1173</v>
      </c>
      <c r="Z514" t="s">
        <v>1174</v>
      </c>
      <c r="AA514" t="s">
        <v>74</v>
      </c>
      <c r="AB514" t="s">
        <v>74</v>
      </c>
      <c r="AC514" t="s">
        <v>74</v>
      </c>
      <c r="AD514" t="s">
        <v>74</v>
      </c>
      <c r="AE514" t="s">
        <v>74</v>
      </c>
      <c r="AF514" t="s">
        <v>74</v>
      </c>
      <c r="AG514">
        <v>48</v>
      </c>
      <c r="AH514">
        <v>0</v>
      </c>
      <c r="AI514">
        <v>0</v>
      </c>
      <c r="AJ514">
        <v>20</v>
      </c>
      <c r="AK514">
        <v>20</v>
      </c>
      <c r="AL514" t="s">
        <v>492</v>
      </c>
      <c r="AM514" t="s">
        <v>493</v>
      </c>
      <c r="AN514" t="s">
        <v>494</v>
      </c>
      <c r="AO514" t="s">
        <v>1175</v>
      </c>
      <c r="AP514" t="s">
        <v>1176</v>
      </c>
      <c r="AQ514" t="s">
        <v>74</v>
      </c>
      <c r="AR514" t="s">
        <v>1177</v>
      </c>
      <c r="AS514" t="s">
        <v>1178</v>
      </c>
      <c r="AT514" t="s">
        <v>1179</v>
      </c>
      <c r="AU514">
        <v>2023</v>
      </c>
      <c r="AV514" t="s">
        <v>74</v>
      </c>
      <c r="AW514" t="s">
        <v>74</v>
      </c>
      <c r="AX514" t="s">
        <v>74</v>
      </c>
      <c r="AY514" t="s">
        <v>74</v>
      </c>
      <c r="AZ514" t="s">
        <v>74</v>
      </c>
      <c r="BA514" t="s">
        <v>74</v>
      </c>
      <c r="BB514" t="s">
        <v>74</v>
      </c>
      <c r="BC514" t="s">
        <v>74</v>
      </c>
      <c r="BD514" t="s">
        <v>74</v>
      </c>
      <c r="BE514" t="s">
        <v>1180</v>
      </c>
      <c r="BF514" t="str">
        <f>HYPERLINK("http://dx.doi.org/10.1080/00036846.2023.2216439","http://dx.doi.org/10.1080/00036846.2023.2216439")</f>
        <v>http://dx.doi.org/10.1080/00036846.2023.2216439</v>
      </c>
      <c r="BG514" t="s">
        <v>74</v>
      </c>
      <c r="BH514" t="s">
        <v>1181</v>
      </c>
      <c r="BI514">
        <v>15</v>
      </c>
      <c r="BJ514" t="s">
        <v>521</v>
      </c>
      <c r="BK514" t="s">
        <v>156</v>
      </c>
      <c r="BL514" t="s">
        <v>265</v>
      </c>
      <c r="BM514" t="s">
        <v>1182</v>
      </c>
      <c r="BN514" t="s">
        <v>74</v>
      </c>
      <c r="BO514" t="s">
        <v>74</v>
      </c>
      <c r="BP514" t="s">
        <v>74</v>
      </c>
      <c r="BQ514" t="s">
        <v>74</v>
      </c>
      <c r="BR514" t="s">
        <v>106</v>
      </c>
      <c r="BS514" t="s">
        <v>1183</v>
      </c>
      <c r="BT514" t="str">
        <f>HYPERLINK("https%3A%2F%2Fwww.webofscience.com%2Fwos%2Fwoscc%2Ffull-record%2FWOS:000995965500001","View Full Record in Web of Science")</f>
        <v>View Full Record in Web of Science</v>
      </c>
    </row>
    <row r="515" spans="1:72" x14ac:dyDescent="0.25">
      <c r="A515" t="s">
        <v>72</v>
      </c>
      <c r="B515" t="s">
        <v>1221</v>
      </c>
      <c r="C515" t="s">
        <v>74</v>
      </c>
      <c r="D515" t="s">
        <v>74</v>
      </c>
      <c r="E515" t="s">
        <v>74</v>
      </c>
      <c r="F515" t="s">
        <v>1222</v>
      </c>
      <c r="G515" t="s">
        <v>74</v>
      </c>
      <c r="H515" t="s">
        <v>74</v>
      </c>
      <c r="I515" s="1" t="s">
        <v>1223</v>
      </c>
      <c r="J515" t="s">
        <v>1224</v>
      </c>
      <c r="K515" t="s">
        <v>74</v>
      </c>
      <c r="L515" t="s">
        <v>74</v>
      </c>
      <c r="M515" t="s">
        <v>78</v>
      </c>
      <c r="N515" t="s">
        <v>79</v>
      </c>
      <c r="O515" t="s">
        <v>74</v>
      </c>
      <c r="P515" t="s">
        <v>74</v>
      </c>
      <c r="Q515" t="s">
        <v>74</v>
      </c>
      <c r="R515" t="s">
        <v>74</v>
      </c>
      <c r="S515" t="s">
        <v>74</v>
      </c>
      <c r="T515" s="1" t="s">
        <v>1225</v>
      </c>
      <c r="U515" s="1" t="s">
        <v>1226</v>
      </c>
      <c r="V515" s="1" t="s">
        <v>1227</v>
      </c>
      <c r="W515" t="s">
        <v>1228</v>
      </c>
      <c r="X515" t="s">
        <v>1229</v>
      </c>
      <c r="Y515" t="s">
        <v>1230</v>
      </c>
      <c r="Z515" t="s">
        <v>1231</v>
      </c>
      <c r="AA515" t="s">
        <v>1232</v>
      </c>
      <c r="AB515" t="s">
        <v>1233</v>
      </c>
      <c r="AC515" t="s">
        <v>74</v>
      </c>
      <c r="AD515" t="s">
        <v>74</v>
      </c>
      <c r="AE515" t="s">
        <v>74</v>
      </c>
      <c r="AF515" t="s">
        <v>74</v>
      </c>
      <c r="AG515">
        <v>130</v>
      </c>
      <c r="AH515">
        <v>0</v>
      </c>
      <c r="AI515">
        <v>0</v>
      </c>
      <c r="AJ515">
        <v>7</v>
      </c>
      <c r="AK515">
        <v>7</v>
      </c>
      <c r="AL515" t="s">
        <v>202</v>
      </c>
      <c r="AM515" t="s">
        <v>203</v>
      </c>
      <c r="AN515" t="s">
        <v>204</v>
      </c>
      <c r="AO515" t="s">
        <v>74</v>
      </c>
      <c r="AP515" t="s">
        <v>1234</v>
      </c>
      <c r="AQ515" t="s">
        <v>74</v>
      </c>
      <c r="AR515" t="s">
        <v>1224</v>
      </c>
      <c r="AS515" t="s">
        <v>1235</v>
      </c>
      <c r="AT515" t="s">
        <v>1236</v>
      </c>
      <c r="AU515">
        <v>2023</v>
      </c>
      <c r="AV515">
        <v>9</v>
      </c>
      <c r="AW515">
        <v>5</v>
      </c>
      <c r="AX515" t="s">
        <v>74</v>
      </c>
      <c r="AY515" t="s">
        <v>74</v>
      </c>
      <c r="AZ515" t="s">
        <v>74</v>
      </c>
      <c r="BA515" t="s">
        <v>74</v>
      </c>
      <c r="BB515" t="s">
        <v>74</v>
      </c>
      <c r="BC515" t="s">
        <v>74</v>
      </c>
      <c r="BD515">
        <v>549</v>
      </c>
      <c r="BE515" t="s">
        <v>1237</v>
      </c>
      <c r="BF515" t="str">
        <f>HYPERLINK("http://dx.doi.org/10.3390/horticulturae9050549","http://dx.doi.org/10.3390/horticulturae9050549")</f>
        <v>http://dx.doi.org/10.3390/horticulturae9050549</v>
      </c>
      <c r="BG515" t="s">
        <v>74</v>
      </c>
      <c r="BH515" t="s">
        <v>74</v>
      </c>
      <c r="BI515">
        <v>18</v>
      </c>
      <c r="BJ515" t="s">
        <v>1238</v>
      </c>
      <c r="BK515" t="s">
        <v>102</v>
      </c>
      <c r="BL515" t="s">
        <v>1239</v>
      </c>
      <c r="BM515" t="s">
        <v>1240</v>
      </c>
      <c r="BN515" t="s">
        <v>74</v>
      </c>
      <c r="BO515" t="s">
        <v>614</v>
      </c>
      <c r="BP515" t="s">
        <v>74</v>
      </c>
      <c r="BQ515" t="s">
        <v>74</v>
      </c>
      <c r="BR515" t="s">
        <v>106</v>
      </c>
      <c r="BS515" t="s">
        <v>1241</v>
      </c>
      <c r="BT515" t="str">
        <f>HYPERLINK("https%3A%2F%2Fwww.webofscience.com%2Fwos%2Fwoscc%2Ffull-record%2FWOS:000997861200001","View Full Record in Web of Science")</f>
        <v>View Full Record in Web of Science</v>
      </c>
    </row>
    <row r="516" spans="1:72" x14ac:dyDescent="0.25">
      <c r="A516" t="s">
        <v>72</v>
      </c>
      <c r="B516" t="s">
        <v>1268</v>
      </c>
      <c r="C516" t="s">
        <v>74</v>
      </c>
      <c r="D516" t="s">
        <v>74</v>
      </c>
      <c r="E516" t="s">
        <v>74</v>
      </c>
      <c r="F516" t="s">
        <v>1269</v>
      </c>
      <c r="G516" t="s">
        <v>74</v>
      </c>
      <c r="H516" t="s">
        <v>74</v>
      </c>
      <c r="I516" s="1" t="s">
        <v>1270</v>
      </c>
      <c r="J516" t="s">
        <v>866</v>
      </c>
      <c r="K516" t="s">
        <v>74</v>
      </c>
      <c r="L516" t="s">
        <v>74</v>
      </c>
      <c r="M516" t="s">
        <v>78</v>
      </c>
      <c r="N516" t="s">
        <v>79</v>
      </c>
      <c r="O516" t="s">
        <v>74</v>
      </c>
      <c r="P516" t="s">
        <v>74</v>
      </c>
      <c r="Q516" t="s">
        <v>74</v>
      </c>
      <c r="R516" t="s">
        <v>74</v>
      </c>
      <c r="S516" t="s">
        <v>74</v>
      </c>
      <c r="T516" s="1" t="s">
        <v>1271</v>
      </c>
      <c r="U516" s="1" t="s">
        <v>74</v>
      </c>
      <c r="V516" s="1" t="s">
        <v>1272</v>
      </c>
      <c r="W516" t="s">
        <v>1273</v>
      </c>
      <c r="X516" t="s">
        <v>1274</v>
      </c>
      <c r="Y516" t="s">
        <v>1275</v>
      </c>
      <c r="Z516" t="s">
        <v>1276</v>
      </c>
      <c r="AA516" t="s">
        <v>74</v>
      </c>
      <c r="AB516" t="s">
        <v>74</v>
      </c>
      <c r="AC516" t="s">
        <v>1277</v>
      </c>
      <c r="AD516" t="s">
        <v>1278</v>
      </c>
      <c r="AE516" t="s">
        <v>1279</v>
      </c>
      <c r="AF516" t="s">
        <v>74</v>
      </c>
      <c r="AG516">
        <v>46</v>
      </c>
      <c r="AH516">
        <v>0</v>
      </c>
      <c r="AI516">
        <v>0</v>
      </c>
      <c r="AJ516">
        <v>32</v>
      </c>
      <c r="AK516">
        <v>32</v>
      </c>
      <c r="AL516" t="s">
        <v>877</v>
      </c>
      <c r="AM516" t="s">
        <v>878</v>
      </c>
      <c r="AN516" t="s">
        <v>879</v>
      </c>
      <c r="AO516" t="s">
        <v>74</v>
      </c>
      <c r="AP516" t="s">
        <v>880</v>
      </c>
      <c r="AQ516" t="s">
        <v>74</v>
      </c>
      <c r="AR516" t="s">
        <v>866</v>
      </c>
      <c r="AS516" t="s">
        <v>881</v>
      </c>
      <c r="AT516" t="s">
        <v>1280</v>
      </c>
      <c r="AU516">
        <v>2023</v>
      </c>
      <c r="AV516">
        <v>9</v>
      </c>
      <c r="AW516">
        <v>5</v>
      </c>
      <c r="AX516" t="s">
        <v>74</v>
      </c>
      <c r="AY516" t="s">
        <v>74</v>
      </c>
      <c r="AZ516" t="s">
        <v>74</v>
      </c>
      <c r="BA516" t="s">
        <v>74</v>
      </c>
      <c r="BB516" t="s">
        <v>74</v>
      </c>
      <c r="BC516" t="s">
        <v>74</v>
      </c>
      <c r="BD516" t="s">
        <v>1281</v>
      </c>
      <c r="BE516" t="s">
        <v>1282</v>
      </c>
      <c r="BF516" t="str">
        <f>HYPERLINK("http://dx.doi.org/10.1016/j.heliyon.2023.e16371","http://dx.doi.org/10.1016/j.heliyon.2023.e16371")</f>
        <v>http://dx.doi.org/10.1016/j.heliyon.2023.e16371</v>
      </c>
      <c r="BG516" t="s">
        <v>74</v>
      </c>
      <c r="BH516" t="s">
        <v>74</v>
      </c>
      <c r="BI516">
        <v>12</v>
      </c>
      <c r="BJ516" t="s">
        <v>700</v>
      </c>
      <c r="BK516" t="s">
        <v>102</v>
      </c>
      <c r="BL516" t="s">
        <v>701</v>
      </c>
      <c r="BM516" t="s">
        <v>1283</v>
      </c>
      <c r="BN516">
        <v>37251887</v>
      </c>
      <c r="BO516" t="s">
        <v>614</v>
      </c>
      <c r="BP516" t="s">
        <v>74</v>
      </c>
      <c r="BQ516" t="s">
        <v>74</v>
      </c>
      <c r="BR516" t="s">
        <v>106</v>
      </c>
      <c r="BS516" t="s">
        <v>1284</v>
      </c>
      <c r="BT516" t="str">
        <f>HYPERLINK("https%3A%2F%2Fwww.webofscience.com%2Fwos%2Fwoscc%2Ffull-record%2FWOS:001026288200001","View Full Record in Web of Science")</f>
        <v>View Full Record in Web of Science</v>
      </c>
    </row>
    <row r="517" spans="1:72" x14ac:dyDescent="0.25">
      <c r="A517" t="s">
        <v>72</v>
      </c>
      <c r="B517" t="s">
        <v>1285</v>
      </c>
      <c r="C517" t="s">
        <v>74</v>
      </c>
      <c r="D517" t="s">
        <v>74</v>
      </c>
      <c r="E517" t="s">
        <v>74</v>
      </c>
      <c r="F517" t="s">
        <v>1286</v>
      </c>
      <c r="G517" t="s">
        <v>74</v>
      </c>
      <c r="H517" t="s">
        <v>74</v>
      </c>
      <c r="I517" s="1" t="s">
        <v>1287</v>
      </c>
      <c r="J517" t="s">
        <v>1288</v>
      </c>
      <c r="K517" t="s">
        <v>74</v>
      </c>
      <c r="L517" t="s">
        <v>74</v>
      </c>
      <c r="M517" t="s">
        <v>1289</v>
      </c>
      <c r="N517" t="s">
        <v>79</v>
      </c>
      <c r="O517" t="s">
        <v>74</v>
      </c>
      <c r="P517" t="s">
        <v>74</v>
      </c>
      <c r="Q517" t="s">
        <v>74</v>
      </c>
      <c r="R517" t="s">
        <v>74</v>
      </c>
      <c r="S517" t="s">
        <v>74</v>
      </c>
      <c r="T517" s="1" t="s">
        <v>1290</v>
      </c>
      <c r="U517" s="1" t="s">
        <v>74</v>
      </c>
      <c r="V517" s="1" t="s">
        <v>1291</v>
      </c>
      <c r="W517" t="s">
        <v>1292</v>
      </c>
      <c r="X517" t="s">
        <v>1293</v>
      </c>
      <c r="Y517" t="s">
        <v>1294</v>
      </c>
      <c r="Z517" t="s">
        <v>1295</v>
      </c>
      <c r="AA517" t="s">
        <v>74</v>
      </c>
      <c r="AB517" t="s">
        <v>74</v>
      </c>
      <c r="AC517" t="s">
        <v>74</v>
      </c>
      <c r="AD517" t="s">
        <v>74</v>
      </c>
      <c r="AE517" t="s">
        <v>74</v>
      </c>
      <c r="AF517" t="s">
        <v>74</v>
      </c>
      <c r="AG517">
        <v>6</v>
      </c>
      <c r="AH517">
        <v>0</v>
      </c>
      <c r="AI517">
        <v>0</v>
      </c>
      <c r="AJ517">
        <v>0</v>
      </c>
      <c r="AK517">
        <v>0</v>
      </c>
      <c r="AL517" t="s">
        <v>1296</v>
      </c>
      <c r="AM517" t="s">
        <v>1297</v>
      </c>
      <c r="AN517" t="s">
        <v>1298</v>
      </c>
      <c r="AO517" t="s">
        <v>1299</v>
      </c>
      <c r="AP517" t="s">
        <v>74</v>
      </c>
      <c r="AQ517" t="s">
        <v>74</v>
      </c>
      <c r="AR517" t="s">
        <v>1300</v>
      </c>
      <c r="AS517" t="s">
        <v>1301</v>
      </c>
      <c r="AT517" t="s">
        <v>1302</v>
      </c>
      <c r="AU517">
        <v>2023</v>
      </c>
      <c r="AV517">
        <v>40</v>
      </c>
      <c r="AW517">
        <v>3</v>
      </c>
      <c r="AX517" t="s">
        <v>74</v>
      </c>
      <c r="AY517" t="s">
        <v>74</v>
      </c>
      <c r="AZ517" t="s">
        <v>74</v>
      </c>
      <c r="BA517" t="s">
        <v>74</v>
      </c>
      <c r="BB517">
        <v>406</v>
      </c>
      <c r="BC517">
        <v>413</v>
      </c>
      <c r="BD517" t="s">
        <v>74</v>
      </c>
      <c r="BE517" t="s">
        <v>74</v>
      </c>
      <c r="BF517" t="s">
        <v>74</v>
      </c>
      <c r="BG517" t="s">
        <v>74</v>
      </c>
      <c r="BH517" t="s">
        <v>74</v>
      </c>
      <c r="BI517">
        <v>8</v>
      </c>
      <c r="BJ517" t="s">
        <v>840</v>
      </c>
      <c r="BK517" t="s">
        <v>183</v>
      </c>
      <c r="BL517" t="s">
        <v>841</v>
      </c>
      <c r="BM517" t="s">
        <v>1303</v>
      </c>
      <c r="BN517" t="s">
        <v>74</v>
      </c>
      <c r="BO517" t="s">
        <v>74</v>
      </c>
      <c r="BP517" t="s">
        <v>74</v>
      </c>
      <c r="BQ517" t="s">
        <v>74</v>
      </c>
      <c r="BR517" t="s">
        <v>106</v>
      </c>
      <c r="BS517" t="s">
        <v>1304</v>
      </c>
      <c r="BT517" t="str">
        <f>HYPERLINK("https%3A%2F%2Fwww.webofscience.com%2Fwos%2Fwoscc%2Ffull-record%2FWOS:001011477000016","View Full Record in Web of Science")</f>
        <v>View Full Record in Web of Science</v>
      </c>
    </row>
    <row r="518" spans="1:72" x14ac:dyDescent="0.25">
      <c r="A518" t="s">
        <v>72</v>
      </c>
      <c r="B518" t="s">
        <v>1305</v>
      </c>
      <c r="C518" t="s">
        <v>74</v>
      </c>
      <c r="D518" t="s">
        <v>74</v>
      </c>
      <c r="E518" t="s">
        <v>74</v>
      </c>
      <c r="F518" t="s">
        <v>1306</v>
      </c>
      <c r="G518" t="s">
        <v>74</v>
      </c>
      <c r="H518" t="s">
        <v>74</v>
      </c>
      <c r="I518" s="1" t="s">
        <v>1307</v>
      </c>
      <c r="J518" t="s">
        <v>1308</v>
      </c>
      <c r="K518" t="s">
        <v>74</v>
      </c>
      <c r="L518" t="s">
        <v>74</v>
      </c>
      <c r="M518" t="s">
        <v>78</v>
      </c>
      <c r="N518" t="s">
        <v>79</v>
      </c>
      <c r="O518" t="s">
        <v>74</v>
      </c>
      <c r="P518" t="s">
        <v>74</v>
      </c>
      <c r="Q518" t="s">
        <v>74</v>
      </c>
      <c r="R518" t="s">
        <v>74</v>
      </c>
      <c r="S518" t="s">
        <v>74</v>
      </c>
      <c r="T518" s="1" t="s">
        <v>1309</v>
      </c>
      <c r="U518" s="1" t="s">
        <v>74</v>
      </c>
      <c r="V518" s="1" t="s">
        <v>1310</v>
      </c>
      <c r="W518" t="s">
        <v>1311</v>
      </c>
      <c r="X518" t="s">
        <v>1312</v>
      </c>
      <c r="Y518" t="s">
        <v>1313</v>
      </c>
      <c r="Z518" t="s">
        <v>74</v>
      </c>
      <c r="AA518" t="s">
        <v>1314</v>
      </c>
      <c r="AB518" t="s">
        <v>74</v>
      </c>
      <c r="AC518" t="s">
        <v>1315</v>
      </c>
      <c r="AD518" t="s">
        <v>1316</v>
      </c>
      <c r="AE518" t="s">
        <v>1317</v>
      </c>
      <c r="AF518" t="s">
        <v>74</v>
      </c>
      <c r="AG518">
        <v>28</v>
      </c>
      <c r="AH518">
        <v>0</v>
      </c>
      <c r="AI518">
        <v>0</v>
      </c>
      <c r="AJ518">
        <v>4</v>
      </c>
      <c r="AK518">
        <v>4</v>
      </c>
      <c r="AL518" t="s">
        <v>1318</v>
      </c>
      <c r="AM518" t="s">
        <v>1319</v>
      </c>
      <c r="AN518" t="s">
        <v>1320</v>
      </c>
      <c r="AO518" t="s">
        <v>1321</v>
      </c>
      <c r="AP518" t="s">
        <v>1322</v>
      </c>
      <c r="AQ518" t="s">
        <v>74</v>
      </c>
      <c r="AR518" t="s">
        <v>1323</v>
      </c>
      <c r="AS518" t="s">
        <v>1324</v>
      </c>
      <c r="AT518" t="s">
        <v>1280</v>
      </c>
      <c r="AU518">
        <v>2023</v>
      </c>
      <c r="AV518" t="s">
        <v>74</v>
      </c>
      <c r="AW518">
        <v>67</v>
      </c>
      <c r="AX518" t="s">
        <v>74</v>
      </c>
      <c r="AY518" t="s">
        <v>74</v>
      </c>
      <c r="AZ518" t="s">
        <v>74</v>
      </c>
      <c r="BA518" t="s">
        <v>74</v>
      </c>
      <c r="BB518" t="s">
        <v>74</v>
      </c>
      <c r="BC518" t="s">
        <v>74</v>
      </c>
      <c r="BD518" t="s">
        <v>74</v>
      </c>
      <c r="BE518" t="s">
        <v>1325</v>
      </c>
      <c r="BF518" t="str">
        <f>HYPERLINK("http://dx.doi.org/10.12795/pixelbit.97769","http://dx.doi.org/10.12795/pixelbit.97769")</f>
        <v>http://dx.doi.org/10.12795/pixelbit.97769</v>
      </c>
      <c r="BG518" t="s">
        <v>74</v>
      </c>
      <c r="BH518" t="s">
        <v>74</v>
      </c>
      <c r="BI518">
        <v>37</v>
      </c>
      <c r="BJ518" t="s">
        <v>1326</v>
      </c>
      <c r="BK518" t="s">
        <v>183</v>
      </c>
      <c r="BL518" t="s">
        <v>1326</v>
      </c>
      <c r="BM518" t="s">
        <v>1327</v>
      </c>
      <c r="BN518" t="s">
        <v>74</v>
      </c>
      <c r="BO518" t="s">
        <v>186</v>
      </c>
      <c r="BP518" t="s">
        <v>74</v>
      </c>
      <c r="BQ518" t="s">
        <v>74</v>
      </c>
      <c r="BR518" t="s">
        <v>106</v>
      </c>
      <c r="BS518" t="s">
        <v>1328</v>
      </c>
      <c r="BT518" t="str">
        <f>HYPERLINK("https%3A%2F%2Fwww.webofscience.com%2Fwos%2Fwoscc%2Ffull-record%2FWOS:000996513000007","View Full Record in Web of Science")</f>
        <v>View Full Record in Web of Science</v>
      </c>
    </row>
    <row r="519" spans="1:72" x14ac:dyDescent="0.25">
      <c r="A519" t="s">
        <v>72</v>
      </c>
      <c r="B519" t="s">
        <v>1329</v>
      </c>
      <c r="C519" t="s">
        <v>74</v>
      </c>
      <c r="D519" t="s">
        <v>74</v>
      </c>
      <c r="E519" t="s">
        <v>74</v>
      </c>
      <c r="F519" t="s">
        <v>1330</v>
      </c>
      <c r="G519" t="s">
        <v>74</v>
      </c>
      <c r="H519" t="s">
        <v>74</v>
      </c>
      <c r="I519" s="1" t="s">
        <v>1331</v>
      </c>
      <c r="J519" t="s">
        <v>1332</v>
      </c>
      <c r="K519" t="s">
        <v>74</v>
      </c>
      <c r="L519" t="s">
        <v>74</v>
      </c>
      <c r="M519" t="s">
        <v>78</v>
      </c>
      <c r="N519" t="s">
        <v>79</v>
      </c>
      <c r="O519" t="s">
        <v>74</v>
      </c>
      <c r="P519" t="s">
        <v>74</v>
      </c>
      <c r="Q519" t="s">
        <v>74</v>
      </c>
      <c r="R519" t="s">
        <v>74</v>
      </c>
      <c r="S519" t="s">
        <v>74</v>
      </c>
      <c r="T519" s="1" t="s">
        <v>1333</v>
      </c>
      <c r="U519" s="1" t="s">
        <v>74</v>
      </c>
      <c r="V519" s="1" t="s">
        <v>1334</v>
      </c>
      <c r="W519" t="s">
        <v>1335</v>
      </c>
      <c r="X519" t="s">
        <v>1336</v>
      </c>
      <c r="Y519" t="s">
        <v>1337</v>
      </c>
      <c r="Z519" t="s">
        <v>1338</v>
      </c>
      <c r="AA519" t="s">
        <v>1339</v>
      </c>
      <c r="AB519" t="s">
        <v>1340</v>
      </c>
      <c r="AC519" t="s">
        <v>74</v>
      </c>
      <c r="AD519" t="s">
        <v>74</v>
      </c>
      <c r="AE519" t="s">
        <v>74</v>
      </c>
      <c r="AF519" t="s">
        <v>74</v>
      </c>
      <c r="AG519">
        <v>37</v>
      </c>
      <c r="AH519">
        <v>0</v>
      </c>
      <c r="AI519">
        <v>0</v>
      </c>
      <c r="AJ519">
        <v>4</v>
      </c>
      <c r="AK519">
        <v>4</v>
      </c>
      <c r="AL519" t="s">
        <v>1341</v>
      </c>
      <c r="AM519" t="s">
        <v>1342</v>
      </c>
      <c r="AN519" t="s">
        <v>1343</v>
      </c>
      <c r="AO519" t="s">
        <v>1344</v>
      </c>
      <c r="AP519" t="s">
        <v>1345</v>
      </c>
      <c r="AQ519" t="s">
        <v>74</v>
      </c>
      <c r="AR519" t="s">
        <v>1346</v>
      </c>
      <c r="AS519" t="s">
        <v>1347</v>
      </c>
      <c r="AT519" t="s">
        <v>1348</v>
      </c>
      <c r="AU519">
        <v>2023</v>
      </c>
      <c r="AV519">
        <v>14</v>
      </c>
      <c r="AW519">
        <v>40</v>
      </c>
      <c r="AX519" t="s">
        <v>74</v>
      </c>
      <c r="AY519" t="s">
        <v>74</v>
      </c>
      <c r="AZ519" t="s">
        <v>74</v>
      </c>
      <c r="BA519" t="s">
        <v>74</v>
      </c>
      <c r="BB519">
        <v>486</v>
      </c>
      <c r="BC519">
        <v>505</v>
      </c>
      <c r="BD519" t="s">
        <v>74</v>
      </c>
      <c r="BE519" t="s">
        <v>1349</v>
      </c>
      <c r="BF519" t="str">
        <f>HYPERLINK("http://dx.doi.org/10.46925//rdluz.40.27","http://dx.doi.org/10.46925//rdluz.40.27")</f>
        <v>http://dx.doi.org/10.46925//rdluz.40.27</v>
      </c>
      <c r="BG519" t="s">
        <v>74</v>
      </c>
      <c r="BH519" t="s">
        <v>74</v>
      </c>
      <c r="BI519">
        <v>21</v>
      </c>
      <c r="BJ519" t="s">
        <v>942</v>
      </c>
      <c r="BK519" t="s">
        <v>183</v>
      </c>
      <c r="BL519" t="s">
        <v>943</v>
      </c>
      <c r="BM519" t="s">
        <v>1350</v>
      </c>
      <c r="BN519" t="s">
        <v>74</v>
      </c>
      <c r="BO519" t="s">
        <v>1351</v>
      </c>
      <c r="BP519" t="s">
        <v>74</v>
      </c>
      <c r="BQ519" t="s">
        <v>74</v>
      </c>
      <c r="BR519" t="s">
        <v>106</v>
      </c>
      <c r="BS519" t="s">
        <v>1352</v>
      </c>
      <c r="BT519" t="str">
        <f>HYPERLINK("https%3A%2F%2Fwww.webofscience.com%2Fwos%2Fwoscc%2Ffull-record%2FWOS:000994774100027","View Full Record in Web of Science")</f>
        <v>View Full Record in Web of Science</v>
      </c>
    </row>
    <row r="520" spans="1:72" x14ac:dyDescent="0.25">
      <c r="A520" t="s">
        <v>72</v>
      </c>
      <c r="B520" t="s">
        <v>1371</v>
      </c>
      <c r="C520" t="s">
        <v>74</v>
      </c>
      <c r="D520" t="s">
        <v>74</v>
      </c>
      <c r="E520" t="s">
        <v>74</v>
      </c>
      <c r="F520" t="s">
        <v>1372</v>
      </c>
      <c r="G520" t="s">
        <v>74</v>
      </c>
      <c r="H520" t="s">
        <v>74</v>
      </c>
      <c r="I520" s="1" t="s">
        <v>1373</v>
      </c>
      <c r="J520" t="s">
        <v>1374</v>
      </c>
      <c r="K520" t="s">
        <v>74</v>
      </c>
      <c r="L520" t="s">
        <v>74</v>
      </c>
      <c r="M520" t="s">
        <v>78</v>
      </c>
      <c r="N520" t="s">
        <v>79</v>
      </c>
      <c r="O520" t="s">
        <v>74</v>
      </c>
      <c r="P520" t="s">
        <v>74</v>
      </c>
      <c r="Q520" t="s">
        <v>74</v>
      </c>
      <c r="R520" t="s">
        <v>74</v>
      </c>
      <c r="S520" t="s">
        <v>74</v>
      </c>
      <c r="T520" s="1" t="s">
        <v>1375</v>
      </c>
      <c r="U520" s="1" t="s">
        <v>1376</v>
      </c>
      <c r="V520" s="1" t="s">
        <v>1377</v>
      </c>
      <c r="W520" t="s">
        <v>1378</v>
      </c>
      <c r="X520" t="s">
        <v>1379</v>
      </c>
      <c r="Y520" t="s">
        <v>1380</v>
      </c>
      <c r="Z520" t="s">
        <v>1381</v>
      </c>
      <c r="AA520" t="s">
        <v>74</v>
      </c>
      <c r="AB520" t="s">
        <v>74</v>
      </c>
      <c r="AC520" t="s">
        <v>74</v>
      </c>
      <c r="AD520" t="s">
        <v>74</v>
      </c>
      <c r="AE520" t="s">
        <v>74</v>
      </c>
      <c r="AF520" t="s">
        <v>74</v>
      </c>
      <c r="AG520">
        <v>44</v>
      </c>
      <c r="AH520">
        <v>0</v>
      </c>
      <c r="AI520">
        <v>0</v>
      </c>
      <c r="AJ520">
        <v>0</v>
      </c>
      <c r="AK520">
        <v>0</v>
      </c>
      <c r="AL520" t="s">
        <v>1382</v>
      </c>
      <c r="AM520" t="s">
        <v>1383</v>
      </c>
      <c r="AN520" t="s">
        <v>1384</v>
      </c>
      <c r="AO520" t="s">
        <v>74</v>
      </c>
      <c r="AP520" t="s">
        <v>1385</v>
      </c>
      <c r="AQ520" t="s">
        <v>74</v>
      </c>
      <c r="AR520" t="s">
        <v>1386</v>
      </c>
      <c r="AS520" t="s">
        <v>1387</v>
      </c>
      <c r="AT520" t="s">
        <v>1388</v>
      </c>
      <c r="AU520">
        <v>2023</v>
      </c>
      <c r="AV520">
        <v>5</v>
      </c>
      <c r="AW520" t="s">
        <v>74</v>
      </c>
      <c r="AX520" t="s">
        <v>74</v>
      </c>
      <c r="AY520" t="s">
        <v>74</v>
      </c>
      <c r="AZ520" t="s">
        <v>74</v>
      </c>
      <c r="BA520" t="s">
        <v>74</v>
      </c>
      <c r="BB520" t="s">
        <v>74</v>
      </c>
      <c r="BC520" t="s">
        <v>74</v>
      </c>
      <c r="BD520">
        <v>1155708</v>
      </c>
      <c r="BE520" t="s">
        <v>1389</v>
      </c>
      <c r="BF520" t="str">
        <f>HYPERLINK("http://dx.doi.org/10.3389/fdgth.2023.1155708","http://dx.doi.org/10.3389/fdgth.2023.1155708")</f>
        <v>http://dx.doi.org/10.3389/fdgth.2023.1155708</v>
      </c>
      <c r="BG520" t="s">
        <v>74</v>
      </c>
      <c r="BH520" t="s">
        <v>74</v>
      </c>
      <c r="BI520">
        <v>11</v>
      </c>
      <c r="BJ520" t="s">
        <v>1390</v>
      </c>
      <c r="BK520" t="s">
        <v>183</v>
      </c>
      <c r="BL520" t="s">
        <v>1390</v>
      </c>
      <c r="BM520" t="s">
        <v>1391</v>
      </c>
      <c r="BN520">
        <v>37153515</v>
      </c>
      <c r="BO520" t="s">
        <v>614</v>
      </c>
      <c r="BP520" t="s">
        <v>74</v>
      </c>
      <c r="BQ520" t="s">
        <v>74</v>
      </c>
      <c r="BR520" t="s">
        <v>106</v>
      </c>
      <c r="BS520" t="s">
        <v>1392</v>
      </c>
      <c r="BT520" t="str">
        <f>HYPERLINK("https%3A%2F%2Fwww.webofscience.com%2Fwos%2Fwoscc%2Ffull-record%2FWOS:001030154600001","View Full Record in Web of Science")</f>
        <v>View Full Record in Web of Science</v>
      </c>
    </row>
    <row r="521" spans="1:72" x14ac:dyDescent="0.25">
      <c r="A521" t="s">
        <v>72</v>
      </c>
      <c r="B521" t="s">
        <v>1413</v>
      </c>
      <c r="C521" t="s">
        <v>74</v>
      </c>
      <c r="D521" t="s">
        <v>74</v>
      </c>
      <c r="E521" t="s">
        <v>74</v>
      </c>
      <c r="F521" t="s">
        <v>1414</v>
      </c>
      <c r="G521" t="s">
        <v>74</v>
      </c>
      <c r="H521" t="s">
        <v>74</v>
      </c>
      <c r="I521" s="1" t="s">
        <v>1415</v>
      </c>
      <c r="J521" t="s">
        <v>1416</v>
      </c>
      <c r="K521" t="s">
        <v>74</v>
      </c>
      <c r="L521" t="s">
        <v>74</v>
      </c>
      <c r="M521" t="s">
        <v>78</v>
      </c>
      <c r="N521" t="s">
        <v>79</v>
      </c>
      <c r="O521" t="s">
        <v>74</v>
      </c>
      <c r="P521" t="s">
        <v>74</v>
      </c>
      <c r="Q521" t="s">
        <v>74</v>
      </c>
      <c r="R521" t="s">
        <v>74</v>
      </c>
      <c r="S521" t="s">
        <v>74</v>
      </c>
      <c r="T521" s="1" t="s">
        <v>1417</v>
      </c>
      <c r="U521" s="1" t="s">
        <v>1418</v>
      </c>
      <c r="V521" s="1" t="s">
        <v>1419</v>
      </c>
      <c r="W521" t="s">
        <v>1420</v>
      </c>
      <c r="X521" t="s">
        <v>1421</v>
      </c>
      <c r="Y521" t="s">
        <v>1422</v>
      </c>
      <c r="Z521" t="s">
        <v>74</v>
      </c>
      <c r="AA521" t="s">
        <v>74</v>
      </c>
      <c r="AB521" t="s">
        <v>74</v>
      </c>
      <c r="AC521" t="s">
        <v>74</v>
      </c>
      <c r="AD521" t="s">
        <v>74</v>
      </c>
      <c r="AE521" t="s">
        <v>74</v>
      </c>
      <c r="AF521" t="s">
        <v>74</v>
      </c>
      <c r="AG521">
        <v>131</v>
      </c>
      <c r="AH521">
        <v>0</v>
      </c>
      <c r="AI521">
        <v>0</v>
      </c>
      <c r="AJ521">
        <v>30</v>
      </c>
      <c r="AK521">
        <v>30</v>
      </c>
      <c r="AL521" t="s">
        <v>1423</v>
      </c>
      <c r="AM521" t="s">
        <v>1424</v>
      </c>
      <c r="AN521" t="s">
        <v>1425</v>
      </c>
      <c r="AO521" t="s">
        <v>1426</v>
      </c>
      <c r="AP521" t="s">
        <v>1427</v>
      </c>
      <c r="AQ521" t="s">
        <v>74</v>
      </c>
      <c r="AR521" t="s">
        <v>1428</v>
      </c>
      <c r="AS521" t="s">
        <v>1429</v>
      </c>
      <c r="AT521" t="s">
        <v>1430</v>
      </c>
      <c r="AU521">
        <v>2023</v>
      </c>
      <c r="AV521">
        <v>18</v>
      </c>
      <c r="AW521">
        <v>1</v>
      </c>
      <c r="AX521" t="s">
        <v>74</v>
      </c>
      <c r="AY521" t="s">
        <v>74</v>
      </c>
      <c r="AZ521" t="s">
        <v>74</v>
      </c>
      <c r="BA521" t="s">
        <v>74</v>
      </c>
      <c r="BB521">
        <v>149</v>
      </c>
      <c r="BC521">
        <v>170</v>
      </c>
      <c r="BD521" t="s">
        <v>74</v>
      </c>
      <c r="BE521" t="s">
        <v>1431</v>
      </c>
      <c r="BF521" t="str">
        <f>HYPERLINK("http://dx.doi.org/10.2478/sbe-2023-0009","http://dx.doi.org/10.2478/sbe-2023-0009")</f>
        <v>http://dx.doi.org/10.2478/sbe-2023-0009</v>
      </c>
      <c r="BG521" t="s">
        <v>74</v>
      </c>
      <c r="BH521" t="s">
        <v>74</v>
      </c>
      <c r="BI521">
        <v>22</v>
      </c>
      <c r="BJ521" t="s">
        <v>521</v>
      </c>
      <c r="BK521" t="s">
        <v>183</v>
      </c>
      <c r="BL521" t="s">
        <v>265</v>
      </c>
      <c r="BM521" t="s">
        <v>1432</v>
      </c>
      <c r="BN521" t="s">
        <v>74</v>
      </c>
      <c r="BO521" t="s">
        <v>186</v>
      </c>
      <c r="BP521" t="s">
        <v>74</v>
      </c>
      <c r="BQ521" t="s">
        <v>74</v>
      </c>
      <c r="BR521" t="s">
        <v>106</v>
      </c>
      <c r="BS521" t="s">
        <v>1433</v>
      </c>
      <c r="BT521" t="str">
        <f>HYPERLINK("https%3A%2F%2Fwww.webofscience.com%2Fwos%2Fwoscc%2Ffull-record%2FWOS:000988904900009","View Full Record in Web of Science")</f>
        <v>View Full Record in Web of Science</v>
      </c>
    </row>
    <row r="522" spans="1:72" x14ac:dyDescent="0.25">
      <c r="A522" t="s">
        <v>72</v>
      </c>
      <c r="B522" t="s">
        <v>1434</v>
      </c>
      <c r="C522" t="s">
        <v>74</v>
      </c>
      <c r="D522" t="s">
        <v>74</v>
      </c>
      <c r="E522" t="s">
        <v>74</v>
      </c>
      <c r="F522" t="s">
        <v>1435</v>
      </c>
      <c r="G522" t="s">
        <v>74</v>
      </c>
      <c r="H522" t="s">
        <v>74</v>
      </c>
      <c r="I522" s="1" t="s">
        <v>1436</v>
      </c>
      <c r="J522" t="s">
        <v>1437</v>
      </c>
      <c r="K522" t="s">
        <v>74</v>
      </c>
      <c r="L522" t="s">
        <v>74</v>
      </c>
      <c r="M522" t="s">
        <v>78</v>
      </c>
      <c r="N522" t="s">
        <v>79</v>
      </c>
      <c r="O522" t="s">
        <v>74</v>
      </c>
      <c r="P522" t="s">
        <v>74</v>
      </c>
      <c r="Q522" t="s">
        <v>74</v>
      </c>
      <c r="R522" t="s">
        <v>74</v>
      </c>
      <c r="S522" t="s">
        <v>74</v>
      </c>
      <c r="T522" s="1" t="s">
        <v>1438</v>
      </c>
      <c r="U522" s="1" t="s">
        <v>1439</v>
      </c>
      <c r="V522" s="1" t="s">
        <v>1440</v>
      </c>
      <c r="W522" t="s">
        <v>1441</v>
      </c>
      <c r="X522" t="s">
        <v>74</v>
      </c>
      <c r="Y522" t="s">
        <v>1442</v>
      </c>
      <c r="Z522" t="s">
        <v>1443</v>
      </c>
      <c r="AA522" t="s">
        <v>74</v>
      </c>
      <c r="AB522" t="s">
        <v>1444</v>
      </c>
      <c r="AC522" t="s">
        <v>74</v>
      </c>
      <c r="AD522" t="s">
        <v>74</v>
      </c>
      <c r="AE522" t="s">
        <v>74</v>
      </c>
      <c r="AF522" t="s">
        <v>74</v>
      </c>
      <c r="AG522">
        <v>25</v>
      </c>
      <c r="AH522">
        <v>0</v>
      </c>
      <c r="AI522">
        <v>0</v>
      </c>
      <c r="AJ522">
        <v>5</v>
      </c>
      <c r="AK522">
        <v>5</v>
      </c>
      <c r="AL522" t="s">
        <v>202</v>
      </c>
      <c r="AM522" t="s">
        <v>203</v>
      </c>
      <c r="AN522" t="s">
        <v>204</v>
      </c>
      <c r="AO522" t="s">
        <v>74</v>
      </c>
      <c r="AP522" t="s">
        <v>1445</v>
      </c>
      <c r="AQ522" t="s">
        <v>74</v>
      </c>
      <c r="AR522" t="s">
        <v>1446</v>
      </c>
      <c r="AS522" t="s">
        <v>1447</v>
      </c>
      <c r="AT522" t="s">
        <v>1448</v>
      </c>
      <c r="AU522">
        <v>2023</v>
      </c>
      <c r="AV522">
        <v>6</v>
      </c>
      <c r="AW522">
        <v>2</v>
      </c>
      <c r="AX522" t="s">
        <v>74</v>
      </c>
      <c r="AY522" t="s">
        <v>74</v>
      </c>
      <c r="AZ522" t="s">
        <v>74</v>
      </c>
      <c r="BA522" t="s">
        <v>74</v>
      </c>
      <c r="BB522">
        <v>809</v>
      </c>
      <c r="BC522">
        <v>818</v>
      </c>
      <c r="BD522" t="s">
        <v>74</v>
      </c>
      <c r="BE522" t="s">
        <v>1449</v>
      </c>
      <c r="BF522" t="str">
        <f>HYPERLINK("http://dx.doi.org/10.3390/smartcities6020039","http://dx.doi.org/10.3390/smartcities6020039")</f>
        <v>http://dx.doi.org/10.3390/smartcities6020039</v>
      </c>
      <c r="BG522" t="s">
        <v>74</v>
      </c>
      <c r="BH522" t="s">
        <v>74</v>
      </c>
      <c r="BI522">
        <v>10</v>
      </c>
      <c r="BJ522" t="s">
        <v>1450</v>
      </c>
      <c r="BK522" t="s">
        <v>183</v>
      </c>
      <c r="BL522" t="s">
        <v>1451</v>
      </c>
      <c r="BM522" t="s">
        <v>1452</v>
      </c>
      <c r="BN522" t="s">
        <v>74</v>
      </c>
      <c r="BO522" t="s">
        <v>186</v>
      </c>
      <c r="BP522" t="s">
        <v>74</v>
      </c>
      <c r="BQ522" t="s">
        <v>74</v>
      </c>
      <c r="BR522" t="s">
        <v>106</v>
      </c>
      <c r="BS522" t="s">
        <v>1453</v>
      </c>
      <c r="BT522" t="str">
        <f>HYPERLINK("https%3A%2F%2Fwww.webofscience.com%2Fwos%2Fwoscc%2Ffull-record%2FWOS:000978051100001","View Full Record in Web of Science")</f>
        <v>View Full Record in Web of Science</v>
      </c>
    </row>
    <row r="523" spans="1:72" x14ac:dyDescent="0.25">
      <c r="A523" t="s">
        <v>72</v>
      </c>
      <c r="B523" t="s">
        <v>1480</v>
      </c>
      <c r="C523" t="s">
        <v>74</v>
      </c>
      <c r="D523" t="s">
        <v>74</v>
      </c>
      <c r="E523" t="s">
        <v>74</v>
      </c>
      <c r="F523" t="s">
        <v>1481</v>
      </c>
      <c r="G523" t="s">
        <v>74</v>
      </c>
      <c r="H523" t="s">
        <v>74</v>
      </c>
      <c r="I523" s="1" t="s">
        <v>1482</v>
      </c>
      <c r="J523" t="s">
        <v>1483</v>
      </c>
      <c r="K523" t="s">
        <v>74</v>
      </c>
      <c r="L523" t="s">
        <v>74</v>
      </c>
      <c r="M523" t="s">
        <v>78</v>
      </c>
      <c r="N523" t="s">
        <v>79</v>
      </c>
      <c r="O523" t="s">
        <v>74</v>
      </c>
      <c r="P523" t="s">
        <v>74</v>
      </c>
      <c r="Q523" t="s">
        <v>74</v>
      </c>
      <c r="R523" t="s">
        <v>74</v>
      </c>
      <c r="S523" t="s">
        <v>74</v>
      </c>
      <c r="T523" s="1" t="s">
        <v>1484</v>
      </c>
      <c r="U523" s="1" t="s">
        <v>74</v>
      </c>
      <c r="V523" s="1" t="s">
        <v>1485</v>
      </c>
      <c r="W523" t="s">
        <v>1486</v>
      </c>
      <c r="X523" t="s">
        <v>74</v>
      </c>
      <c r="Y523" t="s">
        <v>1487</v>
      </c>
      <c r="Z523" t="s">
        <v>1488</v>
      </c>
      <c r="AA523" t="s">
        <v>1489</v>
      </c>
      <c r="AB523" t="s">
        <v>1490</v>
      </c>
      <c r="AC523" t="s">
        <v>74</v>
      </c>
      <c r="AD523" t="s">
        <v>74</v>
      </c>
      <c r="AE523" t="s">
        <v>74</v>
      </c>
      <c r="AF523" t="s">
        <v>74</v>
      </c>
      <c r="AG523">
        <v>35</v>
      </c>
      <c r="AH523">
        <v>0</v>
      </c>
      <c r="AI523">
        <v>0</v>
      </c>
      <c r="AJ523">
        <v>3</v>
      </c>
      <c r="AK523">
        <v>4</v>
      </c>
      <c r="AL523" t="s">
        <v>121</v>
      </c>
      <c r="AM523" t="s">
        <v>122</v>
      </c>
      <c r="AN523" t="s">
        <v>123</v>
      </c>
      <c r="AO523" t="s">
        <v>74</v>
      </c>
      <c r="AP523" t="s">
        <v>1491</v>
      </c>
      <c r="AQ523" t="s">
        <v>74</v>
      </c>
      <c r="AR523" t="s">
        <v>1492</v>
      </c>
      <c r="AS523" t="s">
        <v>1493</v>
      </c>
      <c r="AT523" t="s">
        <v>1494</v>
      </c>
      <c r="AU523">
        <v>2023</v>
      </c>
      <c r="AV523">
        <v>11</v>
      </c>
      <c r="AW523">
        <v>1</v>
      </c>
      <c r="AX523" t="s">
        <v>74</v>
      </c>
      <c r="AY523" t="s">
        <v>74</v>
      </c>
      <c r="AZ523" t="s">
        <v>74</v>
      </c>
      <c r="BA523" t="s">
        <v>74</v>
      </c>
      <c r="BB523" t="s">
        <v>74</v>
      </c>
      <c r="BC523" t="s">
        <v>74</v>
      </c>
      <c r="BD523">
        <v>10</v>
      </c>
      <c r="BE523" t="s">
        <v>1495</v>
      </c>
      <c r="BF523" t="str">
        <f>HYPERLINK("http://dx.doi.org/10.1186/s40536-023-00159-7","http://dx.doi.org/10.1186/s40536-023-00159-7")</f>
        <v>http://dx.doi.org/10.1186/s40536-023-00159-7</v>
      </c>
      <c r="BG523" t="s">
        <v>74</v>
      </c>
      <c r="BH523" t="s">
        <v>74</v>
      </c>
      <c r="BI523">
        <v>20</v>
      </c>
      <c r="BJ523" t="s">
        <v>1326</v>
      </c>
      <c r="BK523" t="s">
        <v>183</v>
      </c>
      <c r="BL523" t="s">
        <v>1326</v>
      </c>
      <c r="BM523" t="s">
        <v>1496</v>
      </c>
      <c r="BN523">
        <v>37008281</v>
      </c>
      <c r="BO523" t="s">
        <v>422</v>
      </c>
      <c r="BP523" t="s">
        <v>74</v>
      </c>
      <c r="BQ523" t="s">
        <v>74</v>
      </c>
      <c r="BR523" t="s">
        <v>106</v>
      </c>
      <c r="BS523" t="s">
        <v>1497</v>
      </c>
      <c r="BT523" t="str">
        <f>HYPERLINK("https%3A%2F%2Fwww.webofscience.com%2Fwos%2Fwoscc%2Ffull-record%2FWOS:000953654700001","View Full Record in Web of Science")</f>
        <v>View Full Record in Web of Science</v>
      </c>
    </row>
    <row r="524" spans="1:72" x14ac:dyDescent="0.25">
      <c r="A524" t="s">
        <v>72</v>
      </c>
      <c r="B524" t="s">
        <v>1564</v>
      </c>
      <c r="C524" t="s">
        <v>74</v>
      </c>
      <c r="D524" t="s">
        <v>74</v>
      </c>
      <c r="E524" t="s">
        <v>74</v>
      </c>
      <c r="F524" t="s">
        <v>1565</v>
      </c>
      <c r="G524" t="s">
        <v>74</v>
      </c>
      <c r="H524" t="s">
        <v>74</v>
      </c>
      <c r="I524" s="1" t="s">
        <v>1566</v>
      </c>
      <c r="J524" t="s">
        <v>1567</v>
      </c>
      <c r="K524" t="s">
        <v>74</v>
      </c>
      <c r="L524" t="s">
        <v>74</v>
      </c>
      <c r="M524" t="s">
        <v>78</v>
      </c>
      <c r="N524" t="s">
        <v>79</v>
      </c>
      <c r="O524" t="s">
        <v>74</v>
      </c>
      <c r="P524" t="s">
        <v>74</v>
      </c>
      <c r="Q524" t="s">
        <v>74</v>
      </c>
      <c r="R524" t="s">
        <v>74</v>
      </c>
      <c r="S524" t="s">
        <v>74</v>
      </c>
      <c r="T524" s="1" t="s">
        <v>1568</v>
      </c>
      <c r="U524" s="1" t="s">
        <v>74</v>
      </c>
      <c r="V524" s="1" t="s">
        <v>1569</v>
      </c>
      <c r="W524" t="s">
        <v>1570</v>
      </c>
      <c r="X524" t="s">
        <v>1571</v>
      </c>
      <c r="Y524" t="s">
        <v>1572</v>
      </c>
      <c r="Z524" t="s">
        <v>1573</v>
      </c>
      <c r="AA524" t="s">
        <v>1574</v>
      </c>
      <c r="AB524" t="s">
        <v>1575</v>
      </c>
      <c r="AC524" t="s">
        <v>1576</v>
      </c>
      <c r="AD524" t="s">
        <v>1577</v>
      </c>
      <c r="AE524" t="s">
        <v>1578</v>
      </c>
      <c r="AF524" t="s">
        <v>74</v>
      </c>
      <c r="AG524">
        <v>61</v>
      </c>
      <c r="AH524">
        <v>0</v>
      </c>
      <c r="AI524">
        <v>0</v>
      </c>
      <c r="AJ524">
        <v>8</v>
      </c>
      <c r="AK524">
        <v>9</v>
      </c>
      <c r="AL524" t="s">
        <v>1382</v>
      </c>
      <c r="AM524" t="s">
        <v>1383</v>
      </c>
      <c r="AN524" t="s">
        <v>1384</v>
      </c>
      <c r="AO524" t="s">
        <v>74</v>
      </c>
      <c r="AP524" t="s">
        <v>1579</v>
      </c>
      <c r="AQ524" t="s">
        <v>74</v>
      </c>
      <c r="AR524" t="s">
        <v>1580</v>
      </c>
      <c r="AS524" t="s">
        <v>1581</v>
      </c>
      <c r="AT524" t="s">
        <v>1582</v>
      </c>
      <c r="AU524">
        <v>2023</v>
      </c>
      <c r="AV524">
        <v>11</v>
      </c>
      <c r="AW524" t="s">
        <v>74</v>
      </c>
      <c r="AX524" t="s">
        <v>74</v>
      </c>
      <c r="AY524" t="s">
        <v>74</v>
      </c>
      <c r="AZ524" t="s">
        <v>74</v>
      </c>
      <c r="BA524" t="s">
        <v>74</v>
      </c>
      <c r="BB524" t="s">
        <v>74</v>
      </c>
      <c r="BC524" t="s">
        <v>74</v>
      </c>
      <c r="BD524">
        <v>1130079</v>
      </c>
      <c r="BE524" t="s">
        <v>1583</v>
      </c>
      <c r="BF524" t="str">
        <f>HYPERLINK("http://dx.doi.org/10.3389/fpubh.2023.1130079","http://dx.doi.org/10.3389/fpubh.2023.1130079")</f>
        <v>http://dx.doi.org/10.3389/fpubh.2023.1130079</v>
      </c>
      <c r="BG524" t="s">
        <v>74</v>
      </c>
      <c r="BH524" t="s">
        <v>74</v>
      </c>
      <c r="BI524">
        <v>6</v>
      </c>
      <c r="BJ524" t="s">
        <v>1584</v>
      </c>
      <c r="BK524" t="s">
        <v>211</v>
      </c>
      <c r="BL524" t="s">
        <v>1584</v>
      </c>
      <c r="BM524" t="s">
        <v>1585</v>
      </c>
      <c r="BN524">
        <v>37033062</v>
      </c>
      <c r="BO524" t="s">
        <v>614</v>
      </c>
      <c r="BP524" t="s">
        <v>74</v>
      </c>
      <c r="BQ524" t="s">
        <v>74</v>
      </c>
      <c r="BR524" t="s">
        <v>106</v>
      </c>
      <c r="BS524" t="s">
        <v>1586</v>
      </c>
      <c r="BT524" t="str">
        <f>HYPERLINK("https%3A%2F%2Fwww.webofscience.com%2Fwos%2Fwoscc%2Ffull-record%2FWOS:000962912100001","View Full Record in Web of Science")</f>
        <v>View Full Record in Web of Science</v>
      </c>
    </row>
    <row r="525" spans="1:72" x14ac:dyDescent="0.25">
      <c r="A525" t="s">
        <v>72</v>
      </c>
      <c r="B525" t="s">
        <v>1587</v>
      </c>
      <c r="C525" t="s">
        <v>74</v>
      </c>
      <c r="D525" t="s">
        <v>74</v>
      </c>
      <c r="E525" t="s">
        <v>74</v>
      </c>
      <c r="F525" t="s">
        <v>1588</v>
      </c>
      <c r="G525" t="s">
        <v>74</v>
      </c>
      <c r="H525" t="s">
        <v>74</v>
      </c>
      <c r="I525" s="1" t="s">
        <v>1589</v>
      </c>
      <c r="J525" t="s">
        <v>1590</v>
      </c>
      <c r="K525" t="s">
        <v>74</v>
      </c>
      <c r="L525" t="s">
        <v>74</v>
      </c>
      <c r="M525" t="s">
        <v>78</v>
      </c>
      <c r="N525" t="s">
        <v>79</v>
      </c>
      <c r="O525" t="s">
        <v>74</v>
      </c>
      <c r="P525" t="s">
        <v>74</v>
      </c>
      <c r="Q525" t="s">
        <v>74</v>
      </c>
      <c r="R525" t="s">
        <v>74</v>
      </c>
      <c r="S525" t="s">
        <v>74</v>
      </c>
      <c r="T525" s="1" t="s">
        <v>1591</v>
      </c>
      <c r="U525" s="1" t="s">
        <v>1592</v>
      </c>
      <c r="V525" s="1" t="s">
        <v>1593</v>
      </c>
      <c r="W525" t="s">
        <v>1594</v>
      </c>
      <c r="X525" t="s">
        <v>1595</v>
      </c>
      <c r="Y525" t="s">
        <v>1596</v>
      </c>
      <c r="Z525" t="s">
        <v>1597</v>
      </c>
      <c r="AA525" t="s">
        <v>74</v>
      </c>
      <c r="AB525" t="s">
        <v>74</v>
      </c>
      <c r="AC525" t="s">
        <v>74</v>
      </c>
      <c r="AD525" t="s">
        <v>74</v>
      </c>
      <c r="AE525" t="s">
        <v>74</v>
      </c>
      <c r="AF525" t="s">
        <v>74</v>
      </c>
      <c r="AG525">
        <v>54</v>
      </c>
      <c r="AH525">
        <v>0</v>
      </c>
      <c r="AI525">
        <v>0</v>
      </c>
      <c r="AJ525">
        <v>16</v>
      </c>
      <c r="AK525">
        <v>17</v>
      </c>
      <c r="AL525" t="s">
        <v>231</v>
      </c>
      <c r="AM525" t="s">
        <v>232</v>
      </c>
      <c r="AN525" t="s">
        <v>233</v>
      </c>
      <c r="AO525" t="s">
        <v>1598</v>
      </c>
      <c r="AP525" t="s">
        <v>1599</v>
      </c>
      <c r="AQ525" t="s">
        <v>74</v>
      </c>
      <c r="AR525" t="s">
        <v>1590</v>
      </c>
      <c r="AS525" t="s">
        <v>1600</v>
      </c>
      <c r="AT525" t="s">
        <v>1138</v>
      </c>
      <c r="AU525">
        <v>2023</v>
      </c>
      <c r="AV525">
        <v>45</v>
      </c>
      <c r="AW525" t="s">
        <v>74</v>
      </c>
      <c r="AX525" t="s">
        <v>74</v>
      </c>
      <c r="AY525" t="s">
        <v>74</v>
      </c>
      <c r="AZ525" t="s">
        <v>74</v>
      </c>
      <c r="BA525" t="s">
        <v>74</v>
      </c>
      <c r="BB525">
        <v>201</v>
      </c>
      <c r="BC525">
        <v>209</v>
      </c>
      <c r="BD525" t="s">
        <v>74</v>
      </c>
      <c r="BE525" t="s">
        <v>1601</v>
      </c>
      <c r="BF525" t="str">
        <f>HYPERLINK("http://dx.doi.org/10.1016/j.bodyim.2023.03.004","http://dx.doi.org/10.1016/j.bodyim.2023.03.004")</f>
        <v>http://dx.doi.org/10.1016/j.bodyim.2023.03.004</v>
      </c>
      <c r="BG525" t="s">
        <v>74</v>
      </c>
      <c r="BH525" t="s">
        <v>1476</v>
      </c>
      <c r="BI525">
        <v>9</v>
      </c>
      <c r="BJ525" t="s">
        <v>1602</v>
      </c>
      <c r="BK525" t="s">
        <v>156</v>
      </c>
      <c r="BL525" t="s">
        <v>1603</v>
      </c>
      <c r="BM525" t="s">
        <v>1604</v>
      </c>
      <c r="BN525">
        <v>36958174</v>
      </c>
      <c r="BO525" t="s">
        <v>74</v>
      </c>
      <c r="BP525" t="s">
        <v>74</v>
      </c>
      <c r="BQ525" t="s">
        <v>74</v>
      </c>
      <c r="BR525" t="s">
        <v>106</v>
      </c>
      <c r="BS525" t="s">
        <v>1605</v>
      </c>
      <c r="BT525" t="str">
        <f>HYPERLINK("https%3A%2F%2Fwww.webofscience.com%2Fwos%2Fwoscc%2Ffull-record%2FWOS:000965482500001","View Full Record in Web of Science")</f>
        <v>View Full Record in Web of Science</v>
      </c>
    </row>
    <row r="526" spans="1:72" x14ac:dyDescent="0.25">
      <c r="A526" t="s">
        <v>72</v>
      </c>
      <c r="B526" t="s">
        <v>1606</v>
      </c>
      <c r="C526" t="s">
        <v>74</v>
      </c>
      <c r="D526" t="s">
        <v>74</v>
      </c>
      <c r="E526" t="s">
        <v>74</v>
      </c>
      <c r="F526" t="s">
        <v>1607</v>
      </c>
      <c r="G526" t="s">
        <v>74</v>
      </c>
      <c r="H526" t="s">
        <v>74</v>
      </c>
      <c r="I526" s="1" t="s">
        <v>1608</v>
      </c>
      <c r="J526" t="s">
        <v>1609</v>
      </c>
      <c r="K526" t="s">
        <v>74</v>
      </c>
      <c r="L526" t="s">
        <v>74</v>
      </c>
      <c r="M526" t="s">
        <v>78</v>
      </c>
      <c r="N526" t="s">
        <v>112</v>
      </c>
      <c r="O526" t="s">
        <v>74</v>
      </c>
      <c r="P526" t="s">
        <v>74</v>
      </c>
      <c r="Q526" t="s">
        <v>74</v>
      </c>
      <c r="R526" t="s">
        <v>74</v>
      </c>
      <c r="S526" t="s">
        <v>74</v>
      </c>
      <c r="T526" s="1" t="s">
        <v>1610</v>
      </c>
      <c r="U526" s="1" t="s">
        <v>1611</v>
      </c>
      <c r="V526" s="1" t="s">
        <v>1612</v>
      </c>
      <c r="W526" t="s">
        <v>1613</v>
      </c>
      <c r="X526" t="s">
        <v>1614</v>
      </c>
      <c r="Y526" t="s">
        <v>1615</v>
      </c>
      <c r="Z526" t="s">
        <v>1616</v>
      </c>
      <c r="AA526" t="s">
        <v>74</v>
      </c>
      <c r="AB526" t="s">
        <v>1617</v>
      </c>
      <c r="AC526" t="s">
        <v>74</v>
      </c>
      <c r="AD526" t="s">
        <v>74</v>
      </c>
      <c r="AE526" t="s">
        <v>74</v>
      </c>
      <c r="AF526" t="s">
        <v>74</v>
      </c>
      <c r="AG526">
        <v>56</v>
      </c>
      <c r="AH526">
        <v>0</v>
      </c>
      <c r="AI526">
        <v>0</v>
      </c>
      <c r="AJ526">
        <v>6</v>
      </c>
      <c r="AK526">
        <v>11</v>
      </c>
      <c r="AL526" t="s">
        <v>715</v>
      </c>
      <c r="AM526" t="s">
        <v>716</v>
      </c>
      <c r="AN526" t="s">
        <v>717</v>
      </c>
      <c r="AO526" t="s">
        <v>1618</v>
      </c>
      <c r="AP526" t="s">
        <v>74</v>
      </c>
      <c r="AQ526" t="s">
        <v>74</v>
      </c>
      <c r="AR526" t="s">
        <v>1619</v>
      </c>
      <c r="AS526" t="s">
        <v>1620</v>
      </c>
      <c r="AT526" t="s">
        <v>1621</v>
      </c>
      <c r="AU526">
        <v>2023</v>
      </c>
      <c r="AV526" t="s">
        <v>74</v>
      </c>
      <c r="AW526" t="s">
        <v>74</v>
      </c>
      <c r="AX526" t="s">
        <v>74</v>
      </c>
      <c r="AY526" t="s">
        <v>74</v>
      </c>
      <c r="AZ526" t="s">
        <v>74</v>
      </c>
      <c r="BA526" t="s">
        <v>74</v>
      </c>
      <c r="BB526" t="s">
        <v>74</v>
      </c>
      <c r="BC526" t="s">
        <v>74</v>
      </c>
      <c r="BD526" t="s">
        <v>74</v>
      </c>
      <c r="BE526" t="s">
        <v>1622</v>
      </c>
      <c r="BF526" t="str">
        <f>HYPERLINK("http://dx.doi.org/10.1108/JSMA-02-2022-0041","http://dx.doi.org/10.1108/JSMA-02-2022-0041")</f>
        <v>http://dx.doi.org/10.1108/JSMA-02-2022-0041</v>
      </c>
      <c r="BG526" t="s">
        <v>74</v>
      </c>
      <c r="BH526" t="s">
        <v>1476</v>
      </c>
      <c r="BI526">
        <v>17</v>
      </c>
      <c r="BJ526" t="s">
        <v>315</v>
      </c>
      <c r="BK526" t="s">
        <v>183</v>
      </c>
      <c r="BL526" t="s">
        <v>265</v>
      </c>
      <c r="BM526" t="s">
        <v>1623</v>
      </c>
      <c r="BN526" t="s">
        <v>74</v>
      </c>
      <c r="BO526" t="s">
        <v>74</v>
      </c>
      <c r="BP526" t="s">
        <v>74</v>
      </c>
      <c r="BQ526" t="s">
        <v>74</v>
      </c>
      <c r="BR526" t="s">
        <v>106</v>
      </c>
      <c r="BS526" t="s">
        <v>1624</v>
      </c>
      <c r="BT526" t="str">
        <f>HYPERLINK("https%3A%2F%2Fwww.webofscience.com%2Fwos%2Fwoscc%2Ffull-record%2FWOS:000948811100001","View Full Record in Web of Science")</f>
        <v>View Full Record in Web of Science</v>
      </c>
    </row>
    <row r="527" spans="1:72" x14ac:dyDescent="0.25">
      <c r="A527" t="s">
        <v>72</v>
      </c>
      <c r="B527" t="s">
        <v>1668</v>
      </c>
      <c r="C527" t="s">
        <v>74</v>
      </c>
      <c r="D527" t="s">
        <v>74</v>
      </c>
      <c r="E527" t="s">
        <v>74</v>
      </c>
      <c r="F527" t="s">
        <v>1669</v>
      </c>
      <c r="G527" t="s">
        <v>74</v>
      </c>
      <c r="H527" t="s">
        <v>74</v>
      </c>
      <c r="I527" s="1" t="s">
        <v>1670</v>
      </c>
      <c r="J527" t="s">
        <v>1671</v>
      </c>
      <c r="K527" t="s">
        <v>74</v>
      </c>
      <c r="L527" t="s">
        <v>74</v>
      </c>
      <c r="M527" t="s">
        <v>78</v>
      </c>
      <c r="N527" t="s">
        <v>79</v>
      </c>
      <c r="O527" t="s">
        <v>74</v>
      </c>
      <c r="P527" t="s">
        <v>74</v>
      </c>
      <c r="Q527" t="s">
        <v>74</v>
      </c>
      <c r="R527" t="s">
        <v>74</v>
      </c>
      <c r="S527" t="s">
        <v>74</v>
      </c>
      <c r="T527" s="1" t="s">
        <v>1672</v>
      </c>
      <c r="U527" s="1" t="s">
        <v>74</v>
      </c>
      <c r="V527" s="1" t="s">
        <v>1673</v>
      </c>
      <c r="W527" t="s">
        <v>1674</v>
      </c>
      <c r="X527" t="s">
        <v>74</v>
      </c>
      <c r="Y527" t="s">
        <v>1675</v>
      </c>
      <c r="Z527" t="s">
        <v>1676</v>
      </c>
      <c r="AA527" t="s">
        <v>74</v>
      </c>
      <c r="AB527" t="s">
        <v>74</v>
      </c>
      <c r="AC527" t="s">
        <v>74</v>
      </c>
      <c r="AD527" t="s">
        <v>74</v>
      </c>
      <c r="AE527" t="s">
        <v>74</v>
      </c>
      <c r="AF527" t="s">
        <v>74</v>
      </c>
      <c r="AG527">
        <v>12</v>
      </c>
      <c r="AH527">
        <v>0</v>
      </c>
      <c r="AI527">
        <v>0</v>
      </c>
      <c r="AJ527">
        <v>1</v>
      </c>
      <c r="AK527">
        <v>1</v>
      </c>
      <c r="AL527" t="s">
        <v>1677</v>
      </c>
      <c r="AM527" t="s">
        <v>1678</v>
      </c>
      <c r="AN527" t="s">
        <v>1679</v>
      </c>
      <c r="AO527" t="s">
        <v>1680</v>
      </c>
      <c r="AP527" t="s">
        <v>74</v>
      </c>
      <c r="AQ527" t="s">
        <v>74</v>
      </c>
      <c r="AR527" t="s">
        <v>1681</v>
      </c>
      <c r="AS527" t="s">
        <v>1682</v>
      </c>
      <c r="AT527" t="s">
        <v>1683</v>
      </c>
      <c r="AU527">
        <v>2023</v>
      </c>
      <c r="AV527" t="s">
        <v>74</v>
      </c>
      <c r="AW527">
        <v>145</v>
      </c>
      <c r="AX527" t="s">
        <v>74</v>
      </c>
      <c r="AY527" t="s">
        <v>74</v>
      </c>
      <c r="AZ527" t="s">
        <v>74</v>
      </c>
      <c r="BA527" t="s">
        <v>74</v>
      </c>
      <c r="BB527">
        <v>15</v>
      </c>
      <c r="BC527">
        <v>20</v>
      </c>
      <c r="BD527" t="s">
        <v>74</v>
      </c>
      <c r="BE527" t="s">
        <v>74</v>
      </c>
      <c r="BF527" t="s">
        <v>74</v>
      </c>
      <c r="BG527" t="s">
        <v>74</v>
      </c>
      <c r="BH527" t="s">
        <v>74</v>
      </c>
      <c r="BI527">
        <v>6</v>
      </c>
      <c r="BJ527" t="s">
        <v>1684</v>
      </c>
      <c r="BK527" t="s">
        <v>183</v>
      </c>
      <c r="BL527" t="s">
        <v>1685</v>
      </c>
      <c r="BM527" t="s">
        <v>1686</v>
      </c>
      <c r="BN527" t="s">
        <v>74</v>
      </c>
      <c r="BO527" t="s">
        <v>74</v>
      </c>
      <c r="BP527" t="s">
        <v>74</v>
      </c>
      <c r="BQ527" t="s">
        <v>74</v>
      </c>
      <c r="BR527" t="s">
        <v>106</v>
      </c>
      <c r="BS527" t="s">
        <v>1687</v>
      </c>
      <c r="BT527" t="str">
        <f>HYPERLINK("https%3A%2F%2Fwww.webofscience.com%2Fwos%2Fwoscc%2Ffull-record%2FWOS:001029367800004","View Full Record in Web of Science")</f>
        <v>View Full Record in Web of Science</v>
      </c>
    </row>
    <row r="528" spans="1:72" x14ac:dyDescent="0.25">
      <c r="A528" t="s">
        <v>72</v>
      </c>
      <c r="B528" t="s">
        <v>1688</v>
      </c>
      <c r="C528" t="s">
        <v>74</v>
      </c>
      <c r="D528" t="s">
        <v>74</v>
      </c>
      <c r="E528" t="s">
        <v>74</v>
      </c>
      <c r="F528" t="s">
        <v>1689</v>
      </c>
      <c r="G528" t="s">
        <v>74</v>
      </c>
      <c r="H528" t="s">
        <v>74</v>
      </c>
      <c r="I528" s="1" t="s">
        <v>1690</v>
      </c>
      <c r="J528" t="s">
        <v>1691</v>
      </c>
      <c r="K528" t="s">
        <v>74</v>
      </c>
      <c r="L528" t="s">
        <v>74</v>
      </c>
      <c r="M528" t="s">
        <v>78</v>
      </c>
      <c r="N528" t="s">
        <v>79</v>
      </c>
      <c r="O528" t="s">
        <v>74</v>
      </c>
      <c r="P528" t="s">
        <v>74</v>
      </c>
      <c r="Q528" t="s">
        <v>74</v>
      </c>
      <c r="R528" t="s">
        <v>74</v>
      </c>
      <c r="S528" t="s">
        <v>74</v>
      </c>
      <c r="T528" s="1" t="s">
        <v>1692</v>
      </c>
      <c r="U528" s="1" t="s">
        <v>1693</v>
      </c>
      <c r="V528" s="1" t="s">
        <v>1694</v>
      </c>
      <c r="W528" t="s">
        <v>1695</v>
      </c>
      <c r="X528" t="s">
        <v>1696</v>
      </c>
      <c r="Y528" t="s">
        <v>1697</v>
      </c>
      <c r="Z528" t="s">
        <v>74</v>
      </c>
      <c r="AA528" t="s">
        <v>74</v>
      </c>
      <c r="AB528" t="s">
        <v>74</v>
      </c>
      <c r="AC528" t="s">
        <v>1698</v>
      </c>
      <c r="AD528" t="s">
        <v>1699</v>
      </c>
      <c r="AE528" t="s">
        <v>1700</v>
      </c>
      <c r="AF528" t="s">
        <v>74</v>
      </c>
      <c r="AG528">
        <v>49</v>
      </c>
      <c r="AH528">
        <v>0</v>
      </c>
      <c r="AI528">
        <v>0</v>
      </c>
      <c r="AJ528">
        <v>0</v>
      </c>
      <c r="AK528">
        <v>0</v>
      </c>
      <c r="AL528" t="s">
        <v>1701</v>
      </c>
      <c r="AM528" t="s">
        <v>1702</v>
      </c>
      <c r="AN528" t="s">
        <v>1703</v>
      </c>
      <c r="AO528" t="s">
        <v>1704</v>
      </c>
      <c r="AP528" t="s">
        <v>1705</v>
      </c>
      <c r="AQ528" t="s">
        <v>74</v>
      </c>
      <c r="AR528" t="s">
        <v>1706</v>
      </c>
      <c r="AS528" t="s">
        <v>1707</v>
      </c>
      <c r="AT528" t="s">
        <v>1683</v>
      </c>
      <c r="AU528">
        <v>2023</v>
      </c>
      <c r="AV528">
        <v>17</v>
      </c>
      <c r="AW528">
        <v>1</v>
      </c>
      <c r="AX528" t="s">
        <v>74</v>
      </c>
      <c r="AY528" t="s">
        <v>74</v>
      </c>
      <c r="AZ528" t="s">
        <v>74</v>
      </c>
      <c r="BA528" t="s">
        <v>74</v>
      </c>
      <c r="BB528">
        <v>74</v>
      </c>
      <c r="BC528">
        <v>125</v>
      </c>
      <c r="BD528" t="s">
        <v>74</v>
      </c>
      <c r="BE528" t="s">
        <v>1708</v>
      </c>
      <c r="BF528" t="str">
        <f>HYPERLINK("http://dx.doi.org/10.3868/s070-008-023-0005-7","http://dx.doi.org/10.3868/s070-008-023-0005-7")</f>
        <v>http://dx.doi.org/10.3868/s070-008-023-0005-7</v>
      </c>
      <c r="BG528" t="s">
        <v>74</v>
      </c>
      <c r="BH528" t="s">
        <v>74</v>
      </c>
      <c r="BI528">
        <v>52</v>
      </c>
      <c r="BJ528" t="s">
        <v>1023</v>
      </c>
      <c r="BK528" t="s">
        <v>183</v>
      </c>
      <c r="BL528" t="s">
        <v>265</v>
      </c>
      <c r="BM528" t="s">
        <v>1709</v>
      </c>
      <c r="BN528" t="s">
        <v>74</v>
      </c>
      <c r="BO528" t="s">
        <v>74</v>
      </c>
      <c r="BP528" t="s">
        <v>74</v>
      </c>
      <c r="BQ528" t="s">
        <v>74</v>
      </c>
      <c r="BR528" t="s">
        <v>106</v>
      </c>
      <c r="BS528" t="s">
        <v>1710</v>
      </c>
      <c r="BT528" t="str">
        <f>HYPERLINK("https%3A%2F%2Fwww.webofscience.com%2Fwos%2Fwoscc%2Ffull-record%2FWOS:001089672500006","View Full Record in Web of Science")</f>
        <v>View Full Record in Web of Science</v>
      </c>
    </row>
    <row r="529" spans="1:72" x14ac:dyDescent="0.25">
      <c r="A529" t="s">
        <v>72</v>
      </c>
      <c r="B529" t="s">
        <v>1733</v>
      </c>
      <c r="C529" t="s">
        <v>74</v>
      </c>
      <c r="D529" t="s">
        <v>74</v>
      </c>
      <c r="E529" t="s">
        <v>74</v>
      </c>
      <c r="F529" t="s">
        <v>1734</v>
      </c>
      <c r="G529" t="s">
        <v>74</v>
      </c>
      <c r="H529" t="s">
        <v>74</v>
      </c>
      <c r="I529" s="1" t="s">
        <v>1735</v>
      </c>
      <c r="J529" t="s">
        <v>1736</v>
      </c>
      <c r="K529" t="s">
        <v>74</v>
      </c>
      <c r="L529" t="s">
        <v>74</v>
      </c>
      <c r="M529" t="s">
        <v>78</v>
      </c>
      <c r="N529" t="s">
        <v>79</v>
      </c>
      <c r="O529" t="s">
        <v>74</v>
      </c>
      <c r="P529" t="s">
        <v>74</v>
      </c>
      <c r="Q529" t="s">
        <v>74</v>
      </c>
      <c r="R529" t="s">
        <v>74</v>
      </c>
      <c r="S529" t="s">
        <v>74</v>
      </c>
      <c r="T529" s="1" t="s">
        <v>1737</v>
      </c>
      <c r="U529" s="1" t="s">
        <v>74</v>
      </c>
      <c r="V529" s="1" t="s">
        <v>1738</v>
      </c>
      <c r="W529" t="s">
        <v>1739</v>
      </c>
      <c r="X529" t="s">
        <v>1740</v>
      </c>
      <c r="Y529" t="s">
        <v>1741</v>
      </c>
      <c r="Z529" t="s">
        <v>1742</v>
      </c>
      <c r="AA529" t="s">
        <v>74</v>
      </c>
      <c r="AB529" t="s">
        <v>74</v>
      </c>
      <c r="AC529" t="s">
        <v>74</v>
      </c>
      <c r="AD529" t="s">
        <v>74</v>
      </c>
      <c r="AE529" t="s">
        <v>74</v>
      </c>
      <c r="AF529" t="s">
        <v>74</v>
      </c>
      <c r="AG529">
        <v>41</v>
      </c>
      <c r="AH529">
        <v>0</v>
      </c>
      <c r="AI529">
        <v>0</v>
      </c>
      <c r="AJ529">
        <v>3</v>
      </c>
      <c r="AK529">
        <v>3</v>
      </c>
      <c r="AL529" t="s">
        <v>1743</v>
      </c>
      <c r="AM529" t="s">
        <v>1744</v>
      </c>
      <c r="AN529" t="s">
        <v>1745</v>
      </c>
      <c r="AO529" t="s">
        <v>1746</v>
      </c>
      <c r="AP529" t="s">
        <v>74</v>
      </c>
      <c r="AQ529" t="s">
        <v>74</v>
      </c>
      <c r="AR529" t="s">
        <v>1747</v>
      </c>
      <c r="AS529" t="s">
        <v>1748</v>
      </c>
      <c r="AT529" t="s">
        <v>1683</v>
      </c>
      <c r="AU529">
        <v>2023</v>
      </c>
      <c r="AV529">
        <v>62</v>
      </c>
      <c r="AW529">
        <v>2</v>
      </c>
      <c r="AX529" t="s">
        <v>74</v>
      </c>
      <c r="AY529" t="s">
        <v>74</v>
      </c>
      <c r="AZ529" t="s">
        <v>74</v>
      </c>
      <c r="BA529" t="s">
        <v>74</v>
      </c>
      <c r="BB529">
        <v>165</v>
      </c>
      <c r="BC529">
        <v>193</v>
      </c>
      <c r="BD529" t="s">
        <v>74</v>
      </c>
      <c r="BE529" t="s">
        <v>1749</v>
      </c>
      <c r="BF529" t="str">
        <f>HYPERLINK("http://dx.doi.org/10.4151/07189729-Vol.62-Iss.2-Art.1422","http://dx.doi.org/10.4151/07189729-Vol.62-Iss.2-Art.1422")</f>
        <v>http://dx.doi.org/10.4151/07189729-Vol.62-Iss.2-Art.1422</v>
      </c>
      <c r="BG529" t="s">
        <v>74</v>
      </c>
      <c r="BH529" t="s">
        <v>74</v>
      </c>
      <c r="BI529">
        <v>29</v>
      </c>
      <c r="BJ529" t="s">
        <v>1326</v>
      </c>
      <c r="BK529" t="s">
        <v>183</v>
      </c>
      <c r="BL529" t="s">
        <v>1326</v>
      </c>
      <c r="BM529" t="s">
        <v>1750</v>
      </c>
      <c r="BN529" t="s">
        <v>74</v>
      </c>
      <c r="BO529" t="s">
        <v>186</v>
      </c>
      <c r="BP529" t="s">
        <v>74</v>
      </c>
      <c r="BQ529" t="s">
        <v>74</v>
      </c>
      <c r="BR529" t="s">
        <v>106</v>
      </c>
      <c r="BS529" t="s">
        <v>1751</v>
      </c>
      <c r="BT529" t="str">
        <f>HYPERLINK("https%3A%2F%2Fwww.webofscience.com%2Fwos%2Fwoscc%2Ffull-record%2FWOS:001059716100008","View Full Record in Web of Science")</f>
        <v>View Full Record in Web of Science</v>
      </c>
    </row>
    <row r="530" spans="1:72" x14ac:dyDescent="0.25">
      <c r="A530" t="s">
        <v>72</v>
      </c>
      <c r="B530" t="s">
        <v>1795</v>
      </c>
      <c r="C530" t="s">
        <v>74</v>
      </c>
      <c r="D530" t="s">
        <v>74</v>
      </c>
      <c r="E530" t="s">
        <v>74</v>
      </c>
      <c r="F530" t="s">
        <v>1796</v>
      </c>
      <c r="G530" t="s">
        <v>74</v>
      </c>
      <c r="H530" t="s">
        <v>74</v>
      </c>
      <c r="I530" s="1" t="s">
        <v>1797</v>
      </c>
      <c r="J530" t="s">
        <v>1798</v>
      </c>
      <c r="K530" t="s">
        <v>74</v>
      </c>
      <c r="L530" t="s">
        <v>74</v>
      </c>
      <c r="M530" t="s">
        <v>78</v>
      </c>
      <c r="N530" t="s">
        <v>79</v>
      </c>
      <c r="O530" t="s">
        <v>74</v>
      </c>
      <c r="P530" t="s">
        <v>74</v>
      </c>
      <c r="Q530" t="s">
        <v>74</v>
      </c>
      <c r="R530" t="s">
        <v>74</v>
      </c>
      <c r="S530" t="s">
        <v>74</v>
      </c>
      <c r="T530" s="1" t="s">
        <v>1799</v>
      </c>
      <c r="U530" s="1" t="s">
        <v>1800</v>
      </c>
      <c r="V530" s="1" t="s">
        <v>1801</v>
      </c>
      <c r="W530" t="s">
        <v>1802</v>
      </c>
      <c r="X530" t="s">
        <v>1803</v>
      </c>
      <c r="Y530" t="s">
        <v>1804</v>
      </c>
      <c r="Z530" t="s">
        <v>1805</v>
      </c>
      <c r="AA530" t="s">
        <v>1806</v>
      </c>
      <c r="AB530" t="s">
        <v>1807</v>
      </c>
      <c r="AC530" t="s">
        <v>74</v>
      </c>
      <c r="AD530" t="s">
        <v>74</v>
      </c>
      <c r="AE530" t="s">
        <v>74</v>
      </c>
      <c r="AF530" t="s">
        <v>74</v>
      </c>
      <c r="AG530">
        <v>102</v>
      </c>
      <c r="AH530">
        <v>0</v>
      </c>
      <c r="AI530">
        <v>0</v>
      </c>
      <c r="AJ530">
        <v>10</v>
      </c>
      <c r="AK530">
        <v>18</v>
      </c>
      <c r="AL530" t="s">
        <v>715</v>
      </c>
      <c r="AM530" t="s">
        <v>716</v>
      </c>
      <c r="AN530" t="s">
        <v>717</v>
      </c>
      <c r="AO530" t="s">
        <v>1808</v>
      </c>
      <c r="AP530" t="s">
        <v>1809</v>
      </c>
      <c r="AQ530" t="s">
        <v>74</v>
      </c>
      <c r="AR530" t="s">
        <v>1810</v>
      </c>
      <c r="AS530" t="s">
        <v>1811</v>
      </c>
      <c r="AT530" t="s">
        <v>1812</v>
      </c>
      <c r="AU530">
        <v>2023</v>
      </c>
      <c r="AV530">
        <v>38</v>
      </c>
      <c r="AW530">
        <v>8</v>
      </c>
      <c r="AX530" t="s">
        <v>74</v>
      </c>
      <c r="AY530" t="s">
        <v>74</v>
      </c>
      <c r="AZ530" t="s">
        <v>1020</v>
      </c>
      <c r="BA530" t="s">
        <v>74</v>
      </c>
      <c r="BB530">
        <v>1738</v>
      </c>
      <c r="BC530">
        <v>1753</v>
      </c>
      <c r="BD530" t="s">
        <v>74</v>
      </c>
      <c r="BE530" t="s">
        <v>1813</v>
      </c>
      <c r="BF530" t="str">
        <f>HYPERLINK("http://dx.doi.org/10.1108/JBIM-01-2022-0056","http://dx.doi.org/10.1108/JBIM-01-2022-0056")</f>
        <v>http://dx.doi.org/10.1108/JBIM-01-2022-0056</v>
      </c>
      <c r="BG530" t="s">
        <v>74</v>
      </c>
      <c r="BH530" t="s">
        <v>1792</v>
      </c>
      <c r="BI530">
        <v>16</v>
      </c>
      <c r="BJ530" t="s">
        <v>1023</v>
      </c>
      <c r="BK530" t="s">
        <v>156</v>
      </c>
      <c r="BL530" t="s">
        <v>265</v>
      </c>
      <c r="BM530" t="s">
        <v>1814</v>
      </c>
      <c r="BN530" t="s">
        <v>74</v>
      </c>
      <c r="BO530" t="s">
        <v>74</v>
      </c>
      <c r="BP530" t="s">
        <v>74</v>
      </c>
      <c r="BQ530" t="s">
        <v>74</v>
      </c>
      <c r="BR530" t="s">
        <v>106</v>
      </c>
      <c r="BS530" t="s">
        <v>1815</v>
      </c>
      <c r="BT530" t="str">
        <f>HYPERLINK("https%3A%2F%2Fwww.webofscience.com%2Fwos%2Fwoscc%2Ffull-record%2FWOS:000937324900001","View Full Record in Web of Science")</f>
        <v>View Full Record in Web of Science</v>
      </c>
    </row>
    <row r="531" spans="1:72" x14ac:dyDescent="0.25">
      <c r="A531" t="s">
        <v>72</v>
      </c>
      <c r="B531" t="s">
        <v>1842</v>
      </c>
      <c r="C531" t="s">
        <v>74</v>
      </c>
      <c r="D531" t="s">
        <v>74</v>
      </c>
      <c r="E531" t="s">
        <v>74</v>
      </c>
      <c r="F531" t="s">
        <v>1843</v>
      </c>
      <c r="G531" t="s">
        <v>74</v>
      </c>
      <c r="H531" t="s">
        <v>74</v>
      </c>
      <c r="I531" s="1" t="s">
        <v>1844</v>
      </c>
      <c r="J531" t="s">
        <v>1845</v>
      </c>
      <c r="K531" t="s">
        <v>74</v>
      </c>
      <c r="L531" t="s">
        <v>74</v>
      </c>
      <c r="M531" t="s">
        <v>78</v>
      </c>
      <c r="N531" t="s">
        <v>79</v>
      </c>
      <c r="O531" t="s">
        <v>74</v>
      </c>
      <c r="P531" t="s">
        <v>74</v>
      </c>
      <c r="Q531" t="s">
        <v>74</v>
      </c>
      <c r="R531" t="s">
        <v>74</v>
      </c>
      <c r="S531" t="s">
        <v>74</v>
      </c>
      <c r="T531" s="1" t="s">
        <v>1846</v>
      </c>
      <c r="U531" s="1" t="s">
        <v>1847</v>
      </c>
      <c r="V531" s="1" t="s">
        <v>1848</v>
      </c>
      <c r="W531" t="s">
        <v>1849</v>
      </c>
      <c r="X531" t="s">
        <v>1850</v>
      </c>
      <c r="Y531" t="s">
        <v>1851</v>
      </c>
      <c r="Z531" t="s">
        <v>1852</v>
      </c>
      <c r="AA531" t="s">
        <v>74</v>
      </c>
      <c r="AB531" t="s">
        <v>74</v>
      </c>
      <c r="AC531" t="s">
        <v>1853</v>
      </c>
      <c r="AD531" t="s">
        <v>1854</v>
      </c>
      <c r="AE531" t="s">
        <v>1855</v>
      </c>
      <c r="AF531" t="s">
        <v>74</v>
      </c>
      <c r="AG531">
        <v>58</v>
      </c>
      <c r="AH531">
        <v>0</v>
      </c>
      <c r="AI531">
        <v>0</v>
      </c>
      <c r="AJ531">
        <v>0</v>
      </c>
      <c r="AK531">
        <v>0</v>
      </c>
      <c r="AL531" t="s">
        <v>1856</v>
      </c>
      <c r="AM531" t="s">
        <v>1857</v>
      </c>
      <c r="AN531" t="s">
        <v>1858</v>
      </c>
      <c r="AO531" t="s">
        <v>1859</v>
      </c>
      <c r="AP531" t="s">
        <v>1860</v>
      </c>
      <c r="AQ531" t="s">
        <v>74</v>
      </c>
      <c r="AR531" t="s">
        <v>1845</v>
      </c>
      <c r="AS531" t="s">
        <v>1861</v>
      </c>
      <c r="AT531" t="s">
        <v>1683</v>
      </c>
      <c r="AU531">
        <v>2023</v>
      </c>
      <c r="AV531">
        <v>30</v>
      </c>
      <c r="AW531">
        <v>1</v>
      </c>
      <c r="AX531" t="s">
        <v>74</v>
      </c>
      <c r="AY531" t="s">
        <v>74</v>
      </c>
      <c r="AZ531" t="s">
        <v>74</v>
      </c>
      <c r="BA531" t="s">
        <v>74</v>
      </c>
      <c r="BB531">
        <v>70</v>
      </c>
      <c r="BC531">
        <v>90</v>
      </c>
      <c r="BD531" t="s">
        <v>74</v>
      </c>
      <c r="BE531" t="s">
        <v>1862</v>
      </c>
      <c r="BF531" t="str">
        <f>HYPERLINK("http://dx.doi.org/10.1057/s41286-023-00148-9","http://dx.doi.org/10.1057/s41286-023-00148-9")</f>
        <v>http://dx.doi.org/10.1057/s41286-023-00148-9</v>
      </c>
      <c r="BG531" t="s">
        <v>74</v>
      </c>
      <c r="BH531" t="s">
        <v>1792</v>
      </c>
      <c r="BI531">
        <v>21</v>
      </c>
      <c r="BJ531" t="s">
        <v>942</v>
      </c>
      <c r="BK531" t="s">
        <v>183</v>
      </c>
      <c r="BL531" t="s">
        <v>943</v>
      </c>
      <c r="BM531" t="s">
        <v>1863</v>
      </c>
      <c r="BN531" t="s">
        <v>74</v>
      </c>
      <c r="BO531" t="s">
        <v>74</v>
      </c>
      <c r="BP531" t="s">
        <v>74</v>
      </c>
      <c r="BQ531" t="s">
        <v>74</v>
      </c>
      <c r="BR531" t="s">
        <v>106</v>
      </c>
      <c r="BS531" t="s">
        <v>1864</v>
      </c>
      <c r="BT531" t="str">
        <f>HYPERLINK("https%3A%2F%2Fwww.webofscience.com%2Fwos%2Fwoscc%2Ffull-record%2FWOS:000988262300001","View Full Record in Web of Science")</f>
        <v>View Full Record in Web of Science</v>
      </c>
    </row>
    <row r="532" spans="1:72" x14ac:dyDescent="0.25">
      <c r="A532" t="s">
        <v>72</v>
      </c>
      <c r="B532" t="s">
        <v>1908</v>
      </c>
      <c r="C532" t="s">
        <v>74</v>
      </c>
      <c r="D532" t="s">
        <v>74</v>
      </c>
      <c r="E532" t="s">
        <v>74</v>
      </c>
      <c r="F532" t="s">
        <v>1909</v>
      </c>
      <c r="G532" t="s">
        <v>74</v>
      </c>
      <c r="H532" t="s">
        <v>74</v>
      </c>
      <c r="I532" s="1" t="s">
        <v>1910</v>
      </c>
      <c r="J532" t="s">
        <v>1911</v>
      </c>
      <c r="K532" t="s">
        <v>74</v>
      </c>
      <c r="L532" t="s">
        <v>74</v>
      </c>
      <c r="M532" t="s">
        <v>78</v>
      </c>
      <c r="N532" t="s">
        <v>79</v>
      </c>
      <c r="O532" t="s">
        <v>74</v>
      </c>
      <c r="P532" t="s">
        <v>74</v>
      </c>
      <c r="Q532" t="s">
        <v>74</v>
      </c>
      <c r="R532" t="s">
        <v>74</v>
      </c>
      <c r="S532" t="s">
        <v>74</v>
      </c>
      <c r="T532" s="1" t="s">
        <v>1912</v>
      </c>
      <c r="U532" s="1" t="s">
        <v>1913</v>
      </c>
      <c r="V532" s="1" t="s">
        <v>1914</v>
      </c>
      <c r="W532" t="s">
        <v>1915</v>
      </c>
      <c r="X532" t="s">
        <v>1916</v>
      </c>
      <c r="Y532" t="s">
        <v>1917</v>
      </c>
      <c r="Z532" t="s">
        <v>1918</v>
      </c>
      <c r="AA532" t="s">
        <v>74</v>
      </c>
      <c r="AB532" t="s">
        <v>74</v>
      </c>
      <c r="AC532" t="s">
        <v>74</v>
      </c>
      <c r="AD532" t="s">
        <v>74</v>
      </c>
      <c r="AE532" t="s">
        <v>74</v>
      </c>
      <c r="AF532" t="s">
        <v>74</v>
      </c>
      <c r="AG532">
        <v>129</v>
      </c>
      <c r="AH532">
        <v>0</v>
      </c>
      <c r="AI532">
        <v>0</v>
      </c>
      <c r="AJ532">
        <v>5</v>
      </c>
      <c r="AK532">
        <v>5</v>
      </c>
      <c r="AL532" t="s">
        <v>1919</v>
      </c>
      <c r="AM532" t="s">
        <v>1920</v>
      </c>
      <c r="AN532" t="s">
        <v>1921</v>
      </c>
      <c r="AO532" t="s">
        <v>1922</v>
      </c>
      <c r="AP532" t="s">
        <v>1923</v>
      </c>
      <c r="AQ532" t="s">
        <v>74</v>
      </c>
      <c r="AR532" t="s">
        <v>1924</v>
      </c>
      <c r="AS532" t="s">
        <v>1925</v>
      </c>
      <c r="AT532" t="s">
        <v>1904</v>
      </c>
      <c r="AU532">
        <v>2023</v>
      </c>
      <c r="AV532">
        <v>27</v>
      </c>
      <c r="AW532" t="s">
        <v>1926</v>
      </c>
      <c r="AX532" t="s">
        <v>74</v>
      </c>
      <c r="AY532" t="s">
        <v>74</v>
      </c>
      <c r="AZ532" t="s">
        <v>74</v>
      </c>
      <c r="BA532" t="s">
        <v>74</v>
      </c>
      <c r="BB532" t="s">
        <v>74</v>
      </c>
      <c r="BC532" t="s">
        <v>74</v>
      </c>
      <c r="BD532">
        <v>2350011</v>
      </c>
      <c r="BE532" t="s">
        <v>1927</v>
      </c>
      <c r="BF532" t="str">
        <f>HYPERLINK("http://dx.doi.org/10.1142/S1363919623500111","http://dx.doi.org/10.1142/S1363919623500111")</f>
        <v>http://dx.doi.org/10.1142/S1363919623500111</v>
      </c>
      <c r="BG532" t="s">
        <v>74</v>
      </c>
      <c r="BH532" t="s">
        <v>74</v>
      </c>
      <c r="BI532">
        <v>34</v>
      </c>
      <c r="BJ532" t="s">
        <v>315</v>
      </c>
      <c r="BK532" t="s">
        <v>183</v>
      </c>
      <c r="BL532" t="s">
        <v>265</v>
      </c>
      <c r="BM532" t="s">
        <v>1928</v>
      </c>
      <c r="BN532" t="s">
        <v>74</v>
      </c>
      <c r="BO532" t="s">
        <v>74</v>
      </c>
      <c r="BP532" t="s">
        <v>74</v>
      </c>
      <c r="BQ532" t="s">
        <v>74</v>
      </c>
      <c r="BR532" t="s">
        <v>106</v>
      </c>
      <c r="BS532" t="s">
        <v>1929</v>
      </c>
      <c r="BT532" t="str">
        <f>HYPERLINK("https%3A%2F%2Fwww.webofscience.com%2Fwos%2Fwoscc%2Ffull-record%2FWOS:001058807900009","View Full Record in Web of Science")</f>
        <v>View Full Record in Web of Science</v>
      </c>
    </row>
    <row r="533" spans="1:72" x14ac:dyDescent="0.25">
      <c r="A533" t="s">
        <v>72</v>
      </c>
      <c r="B533" t="s">
        <v>1930</v>
      </c>
      <c r="C533" t="s">
        <v>74</v>
      </c>
      <c r="D533" t="s">
        <v>74</v>
      </c>
      <c r="E533" t="s">
        <v>74</v>
      </c>
      <c r="F533" t="s">
        <v>1931</v>
      </c>
      <c r="G533" t="s">
        <v>74</v>
      </c>
      <c r="H533" t="s">
        <v>74</v>
      </c>
      <c r="I533" s="1" t="s">
        <v>1932</v>
      </c>
      <c r="J533" t="s">
        <v>191</v>
      </c>
      <c r="K533" t="s">
        <v>74</v>
      </c>
      <c r="L533" t="s">
        <v>74</v>
      </c>
      <c r="M533" t="s">
        <v>78</v>
      </c>
      <c r="N533" t="s">
        <v>79</v>
      </c>
      <c r="O533" t="s">
        <v>74</v>
      </c>
      <c r="P533" t="s">
        <v>74</v>
      </c>
      <c r="Q533" t="s">
        <v>74</v>
      </c>
      <c r="R533" t="s">
        <v>74</v>
      </c>
      <c r="S533" t="s">
        <v>74</v>
      </c>
      <c r="T533" s="1" t="s">
        <v>1933</v>
      </c>
      <c r="U533" s="1" t="s">
        <v>1934</v>
      </c>
      <c r="V533" s="1" t="s">
        <v>1935</v>
      </c>
      <c r="W533" t="s">
        <v>1936</v>
      </c>
      <c r="X533" t="s">
        <v>1937</v>
      </c>
      <c r="Y533" t="s">
        <v>1938</v>
      </c>
      <c r="Z533" t="s">
        <v>1939</v>
      </c>
      <c r="AA533" t="s">
        <v>74</v>
      </c>
      <c r="AB533" t="s">
        <v>74</v>
      </c>
      <c r="AC533" t="s">
        <v>74</v>
      </c>
      <c r="AD533" t="s">
        <v>74</v>
      </c>
      <c r="AE533" t="s">
        <v>74</v>
      </c>
      <c r="AF533" t="s">
        <v>74</v>
      </c>
      <c r="AG533">
        <v>106</v>
      </c>
      <c r="AH533">
        <v>0</v>
      </c>
      <c r="AI533">
        <v>0</v>
      </c>
      <c r="AJ533">
        <v>25</v>
      </c>
      <c r="AK533">
        <v>36</v>
      </c>
      <c r="AL533" t="s">
        <v>202</v>
      </c>
      <c r="AM533" t="s">
        <v>203</v>
      </c>
      <c r="AN533" t="s">
        <v>204</v>
      </c>
      <c r="AO533" t="s">
        <v>74</v>
      </c>
      <c r="AP533" t="s">
        <v>205</v>
      </c>
      <c r="AQ533" t="s">
        <v>74</v>
      </c>
      <c r="AR533" t="s">
        <v>206</v>
      </c>
      <c r="AS533" t="s">
        <v>207</v>
      </c>
      <c r="AT533" t="s">
        <v>1904</v>
      </c>
      <c r="AU533">
        <v>2023</v>
      </c>
      <c r="AV533">
        <v>15</v>
      </c>
      <c r="AW533">
        <v>3</v>
      </c>
      <c r="AX533" t="s">
        <v>74</v>
      </c>
      <c r="AY533" t="s">
        <v>74</v>
      </c>
      <c r="AZ533" t="s">
        <v>74</v>
      </c>
      <c r="BA533" t="s">
        <v>74</v>
      </c>
      <c r="BB533" t="s">
        <v>74</v>
      </c>
      <c r="BC533" t="s">
        <v>74</v>
      </c>
      <c r="BD533">
        <v>2736</v>
      </c>
      <c r="BE533" t="s">
        <v>1940</v>
      </c>
      <c r="BF533" t="str">
        <f>HYPERLINK("http://dx.doi.org/10.3390/su15032736","http://dx.doi.org/10.3390/su15032736")</f>
        <v>http://dx.doi.org/10.3390/su15032736</v>
      </c>
      <c r="BG533" t="s">
        <v>74</v>
      </c>
      <c r="BH533" t="s">
        <v>74</v>
      </c>
      <c r="BI533">
        <v>20</v>
      </c>
      <c r="BJ533" t="s">
        <v>210</v>
      </c>
      <c r="BK533" t="s">
        <v>211</v>
      </c>
      <c r="BL533" t="s">
        <v>212</v>
      </c>
      <c r="BM533" t="s">
        <v>1941</v>
      </c>
      <c r="BN533" t="s">
        <v>74</v>
      </c>
      <c r="BO533" t="s">
        <v>186</v>
      </c>
      <c r="BP533" t="s">
        <v>74</v>
      </c>
      <c r="BQ533" t="s">
        <v>74</v>
      </c>
      <c r="BR533" t="s">
        <v>106</v>
      </c>
      <c r="BS533" t="s">
        <v>1942</v>
      </c>
      <c r="BT533" t="str">
        <f>HYPERLINK("https%3A%2F%2Fwww.webofscience.com%2Fwos%2Fwoscc%2Ffull-record%2FWOS:000932583400001","View Full Record in Web of Science")</f>
        <v>View Full Record in Web of Science</v>
      </c>
    </row>
    <row r="534" spans="1:72" x14ac:dyDescent="0.25">
      <c r="A534" t="s">
        <v>72</v>
      </c>
      <c r="B534" t="s">
        <v>1943</v>
      </c>
      <c r="C534" t="s">
        <v>74</v>
      </c>
      <c r="D534" t="s">
        <v>74</v>
      </c>
      <c r="E534" t="s">
        <v>74</v>
      </c>
      <c r="F534" t="s">
        <v>1944</v>
      </c>
      <c r="G534" t="s">
        <v>74</v>
      </c>
      <c r="H534" t="s">
        <v>74</v>
      </c>
      <c r="I534" s="1" t="s">
        <v>1945</v>
      </c>
      <c r="J534" t="s">
        <v>1946</v>
      </c>
      <c r="K534" t="s">
        <v>74</v>
      </c>
      <c r="L534" t="s">
        <v>74</v>
      </c>
      <c r="M534" t="s">
        <v>78</v>
      </c>
      <c r="N534" t="s">
        <v>79</v>
      </c>
      <c r="O534" t="s">
        <v>74</v>
      </c>
      <c r="P534" t="s">
        <v>74</v>
      </c>
      <c r="Q534" t="s">
        <v>74</v>
      </c>
      <c r="R534" t="s">
        <v>74</v>
      </c>
      <c r="S534" t="s">
        <v>74</v>
      </c>
      <c r="T534" s="1" t="s">
        <v>1947</v>
      </c>
      <c r="U534" s="1" t="s">
        <v>1948</v>
      </c>
      <c r="V534" s="1" t="s">
        <v>1949</v>
      </c>
      <c r="W534" t="s">
        <v>1950</v>
      </c>
      <c r="X534" t="s">
        <v>1951</v>
      </c>
      <c r="Y534" t="s">
        <v>1952</v>
      </c>
      <c r="Z534" t="s">
        <v>1953</v>
      </c>
      <c r="AA534" t="s">
        <v>74</v>
      </c>
      <c r="AB534" t="s">
        <v>74</v>
      </c>
      <c r="AC534" t="s">
        <v>1954</v>
      </c>
      <c r="AD534" t="s">
        <v>1955</v>
      </c>
      <c r="AE534" t="s">
        <v>1956</v>
      </c>
      <c r="AF534" t="s">
        <v>74</v>
      </c>
      <c r="AG534">
        <v>25</v>
      </c>
      <c r="AH534">
        <v>0</v>
      </c>
      <c r="AI534">
        <v>0</v>
      </c>
      <c r="AJ534">
        <v>2</v>
      </c>
      <c r="AK534">
        <v>2</v>
      </c>
      <c r="AL534" t="s">
        <v>1468</v>
      </c>
      <c r="AM534" t="s">
        <v>175</v>
      </c>
      <c r="AN534" t="s">
        <v>1469</v>
      </c>
      <c r="AO534" t="s">
        <v>1957</v>
      </c>
      <c r="AP534" t="s">
        <v>74</v>
      </c>
      <c r="AQ534" t="s">
        <v>74</v>
      </c>
      <c r="AR534" t="s">
        <v>1958</v>
      </c>
      <c r="AS534" t="s">
        <v>1959</v>
      </c>
      <c r="AT534" t="s">
        <v>1904</v>
      </c>
      <c r="AU534">
        <v>2023</v>
      </c>
      <c r="AV534">
        <v>16</v>
      </c>
      <c r="AW534" t="s">
        <v>74</v>
      </c>
      <c r="AX534" t="s">
        <v>74</v>
      </c>
      <c r="AY534" t="s">
        <v>74</v>
      </c>
      <c r="AZ534" t="s">
        <v>74</v>
      </c>
      <c r="BA534" t="s">
        <v>74</v>
      </c>
      <c r="BB534" t="s">
        <v>74</v>
      </c>
      <c r="BC534" t="s">
        <v>74</v>
      </c>
      <c r="BD534" t="s">
        <v>1960</v>
      </c>
      <c r="BE534" t="s">
        <v>1961</v>
      </c>
      <c r="BF534" t="str">
        <f>HYPERLINK("http://dx.doi.org/10.1177/1179173X231157378","http://dx.doi.org/10.1177/1179173X231157378")</f>
        <v>http://dx.doi.org/10.1177/1179173X231157378</v>
      </c>
      <c r="BG534" t="s">
        <v>74</v>
      </c>
      <c r="BH534" t="s">
        <v>74</v>
      </c>
      <c r="BI534">
        <v>8</v>
      </c>
      <c r="BJ534" t="s">
        <v>1584</v>
      </c>
      <c r="BK534" t="s">
        <v>183</v>
      </c>
      <c r="BL534" t="s">
        <v>1584</v>
      </c>
      <c r="BM534" t="s">
        <v>1962</v>
      </c>
      <c r="BN534">
        <v>37425216</v>
      </c>
      <c r="BO534" t="s">
        <v>614</v>
      </c>
      <c r="BP534" t="s">
        <v>74</v>
      </c>
      <c r="BQ534" t="s">
        <v>74</v>
      </c>
      <c r="BR534" t="s">
        <v>106</v>
      </c>
      <c r="BS534" t="s">
        <v>1963</v>
      </c>
      <c r="BT534" t="str">
        <f>HYPERLINK("https%3A%2F%2Fwww.webofscience.com%2Fwos%2Fwoscc%2Ffull-record%2FWOS:000930794500001","View Full Record in Web of Science")</f>
        <v>View Full Record in Web of Science</v>
      </c>
    </row>
    <row r="535" spans="1:72" x14ac:dyDescent="0.25">
      <c r="A535" t="s">
        <v>72</v>
      </c>
      <c r="B535" t="s">
        <v>2049</v>
      </c>
      <c r="C535" t="s">
        <v>74</v>
      </c>
      <c r="D535" t="s">
        <v>74</v>
      </c>
      <c r="E535" t="s">
        <v>74</v>
      </c>
      <c r="F535" t="s">
        <v>2050</v>
      </c>
      <c r="G535" t="s">
        <v>74</v>
      </c>
      <c r="H535" t="s">
        <v>74</v>
      </c>
      <c r="I535" s="1" t="s">
        <v>2051</v>
      </c>
      <c r="J535" t="s">
        <v>2052</v>
      </c>
      <c r="K535" t="s">
        <v>74</v>
      </c>
      <c r="L535" t="s">
        <v>74</v>
      </c>
      <c r="M535" t="s">
        <v>78</v>
      </c>
      <c r="N535" t="s">
        <v>79</v>
      </c>
      <c r="O535" t="s">
        <v>74</v>
      </c>
      <c r="P535" t="s">
        <v>74</v>
      </c>
      <c r="Q535" t="s">
        <v>74</v>
      </c>
      <c r="R535" t="s">
        <v>74</v>
      </c>
      <c r="S535" t="s">
        <v>74</v>
      </c>
      <c r="T535" s="1" t="s">
        <v>2053</v>
      </c>
      <c r="U535" s="1" t="s">
        <v>2054</v>
      </c>
      <c r="V535" s="1" t="s">
        <v>2055</v>
      </c>
      <c r="W535" t="s">
        <v>2056</v>
      </c>
      <c r="X535" t="s">
        <v>2057</v>
      </c>
      <c r="Y535" t="s">
        <v>2058</v>
      </c>
      <c r="Z535" t="s">
        <v>2059</v>
      </c>
      <c r="AA535" t="s">
        <v>2060</v>
      </c>
      <c r="AB535" t="s">
        <v>2061</v>
      </c>
      <c r="AC535" t="s">
        <v>2062</v>
      </c>
      <c r="AD535" t="s">
        <v>2063</v>
      </c>
      <c r="AE535" t="s">
        <v>2064</v>
      </c>
      <c r="AF535" t="s">
        <v>74</v>
      </c>
      <c r="AG535">
        <v>42</v>
      </c>
      <c r="AH535">
        <v>0</v>
      </c>
      <c r="AI535">
        <v>0</v>
      </c>
      <c r="AJ535">
        <v>3</v>
      </c>
      <c r="AK535">
        <v>4</v>
      </c>
      <c r="AL535" t="s">
        <v>202</v>
      </c>
      <c r="AM535" t="s">
        <v>203</v>
      </c>
      <c r="AN535" t="s">
        <v>204</v>
      </c>
      <c r="AO535" t="s">
        <v>74</v>
      </c>
      <c r="AP535" t="s">
        <v>2065</v>
      </c>
      <c r="AQ535" t="s">
        <v>74</v>
      </c>
      <c r="AR535" t="s">
        <v>2066</v>
      </c>
      <c r="AS535" t="s">
        <v>2067</v>
      </c>
      <c r="AT535" t="s">
        <v>2068</v>
      </c>
      <c r="AU535">
        <v>2023</v>
      </c>
      <c r="AV535">
        <v>20</v>
      </c>
      <c r="AW535">
        <v>2</v>
      </c>
      <c r="AX535" t="s">
        <v>74</v>
      </c>
      <c r="AY535" t="s">
        <v>74</v>
      </c>
      <c r="AZ535" t="s">
        <v>74</v>
      </c>
      <c r="BA535" t="s">
        <v>74</v>
      </c>
      <c r="BB535" t="s">
        <v>74</v>
      </c>
      <c r="BC535" t="s">
        <v>74</v>
      </c>
      <c r="BD535">
        <v>1329</v>
      </c>
      <c r="BE535" t="s">
        <v>2069</v>
      </c>
      <c r="BF535" t="str">
        <f>HYPERLINK("http://dx.doi.org/10.3390/ijerph20021329","http://dx.doi.org/10.3390/ijerph20021329")</f>
        <v>http://dx.doi.org/10.3390/ijerph20021329</v>
      </c>
      <c r="BG535" t="s">
        <v>74</v>
      </c>
      <c r="BH535" t="s">
        <v>74</v>
      </c>
      <c r="BI535">
        <v>12</v>
      </c>
      <c r="BJ535" t="s">
        <v>2070</v>
      </c>
      <c r="BK535" t="s">
        <v>211</v>
      </c>
      <c r="BL535" t="s">
        <v>2071</v>
      </c>
      <c r="BM535" t="s">
        <v>2072</v>
      </c>
      <c r="BN535">
        <v>36674084</v>
      </c>
      <c r="BO535" t="s">
        <v>422</v>
      </c>
      <c r="BP535" t="s">
        <v>74</v>
      </c>
      <c r="BQ535" t="s">
        <v>74</v>
      </c>
      <c r="BR535" t="s">
        <v>106</v>
      </c>
      <c r="BS535" t="s">
        <v>2073</v>
      </c>
      <c r="BT535" t="str">
        <f>HYPERLINK("https%3A%2F%2Fwww.webofscience.com%2Fwos%2Fwoscc%2Ffull-record%2FWOS:000917967300001","View Full Record in Web of Science")</f>
        <v>View Full Record in Web of Science</v>
      </c>
    </row>
    <row r="536" spans="1:72" x14ac:dyDescent="0.25">
      <c r="A536" t="s">
        <v>72</v>
      </c>
      <c r="B536" t="s">
        <v>2074</v>
      </c>
      <c r="C536" t="s">
        <v>74</v>
      </c>
      <c r="D536" t="s">
        <v>74</v>
      </c>
      <c r="E536" t="s">
        <v>74</v>
      </c>
      <c r="F536" t="s">
        <v>2075</v>
      </c>
      <c r="G536" t="s">
        <v>74</v>
      </c>
      <c r="H536" t="s">
        <v>74</v>
      </c>
      <c r="I536" s="1" t="s">
        <v>2076</v>
      </c>
      <c r="J536" t="s">
        <v>2077</v>
      </c>
      <c r="K536" t="s">
        <v>74</v>
      </c>
      <c r="L536" t="s">
        <v>74</v>
      </c>
      <c r="M536" t="s">
        <v>78</v>
      </c>
      <c r="N536" t="s">
        <v>79</v>
      </c>
      <c r="O536" t="s">
        <v>74</v>
      </c>
      <c r="P536" t="s">
        <v>74</v>
      </c>
      <c r="Q536" t="s">
        <v>74</v>
      </c>
      <c r="R536" t="s">
        <v>74</v>
      </c>
      <c r="S536" t="s">
        <v>74</v>
      </c>
      <c r="T536" s="1" t="s">
        <v>2078</v>
      </c>
      <c r="U536" s="1" t="s">
        <v>74</v>
      </c>
      <c r="V536" s="1" t="s">
        <v>2079</v>
      </c>
      <c r="W536" t="s">
        <v>2080</v>
      </c>
      <c r="X536" t="s">
        <v>2081</v>
      </c>
      <c r="Y536" t="s">
        <v>2082</v>
      </c>
      <c r="Z536" t="s">
        <v>74</v>
      </c>
      <c r="AA536" t="s">
        <v>74</v>
      </c>
      <c r="AB536" t="s">
        <v>74</v>
      </c>
      <c r="AC536" t="s">
        <v>74</v>
      </c>
      <c r="AD536" t="s">
        <v>74</v>
      </c>
      <c r="AE536" t="s">
        <v>74</v>
      </c>
      <c r="AF536" t="s">
        <v>74</v>
      </c>
      <c r="AG536">
        <v>0</v>
      </c>
      <c r="AH536">
        <v>0</v>
      </c>
      <c r="AI536">
        <v>0</v>
      </c>
      <c r="AJ536">
        <v>0</v>
      </c>
      <c r="AK536">
        <v>0</v>
      </c>
      <c r="AL536" t="s">
        <v>2083</v>
      </c>
      <c r="AM536" t="s">
        <v>2084</v>
      </c>
      <c r="AN536" t="s">
        <v>2085</v>
      </c>
      <c r="AO536" t="s">
        <v>2086</v>
      </c>
      <c r="AP536" t="s">
        <v>74</v>
      </c>
      <c r="AQ536" t="s">
        <v>74</v>
      </c>
      <c r="AR536" t="s">
        <v>2087</v>
      </c>
      <c r="AS536" t="s">
        <v>2088</v>
      </c>
      <c r="AT536" t="s">
        <v>74</v>
      </c>
      <c r="AU536">
        <v>2023</v>
      </c>
      <c r="AV536">
        <v>52</v>
      </c>
      <c r="AW536" t="s">
        <v>74</v>
      </c>
      <c r="AX536" t="s">
        <v>74</v>
      </c>
      <c r="AY536" t="s">
        <v>74</v>
      </c>
      <c r="AZ536" t="s">
        <v>74</v>
      </c>
      <c r="BA536" t="s">
        <v>74</v>
      </c>
      <c r="BB536">
        <v>500</v>
      </c>
      <c r="BC536">
        <v>517</v>
      </c>
      <c r="BD536" t="s">
        <v>74</v>
      </c>
      <c r="BE536" t="s">
        <v>2089</v>
      </c>
      <c r="BF536" t="str">
        <f>HYPERLINK("http://dx.doi.org/10.17705/1CAIS.05220","http://dx.doi.org/10.17705/1CAIS.05220")</f>
        <v>http://dx.doi.org/10.17705/1CAIS.05220</v>
      </c>
      <c r="BG536" t="s">
        <v>74</v>
      </c>
      <c r="BH536" t="s">
        <v>74</v>
      </c>
      <c r="BI536">
        <v>19</v>
      </c>
      <c r="BJ536" t="s">
        <v>1217</v>
      </c>
      <c r="BK536" t="s">
        <v>183</v>
      </c>
      <c r="BL536" t="s">
        <v>399</v>
      </c>
      <c r="BM536" t="s">
        <v>2090</v>
      </c>
      <c r="BN536" t="s">
        <v>74</v>
      </c>
      <c r="BO536" t="s">
        <v>791</v>
      </c>
      <c r="BP536" t="s">
        <v>74</v>
      </c>
      <c r="BQ536" t="s">
        <v>74</v>
      </c>
      <c r="BR536" t="s">
        <v>106</v>
      </c>
      <c r="BS536" t="s">
        <v>2091</v>
      </c>
      <c r="BT536" t="str">
        <f>HYPERLINK("https%3A%2F%2Fwww.webofscience.com%2Fwos%2Fwoscc%2Ffull-record%2FWOS:001023953500001","View Full Record in Web of Science")</f>
        <v>View Full Record in Web of Science</v>
      </c>
    </row>
    <row r="537" spans="1:72" x14ac:dyDescent="0.25">
      <c r="A537" t="s">
        <v>72</v>
      </c>
      <c r="B537" t="s">
        <v>2092</v>
      </c>
      <c r="C537" t="s">
        <v>74</v>
      </c>
      <c r="D537" t="s">
        <v>74</v>
      </c>
      <c r="E537" t="s">
        <v>74</v>
      </c>
      <c r="F537" t="s">
        <v>2093</v>
      </c>
      <c r="G537" t="s">
        <v>74</v>
      </c>
      <c r="H537" t="s">
        <v>74</v>
      </c>
      <c r="I537" s="1" t="s">
        <v>2094</v>
      </c>
      <c r="J537" t="s">
        <v>2095</v>
      </c>
      <c r="K537" t="s">
        <v>74</v>
      </c>
      <c r="L537" t="s">
        <v>74</v>
      </c>
      <c r="M537" t="s">
        <v>78</v>
      </c>
      <c r="N537" t="s">
        <v>79</v>
      </c>
      <c r="O537" t="s">
        <v>74</v>
      </c>
      <c r="P537" t="s">
        <v>74</v>
      </c>
      <c r="Q537" t="s">
        <v>74</v>
      </c>
      <c r="R537" t="s">
        <v>74</v>
      </c>
      <c r="S537" t="s">
        <v>74</v>
      </c>
      <c r="T537" s="1" t="s">
        <v>2096</v>
      </c>
      <c r="U537" s="1" t="s">
        <v>2097</v>
      </c>
      <c r="V537" s="1" t="s">
        <v>2098</v>
      </c>
      <c r="W537" t="s">
        <v>2099</v>
      </c>
      <c r="X537" t="s">
        <v>2100</v>
      </c>
      <c r="Y537" t="s">
        <v>2101</v>
      </c>
      <c r="Z537" t="s">
        <v>2102</v>
      </c>
      <c r="AA537" t="s">
        <v>2103</v>
      </c>
      <c r="AB537" t="s">
        <v>2104</v>
      </c>
      <c r="AC537" t="s">
        <v>74</v>
      </c>
      <c r="AD537" t="s">
        <v>74</v>
      </c>
      <c r="AE537" t="s">
        <v>74</v>
      </c>
      <c r="AF537" t="s">
        <v>74</v>
      </c>
      <c r="AG537">
        <v>38</v>
      </c>
      <c r="AH537">
        <v>0</v>
      </c>
      <c r="AI537">
        <v>0</v>
      </c>
      <c r="AJ537">
        <v>0</v>
      </c>
      <c r="AK537">
        <v>0</v>
      </c>
      <c r="AL537" t="s">
        <v>2105</v>
      </c>
      <c r="AM537" t="s">
        <v>2106</v>
      </c>
      <c r="AN537" t="s">
        <v>2107</v>
      </c>
      <c r="AO537" t="s">
        <v>2108</v>
      </c>
      <c r="AP537" t="s">
        <v>2109</v>
      </c>
      <c r="AQ537" t="s">
        <v>74</v>
      </c>
      <c r="AR537" t="s">
        <v>2110</v>
      </c>
      <c r="AS537" t="s">
        <v>2111</v>
      </c>
      <c r="AT537" t="s">
        <v>74</v>
      </c>
      <c r="AU537">
        <v>2023</v>
      </c>
      <c r="AV537">
        <v>63</v>
      </c>
      <c r="AW537">
        <v>2</v>
      </c>
      <c r="AX537" t="s">
        <v>74</v>
      </c>
      <c r="AY537" t="s">
        <v>74</v>
      </c>
      <c r="AZ537" t="s">
        <v>74</v>
      </c>
      <c r="BA537" t="s">
        <v>74</v>
      </c>
      <c r="BB537">
        <v>111</v>
      </c>
      <c r="BC537">
        <v>122</v>
      </c>
      <c r="BD537" t="s">
        <v>74</v>
      </c>
      <c r="BE537" t="s">
        <v>2112</v>
      </c>
      <c r="BF537" t="str">
        <f>HYPERLINK("http://dx.doi.org/10.14311/AP.2023.63.0111","http://dx.doi.org/10.14311/AP.2023.63.0111")</f>
        <v>http://dx.doi.org/10.14311/AP.2023.63.0111</v>
      </c>
      <c r="BG537" t="s">
        <v>74</v>
      </c>
      <c r="BH537" t="s">
        <v>74</v>
      </c>
      <c r="BI537">
        <v>12</v>
      </c>
      <c r="BJ537" t="s">
        <v>2113</v>
      </c>
      <c r="BK537" t="s">
        <v>183</v>
      </c>
      <c r="BL537" t="s">
        <v>1685</v>
      </c>
      <c r="BM537" t="s">
        <v>2114</v>
      </c>
      <c r="BN537" t="s">
        <v>74</v>
      </c>
      <c r="BO537" t="s">
        <v>74</v>
      </c>
      <c r="BP537" t="s">
        <v>74</v>
      </c>
      <c r="BQ537" t="s">
        <v>74</v>
      </c>
      <c r="BR537" t="s">
        <v>106</v>
      </c>
      <c r="BS537" t="s">
        <v>2115</v>
      </c>
      <c r="BT537" t="str">
        <f>HYPERLINK("https%3A%2F%2Fwww.webofscience.com%2Fwos%2Fwoscc%2Ffull-record%2FWOS:001032499800004","View Full Record in Web of Science")</f>
        <v>View Full Record in Web of Science</v>
      </c>
    </row>
    <row r="538" spans="1:72" x14ac:dyDescent="0.25">
      <c r="A538" t="s">
        <v>72</v>
      </c>
      <c r="B538" t="s">
        <v>2116</v>
      </c>
      <c r="C538" t="s">
        <v>74</v>
      </c>
      <c r="D538" t="s">
        <v>74</v>
      </c>
      <c r="E538" t="s">
        <v>74</v>
      </c>
      <c r="F538" t="s">
        <v>2117</v>
      </c>
      <c r="G538" t="s">
        <v>74</v>
      </c>
      <c r="H538" t="s">
        <v>74</v>
      </c>
      <c r="I538" s="1" t="s">
        <v>2118</v>
      </c>
      <c r="J538" t="s">
        <v>2119</v>
      </c>
      <c r="K538" t="s">
        <v>74</v>
      </c>
      <c r="L538" t="s">
        <v>74</v>
      </c>
      <c r="M538" t="s">
        <v>78</v>
      </c>
      <c r="N538" t="s">
        <v>79</v>
      </c>
      <c r="O538" t="s">
        <v>74</v>
      </c>
      <c r="P538" t="s">
        <v>74</v>
      </c>
      <c r="Q538" t="s">
        <v>74</v>
      </c>
      <c r="R538" t="s">
        <v>74</v>
      </c>
      <c r="S538" t="s">
        <v>74</v>
      </c>
      <c r="T538" s="1" t="s">
        <v>2120</v>
      </c>
      <c r="U538" s="1" t="s">
        <v>2121</v>
      </c>
      <c r="V538" s="1" t="s">
        <v>2122</v>
      </c>
      <c r="W538" t="s">
        <v>2123</v>
      </c>
      <c r="X538" t="s">
        <v>2124</v>
      </c>
      <c r="Y538" t="s">
        <v>2125</v>
      </c>
      <c r="Z538" t="s">
        <v>2126</v>
      </c>
      <c r="AA538" t="s">
        <v>74</v>
      </c>
      <c r="AB538" t="s">
        <v>2127</v>
      </c>
      <c r="AC538" t="s">
        <v>74</v>
      </c>
      <c r="AD538" t="s">
        <v>74</v>
      </c>
      <c r="AE538" t="s">
        <v>74</v>
      </c>
      <c r="AF538" t="s">
        <v>74</v>
      </c>
      <c r="AG538">
        <v>44</v>
      </c>
      <c r="AH538">
        <v>0</v>
      </c>
      <c r="AI538">
        <v>0</v>
      </c>
      <c r="AJ538">
        <v>0</v>
      </c>
      <c r="AK538">
        <v>0</v>
      </c>
      <c r="AL538" t="s">
        <v>2128</v>
      </c>
      <c r="AM538" t="s">
        <v>2129</v>
      </c>
      <c r="AN538" t="s">
        <v>2130</v>
      </c>
      <c r="AO538" t="s">
        <v>74</v>
      </c>
      <c r="AP538" t="s">
        <v>2131</v>
      </c>
      <c r="AQ538" t="s">
        <v>74</v>
      </c>
      <c r="AR538" t="s">
        <v>2132</v>
      </c>
      <c r="AS538" t="s">
        <v>2133</v>
      </c>
      <c r="AT538" t="s">
        <v>74</v>
      </c>
      <c r="AU538">
        <v>2023</v>
      </c>
      <c r="AV538">
        <v>7</v>
      </c>
      <c r="AW538" t="s">
        <v>74</v>
      </c>
      <c r="AX538" t="s">
        <v>74</v>
      </c>
      <c r="AY538" t="s">
        <v>74</v>
      </c>
      <c r="AZ538" t="s">
        <v>74</v>
      </c>
      <c r="BA538" t="s">
        <v>74</v>
      </c>
      <c r="BB538" t="s">
        <v>74</v>
      </c>
      <c r="BC538" t="s">
        <v>74</v>
      </c>
      <c r="BD538" t="s">
        <v>74</v>
      </c>
      <c r="BE538" t="s">
        <v>2134</v>
      </c>
      <c r="BF538" t="str">
        <f>HYPERLINK("http://dx.doi.org/10.2196/40077","http://dx.doi.org/10.2196/40077")</f>
        <v>http://dx.doi.org/10.2196/40077</v>
      </c>
      <c r="BG538" t="s">
        <v>74</v>
      </c>
      <c r="BH538" t="s">
        <v>74</v>
      </c>
      <c r="BI538">
        <v>18</v>
      </c>
      <c r="BJ538" t="s">
        <v>1390</v>
      </c>
      <c r="BK538" t="s">
        <v>183</v>
      </c>
      <c r="BL538" t="s">
        <v>1390</v>
      </c>
      <c r="BM538" t="s">
        <v>2135</v>
      </c>
      <c r="BN538">
        <v>36745773</v>
      </c>
      <c r="BO538" t="s">
        <v>614</v>
      </c>
      <c r="BP538" t="s">
        <v>74</v>
      </c>
      <c r="BQ538" t="s">
        <v>74</v>
      </c>
      <c r="BR538" t="s">
        <v>106</v>
      </c>
      <c r="BS538" t="s">
        <v>2136</v>
      </c>
      <c r="BT538" t="str">
        <f>HYPERLINK("https%3A%2F%2Fwww.webofscience.com%2Fwos%2Fwoscc%2Ffull-record%2FWOS:000998561100003","View Full Record in Web of Science")</f>
        <v>View Full Record in Web of Science</v>
      </c>
    </row>
    <row r="539" spans="1:72" x14ac:dyDescent="0.25">
      <c r="A539" t="s">
        <v>72</v>
      </c>
      <c r="B539" t="s">
        <v>2164</v>
      </c>
      <c r="C539" t="s">
        <v>74</v>
      </c>
      <c r="D539" t="s">
        <v>74</v>
      </c>
      <c r="E539" t="s">
        <v>74</v>
      </c>
      <c r="F539" t="s">
        <v>2165</v>
      </c>
      <c r="G539" t="s">
        <v>74</v>
      </c>
      <c r="H539" t="s">
        <v>74</v>
      </c>
      <c r="I539" s="1" t="s">
        <v>2166</v>
      </c>
      <c r="J539" t="s">
        <v>191</v>
      </c>
      <c r="K539" t="s">
        <v>74</v>
      </c>
      <c r="L539" t="s">
        <v>74</v>
      </c>
      <c r="M539" t="s">
        <v>78</v>
      </c>
      <c r="N539" t="s">
        <v>79</v>
      </c>
      <c r="O539" t="s">
        <v>74</v>
      </c>
      <c r="P539" t="s">
        <v>74</v>
      </c>
      <c r="Q539" t="s">
        <v>74</v>
      </c>
      <c r="R539" t="s">
        <v>74</v>
      </c>
      <c r="S539" t="s">
        <v>74</v>
      </c>
      <c r="T539" s="1" t="s">
        <v>2167</v>
      </c>
      <c r="U539" s="1" t="s">
        <v>2168</v>
      </c>
      <c r="V539" s="1" t="s">
        <v>2169</v>
      </c>
      <c r="W539" t="s">
        <v>2170</v>
      </c>
      <c r="X539" t="s">
        <v>2171</v>
      </c>
      <c r="Y539" t="s">
        <v>2172</v>
      </c>
      <c r="Z539" t="s">
        <v>2173</v>
      </c>
      <c r="AA539" t="s">
        <v>74</v>
      </c>
      <c r="AB539" t="s">
        <v>2174</v>
      </c>
      <c r="AC539" t="s">
        <v>74</v>
      </c>
      <c r="AD539" t="s">
        <v>74</v>
      </c>
      <c r="AE539" t="s">
        <v>74</v>
      </c>
      <c r="AF539" t="s">
        <v>74</v>
      </c>
      <c r="AG539">
        <v>49</v>
      </c>
      <c r="AH539">
        <v>0</v>
      </c>
      <c r="AI539">
        <v>0</v>
      </c>
      <c r="AJ539">
        <v>11</v>
      </c>
      <c r="AK539">
        <v>21</v>
      </c>
      <c r="AL539" t="s">
        <v>202</v>
      </c>
      <c r="AM539" t="s">
        <v>203</v>
      </c>
      <c r="AN539" t="s">
        <v>204</v>
      </c>
      <c r="AO539" t="s">
        <v>74</v>
      </c>
      <c r="AP539" t="s">
        <v>205</v>
      </c>
      <c r="AQ539" t="s">
        <v>74</v>
      </c>
      <c r="AR539" t="s">
        <v>206</v>
      </c>
      <c r="AS539" t="s">
        <v>207</v>
      </c>
      <c r="AT539" t="s">
        <v>2068</v>
      </c>
      <c r="AU539">
        <v>2023</v>
      </c>
      <c r="AV539">
        <v>15</v>
      </c>
      <c r="AW539">
        <v>1</v>
      </c>
      <c r="AX539" t="s">
        <v>74</v>
      </c>
      <c r="AY539" t="s">
        <v>74</v>
      </c>
      <c r="AZ539" t="s">
        <v>74</v>
      </c>
      <c r="BA539" t="s">
        <v>74</v>
      </c>
      <c r="BB539" t="s">
        <v>74</v>
      </c>
      <c r="BC539" t="s">
        <v>74</v>
      </c>
      <c r="BD539">
        <v>483</v>
      </c>
      <c r="BE539" t="s">
        <v>2175</v>
      </c>
      <c r="BF539" t="str">
        <f>HYPERLINK("http://dx.doi.org/10.3390/su15010483","http://dx.doi.org/10.3390/su15010483")</f>
        <v>http://dx.doi.org/10.3390/su15010483</v>
      </c>
      <c r="BG539" t="s">
        <v>74</v>
      </c>
      <c r="BH539" t="s">
        <v>74</v>
      </c>
      <c r="BI539">
        <v>19</v>
      </c>
      <c r="BJ539" t="s">
        <v>210</v>
      </c>
      <c r="BK539" t="s">
        <v>211</v>
      </c>
      <c r="BL539" t="s">
        <v>212</v>
      </c>
      <c r="BM539" t="s">
        <v>2176</v>
      </c>
      <c r="BN539" t="s">
        <v>74</v>
      </c>
      <c r="BO539" t="s">
        <v>186</v>
      </c>
      <c r="BP539" t="s">
        <v>74</v>
      </c>
      <c r="BQ539" t="s">
        <v>74</v>
      </c>
      <c r="BR539" t="s">
        <v>106</v>
      </c>
      <c r="BS539" t="s">
        <v>2177</v>
      </c>
      <c r="BT539" t="str">
        <f>HYPERLINK("https%3A%2F%2Fwww.webofscience.com%2Fwos%2Fwoscc%2Ffull-record%2FWOS:000908926400001","View Full Record in Web of Science")</f>
        <v>View Full Record in Web of Science</v>
      </c>
    </row>
    <row r="540" spans="1:72" x14ac:dyDescent="0.25">
      <c r="A540" t="s">
        <v>72</v>
      </c>
      <c r="B540" t="s">
        <v>2178</v>
      </c>
      <c r="C540" t="s">
        <v>74</v>
      </c>
      <c r="D540" t="s">
        <v>74</v>
      </c>
      <c r="E540" t="s">
        <v>74</v>
      </c>
      <c r="F540" t="s">
        <v>2179</v>
      </c>
      <c r="G540" t="s">
        <v>74</v>
      </c>
      <c r="H540" t="s">
        <v>74</v>
      </c>
      <c r="I540" s="1" t="s">
        <v>2180</v>
      </c>
      <c r="J540" t="s">
        <v>2181</v>
      </c>
      <c r="K540" t="s">
        <v>74</v>
      </c>
      <c r="L540" t="s">
        <v>74</v>
      </c>
      <c r="M540" t="s">
        <v>78</v>
      </c>
      <c r="N540" t="s">
        <v>79</v>
      </c>
      <c r="O540" t="s">
        <v>74</v>
      </c>
      <c r="P540" t="s">
        <v>74</v>
      </c>
      <c r="Q540" t="s">
        <v>74</v>
      </c>
      <c r="R540" t="s">
        <v>74</v>
      </c>
      <c r="S540" t="s">
        <v>74</v>
      </c>
      <c r="T540" s="1" t="s">
        <v>2182</v>
      </c>
      <c r="U540" s="1" t="s">
        <v>74</v>
      </c>
      <c r="V540" s="1" t="s">
        <v>2183</v>
      </c>
      <c r="W540" t="s">
        <v>2184</v>
      </c>
      <c r="X540" t="s">
        <v>2185</v>
      </c>
      <c r="Y540" t="s">
        <v>2186</v>
      </c>
      <c r="Z540" t="s">
        <v>74</v>
      </c>
      <c r="AA540" t="s">
        <v>74</v>
      </c>
      <c r="AB540" t="s">
        <v>74</v>
      </c>
      <c r="AC540" t="s">
        <v>74</v>
      </c>
      <c r="AD540" t="s">
        <v>74</v>
      </c>
      <c r="AE540" t="s">
        <v>74</v>
      </c>
      <c r="AF540" t="s">
        <v>74</v>
      </c>
      <c r="AG540">
        <v>28</v>
      </c>
      <c r="AH540">
        <v>0</v>
      </c>
      <c r="AI540">
        <v>0</v>
      </c>
      <c r="AJ540">
        <v>0</v>
      </c>
      <c r="AK540">
        <v>0</v>
      </c>
      <c r="AL540" t="s">
        <v>2187</v>
      </c>
      <c r="AM540" t="s">
        <v>175</v>
      </c>
      <c r="AN540" t="s">
        <v>2188</v>
      </c>
      <c r="AO540" t="s">
        <v>2189</v>
      </c>
      <c r="AP540" t="s">
        <v>74</v>
      </c>
      <c r="AQ540" t="s">
        <v>74</v>
      </c>
      <c r="AR540" t="s">
        <v>2190</v>
      </c>
      <c r="AS540" t="s">
        <v>2191</v>
      </c>
      <c r="AT540" t="s">
        <v>74</v>
      </c>
      <c r="AU540">
        <v>2023</v>
      </c>
      <c r="AV540">
        <v>18</v>
      </c>
      <c r="AW540">
        <v>1</v>
      </c>
      <c r="AX540" t="s">
        <v>74</v>
      </c>
      <c r="AY540" t="s">
        <v>74</v>
      </c>
      <c r="AZ540" t="s">
        <v>1020</v>
      </c>
      <c r="BA540" t="s">
        <v>74</v>
      </c>
      <c r="BB540" t="s">
        <v>74</v>
      </c>
      <c r="BC540" t="s">
        <v>74</v>
      </c>
      <c r="BD540" t="s">
        <v>74</v>
      </c>
      <c r="BE540" t="s">
        <v>74</v>
      </c>
      <c r="BF540" t="s">
        <v>74</v>
      </c>
      <c r="BG540" t="s">
        <v>74</v>
      </c>
      <c r="BH540" t="s">
        <v>74</v>
      </c>
      <c r="BI540">
        <v>12</v>
      </c>
      <c r="BJ540" t="s">
        <v>2192</v>
      </c>
      <c r="BK540" t="s">
        <v>183</v>
      </c>
      <c r="BL540" t="s">
        <v>2193</v>
      </c>
      <c r="BM540" t="s">
        <v>2194</v>
      </c>
      <c r="BN540" t="s">
        <v>74</v>
      </c>
      <c r="BO540" t="s">
        <v>74</v>
      </c>
      <c r="BP540" t="s">
        <v>74</v>
      </c>
      <c r="BQ540" t="s">
        <v>74</v>
      </c>
      <c r="BR540" t="s">
        <v>106</v>
      </c>
      <c r="BS540" t="s">
        <v>2195</v>
      </c>
      <c r="BT540" t="str">
        <f>HYPERLINK("https%3A%2F%2Fwww.webofscience.com%2Fwos%2Fwoscc%2Ffull-record%2FWOS:000993327600006","View Full Record in Web of Science")</f>
        <v>View Full Record in Web of Science</v>
      </c>
    </row>
    <row r="541" spans="1:72" x14ac:dyDescent="0.25">
      <c r="A541" t="s">
        <v>72</v>
      </c>
      <c r="B541" t="s">
        <v>2221</v>
      </c>
      <c r="C541" t="s">
        <v>74</v>
      </c>
      <c r="D541" t="s">
        <v>74</v>
      </c>
      <c r="E541" t="s">
        <v>74</v>
      </c>
      <c r="F541" t="s">
        <v>2222</v>
      </c>
      <c r="G541" t="s">
        <v>74</v>
      </c>
      <c r="H541" t="s">
        <v>74</v>
      </c>
      <c r="I541" s="1" t="s">
        <v>2223</v>
      </c>
      <c r="J541" t="s">
        <v>2224</v>
      </c>
      <c r="K541" t="s">
        <v>74</v>
      </c>
      <c r="L541" t="s">
        <v>74</v>
      </c>
      <c r="M541" t="s">
        <v>78</v>
      </c>
      <c r="N541" t="s">
        <v>79</v>
      </c>
      <c r="O541" t="s">
        <v>74</v>
      </c>
      <c r="P541" t="s">
        <v>74</v>
      </c>
      <c r="Q541" t="s">
        <v>74</v>
      </c>
      <c r="R541" t="s">
        <v>74</v>
      </c>
      <c r="S541" t="s">
        <v>74</v>
      </c>
      <c r="T541" s="1" t="s">
        <v>2225</v>
      </c>
      <c r="U541" s="1" t="s">
        <v>2226</v>
      </c>
      <c r="V541" s="1" t="s">
        <v>2227</v>
      </c>
      <c r="W541" t="s">
        <v>2228</v>
      </c>
      <c r="X541" t="s">
        <v>2229</v>
      </c>
      <c r="Y541" t="s">
        <v>2230</v>
      </c>
      <c r="Z541" t="s">
        <v>74</v>
      </c>
      <c r="AA541" t="s">
        <v>74</v>
      </c>
      <c r="AB541" t="s">
        <v>74</v>
      </c>
      <c r="AC541" t="s">
        <v>74</v>
      </c>
      <c r="AD541" t="s">
        <v>74</v>
      </c>
      <c r="AE541" t="s">
        <v>74</v>
      </c>
      <c r="AF541" t="s">
        <v>74</v>
      </c>
      <c r="AG541">
        <v>65</v>
      </c>
      <c r="AH541">
        <v>0</v>
      </c>
      <c r="AI541">
        <v>0</v>
      </c>
      <c r="AJ541">
        <v>5</v>
      </c>
      <c r="AK541">
        <v>5</v>
      </c>
      <c r="AL541" t="s">
        <v>2231</v>
      </c>
      <c r="AM541" t="s">
        <v>2232</v>
      </c>
      <c r="AN541" t="s">
        <v>2233</v>
      </c>
      <c r="AO541" t="s">
        <v>2234</v>
      </c>
      <c r="AP541" t="s">
        <v>2235</v>
      </c>
      <c r="AQ541" t="s">
        <v>74</v>
      </c>
      <c r="AR541" t="s">
        <v>2236</v>
      </c>
      <c r="AS541" t="s">
        <v>2237</v>
      </c>
      <c r="AT541" t="s">
        <v>74</v>
      </c>
      <c r="AU541">
        <v>2023</v>
      </c>
      <c r="AV541">
        <v>20</v>
      </c>
      <c r="AW541">
        <v>1</v>
      </c>
      <c r="AX541" t="s">
        <v>74</v>
      </c>
      <c r="AY541" t="s">
        <v>74</v>
      </c>
      <c r="AZ541" t="s">
        <v>74</v>
      </c>
      <c r="BA541" t="s">
        <v>74</v>
      </c>
      <c r="BB541">
        <v>111</v>
      </c>
      <c r="BC541">
        <v>123</v>
      </c>
      <c r="BD541" t="s">
        <v>74</v>
      </c>
      <c r="BE541" t="s">
        <v>2238</v>
      </c>
      <c r="BF541" t="str">
        <f>HYPERLINK("http://dx.doi.org/10.2308/JETA-2022-013","http://dx.doi.org/10.2308/JETA-2022-013")</f>
        <v>http://dx.doi.org/10.2308/JETA-2022-013</v>
      </c>
      <c r="BG541" t="s">
        <v>74</v>
      </c>
      <c r="BH541" t="s">
        <v>74</v>
      </c>
      <c r="BI541">
        <v>13</v>
      </c>
      <c r="BJ541" t="s">
        <v>479</v>
      </c>
      <c r="BK541" t="s">
        <v>183</v>
      </c>
      <c r="BL541" t="s">
        <v>265</v>
      </c>
      <c r="BM541" t="s">
        <v>2239</v>
      </c>
      <c r="BN541" t="s">
        <v>74</v>
      </c>
      <c r="BO541" t="s">
        <v>74</v>
      </c>
      <c r="BP541" t="s">
        <v>74</v>
      </c>
      <c r="BQ541" t="s">
        <v>74</v>
      </c>
      <c r="BR541" t="s">
        <v>106</v>
      </c>
      <c r="BS541" t="s">
        <v>2240</v>
      </c>
      <c r="BT541" t="str">
        <f>HYPERLINK("https%3A%2F%2Fwww.webofscience.com%2Fwos%2Fwoscc%2Ffull-record%2FWOS:001001117700007","View Full Record in Web of Science")</f>
        <v>View Full Record in Web of Science</v>
      </c>
    </row>
    <row r="542" spans="1:72" s="6" customFormat="1" x14ac:dyDescent="0.25">
      <c r="A542" s="6" t="s">
        <v>72</v>
      </c>
      <c r="B542" s="6" t="s">
        <v>2241</v>
      </c>
      <c r="C542" s="6" t="s">
        <v>74</v>
      </c>
      <c r="D542" s="6" t="s">
        <v>74</v>
      </c>
      <c r="E542" s="6" t="s">
        <v>74</v>
      </c>
      <c r="F542" s="6" t="s">
        <v>2242</v>
      </c>
      <c r="G542" s="6" t="s">
        <v>74</v>
      </c>
      <c r="H542" s="6" t="s">
        <v>74</v>
      </c>
      <c r="I542" s="6" t="s">
        <v>2243</v>
      </c>
      <c r="J542" s="6" t="s">
        <v>2244</v>
      </c>
      <c r="K542" s="6" t="s">
        <v>74</v>
      </c>
      <c r="L542" s="6" t="s">
        <v>74</v>
      </c>
      <c r="M542" s="6" t="s">
        <v>78</v>
      </c>
      <c r="N542" s="6" t="s">
        <v>79</v>
      </c>
      <c r="O542" s="6" t="s">
        <v>74</v>
      </c>
      <c r="P542" s="6" t="s">
        <v>74</v>
      </c>
      <c r="Q542" s="6" t="s">
        <v>74</v>
      </c>
      <c r="R542" s="6" t="s">
        <v>74</v>
      </c>
      <c r="S542" s="6" t="s">
        <v>74</v>
      </c>
      <c r="T542" s="6" t="s">
        <v>2245</v>
      </c>
      <c r="U542" s="6" t="s">
        <v>2246</v>
      </c>
      <c r="V542" s="6" t="s">
        <v>2247</v>
      </c>
      <c r="W542" s="6" t="s">
        <v>2248</v>
      </c>
      <c r="X542" s="6" t="s">
        <v>2249</v>
      </c>
      <c r="Y542" s="6" t="s">
        <v>2250</v>
      </c>
      <c r="Z542" s="6" t="s">
        <v>2251</v>
      </c>
      <c r="AA542" s="6" t="s">
        <v>74</v>
      </c>
      <c r="AB542" s="6" t="s">
        <v>74</v>
      </c>
      <c r="AC542" s="6" t="s">
        <v>74</v>
      </c>
      <c r="AD542" s="6" t="s">
        <v>74</v>
      </c>
      <c r="AE542" s="6" t="s">
        <v>74</v>
      </c>
      <c r="AF542" s="6" t="s">
        <v>74</v>
      </c>
      <c r="AG542" s="6">
        <v>74</v>
      </c>
      <c r="AH542" s="6">
        <v>0</v>
      </c>
      <c r="AI542" s="6">
        <v>0</v>
      </c>
      <c r="AJ542" s="6">
        <v>0</v>
      </c>
      <c r="AK542" s="6">
        <v>0</v>
      </c>
      <c r="AL542" s="6" t="s">
        <v>2252</v>
      </c>
      <c r="AM542" s="6" t="s">
        <v>2253</v>
      </c>
      <c r="AN542" s="6" t="s">
        <v>2254</v>
      </c>
      <c r="AO542" s="6" t="s">
        <v>2255</v>
      </c>
      <c r="AP542" s="6" t="s">
        <v>2256</v>
      </c>
      <c r="AQ542" s="6" t="s">
        <v>74</v>
      </c>
      <c r="AR542" s="6" t="s">
        <v>2257</v>
      </c>
      <c r="AS542" s="6" t="s">
        <v>2258</v>
      </c>
      <c r="AT542" s="6" t="s">
        <v>74</v>
      </c>
      <c r="AU542" s="6">
        <v>2023</v>
      </c>
      <c r="AV542" s="6">
        <v>7</v>
      </c>
      <c r="AW542" s="6">
        <v>2</v>
      </c>
      <c r="AX542" s="6" t="s">
        <v>74</v>
      </c>
      <c r="AY542" s="6" t="s">
        <v>74</v>
      </c>
      <c r="AZ542" s="6" t="s">
        <v>74</v>
      </c>
      <c r="BA542" s="6" t="s">
        <v>74</v>
      </c>
      <c r="BB542" s="6" t="s">
        <v>74</v>
      </c>
      <c r="BC542" s="6" t="s">
        <v>74</v>
      </c>
      <c r="BD542" s="6">
        <v>2177</v>
      </c>
      <c r="BE542" s="6" t="s">
        <v>2259</v>
      </c>
      <c r="BF542" s="7" t="str">
        <f>HYPERLINK("http://dx.doi.org/10.24294/jipd.v7i2.2177","http://dx.doi.org/10.24294/jipd.v7i2.2177")</f>
        <v>http://dx.doi.org/10.24294/jipd.v7i2.2177</v>
      </c>
      <c r="BG542" s="6" t="s">
        <v>74</v>
      </c>
      <c r="BH542" s="6" t="s">
        <v>74</v>
      </c>
      <c r="BI542" s="6">
        <v>16</v>
      </c>
      <c r="BJ542" s="6" t="s">
        <v>315</v>
      </c>
      <c r="BK542" s="6" t="s">
        <v>183</v>
      </c>
      <c r="BL542" s="6" t="s">
        <v>265</v>
      </c>
      <c r="BM542" s="6" t="s">
        <v>2260</v>
      </c>
      <c r="BN542" s="6" t="s">
        <v>74</v>
      </c>
      <c r="BO542" s="6" t="s">
        <v>186</v>
      </c>
      <c r="BP542" s="6" t="s">
        <v>74</v>
      </c>
      <c r="BQ542" s="6" t="s">
        <v>74</v>
      </c>
      <c r="BR542" s="6" t="s">
        <v>106</v>
      </c>
      <c r="BS542" s="6" t="s">
        <v>2261</v>
      </c>
      <c r="BT542" s="6" t="str">
        <f>HYPERLINK("https%3A%2F%2Fwww.webofscience.com%2Fwos%2Fwoscc%2Ffull-record%2FWOS:001084643300010","View Full Record in Web of Science")</f>
        <v>View Full Record in Web of Science</v>
      </c>
    </row>
    <row r="543" spans="1:72" x14ac:dyDescent="0.25">
      <c r="A543" t="s">
        <v>72</v>
      </c>
      <c r="B543" t="s">
        <v>2241</v>
      </c>
      <c r="C543" t="s">
        <v>74</v>
      </c>
      <c r="D543" t="s">
        <v>74</v>
      </c>
      <c r="E543" t="s">
        <v>74</v>
      </c>
      <c r="F543" t="s">
        <v>2242</v>
      </c>
      <c r="G543" t="s">
        <v>74</v>
      </c>
      <c r="H543" t="s">
        <v>74</v>
      </c>
      <c r="I543" s="1" t="s">
        <v>2243</v>
      </c>
      <c r="J543" t="s">
        <v>2244</v>
      </c>
      <c r="K543" t="s">
        <v>74</v>
      </c>
      <c r="L543" t="s">
        <v>74</v>
      </c>
      <c r="M543" t="s">
        <v>78</v>
      </c>
      <c r="N543" t="s">
        <v>79</v>
      </c>
      <c r="O543" t="s">
        <v>74</v>
      </c>
      <c r="P543" t="s">
        <v>74</v>
      </c>
      <c r="Q543" t="s">
        <v>74</v>
      </c>
      <c r="R543" t="s">
        <v>74</v>
      </c>
      <c r="S543" t="s">
        <v>74</v>
      </c>
      <c r="T543" s="1" t="s">
        <v>2245</v>
      </c>
      <c r="U543" s="1" t="s">
        <v>2262</v>
      </c>
      <c r="V543" s="1" t="s">
        <v>2247</v>
      </c>
      <c r="W543" t="s">
        <v>2263</v>
      </c>
      <c r="X543" t="s">
        <v>2249</v>
      </c>
      <c r="Y543" t="s">
        <v>2264</v>
      </c>
      <c r="Z543" t="s">
        <v>2251</v>
      </c>
      <c r="AA543" t="s">
        <v>74</v>
      </c>
      <c r="AB543" t="s">
        <v>74</v>
      </c>
      <c r="AC543" t="s">
        <v>74</v>
      </c>
      <c r="AD543" t="s">
        <v>74</v>
      </c>
      <c r="AE543" t="s">
        <v>74</v>
      </c>
      <c r="AF543" t="s">
        <v>74</v>
      </c>
      <c r="AG543">
        <v>52</v>
      </c>
      <c r="AH543">
        <v>0</v>
      </c>
      <c r="AI543">
        <v>0</v>
      </c>
      <c r="AJ543">
        <v>0</v>
      </c>
      <c r="AK543">
        <v>0</v>
      </c>
      <c r="AL543" t="s">
        <v>2252</v>
      </c>
      <c r="AM543" t="s">
        <v>2253</v>
      </c>
      <c r="AN543" t="s">
        <v>2254</v>
      </c>
      <c r="AO543" t="s">
        <v>2255</v>
      </c>
      <c r="AP543" t="s">
        <v>2256</v>
      </c>
      <c r="AQ543" t="s">
        <v>74</v>
      </c>
      <c r="AR543" t="s">
        <v>2257</v>
      </c>
      <c r="AS543" t="s">
        <v>2258</v>
      </c>
      <c r="AT543" t="s">
        <v>74</v>
      </c>
      <c r="AU543">
        <v>2023</v>
      </c>
      <c r="AV543">
        <v>7</v>
      </c>
      <c r="AW543">
        <v>2</v>
      </c>
      <c r="AX543" t="s">
        <v>74</v>
      </c>
      <c r="AY543" t="s">
        <v>74</v>
      </c>
      <c r="AZ543" t="s">
        <v>74</v>
      </c>
      <c r="BA543" t="s">
        <v>74</v>
      </c>
      <c r="BB543" t="s">
        <v>74</v>
      </c>
      <c r="BC543" t="s">
        <v>74</v>
      </c>
      <c r="BD543">
        <v>2177</v>
      </c>
      <c r="BE543" t="s">
        <v>2259</v>
      </c>
      <c r="BF543" t="str">
        <f>HYPERLINK("http://dx.doi.org/10.24294/jipd.v7i2.2177","http://dx.doi.org/10.24294/jipd.v7i2.2177")</f>
        <v>http://dx.doi.org/10.24294/jipd.v7i2.2177</v>
      </c>
      <c r="BG543" t="s">
        <v>74</v>
      </c>
      <c r="BH543" t="s">
        <v>74</v>
      </c>
      <c r="BI543">
        <v>16</v>
      </c>
      <c r="BJ543" t="s">
        <v>315</v>
      </c>
      <c r="BK543" t="s">
        <v>183</v>
      </c>
      <c r="BL543" t="s">
        <v>265</v>
      </c>
      <c r="BM543" t="s">
        <v>2265</v>
      </c>
      <c r="BN543" t="s">
        <v>74</v>
      </c>
      <c r="BO543" t="s">
        <v>186</v>
      </c>
      <c r="BP543" t="s">
        <v>74</v>
      </c>
      <c r="BQ543" t="s">
        <v>74</v>
      </c>
      <c r="BR543" t="s">
        <v>106</v>
      </c>
      <c r="BS543" t="s">
        <v>2266</v>
      </c>
      <c r="BT543" t="str">
        <f>HYPERLINK("https%3A%2F%2Fwww.webofscience.com%2Fwos%2Fwoscc%2Ffull-record%2FWOS:001083543000001","View Full Record in Web of Science")</f>
        <v>View Full Record in Web of Science</v>
      </c>
    </row>
    <row r="544" spans="1:72" x14ac:dyDescent="0.25">
      <c r="A544" t="s">
        <v>72</v>
      </c>
      <c r="B544" t="s">
        <v>2267</v>
      </c>
      <c r="C544" t="s">
        <v>74</v>
      </c>
      <c r="D544" t="s">
        <v>74</v>
      </c>
      <c r="E544" t="s">
        <v>74</v>
      </c>
      <c r="F544" t="s">
        <v>2268</v>
      </c>
      <c r="G544" t="s">
        <v>74</v>
      </c>
      <c r="H544" t="s">
        <v>74</v>
      </c>
      <c r="I544" s="1" t="s">
        <v>2269</v>
      </c>
      <c r="J544" t="s">
        <v>2270</v>
      </c>
      <c r="K544" t="s">
        <v>74</v>
      </c>
      <c r="L544" t="s">
        <v>74</v>
      </c>
      <c r="M544" t="s">
        <v>78</v>
      </c>
      <c r="N544" t="s">
        <v>79</v>
      </c>
      <c r="O544" t="s">
        <v>74</v>
      </c>
      <c r="P544" t="s">
        <v>74</v>
      </c>
      <c r="Q544" t="s">
        <v>74</v>
      </c>
      <c r="R544" t="s">
        <v>74</v>
      </c>
      <c r="S544" t="s">
        <v>74</v>
      </c>
      <c r="T544" s="1" t="s">
        <v>2271</v>
      </c>
      <c r="U544" s="1" t="s">
        <v>2272</v>
      </c>
      <c r="V544" s="1" t="s">
        <v>2273</v>
      </c>
      <c r="W544" t="s">
        <v>2274</v>
      </c>
      <c r="X544" t="s">
        <v>2275</v>
      </c>
      <c r="Y544" t="s">
        <v>2276</v>
      </c>
      <c r="Z544" t="s">
        <v>2277</v>
      </c>
      <c r="AA544" t="s">
        <v>2278</v>
      </c>
      <c r="AB544" t="s">
        <v>2279</v>
      </c>
      <c r="AC544" t="s">
        <v>74</v>
      </c>
      <c r="AD544" t="s">
        <v>74</v>
      </c>
      <c r="AE544" t="s">
        <v>74</v>
      </c>
      <c r="AF544" t="s">
        <v>74</v>
      </c>
      <c r="AG544">
        <v>67</v>
      </c>
      <c r="AH544">
        <v>0</v>
      </c>
      <c r="AI544">
        <v>0</v>
      </c>
      <c r="AJ544">
        <v>4</v>
      </c>
      <c r="AK544">
        <v>5</v>
      </c>
      <c r="AL544" t="s">
        <v>2280</v>
      </c>
      <c r="AM544" t="s">
        <v>2281</v>
      </c>
      <c r="AN544" t="s">
        <v>2282</v>
      </c>
      <c r="AO544" t="s">
        <v>2283</v>
      </c>
      <c r="AP544" t="s">
        <v>74</v>
      </c>
      <c r="AQ544" t="s">
        <v>74</v>
      </c>
      <c r="AR544" t="s">
        <v>2284</v>
      </c>
      <c r="AS544" t="s">
        <v>2285</v>
      </c>
      <c r="AT544" t="s">
        <v>74</v>
      </c>
      <c r="AU544">
        <v>2023</v>
      </c>
      <c r="AV544">
        <v>14</v>
      </c>
      <c r="AW544">
        <v>3</v>
      </c>
      <c r="AX544" t="s">
        <v>74</v>
      </c>
      <c r="AY544" t="s">
        <v>74</v>
      </c>
      <c r="AZ544" t="s">
        <v>74</v>
      </c>
      <c r="BA544" t="s">
        <v>74</v>
      </c>
      <c r="BB544">
        <v>3443</v>
      </c>
      <c r="BC544">
        <v>3468</v>
      </c>
      <c r="BD544" t="s">
        <v>74</v>
      </c>
      <c r="BE544" t="s">
        <v>2286</v>
      </c>
      <c r="BF544" t="str">
        <f>HYPERLINK("http://dx.doi.org/10.7769/gesec.v14i3.1821","http://dx.doi.org/10.7769/gesec.v14i3.1821")</f>
        <v>http://dx.doi.org/10.7769/gesec.v14i3.1821</v>
      </c>
      <c r="BG544" t="s">
        <v>74</v>
      </c>
      <c r="BH544" t="s">
        <v>74</v>
      </c>
      <c r="BI544">
        <v>26</v>
      </c>
      <c r="BJ544" t="s">
        <v>315</v>
      </c>
      <c r="BK544" t="s">
        <v>183</v>
      </c>
      <c r="BL544" t="s">
        <v>265</v>
      </c>
      <c r="BM544" t="s">
        <v>2287</v>
      </c>
      <c r="BN544" t="s">
        <v>74</v>
      </c>
      <c r="BO544" t="s">
        <v>186</v>
      </c>
      <c r="BP544" t="s">
        <v>74</v>
      </c>
      <c r="BQ544" t="s">
        <v>74</v>
      </c>
      <c r="BR544" t="s">
        <v>106</v>
      </c>
      <c r="BS544" t="s">
        <v>2288</v>
      </c>
      <c r="BT544" t="str">
        <f>HYPERLINK("https%3A%2F%2Fwww.webofscience.com%2Fwos%2Fwoscc%2Ffull-record%2FWOS:000954928500001","View Full Record in Web of Science")</f>
        <v>View Full Record in Web of Science</v>
      </c>
    </row>
    <row r="545" spans="1:72" x14ac:dyDescent="0.25">
      <c r="A545" t="s">
        <v>72</v>
      </c>
      <c r="B545" t="s">
        <v>2289</v>
      </c>
      <c r="C545" t="s">
        <v>74</v>
      </c>
      <c r="D545" t="s">
        <v>74</v>
      </c>
      <c r="E545" t="s">
        <v>74</v>
      </c>
      <c r="F545" t="s">
        <v>2290</v>
      </c>
      <c r="G545" t="s">
        <v>74</v>
      </c>
      <c r="H545" t="s">
        <v>74</v>
      </c>
      <c r="I545" s="1" t="s">
        <v>2291</v>
      </c>
      <c r="J545" t="s">
        <v>191</v>
      </c>
      <c r="K545" t="s">
        <v>74</v>
      </c>
      <c r="L545" t="s">
        <v>74</v>
      </c>
      <c r="M545" t="s">
        <v>78</v>
      </c>
      <c r="N545" t="s">
        <v>79</v>
      </c>
      <c r="O545" t="s">
        <v>74</v>
      </c>
      <c r="P545" t="s">
        <v>74</v>
      </c>
      <c r="Q545" t="s">
        <v>74</v>
      </c>
      <c r="R545" t="s">
        <v>74</v>
      </c>
      <c r="S545" t="s">
        <v>74</v>
      </c>
      <c r="T545" s="1" t="s">
        <v>2292</v>
      </c>
      <c r="U545" s="1" t="s">
        <v>2293</v>
      </c>
      <c r="V545" s="1" t="s">
        <v>2294</v>
      </c>
      <c r="W545" t="s">
        <v>2295</v>
      </c>
      <c r="X545" t="s">
        <v>2296</v>
      </c>
      <c r="Y545" t="s">
        <v>2297</v>
      </c>
      <c r="Z545" t="s">
        <v>2298</v>
      </c>
      <c r="AA545" t="s">
        <v>2299</v>
      </c>
      <c r="AB545" t="s">
        <v>2300</v>
      </c>
      <c r="AC545" t="s">
        <v>74</v>
      </c>
      <c r="AD545" t="s">
        <v>74</v>
      </c>
      <c r="AE545" t="s">
        <v>74</v>
      </c>
      <c r="AF545" t="s">
        <v>74</v>
      </c>
      <c r="AG545">
        <v>41</v>
      </c>
      <c r="AH545">
        <v>0</v>
      </c>
      <c r="AI545">
        <v>0</v>
      </c>
      <c r="AJ545">
        <v>22</v>
      </c>
      <c r="AK545">
        <v>54</v>
      </c>
      <c r="AL545" t="s">
        <v>202</v>
      </c>
      <c r="AM545" t="s">
        <v>203</v>
      </c>
      <c r="AN545" t="s">
        <v>204</v>
      </c>
      <c r="AO545" t="s">
        <v>74</v>
      </c>
      <c r="AP545" t="s">
        <v>205</v>
      </c>
      <c r="AQ545" t="s">
        <v>74</v>
      </c>
      <c r="AR545" t="s">
        <v>206</v>
      </c>
      <c r="AS545" t="s">
        <v>207</v>
      </c>
      <c r="AT545" t="s">
        <v>2068</v>
      </c>
      <c r="AU545">
        <v>2023</v>
      </c>
      <c r="AV545">
        <v>15</v>
      </c>
      <c r="AW545">
        <v>1</v>
      </c>
      <c r="AX545" t="s">
        <v>74</v>
      </c>
      <c r="AY545" t="s">
        <v>74</v>
      </c>
      <c r="AZ545" t="s">
        <v>74</v>
      </c>
      <c r="BA545" t="s">
        <v>74</v>
      </c>
      <c r="BB545" t="s">
        <v>74</v>
      </c>
      <c r="BC545" t="s">
        <v>74</v>
      </c>
      <c r="BD545">
        <v>423</v>
      </c>
      <c r="BE545" t="s">
        <v>2301</v>
      </c>
      <c r="BF545" t="str">
        <f>HYPERLINK("http://dx.doi.org/10.3390/su15010423","http://dx.doi.org/10.3390/su15010423")</f>
        <v>http://dx.doi.org/10.3390/su15010423</v>
      </c>
      <c r="BG545" t="s">
        <v>74</v>
      </c>
      <c r="BH545" t="s">
        <v>74</v>
      </c>
      <c r="BI545">
        <v>17</v>
      </c>
      <c r="BJ545" t="s">
        <v>210</v>
      </c>
      <c r="BK545" t="s">
        <v>211</v>
      </c>
      <c r="BL545" t="s">
        <v>212</v>
      </c>
      <c r="BM545" t="s">
        <v>2302</v>
      </c>
      <c r="BN545" t="s">
        <v>74</v>
      </c>
      <c r="BO545" t="s">
        <v>614</v>
      </c>
      <c r="BP545" t="s">
        <v>74</v>
      </c>
      <c r="BQ545" t="s">
        <v>74</v>
      </c>
      <c r="BR545" t="s">
        <v>106</v>
      </c>
      <c r="BS545" t="s">
        <v>2303</v>
      </c>
      <c r="BT545" t="str">
        <f>HYPERLINK("https%3A%2F%2Fwww.webofscience.com%2Fwos%2Fwoscc%2Ffull-record%2FWOS:000908721400001","View Full Record in Web of Science")</f>
        <v>View Full Record in Web of Science</v>
      </c>
    </row>
    <row r="546" spans="1:72" x14ac:dyDescent="0.25">
      <c r="A546" t="s">
        <v>72</v>
      </c>
      <c r="B546" t="s">
        <v>2323</v>
      </c>
      <c r="C546" t="s">
        <v>74</v>
      </c>
      <c r="D546" t="s">
        <v>74</v>
      </c>
      <c r="E546" t="s">
        <v>74</v>
      </c>
      <c r="F546" t="s">
        <v>2324</v>
      </c>
      <c r="G546" t="s">
        <v>74</v>
      </c>
      <c r="H546" t="s">
        <v>74</v>
      </c>
      <c r="I546" s="1" t="s">
        <v>2325</v>
      </c>
      <c r="J546" t="s">
        <v>2326</v>
      </c>
      <c r="K546" t="s">
        <v>74</v>
      </c>
      <c r="L546" t="s">
        <v>74</v>
      </c>
      <c r="M546" t="s">
        <v>78</v>
      </c>
      <c r="N546" t="s">
        <v>79</v>
      </c>
      <c r="O546" t="s">
        <v>74</v>
      </c>
      <c r="P546" t="s">
        <v>74</v>
      </c>
      <c r="Q546" t="s">
        <v>74</v>
      </c>
      <c r="R546" t="s">
        <v>74</v>
      </c>
      <c r="S546" t="s">
        <v>74</v>
      </c>
      <c r="T546" s="1" t="s">
        <v>2327</v>
      </c>
      <c r="U546" s="1" t="s">
        <v>2328</v>
      </c>
      <c r="V546" s="1" t="s">
        <v>2329</v>
      </c>
      <c r="W546" t="s">
        <v>2330</v>
      </c>
      <c r="X546" t="s">
        <v>2331</v>
      </c>
      <c r="Y546" t="s">
        <v>2332</v>
      </c>
      <c r="Z546" t="s">
        <v>2333</v>
      </c>
      <c r="AA546" t="s">
        <v>2334</v>
      </c>
      <c r="AB546" t="s">
        <v>2335</v>
      </c>
      <c r="AC546" t="s">
        <v>2336</v>
      </c>
      <c r="AD546" t="s">
        <v>2337</v>
      </c>
      <c r="AE546" t="s">
        <v>2338</v>
      </c>
      <c r="AF546" t="s">
        <v>74</v>
      </c>
      <c r="AG546">
        <v>38</v>
      </c>
      <c r="AH546">
        <v>0</v>
      </c>
      <c r="AI546">
        <v>0</v>
      </c>
      <c r="AJ546">
        <v>11</v>
      </c>
      <c r="AK546">
        <v>19</v>
      </c>
      <c r="AL546" t="s">
        <v>2339</v>
      </c>
      <c r="AM546" t="s">
        <v>2340</v>
      </c>
      <c r="AN546" t="s">
        <v>2341</v>
      </c>
      <c r="AO546" t="s">
        <v>2342</v>
      </c>
      <c r="AP546" t="s">
        <v>2343</v>
      </c>
      <c r="AQ546" t="s">
        <v>74</v>
      </c>
      <c r="AR546" t="s">
        <v>2344</v>
      </c>
      <c r="AS546" t="s">
        <v>2345</v>
      </c>
      <c r="AT546" t="s">
        <v>2346</v>
      </c>
      <c r="AU546">
        <v>2022</v>
      </c>
      <c r="AV546">
        <v>13</v>
      </c>
      <c r="AW546">
        <v>7</v>
      </c>
      <c r="AX546" t="s">
        <v>74</v>
      </c>
      <c r="AY546" t="s">
        <v>74</v>
      </c>
      <c r="AZ546" t="s">
        <v>74</v>
      </c>
      <c r="BA546" t="s">
        <v>74</v>
      </c>
      <c r="BB546">
        <v>1373</v>
      </c>
      <c r="BC546">
        <v>1382</v>
      </c>
      <c r="BD546" t="s">
        <v>74</v>
      </c>
      <c r="BE546" t="s">
        <v>2347</v>
      </c>
      <c r="BF546" t="str">
        <f>HYPERLINK("http://dx.doi.org/10.14716/ijtech.v13i7.6193","http://dx.doi.org/10.14716/ijtech.v13i7.6193")</f>
        <v>http://dx.doi.org/10.14716/ijtech.v13i7.6193</v>
      </c>
      <c r="BG546" t="s">
        <v>74</v>
      </c>
      <c r="BH546" t="s">
        <v>74</v>
      </c>
      <c r="BI546">
        <v>10</v>
      </c>
      <c r="BJ546" t="s">
        <v>2113</v>
      </c>
      <c r="BK546" t="s">
        <v>183</v>
      </c>
      <c r="BL546" t="s">
        <v>1685</v>
      </c>
      <c r="BM546" t="s">
        <v>2348</v>
      </c>
      <c r="BN546" t="s">
        <v>74</v>
      </c>
      <c r="BO546" t="s">
        <v>186</v>
      </c>
      <c r="BP546" t="s">
        <v>74</v>
      </c>
      <c r="BQ546" t="s">
        <v>74</v>
      </c>
      <c r="BR546" t="s">
        <v>106</v>
      </c>
      <c r="BS546" t="s">
        <v>2349</v>
      </c>
      <c r="BT546" t="str">
        <f>HYPERLINK("https%3A%2F%2Fwww.webofscience.com%2Fwos%2Fwoscc%2Ffull-record%2FWOS:000906718400002","View Full Record in Web of Science")</f>
        <v>View Full Record in Web of Science</v>
      </c>
    </row>
    <row r="547" spans="1:72" x14ac:dyDescent="0.25">
      <c r="A547" t="s">
        <v>72</v>
      </c>
      <c r="B547" t="s">
        <v>2371</v>
      </c>
      <c r="C547" t="s">
        <v>74</v>
      </c>
      <c r="D547" t="s">
        <v>74</v>
      </c>
      <c r="E547" t="s">
        <v>74</v>
      </c>
      <c r="F547" t="s">
        <v>2372</v>
      </c>
      <c r="G547" t="s">
        <v>74</v>
      </c>
      <c r="H547" t="s">
        <v>74</v>
      </c>
      <c r="I547" s="1" t="s">
        <v>2373</v>
      </c>
      <c r="J547" t="s">
        <v>2374</v>
      </c>
      <c r="K547" t="s">
        <v>74</v>
      </c>
      <c r="L547" t="s">
        <v>74</v>
      </c>
      <c r="M547" t="s">
        <v>78</v>
      </c>
      <c r="N547" t="s">
        <v>79</v>
      </c>
      <c r="O547" t="s">
        <v>74</v>
      </c>
      <c r="P547" t="s">
        <v>74</v>
      </c>
      <c r="Q547" t="s">
        <v>74</v>
      </c>
      <c r="R547" t="s">
        <v>74</v>
      </c>
      <c r="S547" t="s">
        <v>74</v>
      </c>
      <c r="T547" s="1" t="s">
        <v>2375</v>
      </c>
      <c r="U547" s="1" t="s">
        <v>2376</v>
      </c>
      <c r="V547" s="1" t="s">
        <v>2377</v>
      </c>
      <c r="W547" t="s">
        <v>2378</v>
      </c>
      <c r="X547" t="s">
        <v>2379</v>
      </c>
      <c r="Y547" t="s">
        <v>2380</v>
      </c>
      <c r="Z547" t="s">
        <v>2381</v>
      </c>
      <c r="AA547" t="s">
        <v>74</v>
      </c>
      <c r="AB547" t="s">
        <v>2382</v>
      </c>
      <c r="AC547" t="s">
        <v>74</v>
      </c>
      <c r="AD547" t="s">
        <v>74</v>
      </c>
      <c r="AE547" t="s">
        <v>74</v>
      </c>
      <c r="AF547" t="s">
        <v>74</v>
      </c>
      <c r="AG547">
        <v>61</v>
      </c>
      <c r="AH547">
        <v>0</v>
      </c>
      <c r="AI547">
        <v>0</v>
      </c>
      <c r="AJ547">
        <v>10</v>
      </c>
      <c r="AK547">
        <v>22</v>
      </c>
      <c r="AL547" t="s">
        <v>2383</v>
      </c>
      <c r="AM547" t="s">
        <v>2384</v>
      </c>
      <c r="AN547" t="s">
        <v>2385</v>
      </c>
      <c r="AO547" t="s">
        <v>2386</v>
      </c>
      <c r="AP547" t="s">
        <v>2387</v>
      </c>
      <c r="AQ547" t="s">
        <v>74</v>
      </c>
      <c r="AR547" t="s">
        <v>2388</v>
      </c>
      <c r="AS547" t="s">
        <v>2389</v>
      </c>
      <c r="AT547" t="s">
        <v>2390</v>
      </c>
      <c r="AU547">
        <v>2023</v>
      </c>
      <c r="AV547">
        <v>26</v>
      </c>
      <c r="AW547">
        <v>1</v>
      </c>
      <c r="AX547" t="s">
        <v>74</v>
      </c>
      <c r="AY547" t="s">
        <v>74</v>
      </c>
      <c r="AZ547" t="s">
        <v>74</v>
      </c>
      <c r="BA547" t="s">
        <v>74</v>
      </c>
      <c r="BB547">
        <v>42</v>
      </c>
      <c r="BC547">
        <v>49</v>
      </c>
      <c r="BD547" t="s">
        <v>74</v>
      </c>
      <c r="BE547" t="s">
        <v>2391</v>
      </c>
      <c r="BF547" t="str">
        <f>HYPERLINK("http://dx.doi.org/10.1089/cyber.2022.0027","http://dx.doi.org/10.1089/cyber.2022.0027")</f>
        <v>http://dx.doi.org/10.1089/cyber.2022.0027</v>
      </c>
      <c r="BG547" t="s">
        <v>74</v>
      </c>
      <c r="BH547" t="s">
        <v>2368</v>
      </c>
      <c r="BI547">
        <v>8</v>
      </c>
      <c r="BJ547" t="s">
        <v>2392</v>
      </c>
      <c r="BK547" t="s">
        <v>156</v>
      </c>
      <c r="BL547" t="s">
        <v>1665</v>
      </c>
      <c r="BM547" t="s">
        <v>2393</v>
      </c>
      <c r="BN547">
        <v>36577008</v>
      </c>
      <c r="BO547" t="s">
        <v>74</v>
      </c>
      <c r="BP547" t="s">
        <v>74</v>
      </c>
      <c r="BQ547" t="s">
        <v>74</v>
      </c>
      <c r="BR547" t="s">
        <v>106</v>
      </c>
      <c r="BS547" t="s">
        <v>2394</v>
      </c>
      <c r="BT547" t="str">
        <f>HYPERLINK("https%3A%2F%2Fwww.webofscience.com%2Fwos%2Fwoscc%2Ffull-record%2FWOS:000904990200001","View Full Record in Web of Science")</f>
        <v>View Full Record in Web of Science</v>
      </c>
    </row>
    <row r="548" spans="1:72" x14ac:dyDescent="0.25">
      <c r="A548" t="s">
        <v>72</v>
      </c>
      <c r="B548" t="s">
        <v>2395</v>
      </c>
      <c r="C548" t="s">
        <v>74</v>
      </c>
      <c r="D548" t="s">
        <v>74</v>
      </c>
      <c r="E548" t="s">
        <v>74</v>
      </c>
      <c r="F548" t="s">
        <v>2396</v>
      </c>
      <c r="G548" t="s">
        <v>74</v>
      </c>
      <c r="H548" t="s">
        <v>74</v>
      </c>
      <c r="I548" s="1" t="s">
        <v>2397</v>
      </c>
      <c r="J548" t="s">
        <v>2398</v>
      </c>
      <c r="K548" t="s">
        <v>74</v>
      </c>
      <c r="L548" t="s">
        <v>74</v>
      </c>
      <c r="M548" t="s">
        <v>78</v>
      </c>
      <c r="N548" t="s">
        <v>79</v>
      </c>
      <c r="O548" t="s">
        <v>74</v>
      </c>
      <c r="P548" t="s">
        <v>74</v>
      </c>
      <c r="Q548" t="s">
        <v>74</v>
      </c>
      <c r="R548" t="s">
        <v>74</v>
      </c>
      <c r="S548" t="s">
        <v>74</v>
      </c>
      <c r="T548" s="1" t="s">
        <v>2399</v>
      </c>
      <c r="U548" s="1" t="s">
        <v>74</v>
      </c>
      <c r="V548" s="1" t="s">
        <v>2400</v>
      </c>
      <c r="W548" t="s">
        <v>2401</v>
      </c>
      <c r="X548" t="s">
        <v>2402</v>
      </c>
      <c r="Y548" t="s">
        <v>2403</v>
      </c>
      <c r="Z548" t="s">
        <v>2404</v>
      </c>
      <c r="AA548" t="s">
        <v>74</v>
      </c>
      <c r="AB548" t="s">
        <v>2405</v>
      </c>
      <c r="AC548" t="s">
        <v>74</v>
      </c>
      <c r="AD548" t="s">
        <v>74</v>
      </c>
      <c r="AE548" t="s">
        <v>74</v>
      </c>
      <c r="AF548" t="s">
        <v>74</v>
      </c>
      <c r="AG548">
        <v>62</v>
      </c>
      <c r="AH548">
        <v>0</v>
      </c>
      <c r="AI548">
        <v>0</v>
      </c>
      <c r="AJ548">
        <v>14</v>
      </c>
      <c r="AK548">
        <v>21</v>
      </c>
      <c r="AL548" t="s">
        <v>146</v>
      </c>
      <c r="AM548" t="s">
        <v>147</v>
      </c>
      <c r="AN548" t="s">
        <v>148</v>
      </c>
      <c r="AO548" t="s">
        <v>2406</v>
      </c>
      <c r="AP548" t="s">
        <v>2407</v>
      </c>
      <c r="AQ548" t="s">
        <v>74</v>
      </c>
      <c r="AR548" t="s">
        <v>2408</v>
      </c>
      <c r="AS548" t="s">
        <v>2409</v>
      </c>
      <c r="AT548" t="s">
        <v>1448</v>
      </c>
      <c r="AU548">
        <v>2023</v>
      </c>
      <c r="AV548">
        <v>49</v>
      </c>
      <c r="AW548">
        <v>2</v>
      </c>
      <c r="AX548" t="s">
        <v>74</v>
      </c>
      <c r="AY548" t="s">
        <v>74</v>
      </c>
      <c r="AZ548" t="s">
        <v>74</v>
      </c>
      <c r="BA548" t="s">
        <v>74</v>
      </c>
      <c r="BB548">
        <v>266</v>
      </c>
      <c r="BC548">
        <v>287</v>
      </c>
      <c r="BD548" t="s">
        <v>74</v>
      </c>
      <c r="BE548" t="s">
        <v>2410</v>
      </c>
      <c r="BF548" t="str">
        <f>HYPERLINK("http://dx.doi.org/10.1002/berj.3842","http://dx.doi.org/10.1002/berj.3842")</f>
        <v>http://dx.doi.org/10.1002/berj.3842</v>
      </c>
      <c r="BG548" t="s">
        <v>74</v>
      </c>
      <c r="BH548" t="s">
        <v>2368</v>
      </c>
      <c r="BI548">
        <v>22</v>
      </c>
      <c r="BJ548" t="s">
        <v>1326</v>
      </c>
      <c r="BK548" t="s">
        <v>156</v>
      </c>
      <c r="BL548" t="s">
        <v>1326</v>
      </c>
      <c r="BM548" t="s">
        <v>2411</v>
      </c>
      <c r="BN548" t="s">
        <v>74</v>
      </c>
      <c r="BO548" t="s">
        <v>105</v>
      </c>
      <c r="BP548" t="s">
        <v>74</v>
      </c>
      <c r="BQ548" t="s">
        <v>74</v>
      </c>
      <c r="BR548" t="s">
        <v>106</v>
      </c>
      <c r="BS548" t="s">
        <v>2412</v>
      </c>
      <c r="BT548" t="str">
        <f>HYPERLINK("https%3A%2F%2Fwww.webofscience.com%2Fwos%2Fwoscc%2Ffull-record%2FWOS:000903702100001","View Full Record in Web of Science")</f>
        <v>View Full Record in Web of Science</v>
      </c>
    </row>
    <row r="549" spans="1:72" x14ac:dyDescent="0.25">
      <c r="A549" t="s">
        <v>72</v>
      </c>
      <c r="B549" t="s">
        <v>2471</v>
      </c>
      <c r="C549" t="s">
        <v>74</v>
      </c>
      <c r="D549" t="s">
        <v>74</v>
      </c>
      <c r="E549" t="s">
        <v>74</v>
      </c>
      <c r="F549" t="s">
        <v>2472</v>
      </c>
      <c r="G549" t="s">
        <v>74</v>
      </c>
      <c r="H549" t="s">
        <v>74</v>
      </c>
      <c r="I549" s="1" t="s">
        <v>2473</v>
      </c>
      <c r="J549" t="s">
        <v>2474</v>
      </c>
      <c r="K549" t="s">
        <v>74</v>
      </c>
      <c r="L549" t="s">
        <v>74</v>
      </c>
      <c r="M549" t="s">
        <v>78</v>
      </c>
      <c r="N549" t="s">
        <v>112</v>
      </c>
      <c r="O549" t="s">
        <v>74</v>
      </c>
      <c r="P549" t="s">
        <v>74</v>
      </c>
      <c r="Q549" t="s">
        <v>74</v>
      </c>
      <c r="R549" t="s">
        <v>74</v>
      </c>
      <c r="S549" t="s">
        <v>74</v>
      </c>
      <c r="T549" s="1" t="s">
        <v>2475</v>
      </c>
      <c r="U549" s="1" t="s">
        <v>2476</v>
      </c>
      <c r="V549" s="1" t="s">
        <v>2477</v>
      </c>
      <c r="W549" t="s">
        <v>2478</v>
      </c>
      <c r="X549" t="s">
        <v>2479</v>
      </c>
      <c r="Y549" t="s">
        <v>2480</v>
      </c>
      <c r="Z549" t="s">
        <v>2481</v>
      </c>
      <c r="AA549" t="s">
        <v>2482</v>
      </c>
      <c r="AB549" t="s">
        <v>2483</v>
      </c>
      <c r="AC549" t="s">
        <v>74</v>
      </c>
      <c r="AD549" t="s">
        <v>74</v>
      </c>
      <c r="AE549" t="s">
        <v>74</v>
      </c>
      <c r="AF549" t="s">
        <v>74</v>
      </c>
      <c r="AG549">
        <v>70</v>
      </c>
      <c r="AH549">
        <v>0</v>
      </c>
      <c r="AI549">
        <v>0</v>
      </c>
      <c r="AJ549">
        <v>19</v>
      </c>
      <c r="AK549">
        <v>37</v>
      </c>
      <c r="AL549" t="s">
        <v>715</v>
      </c>
      <c r="AM549" t="s">
        <v>716</v>
      </c>
      <c r="AN549" t="s">
        <v>717</v>
      </c>
      <c r="AO549" t="s">
        <v>2484</v>
      </c>
      <c r="AP549" t="s">
        <v>2485</v>
      </c>
      <c r="AQ549" t="s">
        <v>74</v>
      </c>
      <c r="AR549" t="s">
        <v>2486</v>
      </c>
      <c r="AS549" t="s">
        <v>2487</v>
      </c>
      <c r="AT549" t="s">
        <v>2467</v>
      </c>
      <c r="AU549">
        <v>2022</v>
      </c>
      <c r="AV549" t="s">
        <v>74</v>
      </c>
      <c r="AW549" t="s">
        <v>74</v>
      </c>
      <c r="AX549" t="s">
        <v>74</v>
      </c>
      <c r="AY549" t="s">
        <v>74</v>
      </c>
      <c r="AZ549" t="s">
        <v>74</v>
      </c>
      <c r="BA549" t="s">
        <v>74</v>
      </c>
      <c r="BB549" t="s">
        <v>74</v>
      </c>
      <c r="BC549" t="s">
        <v>74</v>
      </c>
      <c r="BD549" t="s">
        <v>74</v>
      </c>
      <c r="BE549" t="s">
        <v>2488</v>
      </c>
      <c r="BF549" t="str">
        <f>HYPERLINK("http://dx.doi.org/10.1108/IJOEM-01-2022-0011","http://dx.doi.org/10.1108/IJOEM-01-2022-0011")</f>
        <v>http://dx.doi.org/10.1108/IJOEM-01-2022-0011</v>
      </c>
      <c r="BG549" t="s">
        <v>74</v>
      </c>
      <c r="BH549" t="s">
        <v>2368</v>
      </c>
      <c r="BI549">
        <v>29</v>
      </c>
      <c r="BJ549" t="s">
        <v>2489</v>
      </c>
      <c r="BK549" t="s">
        <v>156</v>
      </c>
      <c r="BL549" t="s">
        <v>265</v>
      </c>
      <c r="BM549" t="s">
        <v>2490</v>
      </c>
      <c r="BN549" t="s">
        <v>74</v>
      </c>
      <c r="BO549" t="s">
        <v>74</v>
      </c>
      <c r="BP549" t="s">
        <v>74</v>
      </c>
      <c r="BQ549" t="s">
        <v>74</v>
      </c>
      <c r="BR549" t="s">
        <v>106</v>
      </c>
      <c r="BS549" t="s">
        <v>2491</v>
      </c>
      <c r="BT549" t="str">
        <f>HYPERLINK("https%3A%2F%2Fwww.webofscience.com%2Fwos%2Fwoscc%2Ffull-record%2FWOS:000896893300001","View Full Record in Web of Science")</f>
        <v>View Full Record in Web of Science</v>
      </c>
    </row>
    <row r="550" spans="1:72" x14ac:dyDescent="0.25">
      <c r="A550" t="s">
        <v>72</v>
      </c>
      <c r="B550" t="s">
        <v>2510</v>
      </c>
      <c r="C550" t="s">
        <v>74</v>
      </c>
      <c r="D550" t="s">
        <v>74</v>
      </c>
      <c r="E550" t="s">
        <v>74</v>
      </c>
      <c r="F550" t="s">
        <v>2511</v>
      </c>
      <c r="G550" t="s">
        <v>74</v>
      </c>
      <c r="H550" t="s">
        <v>74</v>
      </c>
      <c r="I550" s="1" t="s">
        <v>2512</v>
      </c>
      <c r="J550" t="s">
        <v>2513</v>
      </c>
      <c r="K550" t="s">
        <v>74</v>
      </c>
      <c r="L550" t="s">
        <v>74</v>
      </c>
      <c r="M550" t="s">
        <v>78</v>
      </c>
      <c r="N550" t="s">
        <v>79</v>
      </c>
      <c r="O550" t="s">
        <v>74</v>
      </c>
      <c r="P550" t="s">
        <v>74</v>
      </c>
      <c r="Q550" t="s">
        <v>74</v>
      </c>
      <c r="R550" t="s">
        <v>74</v>
      </c>
      <c r="S550" t="s">
        <v>74</v>
      </c>
      <c r="T550" s="1" t="s">
        <v>2514</v>
      </c>
      <c r="U550" s="1" t="s">
        <v>2515</v>
      </c>
      <c r="V550" s="1" t="s">
        <v>2516</v>
      </c>
      <c r="W550" t="s">
        <v>2517</v>
      </c>
      <c r="X550" t="s">
        <v>2518</v>
      </c>
      <c r="Y550" t="s">
        <v>2519</v>
      </c>
      <c r="Z550" t="s">
        <v>2520</v>
      </c>
      <c r="AA550" t="s">
        <v>74</v>
      </c>
      <c r="AB550" t="s">
        <v>74</v>
      </c>
      <c r="AC550" t="s">
        <v>74</v>
      </c>
      <c r="AD550" t="s">
        <v>74</v>
      </c>
      <c r="AE550" t="s">
        <v>74</v>
      </c>
      <c r="AF550" t="s">
        <v>74</v>
      </c>
      <c r="AG550">
        <v>67</v>
      </c>
      <c r="AH550">
        <v>0</v>
      </c>
      <c r="AI550">
        <v>0</v>
      </c>
      <c r="AJ550">
        <v>16</v>
      </c>
      <c r="AK550">
        <v>30</v>
      </c>
      <c r="AL550" t="s">
        <v>969</v>
      </c>
      <c r="AM550" t="s">
        <v>970</v>
      </c>
      <c r="AN550" t="s">
        <v>971</v>
      </c>
      <c r="AO550" t="s">
        <v>2521</v>
      </c>
      <c r="AP550" t="s">
        <v>2522</v>
      </c>
      <c r="AQ550" t="s">
        <v>74</v>
      </c>
      <c r="AR550" t="s">
        <v>2523</v>
      </c>
      <c r="AS550" t="s">
        <v>2524</v>
      </c>
      <c r="AT550" t="s">
        <v>476</v>
      </c>
      <c r="AU550">
        <v>2022</v>
      </c>
      <c r="AV550">
        <v>56</v>
      </c>
      <c r="AW550">
        <v>6</v>
      </c>
      <c r="AX550" t="s">
        <v>74</v>
      </c>
      <c r="AY550" t="s">
        <v>74</v>
      </c>
      <c r="AZ550" t="s">
        <v>74</v>
      </c>
      <c r="BA550" t="s">
        <v>74</v>
      </c>
      <c r="BB550">
        <v>915</v>
      </c>
      <c r="BC550">
        <v>938</v>
      </c>
      <c r="BD550" t="s">
        <v>74</v>
      </c>
      <c r="BE550" t="s">
        <v>74</v>
      </c>
      <c r="BF550" t="s">
        <v>74</v>
      </c>
      <c r="BG550" t="s">
        <v>74</v>
      </c>
      <c r="BH550" t="s">
        <v>74</v>
      </c>
      <c r="BI550">
        <v>24</v>
      </c>
      <c r="BJ550" t="s">
        <v>2525</v>
      </c>
      <c r="BK550" t="s">
        <v>156</v>
      </c>
      <c r="BL550" t="s">
        <v>2526</v>
      </c>
      <c r="BM550" t="s">
        <v>2527</v>
      </c>
      <c r="BN550" t="s">
        <v>74</v>
      </c>
      <c r="BO550" t="s">
        <v>74</v>
      </c>
      <c r="BP550" t="s">
        <v>74</v>
      </c>
      <c r="BQ550" t="s">
        <v>74</v>
      </c>
      <c r="BR550" t="s">
        <v>106</v>
      </c>
      <c r="BS550" t="s">
        <v>2528</v>
      </c>
      <c r="BT550" t="str">
        <f>HYPERLINK("https%3A%2F%2Fwww.webofscience.com%2Fwos%2Fwoscc%2Ffull-record%2FWOS:000910902100003","View Full Record in Web of Science")</f>
        <v>View Full Record in Web of Science</v>
      </c>
    </row>
    <row r="551" spans="1:72" x14ac:dyDescent="0.25">
      <c r="A551" t="s">
        <v>72</v>
      </c>
      <c r="B551" t="s">
        <v>2529</v>
      </c>
      <c r="C551" t="s">
        <v>74</v>
      </c>
      <c r="D551" t="s">
        <v>74</v>
      </c>
      <c r="E551" t="s">
        <v>74</v>
      </c>
      <c r="F551" t="s">
        <v>2530</v>
      </c>
      <c r="G551" t="s">
        <v>74</v>
      </c>
      <c r="H551" t="s">
        <v>74</v>
      </c>
      <c r="I551" s="1" t="s">
        <v>2531</v>
      </c>
      <c r="J551" t="s">
        <v>928</v>
      </c>
      <c r="K551" t="s">
        <v>74</v>
      </c>
      <c r="L551" t="s">
        <v>74</v>
      </c>
      <c r="M551" t="s">
        <v>929</v>
      </c>
      <c r="N551" t="s">
        <v>79</v>
      </c>
      <c r="O551" t="s">
        <v>74</v>
      </c>
      <c r="P551" t="s">
        <v>74</v>
      </c>
      <c r="Q551" t="s">
        <v>74</v>
      </c>
      <c r="R551" t="s">
        <v>74</v>
      </c>
      <c r="S551" t="s">
        <v>74</v>
      </c>
      <c r="T551" s="1" t="s">
        <v>2532</v>
      </c>
      <c r="U551" s="1" t="s">
        <v>74</v>
      </c>
      <c r="V551" s="1" t="s">
        <v>2533</v>
      </c>
      <c r="W551" t="s">
        <v>2534</v>
      </c>
      <c r="X551" t="s">
        <v>2535</v>
      </c>
      <c r="Y551" t="s">
        <v>2536</v>
      </c>
      <c r="Z551" t="s">
        <v>2537</v>
      </c>
      <c r="AA551" t="s">
        <v>74</v>
      </c>
      <c r="AB551" t="s">
        <v>74</v>
      </c>
      <c r="AC551" t="s">
        <v>74</v>
      </c>
      <c r="AD551" t="s">
        <v>74</v>
      </c>
      <c r="AE551" t="s">
        <v>74</v>
      </c>
      <c r="AF551" t="s">
        <v>74</v>
      </c>
      <c r="AG551">
        <v>22</v>
      </c>
      <c r="AH551">
        <v>0</v>
      </c>
      <c r="AI551">
        <v>0</v>
      </c>
      <c r="AJ551">
        <v>0</v>
      </c>
      <c r="AK551">
        <v>0</v>
      </c>
      <c r="AL551" t="s">
        <v>935</v>
      </c>
      <c r="AM551" t="s">
        <v>936</v>
      </c>
      <c r="AN551" t="s">
        <v>937</v>
      </c>
      <c r="AO551" t="s">
        <v>938</v>
      </c>
      <c r="AP551" t="s">
        <v>74</v>
      </c>
      <c r="AQ551" t="s">
        <v>74</v>
      </c>
      <c r="AR551" t="s">
        <v>939</v>
      </c>
      <c r="AS551" t="s">
        <v>940</v>
      </c>
      <c r="AT551" t="s">
        <v>476</v>
      </c>
      <c r="AU551">
        <v>2022</v>
      </c>
      <c r="AV551">
        <v>14</v>
      </c>
      <c r="AW551" t="s">
        <v>74</v>
      </c>
      <c r="AX551" t="s">
        <v>74</v>
      </c>
      <c r="AY551">
        <v>6</v>
      </c>
      <c r="AZ551" t="s">
        <v>74</v>
      </c>
      <c r="BA551" t="s">
        <v>74</v>
      </c>
      <c r="BB551">
        <v>469</v>
      </c>
      <c r="BC551">
        <v>479</v>
      </c>
      <c r="BD551" t="s">
        <v>74</v>
      </c>
      <c r="BE551" t="s">
        <v>74</v>
      </c>
      <c r="BF551" t="s">
        <v>74</v>
      </c>
      <c r="BG551" t="s">
        <v>74</v>
      </c>
      <c r="BH551" t="s">
        <v>74</v>
      </c>
      <c r="BI551">
        <v>11</v>
      </c>
      <c r="BJ551" t="s">
        <v>942</v>
      </c>
      <c r="BK551" t="s">
        <v>183</v>
      </c>
      <c r="BL551" t="s">
        <v>943</v>
      </c>
      <c r="BM551" t="s">
        <v>2538</v>
      </c>
      <c r="BN551" t="s">
        <v>74</v>
      </c>
      <c r="BO551" t="s">
        <v>74</v>
      </c>
      <c r="BP551" t="s">
        <v>74</v>
      </c>
      <c r="BQ551" t="s">
        <v>74</v>
      </c>
      <c r="BR551" t="s">
        <v>106</v>
      </c>
      <c r="BS551" t="s">
        <v>2539</v>
      </c>
      <c r="BT551" t="str">
        <f>HYPERLINK("https%3A%2F%2Fwww.webofscience.com%2Fwos%2Fwoscc%2Ffull-record%2FWOS:001001054900050","View Full Record in Web of Science")</f>
        <v>View Full Record in Web of Science</v>
      </c>
    </row>
    <row r="552" spans="1:72" x14ac:dyDescent="0.25">
      <c r="A552" t="s">
        <v>72</v>
      </c>
      <c r="B552" t="s">
        <v>2584</v>
      </c>
      <c r="C552" t="s">
        <v>74</v>
      </c>
      <c r="D552" t="s">
        <v>74</v>
      </c>
      <c r="E552" t="s">
        <v>74</v>
      </c>
      <c r="F552" t="s">
        <v>2585</v>
      </c>
      <c r="G552" t="s">
        <v>74</v>
      </c>
      <c r="H552" t="s">
        <v>74</v>
      </c>
      <c r="I552" s="1" t="s">
        <v>2586</v>
      </c>
      <c r="J552" t="s">
        <v>2587</v>
      </c>
      <c r="K552" t="s">
        <v>74</v>
      </c>
      <c r="L552" t="s">
        <v>74</v>
      </c>
      <c r="M552" t="s">
        <v>78</v>
      </c>
      <c r="N552" t="s">
        <v>79</v>
      </c>
      <c r="O552" t="s">
        <v>74</v>
      </c>
      <c r="P552" t="s">
        <v>74</v>
      </c>
      <c r="Q552" t="s">
        <v>74</v>
      </c>
      <c r="R552" t="s">
        <v>74</v>
      </c>
      <c r="S552" t="s">
        <v>74</v>
      </c>
      <c r="T552" s="1" t="s">
        <v>2588</v>
      </c>
      <c r="U552" s="1" t="s">
        <v>2589</v>
      </c>
      <c r="V552" s="1" t="s">
        <v>2590</v>
      </c>
      <c r="W552" t="s">
        <v>2591</v>
      </c>
      <c r="X552" t="s">
        <v>2592</v>
      </c>
      <c r="Y552" t="s">
        <v>2593</v>
      </c>
      <c r="Z552" t="s">
        <v>2594</v>
      </c>
      <c r="AA552" t="s">
        <v>74</v>
      </c>
      <c r="AB552" t="s">
        <v>74</v>
      </c>
      <c r="AC552" t="s">
        <v>74</v>
      </c>
      <c r="AD552" t="s">
        <v>74</v>
      </c>
      <c r="AE552" t="s">
        <v>74</v>
      </c>
      <c r="AF552" t="s">
        <v>74</v>
      </c>
      <c r="AG552">
        <v>106</v>
      </c>
      <c r="AH552">
        <v>0</v>
      </c>
      <c r="AI552">
        <v>0</v>
      </c>
      <c r="AJ552">
        <v>76</v>
      </c>
      <c r="AK552">
        <v>157</v>
      </c>
      <c r="AL552" t="s">
        <v>2595</v>
      </c>
      <c r="AM552" t="s">
        <v>2596</v>
      </c>
      <c r="AN552" t="s">
        <v>2597</v>
      </c>
      <c r="AO552" t="s">
        <v>2598</v>
      </c>
      <c r="AP552" t="s">
        <v>74</v>
      </c>
      <c r="AQ552" t="s">
        <v>74</v>
      </c>
      <c r="AR552" t="s">
        <v>2599</v>
      </c>
      <c r="AS552" t="s">
        <v>2600</v>
      </c>
      <c r="AT552" t="s">
        <v>476</v>
      </c>
      <c r="AU552">
        <v>2022</v>
      </c>
      <c r="AV552">
        <v>46</v>
      </c>
      <c r="AW552">
        <v>4</v>
      </c>
      <c r="AX552" t="s">
        <v>74</v>
      </c>
      <c r="AY552" t="s">
        <v>74</v>
      </c>
      <c r="AZ552" t="s">
        <v>74</v>
      </c>
      <c r="BA552" t="s">
        <v>74</v>
      </c>
      <c r="BB552">
        <v>2289</v>
      </c>
      <c r="BC552">
        <v>2316</v>
      </c>
      <c r="BD552" t="s">
        <v>74</v>
      </c>
      <c r="BE552" t="s">
        <v>2601</v>
      </c>
      <c r="BF552" t="str">
        <f>HYPERLINK("http://dx.doi.org/10.25300/MISQ/2022/17061","http://dx.doi.org/10.25300/MISQ/2022/17061")</f>
        <v>http://dx.doi.org/10.25300/MISQ/2022/17061</v>
      </c>
      <c r="BG552" t="s">
        <v>74</v>
      </c>
      <c r="BH552" t="s">
        <v>74</v>
      </c>
      <c r="BI552">
        <v>28</v>
      </c>
      <c r="BJ552" t="s">
        <v>2581</v>
      </c>
      <c r="BK552" t="s">
        <v>211</v>
      </c>
      <c r="BL552" t="s">
        <v>767</v>
      </c>
      <c r="BM552" t="s">
        <v>2602</v>
      </c>
      <c r="BN552" t="s">
        <v>74</v>
      </c>
      <c r="BO552" t="s">
        <v>74</v>
      </c>
      <c r="BP552" t="s">
        <v>74</v>
      </c>
      <c r="BQ552" t="s">
        <v>74</v>
      </c>
      <c r="BR552" t="s">
        <v>106</v>
      </c>
      <c r="BS552" t="s">
        <v>2603</v>
      </c>
      <c r="BT552" t="str">
        <f>HYPERLINK("https%3A%2F%2Fwww.webofscience.com%2Fwos%2Fwoscc%2Ffull-record%2FWOS:000892083000015","View Full Record in Web of Science")</f>
        <v>View Full Record in Web of Science</v>
      </c>
    </row>
    <row r="553" spans="1:72" x14ac:dyDescent="0.25">
      <c r="A553" t="s">
        <v>72</v>
      </c>
      <c r="B553" t="s">
        <v>2625</v>
      </c>
      <c r="C553" t="s">
        <v>74</v>
      </c>
      <c r="D553" t="s">
        <v>74</v>
      </c>
      <c r="E553" t="s">
        <v>74</v>
      </c>
      <c r="F553" t="s">
        <v>2626</v>
      </c>
      <c r="G553" t="s">
        <v>74</v>
      </c>
      <c r="H553" t="s">
        <v>74</v>
      </c>
      <c r="I553" s="1" t="s">
        <v>2627</v>
      </c>
      <c r="J553" t="s">
        <v>2628</v>
      </c>
      <c r="K553" t="s">
        <v>74</v>
      </c>
      <c r="L553" t="s">
        <v>74</v>
      </c>
      <c r="M553" t="s">
        <v>78</v>
      </c>
      <c r="N553" t="s">
        <v>79</v>
      </c>
      <c r="O553" t="s">
        <v>74</v>
      </c>
      <c r="P553" t="s">
        <v>74</v>
      </c>
      <c r="Q553" t="s">
        <v>74</v>
      </c>
      <c r="R553" t="s">
        <v>74</v>
      </c>
      <c r="S553" t="s">
        <v>74</v>
      </c>
      <c r="T553" s="1" t="s">
        <v>74</v>
      </c>
      <c r="U553" s="1" t="s">
        <v>2629</v>
      </c>
      <c r="V553" s="1" t="s">
        <v>2630</v>
      </c>
      <c r="W553" t="s">
        <v>2631</v>
      </c>
      <c r="X553" t="s">
        <v>2632</v>
      </c>
      <c r="Y553" t="s">
        <v>2633</v>
      </c>
      <c r="Z553" t="s">
        <v>2634</v>
      </c>
      <c r="AA553" t="s">
        <v>2635</v>
      </c>
      <c r="AB553" t="s">
        <v>2636</v>
      </c>
      <c r="AC553" t="s">
        <v>2637</v>
      </c>
      <c r="AD553" t="s">
        <v>2637</v>
      </c>
      <c r="AE553" t="s">
        <v>2638</v>
      </c>
      <c r="AF553" t="s">
        <v>74</v>
      </c>
      <c r="AG553">
        <v>25</v>
      </c>
      <c r="AH553">
        <v>0</v>
      </c>
      <c r="AI553">
        <v>0</v>
      </c>
      <c r="AJ553">
        <v>1</v>
      </c>
      <c r="AK553">
        <v>1</v>
      </c>
      <c r="AL553" t="s">
        <v>2639</v>
      </c>
      <c r="AM553" t="s">
        <v>2640</v>
      </c>
      <c r="AN553" t="s">
        <v>2641</v>
      </c>
      <c r="AO553" t="s">
        <v>2642</v>
      </c>
      <c r="AP553" t="s">
        <v>74</v>
      </c>
      <c r="AQ553" t="s">
        <v>74</v>
      </c>
      <c r="AR553" t="s">
        <v>2628</v>
      </c>
      <c r="AS553" t="s">
        <v>2643</v>
      </c>
      <c r="AT553" t="s">
        <v>2644</v>
      </c>
      <c r="AU553">
        <v>2022</v>
      </c>
      <c r="AV553">
        <v>17</v>
      </c>
      <c r="AW553">
        <v>11</v>
      </c>
      <c r="AX553" t="s">
        <v>74</v>
      </c>
      <c r="AY553" t="s">
        <v>74</v>
      </c>
      <c r="AZ553" t="s">
        <v>74</v>
      </c>
      <c r="BA553" t="s">
        <v>74</v>
      </c>
      <c r="BB553" t="s">
        <v>74</v>
      </c>
      <c r="BC553" t="s">
        <v>74</v>
      </c>
      <c r="BD553" t="s">
        <v>2645</v>
      </c>
      <c r="BE553" t="s">
        <v>2646</v>
      </c>
      <c r="BF553" t="str">
        <f>HYPERLINK("http://dx.doi.org/10.1371/journal.pone.0277014","http://dx.doi.org/10.1371/journal.pone.0277014")</f>
        <v>http://dx.doi.org/10.1371/journal.pone.0277014</v>
      </c>
      <c r="BG553" t="s">
        <v>74</v>
      </c>
      <c r="BH553" t="s">
        <v>74</v>
      </c>
      <c r="BI553">
        <v>14</v>
      </c>
      <c r="BJ553" t="s">
        <v>700</v>
      </c>
      <c r="BK553" t="s">
        <v>102</v>
      </c>
      <c r="BL553" t="s">
        <v>701</v>
      </c>
      <c r="BM553" t="s">
        <v>2647</v>
      </c>
      <c r="BN553">
        <v>36395257</v>
      </c>
      <c r="BO553" t="s">
        <v>614</v>
      </c>
      <c r="BP553" t="s">
        <v>74</v>
      </c>
      <c r="BQ553" t="s">
        <v>74</v>
      </c>
      <c r="BR553" t="s">
        <v>106</v>
      </c>
      <c r="BS553" t="s">
        <v>2648</v>
      </c>
      <c r="BT553" t="str">
        <f>HYPERLINK("https%3A%2F%2Fwww.webofscience.com%2Fwos%2Fwoscc%2Ffull-record%2FWOS:000926013600043","View Full Record in Web of Science")</f>
        <v>View Full Record in Web of Science</v>
      </c>
    </row>
    <row r="554" spans="1:72" x14ac:dyDescent="0.25">
      <c r="A554" t="s">
        <v>72</v>
      </c>
      <c r="B554" t="s">
        <v>2672</v>
      </c>
      <c r="C554" t="s">
        <v>74</v>
      </c>
      <c r="D554" t="s">
        <v>74</v>
      </c>
      <c r="E554" t="s">
        <v>74</v>
      </c>
      <c r="F554" t="s">
        <v>2673</v>
      </c>
      <c r="G554" t="s">
        <v>74</v>
      </c>
      <c r="H554" t="s">
        <v>74</v>
      </c>
      <c r="I554" s="1" t="s">
        <v>2674</v>
      </c>
      <c r="J554" t="s">
        <v>2675</v>
      </c>
      <c r="K554" t="s">
        <v>74</v>
      </c>
      <c r="L554" t="s">
        <v>74</v>
      </c>
      <c r="M554" t="s">
        <v>78</v>
      </c>
      <c r="N554" t="s">
        <v>79</v>
      </c>
      <c r="O554" t="s">
        <v>74</v>
      </c>
      <c r="P554" t="s">
        <v>74</v>
      </c>
      <c r="Q554" t="s">
        <v>74</v>
      </c>
      <c r="R554" t="s">
        <v>74</v>
      </c>
      <c r="S554" t="s">
        <v>74</v>
      </c>
      <c r="T554" s="1" t="s">
        <v>2676</v>
      </c>
      <c r="U554" s="1" t="s">
        <v>2677</v>
      </c>
      <c r="V554" s="1" t="s">
        <v>2678</v>
      </c>
      <c r="W554" t="s">
        <v>2679</v>
      </c>
      <c r="X554" t="s">
        <v>2680</v>
      </c>
      <c r="Y554" t="s">
        <v>2681</v>
      </c>
      <c r="Z554" t="s">
        <v>2682</v>
      </c>
      <c r="AA554" t="s">
        <v>2683</v>
      </c>
      <c r="AB554" t="s">
        <v>2684</v>
      </c>
      <c r="AC554" t="s">
        <v>2685</v>
      </c>
      <c r="AD554" t="s">
        <v>2686</v>
      </c>
      <c r="AE554" t="s">
        <v>2687</v>
      </c>
      <c r="AF554" t="s">
        <v>74</v>
      </c>
      <c r="AG554">
        <v>27</v>
      </c>
      <c r="AH554">
        <v>0</v>
      </c>
      <c r="AI554">
        <v>0</v>
      </c>
      <c r="AJ554">
        <v>3</v>
      </c>
      <c r="AK554">
        <v>3</v>
      </c>
      <c r="AL554" t="s">
        <v>2128</v>
      </c>
      <c r="AM554" t="s">
        <v>2129</v>
      </c>
      <c r="AN554" t="s">
        <v>2130</v>
      </c>
      <c r="AO554" t="s">
        <v>2688</v>
      </c>
      <c r="AP554" t="s">
        <v>74</v>
      </c>
      <c r="AQ554" t="s">
        <v>74</v>
      </c>
      <c r="AR554" t="s">
        <v>2689</v>
      </c>
      <c r="AS554" t="s">
        <v>2690</v>
      </c>
      <c r="AT554" t="s">
        <v>2691</v>
      </c>
      <c r="AU554">
        <v>2022</v>
      </c>
      <c r="AV554">
        <v>24</v>
      </c>
      <c r="AW554">
        <v>11</v>
      </c>
      <c r="AX554" t="s">
        <v>74</v>
      </c>
      <c r="AY554" t="s">
        <v>74</v>
      </c>
      <c r="AZ554" t="s">
        <v>74</v>
      </c>
      <c r="BA554" t="s">
        <v>74</v>
      </c>
      <c r="BB554" t="s">
        <v>74</v>
      </c>
      <c r="BC554" t="s">
        <v>74</v>
      </c>
      <c r="BD554" t="s">
        <v>2692</v>
      </c>
      <c r="BE554" t="s">
        <v>2693</v>
      </c>
      <c r="BF554" t="str">
        <f>HYPERLINK("http://dx.doi.org/10.2196/38855","http://dx.doi.org/10.2196/38855")</f>
        <v>http://dx.doi.org/10.2196/38855</v>
      </c>
      <c r="BG554" t="s">
        <v>74</v>
      </c>
      <c r="BH554" t="s">
        <v>74</v>
      </c>
      <c r="BI554">
        <v>10</v>
      </c>
      <c r="BJ554" t="s">
        <v>1390</v>
      </c>
      <c r="BK554" t="s">
        <v>102</v>
      </c>
      <c r="BL554" t="s">
        <v>1390</v>
      </c>
      <c r="BM554" t="s">
        <v>2694</v>
      </c>
      <c r="BN554">
        <v>36322123</v>
      </c>
      <c r="BO554" t="s">
        <v>614</v>
      </c>
      <c r="BP554" t="s">
        <v>74</v>
      </c>
      <c r="BQ554" t="s">
        <v>74</v>
      </c>
      <c r="BR554" t="s">
        <v>106</v>
      </c>
      <c r="BS554" t="s">
        <v>2695</v>
      </c>
      <c r="BT554" t="str">
        <f>HYPERLINK("https%3A%2F%2Fwww.webofscience.com%2Fwos%2Fwoscc%2Ffull-record%2FWOS:000923079900008","View Full Record in Web of Science")</f>
        <v>View Full Record in Web of Science</v>
      </c>
    </row>
    <row r="555" spans="1:72" x14ac:dyDescent="0.25">
      <c r="A555" t="s">
        <v>72</v>
      </c>
      <c r="B555" t="s">
        <v>2732</v>
      </c>
      <c r="C555" t="s">
        <v>74</v>
      </c>
      <c r="D555" t="s">
        <v>74</v>
      </c>
      <c r="E555" t="s">
        <v>74</v>
      </c>
      <c r="F555" t="s">
        <v>2733</v>
      </c>
      <c r="G555" t="s">
        <v>74</v>
      </c>
      <c r="H555" t="s">
        <v>74</v>
      </c>
      <c r="I555" s="1" t="s">
        <v>2734</v>
      </c>
      <c r="J555" t="s">
        <v>191</v>
      </c>
      <c r="K555" t="s">
        <v>74</v>
      </c>
      <c r="L555" t="s">
        <v>74</v>
      </c>
      <c r="M555" t="s">
        <v>78</v>
      </c>
      <c r="N555" t="s">
        <v>79</v>
      </c>
      <c r="O555" t="s">
        <v>74</v>
      </c>
      <c r="P555" t="s">
        <v>74</v>
      </c>
      <c r="Q555" t="s">
        <v>74</v>
      </c>
      <c r="R555" t="s">
        <v>74</v>
      </c>
      <c r="S555" t="s">
        <v>74</v>
      </c>
      <c r="T555" s="1" t="s">
        <v>2735</v>
      </c>
      <c r="U555" s="1" t="s">
        <v>2736</v>
      </c>
      <c r="V555" s="1" t="s">
        <v>2737</v>
      </c>
      <c r="W555" t="s">
        <v>2738</v>
      </c>
      <c r="X555" t="s">
        <v>2739</v>
      </c>
      <c r="Y555" t="s">
        <v>2740</v>
      </c>
      <c r="Z555" t="s">
        <v>2741</v>
      </c>
      <c r="AA555" t="s">
        <v>2742</v>
      </c>
      <c r="AB555" t="s">
        <v>2743</v>
      </c>
      <c r="AC555" t="s">
        <v>74</v>
      </c>
      <c r="AD555" t="s">
        <v>74</v>
      </c>
      <c r="AE555" t="s">
        <v>74</v>
      </c>
      <c r="AF555" t="s">
        <v>74</v>
      </c>
      <c r="AG555">
        <v>79</v>
      </c>
      <c r="AH555">
        <v>0</v>
      </c>
      <c r="AI555">
        <v>0</v>
      </c>
      <c r="AJ555">
        <v>10</v>
      </c>
      <c r="AK555">
        <v>25</v>
      </c>
      <c r="AL555" t="s">
        <v>202</v>
      </c>
      <c r="AM555" t="s">
        <v>203</v>
      </c>
      <c r="AN555" t="s">
        <v>204</v>
      </c>
      <c r="AO555" t="s">
        <v>74</v>
      </c>
      <c r="AP555" t="s">
        <v>205</v>
      </c>
      <c r="AQ555" t="s">
        <v>74</v>
      </c>
      <c r="AR555" t="s">
        <v>206</v>
      </c>
      <c r="AS555" t="s">
        <v>207</v>
      </c>
      <c r="AT555" t="s">
        <v>99</v>
      </c>
      <c r="AU555">
        <v>2022</v>
      </c>
      <c r="AV555">
        <v>14</v>
      </c>
      <c r="AW555">
        <v>21</v>
      </c>
      <c r="AX555" t="s">
        <v>74</v>
      </c>
      <c r="AY555" t="s">
        <v>74</v>
      </c>
      <c r="AZ555" t="s">
        <v>74</v>
      </c>
      <c r="BA555" t="s">
        <v>74</v>
      </c>
      <c r="BB555" t="s">
        <v>74</v>
      </c>
      <c r="BC555" t="s">
        <v>74</v>
      </c>
      <c r="BD555">
        <v>14352</v>
      </c>
      <c r="BE555" t="s">
        <v>2744</v>
      </c>
      <c r="BF555" t="str">
        <f>HYPERLINK("http://dx.doi.org/10.3390/su142114352","http://dx.doi.org/10.3390/su142114352")</f>
        <v>http://dx.doi.org/10.3390/su142114352</v>
      </c>
      <c r="BG555" t="s">
        <v>74</v>
      </c>
      <c r="BH555" t="s">
        <v>74</v>
      </c>
      <c r="BI555">
        <v>17</v>
      </c>
      <c r="BJ555" t="s">
        <v>210</v>
      </c>
      <c r="BK555" t="s">
        <v>211</v>
      </c>
      <c r="BL555" t="s">
        <v>212</v>
      </c>
      <c r="BM555" t="s">
        <v>2745</v>
      </c>
      <c r="BN555" t="s">
        <v>74</v>
      </c>
      <c r="BO555" t="s">
        <v>614</v>
      </c>
      <c r="BP555" t="s">
        <v>74</v>
      </c>
      <c r="BQ555" t="s">
        <v>74</v>
      </c>
      <c r="BR555" t="s">
        <v>106</v>
      </c>
      <c r="BS555" t="s">
        <v>2746</v>
      </c>
      <c r="BT555" t="str">
        <f>HYPERLINK("https%3A%2F%2Fwww.webofscience.com%2Fwos%2Fwoscc%2Ffull-record%2FWOS:000884214300001","View Full Record in Web of Science")</f>
        <v>View Full Record in Web of Science</v>
      </c>
    </row>
    <row r="556" spans="1:72" x14ac:dyDescent="0.25">
      <c r="A556" t="s">
        <v>72</v>
      </c>
      <c r="B556" t="s">
        <v>2747</v>
      </c>
      <c r="C556" t="s">
        <v>74</v>
      </c>
      <c r="D556" t="s">
        <v>74</v>
      </c>
      <c r="E556" t="s">
        <v>74</v>
      </c>
      <c r="F556" t="s">
        <v>2748</v>
      </c>
      <c r="G556" t="s">
        <v>74</v>
      </c>
      <c r="H556" t="s">
        <v>74</v>
      </c>
      <c r="I556" s="1" t="s">
        <v>2749</v>
      </c>
      <c r="J556" t="s">
        <v>2750</v>
      </c>
      <c r="K556" t="s">
        <v>74</v>
      </c>
      <c r="L556" t="s">
        <v>74</v>
      </c>
      <c r="M556" t="s">
        <v>2751</v>
      </c>
      <c r="N556" t="s">
        <v>79</v>
      </c>
      <c r="O556" t="s">
        <v>74</v>
      </c>
      <c r="P556" t="s">
        <v>74</v>
      </c>
      <c r="Q556" t="s">
        <v>74</v>
      </c>
      <c r="R556" t="s">
        <v>74</v>
      </c>
      <c r="S556" t="s">
        <v>74</v>
      </c>
      <c r="T556" s="1" t="s">
        <v>2752</v>
      </c>
      <c r="U556" s="1" t="s">
        <v>74</v>
      </c>
      <c r="V556" s="1" t="s">
        <v>2753</v>
      </c>
      <c r="W556" t="s">
        <v>2754</v>
      </c>
      <c r="X556" t="s">
        <v>2755</v>
      </c>
      <c r="Y556" t="s">
        <v>2756</v>
      </c>
      <c r="Z556" t="s">
        <v>2757</v>
      </c>
      <c r="AA556" t="s">
        <v>2758</v>
      </c>
      <c r="AB556" t="s">
        <v>2759</v>
      </c>
      <c r="AC556" t="s">
        <v>2760</v>
      </c>
      <c r="AD556" t="s">
        <v>2761</v>
      </c>
      <c r="AE556" t="s">
        <v>2762</v>
      </c>
      <c r="AF556" t="s">
        <v>74</v>
      </c>
      <c r="AG556">
        <v>45</v>
      </c>
      <c r="AH556">
        <v>0</v>
      </c>
      <c r="AI556">
        <v>0</v>
      </c>
      <c r="AJ556">
        <v>8</v>
      </c>
      <c r="AK556">
        <v>11</v>
      </c>
      <c r="AL556" t="s">
        <v>2763</v>
      </c>
      <c r="AM556" t="s">
        <v>2764</v>
      </c>
      <c r="AN556" t="s">
        <v>2765</v>
      </c>
      <c r="AO556" t="s">
        <v>2766</v>
      </c>
      <c r="AP556" t="s">
        <v>74</v>
      </c>
      <c r="AQ556" t="s">
        <v>74</v>
      </c>
      <c r="AR556" t="s">
        <v>2767</v>
      </c>
      <c r="AS556" t="s">
        <v>2768</v>
      </c>
      <c r="AT556" t="s">
        <v>99</v>
      </c>
      <c r="AU556">
        <v>2022</v>
      </c>
      <c r="AV556">
        <v>66</v>
      </c>
      <c r="AW556">
        <v>11</v>
      </c>
      <c r="AX556" t="s">
        <v>74</v>
      </c>
      <c r="AY556" t="s">
        <v>74</v>
      </c>
      <c r="AZ556" t="s">
        <v>74</v>
      </c>
      <c r="BA556" t="s">
        <v>74</v>
      </c>
      <c r="BB556">
        <v>50</v>
      </c>
      <c r="BC556">
        <v>59</v>
      </c>
      <c r="BD556" t="s">
        <v>74</v>
      </c>
      <c r="BE556" t="s">
        <v>2769</v>
      </c>
      <c r="BF556" t="str">
        <f>HYPERLINK("http://dx.doi.org/10.20542/0131-2227-2022-66-11-50-59","http://dx.doi.org/10.20542/0131-2227-2022-66-11-50-59")</f>
        <v>http://dx.doi.org/10.20542/0131-2227-2022-66-11-50-59</v>
      </c>
      <c r="BG556" t="s">
        <v>74</v>
      </c>
      <c r="BH556" t="s">
        <v>74</v>
      </c>
      <c r="BI556">
        <v>10</v>
      </c>
      <c r="BJ556" t="s">
        <v>977</v>
      </c>
      <c r="BK556" t="s">
        <v>183</v>
      </c>
      <c r="BL556" t="s">
        <v>977</v>
      </c>
      <c r="BM556" t="s">
        <v>2770</v>
      </c>
      <c r="BN556" t="s">
        <v>74</v>
      </c>
      <c r="BO556" t="s">
        <v>791</v>
      </c>
      <c r="BP556" t="s">
        <v>74</v>
      </c>
      <c r="BQ556" t="s">
        <v>74</v>
      </c>
      <c r="BR556" t="s">
        <v>106</v>
      </c>
      <c r="BS556" t="s">
        <v>2771</v>
      </c>
      <c r="BT556" t="str">
        <f>HYPERLINK("https%3A%2F%2Fwww.webofscience.com%2Fwos%2Fwoscc%2Ffull-record%2FWOS:000891091400006","View Full Record in Web of Science")</f>
        <v>View Full Record in Web of Science</v>
      </c>
    </row>
    <row r="557" spans="1:72" x14ac:dyDescent="0.25">
      <c r="A557" t="s">
        <v>72</v>
      </c>
      <c r="B557" t="s">
        <v>2829</v>
      </c>
      <c r="C557" t="s">
        <v>74</v>
      </c>
      <c r="D557" t="s">
        <v>74</v>
      </c>
      <c r="E557" t="s">
        <v>74</v>
      </c>
      <c r="F557" t="s">
        <v>2830</v>
      </c>
      <c r="G557" t="s">
        <v>74</v>
      </c>
      <c r="H557" t="s">
        <v>74</v>
      </c>
      <c r="I557" s="1" t="s">
        <v>2831</v>
      </c>
      <c r="J557" t="s">
        <v>2832</v>
      </c>
      <c r="K557" t="s">
        <v>74</v>
      </c>
      <c r="L557" t="s">
        <v>74</v>
      </c>
      <c r="M557" t="s">
        <v>78</v>
      </c>
      <c r="N557" t="s">
        <v>79</v>
      </c>
      <c r="O557" t="s">
        <v>74</v>
      </c>
      <c r="P557" t="s">
        <v>74</v>
      </c>
      <c r="Q557" t="s">
        <v>74</v>
      </c>
      <c r="R557" t="s">
        <v>74</v>
      </c>
      <c r="S557" t="s">
        <v>74</v>
      </c>
      <c r="T557" s="1" t="s">
        <v>74</v>
      </c>
      <c r="U557" s="1" t="s">
        <v>2833</v>
      </c>
      <c r="V557" s="1" t="s">
        <v>2834</v>
      </c>
      <c r="W557" t="s">
        <v>2835</v>
      </c>
      <c r="X557" t="s">
        <v>2836</v>
      </c>
      <c r="Y557" t="s">
        <v>2837</v>
      </c>
      <c r="Z557" t="s">
        <v>2838</v>
      </c>
      <c r="AA557" t="s">
        <v>2839</v>
      </c>
      <c r="AB557" t="s">
        <v>2840</v>
      </c>
      <c r="AC557" t="s">
        <v>74</v>
      </c>
      <c r="AD557" t="s">
        <v>74</v>
      </c>
      <c r="AE557" t="s">
        <v>74</v>
      </c>
      <c r="AF557" t="s">
        <v>74</v>
      </c>
      <c r="AG557">
        <v>49</v>
      </c>
      <c r="AH557">
        <v>0</v>
      </c>
      <c r="AI557">
        <v>0</v>
      </c>
      <c r="AJ557">
        <v>1</v>
      </c>
      <c r="AK557">
        <v>8</v>
      </c>
      <c r="AL557" t="s">
        <v>2841</v>
      </c>
      <c r="AM557" t="s">
        <v>2842</v>
      </c>
      <c r="AN557" t="s">
        <v>2843</v>
      </c>
      <c r="AO557" t="s">
        <v>2844</v>
      </c>
      <c r="AP557" t="s">
        <v>74</v>
      </c>
      <c r="AQ557" t="s">
        <v>74</v>
      </c>
      <c r="AR557" t="s">
        <v>2845</v>
      </c>
      <c r="AS557" t="s">
        <v>2846</v>
      </c>
      <c r="AT557" t="s">
        <v>2847</v>
      </c>
      <c r="AU557">
        <v>2022</v>
      </c>
      <c r="AV557">
        <v>61</v>
      </c>
      <c r="AW557">
        <v>40</v>
      </c>
      <c r="AX557" t="s">
        <v>74</v>
      </c>
      <c r="AY557" t="s">
        <v>74</v>
      </c>
      <c r="AZ557" t="s">
        <v>74</v>
      </c>
      <c r="BA557" t="s">
        <v>74</v>
      </c>
      <c r="BB557">
        <v>14813</v>
      </c>
      <c r="BC557">
        <v>14822</v>
      </c>
      <c r="BD557" t="s">
        <v>74</v>
      </c>
      <c r="BE557" t="s">
        <v>2848</v>
      </c>
      <c r="BF557" t="str">
        <f>HYPERLINK("http://dx.doi.org/10.1021/acs.iecr.2c01834","http://dx.doi.org/10.1021/acs.iecr.2c01834")</f>
        <v>http://dx.doi.org/10.1021/acs.iecr.2c01834</v>
      </c>
      <c r="BG557" t="s">
        <v>74</v>
      </c>
      <c r="BH557" t="s">
        <v>74</v>
      </c>
      <c r="BI557">
        <v>10</v>
      </c>
      <c r="BJ557" t="s">
        <v>2849</v>
      </c>
      <c r="BK557" t="s">
        <v>102</v>
      </c>
      <c r="BL557" t="s">
        <v>1685</v>
      </c>
      <c r="BM557" t="s">
        <v>2850</v>
      </c>
      <c r="BN557" t="s">
        <v>74</v>
      </c>
      <c r="BO557" t="s">
        <v>74</v>
      </c>
      <c r="BP557" t="s">
        <v>74</v>
      </c>
      <c r="BQ557" t="s">
        <v>74</v>
      </c>
      <c r="BR557" t="s">
        <v>106</v>
      </c>
      <c r="BS557" t="s">
        <v>2851</v>
      </c>
      <c r="BT557" t="str">
        <f>HYPERLINK("https%3A%2F%2Fwww.webofscience.com%2Fwos%2Fwoscc%2Ffull-record%2FWOS:000869686100001","View Full Record in Web of Science")</f>
        <v>View Full Record in Web of Science</v>
      </c>
    </row>
    <row r="558" spans="1:72" x14ac:dyDescent="0.25">
      <c r="A558" t="s">
        <v>72</v>
      </c>
      <c r="B558" t="s">
        <v>2892</v>
      </c>
      <c r="C558" t="s">
        <v>74</v>
      </c>
      <c r="D558" t="s">
        <v>74</v>
      </c>
      <c r="E558" t="s">
        <v>74</v>
      </c>
      <c r="F558" t="s">
        <v>2893</v>
      </c>
      <c r="G558" t="s">
        <v>74</v>
      </c>
      <c r="H558" t="s">
        <v>74</v>
      </c>
      <c r="I558" s="1" t="s">
        <v>2894</v>
      </c>
      <c r="J558" t="s">
        <v>2895</v>
      </c>
      <c r="K558" t="s">
        <v>74</v>
      </c>
      <c r="L558" t="s">
        <v>74</v>
      </c>
      <c r="M558" t="s">
        <v>2896</v>
      </c>
      <c r="N558" t="s">
        <v>79</v>
      </c>
      <c r="O558" t="s">
        <v>74</v>
      </c>
      <c r="P558" t="s">
        <v>74</v>
      </c>
      <c r="Q558" t="s">
        <v>74</v>
      </c>
      <c r="R558" t="s">
        <v>74</v>
      </c>
      <c r="S558" t="s">
        <v>74</v>
      </c>
      <c r="T558" s="1" t="s">
        <v>2897</v>
      </c>
      <c r="U558" s="1" t="s">
        <v>2898</v>
      </c>
      <c r="V558" s="1" t="s">
        <v>2899</v>
      </c>
      <c r="W558" t="s">
        <v>2900</v>
      </c>
      <c r="X558" t="s">
        <v>2901</v>
      </c>
      <c r="Y558" t="s">
        <v>2902</v>
      </c>
      <c r="Z558" t="s">
        <v>2903</v>
      </c>
      <c r="AA558" t="s">
        <v>2278</v>
      </c>
      <c r="AB558" t="s">
        <v>2279</v>
      </c>
      <c r="AC558" t="s">
        <v>74</v>
      </c>
      <c r="AD558" t="s">
        <v>74</v>
      </c>
      <c r="AE558" t="s">
        <v>74</v>
      </c>
      <c r="AF558" t="s">
        <v>74</v>
      </c>
      <c r="AG558">
        <v>42</v>
      </c>
      <c r="AH558">
        <v>0</v>
      </c>
      <c r="AI558">
        <v>0</v>
      </c>
      <c r="AJ558">
        <v>0</v>
      </c>
      <c r="AK558">
        <v>0</v>
      </c>
      <c r="AL558" t="s">
        <v>2904</v>
      </c>
      <c r="AM558" t="s">
        <v>2905</v>
      </c>
      <c r="AN558" t="s">
        <v>2906</v>
      </c>
      <c r="AO558" t="s">
        <v>2907</v>
      </c>
      <c r="AP558" t="s">
        <v>2908</v>
      </c>
      <c r="AQ558" t="s">
        <v>74</v>
      </c>
      <c r="AR558" t="s">
        <v>2909</v>
      </c>
      <c r="AS558" t="s">
        <v>2910</v>
      </c>
      <c r="AT558" t="s">
        <v>2911</v>
      </c>
      <c r="AU558">
        <v>2022</v>
      </c>
      <c r="AV558">
        <v>18</v>
      </c>
      <c r="AW558">
        <v>54</v>
      </c>
      <c r="AX558" t="s">
        <v>74</v>
      </c>
      <c r="AY558" t="s">
        <v>74</v>
      </c>
      <c r="AZ558" t="s">
        <v>74</v>
      </c>
      <c r="BA558" t="s">
        <v>74</v>
      </c>
      <c r="BB558">
        <v>294</v>
      </c>
      <c r="BC558">
        <v>311</v>
      </c>
      <c r="BD558" t="s">
        <v>74</v>
      </c>
      <c r="BE558" t="s">
        <v>2912</v>
      </c>
      <c r="BF558" t="str">
        <f>HYPERLINK("http://dx.doi.org/10.3895/rts.v18n54.15324","http://dx.doi.org/10.3895/rts.v18n54.15324")</f>
        <v>http://dx.doi.org/10.3895/rts.v18n54.15324</v>
      </c>
      <c r="BG558" t="s">
        <v>74</v>
      </c>
      <c r="BH558" t="s">
        <v>74</v>
      </c>
      <c r="BI558">
        <v>18</v>
      </c>
      <c r="BJ558" t="s">
        <v>942</v>
      </c>
      <c r="BK558" t="s">
        <v>183</v>
      </c>
      <c r="BL558" t="s">
        <v>943</v>
      </c>
      <c r="BM558" t="s">
        <v>2913</v>
      </c>
      <c r="BN558" t="s">
        <v>74</v>
      </c>
      <c r="BO558" t="s">
        <v>186</v>
      </c>
      <c r="BP558" t="s">
        <v>74</v>
      </c>
      <c r="BQ558" t="s">
        <v>74</v>
      </c>
      <c r="BR558" t="s">
        <v>106</v>
      </c>
      <c r="BS558" t="s">
        <v>2914</v>
      </c>
      <c r="BT558" t="str">
        <f>HYPERLINK("https%3A%2F%2Fwww.webofscience.com%2Fwos%2Fwoscc%2Ffull-record%2FWOS:000929883700018","View Full Record in Web of Science")</f>
        <v>View Full Record in Web of Science</v>
      </c>
    </row>
    <row r="559" spans="1:72" x14ac:dyDescent="0.25">
      <c r="A559" t="s">
        <v>72</v>
      </c>
      <c r="B559" t="s">
        <v>2948</v>
      </c>
      <c r="C559" t="s">
        <v>74</v>
      </c>
      <c r="D559" t="s">
        <v>74</v>
      </c>
      <c r="E559" t="s">
        <v>74</v>
      </c>
      <c r="F559" t="s">
        <v>2949</v>
      </c>
      <c r="G559" t="s">
        <v>74</v>
      </c>
      <c r="H559" t="s">
        <v>74</v>
      </c>
      <c r="I559" s="1" t="s">
        <v>2950</v>
      </c>
      <c r="J559" t="s">
        <v>191</v>
      </c>
      <c r="K559" t="s">
        <v>74</v>
      </c>
      <c r="L559" t="s">
        <v>74</v>
      </c>
      <c r="M559" t="s">
        <v>78</v>
      </c>
      <c r="N559" t="s">
        <v>79</v>
      </c>
      <c r="O559" t="s">
        <v>74</v>
      </c>
      <c r="P559" t="s">
        <v>74</v>
      </c>
      <c r="Q559" t="s">
        <v>74</v>
      </c>
      <c r="R559" t="s">
        <v>74</v>
      </c>
      <c r="S559" t="s">
        <v>74</v>
      </c>
      <c r="T559" s="1" t="s">
        <v>2951</v>
      </c>
      <c r="U559" s="1" t="s">
        <v>2952</v>
      </c>
      <c r="V559" s="1" t="s">
        <v>2953</v>
      </c>
      <c r="W559" t="s">
        <v>2954</v>
      </c>
      <c r="X559" t="s">
        <v>2955</v>
      </c>
      <c r="Y559" t="s">
        <v>2956</v>
      </c>
      <c r="Z559" t="s">
        <v>2957</v>
      </c>
      <c r="AA559" t="s">
        <v>2958</v>
      </c>
      <c r="AB559" t="s">
        <v>2959</v>
      </c>
      <c r="AC559" t="s">
        <v>2960</v>
      </c>
      <c r="AD559" t="s">
        <v>2961</v>
      </c>
      <c r="AE559" t="s">
        <v>2962</v>
      </c>
      <c r="AF559" t="s">
        <v>74</v>
      </c>
      <c r="AG559">
        <v>91</v>
      </c>
      <c r="AH559">
        <v>0</v>
      </c>
      <c r="AI559">
        <v>0</v>
      </c>
      <c r="AJ559">
        <v>7</v>
      </c>
      <c r="AK559">
        <v>11</v>
      </c>
      <c r="AL559" t="s">
        <v>202</v>
      </c>
      <c r="AM559" t="s">
        <v>203</v>
      </c>
      <c r="AN559" t="s">
        <v>204</v>
      </c>
      <c r="AO559" t="s">
        <v>74</v>
      </c>
      <c r="AP559" t="s">
        <v>205</v>
      </c>
      <c r="AQ559" t="s">
        <v>74</v>
      </c>
      <c r="AR559" t="s">
        <v>206</v>
      </c>
      <c r="AS559" t="s">
        <v>207</v>
      </c>
      <c r="AT559" t="s">
        <v>208</v>
      </c>
      <c r="AU559">
        <v>2022</v>
      </c>
      <c r="AV559">
        <v>14</v>
      </c>
      <c r="AW559">
        <v>20</v>
      </c>
      <c r="AX559" t="s">
        <v>74</v>
      </c>
      <c r="AY559" t="s">
        <v>74</v>
      </c>
      <c r="AZ559" t="s">
        <v>74</v>
      </c>
      <c r="BA559" t="s">
        <v>74</v>
      </c>
      <c r="BB559" t="s">
        <v>74</v>
      </c>
      <c r="BC559" t="s">
        <v>74</v>
      </c>
      <c r="BD559">
        <v>13636</v>
      </c>
      <c r="BE559" t="s">
        <v>2963</v>
      </c>
      <c r="BF559" t="str">
        <f>HYPERLINK("http://dx.doi.org/10.3390/su142013636","http://dx.doi.org/10.3390/su142013636")</f>
        <v>http://dx.doi.org/10.3390/su142013636</v>
      </c>
      <c r="BG559" t="s">
        <v>74</v>
      </c>
      <c r="BH559" t="s">
        <v>74</v>
      </c>
      <c r="BI559">
        <v>21</v>
      </c>
      <c r="BJ559" t="s">
        <v>210</v>
      </c>
      <c r="BK559" t="s">
        <v>211</v>
      </c>
      <c r="BL559" t="s">
        <v>212</v>
      </c>
      <c r="BM559" t="s">
        <v>2964</v>
      </c>
      <c r="BN559" t="s">
        <v>74</v>
      </c>
      <c r="BO559" t="s">
        <v>186</v>
      </c>
      <c r="BP559" t="s">
        <v>74</v>
      </c>
      <c r="BQ559" t="s">
        <v>74</v>
      </c>
      <c r="BR559" t="s">
        <v>106</v>
      </c>
      <c r="BS559" t="s">
        <v>2965</v>
      </c>
      <c r="BT559" t="str">
        <f>HYPERLINK("https%3A%2F%2Fwww.webofscience.com%2Fwos%2Fwoscc%2Ffull-record%2FWOS:000873808300001","View Full Record in Web of Science")</f>
        <v>View Full Record in Web of Science</v>
      </c>
    </row>
    <row r="560" spans="1:72" x14ac:dyDescent="0.25">
      <c r="A560" t="s">
        <v>72</v>
      </c>
      <c r="B560" t="s">
        <v>2966</v>
      </c>
      <c r="C560" t="s">
        <v>74</v>
      </c>
      <c r="D560" t="s">
        <v>74</v>
      </c>
      <c r="E560" t="s">
        <v>74</v>
      </c>
      <c r="F560" t="s">
        <v>2967</v>
      </c>
      <c r="G560" t="s">
        <v>74</v>
      </c>
      <c r="H560" t="s">
        <v>74</v>
      </c>
      <c r="I560" s="1" t="s">
        <v>2968</v>
      </c>
      <c r="J560" t="s">
        <v>2969</v>
      </c>
      <c r="K560" t="s">
        <v>74</v>
      </c>
      <c r="L560" t="s">
        <v>74</v>
      </c>
      <c r="M560" t="s">
        <v>78</v>
      </c>
      <c r="N560" t="s">
        <v>79</v>
      </c>
      <c r="O560" t="s">
        <v>74</v>
      </c>
      <c r="P560" t="s">
        <v>74</v>
      </c>
      <c r="Q560" t="s">
        <v>74</v>
      </c>
      <c r="R560" t="s">
        <v>74</v>
      </c>
      <c r="S560" t="s">
        <v>74</v>
      </c>
      <c r="T560" s="1" t="s">
        <v>2970</v>
      </c>
      <c r="U560" s="1" t="s">
        <v>2971</v>
      </c>
      <c r="V560" s="1" t="s">
        <v>2972</v>
      </c>
      <c r="W560" t="s">
        <v>2973</v>
      </c>
      <c r="X560" t="s">
        <v>2974</v>
      </c>
      <c r="Y560" t="s">
        <v>2975</v>
      </c>
      <c r="Z560" t="s">
        <v>2976</v>
      </c>
      <c r="AA560" t="s">
        <v>74</v>
      </c>
      <c r="AB560" t="s">
        <v>2977</v>
      </c>
      <c r="AC560" t="s">
        <v>74</v>
      </c>
      <c r="AD560" t="s">
        <v>74</v>
      </c>
      <c r="AE560" t="s">
        <v>74</v>
      </c>
      <c r="AF560" t="s">
        <v>74</v>
      </c>
      <c r="AG560">
        <v>42</v>
      </c>
      <c r="AH560">
        <v>0</v>
      </c>
      <c r="AI560">
        <v>0</v>
      </c>
      <c r="AJ560">
        <v>4</v>
      </c>
      <c r="AK560">
        <v>14</v>
      </c>
      <c r="AL560" t="s">
        <v>202</v>
      </c>
      <c r="AM560" t="s">
        <v>203</v>
      </c>
      <c r="AN560" t="s">
        <v>204</v>
      </c>
      <c r="AO560" t="s">
        <v>74</v>
      </c>
      <c r="AP560" t="s">
        <v>2978</v>
      </c>
      <c r="AQ560" t="s">
        <v>74</v>
      </c>
      <c r="AR560" t="s">
        <v>2979</v>
      </c>
      <c r="AS560" t="s">
        <v>2980</v>
      </c>
      <c r="AT560" t="s">
        <v>208</v>
      </c>
      <c r="AU560">
        <v>2022</v>
      </c>
      <c r="AV560">
        <v>12</v>
      </c>
      <c r="AW560">
        <v>10</v>
      </c>
      <c r="AX560" t="s">
        <v>74</v>
      </c>
      <c r="AY560" t="s">
        <v>74</v>
      </c>
      <c r="AZ560" t="s">
        <v>74</v>
      </c>
      <c r="BA560" t="s">
        <v>74</v>
      </c>
      <c r="BB560" t="s">
        <v>74</v>
      </c>
      <c r="BC560" t="s">
        <v>74</v>
      </c>
      <c r="BD560">
        <v>711</v>
      </c>
      <c r="BE560" t="s">
        <v>2981</v>
      </c>
      <c r="BF560" t="str">
        <f>HYPERLINK("http://dx.doi.org/10.3390/educsci12100711","http://dx.doi.org/10.3390/educsci12100711")</f>
        <v>http://dx.doi.org/10.3390/educsci12100711</v>
      </c>
      <c r="BG560" t="s">
        <v>74</v>
      </c>
      <c r="BH560" t="s">
        <v>74</v>
      </c>
      <c r="BI560">
        <v>15</v>
      </c>
      <c r="BJ560" t="s">
        <v>1326</v>
      </c>
      <c r="BK560" t="s">
        <v>183</v>
      </c>
      <c r="BL560" t="s">
        <v>1326</v>
      </c>
      <c r="BM560" t="s">
        <v>2982</v>
      </c>
      <c r="BN560" t="s">
        <v>74</v>
      </c>
      <c r="BO560" t="s">
        <v>186</v>
      </c>
      <c r="BP560" t="s">
        <v>74</v>
      </c>
      <c r="BQ560" t="s">
        <v>74</v>
      </c>
      <c r="BR560" t="s">
        <v>106</v>
      </c>
      <c r="BS560" t="s">
        <v>2983</v>
      </c>
      <c r="BT560" t="str">
        <f>HYPERLINK("https%3A%2F%2Fwww.webofscience.com%2Fwos%2Fwoscc%2Ffull-record%2FWOS:000874188300001","View Full Record in Web of Science")</f>
        <v>View Full Record in Web of Science</v>
      </c>
    </row>
    <row r="561" spans="1:72" x14ac:dyDescent="0.25">
      <c r="A561" t="s">
        <v>72</v>
      </c>
      <c r="B561" t="s">
        <v>3002</v>
      </c>
      <c r="C561" t="s">
        <v>74</v>
      </c>
      <c r="D561" t="s">
        <v>74</v>
      </c>
      <c r="E561" t="s">
        <v>74</v>
      </c>
      <c r="F561" t="s">
        <v>3003</v>
      </c>
      <c r="G561" t="s">
        <v>74</v>
      </c>
      <c r="H561" t="s">
        <v>74</v>
      </c>
      <c r="I561" s="1" t="s">
        <v>3004</v>
      </c>
      <c r="J561" t="s">
        <v>3005</v>
      </c>
      <c r="K561" t="s">
        <v>74</v>
      </c>
      <c r="L561" t="s">
        <v>74</v>
      </c>
      <c r="M561" t="s">
        <v>78</v>
      </c>
      <c r="N561" t="s">
        <v>79</v>
      </c>
      <c r="O561" t="s">
        <v>74</v>
      </c>
      <c r="P561" t="s">
        <v>74</v>
      </c>
      <c r="Q561" t="s">
        <v>74</v>
      </c>
      <c r="R561" t="s">
        <v>74</v>
      </c>
      <c r="S561" t="s">
        <v>74</v>
      </c>
      <c r="T561" s="1" t="s">
        <v>3006</v>
      </c>
      <c r="U561" s="1" t="s">
        <v>74</v>
      </c>
      <c r="V561" s="1" t="s">
        <v>3007</v>
      </c>
      <c r="W561" t="s">
        <v>3008</v>
      </c>
      <c r="X561" t="s">
        <v>3009</v>
      </c>
      <c r="Y561" t="s">
        <v>3010</v>
      </c>
      <c r="Z561" t="s">
        <v>3011</v>
      </c>
      <c r="AA561" t="s">
        <v>74</v>
      </c>
      <c r="AB561" t="s">
        <v>74</v>
      </c>
      <c r="AC561" t="s">
        <v>3012</v>
      </c>
      <c r="AD561" t="s">
        <v>3013</v>
      </c>
      <c r="AE561" t="s">
        <v>3014</v>
      </c>
      <c r="AF561" t="s">
        <v>74</v>
      </c>
      <c r="AG561">
        <v>46</v>
      </c>
      <c r="AH561">
        <v>0</v>
      </c>
      <c r="AI561">
        <v>0</v>
      </c>
      <c r="AJ561">
        <v>47</v>
      </c>
      <c r="AK561">
        <v>74</v>
      </c>
      <c r="AL561" t="s">
        <v>3015</v>
      </c>
      <c r="AM561" t="s">
        <v>3016</v>
      </c>
      <c r="AN561" t="s">
        <v>3017</v>
      </c>
      <c r="AO561" t="s">
        <v>3018</v>
      </c>
      <c r="AP561" t="s">
        <v>3019</v>
      </c>
      <c r="AQ561" t="s">
        <v>74</v>
      </c>
      <c r="AR561" t="s">
        <v>3020</v>
      </c>
      <c r="AS561" t="s">
        <v>3021</v>
      </c>
      <c r="AT561" t="s">
        <v>208</v>
      </c>
      <c r="AU561">
        <v>2022</v>
      </c>
      <c r="AV561">
        <v>21</v>
      </c>
      <c r="AW561">
        <v>4</v>
      </c>
      <c r="AX561" t="s">
        <v>74</v>
      </c>
      <c r="AY561" t="s">
        <v>74</v>
      </c>
      <c r="AZ561" t="s">
        <v>74</v>
      </c>
      <c r="BA561" t="s">
        <v>74</v>
      </c>
      <c r="BB561">
        <v>309</v>
      </c>
      <c r="BC561">
        <v>343</v>
      </c>
      <c r="BD561" t="s">
        <v>74</v>
      </c>
      <c r="BE561" t="s">
        <v>3022</v>
      </c>
      <c r="BF561" t="str">
        <f>HYPERLINK("http://dx.doi.org/10.1163/15692108-12341569","http://dx.doi.org/10.1163/15692108-12341569")</f>
        <v>http://dx.doi.org/10.1163/15692108-12341569</v>
      </c>
      <c r="BG561" t="s">
        <v>74</v>
      </c>
      <c r="BH561" t="s">
        <v>74</v>
      </c>
      <c r="BI561">
        <v>35</v>
      </c>
      <c r="BJ561" t="s">
        <v>3023</v>
      </c>
      <c r="BK561" t="s">
        <v>156</v>
      </c>
      <c r="BL561" t="s">
        <v>3023</v>
      </c>
      <c r="BM561" t="s">
        <v>3024</v>
      </c>
      <c r="BN561" t="s">
        <v>74</v>
      </c>
      <c r="BO561" t="s">
        <v>74</v>
      </c>
      <c r="BP561" t="s">
        <v>74</v>
      </c>
      <c r="BQ561" t="s">
        <v>74</v>
      </c>
      <c r="BR561" t="s">
        <v>106</v>
      </c>
      <c r="BS561" t="s">
        <v>3025</v>
      </c>
      <c r="BT561" t="str">
        <f>HYPERLINK("https%3A%2F%2Fwww.webofscience.com%2Fwos%2Fwoscc%2Ffull-record%2FWOS:000892219400003","View Full Record in Web of Science")</f>
        <v>View Full Record in Web of Science</v>
      </c>
    </row>
    <row r="562" spans="1:72" x14ac:dyDescent="0.25">
      <c r="A562" t="s">
        <v>72</v>
      </c>
      <c r="B562" t="s">
        <v>3111</v>
      </c>
      <c r="C562" t="s">
        <v>74</v>
      </c>
      <c r="D562" t="s">
        <v>74</v>
      </c>
      <c r="E562" t="s">
        <v>74</v>
      </c>
      <c r="F562" t="s">
        <v>3112</v>
      </c>
      <c r="G562" t="s">
        <v>74</v>
      </c>
      <c r="H562" t="s">
        <v>74</v>
      </c>
      <c r="I562" s="1" t="s">
        <v>3113</v>
      </c>
      <c r="J562" t="s">
        <v>3114</v>
      </c>
      <c r="K562" t="s">
        <v>74</v>
      </c>
      <c r="L562" t="s">
        <v>74</v>
      </c>
      <c r="M562" t="s">
        <v>78</v>
      </c>
      <c r="N562" t="s">
        <v>79</v>
      </c>
      <c r="O562" t="s">
        <v>74</v>
      </c>
      <c r="P562" t="s">
        <v>74</v>
      </c>
      <c r="Q562" t="s">
        <v>74</v>
      </c>
      <c r="R562" t="s">
        <v>74</v>
      </c>
      <c r="S562" t="s">
        <v>74</v>
      </c>
      <c r="T562" s="1" t="s">
        <v>3115</v>
      </c>
      <c r="U562" s="1" t="s">
        <v>74</v>
      </c>
      <c r="V562" s="1" t="s">
        <v>3116</v>
      </c>
      <c r="W562" t="s">
        <v>3117</v>
      </c>
      <c r="X562" t="s">
        <v>3118</v>
      </c>
      <c r="Y562" t="s">
        <v>3119</v>
      </c>
      <c r="Z562" t="s">
        <v>3120</v>
      </c>
      <c r="AA562" t="s">
        <v>3121</v>
      </c>
      <c r="AB562" t="s">
        <v>3122</v>
      </c>
      <c r="AC562" t="s">
        <v>74</v>
      </c>
      <c r="AD562" t="s">
        <v>74</v>
      </c>
      <c r="AE562" t="s">
        <v>74</v>
      </c>
      <c r="AF562" t="s">
        <v>74</v>
      </c>
      <c r="AG562">
        <v>42</v>
      </c>
      <c r="AH562">
        <v>0</v>
      </c>
      <c r="AI562">
        <v>0</v>
      </c>
      <c r="AJ562">
        <v>5</v>
      </c>
      <c r="AK562">
        <v>20</v>
      </c>
      <c r="AL562" t="s">
        <v>3123</v>
      </c>
      <c r="AM562" t="s">
        <v>3124</v>
      </c>
      <c r="AN562" t="s">
        <v>3125</v>
      </c>
      <c r="AO562" t="s">
        <v>3126</v>
      </c>
      <c r="AP562" t="s">
        <v>3127</v>
      </c>
      <c r="AQ562" t="s">
        <v>74</v>
      </c>
      <c r="AR562" t="s">
        <v>3128</v>
      </c>
      <c r="AS562" t="s">
        <v>3129</v>
      </c>
      <c r="AT562" t="s">
        <v>3130</v>
      </c>
      <c r="AU562">
        <v>2022</v>
      </c>
      <c r="AV562">
        <v>57</v>
      </c>
      <c r="AW562" t="s">
        <v>74</v>
      </c>
      <c r="AX562" t="s">
        <v>74</v>
      </c>
      <c r="AY562" t="s">
        <v>74</v>
      </c>
      <c r="AZ562" t="s">
        <v>74</v>
      </c>
      <c r="BA562" t="s">
        <v>74</v>
      </c>
      <c r="BB562">
        <v>265</v>
      </c>
      <c r="BC562">
        <v>275</v>
      </c>
      <c r="BD562" t="s">
        <v>74</v>
      </c>
      <c r="BE562" t="s">
        <v>3131</v>
      </c>
      <c r="BF562" t="str">
        <f>HYPERLINK("http://dx.doi.org/10.1016/j.culher.2022.09.012","http://dx.doi.org/10.1016/j.culher.2022.09.012")</f>
        <v>http://dx.doi.org/10.1016/j.culher.2022.09.012</v>
      </c>
      <c r="BG562" t="s">
        <v>74</v>
      </c>
      <c r="BH562" t="s">
        <v>3049</v>
      </c>
      <c r="BI562">
        <v>11</v>
      </c>
      <c r="BJ562" t="s">
        <v>3132</v>
      </c>
      <c r="BK562" t="s">
        <v>3133</v>
      </c>
      <c r="BL562" t="s">
        <v>3134</v>
      </c>
      <c r="BM562" t="s">
        <v>3135</v>
      </c>
      <c r="BN562" t="s">
        <v>74</v>
      </c>
      <c r="BO562" t="s">
        <v>1539</v>
      </c>
      <c r="BP562" t="s">
        <v>74</v>
      </c>
      <c r="BQ562" t="s">
        <v>74</v>
      </c>
      <c r="BR562" t="s">
        <v>106</v>
      </c>
      <c r="BS562" t="s">
        <v>3136</v>
      </c>
      <c r="BT562" t="str">
        <f>HYPERLINK("https%3A%2F%2Fwww.webofscience.com%2Fwos%2Fwoscc%2Ffull-record%2FWOS:000865306200009","View Full Record in Web of Science")</f>
        <v>View Full Record in Web of Science</v>
      </c>
    </row>
    <row r="563" spans="1:72" x14ac:dyDescent="0.25">
      <c r="A563" t="s">
        <v>72</v>
      </c>
      <c r="B563" t="s">
        <v>3137</v>
      </c>
      <c r="C563" t="s">
        <v>74</v>
      </c>
      <c r="D563" t="s">
        <v>74</v>
      </c>
      <c r="E563" t="s">
        <v>74</v>
      </c>
      <c r="F563" t="s">
        <v>3138</v>
      </c>
      <c r="G563" t="s">
        <v>74</v>
      </c>
      <c r="H563" t="s">
        <v>74</v>
      </c>
      <c r="I563" s="1" t="s">
        <v>3139</v>
      </c>
      <c r="J563" t="s">
        <v>3140</v>
      </c>
      <c r="K563" t="s">
        <v>74</v>
      </c>
      <c r="L563" t="s">
        <v>74</v>
      </c>
      <c r="M563" t="s">
        <v>78</v>
      </c>
      <c r="N563" t="s">
        <v>79</v>
      </c>
      <c r="O563" t="s">
        <v>74</v>
      </c>
      <c r="P563" t="s">
        <v>74</v>
      </c>
      <c r="Q563" t="s">
        <v>74</v>
      </c>
      <c r="R563" t="s">
        <v>74</v>
      </c>
      <c r="S563" t="s">
        <v>74</v>
      </c>
      <c r="T563" s="1" t="s">
        <v>74</v>
      </c>
      <c r="U563" s="1" t="s">
        <v>74</v>
      </c>
      <c r="V563" s="1" t="s">
        <v>3141</v>
      </c>
      <c r="W563" t="s">
        <v>3142</v>
      </c>
      <c r="X563" t="s">
        <v>3143</v>
      </c>
      <c r="Y563" t="s">
        <v>3144</v>
      </c>
      <c r="Z563" t="s">
        <v>3145</v>
      </c>
      <c r="AA563" t="s">
        <v>74</v>
      </c>
      <c r="AB563" t="s">
        <v>74</v>
      </c>
      <c r="AC563" t="s">
        <v>74</v>
      </c>
      <c r="AD563" t="s">
        <v>74</v>
      </c>
      <c r="AE563" t="s">
        <v>74</v>
      </c>
      <c r="AF563" t="s">
        <v>74</v>
      </c>
      <c r="AG563">
        <v>20</v>
      </c>
      <c r="AH563">
        <v>0</v>
      </c>
      <c r="AI563">
        <v>0</v>
      </c>
      <c r="AJ563">
        <v>9</v>
      </c>
      <c r="AK563">
        <v>24</v>
      </c>
      <c r="AL563" t="s">
        <v>3146</v>
      </c>
      <c r="AM563" t="s">
        <v>175</v>
      </c>
      <c r="AN563" t="s">
        <v>3147</v>
      </c>
      <c r="AO563" t="s">
        <v>3148</v>
      </c>
      <c r="AP563" t="s">
        <v>3149</v>
      </c>
      <c r="AQ563" t="s">
        <v>74</v>
      </c>
      <c r="AR563" t="s">
        <v>3150</v>
      </c>
      <c r="AS563" t="s">
        <v>3151</v>
      </c>
      <c r="AT563" t="s">
        <v>3152</v>
      </c>
      <c r="AU563">
        <v>2022</v>
      </c>
      <c r="AV563">
        <v>2022</v>
      </c>
      <c r="AW563" t="s">
        <v>74</v>
      </c>
      <c r="AX563" t="s">
        <v>74</v>
      </c>
      <c r="AY563" t="s">
        <v>74</v>
      </c>
      <c r="AZ563" t="s">
        <v>74</v>
      </c>
      <c r="BA563" t="s">
        <v>74</v>
      </c>
      <c r="BB563" t="s">
        <v>74</v>
      </c>
      <c r="BC563" t="s">
        <v>74</v>
      </c>
      <c r="BD563">
        <v>2380100</v>
      </c>
      <c r="BE563" t="s">
        <v>3153</v>
      </c>
      <c r="BF563" t="str">
        <f>HYPERLINK("http://dx.doi.org/10.1155/2022/2380100","http://dx.doi.org/10.1155/2022/2380100")</f>
        <v>http://dx.doi.org/10.1155/2022/2380100</v>
      </c>
      <c r="BG563" t="s">
        <v>74</v>
      </c>
      <c r="BH563" t="s">
        <v>74</v>
      </c>
      <c r="BI563">
        <v>9</v>
      </c>
      <c r="BJ563" t="s">
        <v>3154</v>
      </c>
      <c r="BK563" t="s">
        <v>102</v>
      </c>
      <c r="BL563" t="s">
        <v>3155</v>
      </c>
      <c r="BM563" t="s">
        <v>3156</v>
      </c>
      <c r="BN563" t="s">
        <v>74</v>
      </c>
      <c r="BO563" t="s">
        <v>186</v>
      </c>
      <c r="BP563" t="s">
        <v>74</v>
      </c>
      <c r="BQ563" t="s">
        <v>74</v>
      </c>
      <c r="BR563" t="s">
        <v>106</v>
      </c>
      <c r="BS563" t="s">
        <v>3157</v>
      </c>
      <c r="BT563" t="str">
        <f>HYPERLINK("https%3A%2F%2Fwww.webofscience.com%2Fwos%2Fwoscc%2Ffull-record%2FWOS:000868492000003","View Full Record in Web of Science")</f>
        <v>View Full Record in Web of Science</v>
      </c>
    </row>
    <row r="564" spans="1:72" x14ac:dyDescent="0.25">
      <c r="A564" t="s">
        <v>72</v>
      </c>
      <c r="B564" t="s">
        <v>3177</v>
      </c>
      <c r="C564" t="s">
        <v>74</v>
      </c>
      <c r="D564" t="s">
        <v>74</v>
      </c>
      <c r="E564" t="s">
        <v>74</v>
      </c>
      <c r="F564" t="s">
        <v>3178</v>
      </c>
      <c r="G564" t="s">
        <v>74</v>
      </c>
      <c r="H564" t="s">
        <v>74</v>
      </c>
      <c r="I564" s="1" t="s">
        <v>3179</v>
      </c>
      <c r="J564" t="s">
        <v>3180</v>
      </c>
      <c r="K564" t="s">
        <v>74</v>
      </c>
      <c r="L564" t="s">
        <v>74</v>
      </c>
      <c r="M564" t="s">
        <v>78</v>
      </c>
      <c r="N564" t="s">
        <v>79</v>
      </c>
      <c r="O564" t="s">
        <v>74</v>
      </c>
      <c r="P564" t="s">
        <v>74</v>
      </c>
      <c r="Q564" t="s">
        <v>74</v>
      </c>
      <c r="R564" t="s">
        <v>74</v>
      </c>
      <c r="S564" t="s">
        <v>74</v>
      </c>
      <c r="T564" s="1" t="s">
        <v>3181</v>
      </c>
      <c r="U564" s="1" t="s">
        <v>3182</v>
      </c>
      <c r="V564" s="1" t="s">
        <v>3183</v>
      </c>
      <c r="W564" t="s">
        <v>3184</v>
      </c>
      <c r="X564" t="s">
        <v>74</v>
      </c>
      <c r="Y564" t="s">
        <v>3185</v>
      </c>
      <c r="Z564" t="s">
        <v>3186</v>
      </c>
      <c r="AA564" t="s">
        <v>74</v>
      </c>
      <c r="AB564" t="s">
        <v>3187</v>
      </c>
      <c r="AC564" t="s">
        <v>74</v>
      </c>
      <c r="AD564" t="s">
        <v>74</v>
      </c>
      <c r="AE564" t="s">
        <v>74</v>
      </c>
      <c r="AF564" t="s">
        <v>74</v>
      </c>
      <c r="AG564">
        <v>97</v>
      </c>
      <c r="AH564">
        <v>0</v>
      </c>
      <c r="AI564">
        <v>0</v>
      </c>
      <c r="AJ564">
        <v>28</v>
      </c>
      <c r="AK564">
        <v>74</v>
      </c>
      <c r="AL564" t="s">
        <v>3188</v>
      </c>
      <c r="AM564" t="s">
        <v>3189</v>
      </c>
      <c r="AN564" t="s">
        <v>3190</v>
      </c>
      <c r="AO564" t="s">
        <v>3191</v>
      </c>
      <c r="AP564" t="s">
        <v>3192</v>
      </c>
      <c r="AQ564" t="s">
        <v>74</v>
      </c>
      <c r="AR564" t="s">
        <v>3193</v>
      </c>
      <c r="AS564" t="s">
        <v>3194</v>
      </c>
      <c r="AT564" t="s">
        <v>3195</v>
      </c>
      <c r="AU564">
        <v>2023</v>
      </c>
      <c r="AV564">
        <v>63</v>
      </c>
      <c r="AW564">
        <v>4</v>
      </c>
      <c r="AX564" t="s">
        <v>74</v>
      </c>
      <c r="AY564" t="s">
        <v>74</v>
      </c>
      <c r="AZ564" t="s">
        <v>74</v>
      </c>
      <c r="BA564" t="s">
        <v>74</v>
      </c>
      <c r="BB564">
        <v>919</v>
      </c>
      <c r="BC564">
        <v>936</v>
      </c>
      <c r="BD564" t="s">
        <v>74</v>
      </c>
      <c r="BE564" t="s">
        <v>3196</v>
      </c>
      <c r="BF564" t="str">
        <f>HYPERLINK("http://dx.doi.org/10.1080/08874417.2022.2115953","http://dx.doi.org/10.1080/08874417.2022.2115953")</f>
        <v>http://dx.doi.org/10.1080/08874417.2022.2115953</v>
      </c>
      <c r="BG564" t="s">
        <v>74</v>
      </c>
      <c r="BH564" t="s">
        <v>3049</v>
      </c>
      <c r="BI564">
        <v>18</v>
      </c>
      <c r="BJ564" t="s">
        <v>1217</v>
      </c>
      <c r="BK564" t="s">
        <v>102</v>
      </c>
      <c r="BL564" t="s">
        <v>399</v>
      </c>
      <c r="BM564" t="s">
        <v>3197</v>
      </c>
      <c r="BN564" t="s">
        <v>74</v>
      </c>
      <c r="BO564" t="s">
        <v>74</v>
      </c>
      <c r="BP564" t="s">
        <v>74</v>
      </c>
      <c r="BQ564" t="s">
        <v>74</v>
      </c>
      <c r="BR564" t="s">
        <v>106</v>
      </c>
      <c r="BS564" t="s">
        <v>3198</v>
      </c>
      <c r="BT564" t="str">
        <f>HYPERLINK("https%3A%2F%2Fwww.webofscience.com%2Fwos%2Fwoscc%2Ffull-record%2FWOS:000850937400001","View Full Record in Web of Science")</f>
        <v>View Full Record in Web of Science</v>
      </c>
    </row>
    <row r="565" spans="1:72" x14ac:dyDescent="0.25">
      <c r="A565" t="s">
        <v>72</v>
      </c>
      <c r="B565" t="s">
        <v>3262</v>
      </c>
      <c r="C565" t="s">
        <v>74</v>
      </c>
      <c r="D565" t="s">
        <v>74</v>
      </c>
      <c r="E565" t="s">
        <v>74</v>
      </c>
      <c r="F565" t="s">
        <v>3263</v>
      </c>
      <c r="G565" t="s">
        <v>74</v>
      </c>
      <c r="H565" t="s">
        <v>74</v>
      </c>
      <c r="I565" s="1" t="s">
        <v>3264</v>
      </c>
      <c r="J565" t="s">
        <v>191</v>
      </c>
      <c r="K565" t="s">
        <v>74</v>
      </c>
      <c r="L565" t="s">
        <v>74</v>
      </c>
      <c r="M565" t="s">
        <v>78</v>
      </c>
      <c r="N565" t="s">
        <v>79</v>
      </c>
      <c r="O565" t="s">
        <v>74</v>
      </c>
      <c r="P565" t="s">
        <v>74</v>
      </c>
      <c r="Q565" t="s">
        <v>74</v>
      </c>
      <c r="R565" t="s">
        <v>74</v>
      </c>
      <c r="S565" t="s">
        <v>74</v>
      </c>
      <c r="T565" s="1" t="s">
        <v>3265</v>
      </c>
      <c r="U565" s="1" t="s">
        <v>3266</v>
      </c>
      <c r="V565" s="1" t="s">
        <v>3267</v>
      </c>
      <c r="W565" t="s">
        <v>3268</v>
      </c>
      <c r="X565" t="s">
        <v>3269</v>
      </c>
      <c r="Y565" t="s">
        <v>3270</v>
      </c>
      <c r="Z565" t="s">
        <v>3271</v>
      </c>
      <c r="AA565" t="s">
        <v>3272</v>
      </c>
      <c r="AB565" t="s">
        <v>3273</v>
      </c>
      <c r="AC565" t="s">
        <v>74</v>
      </c>
      <c r="AD565" t="s">
        <v>74</v>
      </c>
      <c r="AE565" t="s">
        <v>74</v>
      </c>
      <c r="AF565" t="s">
        <v>74</v>
      </c>
      <c r="AG565">
        <v>83</v>
      </c>
      <c r="AH565">
        <v>0</v>
      </c>
      <c r="AI565">
        <v>0</v>
      </c>
      <c r="AJ565">
        <v>7</v>
      </c>
      <c r="AK565">
        <v>12</v>
      </c>
      <c r="AL565" t="s">
        <v>202</v>
      </c>
      <c r="AM565" t="s">
        <v>203</v>
      </c>
      <c r="AN565" t="s">
        <v>204</v>
      </c>
      <c r="AO565" t="s">
        <v>74</v>
      </c>
      <c r="AP565" t="s">
        <v>205</v>
      </c>
      <c r="AQ565" t="s">
        <v>74</v>
      </c>
      <c r="AR565" t="s">
        <v>206</v>
      </c>
      <c r="AS565" t="s">
        <v>207</v>
      </c>
      <c r="AT565" t="s">
        <v>356</v>
      </c>
      <c r="AU565">
        <v>2022</v>
      </c>
      <c r="AV565">
        <v>14</v>
      </c>
      <c r="AW565">
        <v>18</v>
      </c>
      <c r="AX565" t="s">
        <v>74</v>
      </c>
      <c r="AY565" t="s">
        <v>74</v>
      </c>
      <c r="AZ565" t="s">
        <v>74</v>
      </c>
      <c r="BA565" t="s">
        <v>74</v>
      </c>
      <c r="BB565" t="s">
        <v>74</v>
      </c>
      <c r="BC565" t="s">
        <v>74</v>
      </c>
      <c r="BD565">
        <v>11767</v>
      </c>
      <c r="BE565" t="s">
        <v>3274</v>
      </c>
      <c r="BF565" t="str">
        <f>HYPERLINK("http://dx.doi.org/10.3390/su141811767","http://dx.doi.org/10.3390/su141811767")</f>
        <v>http://dx.doi.org/10.3390/su141811767</v>
      </c>
      <c r="BG565" t="s">
        <v>74</v>
      </c>
      <c r="BH565" t="s">
        <v>74</v>
      </c>
      <c r="BI565">
        <v>26</v>
      </c>
      <c r="BJ565" t="s">
        <v>210</v>
      </c>
      <c r="BK565" t="s">
        <v>211</v>
      </c>
      <c r="BL565" t="s">
        <v>212</v>
      </c>
      <c r="BM565" t="s">
        <v>3275</v>
      </c>
      <c r="BN565" t="s">
        <v>74</v>
      </c>
      <c r="BO565" t="s">
        <v>186</v>
      </c>
      <c r="BP565" t="s">
        <v>74</v>
      </c>
      <c r="BQ565" t="s">
        <v>74</v>
      </c>
      <c r="BR565" t="s">
        <v>106</v>
      </c>
      <c r="BS565" t="s">
        <v>3276</v>
      </c>
      <c r="BT565" t="str">
        <f>HYPERLINK("https%3A%2F%2Fwww.webofscience.com%2Fwos%2Fwoscc%2Ffull-record%2FWOS:000857038300001","View Full Record in Web of Science")</f>
        <v>View Full Record in Web of Science</v>
      </c>
    </row>
    <row r="566" spans="1:72" x14ac:dyDescent="0.25">
      <c r="A566" t="s">
        <v>72</v>
      </c>
      <c r="B566" t="s">
        <v>3277</v>
      </c>
      <c r="C566" t="s">
        <v>74</v>
      </c>
      <c r="D566" t="s">
        <v>74</v>
      </c>
      <c r="E566" t="s">
        <v>74</v>
      </c>
      <c r="F566" t="s">
        <v>3278</v>
      </c>
      <c r="G566" t="s">
        <v>74</v>
      </c>
      <c r="H566" t="s">
        <v>74</v>
      </c>
      <c r="I566" s="1" t="s">
        <v>3279</v>
      </c>
      <c r="J566" t="s">
        <v>2270</v>
      </c>
      <c r="K566" t="s">
        <v>74</v>
      </c>
      <c r="L566" t="s">
        <v>74</v>
      </c>
      <c r="M566" t="s">
        <v>78</v>
      </c>
      <c r="N566" t="s">
        <v>79</v>
      </c>
      <c r="O566" t="s">
        <v>74</v>
      </c>
      <c r="P566" t="s">
        <v>74</v>
      </c>
      <c r="Q566" t="s">
        <v>74</v>
      </c>
      <c r="R566" t="s">
        <v>74</v>
      </c>
      <c r="S566" t="s">
        <v>74</v>
      </c>
      <c r="T566" s="1" t="s">
        <v>3280</v>
      </c>
      <c r="U566" s="1" t="s">
        <v>3281</v>
      </c>
      <c r="V566" s="1" t="s">
        <v>3282</v>
      </c>
      <c r="W566" t="s">
        <v>3283</v>
      </c>
      <c r="X566" t="s">
        <v>3284</v>
      </c>
      <c r="Y566" t="s">
        <v>3285</v>
      </c>
      <c r="Z566" t="s">
        <v>3286</v>
      </c>
      <c r="AA566" t="s">
        <v>2278</v>
      </c>
      <c r="AB566" t="s">
        <v>2279</v>
      </c>
      <c r="AC566" t="s">
        <v>74</v>
      </c>
      <c r="AD566" t="s">
        <v>74</v>
      </c>
      <c r="AE566" t="s">
        <v>74</v>
      </c>
      <c r="AF566" t="s">
        <v>74</v>
      </c>
      <c r="AG566">
        <v>56</v>
      </c>
      <c r="AH566">
        <v>0</v>
      </c>
      <c r="AI566">
        <v>0</v>
      </c>
      <c r="AJ566">
        <v>3</v>
      </c>
      <c r="AK566">
        <v>6</v>
      </c>
      <c r="AL566" t="s">
        <v>2280</v>
      </c>
      <c r="AM566" t="s">
        <v>2281</v>
      </c>
      <c r="AN566" t="s">
        <v>2282</v>
      </c>
      <c r="AO566" t="s">
        <v>2283</v>
      </c>
      <c r="AP566" t="s">
        <v>74</v>
      </c>
      <c r="AQ566" t="s">
        <v>74</v>
      </c>
      <c r="AR566" t="s">
        <v>2284</v>
      </c>
      <c r="AS566" t="s">
        <v>2285</v>
      </c>
      <c r="AT566" t="s">
        <v>376</v>
      </c>
      <c r="AU566">
        <v>2022</v>
      </c>
      <c r="AV566">
        <v>13</v>
      </c>
      <c r="AW566">
        <v>3</v>
      </c>
      <c r="AX566" t="s">
        <v>74</v>
      </c>
      <c r="AY566" t="s">
        <v>74</v>
      </c>
      <c r="AZ566" t="s">
        <v>74</v>
      </c>
      <c r="BA566" t="s">
        <v>74</v>
      </c>
      <c r="BB566">
        <v>974</v>
      </c>
      <c r="BC566">
        <v>991</v>
      </c>
      <c r="BD566" t="s">
        <v>74</v>
      </c>
      <c r="BE566" t="s">
        <v>3287</v>
      </c>
      <c r="BF566" t="str">
        <f>HYPERLINK("http://dx.doi.org/10.7769/gesec.v13i3.1387","http://dx.doi.org/10.7769/gesec.v13i3.1387")</f>
        <v>http://dx.doi.org/10.7769/gesec.v13i3.1387</v>
      </c>
      <c r="BG566" t="s">
        <v>74</v>
      </c>
      <c r="BH566" t="s">
        <v>74</v>
      </c>
      <c r="BI566">
        <v>18</v>
      </c>
      <c r="BJ566" t="s">
        <v>315</v>
      </c>
      <c r="BK566" t="s">
        <v>183</v>
      </c>
      <c r="BL566" t="s">
        <v>265</v>
      </c>
      <c r="BM566" t="s">
        <v>3288</v>
      </c>
      <c r="BN566" t="s">
        <v>74</v>
      </c>
      <c r="BO566" t="s">
        <v>186</v>
      </c>
      <c r="BP566" t="s">
        <v>74</v>
      </c>
      <c r="BQ566" t="s">
        <v>74</v>
      </c>
      <c r="BR566" t="s">
        <v>106</v>
      </c>
      <c r="BS566" t="s">
        <v>3289</v>
      </c>
      <c r="BT566" t="str">
        <f>HYPERLINK("https%3A%2F%2Fwww.webofscience.com%2Fwos%2Fwoscc%2Ffull-record%2FWOS:000892587000004","View Full Record in Web of Science")</f>
        <v>View Full Record in Web of Science</v>
      </c>
    </row>
    <row r="567" spans="1:72" x14ac:dyDescent="0.25">
      <c r="A567" t="s">
        <v>72</v>
      </c>
      <c r="B567" t="s">
        <v>3336</v>
      </c>
      <c r="C567" t="s">
        <v>74</v>
      </c>
      <c r="D567" t="s">
        <v>74</v>
      </c>
      <c r="E567" t="s">
        <v>74</v>
      </c>
      <c r="F567" t="s">
        <v>3337</v>
      </c>
      <c r="G567" t="s">
        <v>74</v>
      </c>
      <c r="H567" t="s">
        <v>74</v>
      </c>
      <c r="I567" s="1" t="s">
        <v>3338</v>
      </c>
      <c r="J567" t="s">
        <v>3339</v>
      </c>
      <c r="K567" t="s">
        <v>74</v>
      </c>
      <c r="L567" t="s">
        <v>74</v>
      </c>
      <c r="M567" t="s">
        <v>78</v>
      </c>
      <c r="N567" t="s">
        <v>79</v>
      </c>
      <c r="O567" t="s">
        <v>74</v>
      </c>
      <c r="P567" t="s">
        <v>74</v>
      </c>
      <c r="Q567" t="s">
        <v>74</v>
      </c>
      <c r="R567" t="s">
        <v>74</v>
      </c>
      <c r="S567" t="s">
        <v>74</v>
      </c>
      <c r="T567" s="1" t="s">
        <v>3340</v>
      </c>
      <c r="U567" s="1" t="s">
        <v>3341</v>
      </c>
      <c r="V567" s="1" t="s">
        <v>3342</v>
      </c>
      <c r="W567" t="s">
        <v>3343</v>
      </c>
      <c r="X567" t="s">
        <v>3344</v>
      </c>
      <c r="Y567" t="s">
        <v>3345</v>
      </c>
      <c r="Z567" t="s">
        <v>74</v>
      </c>
      <c r="AA567" t="s">
        <v>3346</v>
      </c>
      <c r="AB567" t="s">
        <v>3347</v>
      </c>
      <c r="AC567" t="s">
        <v>74</v>
      </c>
      <c r="AD567" t="s">
        <v>74</v>
      </c>
      <c r="AE567" t="s">
        <v>74</v>
      </c>
      <c r="AF567" t="s">
        <v>74</v>
      </c>
      <c r="AG567">
        <v>34</v>
      </c>
      <c r="AH567">
        <v>0</v>
      </c>
      <c r="AI567">
        <v>0</v>
      </c>
      <c r="AJ567">
        <v>0</v>
      </c>
      <c r="AK567">
        <v>0</v>
      </c>
      <c r="AL567" t="s">
        <v>3348</v>
      </c>
      <c r="AM567" t="s">
        <v>3349</v>
      </c>
      <c r="AN567" t="s">
        <v>3350</v>
      </c>
      <c r="AO567" t="s">
        <v>3351</v>
      </c>
      <c r="AP567" t="s">
        <v>74</v>
      </c>
      <c r="AQ567" t="s">
        <v>74</v>
      </c>
      <c r="AR567" t="s">
        <v>3352</v>
      </c>
      <c r="AS567" t="s">
        <v>3353</v>
      </c>
      <c r="AT567" t="s">
        <v>376</v>
      </c>
      <c r="AU567">
        <v>2022</v>
      </c>
      <c r="AV567">
        <v>22</v>
      </c>
      <c r="AW567">
        <v>3</v>
      </c>
      <c r="AX567" t="s">
        <v>74</v>
      </c>
      <c r="AY567" t="s">
        <v>74</v>
      </c>
      <c r="AZ567" t="s">
        <v>74</v>
      </c>
      <c r="BA567" t="s">
        <v>74</v>
      </c>
      <c r="BB567">
        <v>19</v>
      </c>
      <c r="BC567">
        <v>31</v>
      </c>
      <c r="BD567" t="s">
        <v>74</v>
      </c>
      <c r="BE567" t="s">
        <v>3354</v>
      </c>
      <c r="BF567" t="str">
        <f>HYPERLINK("http://dx.doi.org/10.29276/redapeci.2022.22.318349.19-31","http://dx.doi.org/10.29276/redapeci.2022.22.318349.19-31")</f>
        <v>http://dx.doi.org/10.29276/redapeci.2022.22.318349.19-31</v>
      </c>
      <c r="BG567" t="s">
        <v>74</v>
      </c>
      <c r="BH567" t="s">
        <v>74</v>
      </c>
      <c r="BI567">
        <v>13</v>
      </c>
      <c r="BJ567" t="s">
        <v>1326</v>
      </c>
      <c r="BK567" t="s">
        <v>183</v>
      </c>
      <c r="BL567" t="s">
        <v>1326</v>
      </c>
      <c r="BM567" t="s">
        <v>3355</v>
      </c>
      <c r="BN567" t="s">
        <v>74</v>
      </c>
      <c r="BO567" t="s">
        <v>2730</v>
      </c>
      <c r="BP567" t="s">
        <v>74</v>
      </c>
      <c r="BQ567" t="s">
        <v>74</v>
      </c>
      <c r="BR567" t="s">
        <v>106</v>
      </c>
      <c r="BS567" t="s">
        <v>3356</v>
      </c>
      <c r="BT567" t="str">
        <f>HYPERLINK("https%3A%2F%2Fwww.webofscience.com%2Fwos%2Fwoscc%2Ffull-record%2FWOS:000919673400003","View Full Record in Web of Science")</f>
        <v>View Full Record in Web of Science</v>
      </c>
    </row>
    <row r="568" spans="1:72" x14ac:dyDescent="0.25">
      <c r="A568" t="s">
        <v>72</v>
      </c>
      <c r="B568" t="s">
        <v>3407</v>
      </c>
      <c r="C568" t="s">
        <v>74</v>
      </c>
      <c r="D568" t="s">
        <v>74</v>
      </c>
      <c r="E568" t="s">
        <v>74</v>
      </c>
      <c r="F568" t="s">
        <v>3408</v>
      </c>
      <c r="G568" t="s">
        <v>74</v>
      </c>
      <c r="H568" t="s">
        <v>74</v>
      </c>
      <c r="I568" s="1" t="s">
        <v>3409</v>
      </c>
      <c r="J568" t="s">
        <v>928</v>
      </c>
      <c r="K568" t="s">
        <v>74</v>
      </c>
      <c r="L568" t="s">
        <v>74</v>
      </c>
      <c r="M568" t="s">
        <v>78</v>
      </c>
      <c r="N568" t="s">
        <v>79</v>
      </c>
      <c r="O568" t="s">
        <v>74</v>
      </c>
      <c r="P568" t="s">
        <v>74</v>
      </c>
      <c r="Q568" t="s">
        <v>74</v>
      </c>
      <c r="R568" t="s">
        <v>74</v>
      </c>
      <c r="S568" t="s">
        <v>74</v>
      </c>
      <c r="T568" s="1" t="s">
        <v>3410</v>
      </c>
      <c r="U568" s="1" t="s">
        <v>74</v>
      </c>
      <c r="V568" s="1" t="s">
        <v>3411</v>
      </c>
      <c r="W568" t="s">
        <v>3412</v>
      </c>
      <c r="X568" t="s">
        <v>74</v>
      </c>
      <c r="Y568" t="s">
        <v>3413</v>
      </c>
      <c r="Z568" t="s">
        <v>3414</v>
      </c>
      <c r="AA568" t="s">
        <v>74</v>
      </c>
      <c r="AB568" t="s">
        <v>74</v>
      </c>
      <c r="AC568" t="s">
        <v>74</v>
      </c>
      <c r="AD568" t="s">
        <v>74</v>
      </c>
      <c r="AE568" t="s">
        <v>74</v>
      </c>
      <c r="AF568" t="s">
        <v>74</v>
      </c>
      <c r="AG568">
        <v>17</v>
      </c>
      <c r="AH568">
        <v>0</v>
      </c>
      <c r="AI568">
        <v>0</v>
      </c>
      <c r="AJ568">
        <v>0</v>
      </c>
      <c r="AK568">
        <v>1</v>
      </c>
      <c r="AL568" t="s">
        <v>935</v>
      </c>
      <c r="AM568" t="s">
        <v>936</v>
      </c>
      <c r="AN568" t="s">
        <v>937</v>
      </c>
      <c r="AO568" t="s">
        <v>938</v>
      </c>
      <c r="AP568" t="s">
        <v>74</v>
      </c>
      <c r="AQ568" t="s">
        <v>74</v>
      </c>
      <c r="AR568" t="s">
        <v>939</v>
      </c>
      <c r="AS568" t="s">
        <v>940</v>
      </c>
      <c r="AT568" t="s">
        <v>3130</v>
      </c>
      <c r="AU568">
        <v>2022</v>
      </c>
      <c r="AV568">
        <v>14</v>
      </c>
      <c r="AW568">
        <v>5</v>
      </c>
      <c r="AX568" t="s">
        <v>74</v>
      </c>
      <c r="AY568" t="s">
        <v>74</v>
      </c>
      <c r="AZ568" t="s">
        <v>74</v>
      </c>
      <c r="BA568" t="s">
        <v>74</v>
      </c>
      <c r="BB568">
        <v>248</v>
      </c>
      <c r="BC568">
        <v>255</v>
      </c>
      <c r="BD568" t="s">
        <v>74</v>
      </c>
      <c r="BE568" t="s">
        <v>74</v>
      </c>
      <c r="BF568" t="s">
        <v>74</v>
      </c>
      <c r="BG568" t="s">
        <v>74</v>
      </c>
      <c r="BH568" t="s">
        <v>74</v>
      </c>
      <c r="BI568">
        <v>8</v>
      </c>
      <c r="BJ568" t="s">
        <v>942</v>
      </c>
      <c r="BK568" t="s">
        <v>183</v>
      </c>
      <c r="BL568" t="s">
        <v>943</v>
      </c>
      <c r="BM568" t="s">
        <v>3415</v>
      </c>
      <c r="BN568" t="s">
        <v>74</v>
      </c>
      <c r="BO568" t="s">
        <v>74</v>
      </c>
      <c r="BP568" t="s">
        <v>74</v>
      </c>
      <c r="BQ568" t="s">
        <v>74</v>
      </c>
      <c r="BR568" t="s">
        <v>106</v>
      </c>
      <c r="BS568" t="s">
        <v>3416</v>
      </c>
      <c r="BT568" t="str">
        <f>HYPERLINK("https%3A%2F%2Fwww.webofscience.com%2Fwos%2Fwoscc%2Ffull-record%2FWOS:000897825500026","View Full Record in Web of Science")</f>
        <v>View Full Record in Web of Science</v>
      </c>
    </row>
    <row r="569" spans="1:72" x14ac:dyDescent="0.25">
      <c r="A569" t="s">
        <v>72</v>
      </c>
      <c r="B569" t="s">
        <v>3407</v>
      </c>
      <c r="C569" t="s">
        <v>74</v>
      </c>
      <c r="D569" t="s">
        <v>74</v>
      </c>
      <c r="E569" t="s">
        <v>74</v>
      </c>
      <c r="F569" t="s">
        <v>3408</v>
      </c>
      <c r="G569" t="s">
        <v>74</v>
      </c>
      <c r="H569" t="s">
        <v>74</v>
      </c>
      <c r="I569" s="1" t="s">
        <v>3409</v>
      </c>
      <c r="J569" t="s">
        <v>928</v>
      </c>
      <c r="K569" t="s">
        <v>74</v>
      </c>
      <c r="L569" t="s">
        <v>74</v>
      </c>
      <c r="M569" t="s">
        <v>78</v>
      </c>
      <c r="N569" t="s">
        <v>79</v>
      </c>
      <c r="O569" t="s">
        <v>74</v>
      </c>
      <c r="P569" t="s">
        <v>74</v>
      </c>
      <c r="Q569" t="s">
        <v>74</v>
      </c>
      <c r="R569" t="s">
        <v>74</v>
      </c>
      <c r="S569" t="s">
        <v>74</v>
      </c>
      <c r="T569" s="1" t="s">
        <v>3410</v>
      </c>
      <c r="U569" s="1" t="s">
        <v>74</v>
      </c>
      <c r="V569" s="1" t="s">
        <v>3411</v>
      </c>
      <c r="W569" t="s">
        <v>3412</v>
      </c>
      <c r="X569" t="s">
        <v>74</v>
      </c>
      <c r="Y569" t="s">
        <v>3413</v>
      </c>
      <c r="Z569" t="s">
        <v>3414</v>
      </c>
      <c r="AA569" t="s">
        <v>74</v>
      </c>
      <c r="AB569" t="s">
        <v>74</v>
      </c>
      <c r="AC569" t="s">
        <v>74</v>
      </c>
      <c r="AD569" t="s">
        <v>74</v>
      </c>
      <c r="AE569" t="s">
        <v>74</v>
      </c>
      <c r="AF569" t="s">
        <v>74</v>
      </c>
      <c r="AG569">
        <v>17</v>
      </c>
      <c r="AH569">
        <v>0</v>
      </c>
      <c r="AI569">
        <v>0</v>
      </c>
      <c r="AJ569">
        <v>0</v>
      </c>
      <c r="AK569">
        <v>0</v>
      </c>
      <c r="AL569" t="s">
        <v>935</v>
      </c>
      <c r="AM569" t="s">
        <v>936</v>
      </c>
      <c r="AN569" t="s">
        <v>937</v>
      </c>
      <c r="AO569" t="s">
        <v>938</v>
      </c>
      <c r="AP569" t="s">
        <v>74</v>
      </c>
      <c r="AQ569" t="s">
        <v>74</v>
      </c>
      <c r="AR569" t="s">
        <v>939</v>
      </c>
      <c r="AS569" t="s">
        <v>940</v>
      </c>
      <c r="AT569" t="s">
        <v>3130</v>
      </c>
      <c r="AU569">
        <v>2022</v>
      </c>
      <c r="AV569">
        <v>14</v>
      </c>
      <c r="AW569">
        <v>5</v>
      </c>
      <c r="AX569" t="s">
        <v>74</v>
      </c>
      <c r="AY569" t="s">
        <v>74</v>
      </c>
      <c r="AZ569" t="s">
        <v>74</v>
      </c>
      <c r="BA569" t="s">
        <v>74</v>
      </c>
      <c r="BB569">
        <v>248</v>
      </c>
      <c r="BC569">
        <v>255</v>
      </c>
      <c r="BD569" t="s">
        <v>74</v>
      </c>
      <c r="BE569" t="s">
        <v>74</v>
      </c>
      <c r="BF569" t="s">
        <v>74</v>
      </c>
      <c r="BG569" t="s">
        <v>74</v>
      </c>
      <c r="BH569" t="s">
        <v>74</v>
      </c>
      <c r="BI569">
        <v>8</v>
      </c>
      <c r="BJ569" t="s">
        <v>942</v>
      </c>
      <c r="BK569" t="s">
        <v>183</v>
      </c>
      <c r="BL569" t="s">
        <v>943</v>
      </c>
      <c r="BM569" t="s">
        <v>3417</v>
      </c>
      <c r="BN569" t="s">
        <v>74</v>
      </c>
      <c r="BO569" t="s">
        <v>74</v>
      </c>
      <c r="BP569" t="s">
        <v>74</v>
      </c>
      <c r="BQ569" t="s">
        <v>74</v>
      </c>
      <c r="BR569" t="s">
        <v>106</v>
      </c>
      <c r="BS569" t="s">
        <v>3418</v>
      </c>
      <c r="BT569" t="str">
        <f>HYPERLINK("https%3A%2F%2Fwww.webofscience.com%2Fwos%2Fwoscc%2Ffull-record%2FWOS:000899334400026","View Full Record in Web of Science")</f>
        <v>View Full Record in Web of Science</v>
      </c>
    </row>
    <row r="570" spans="1:72" x14ac:dyDescent="0.25">
      <c r="A570" t="s">
        <v>72</v>
      </c>
      <c r="B570" t="s">
        <v>3467</v>
      </c>
      <c r="C570" t="s">
        <v>74</v>
      </c>
      <c r="D570" t="s">
        <v>74</v>
      </c>
      <c r="E570" t="s">
        <v>74</v>
      </c>
      <c r="F570" t="s">
        <v>3468</v>
      </c>
      <c r="G570" t="s">
        <v>74</v>
      </c>
      <c r="H570" t="s">
        <v>74</v>
      </c>
      <c r="I570" s="1" t="s">
        <v>3469</v>
      </c>
      <c r="J570" t="s">
        <v>3470</v>
      </c>
      <c r="K570" t="s">
        <v>74</v>
      </c>
      <c r="L570" t="s">
        <v>74</v>
      </c>
      <c r="M570" t="s">
        <v>78</v>
      </c>
      <c r="N570" t="s">
        <v>79</v>
      </c>
      <c r="O570" t="s">
        <v>74</v>
      </c>
      <c r="P570" t="s">
        <v>74</v>
      </c>
      <c r="Q570" t="s">
        <v>74</v>
      </c>
      <c r="R570" t="s">
        <v>74</v>
      </c>
      <c r="S570" t="s">
        <v>74</v>
      </c>
      <c r="T570" s="1" t="s">
        <v>3471</v>
      </c>
      <c r="U570" s="1" t="s">
        <v>3472</v>
      </c>
      <c r="V570" s="1" t="s">
        <v>3473</v>
      </c>
      <c r="W570" t="s">
        <v>3474</v>
      </c>
      <c r="X570" t="s">
        <v>3475</v>
      </c>
      <c r="Y570" t="s">
        <v>3476</v>
      </c>
      <c r="Z570" t="s">
        <v>3477</v>
      </c>
      <c r="AA570" t="s">
        <v>74</v>
      </c>
      <c r="AB570" t="s">
        <v>3478</v>
      </c>
      <c r="AC570" t="s">
        <v>74</v>
      </c>
      <c r="AD570" t="s">
        <v>74</v>
      </c>
      <c r="AE570" t="s">
        <v>74</v>
      </c>
      <c r="AF570" t="s">
        <v>74</v>
      </c>
      <c r="AG570">
        <v>13</v>
      </c>
      <c r="AH570">
        <v>0</v>
      </c>
      <c r="AI570">
        <v>0</v>
      </c>
      <c r="AJ570">
        <v>0</v>
      </c>
      <c r="AK570">
        <v>0</v>
      </c>
      <c r="AL570" t="s">
        <v>3123</v>
      </c>
      <c r="AM570" t="s">
        <v>3124</v>
      </c>
      <c r="AN570" t="s">
        <v>3125</v>
      </c>
      <c r="AO570" t="s">
        <v>3479</v>
      </c>
      <c r="AP570" t="s">
        <v>74</v>
      </c>
      <c r="AQ570" t="s">
        <v>74</v>
      </c>
      <c r="AR570" t="s">
        <v>3480</v>
      </c>
      <c r="AS570" t="s">
        <v>3481</v>
      </c>
      <c r="AT570" t="s">
        <v>476</v>
      </c>
      <c r="AU570">
        <v>2022</v>
      </c>
      <c r="AV570">
        <v>41</v>
      </c>
      <c r="AW570">
        <v>6</v>
      </c>
      <c r="AX570" t="s">
        <v>74</v>
      </c>
      <c r="AY570" t="s">
        <v>74</v>
      </c>
      <c r="AZ570" t="s">
        <v>74</v>
      </c>
      <c r="BA570" t="s">
        <v>74</v>
      </c>
      <c r="BB570" t="s">
        <v>74</v>
      </c>
      <c r="BC570" t="s">
        <v>74</v>
      </c>
      <c r="BD570">
        <v>101143</v>
      </c>
      <c r="BE570" t="s">
        <v>3482</v>
      </c>
      <c r="BF570" t="str">
        <f>HYPERLINK("http://dx.doi.org/10.1016/j.accpm.2022.101143","http://dx.doi.org/10.1016/j.accpm.2022.101143")</f>
        <v>http://dx.doi.org/10.1016/j.accpm.2022.101143</v>
      </c>
      <c r="BG570" t="s">
        <v>74</v>
      </c>
      <c r="BH570" t="s">
        <v>3464</v>
      </c>
      <c r="BI570">
        <v>6</v>
      </c>
      <c r="BJ570" t="s">
        <v>3483</v>
      </c>
      <c r="BK570" t="s">
        <v>102</v>
      </c>
      <c r="BL570" t="s">
        <v>3484</v>
      </c>
      <c r="BM570" t="s">
        <v>3485</v>
      </c>
      <c r="BN570">
        <v>35988703</v>
      </c>
      <c r="BO570" t="s">
        <v>1351</v>
      </c>
      <c r="BP570" t="s">
        <v>74</v>
      </c>
      <c r="BQ570" t="s">
        <v>74</v>
      </c>
      <c r="BR570" t="s">
        <v>106</v>
      </c>
      <c r="BS570" t="s">
        <v>3486</v>
      </c>
      <c r="BT570" t="str">
        <f>HYPERLINK("https%3A%2F%2Fwww.webofscience.com%2Fwos%2Fwoscc%2Ffull-record%2FWOS:000860362800001","View Full Record in Web of Science")</f>
        <v>View Full Record in Web of Science</v>
      </c>
    </row>
    <row r="571" spans="1:72" x14ac:dyDescent="0.25">
      <c r="A571" t="s">
        <v>72</v>
      </c>
      <c r="B571" t="s">
        <v>3510</v>
      </c>
      <c r="C571" t="s">
        <v>74</v>
      </c>
      <c r="D571" t="s">
        <v>74</v>
      </c>
      <c r="E571" t="s">
        <v>74</v>
      </c>
      <c r="F571" t="s">
        <v>3511</v>
      </c>
      <c r="G571" t="s">
        <v>74</v>
      </c>
      <c r="H571" t="s">
        <v>74</v>
      </c>
      <c r="I571" s="1" t="s">
        <v>3512</v>
      </c>
      <c r="J571" t="s">
        <v>3513</v>
      </c>
      <c r="K571" t="s">
        <v>74</v>
      </c>
      <c r="L571" t="s">
        <v>74</v>
      </c>
      <c r="M571" t="s">
        <v>78</v>
      </c>
      <c r="N571" t="s">
        <v>112</v>
      </c>
      <c r="O571" t="s">
        <v>74</v>
      </c>
      <c r="P571" t="s">
        <v>74</v>
      </c>
      <c r="Q571" t="s">
        <v>74</v>
      </c>
      <c r="R571" t="s">
        <v>74</v>
      </c>
      <c r="S571" t="s">
        <v>74</v>
      </c>
      <c r="T571" s="1" t="s">
        <v>3514</v>
      </c>
      <c r="U571" s="1" t="s">
        <v>74</v>
      </c>
      <c r="V571" s="1" t="s">
        <v>3515</v>
      </c>
      <c r="W571" t="s">
        <v>3516</v>
      </c>
      <c r="X571" t="s">
        <v>3517</v>
      </c>
      <c r="Y571" t="s">
        <v>3518</v>
      </c>
      <c r="Z571" t="s">
        <v>3519</v>
      </c>
      <c r="AA571" t="s">
        <v>3520</v>
      </c>
      <c r="AB571" t="s">
        <v>3521</v>
      </c>
      <c r="AC571" t="s">
        <v>74</v>
      </c>
      <c r="AD571" t="s">
        <v>74</v>
      </c>
      <c r="AE571" t="s">
        <v>74</v>
      </c>
      <c r="AF571" t="s">
        <v>74</v>
      </c>
      <c r="AG571">
        <v>40</v>
      </c>
      <c r="AH571">
        <v>0</v>
      </c>
      <c r="AI571">
        <v>0</v>
      </c>
      <c r="AJ571">
        <v>12</v>
      </c>
      <c r="AK571">
        <v>25</v>
      </c>
      <c r="AL571" t="s">
        <v>715</v>
      </c>
      <c r="AM571" t="s">
        <v>716</v>
      </c>
      <c r="AN571" t="s">
        <v>717</v>
      </c>
      <c r="AO571" t="s">
        <v>3522</v>
      </c>
      <c r="AP571" t="s">
        <v>3523</v>
      </c>
      <c r="AQ571" t="s">
        <v>74</v>
      </c>
      <c r="AR571" t="s">
        <v>3524</v>
      </c>
      <c r="AS571" t="s">
        <v>3525</v>
      </c>
      <c r="AT571" t="s">
        <v>3526</v>
      </c>
      <c r="AU571">
        <v>2022</v>
      </c>
      <c r="AV571" t="s">
        <v>74</v>
      </c>
      <c r="AW571" t="s">
        <v>74</v>
      </c>
      <c r="AX571" t="s">
        <v>74</v>
      </c>
      <c r="AY571" t="s">
        <v>74</v>
      </c>
      <c r="AZ571" t="s">
        <v>74</v>
      </c>
      <c r="BA571" t="s">
        <v>74</v>
      </c>
      <c r="BB571" t="s">
        <v>74</v>
      </c>
      <c r="BC571" t="s">
        <v>74</v>
      </c>
      <c r="BD571" t="s">
        <v>74</v>
      </c>
      <c r="BE571" t="s">
        <v>3527</v>
      </c>
      <c r="BF571" t="str">
        <f>HYPERLINK("http://dx.doi.org/10.1108/JCHMSD-11-2021-0202","http://dx.doi.org/10.1108/JCHMSD-11-2021-0202")</f>
        <v>http://dx.doi.org/10.1108/JCHMSD-11-2021-0202</v>
      </c>
      <c r="BG571" t="s">
        <v>74</v>
      </c>
      <c r="BH571" t="s">
        <v>3464</v>
      </c>
      <c r="BI571">
        <v>16</v>
      </c>
      <c r="BJ571" t="s">
        <v>3528</v>
      </c>
      <c r="BK571" t="s">
        <v>183</v>
      </c>
      <c r="BL571" t="s">
        <v>701</v>
      </c>
      <c r="BM571" t="s">
        <v>3529</v>
      </c>
      <c r="BN571" t="s">
        <v>74</v>
      </c>
      <c r="BO571" t="s">
        <v>3530</v>
      </c>
      <c r="BP571" t="s">
        <v>74</v>
      </c>
      <c r="BQ571" t="s">
        <v>74</v>
      </c>
      <c r="BR571" t="s">
        <v>106</v>
      </c>
      <c r="BS571" t="s">
        <v>3531</v>
      </c>
      <c r="BT571" t="str">
        <f>HYPERLINK("https%3A%2F%2Fwww.webofscience.com%2Fwos%2Fwoscc%2Ffull-record%2FWOS:000843680000001","View Full Record in Web of Science")</f>
        <v>View Full Record in Web of Science</v>
      </c>
    </row>
    <row r="572" spans="1:72" x14ac:dyDescent="0.25">
      <c r="A572" t="s">
        <v>72</v>
      </c>
      <c r="B572" t="s">
        <v>3605</v>
      </c>
      <c r="C572" t="s">
        <v>74</v>
      </c>
      <c r="D572" t="s">
        <v>74</v>
      </c>
      <c r="E572" t="s">
        <v>74</v>
      </c>
      <c r="F572" t="s">
        <v>3606</v>
      </c>
      <c r="G572" t="s">
        <v>74</v>
      </c>
      <c r="H572" t="s">
        <v>74</v>
      </c>
      <c r="I572" s="1" t="s">
        <v>3607</v>
      </c>
      <c r="J572" t="s">
        <v>3608</v>
      </c>
      <c r="K572" t="s">
        <v>74</v>
      </c>
      <c r="L572" t="s">
        <v>74</v>
      </c>
      <c r="M572" t="s">
        <v>78</v>
      </c>
      <c r="N572" t="s">
        <v>79</v>
      </c>
      <c r="O572" t="s">
        <v>74</v>
      </c>
      <c r="P572" t="s">
        <v>74</v>
      </c>
      <c r="Q572" t="s">
        <v>74</v>
      </c>
      <c r="R572" t="s">
        <v>74</v>
      </c>
      <c r="S572" t="s">
        <v>74</v>
      </c>
      <c r="T572" s="1" t="s">
        <v>74</v>
      </c>
      <c r="U572" s="1" t="s">
        <v>3609</v>
      </c>
      <c r="V572" s="1" t="s">
        <v>3610</v>
      </c>
      <c r="W572" t="s">
        <v>3611</v>
      </c>
      <c r="X572" t="s">
        <v>3612</v>
      </c>
      <c r="Y572" t="s">
        <v>3613</v>
      </c>
      <c r="Z572" t="s">
        <v>3614</v>
      </c>
      <c r="AA572" t="s">
        <v>74</v>
      </c>
      <c r="AB572" t="s">
        <v>74</v>
      </c>
      <c r="AC572" t="s">
        <v>3615</v>
      </c>
      <c r="AD572" t="s">
        <v>3616</v>
      </c>
      <c r="AE572" t="s">
        <v>3617</v>
      </c>
      <c r="AF572" t="s">
        <v>74</v>
      </c>
      <c r="AG572">
        <v>25</v>
      </c>
      <c r="AH572">
        <v>0</v>
      </c>
      <c r="AI572">
        <v>0</v>
      </c>
      <c r="AJ572">
        <v>11</v>
      </c>
      <c r="AK572">
        <v>30</v>
      </c>
      <c r="AL572" t="s">
        <v>3146</v>
      </c>
      <c r="AM572" t="s">
        <v>175</v>
      </c>
      <c r="AN572" t="s">
        <v>3147</v>
      </c>
      <c r="AO572" t="s">
        <v>3618</v>
      </c>
      <c r="AP572" t="s">
        <v>3619</v>
      </c>
      <c r="AQ572" t="s">
        <v>74</v>
      </c>
      <c r="AR572" t="s">
        <v>3620</v>
      </c>
      <c r="AS572" t="s">
        <v>3621</v>
      </c>
      <c r="AT572" t="s">
        <v>3622</v>
      </c>
      <c r="AU572">
        <v>2022</v>
      </c>
      <c r="AV572">
        <v>2022</v>
      </c>
      <c r="AW572" t="s">
        <v>74</v>
      </c>
      <c r="AX572" t="s">
        <v>74</v>
      </c>
      <c r="AY572" t="s">
        <v>74</v>
      </c>
      <c r="AZ572" t="s">
        <v>74</v>
      </c>
      <c r="BA572" t="s">
        <v>74</v>
      </c>
      <c r="BB572" t="s">
        <v>74</v>
      </c>
      <c r="BC572" t="s">
        <v>74</v>
      </c>
      <c r="BD572">
        <v>2263222</v>
      </c>
      <c r="BE572" t="s">
        <v>3623</v>
      </c>
      <c r="BF572" t="str">
        <f>HYPERLINK("http://dx.doi.org/10.1155/2022/2263222","http://dx.doi.org/10.1155/2022/2263222")</f>
        <v>http://dx.doi.org/10.1155/2022/2263222</v>
      </c>
      <c r="BG572" t="s">
        <v>74</v>
      </c>
      <c r="BH572" t="s">
        <v>74</v>
      </c>
      <c r="BI572">
        <v>10</v>
      </c>
      <c r="BJ572" t="s">
        <v>3624</v>
      </c>
      <c r="BK572" t="s">
        <v>102</v>
      </c>
      <c r="BL572" t="s">
        <v>3625</v>
      </c>
      <c r="BM572" t="s">
        <v>3626</v>
      </c>
      <c r="BN572" t="s">
        <v>74</v>
      </c>
      <c r="BO572" t="s">
        <v>186</v>
      </c>
      <c r="BP572" t="s">
        <v>74</v>
      </c>
      <c r="BQ572" t="s">
        <v>74</v>
      </c>
      <c r="BR572" t="s">
        <v>106</v>
      </c>
      <c r="BS572" t="s">
        <v>3627</v>
      </c>
      <c r="BT572" t="str">
        <f>HYPERLINK("https%3A%2F%2Fwww.webofscience.com%2Fwos%2Fwoscc%2Ffull-record%2FWOS:000848407800003","View Full Record in Web of Science")</f>
        <v>View Full Record in Web of Science</v>
      </c>
    </row>
    <row r="573" spans="1:72" x14ac:dyDescent="0.25">
      <c r="A573" t="s">
        <v>72</v>
      </c>
      <c r="B573" t="s">
        <v>3682</v>
      </c>
      <c r="C573" t="s">
        <v>74</v>
      </c>
      <c r="D573" t="s">
        <v>74</v>
      </c>
      <c r="E573" t="s">
        <v>74</v>
      </c>
      <c r="F573" t="s">
        <v>3683</v>
      </c>
      <c r="G573" t="s">
        <v>74</v>
      </c>
      <c r="H573" t="s">
        <v>74</v>
      </c>
      <c r="I573" s="1" t="s">
        <v>3684</v>
      </c>
      <c r="J573" t="s">
        <v>866</v>
      </c>
      <c r="K573" t="s">
        <v>74</v>
      </c>
      <c r="L573" t="s">
        <v>74</v>
      </c>
      <c r="M573" t="s">
        <v>78</v>
      </c>
      <c r="N573" t="s">
        <v>79</v>
      </c>
      <c r="O573" t="s">
        <v>74</v>
      </c>
      <c r="P573" t="s">
        <v>74</v>
      </c>
      <c r="Q573" t="s">
        <v>74</v>
      </c>
      <c r="R573" t="s">
        <v>74</v>
      </c>
      <c r="S573" t="s">
        <v>74</v>
      </c>
      <c r="T573" s="1" t="s">
        <v>3685</v>
      </c>
      <c r="U573" s="1" t="s">
        <v>74</v>
      </c>
      <c r="V573" s="1" t="s">
        <v>3686</v>
      </c>
      <c r="W573" t="s">
        <v>3687</v>
      </c>
      <c r="X573" t="s">
        <v>3688</v>
      </c>
      <c r="Y573" t="s">
        <v>3689</v>
      </c>
      <c r="Z573" t="s">
        <v>3690</v>
      </c>
      <c r="AA573" t="s">
        <v>74</v>
      </c>
      <c r="AB573" t="s">
        <v>74</v>
      </c>
      <c r="AC573" t="s">
        <v>3691</v>
      </c>
      <c r="AD573" t="s">
        <v>3692</v>
      </c>
      <c r="AE573" t="s">
        <v>3693</v>
      </c>
      <c r="AF573" t="s">
        <v>74</v>
      </c>
      <c r="AG573">
        <v>42</v>
      </c>
      <c r="AH573">
        <v>0</v>
      </c>
      <c r="AI573">
        <v>0</v>
      </c>
      <c r="AJ573">
        <v>2</v>
      </c>
      <c r="AK573">
        <v>10</v>
      </c>
      <c r="AL573" t="s">
        <v>877</v>
      </c>
      <c r="AM573" t="s">
        <v>878</v>
      </c>
      <c r="AN573" t="s">
        <v>879</v>
      </c>
      <c r="AO573" t="s">
        <v>74</v>
      </c>
      <c r="AP573" t="s">
        <v>880</v>
      </c>
      <c r="AQ573" t="s">
        <v>74</v>
      </c>
      <c r="AR573" t="s">
        <v>866</v>
      </c>
      <c r="AS573" t="s">
        <v>881</v>
      </c>
      <c r="AT573" t="s">
        <v>626</v>
      </c>
      <c r="AU573">
        <v>2022</v>
      </c>
      <c r="AV573">
        <v>8</v>
      </c>
      <c r="AW573">
        <v>8</v>
      </c>
      <c r="AX573" t="s">
        <v>74</v>
      </c>
      <c r="AY573" t="s">
        <v>74</v>
      </c>
      <c r="AZ573" t="s">
        <v>74</v>
      </c>
      <c r="BA573" t="s">
        <v>74</v>
      </c>
      <c r="BB573" t="s">
        <v>74</v>
      </c>
      <c r="BC573" t="s">
        <v>74</v>
      </c>
      <c r="BD573" t="s">
        <v>3694</v>
      </c>
      <c r="BE573" t="s">
        <v>3695</v>
      </c>
      <c r="BF573" t="str">
        <f>HYPERLINK("http://dx.doi.org/10.1016/j.heliyon.2022.e09982","http://dx.doi.org/10.1016/j.heliyon.2022.e09982")</f>
        <v>http://dx.doi.org/10.1016/j.heliyon.2022.e09982</v>
      </c>
      <c r="BG573" t="s">
        <v>74</v>
      </c>
      <c r="BH573" t="s">
        <v>3464</v>
      </c>
      <c r="BI573">
        <v>13</v>
      </c>
      <c r="BJ573" t="s">
        <v>700</v>
      </c>
      <c r="BK573" t="s">
        <v>102</v>
      </c>
      <c r="BL573" t="s">
        <v>701</v>
      </c>
      <c r="BM573" t="s">
        <v>3696</v>
      </c>
      <c r="BN573">
        <v>35965988</v>
      </c>
      <c r="BO573" t="s">
        <v>422</v>
      </c>
      <c r="BP573" t="s">
        <v>74</v>
      </c>
      <c r="BQ573" t="s">
        <v>74</v>
      </c>
      <c r="BR573" t="s">
        <v>106</v>
      </c>
      <c r="BS573" t="s">
        <v>3697</v>
      </c>
      <c r="BT573" t="str">
        <f>HYPERLINK("https%3A%2F%2Fwww.webofscience.com%2Fwos%2Fwoscc%2Ffull-record%2FWOS:000866223200014","View Full Record in Web of Science")</f>
        <v>View Full Record in Web of Science</v>
      </c>
    </row>
    <row r="574" spans="1:72" x14ac:dyDescent="0.25">
      <c r="A574" t="s">
        <v>72</v>
      </c>
      <c r="B574" t="s">
        <v>3698</v>
      </c>
      <c r="C574" t="s">
        <v>74</v>
      </c>
      <c r="D574" t="s">
        <v>74</v>
      </c>
      <c r="E574" t="s">
        <v>74</v>
      </c>
      <c r="F574" t="s">
        <v>3699</v>
      </c>
      <c r="G574" t="s">
        <v>74</v>
      </c>
      <c r="H574" t="s">
        <v>74</v>
      </c>
      <c r="I574" s="1" t="s">
        <v>3700</v>
      </c>
      <c r="J574" t="s">
        <v>3701</v>
      </c>
      <c r="K574" t="s">
        <v>74</v>
      </c>
      <c r="L574" t="s">
        <v>74</v>
      </c>
      <c r="M574" t="s">
        <v>78</v>
      </c>
      <c r="N574" t="s">
        <v>79</v>
      </c>
      <c r="O574" t="s">
        <v>74</v>
      </c>
      <c r="P574" t="s">
        <v>74</v>
      </c>
      <c r="Q574" t="s">
        <v>74</v>
      </c>
      <c r="R574" t="s">
        <v>74</v>
      </c>
      <c r="S574" t="s">
        <v>74</v>
      </c>
      <c r="T574" s="1" t="s">
        <v>3702</v>
      </c>
      <c r="U574" s="1" t="s">
        <v>3703</v>
      </c>
      <c r="V574" s="1" t="s">
        <v>3704</v>
      </c>
      <c r="W574" t="s">
        <v>3705</v>
      </c>
      <c r="X574" t="s">
        <v>3706</v>
      </c>
      <c r="Y574" t="s">
        <v>3707</v>
      </c>
      <c r="Z574" t="s">
        <v>3708</v>
      </c>
      <c r="AA574" t="s">
        <v>3709</v>
      </c>
      <c r="AB574" t="s">
        <v>3710</v>
      </c>
      <c r="AC574" t="s">
        <v>74</v>
      </c>
      <c r="AD574" t="s">
        <v>74</v>
      </c>
      <c r="AE574" t="s">
        <v>74</v>
      </c>
      <c r="AF574" t="s">
        <v>74</v>
      </c>
      <c r="AG574">
        <v>84</v>
      </c>
      <c r="AH574">
        <v>0</v>
      </c>
      <c r="AI574">
        <v>0</v>
      </c>
      <c r="AJ574">
        <v>22</v>
      </c>
      <c r="AK574">
        <v>58</v>
      </c>
      <c r="AL574" t="s">
        <v>715</v>
      </c>
      <c r="AM574" t="s">
        <v>716</v>
      </c>
      <c r="AN574" t="s">
        <v>717</v>
      </c>
      <c r="AO574" t="s">
        <v>3711</v>
      </c>
      <c r="AP574" t="s">
        <v>3712</v>
      </c>
      <c r="AQ574" t="s">
        <v>74</v>
      </c>
      <c r="AR574" t="s">
        <v>3713</v>
      </c>
      <c r="AS574" t="s">
        <v>3714</v>
      </c>
      <c r="AT574" t="s">
        <v>3715</v>
      </c>
      <c r="AU574">
        <v>2022</v>
      </c>
      <c r="AV574">
        <v>28</v>
      </c>
      <c r="AW574">
        <v>9</v>
      </c>
      <c r="AX574" t="s">
        <v>74</v>
      </c>
      <c r="AY574" t="s">
        <v>74</v>
      </c>
      <c r="AZ574" t="s">
        <v>74</v>
      </c>
      <c r="BA574" t="s">
        <v>74</v>
      </c>
      <c r="BB574">
        <v>219</v>
      </c>
      <c r="BC574">
        <v>241</v>
      </c>
      <c r="BD574" t="s">
        <v>74</v>
      </c>
      <c r="BE574" t="s">
        <v>3716</v>
      </c>
      <c r="BF574" t="str">
        <f>HYPERLINK("http://dx.doi.org/10.1108/IJEBR-08-2021-0626","http://dx.doi.org/10.1108/IJEBR-08-2021-0626")</f>
        <v>http://dx.doi.org/10.1108/IJEBR-08-2021-0626</v>
      </c>
      <c r="BG574" t="s">
        <v>74</v>
      </c>
      <c r="BH574" t="s">
        <v>74</v>
      </c>
      <c r="BI574">
        <v>23</v>
      </c>
      <c r="BJ574" t="s">
        <v>264</v>
      </c>
      <c r="BK574" t="s">
        <v>156</v>
      </c>
      <c r="BL574" t="s">
        <v>265</v>
      </c>
      <c r="BM574" t="s">
        <v>3717</v>
      </c>
      <c r="BN574" t="s">
        <v>74</v>
      </c>
      <c r="BO574" t="s">
        <v>105</v>
      </c>
      <c r="BP574" t="s">
        <v>74</v>
      </c>
      <c r="BQ574" t="s">
        <v>74</v>
      </c>
      <c r="BR574" t="s">
        <v>106</v>
      </c>
      <c r="BS574" t="s">
        <v>3718</v>
      </c>
      <c r="BT574" t="str">
        <f>HYPERLINK("https%3A%2F%2Fwww.webofscience.com%2Fwos%2Fwoscc%2Ffull-record%2FWOS:000835773700001","View Full Record in Web of Science")</f>
        <v>View Full Record in Web of Science</v>
      </c>
    </row>
    <row r="575" spans="1:72" x14ac:dyDescent="0.25">
      <c r="A575" t="s">
        <v>72</v>
      </c>
      <c r="B575" t="s">
        <v>3798</v>
      </c>
      <c r="C575" t="s">
        <v>74</v>
      </c>
      <c r="D575" t="s">
        <v>74</v>
      </c>
      <c r="E575" t="s">
        <v>74</v>
      </c>
      <c r="F575" t="s">
        <v>3799</v>
      </c>
      <c r="G575" t="s">
        <v>74</v>
      </c>
      <c r="H575" t="s">
        <v>74</v>
      </c>
      <c r="I575" s="1" t="s">
        <v>3800</v>
      </c>
      <c r="J575" t="s">
        <v>3608</v>
      </c>
      <c r="K575" t="s">
        <v>74</v>
      </c>
      <c r="L575" t="s">
        <v>74</v>
      </c>
      <c r="M575" t="s">
        <v>78</v>
      </c>
      <c r="N575" t="s">
        <v>79</v>
      </c>
      <c r="O575" t="s">
        <v>74</v>
      </c>
      <c r="P575" t="s">
        <v>74</v>
      </c>
      <c r="Q575" t="s">
        <v>74</v>
      </c>
      <c r="R575" t="s">
        <v>74</v>
      </c>
      <c r="S575" t="s">
        <v>74</v>
      </c>
      <c r="T575" s="1" t="s">
        <v>74</v>
      </c>
      <c r="U575" s="1" t="s">
        <v>74</v>
      </c>
      <c r="V575" s="1" t="s">
        <v>3801</v>
      </c>
      <c r="W575" t="s">
        <v>3802</v>
      </c>
      <c r="X575" t="s">
        <v>74</v>
      </c>
      <c r="Y575" t="s">
        <v>3803</v>
      </c>
      <c r="Z575" t="s">
        <v>3804</v>
      </c>
      <c r="AA575" t="s">
        <v>74</v>
      </c>
      <c r="AB575" t="s">
        <v>74</v>
      </c>
      <c r="AC575" t="s">
        <v>74</v>
      </c>
      <c r="AD575" t="s">
        <v>74</v>
      </c>
      <c r="AE575" t="s">
        <v>74</v>
      </c>
      <c r="AF575" t="s">
        <v>74</v>
      </c>
      <c r="AG575">
        <v>24</v>
      </c>
      <c r="AH575">
        <v>0</v>
      </c>
      <c r="AI575">
        <v>0</v>
      </c>
      <c r="AJ575">
        <v>14</v>
      </c>
      <c r="AK575">
        <v>57</v>
      </c>
      <c r="AL575" t="s">
        <v>3146</v>
      </c>
      <c r="AM575" t="s">
        <v>175</v>
      </c>
      <c r="AN575" t="s">
        <v>3147</v>
      </c>
      <c r="AO575" t="s">
        <v>3618</v>
      </c>
      <c r="AP575" t="s">
        <v>3619</v>
      </c>
      <c r="AQ575" t="s">
        <v>74</v>
      </c>
      <c r="AR575" t="s">
        <v>3620</v>
      </c>
      <c r="AS575" t="s">
        <v>3621</v>
      </c>
      <c r="AT575" t="s">
        <v>3805</v>
      </c>
      <c r="AU575">
        <v>2022</v>
      </c>
      <c r="AV575">
        <v>2022</v>
      </c>
      <c r="AW575" t="s">
        <v>74</v>
      </c>
      <c r="AX575" t="s">
        <v>74</v>
      </c>
      <c r="AY575" t="s">
        <v>74</v>
      </c>
      <c r="AZ575" t="s">
        <v>74</v>
      </c>
      <c r="BA575" t="s">
        <v>74</v>
      </c>
      <c r="BB575" t="s">
        <v>74</v>
      </c>
      <c r="BC575" t="s">
        <v>74</v>
      </c>
      <c r="BD575">
        <v>7085322</v>
      </c>
      <c r="BE575" t="s">
        <v>3806</v>
      </c>
      <c r="BF575" t="str">
        <f>HYPERLINK("http://dx.doi.org/10.1155/2022/7085322","http://dx.doi.org/10.1155/2022/7085322")</f>
        <v>http://dx.doi.org/10.1155/2022/7085322</v>
      </c>
      <c r="BG575" t="s">
        <v>74</v>
      </c>
      <c r="BH575" t="s">
        <v>74</v>
      </c>
      <c r="BI575">
        <v>11</v>
      </c>
      <c r="BJ575" t="s">
        <v>3624</v>
      </c>
      <c r="BK575" t="s">
        <v>102</v>
      </c>
      <c r="BL575" t="s">
        <v>3625</v>
      </c>
      <c r="BM575" t="s">
        <v>3807</v>
      </c>
      <c r="BN575" t="s">
        <v>74</v>
      </c>
      <c r="BO575" t="s">
        <v>186</v>
      </c>
      <c r="BP575" t="s">
        <v>74</v>
      </c>
      <c r="BQ575" t="s">
        <v>74</v>
      </c>
      <c r="BR575" t="s">
        <v>106</v>
      </c>
      <c r="BS575" t="s">
        <v>3808</v>
      </c>
      <c r="BT575" t="str">
        <f>HYPERLINK("https%3A%2F%2Fwww.webofscience.com%2Fwos%2Fwoscc%2Ffull-record%2FWOS:000860750100013","View Full Record in Web of Science")</f>
        <v>View Full Record in Web of Science</v>
      </c>
    </row>
    <row r="576" spans="1:72" x14ac:dyDescent="0.25">
      <c r="A576" t="s">
        <v>72</v>
      </c>
      <c r="B576" t="s">
        <v>3830</v>
      </c>
      <c r="C576" t="s">
        <v>74</v>
      </c>
      <c r="D576" t="s">
        <v>74</v>
      </c>
      <c r="E576" t="s">
        <v>74</v>
      </c>
      <c r="F576" t="s">
        <v>3831</v>
      </c>
      <c r="G576" t="s">
        <v>74</v>
      </c>
      <c r="H576" t="s">
        <v>74</v>
      </c>
      <c r="I576" s="1" t="s">
        <v>3832</v>
      </c>
      <c r="J576" t="s">
        <v>3833</v>
      </c>
      <c r="K576" t="s">
        <v>74</v>
      </c>
      <c r="L576" t="s">
        <v>74</v>
      </c>
      <c r="M576" t="s">
        <v>78</v>
      </c>
      <c r="N576" t="s">
        <v>79</v>
      </c>
      <c r="O576" t="s">
        <v>74</v>
      </c>
      <c r="P576" t="s">
        <v>74</v>
      </c>
      <c r="Q576" t="s">
        <v>74</v>
      </c>
      <c r="R576" t="s">
        <v>74</v>
      </c>
      <c r="S576" t="s">
        <v>74</v>
      </c>
      <c r="T576" s="1" t="s">
        <v>3834</v>
      </c>
      <c r="U576" s="1" t="s">
        <v>3835</v>
      </c>
      <c r="V576" s="1" t="s">
        <v>3836</v>
      </c>
      <c r="W576" t="s">
        <v>3837</v>
      </c>
      <c r="X576" t="s">
        <v>3838</v>
      </c>
      <c r="Y576" t="s">
        <v>3839</v>
      </c>
      <c r="Z576" t="s">
        <v>3840</v>
      </c>
      <c r="AA576" t="s">
        <v>74</v>
      </c>
      <c r="AB576" t="s">
        <v>74</v>
      </c>
      <c r="AC576" t="s">
        <v>3841</v>
      </c>
      <c r="AD576" t="s">
        <v>3842</v>
      </c>
      <c r="AE576" t="s">
        <v>3843</v>
      </c>
      <c r="AF576" t="s">
        <v>74</v>
      </c>
      <c r="AG576">
        <v>47</v>
      </c>
      <c r="AH576">
        <v>0</v>
      </c>
      <c r="AI576">
        <v>0</v>
      </c>
      <c r="AJ576">
        <v>0</v>
      </c>
      <c r="AK576">
        <v>0</v>
      </c>
      <c r="AL576" t="s">
        <v>3844</v>
      </c>
      <c r="AM576" t="s">
        <v>3189</v>
      </c>
      <c r="AN576" t="s">
        <v>3845</v>
      </c>
      <c r="AO576" t="s">
        <v>3846</v>
      </c>
      <c r="AP576" t="s">
        <v>3847</v>
      </c>
      <c r="AQ576" t="s">
        <v>74</v>
      </c>
      <c r="AR576" t="s">
        <v>3848</v>
      </c>
      <c r="AS576" t="s">
        <v>3849</v>
      </c>
      <c r="AT576" t="s">
        <v>3850</v>
      </c>
      <c r="AU576">
        <v>2022</v>
      </c>
      <c r="AV576">
        <v>90</v>
      </c>
      <c r="AW576" t="s">
        <v>74</v>
      </c>
      <c r="AX576" t="s">
        <v>74</v>
      </c>
      <c r="AY576">
        <v>1</v>
      </c>
      <c r="AZ576" t="s">
        <v>74</v>
      </c>
      <c r="BA576" t="s">
        <v>74</v>
      </c>
      <c r="BB576" t="s">
        <v>3851</v>
      </c>
      <c r="BC576" t="s">
        <v>3852</v>
      </c>
      <c r="BD576" t="s">
        <v>74</v>
      </c>
      <c r="BE576" t="s">
        <v>3853</v>
      </c>
      <c r="BF576" t="str">
        <f>HYPERLINK("http://dx.doi.org/10.1097/QAI.0000000000002973","http://dx.doi.org/10.1097/QAI.0000000000002973")</f>
        <v>http://dx.doi.org/10.1097/QAI.0000000000002973</v>
      </c>
      <c r="BG576" t="s">
        <v>74</v>
      </c>
      <c r="BH576" t="s">
        <v>74</v>
      </c>
      <c r="BI576">
        <v>7</v>
      </c>
      <c r="BJ576" t="s">
        <v>3854</v>
      </c>
      <c r="BK576" t="s">
        <v>102</v>
      </c>
      <c r="BL576" t="s">
        <v>3854</v>
      </c>
      <c r="BM576" t="s">
        <v>3855</v>
      </c>
      <c r="BN576">
        <v>35703765</v>
      </c>
      <c r="BO576" t="s">
        <v>3856</v>
      </c>
      <c r="BP576" t="s">
        <v>74</v>
      </c>
      <c r="BQ576" t="s">
        <v>74</v>
      </c>
      <c r="BR576" t="s">
        <v>106</v>
      </c>
      <c r="BS576" t="s">
        <v>3857</v>
      </c>
      <c r="BT576" t="str">
        <f>HYPERLINK("https%3A%2F%2Fwww.webofscience.com%2Fwos%2Fwoscc%2Ffull-record%2FWOS:000811055100017","View Full Record in Web of Science")</f>
        <v>View Full Record in Web of Science</v>
      </c>
    </row>
    <row r="577" spans="1:72" x14ac:dyDescent="0.25">
      <c r="A577" t="s">
        <v>72</v>
      </c>
      <c r="B577" t="s">
        <v>3858</v>
      </c>
      <c r="C577" t="s">
        <v>74</v>
      </c>
      <c r="D577" t="s">
        <v>74</v>
      </c>
      <c r="E577" t="s">
        <v>74</v>
      </c>
      <c r="F577" t="s">
        <v>3859</v>
      </c>
      <c r="G577" t="s">
        <v>74</v>
      </c>
      <c r="H577" t="s">
        <v>74</v>
      </c>
      <c r="I577" s="1" t="s">
        <v>3860</v>
      </c>
      <c r="J577" t="s">
        <v>3861</v>
      </c>
      <c r="K577" t="s">
        <v>74</v>
      </c>
      <c r="L577" t="s">
        <v>74</v>
      </c>
      <c r="M577" t="s">
        <v>78</v>
      </c>
      <c r="N577" t="s">
        <v>79</v>
      </c>
      <c r="O577" t="s">
        <v>74</v>
      </c>
      <c r="P577" t="s">
        <v>74</v>
      </c>
      <c r="Q577" t="s">
        <v>74</v>
      </c>
      <c r="R577" t="s">
        <v>74</v>
      </c>
      <c r="S577" t="s">
        <v>74</v>
      </c>
      <c r="T577" s="1" t="s">
        <v>3862</v>
      </c>
      <c r="U577" s="1" t="s">
        <v>74</v>
      </c>
      <c r="V577" s="1" t="s">
        <v>3863</v>
      </c>
      <c r="W577" t="s">
        <v>3864</v>
      </c>
      <c r="X577" t="s">
        <v>3865</v>
      </c>
      <c r="Y577" t="s">
        <v>3866</v>
      </c>
      <c r="Z577" t="s">
        <v>3867</v>
      </c>
      <c r="AA577" t="s">
        <v>3868</v>
      </c>
      <c r="AB577" t="s">
        <v>3869</v>
      </c>
      <c r="AC577" t="s">
        <v>74</v>
      </c>
      <c r="AD577" t="s">
        <v>74</v>
      </c>
      <c r="AE577" t="s">
        <v>74</v>
      </c>
      <c r="AF577" t="s">
        <v>74</v>
      </c>
      <c r="AG577">
        <v>26</v>
      </c>
      <c r="AH577">
        <v>0</v>
      </c>
      <c r="AI577">
        <v>0</v>
      </c>
      <c r="AJ577">
        <v>1</v>
      </c>
      <c r="AK577">
        <v>5</v>
      </c>
      <c r="AL577" t="s">
        <v>146</v>
      </c>
      <c r="AM577" t="s">
        <v>147</v>
      </c>
      <c r="AN577" t="s">
        <v>148</v>
      </c>
      <c r="AO577" t="s">
        <v>74</v>
      </c>
      <c r="AP577" t="s">
        <v>3870</v>
      </c>
      <c r="AQ577" t="s">
        <v>74</v>
      </c>
      <c r="AR577" t="s">
        <v>3871</v>
      </c>
      <c r="AS577" t="s">
        <v>3872</v>
      </c>
      <c r="AT577" t="s">
        <v>1904</v>
      </c>
      <c r="AU577">
        <v>2023</v>
      </c>
      <c r="AV577">
        <v>5</v>
      </c>
      <c r="AW577">
        <v>2</v>
      </c>
      <c r="AX577" t="s">
        <v>74</v>
      </c>
      <c r="AY577" t="s">
        <v>74</v>
      </c>
      <c r="AZ577" t="s">
        <v>74</v>
      </c>
      <c r="BA577" t="s">
        <v>74</v>
      </c>
      <c r="BB577" t="s">
        <v>74</v>
      </c>
      <c r="BC577" t="s">
        <v>74</v>
      </c>
      <c r="BD577" t="s">
        <v>3873</v>
      </c>
      <c r="BE577" t="s">
        <v>3874</v>
      </c>
      <c r="BF577" t="str">
        <f>HYPERLINK("http://dx.doi.org/10.1002/eng2.12539","http://dx.doi.org/10.1002/eng2.12539")</f>
        <v>http://dx.doi.org/10.1002/eng2.12539</v>
      </c>
      <c r="BG577" t="s">
        <v>74</v>
      </c>
      <c r="BH577" t="s">
        <v>3875</v>
      </c>
      <c r="BI577">
        <v>9</v>
      </c>
      <c r="BJ577" t="s">
        <v>3876</v>
      </c>
      <c r="BK577" t="s">
        <v>183</v>
      </c>
      <c r="BL577" t="s">
        <v>3877</v>
      </c>
      <c r="BM577" t="s">
        <v>3878</v>
      </c>
      <c r="BN577" t="s">
        <v>74</v>
      </c>
      <c r="BO577" t="s">
        <v>186</v>
      </c>
      <c r="BP577" t="s">
        <v>74</v>
      </c>
      <c r="BQ577" t="s">
        <v>74</v>
      </c>
      <c r="BR577" t="s">
        <v>106</v>
      </c>
      <c r="BS577" t="s">
        <v>3879</v>
      </c>
      <c r="BT577" t="str">
        <f>HYPERLINK("https%3A%2F%2Fwww.webofscience.com%2Fwos%2Fwoscc%2Ffull-record%2FWOS:000815732000001","View Full Record in Web of Science")</f>
        <v>View Full Record in Web of Science</v>
      </c>
    </row>
    <row r="578" spans="1:72" x14ac:dyDescent="0.25">
      <c r="A578" t="s">
        <v>72</v>
      </c>
      <c r="B578" t="s">
        <v>3919</v>
      </c>
      <c r="C578" t="s">
        <v>74</v>
      </c>
      <c r="D578" t="s">
        <v>74</v>
      </c>
      <c r="E578" t="s">
        <v>74</v>
      </c>
      <c r="F578" t="s">
        <v>3920</v>
      </c>
      <c r="G578" t="s">
        <v>74</v>
      </c>
      <c r="H578" t="s">
        <v>74</v>
      </c>
      <c r="I578" s="1" t="s">
        <v>3921</v>
      </c>
      <c r="J578" t="s">
        <v>3922</v>
      </c>
      <c r="K578" t="s">
        <v>74</v>
      </c>
      <c r="L578" t="s">
        <v>74</v>
      </c>
      <c r="M578" t="s">
        <v>78</v>
      </c>
      <c r="N578" t="s">
        <v>79</v>
      </c>
      <c r="O578" t="s">
        <v>74</v>
      </c>
      <c r="P578" t="s">
        <v>74</v>
      </c>
      <c r="Q578" t="s">
        <v>74</v>
      </c>
      <c r="R578" t="s">
        <v>74</v>
      </c>
      <c r="S578" t="s">
        <v>74</v>
      </c>
      <c r="T578" s="1" t="s">
        <v>3923</v>
      </c>
      <c r="U578" s="1" t="s">
        <v>3924</v>
      </c>
      <c r="V578" s="1" t="s">
        <v>3925</v>
      </c>
      <c r="W578" t="s">
        <v>3926</v>
      </c>
      <c r="X578" t="s">
        <v>3927</v>
      </c>
      <c r="Y578" t="s">
        <v>3928</v>
      </c>
      <c r="Z578" t="s">
        <v>74</v>
      </c>
      <c r="AA578" t="s">
        <v>74</v>
      </c>
      <c r="AB578" t="s">
        <v>74</v>
      </c>
      <c r="AC578" t="s">
        <v>3929</v>
      </c>
      <c r="AD578" t="s">
        <v>3930</v>
      </c>
      <c r="AE578" t="s">
        <v>3931</v>
      </c>
      <c r="AF578" t="s">
        <v>74</v>
      </c>
      <c r="AG578">
        <v>133</v>
      </c>
      <c r="AH578">
        <v>0</v>
      </c>
      <c r="AI578">
        <v>0</v>
      </c>
      <c r="AJ578">
        <v>8</v>
      </c>
      <c r="AK578">
        <v>18</v>
      </c>
      <c r="AL578" t="s">
        <v>3932</v>
      </c>
      <c r="AM578" t="s">
        <v>3933</v>
      </c>
      <c r="AN578" t="s">
        <v>3934</v>
      </c>
      <c r="AO578" t="s">
        <v>74</v>
      </c>
      <c r="AP578" t="s">
        <v>3935</v>
      </c>
      <c r="AQ578" t="s">
        <v>74</v>
      </c>
      <c r="AR578" t="s">
        <v>3936</v>
      </c>
      <c r="AS578" t="s">
        <v>3937</v>
      </c>
      <c r="AT578" t="s">
        <v>3938</v>
      </c>
      <c r="AU578">
        <v>2022</v>
      </c>
      <c r="AV578">
        <v>14</v>
      </c>
      <c r="AW578">
        <v>1</v>
      </c>
      <c r="AX578" t="s">
        <v>74</v>
      </c>
      <c r="AY578" t="s">
        <v>74</v>
      </c>
      <c r="AZ578" t="s">
        <v>74</v>
      </c>
      <c r="BA578" t="s">
        <v>74</v>
      </c>
      <c r="BB578">
        <v>173</v>
      </c>
      <c r="BC578">
        <v>218</v>
      </c>
      <c r="BD578" t="s">
        <v>74</v>
      </c>
      <c r="BE578" t="s">
        <v>3939</v>
      </c>
      <c r="BF578" t="str">
        <f>HYPERLINK("http://dx.doi.org/10.2924/EJLS.2022.015","http://dx.doi.org/10.2924/EJLS.2022.015")</f>
        <v>http://dx.doi.org/10.2924/EJLS.2022.015</v>
      </c>
      <c r="BG578" t="s">
        <v>74</v>
      </c>
      <c r="BH578" t="s">
        <v>74</v>
      </c>
      <c r="BI578">
        <v>46</v>
      </c>
      <c r="BJ578" t="s">
        <v>378</v>
      </c>
      <c r="BK578" t="s">
        <v>183</v>
      </c>
      <c r="BL578" t="s">
        <v>379</v>
      </c>
      <c r="BM578" t="s">
        <v>3940</v>
      </c>
      <c r="BN578" t="s">
        <v>74</v>
      </c>
      <c r="BO578" t="s">
        <v>74</v>
      </c>
      <c r="BP578" t="s">
        <v>74</v>
      </c>
      <c r="BQ578" t="s">
        <v>74</v>
      </c>
      <c r="BR578" t="s">
        <v>106</v>
      </c>
      <c r="BS578" t="s">
        <v>3941</v>
      </c>
      <c r="BT578" t="str">
        <f>HYPERLINK("https%3A%2F%2Fwww.webofscience.com%2Fwos%2Fwoscc%2Ffull-record%2FWOS:000858719700008","View Full Record in Web of Science")</f>
        <v>View Full Record in Web of Science</v>
      </c>
    </row>
    <row r="579" spans="1:72" x14ac:dyDescent="0.25">
      <c r="A579" t="s">
        <v>72</v>
      </c>
      <c r="B579" t="s">
        <v>3942</v>
      </c>
      <c r="C579" t="s">
        <v>74</v>
      </c>
      <c r="D579" t="s">
        <v>74</v>
      </c>
      <c r="E579" t="s">
        <v>74</v>
      </c>
      <c r="F579" t="s">
        <v>3943</v>
      </c>
      <c r="G579" t="s">
        <v>74</v>
      </c>
      <c r="H579" t="s">
        <v>74</v>
      </c>
      <c r="I579" s="1" t="s">
        <v>3944</v>
      </c>
      <c r="J579" t="s">
        <v>3945</v>
      </c>
      <c r="K579" t="s">
        <v>74</v>
      </c>
      <c r="L579" t="s">
        <v>74</v>
      </c>
      <c r="M579" t="s">
        <v>78</v>
      </c>
      <c r="N579" t="s">
        <v>79</v>
      </c>
      <c r="O579" t="s">
        <v>74</v>
      </c>
      <c r="P579" t="s">
        <v>74</v>
      </c>
      <c r="Q579" t="s">
        <v>74</v>
      </c>
      <c r="R579" t="s">
        <v>74</v>
      </c>
      <c r="S579" t="s">
        <v>74</v>
      </c>
      <c r="T579" s="1" t="s">
        <v>3946</v>
      </c>
      <c r="U579" s="1" t="s">
        <v>74</v>
      </c>
      <c r="V579" s="1" t="s">
        <v>3947</v>
      </c>
      <c r="W579" t="s">
        <v>3948</v>
      </c>
      <c r="X579" t="s">
        <v>74</v>
      </c>
      <c r="Y579" t="s">
        <v>3949</v>
      </c>
      <c r="Z579" t="s">
        <v>3950</v>
      </c>
      <c r="AA579" t="s">
        <v>74</v>
      </c>
      <c r="AB579" t="s">
        <v>74</v>
      </c>
      <c r="AC579" t="s">
        <v>74</v>
      </c>
      <c r="AD579" t="s">
        <v>74</v>
      </c>
      <c r="AE579" t="s">
        <v>74</v>
      </c>
      <c r="AF579" t="s">
        <v>74</v>
      </c>
      <c r="AG579">
        <v>13</v>
      </c>
      <c r="AH579">
        <v>0</v>
      </c>
      <c r="AI579">
        <v>0</v>
      </c>
      <c r="AJ579">
        <v>4</v>
      </c>
      <c r="AK579">
        <v>19</v>
      </c>
      <c r="AL579" t="s">
        <v>3951</v>
      </c>
      <c r="AM579" t="s">
        <v>3952</v>
      </c>
      <c r="AN579" t="s">
        <v>3953</v>
      </c>
      <c r="AO579" t="s">
        <v>3954</v>
      </c>
      <c r="AP579" t="s">
        <v>74</v>
      </c>
      <c r="AQ579" t="s">
        <v>74</v>
      </c>
      <c r="AR579" t="s">
        <v>3955</v>
      </c>
      <c r="AS579" t="s">
        <v>3956</v>
      </c>
      <c r="AT579" t="s">
        <v>1138</v>
      </c>
      <c r="AU579">
        <v>2022</v>
      </c>
      <c r="AV579">
        <v>14</v>
      </c>
      <c r="AW579">
        <v>1</v>
      </c>
      <c r="AX579" t="s">
        <v>74</v>
      </c>
      <c r="AY579" t="s">
        <v>74</v>
      </c>
      <c r="AZ579" t="s">
        <v>74</v>
      </c>
      <c r="BA579" t="s">
        <v>74</v>
      </c>
      <c r="BB579">
        <v>2240</v>
      </c>
      <c r="BC579">
        <v>2247</v>
      </c>
      <c r="BD579" t="s">
        <v>74</v>
      </c>
      <c r="BE579" t="s">
        <v>3957</v>
      </c>
      <c r="BF579" t="str">
        <f>HYPERLINK("http://dx.doi.org/10.9756/INT-JECSE/V14I1.260","http://dx.doi.org/10.9756/INT-JECSE/V14I1.260")</f>
        <v>http://dx.doi.org/10.9756/INT-JECSE/V14I1.260</v>
      </c>
      <c r="BG579" t="s">
        <v>74</v>
      </c>
      <c r="BH579" t="s">
        <v>74</v>
      </c>
      <c r="BI579">
        <v>8</v>
      </c>
      <c r="BJ579" t="s">
        <v>3958</v>
      </c>
      <c r="BK579" t="s">
        <v>183</v>
      </c>
      <c r="BL579" t="s">
        <v>1326</v>
      </c>
      <c r="BM579" t="s">
        <v>3959</v>
      </c>
      <c r="BN579" t="s">
        <v>74</v>
      </c>
      <c r="BO579" t="s">
        <v>74</v>
      </c>
      <c r="BP579" t="s">
        <v>74</v>
      </c>
      <c r="BQ579" t="s">
        <v>74</v>
      </c>
      <c r="BR579" t="s">
        <v>106</v>
      </c>
      <c r="BS579" t="s">
        <v>3960</v>
      </c>
      <c r="BT579" t="str">
        <f>HYPERLINK("https%3A%2F%2Fwww.webofscience.com%2Fwos%2Fwoscc%2Ffull-record%2FWOS:000787994800006","View Full Record in Web of Science")</f>
        <v>View Full Record in Web of Science</v>
      </c>
    </row>
    <row r="580" spans="1:72" x14ac:dyDescent="0.25">
      <c r="A580" t="s">
        <v>72</v>
      </c>
      <c r="B580" t="s">
        <v>3961</v>
      </c>
      <c r="C580" t="s">
        <v>74</v>
      </c>
      <c r="D580" t="s">
        <v>74</v>
      </c>
      <c r="E580" t="s">
        <v>74</v>
      </c>
      <c r="F580" t="s">
        <v>3962</v>
      </c>
      <c r="G580" t="s">
        <v>74</v>
      </c>
      <c r="H580" t="s">
        <v>74</v>
      </c>
      <c r="I580" s="1" t="s">
        <v>3963</v>
      </c>
      <c r="J580" t="s">
        <v>3964</v>
      </c>
      <c r="K580" t="s">
        <v>74</v>
      </c>
      <c r="L580" t="s">
        <v>74</v>
      </c>
      <c r="M580" t="s">
        <v>78</v>
      </c>
      <c r="N580" t="s">
        <v>79</v>
      </c>
      <c r="O580" t="s">
        <v>74</v>
      </c>
      <c r="P580" t="s">
        <v>74</v>
      </c>
      <c r="Q580" t="s">
        <v>74</v>
      </c>
      <c r="R580" t="s">
        <v>74</v>
      </c>
      <c r="S580" t="s">
        <v>74</v>
      </c>
      <c r="T580" s="1" t="s">
        <v>3965</v>
      </c>
      <c r="U580" s="1" t="s">
        <v>3966</v>
      </c>
      <c r="V580" s="1" t="s">
        <v>3967</v>
      </c>
      <c r="W580" t="s">
        <v>3968</v>
      </c>
      <c r="X580" t="s">
        <v>3969</v>
      </c>
      <c r="Y580" t="s">
        <v>3970</v>
      </c>
      <c r="Z580" t="s">
        <v>3971</v>
      </c>
      <c r="AA580" t="s">
        <v>3972</v>
      </c>
      <c r="AB580" t="s">
        <v>3973</v>
      </c>
      <c r="AC580" t="s">
        <v>3974</v>
      </c>
      <c r="AD580" t="s">
        <v>1577</v>
      </c>
      <c r="AE580" t="s">
        <v>3975</v>
      </c>
      <c r="AF580" t="s">
        <v>74</v>
      </c>
      <c r="AG580">
        <v>43</v>
      </c>
      <c r="AH580">
        <v>0</v>
      </c>
      <c r="AI580">
        <v>0</v>
      </c>
      <c r="AJ580">
        <v>3</v>
      </c>
      <c r="AK580">
        <v>4</v>
      </c>
      <c r="AL580" t="s">
        <v>2128</v>
      </c>
      <c r="AM580" t="s">
        <v>2129</v>
      </c>
      <c r="AN580" t="s">
        <v>2130</v>
      </c>
      <c r="AO580" t="s">
        <v>3976</v>
      </c>
      <c r="AP580" t="s">
        <v>74</v>
      </c>
      <c r="AQ580" t="s">
        <v>74</v>
      </c>
      <c r="AR580" t="s">
        <v>3977</v>
      </c>
      <c r="AS580" t="s">
        <v>3978</v>
      </c>
      <c r="AT580" t="s">
        <v>1138</v>
      </c>
      <c r="AU580">
        <v>2022</v>
      </c>
      <c r="AV580">
        <v>11</v>
      </c>
      <c r="AW580">
        <v>6</v>
      </c>
      <c r="AX580" t="s">
        <v>74</v>
      </c>
      <c r="AY580" t="s">
        <v>74</v>
      </c>
      <c r="AZ580" t="s">
        <v>74</v>
      </c>
      <c r="BA580" t="s">
        <v>74</v>
      </c>
      <c r="BB580" t="s">
        <v>74</v>
      </c>
      <c r="BC580" t="s">
        <v>74</v>
      </c>
      <c r="BD580" t="s">
        <v>3979</v>
      </c>
      <c r="BE580" t="s">
        <v>3980</v>
      </c>
      <c r="BF580" t="str">
        <f>HYPERLINK("http://dx.doi.org/10.2196/39133","http://dx.doi.org/10.2196/39133")</f>
        <v>http://dx.doi.org/10.2196/39133</v>
      </c>
      <c r="BG580" t="s">
        <v>74</v>
      </c>
      <c r="BH580" t="s">
        <v>74</v>
      </c>
      <c r="BI580">
        <v>10</v>
      </c>
      <c r="BJ580" t="s">
        <v>420</v>
      </c>
      <c r="BK580" t="s">
        <v>183</v>
      </c>
      <c r="BL580" t="s">
        <v>420</v>
      </c>
      <c r="BM580" t="s">
        <v>3981</v>
      </c>
      <c r="BN580">
        <v>35708767</v>
      </c>
      <c r="BO580" t="s">
        <v>614</v>
      </c>
      <c r="BP580" t="s">
        <v>74</v>
      </c>
      <c r="BQ580" t="s">
        <v>74</v>
      </c>
      <c r="BR580" t="s">
        <v>106</v>
      </c>
      <c r="BS580" t="s">
        <v>3982</v>
      </c>
      <c r="BT580" t="str">
        <f>HYPERLINK("https%3A%2F%2Fwww.webofscience.com%2Fwos%2Fwoscc%2Ffull-record%2FWOS:000973635700047","View Full Record in Web of Science")</f>
        <v>View Full Record in Web of Science</v>
      </c>
    </row>
    <row r="581" spans="1:72" x14ac:dyDescent="0.25">
      <c r="A581" t="s">
        <v>72</v>
      </c>
      <c r="B581" t="s">
        <v>4004</v>
      </c>
      <c r="C581" t="s">
        <v>74</v>
      </c>
      <c r="D581" t="s">
        <v>74</v>
      </c>
      <c r="E581" t="s">
        <v>74</v>
      </c>
      <c r="F581" t="s">
        <v>4005</v>
      </c>
      <c r="G581" t="s">
        <v>74</v>
      </c>
      <c r="H581" t="s">
        <v>74</v>
      </c>
      <c r="I581" s="1" t="s">
        <v>4006</v>
      </c>
      <c r="J581" t="s">
        <v>1691</v>
      </c>
      <c r="K581" t="s">
        <v>74</v>
      </c>
      <c r="L581" t="s">
        <v>74</v>
      </c>
      <c r="M581" t="s">
        <v>78</v>
      </c>
      <c r="N581" t="s">
        <v>79</v>
      </c>
      <c r="O581" t="s">
        <v>74</v>
      </c>
      <c r="P581" t="s">
        <v>74</v>
      </c>
      <c r="Q581" t="s">
        <v>74</v>
      </c>
      <c r="R581" t="s">
        <v>74</v>
      </c>
      <c r="S581" t="s">
        <v>74</v>
      </c>
      <c r="T581" s="1" t="s">
        <v>4007</v>
      </c>
      <c r="U581" s="1" t="s">
        <v>4008</v>
      </c>
      <c r="V581" s="1" t="s">
        <v>4009</v>
      </c>
      <c r="W581" t="s">
        <v>4010</v>
      </c>
      <c r="X581" t="s">
        <v>4011</v>
      </c>
      <c r="Y581" t="s">
        <v>4012</v>
      </c>
      <c r="Z581" t="s">
        <v>74</v>
      </c>
      <c r="AA581" t="s">
        <v>74</v>
      </c>
      <c r="AB581" t="s">
        <v>74</v>
      </c>
      <c r="AC581" t="s">
        <v>4013</v>
      </c>
      <c r="AD581" t="s">
        <v>4014</v>
      </c>
      <c r="AE581" t="s">
        <v>4015</v>
      </c>
      <c r="AF581" t="s">
        <v>74</v>
      </c>
      <c r="AG581">
        <v>41</v>
      </c>
      <c r="AH581">
        <v>0</v>
      </c>
      <c r="AI581">
        <v>0</v>
      </c>
      <c r="AJ581">
        <v>31</v>
      </c>
      <c r="AK581">
        <v>34</v>
      </c>
      <c r="AL581" t="s">
        <v>1701</v>
      </c>
      <c r="AM581" t="s">
        <v>1702</v>
      </c>
      <c r="AN581" t="s">
        <v>1703</v>
      </c>
      <c r="AO581" t="s">
        <v>1704</v>
      </c>
      <c r="AP581" t="s">
        <v>1705</v>
      </c>
      <c r="AQ581" t="s">
        <v>74</v>
      </c>
      <c r="AR581" t="s">
        <v>1706</v>
      </c>
      <c r="AS581" t="s">
        <v>1707</v>
      </c>
      <c r="AT581" t="s">
        <v>1138</v>
      </c>
      <c r="AU581">
        <v>2022</v>
      </c>
      <c r="AV581">
        <v>16</v>
      </c>
      <c r="AW581">
        <v>2</v>
      </c>
      <c r="AX581" t="s">
        <v>74</v>
      </c>
      <c r="AY581" t="s">
        <v>74</v>
      </c>
      <c r="AZ581" t="s">
        <v>74</v>
      </c>
      <c r="BA581" t="s">
        <v>74</v>
      </c>
      <c r="BB581">
        <v>126</v>
      </c>
      <c r="BC581">
        <v>150</v>
      </c>
      <c r="BD581" t="s">
        <v>74</v>
      </c>
      <c r="BE581" t="s">
        <v>4016</v>
      </c>
      <c r="BF581" t="str">
        <f>HYPERLINK("http://dx.doi.org/10.3868/s070-007-022-0007-7","http://dx.doi.org/10.3868/s070-007-022-0007-7")</f>
        <v>http://dx.doi.org/10.3868/s070-007-022-0007-7</v>
      </c>
      <c r="BG581" t="s">
        <v>74</v>
      </c>
      <c r="BH581" t="s">
        <v>74</v>
      </c>
      <c r="BI581">
        <v>25</v>
      </c>
      <c r="BJ581" t="s">
        <v>1023</v>
      </c>
      <c r="BK581" t="s">
        <v>183</v>
      </c>
      <c r="BL581" t="s">
        <v>265</v>
      </c>
      <c r="BM581" t="s">
        <v>4017</v>
      </c>
      <c r="BN581" t="s">
        <v>74</v>
      </c>
      <c r="BO581" t="s">
        <v>74</v>
      </c>
      <c r="BP581" t="s">
        <v>74</v>
      </c>
      <c r="BQ581" t="s">
        <v>74</v>
      </c>
      <c r="BR581" t="s">
        <v>106</v>
      </c>
      <c r="BS581" t="s">
        <v>4018</v>
      </c>
      <c r="BT581" t="str">
        <f>HYPERLINK("https%3A%2F%2Fwww.webofscience.com%2Fwos%2Fwoscc%2Ffull-record%2FWOS:000969490800003","View Full Record in Web of Science")</f>
        <v>View Full Record in Web of Science</v>
      </c>
    </row>
    <row r="582" spans="1:72" x14ac:dyDescent="0.25">
      <c r="A582" t="s">
        <v>72</v>
      </c>
      <c r="B582" t="s">
        <v>4040</v>
      </c>
      <c r="C582" t="s">
        <v>74</v>
      </c>
      <c r="D582" t="s">
        <v>74</v>
      </c>
      <c r="E582" t="s">
        <v>74</v>
      </c>
      <c r="F582" t="s">
        <v>4041</v>
      </c>
      <c r="G582" t="s">
        <v>74</v>
      </c>
      <c r="H582" t="s">
        <v>74</v>
      </c>
      <c r="I582" s="1" t="s">
        <v>4042</v>
      </c>
      <c r="J582" t="s">
        <v>4043</v>
      </c>
      <c r="K582" t="s">
        <v>74</v>
      </c>
      <c r="L582" t="s">
        <v>74</v>
      </c>
      <c r="M582" t="s">
        <v>78</v>
      </c>
      <c r="N582" t="s">
        <v>79</v>
      </c>
      <c r="O582" t="s">
        <v>74</v>
      </c>
      <c r="P582" t="s">
        <v>74</v>
      </c>
      <c r="Q582" t="s">
        <v>74</v>
      </c>
      <c r="R582" t="s">
        <v>74</v>
      </c>
      <c r="S582" t="s">
        <v>74</v>
      </c>
      <c r="T582" s="1" t="s">
        <v>4044</v>
      </c>
      <c r="U582" s="1" t="s">
        <v>4045</v>
      </c>
      <c r="V582" s="1" t="s">
        <v>4046</v>
      </c>
      <c r="W582" t="s">
        <v>4047</v>
      </c>
      <c r="X582" t="s">
        <v>4048</v>
      </c>
      <c r="Y582" t="s">
        <v>4049</v>
      </c>
      <c r="Z582" t="s">
        <v>4050</v>
      </c>
      <c r="AA582" t="s">
        <v>74</v>
      </c>
      <c r="AB582" t="s">
        <v>4051</v>
      </c>
      <c r="AC582" t="s">
        <v>4052</v>
      </c>
      <c r="AD582" t="s">
        <v>4053</v>
      </c>
      <c r="AE582" t="s">
        <v>4054</v>
      </c>
      <c r="AF582" t="s">
        <v>74</v>
      </c>
      <c r="AG582">
        <v>56</v>
      </c>
      <c r="AH582">
        <v>0</v>
      </c>
      <c r="AI582">
        <v>0</v>
      </c>
      <c r="AJ582">
        <v>1</v>
      </c>
      <c r="AK582">
        <v>6</v>
      </c>
      <c r="AL582" t="s">
        <v>1382</v>
      </c>
      <c r="AM582" t="s">
        <v>1383</v>
      </c>
      <c r="AN582" t="s">
        <v>1384</v>
      </c>
      <c r="AO582" t="s">
        <v>4055</v>
      </c>
      <c r="AP582" t="s">
        <v>74</v>
      </c>
      <c r="AQ582" t="s">
        <v>74</v>
      </c>
      <c r="AR582" t="s">
        <v>4056</v>
      </c>
      <c r="AS582" t="s">
        <v>4057</v>
      </c>
      <c r="AT582" t="s">
        <v>4058</v>
      </c>
      <c r="AU582">
        <v>2022</v>
      </c>
      <c r="AV582">
        <v>13</v>
      </c>
      <c r="AW582" t="s">
        <v>74</v>
      </c>
      <c r="AX582" t="s">
        <v>74</v>
      </c>
      <c r="AY582" t="s">
        <v>74</v>
      </c>
      <c r="AZ582" t="s">
        <v>74</v>
      </c>
      <c r="BA582" t="s">
        <v>74</v>
      </c>
      <c r="BB582" t="s">
        <v>74</v>
      </c>
      <c r="BC582" t="s">
        <v>74</v>
      </c>
      <c r="BD582">
        <v>889602</v>
      </c>
      <c r="BE582" t="s">
        <v>4059</v>
      </c>
      <c r="BF582" t="str">
        <f>HYPERLINK("http://dx.doi.org/10.3389/fpsyt.2022.889602","http://dx.doi.org/10.3389/fpsyt.2022.889602")</f>
        <v>http://dx.doi.org/10.3389/fpsyt.2022.889602</v>
      </c>
      <c r="BG582" t="s">
        <v>74</v>
      </c>
      <c r="BH582" t="s">
        <v>74</v>
      </c>
      <c r="BI582">
        <v>14</v>
      </c>
      <c r="BJ582" t="s">
        <v>4060</v>
      </c>
      <c r="BK582" t="s">
        <v>211</v>
      </c>
      <c r="BL582" t="s">
        <v>4060</v>
      </c>
      <c r="BM582" t="s">
        <v>4061</v>
      </c>
      <c r="BN582">
        <v>35664474</v>
      </c>
      <c r="BO582" t="s">
        <v>614</v>
      </c>
      <c r="BP582" t="s">
        <v>74</v>
      </c>
      <c r="BQ582" t="s">
        <v>74</v>
      </c>
      <c r="BR582" t="s">
        <v>106</v>
      </c>
      <c r="BS582" t="s">
        <v>4062</v>
      </c>
      <c r="BT582" t="str">
        <f>HYPERLINK("https%3A%2F%2Fwww.webofscience.com%2Fwos%2Fwoscc%2Ffull-record%2FWOS:000804816900001","View Full Record in Web of Science")</f>
        <v>View Full Record in Web of Science</v>
      </c>
    </row>
    <row r="583" spans="1:72" x14ac:dyDescent="0.25">
      <c r="A583" t="s">
        <v>72</v>
      </c>
      <c r="B583" t="s">
        <v>4192</v>
      </c>
      <c r="C583" t="s">
        <v>74</v>
      </c>
      <c r="D583" t="s">
        <v>74</v>
      </c>
      <c r="E583" t="s">
        <v>74</v>
      </c>
      <c r="F583" t="s">
        <v>4193</v>
      </c>
      <c r="G583" t="s">
        <v>74</v>
      </c>
      <c r="H583" t="s">
        <v>74</v>
      </c>
      <c r="I583" s="1" t="s">
        <v>4194</v>
      </c>
      <c r="J583" t="s">
        <v>4195</v>
      </c>
      <c r="K583" t="s">
        <v>74</v>
      </c>
      <c r="L583" t="s">
        <v>74</v>
      </c>
      <c r="M583" t="s">
        <v>78</v>
      </c>
      <c r="N583" t="s">
        <v>79</v>
      </c>
      <c r="O583" t="s">
        <v>74</v>
      </c>
      <c r="P583" t="s">
        <v>74</v>
      </c>
      <c r="Q583" t="s">
        <v>74</v>
      </c>
      <c r="R583" t="s">
        <v>74</v>
      </c>
      <c r="S583" t="s">
        <v>74</v>
      </c>
      <c r="T583" s="1" t="s">
        <v>4196</v>
      </c>
      <c r="U583" s="1" t="s">
        <v>4197</v>
      </c>
      <c r="V583" s="1" t="s">
        <v>4198</v>
      </c>
      <c r="W583" t="s">
        <v>4199</v>
      </c>
      <c r="X583" t="s">
        <v>4200</v>
      </c>
      <c r="Y583" t="s">
        <v>4201</v>
      </c>
      <c r="Z583" t="s">
        <v>4202</v>
      </c>
      <c r="AA583" t="s">
        <v>74</v>
      </c>
      <c r="AB583" t="s">
        <v>74</v>
      </c>
      <c r="AC583" t="s">
        <v>4203</v>
      </c>
      <c r="AD583" t="s">
        <v>4204</v>
      </c>
      <c r="AE583" t="s">
        <v>4205</v>
      </c>
      <c r="AF583" t="s">
        <v>74</v>
      </c>
      <c r="AG583">
        <v>34</v>
      </c>
      <c r="AH583">
        <v>0</v>
      </c>
      <c r="AI583">
        <v>0</v>
      </c>
      <c r="AJ583">
        <v>2</v>
      </c>
      <c r="AK583">
        <v>4</v>
      </c>
      <c r="AL583" t="s">
        <v>492</v>
      </c>
      <c r="AM583" t="s">
        <v>493</v>
      </c>
      <c r="AN583" t="s">
        <v>494</v>
      </c>
      <c r="AO583" t="s">
        <v>4206</v>
      </c>
      <c r="AP583" t="s">
        <v>4207</v>
      </c>
      <c r="AQ583" t="s">
        <v>74</v>
      </c>
      <c r="AR583" t="s">
        <v>4208</v>
      </c>
      <c r="AS583" t="s">
        <v>4209</v>
      </c>
      <c r="AT583" t="s">
        <v>4210</v>
      </c>
      <c r="AU583">
        <v>2022</v>
      </c>
      <c r="AV583">
        <v>41</v>
      </c>
      <c r="AW583">
        <v>3</v>
      </c>
      <c r="AX583" t="s">
        <v>74</v>
      </c>
      <c r="AY583" t="s">
        <v>74</v>
      </c>
      <c r="AZ583" t="s">
        <v>74</v>
      </c>
      <c r="BA583" t="s">
        <v>74</v>
      </c>
      <c r="BB583">
        <v>273</v>
      </c>
      <c r="BC583">
        <v>293</v>
      </c>
      <c r="BD583">
        <v>1880260</v>
      </c>
      <c r="BE583" t="s">
        <v>4211</v>
      </c>
      <c r="BF583" t="str">
        <f>HYPERLINK("http://dx.doi.org/10.1080/01616846.2021.1880260","http://dx.doi.org/10.1080/01616846.2021.1880260")</f>
        <v>http://dx.doi.org/10.1080/01616846.2021.1880260</v>
      </c>
      <c r="BG583" t="s">
        <v>74</v>
      </c>
      <c r="BH583" t="s">
        <v>74</v>
      </c>
      <c r="BI583">
        <v>21</v>
      </c>
      <c r="BJ583" t="s">
        <v>3050</v>
      </c>
      <c r="BK583" t="s">
        <v>183</v>
      </c>
      <c r="BL583" t="s">
        <v>3050</v>
      </c>
      <c r="BM583" t="s">
        <v>4212</v>
      </c>
      <c r="BN583" t="s">
        <v>74</v>
      </c>
      <c r="BO583" t="s">
        <v>74</v>
      </c>
      <c r="BP583" t="s">
        <v>74</v>
      </c>
      <c r="BQ583" t="s">
        <v>74</v>
      </c>
      <c r="BR583" t="s">
        <v>106</v>
      </c>
      <c r="BS583" t="s">
        <v>4213</v>
      </c>
      <c r="BT583" t="str">
        <f>HYPERLINK("https%3A%2F%2Fwww.webofscience.com%2Fwos%2Fwoscc%2Ffull-record%2FWOS:000923257700004","View Full Record in Web of Science")</f>
        <v>View Full Record in Web of Science</v>
      </c>
    </row>
    <row r="584" spans="1:72" x14ac:dyDescent="0.25">
      <c r="A584" t="s">
        <v>72</v>
      </c>
      <c r="B584" t="s">
        <v>4214</v>
      </c>
      <c r="C584" t="s">
        <v>74</v>
      </c>
      <c r="D584" t="s">
        <v>74</v>
      </c>
      <c r="E584" t="s">
        <v>74</v>
      </c>
      <c r="F584" t="s">
        <v>4215</v>
      </c>
      <c r="G584" t="s">
        <v>74</v>
      </c>
      <c r="H584" t="s">
        <v>74</v>
      </c>
      <c r="I584" s="1" t="s">
        <v>4216</v>
      </c>
      <c r="J584" t="s">
        <v>4217</v>
      </c>
      <c r="K584" t="s">
        <v>74</v>
      </c>
      <c r="L584" t="s">
        <v>74</v>
      </c>
      <c r="M584" t="s">
        <v>78</v>
      </c>
      <c r="N584" t="s">
        <v>79</v>
      </c>
      <c r="O584" t="s">
        <v>74</v>
      </c>
      <c r="P584" t="s">
        <v>74</v>
      </c>
      <c r="Q584" t="s">
        <v>74</v>
      </c>
      <c r="R584" t="s">
        <v>74</v>
      </c>
      <c r="S584" t="s">
        <v>74</v>
      </c>
      <c r="T584" s="1" t="s">
        <v>4218</v>
      </c>
      <c r="U584" s="1" t="s">
        <v>4219</v>
      </c>
      <c r="V584" s="1" t="s">
        <v>4220</v>
      </c>
      <c r="W584" t="s">
        <v>4221</v>
      </c>
      <c r="X584" t="s">
        <v>4222</v>
      </c>
      <c r="Y584" t="s">
        <v>4223</v>
      </c>
      <c r="Z584" t="s">
        <v>74</v>
      </c>
      <c r="AA584" t="s">
        <v>74</v>
      </c>
      <c r="AB584" t="s">
        <v>74</v>
      </c>
      <c r="AC584" t="s">
        <v>74</v>
      </c>
      <c r="AD584" t="s">
        <v>74</v>
      </c>
      <c r="AE584" t="s">
        <v>74</v>
      </c>
      <c r="AF584" t="s">
        <v>74</v>
      </c>
      <c r="AG584">
        <v>41</v>
      </c>
      <c r="AH584">
        <v>0</v>
      </c>
      <c r="AI584">
        <v>0</v>
      </c>
      <c r="AJ584">
        <v>0</v>
      </c>
      <c r="AK584">
        <v>2</v>
      </c>
      <c r="AL584" t="s">
        <v>4224</v>
      </c>
      <c r="AM584" t="s">
        <v>4225</v>
      </c>
      <c r="AN584" t="s">
        <v>4226</v>
      </c>
      <c r="AO584" t="s">
        <v>4227</v>
      </c>
      <c r="AP584" t="s">
        <v>4228</v>
      </c>
      <c r="AQ584" t="s">
        <v>74</v>
      </c>
      <c r="AR584" t="s">
        <v>4229</v>
      </c>
      <c r="AS584" t="s">
        <v>4230</v>
      </c>
      <c r="AT584" t="s">
        <v>1280</v>
      </c>
      <c r="AU584">
        <v>2022</v>
      </c>
      <c r="AV584">
        <v>13</v>
      </c>
      <c r="AW584">
        <v>5</v>
      </c>
      <c r="AX584" t="s">
        <v>74</v>
      </c>
      <c r="AY584" t="s">
        <v>74</v>
      </c>
      <c r="AZ584" t="s">
        <v>74</v>
      </c>
      <c r="BA584" t="s">
        <v>74</v>
      </c>
      <c r="BB584">
        <v>81</v>
      </c>
      <c r="BC584">
        <v>88</v>
      </c>
      <c r="BD584" t="s">
        <v>74</v>
      </c>
      <c r="BE584" t="s">
        <v>74</v>
      </c>
      <c r="BF584" t="s">
        <v>74</v>
      </c>
      <c r="BG584" t="s">
        <v>74</v>
      </c>
      <c r="BH584" t="s">
        <v>74</v>
      </c>
      <c r="BI584">
        <v>8</v>
      </c>
      <c r="BJ584" t="s">
        <v>4231</v>
      </c>
      <c r="BK584" t="s">
        <v>183</v>
      </c>
      <c r="BL584" t="s">
        <v>399</v>
      </c>
      <c r="BM584" t="s">
        <v>4232</v>
      </c>
      <c r="BN584" t="s">
        <v>74</v>
      </c>
      <c r="BO584" t="s">
        <v>74</v>
      </c>
      <c r="BP584" t="s">
        <v>74</v>
      </c>
      <c r="BQ584" t="s">
        <v>74</v>
      </c>
      <c r="BR584" t="s">
        <v>106</v>
      </c>
      <c r="BS584" t="s">
        <v>4233</v>
      </c>
      <c r="BT584" t="str">
        <f>HYPERLINK("https%3A%2F%2Fwww.webofscience.com%2Fwos%2Fwoscc%2Ffull-record%2FWOS:000835090900001","View Full Record in Web of Science")</f>
        <v>View Full Record in Web of Science</v>
      </c>
    </row>
    <row r="585" spans="1:72" x14ac:dyDescent="0.25">
      <c r="A585" t="s">
        <v>72</v>
      </c>
      <c r="B585" t="s">
        <v>4234</v>
      </c>
      <c r="C585" t="s">
        <v>74</v>
      </c>
      <c r="D585" t="s">
        <v>74</v>
      </c>
      <c r="E585" t="s">
        <v>74</v>
      </c>
      <c r="F585" t="s">
        <v>4235</v>
      </c>
      <c r="G585" t="s">
        <v>74</v>
      </c>
      <c r="H585" t="s">
        <v>74</v>
      </c>
      <c r="I585" s="1" t="s">
        <v>4236</v>
      </c>
      <c r="J585" t="s">
        <v>928</v>
      </c>
      <c r="K585" t="s">
        <v>74</v>
      </c>
      <c r="L585" t="s">
        <v>74</v>
      </c>
      <c r="M585" t="s">
        <v>929</v>
      </c>
      <c r="N585" t="s">
        <v>79</v>
      </c>
      <c r="O585" t="s">
        <v>74</v>
      </c>
      <c r="P585" t="s">
        <v>74</v>
      </c>
      <c r="Q585" t="s">
        <v>74</v>
      </c>
      <c r="R585" t="s">
        <v>74</v>
      </c>
      <c r="S585" t="s">
        <v>74</v>
      </c>
      <c r="T585" s="1" t="s">
        <v>4237</v>
      </c>
      <c r="U585" s="1" t="s">
        <v>1147</v>
      </c>
      <c r="V585" s="1" t="s">
        <v>4238</v>
      </c>
      <c r="W585" t="s">
        <v>4239</v>
      </c>
      <c r="X585" t="s">
        <v>74</v>
      </c>
      <c r="Y585" t="s">
        <v>4240</v>
      </c>
      <c r="Z585" t="s">
        <v>4241</v>
      </c>
      <c r="AA585" t="s">
        <v>74</v>
      </c>
      <c r="AB585" t="s">
        <v>74</v>
      </c>
      <c r="AC585" t="s">
        <v>74</v>
      </c>
      <c r="AD585" t="s">
        <v>74</v>
      </c>
      <c r="AE585" t="s">
        <v>74</v>
      </c>
      <c r="AF585" t="s">
        <v>74</v>
      </c>
      <c r="AG585">
        <v>20</v>
      </c>
      <c r="AH585">
        <v>0</v>
      </c>
      <c r="AI585">
        <v>0</v>
      </c>
      <c r="AJ585">
        <v>5</v>
      </c>
      <c r="AK585">
        <v>9</v>
      </c>
      <c r="AL585" t="s">
        <v>935</v>
      </c>
      <c r="AM585" t="s">
        <v>936</v>
      </c>
      <c r="AN585" t="s">
        <v>937</v>
      </c>
      <c r="AO585" t="s">
        <v>938</v>
      </c>
      <c r="AP585" t="s">
        <v>74</v>
      </c>
      <c r="AQ585" t="s">
        <v>74</v>
      </c>
      <c r="AR585" t="s">
        <v>939</v>
      </c>
      <c r="AS585" t="s">
        <v>940</v>
      </c>
      <c r="AT585" t="s">
        <v>1302</v>
      </c>
      <c r="AU585">
        <v>2022</v>
      </c>
      <c r="AV585">
        <v>14</v>
      </c>
      <c r="AW585">
        <v>3</v>
      </c>
      <c r="AX585" t="s">
        <v>74</v>
      </c>
      <c r="AY585" t="s">
        <v>74</v>
      </c>
      <c r="AZ585" t="s">
        <v>74</v>
      </c>
      <c r="BA585" t="s">
        <v>74</v>
      </c>
      <c r="BB585">
        <v>542</v>
      </c>
      <c r="BC585">
        <v>552</v>
      </c>
      <c r="BD585" t="s">
        <v>74</v>
      </c>
      <c r="BE585" t="s">
        <v>74</v>
      </c>
      <c r="BF585" t="s">
        <v>74</v>
      </c>
      <c r="BG585" t="s">
        <v>74</v>
      </c>
      <c r="BH585" t="s">
        <v>74</v>
      </c>
      <c r="BI585">
        <v>11</v>
      </c>
      <c r="BJ585" t="s">
        <v>942</v>
      </c>
      <c r="BK585" t="s">
        <v>183</v>
      </c>
      <c r="BL585" t="s">
        <v>943</v>
      </c>
      <c r="BM585" t="s">
        <v>4242</v>
      </c>
      <c r="BN585" t="s">
        <v>74</v>
      </c>
      <c r="BO585" t="s">
        <v>74</v>
      </c>
      <c r="BP585" t="s">
        <v>74</v>
      </c>
      <c r="BQ585" t="s">
        <v>74</v>
      </c>
      <c r="BR585" t="s">
        <v>106</v>
      </c>
      <c r="BS585" t="s">
        <v>4243</v>
      </c>
      <c r="BT585" t="str">
        <f>HYPERLINK("https%3A%2F%2Fwww.webofscience.com%2Fwos%2Fwoscc%2Ffull-record%2FWOS:000822762700055","View Full Record in Web of Science")</f>
        <v>View Full Record in Web of Science</v>
      </c>
    </row>
    <row r="586" spans="1:72" x14ac:dyDescent="0.25">
      <c r="A586" t="s">
        <v>72</v>
      </c>
      <c r="B586" t="s">
        <v>4306</v>
      </c>
      <c r="C586" t="s">
        <v>74</v>
      </c>
      <c r="D586" t="s">
        <v>74</v>
      </c>
      <c r="E586" t="s">
        <v>74</v>
      </c>
      <c r="F586" t="s">
        <v>4307</v>
      </c>
      <c r="G586" t="s">
        <v>74</v>
      </c>
      <c r="H586" t="s">
        <v>74</v>
      </c>
      <c r="I586" s="1" t="s">
        <v>4308</v>
      </c>
      <c r="J586" t="s">
        <v>4309</v>
      </c>
      <c r="K586" t="s">
        <v>74</v>
      </c>
      <c r="L586" t="s">
        <v>74</v>
      </c>
      <c r="M586" t="s">
        <v>78</v>
      </c>
      <c r="N586" t="s">
        <v>79</v>
      </c>
      <c r="O586" t="s">
        <v>74</v>
      </c>
      <c r="P586" t="s">
        <v>74</v>
      </c>
      <c r="Q586" t="s">
        <v>74</v>
      </c>
      <c r="R586" t="s">
        <v>74</v>
      </c>
      <c r="S586" t="s">
        <v>74</v>
      </c>
      <c r="T586" s="1" t="s">
        <v>4310</v>
      </c>
      <c r="U586" s="1" t="s">
        <v>74</v>
      </c>
      <c r="V586" s="1" t="s">
        <v>4311</v>
      </c>
      <c r="W586" t="s">
        <v>4312</v>
      </c>
      <c r="X586" t="s">
        <v>74</v>
      </c>
      <c r="Y586" t="s">
        <v>4313</v>
      </c>
      <c r="Z586" t="s">
        <v>4314</v>
      </c>
      <c r="AA586" t="s">
        <v>74</v>
      </c>
      <c r="AB586" t="s">
        <v>74</v>
      </c>
      <c r="AC586" t="s">
        <v>74</v>
      </c>
      <c r="AD586" t="s">
        <v>74</v>
      </c>
      <c r="AE586" t="s">
        <v>74</v>
      </c>
      <c r="AF586" t="s">
        <v>74</v>
      </c>
      <c r="AG586">
        <v>20</v>
      </c>
      <c r="AH586">
        <v>0</v>
      </c>
      <c r="AI586">
        <v>0</v>
      </c>
      <c r="AJ586">
        <v>1</v>
      </c>
      <c r="AK586">
        <v>1</v>
      </c>
      <c r="AL586" t="s">
        <v>4315</v>
      </c>
      <c r="AM586" t="s">
        <v>4316</v>
      </c>
      <c r="AN586" t="s">
        <v>4317</v>
      </c>
      <c r="AO586" t="s">
        <v>4318</v>
      </c>
      <c r="AP586" t="s">
        <v>74</v>
      </c>
      <c r="AQ586" t="s">
        <v>74</v>
      </c>
      <c r="AR586" t="s">
        <v>4319</v>
      </c>
      <c r="AS586" t="s">
        <v>4320</v>
      </c>
      <c r="AT586" t="s">
        <v>1348</v>
      </c>
      <c r="AU586">
        <v>2022</v>
      </c>
      <c r="AV586">
        <v>10</v>
      </c>
      <c r="AW586">
        <v>2</v>
      </c>
      <c r="AX586" t="s">
        <v>74</v>
      </c>
      <c r="AY586" t="s">
        <v>74</v>
      </c>
      <c r="AZ586" t="s">
        <v>74</v>
      </c>
      <c r="BA586" t="s">
        <v>74</v>
      </c>
      <c r="BB586">
        <v>407</v>
      </c>
      <c r="BC586">
        <v>429</v>
      </c>
      <c r="BD586" t="s">
        <v>74</v>
      </c>
      <c r="BE586" t="s">
        <v>74</v>
      </c>
      <c r="BF586" t="s">
        <v>74</v>
      </c>
      <c r="BG586" t="s">
        <v>74</v>
      </c>
      <c r="BH586" t="s">
        <v>74</v>
      </c>
      <c r="BI586">
        <v>22</v>
      </c>
      <c r="BJ586" t="s">
        <v>4321</v>
      </c>
      <c r="BK586" t="s">
        <v>183</v>
      </c>
      <c r="BL586" t="s">
        <v>4321</v>
      </c>
      <c r="BM586" t="s">
        <v>4322</v>
      </c>
      <c r="BN586" t="s">
        <v>74</v>
      </c>
      <c r="BO586" t="s">
        <v>74</v>
      </c>
      <c r="BP586" t="s">
        <v>74</v>
      </c>
      <c r="BQ586" t="s">
        <v>74</v>
      </c>
      <c r="BR586" t="s">
        <v>106</v>
      </c>
      <c r="BS586" t="s">
        <v>4323</v>
      </c>
      <c r="BT586" t="str">
        <f>HYPERLINK("https%3A%2F%2Fwww.webofscience.com%2Fwos%2Fwoscc%2Ffull-record%2FWOS:000993888800009","View Full Record in Web of Science")</f>
        <v>View Full Record in Web of Science</v>
      </c>
    </row>
    <row r="587" spans="1:72" x14ac:dyDescent="0.25">
      <c r="A587" t="s">
        <v>72</v>
      </c>
      <c r="B587" t="s">
        <v>4378</v>
      </c>
      <c r="C587" t="s">
        <v>74</v>
      </c>
      <c r="D587" t="s">
        <v>74</v>
      </c>
      <c r="E587" t="s">
        <v>74</v>
      </c>
      <c r="F587" t="s">
        <v>4379</v>
      </c>
      <c r="G587" t="s">
        <v>74</v>
      </c>
      <c r="H587" t="s">
        <v>74</v>
      </c>
      <c r="I587" s="1" t="s">
        <v>4380</v>
      </c>
      <c r="J587" t="s">
        <v>4381</v>
      </c>
      <c r="K587" t="s">
        <v>74</v>
      </c>
      <c r="L587" t="s">
        <v>74</v>
      </c>
      <c r="M587" t="s">
        <v>78</v>
      </c>
      <c r="N587" t="s">
        <v>79</v>
      </c>
      <c r="O587" t="s">
        <v>74</v>
      </c>
      <c r="P587" t="s">
        <v>74</v>
      </c>
      <c r="Q587" t="s">
        <v>74</v>
      </c>
      <c r="R587" t="s">
        <v>74</v>
      </c>
      <c r="S587" t="s">
        <v>74</v>
      </c>
      <c r="T587" s="1" t="s">
        <v>4382</v>
      </c>
      <c r="U587" s="1" t="s">
        <v>4383</v>
      </c>
      <c r="V587" s="1" t="s">
        <v>4384</v>
      </c>
      <c r="W587" t="s">
        <v>4385</v>
      </c>
      <c r="X587" t="s">
        <v>4386</v>
      </c>
      <c r="Y587" t="s">
        <v>4387</v>
      </c>
      <c r="Z587" t="s">
        <v>4388</v>
      </c>
      <c r="AA587" t="s">
        <v>4389</v>
      </c>
      <c r="AB587" t="s">
        <v>4390</v>
      </c>
      <c r="AC587" t="s">
        <v>4391</v>
      </c>
      <c r="AD587" t="s">
        <v>4391</v>
      </c>
      <c r="AE587" t="s">
        <v>4392</v>
      </c>
      <c r="AF587" t="s">
        <v>74</v>
      </c>
      <c r="AG587">
        <v>48</v>
      </c>
      <c r="AH587">
        <v>0</v>
      </c>
      <c r="AI587">
        <v>0</v>
      </c>
      <c r="AJ587">
        <v>6</v>
      </c>
      <c r="AK587">
        <v>17</v>
      </c>
      <c r="AL587" t="s">
        <v>715</v>
      </c>
      <c r="AM587" t="s">
        <v>716</v>
      </c>
      <c r="AN587" t="s">
        <v>717</v>
      </c>
      <c r="AO587" t="s">
        <v>4393</v>
      </c>
      <c r="AP587" t="s">
        <v>4394</v>
      </c>
      <c r="AQ587" t="s">
        <v>74</v>
      </c>
      <c r="AR587" t="s">
        <v>4395</v>
      </c>
      <c r="AS587" t="s">
        <v>4396</v>
      </c>
      <c r="AT587" t="s">
        <v>1582</v>
      </c>
      <c r="AU587">
        <v>2023</v>
      </c>
      <c r="AV587">
        <v>27</v>
      </c>
      <c r="AW587">
        <v>2</v>
      </c>
      <c r="AX587" t="s">
        <v>74</v>
      </c>
      <c r="AY587" t="s">
        <v>74</v>
      </c>
      <c r="AZ587" t="s">
        <v>74</v>
      </c>
      <c r="BA587" t="s">
        <v>74</v>
      </c>
      <c r="BB587">
        <v>201</v>
      </c>
      <c r="BC587">
        <v>219</v>
      </c>
      <c r="BD587" t="s">
        <v>74</v>
      </c>
      <c r="BE587" t="s">
        <v>4397</v>
      </c>
      <c r="BF587" t="str">
        <f>HYPERLINK("http://dx.doi.org/10.1108/JFMM-09-2021-0241","http://dx.doi.org/10.1108/JFMM-09-2021-0241")</f>
        <v>http://dx.doi.org/10.1108/JFMM-09-2021-0241</v>
      </c>
      <c r="BG587" t="s">
        <v>74</v>
      </c>
      <c r="BH587" t="s">
        <v>4337</v>
      </c>
      <c r="BI587">
        <v>19</v>
      </c>
      <c r="BJ587" t="s">
        <v>264</v>
      </c>
      <c r="BK587" t="s">
        <v>156</v>
      </c>
      <c r="BL587" t="s">
        <v>265</v>
      </c>
      <c r="BM587" t="s">
        <v>4398</v>
      </c>
      <c r="BN587" t="s">
        <v>74</v>
      </c>
      <c r="BO587" t="s">
        <v>74</v>
      </c>
      <c r="BP587" t="s">
        <v>74</v>
      </c>
      <c r="BQ587" t="s">
        <v>74</v>
      </c>
      <c r="BR587" t="s">
        <v>106</v>
      </c>
      <c r="BS587" t="s">
        <v>4399</v>
      </c>
      <c r="BT587" t="str">
        <f>HYPERLINK("https%3A%2F%2Fwww.webofscience.com%2Fwos%2Fwoscc%2Ffull-record%2FWOS:000783066900001","View Full Record in Web of Science")</f>
        <v>View Full Record in Web of Science</v>
      </c>
    </row>
    <row r="588" spans="1:72" x14ac:dyDescent="0.25">
      <c r="A588" t="s">
        <v>72</v>
      </c>
      <c r="B588" t="s">
        <v>4417</v>
      </c>
      <c r="C588" t="s">
        <v>74</v>
      </c>
      <c r="D588" t="s">
        <v>74</v>
      </c>
      <c r="E588" t="s">
        <v>74</v>
      </c>
      <c r="F588" t="s">
        <v>4418</v>
      </c>
      <c r="G588" t="s">
        <v>74</v>
      </c>
      <c r="H588" t="s">
        <v>74</v>
      </c>
      <c r="I588" s="1" t="s">
        <v>4419</v>
      </c>
      <c r="J588" t="s">
        <v>4420</v>
      </c>
      <c r="K588" t="s">
        <v>74</v>
      </c>
      <c r="L588" t="s">
        <v>74</v>
      </c>
      <c r="M588" t="s">
        <v>78</v>
      </c>
      <c r="N588" t="s">
        <v>79</v>
      </c>
      <c r="O588" t="s">
        <v>74</v>
      </c>
      <c r="P588" t="s">
        <v>74</v>
      </c>
      <c r="Q588" t="s">
        <v>74</v>
      </c>
      <c r="R588" t="s">
        <v>74</v>
      </c>
      <c r="S588" t="s">
        <v>74</v>
      </c>
      <c r="T588" s="1" t="s">
        <v>74</v>
      </c>
      <c r="U588" s="1" t="s">
        <v>4421</v>
      </c>
      <c r="V588" s="1" t="s">
        <v>4422</v>
      </c>
      <c r="W588" t="s">
        <v>4423</v>
      </c>
      <c r="X588" t="s">
        <v>4424</v>
      </c>
      <c r="Y588" t="s">
        <v>4425</v>
      </c>
      <c r="Z588" t="s">
        <v>4426</v>
      </c>
      <c r="AA588" t="s">
        <v>74</v>
      </c>
      <c r="AB588" t="s">
        <v>4427</v>
      </c>
      <c r="AC588" t="s">
        <v>74</v>
      </c>
      <c r="AD588" t="s">
        <v>74</v>
      </c>
      <c r="AE588" t="s">
        <v>74</v>
      </c>
      <c r="AF588" t="s">
        <v>74</v>
      </c>
      <c r="AG588">
        <v>59</v>
      </c>
      <c r="AH588">
        <v>0</v>
      </c>
      <c r="AI588">
        <v>0</v>
      </c>
      <c r="AJ588">
        <v>0</v>
      </c>
      <c r="AK588">
        <v>4</v>
      </c>
      <c r="AL588" t="s">
        <v>4428</v>
      </c>
      <c r="AM588" t="s">
        <v>175</v>
      </c>
      <c r="AN588" t="s">
        <v>4429</v>
      </c>
      <c r="AO588" t="s">
        <v>74</v>
      </c>
      <c r="AP588" t="s">
        <v>4430</v>
      </c>
      <c r="AQ588" t="s">
        <v>74</v>
      </c>
      <c r="AR588" t="s">
        <v>4431</v>
      </c>
      <c r="AS588" t="s">
        <v>4432</v>
      </c>
      <c r="AT588" t="s">
        <v>4433</v>
      </c>
      <c r="AU588">
        <v>2022</v>
      </c>
      <c r="AV588">
        <v>9</v>
      </c>
      <c r="AW588">
        <v>1</v>
      </c>
      <c r="AX588" t="s">
        <v>74</v>
      </c>
      <c r="AY588" t="s">
        <v>74</v>
      </c>
      <c r="AZ588" t="s">
        <v>74</v>
      </c>
      <c r="BA588" t="s">
        <v>74</v>
      </c>
      <c r="BB588" t="s">
        <v>74</v>
      </c>
      <c r="BC588" t="s">
        <v>74</v>
      </c>
      <c r="BD588">
        <v>110</v>
      </c>
      <c r="BE588" t="s">
        <v>4434</v>
      </c>
      <c r="BF588" t="str">
        <f>HYPERLINK("http://dx.doi.org/10.1057/s41599-022-01131-6","http://dx.doi.org/10.1057/s41599-022-01131-6")</f>
        <v>http://dx.doi.org/10.1057/s41599-022-01131-6</v>
      </c>
      <c r="BG588" t="s">
        <v>74</v>
      </c>
      <c r="BH588" t="s">
        <v>74</v>
      </c>
      <c r="BI588">
        <v>9</v>
      </c>
      <c r="BJ588" t="s">
        <v>4435</v>
      </c>
      <c r="BK588" t="s">
        <v>4436</v>
      </c>
      <c r="BL588" t="s">
        <v>4437</v>
      </c>
      <c r="BM588" t="s">
        <v>4438</v>
      </c>
      <c r="BN588" t="s">
        <v>74</v>
      </c>
      <c r="BO588" t="s">
        <v>422</v>
      </c>
      <c r="BP588" t="s">
        <v>74</v>
      </c>
      <c r="BQ588" t="s">
        <v>74</v>
      </c>
      <c r="BR588" t="s">
        <v>106</v>
      </c>
      <c r="BS588" t="s">
        <v>4439</v>
      </c>
      <c r="BT588" t="str">
        <f>HYPERLINK("https%3A%2F%2Fwww.webofscience.com%2Fwos%2Fwoscc%2Ffull-record%2FWOS:000778117600004","View Full Record in Web of Science")</f>
        <v>View Full Record in Web of Science</v>
      </c>
    </row>
    <row r="589" spans="1:72" x14ac:dyDescent="0.25">
      <c r="A589" t="s">
        <v>72</v>
      </c>
      <c r="B589" t="s">
        <v>4440</v>
      </c>
      <c r="C589" t="s">
        <v>74</v>
      </c>
      <c r="D589" t="s">
        <v>74</v>
      </c>
      <c r="E589" t="s">
        <v>74</v>
      </c>
      <c r="F589" t="s">
        <v>4441</v>
      </c>
      <c r="G589" t="s">
        <v>74</v>
      </c>
      <c r="H589" t="s">
        <v>74</v>
      </c>
      <c r="I589" s="1" t="s">
        <v>4442</v>
      </c>
      <c r="J589" t="s">
        <v>4443</v>
      </c>
      <c r="K589" t="s">
        <v>74</v>
      </c>
      <c r="L589" t="s">
        <v>74</v>
      </c>
      <c r="M589" t="s">
        <v>929</v>
      </c>
      <c r="N589" t="s">
        <v>79</v>
      </c>
      <c r="O589" t="s">
        <v>74</v>
      </c>
      <c r="P589" t="s">
        <v>74</v>
      </c>
      <c r="Q589" t="s">
        <v>74</v>
      </c>
      <c r="R589" t="s">
        <v>74</v>
      </c>
      <c r="S589" t="s">
        <v>74</v>
      </c>
      <c r="T589" s="1" t="s">
        <v>4444</v>
      </c>
      <c r="U589" s="1" t="s">
        <v>74</v>
      </c>
      <c r="V589" s="1" t="s">
        <v>4445</v>
      </c>
      <c r="W589" t="s">
        <v>4446</v>
      </c>
      <c r="X589" t="s">
        <v>4447</v>
      </c>
      <c r="Y589" t="s">
        <v>4448</v>
      </c>
      <c r="Z589" t="s">
        <v>4449</v>
      </c>
      <c r="AA589" t="s">
        <v>4450</v>
      </c>
      <c r="AB589" t="s">
        <v>74</v>
      </c>
      <c r="AC589" t="s">
        <v>74</v>
      </c>
      <c r="AD589" t="s">
        <v>74</v>
      </c>
      <c r="AE589" t="s">
        <v>74</v>
      </c>
      <c r="AF589" t="s">
        <v>74</v>
      </c>
      <c r="AG589">
        <v>53</v>
      </c>
      <c r="AH589">
        <v>0</v>
      </c>
      <c r="AI589">
        <v>0</v>
      </c>
      <c r="AJ589">
        <v>1</v>
      </c>
      <c r="AK589">
        <v>7</v>
      </c>
      <c r="AL589" t="s">
        <v>4451</v>
      </c>
      <c r="AM589" t="s">
        <v>4452</v>
      </c>
      <c r="AN589" t="s">
        <v>4453</v>
      </c>
      <c r="AO589" t="s">
        <v>4454</v>
      </c>
      <c r="AP589" t="s">
        <v>74</v>
      </c>
      <c r="AQ589" t="s">
        <v>74</v>
      </c>
      <c r="AR589" t="s">
        <v>4443</v>
      </c>
      <c r="AS589" t="s">
        <v>4455</v>
      </c>
      <c r="AT589" t="s">
        <v>4456</v>
      </c>
      <c r="AU589">
        <v>2022</v>
      </c>
      <c r="AV589">
        <v>3</v>
      </c>
      <c r="AW589">
        <v>71</v>
      </c>
      <c r="AX589" t="s">
        <v>74</v>
      </c>
      <c r="AY589" t="s">
        <v>74</v>
      </c>
      <c r="AZ589" t="s">
        <v>74</v>
      </c>
      <c r="BA589" t="s">
        <v>74</v>
      </c>
      <c r="BB589" t="s">
        <v>74</v>
      </c>
      <c r="BC589" t="s">
        <v>74</v>
      </c>
      <c r="BD589" t="s">
        <v>4457</v>
      </c>
      <c r="BE589" t="s">
        <v>4458</v>
      </c>
      <c r="BF589" t="str">
        <f>HYPERLINK("http://dx.doi.org/10.24215/16696581e666","http://dx.doi.org/10.24215/16696581e666")</f>
        <v>http://dx.doi.org/10.24215/16696581e666</v>
      </c>
      <c r="BG589" t="s">
        <v>74</v>
      </c>
      <c r="BH589" t="s">
        <v>74</v>
      </c>
      <c r="BI589">
        <v>22</v>
      </c>
      <c r="BJ589" t="s">
        <v>2218</v>
      </c>
      <c r="BK589" t="s">
        <v>183</v>
      </c>
      <c r="BL589" t="s">
        <v>2218</v>
      </c>
      <c r="BM589" t="s">
        <v>4459</v>
      </c>
      <c r="BN589" t="s">
        <v>74</v>
      </c>
      <c r="BO589" t="s">
        <v>4460</v>
      </c>
      <c r="BP589" t="s">
        <v>74</v>
      </c>
      <c r="BQ589" t="s">
        <v>74</v>
      </c>
      <c r="BR589" t="s">
        <v>106</v>
      </c>
      <c r="BS589" t="s">
        <v>4461</v>
      </c>
      <c r="BT589" t="str">
        <f>HYPERLINK("https%3A%2F%2Fwww.webofscience.com%2Fwos%2Fwoscc%2Ffull-record%2FWOS:000825334300002","View Full Record in Web of Science")</f>
        <v>View Full Record in Web of Science</v>
      </c>
    </row>
    <row r="590" spans="1:72" x14ac:dyDescent="0.25">
      <c r="A590" t="s">
        <v>72</v>
      </c>
      <c r="B590" t="s">
        <v>4482</v>
      </c>
      <c r="C590" t="s">
        <v>74</v>
      </c>
      <c r="D590" t="s">
        <v>74</v>
      </c>
      <c r="E590" t="s">
        <v>74</v>
      </c>
      <c r="F590" t="s">
        <v>4483</v>
      </c>
      <c r="G590" t="s">
        <v>74</v>
      </c>
      <c r="H590" t="s">
        <v>74</v>
      </c>
      <c r="I590" s="1" t="s">
        <v>4484</v>
      </c>
      <c r="J590" t="s">
        <v>3245</v>
      </c>
      <c r="K590" t="s">
        <v>74</v>
      </c>
      <c r="L590" t="s">
        <v>74</v>
      </c>
      <c r="M590" t="s">
        <v>78</v>
      </c>
      <c r="N590" t="s">
        <v>112</v>
      </c>
      <c r="O590" t="s">
        <v>74</v>
      </c>
      <c r="P590" t="s">
        <v>74</v>
      </c>
      <c r="Q590" t="s">
        <v>74</v>
      </c>
      <c r="R590" t="s">
        <v>74</v>
      </c>
      <c r="S590" t="s">
        <v>74</v>
      </c>
      <c r="T590" s="1" t="s">
        <v>4485</v>
      </c>
      <c r="U590" s="1" t="s">
        <v>4486</v>
      </c>
      <c r="V590" s="1" t="s">
        <v>4487</v>
      </c>
      <c r="W590" t="s">
        <v>4488</v>
      </c>
      <c r="X590" t="s">
        <v>4489</v>
      </c>
      <c r="Y590" t="s">
        <v>4490</v>
      </c>
      <c r="Z590" t="s">
        <v>4491</v>
      </c>
      <c r="AA590" t="s">
        <v>4492</v>
      </c>
      <c r="AB590" t="s">
        <v>4493</v>
      </c>
      <c r="AC590" t="s">
        <v>4494</v>
      </c>
      <c r="AD590" t="s">
        <v>4495</v>
      </c>
      <c r="AE590" t="s">
        <v>4496</v>
      </c>
      <c r="AF590" t="s">
        <v>74</v>
      </c>
      <c r="AG590">
        <v>38</v>
      </c>
      <c r="AH590">
        <v>0</v>
      </c>
      <c r="AI590">
        <v>0</v>
      </c>
      <c r="AJ590">
        <v>1</v>
      </c>
      <c r="AK590">
        <v>10</v>
      </c>
      <c r="AL590" t="s">
        <v>1468</v>
      </c>
      <c r="AM590" t="s">
        <v>175</v>
      </c>
      <c r="AN590" t="s">
        <v>1469</v>
      </c>
      <c r="AO590" t="s">
        <v>3255</v>
      </c>
      <c r="AP590" t="s">
        <v>3256</v>
      </c>
      <c r="AQ590" t="s">
        <v>74</v>
      </c>
      <c r="AR590" t="s">
        <v>3257</v>
      </c>
      <c r="AS590" t="s">
        <v>3258</v>
      </c>
      <c r="AT590" t="s">
        <v>4497</v>
      </c>
      <c r="AU590">
        <v>2022</v>
      </c>
      <c r="AV590" t="s">
        <v>74</v>
      </c>
      <c r="AW590" t="s">
        <v>74</v>
      </c>
      <c r="AX590" t="s">
        <v>74</v>
      </c>
      <c r="AY590" t="s">
        <v>74</v>
      </c>
      <c r="AZ590" t="s">
        <v>74</v>
      </c>
      <c r="BA590" t="s">
        <v>74</v>
      </c>
      <c r="BB590" t="s">
        <v>74</v>
      </c>
      <c r="BC590" t="s">
        <v>74</v>
      </c>
      <c r="BD590">
        <v>1.4761270211067162E+16</v>
      </c>
      <c r="BE590" t="s">
        <v>4498</v>
      </c>
      <c r="BF590" t="str">
        <f>HYPERLINK("http://dx.doi.org/10.1177/14761270211067162","http://dx.doi.org/10.1177/14761270211067162")</f>
        <v>http://dx.doi.org/10.1177/14761270211067162</v>
      </c>
      <c r="BG590" t="s">
        <v>74</v>
      </c>
      <c r="BH590" t="s">
        <v>4337</v>
      </c>
      <c r="BI590">
        <v>12</v>
      </c>
      <c r="BJ590" t="s">
        <v>264</v>
      </c>
      <c r="BK590" t="s">
        <v>156</v>
      </c>
      <c r="BL590" t="s">
        <v>265</v>
      </c>
      <c r="BM590" t="s">
        <v>4499</v>
      </c>
      <c r="BN590" t="s">
        <v>74</v>
      </c>
      <c r="BO590" t="s">
        <v>105</v>
      </c>
      <c r="BP590" t="s">
        <v>74</v>
      </c>
      <c r="BQ590" t="s">
        <v>74</v>
      </c>
      <c r="BR590" t="s">
        <v>106</v>
      </c>
      <c r="BS590" t="s">
        <v>4500</v>
      </c>
      <c r="BT590" t="str">
        <f>HYPERLINK("https%3A%2F%2Fwww.webofscience.com%2Fwos%2Fwoscc%2Ffull-record%2FWOS:000777672700001","View Full Record in Web of Science")</f>
        <v>View Full Record in Web of Science</v>
      </c>
    </row>
    <row r="591" spans="1:72" x14ac:dyDescent="0.25">
      <c r="A591" t="s">
        <v>72</v>
      </c>
      <c r="B591" t="s">
        <v>4633</v>
      </c>
      <c r="C591" t="s">
        <v>74</v>
      </c>
      <c r="D591" t="s">
        <v>74</v>
      </c>
      <c r="E591" t="s">
        <v>74</v>
      </c>
      <c r="F591" t="s">
        <v>4634</v>
      </c>
      <c r="G591" t="s">
        <v>74</v>
      </c>
      <c r="H591" t="s">
        <v>74</v>
      </c>
      <c r="I591" s="1" t="s">
        <v>4635</v>
      </c>
      <c r="J591" t="s">
        <v>4636</v>
      </c>
      <c r="K591" t="s">
        <v>74</v>
      </c>
      <c r="L591" t="s">
        <v>74</v>
      </c>
      <c r="M591" t="s">
        <v>4637</v>
      </c>
      <c r="N591" t="s">
        <v>79</v>
      </c>
      <c r="O591" t="s">
        <v>74</v>
      </c>
      <c r="P591" t="s">
        <v>74</v>
      </c>
      <c r="Q591" t="s">
        <v>74</v>
      </c>
      <c r="R591" t="s">
        <v>74</v>
      </c>
      <c r="S591" t="s">
        <v>74</v>
      </c>
      <c r="T591" s="1" t="s">
        <v>4638</v>
      </c>
      <c r="U591" s="1" t="s">
        <v>4639</v>
      </c>
      <c r="V591" s="1" t="s">
        <v>4640</v>
      </c>
      <c r="W591" t="s">
        <v>4641</v>
      </c>
      <c r="X591" t="s">
        <v>4642</v>
      </c>
      <c r="Y591" t="s">
        <v>4643</v>
      </c>
      <c r="Z591" t="s">
        <v>74</v>
      </c>
      <c r="AA591" t="s">
        <v>74</v>
      </c>
      <c r="AB591" t="s">
        <v>74</v>
      </c>
      <c r="AC591" t="s">
        <v>74</v>
      </c>
      <c r="AD591" t="s">
        <v>74</v>
      </c>
      <c r="AE591" t="s">
        <v>74</v>
      </c>
      <c r="AF591" t="s">
        <v>74</v>
      </c>
      <c r="AG591">
        <v>23</v>
      </c>
      <c r="AH591">
        <v>0</v>
      </c>
      <c r="AI591">
        <v>0</v>
      </c>
      <c r="AJ591">
        <v>0</v>
      </c>
      <c r="AK591">
        <v>0</v>
      </c>
      <c r="AL591" t="s">
        <v>4644</v>
      </c>
      <c r="AM591" t="s">
        <v>4645</v>
      </c>
      <c r="AN591" t="s">
        <v>4646</v>
      </c>
      <c r="AO591" t="s">
        <v>4647</v>
      </c>
      <c r="AP591" t="s">
        <v>4648</v>
      </c>
      <c r="AQ591" t="s">
        <v>74</v>
      </c>
      <c r="AR591" t="s">
        <v>4649</v>
      </c>
      <c r="AS591" t="s">
        <v>4650</v>
      </c>
      <c r="AT591" t="s">
        <v>4651</v>
      </c>
      <c r="AU591">
        <v>2022</v>
      </c>
      <c r="AV591">
        <v>47</v>
      </c>
      <c r="AW591">
        <v>1</v>
      </c>
      <c r="AX591" t="s">
        <v>74</v>
      </c>
      <c r="AY591" t="s">
        <v>74</v>
      </c>
      <c r="AZ591" t="s">
        <v>74</v>
      </c>
      <c r="BA591" t="s">
        <v>74</v>
      </c>
      <c r="BB591">
        <v>333</v>
      </c>
      <c r="BC591">
        <v>356</v>
      </c>
      <c r="BD591" t="s">
        <v>74</v>
      </c>
      <c r="BE591" t="s">
        <v>74</v>
      </c>
      <c r="BF591" t="s">
        <v>74</v>
      </c>
      <c r="BG591" t="s">
        <v>74</v>
      </c>
      <c r="BH591" t="s">
        <v>74</v>
      </c>
      <c r="BI591">
        <v>24</v>
      </c>
      <c r="BJ591" t="s">
        <v>4060</v>
      </c>
      <c r="BK591" t="s">
        <v>183</v>
      </c>
      <c r="BL591" t="s">
        <v>4060</v>
      </c>
      <c r="BM591" t="s">
        <v>4652</v>
      </c>
      <c r="BN591">
        <v>36548805</v>
      </c>
      <c r="BO591" t="s">
        <v>74</v>
      </c>
      <c r="BP591" t="s">
        <v>74</v>
      </c>
      <c r="BQ591" t="s">
        <v>74</v>
      </c>
      <c r="BR591" t="s">
        <v>106</v>
      </c>
      <c r="BS591" t="s">
        <v>4653</v>
      </c>
      <c r="BT591" t="str">
        <f>HYPERLINK("https%3A%2F%2Fwww.webofscience.com%2Fwos%2Fwoscc%2Ffull-record%2FWOS:000905494300017","View Full Record in Web of Science")</f>
        <v>View Full Record in Web of Science</v>
      </c>
    </row>
    <row r="592" spans="1:72" x14ac:dyDescent="0.25">
      <c r="A592" t="s">
        <v>72</v>
      </c>
      <c r="B592" t="s">
        <v>4846</v>
      </c>
      <c r="C592" t="s">
        <v>74</v>
      </c>
      <c r="D592" t="s">
        <v>74</v>
      </c>
      <c r="E592" t="s">
        <v>74</v>
      </c>
      <c r="F592" t="s">
        <v>4847</v>
      </c>
      <c r="G592" t="s">
        <v>74</v>
      </c>
      <c r="H592" t="s">
        <v>74</v>
      </c>
      <c r="I592" s="1" t="s">
        <v>4848</v>
      </c>
      <c r="J592" t="s">
        <v>4849</v>
      </c>
      <c r="K592" t="s">
        <v>74</v>
      </c>
      <c r="L592" t="s">
        <v>74</v>
      </c>
      <c r="M592" t="s">
        <v>78</v>
      </c>
      <c r="N592" t="s">
        <v>112</v>
      </c>
      <c r="O592" t="s">
        <v>74</v>
      </c>
      <c r="P592" t="s">
        <v>74</v>
      </c>
      <c r="Q592" t="s">
        <v>74</v>
      </c>
      <c r="R592" t="s">
        <v>74</v>
      </c>
      <c r="S592" t="s">
        <v>74</v>
      </c>
      <c r="T592" s="1" t="s">
        <v>4850</v>
      </c>
      <c r="U592" s="1" t="s">
        <v>4851</v>
      </c>
      <c r="V592" s="1" t="s">
        <v>4852</v>
      </c>
      <c r="W592" t="s">
        <v>4853</v>
      </c>
      <c r="X592" t="s">
        <v>4854</v>
      </c>
      <c r="Y592" t="s">
        <v>4855</v>
      </c>
      <c r="Z592" t="s">
        <v>4856</v>
      </c>
      <c r="AA592" t="s">
        <v>4857</v>
      </c>
      <c r="AB592" t="s">
        <v>4858</v>
      </c>
      <c r="AC592" t="s">
        <v>4859</v>
      </c>
      <c r="AD592" t="s">
        <v>4860</v>
      </c>
      <c r="AE592" t="s">
        <v>4861</v>
      </c>
      <c r="AF592" t="s">
        <v>74</v>
      </c>
      <c r="AG592">
        <v>55</v>
      </c>
      <c r="AH592">
        <v>0</v>
      </c>
      <c r="AI592">
        <v>0</v>
      </c>
      <c r="AJ592">
        <v>14</v>
      </c>
      <c r="AK592">
        <v>94</v>
      </c>
      <c r="AL592" t="s">
        <v>4775</v>
      </c>
      <c r="AM592" t="s">
        <v>4776</v>
      </c>
      <c r="AN592" t="s">
        <v>4777</v>
      </c>
      <c r="AO592" t="s">
        <v>4862</v>
      </c>
      <c r="AP592" t="s">
        <v>4863</v>
      </c>
      <c r="AQ592" t="s">
        <v>74</v>
      </c>
      <c r="AR592" t="s">
        <v>4864</v>
      </c>
      <c r="AS592" t="s">
        <v>4865</v>
      </c>
      <c r="AT592" t="s">
        <v>4866</v>
      </c>
      <c r="AU592">
        <v>2022</v>
      </c>
      <c r="AV592" t="s">
        <v>74</v>
      </c>
      <c r="AW592" t="s">
        <v>74</v>
      </c>
      <c r="AX592" t="s">
        <v>74</v>
      </c>
      <c r="AY592" t="s">
        <v>74</v>
      </c>
      <c r="AZ592" t="s">
        <v>74</v>
      </c>
      <c r="BA592" t="s">
        <v>74</v>
      </c>
      <c r="BB592" t="s">
        <v>74</v>
      </c>
      <c r="BC592" t="s">
        <v>74</v>
      </c>
      <c r="BD592" t="s">
        <v>74</v>
      </c>
      <c r="BE592" t="s">
        <v>4867</v>
      </c>
      <c r="BF592" t="str">
        <f>HYPERLINK("http://dx.doi.org/10.1287/isre.2021.1093","http://dx.doi.org/10.1287/isre.2021.1093")</f>
        <v>http://dx.doi.org/10.1287/isre.2021.1093</v>
      </c>
      <c r="BG592" t="s">
        <v>74</v>
      </c>
      <c r="BH592" t="s">
        <v>4783</v>
      </c>
      <c r="BI592">
        <v>22</v>
      </c>
      <c r="BJ592" t="s">
        <v>3601</v>
      </c>
      <c r="BK592" t="s">
        <v>156</v>
      </c>
      <c r="BL592" t="s">
        <v>3602</v>
      </c>
      <c r="BM592" t="s">
        <v>4868</v>
      </c>
      <c r="BN592" t="s">
        <v>74</v>
      </c>
      <c r="BO592" t="s">
        <v>74</v>
      </c>
      <c r="BP592" t="s">
        <v>74</v>
      </c>
      <c r="BQ592" t="s">
        <v>74</v>
      </c>
      <c r="BR592" t="s">
        <v>106</v>
      </c>
      <c r="BS592" t="s">
        <v>4869</v>
      </c>
      <c r="BT592" t="str">
        <f>HYPERLINK("https%3A%2F%2Fwww.webofscience.com%2Fwos%2Fwoscc%2Ffull-record%2FWOS:000748953200001","View Full Record in Web of Science")</f>
        <v>View Full Record in Web of Science</v>
      </c>
    </row>
    <row r="593" spans="1:72" x14ac:dyDescent="0.25">
      <c r="A593" t="s">
        <v>72</v>
      </c>
      <c r="B593" t="s">
        <v>4886</v>
      </c>
      <c r="C593" t="s">
        <v>74</v>
      </c>
      <c r="D593" t="s">
        <v>74</v>
      </c>
      <c r="E593" t="s">
        <v>74</v>
      </c>
      <c r="F593" t="s">
        <v>4887</v>
      </c>
      <c r="G593" t="s">
        <v>74</v>
      </c>
      <c r="H593" t="s">
        <v>74</v>
      </c>
      <c r="I593" s="1" t="s">
        <v>4888</v>
      </c>
      <c r="J593" t="s">
        <v>4889</v>
      </c>
      <c r="K593" t="s">
        <v>74</v>
      </c>
      <c r="L593" t="s">
        <v>74</v>
      </c>
      <c r="M593" t="s">
        <v>78</v>
      </c>
      <c r="N593" t="s">
        <v>79</v>
      </c>
      <c r="O593" t="s">
        <v>74</v>
      </c>
      <c r="P593" t="s">
        <v>74</v>
      </c>
      <c r="Q593" t="s">
        <v>74</v>
      </c>
      <c r="R593" t="s">
        <v>74</v>
      </c>
      <c r="S593" t="s">
        <v>74</v>
      </c>
      <c r="T593" s="1" t="s">
        <v>4890</v>
      </c>
      <c r="U593" s="1" t="s">
        <v>4891</v>
      </c>
      <c r="V593" s="1" t="s">
        <v>4892</v>
      </c>
      <c r="W593" t="s">
        <v>4893</v>
      </c>
      <c r="X593" t="s">
        <v>4894</v>
      </c>
      <c r="Y593" t="s">
        <v>4895</v>
      </c>
      <c r="Z593" t="s">
        <v>4896</v>
      </c>
      <c r="AA593" t="s">
        <v>4897</v>
      </c>
      <c r="AB593" t="s">
        <v>4898</v>
      </c>
      <c r="AC593" t="s">
        <v>74</v>
      </c>
      <c r="AD593" t="s">
        <v>74</v>
      </c>
      <c r="AE593" t="s">
        <v>74</v>
      </c>
      <c r="AF593" t="s">
        <v>74</v>
      </c>
      <c r="AG593">
        <v>26</v>
      </c>
      <c r="AH593">
        <v>0</v>
      </c>
      <c r="AI593">
        <v>0</v>
      </c>
      <c r="AJ593">
        <v>5</v>
      </c>
      <c r="AK593">
        <v>11</v>
      </c>
      <c r="AL593" t="s">
        <v>4899</v>
      </c>
      <c r="AM593" t="s">
        <v>4900</v>
      </c>
      <c r="AN593" t="s">
        <v>4901</v>
      </c>
      <c r="AO593" t="s">
        <v>4902</v>
      </c>
      <c r="AP593" t="s">
        <v>4903</v>
      </c>
      <c r="AQ593" t="s">
        <v>74</v>
      </c>
      <c r="AR593" t="s">
        <v>4904</v>
      </c>
      <c r="AS593" t="s">
        <v>4905</v>
      </c>
      <c r="AT593" t="s">
        <v>74</v>
      </c>
      <c r="AU593">
        <v>2022</v>
      </c>
      <c r="AV593">
        <v>7</v>
      </c>
      <c r="AW593">
        <v>2</v>
      </c>
      <c r="AX593" t="s">
        <v>74</v>
      </c>
      <c r="AY593" t="s">
        <v>74</v>
      </c>
      <c r="AZ593" t="s">
        <v>74</v>
      </c>
      <c r="BA593" t="s">
        <v>74</v>
      </c>
      <c r="BB593">
        <v>202</v>
      </c>
      <c r="BC593">
        <v>220</v>
      </c>
      <c r="BD593" t="s">
        <v>74</v>
      </c>
      <c r="BE593" t="s">
        <v>4906</v>
      </c>
      <c r="BF593" t="str">
        <f>HYPERLINK("http://dx.doi.org/10.24200/jonus.vol7iss2pp202-220","http://dx.doi.org/10.24200/jonus.vol7iss2pp202-220")</f>
        <v>http://dx.doi.org/10.24200/jonus.vol7iss2pp202-220</v>
      </c>
      <c r="BG593" t="s">
        <v>74</v>
      </c>
      <c r="BH593" t="s">
        <v>74</v>
      </c>
      <c r="BI593">
        <v>19</v>
      </c>
      <c r="BJ593" t="s">
        <v>3023</v>
      </c>
      <c r="BK593" t="s">
        <v>183</v>
      </c>
      <c r="BL593" t="s">
        <v>3023</v>
      </c>
      <c r="BM593" t="s">
        <v>4907</v>
      </c>
      <c r="BN593" t="s">
        <v>74</v>
      </c>
      <c r="BO593" t="s">
        <v>186</v>
      </c>
      <c r="BP593" t="s">
        <v>74</v>
      </c>
      <c r="BQ593" t="s">
        <v>74</v>
      </c>
      <c r="BR593" t="s">
        <v>106</v>
      </c>
      <c r="BS593" t="s">
        <v>4908</v>
      </c>
      <c r="BT593" t="str">
        <f>HYPERLINK("https%3A%2F%2Fwww.webofscience.com%2Fwos%2Fwoscc%2Ffull-record%2FWOS:000825226800011","View Full Record in Web of Science")</f>
        <v>View Full Record in Web of Science</v>
      </c>
    </row>
    <row r="594" spans="1:72" x14ac:dyDescent="0.25">
      <c r="A594" t="s">
        <v>72</v>
      </c>
      <c r="B594" t="s">
        <v>4947</v>
      </c>
      <c r="C594" t="s">
        <v>74</v>
      </c>
      <c r="D594" t="s">
        <v>74</v>
      </c>
      <c r="E594" t="s">
        <v>74</v>
      </c>
      <c r="F594" t="s">
        <v>4948</v>
      </c>
      <c r="G594" t="s">
        <v>74</v>
      </c>
      <c r="H594" t="s">
        <v>74</v>
      </c>
      <c r="I594" s="1" t="s">
        <v>4949</v>
      </c>
      <c r="J594" t="s">
        <v>4950</v>
      </c>
      <c r="K594" t="s">
        <v>74</v>
      </c>
      <c r="L594" t="s">
        <v>74</v>
      </c>
      <c r="M594" t="s">
        <v>929</v>
      </c>
      <c r="N594" t="s">
        <v>79</v>
      </c>
      <c r="O594" t="s">
        <v>74</v>
      </c>
      <c r="P594" t="s">
        <v>74</v>
      </c>
      <c r="Q594" t="s">
        <v>74</v>
      </c>
      <c r="R594" t="s">
        <v>74</v>
      </c>
      <c r="S594" t="s">
        <v>74</v>
      </c>
      <c r="T594" s="1" t="s">
        <v>4951</v>
      </c>
      <c r="U594" s="1" t="s">
        <v>74</v>
      </c>
      <c r="V594" s="1" t="s">
        <v>4952</v>
      </c>
      <c r="W594" t="s">
        <v>4953</v>
      </c>
      <c r="X594" t="s">
        <v>74</v>
      </c>
      <c r="Y594" t="s">
        <v>4954</v>
      </c>
      <c r="Z594" t="s">
        <v>4955</v>
      </c>
      <c r="AA594" t="s">
        <v>74</v>
      </c>
      <c r="AB594" t="s">
        <v>74</v>
      </c>
      <c r="AC594" t="s">
        <v>74</v>
      </c>
      <c r="AD594" t="s">
        <v>74</v>
      </c>
      <c r="AE594" t="s">
        <v>74</v>
      </c>
      <c r="AF594" t="s">
        <v>74</v>
      </c>
      <c r="AG594">
        <v>25</v>
      </c>
      <c r="AH594">
        <v>0</v>
      </c>
      <c r="AI594">
        <v>0</v>
      </c>
      <c r="AJ594">
        <v>0</v>
      </c>
      <c r="AK594">
        <v>0</v>
      </c>
      <c r="AL594" t="s">
        <v>4956</v>
      </c>
      <c r="AM594" t="s">
        <v>4957</v>
      </c>
      <c r="AN594" t="s">
        <v>4958</v>
      </c>
      <c r="AO594" t="s">
        <v>4959</v>
      </c>
      <c r="AP594" t="s">
        <v>4960</v>
      </c>
      <c r="AQ594" t="s">
        <v>74</v>
      </c>
      <c r="AR594" t="s">
        <v>4950</v>
      </c>
      <c r="AS594" t="s">
        <v>4961</v>
      </c>
      <c r="AT594" t="s">
        <v>4962</v>
      </c>
      <c r="AU594">
        <v>2022</v>
      </c>
      <c r="AV594">
        <v>17</v>
      </c>
      <c r="AW594">
        <v>1</v>
      </c>
      <c r="AX594" t="s">
        <v>74</v>
      </c>
      <c r="AY594" t="s">
        <v>74</v>
      </c>
      <c r="AZ594" t="s">
        <v>74</v>
      </c>
      <c r="BA594" t="s">
        <v>74</v>
      </c>
      <c r="BB594">
        <v>129</v>
      </c>
      <c r="BC594">
        <v>143</v>
      </c>
      <c r="BD594" t="s">
        <v>74</v>
      </c>
      <c r="BE594" t="s">
        <v>4963</v>
      </c>
      <c r="BF594" t="str">
        <f>HYPERLINK("http://dx.doi.org/10.33110/cimexus170109","http://dx.doi.org/10.33110/cimexus170109")</f>
        <v>http://dx.doi.org/10.33110/cimexus170109</v>
      </c>
      <c r="BG594" t="s">
        <v>74</v>
      </c>
      <c r="BH594" t="s">
        <v>74</v>
      </c>
      <c r="BI594">
        <v>15</v>
      </c>
      <c r="BJ594" t="s">
        <v>1082</v>
      </c>
      <c r="BK594" t="s">
        <v>183</v>
      </c>
      <c r="BL594" t="s">
        <v>379</v>
      </c>
      <c r="BM594" t="s">
        <v>4964</v>
      </c>
      <c r="BN594" t="s">
        <v>74</v>
      </c>
      <c r="BO594" t="s">
        <v>2162</v>
      </c>
      <c r="BP594" t="s">
        <v>74</v>
      </c>
      <c r="BQ594" t="s">
        <v>74</v>
      </c>
      <c r="BR594" t="s">
        <v>106</v>
      </c>
      <c r="BS594" t="s">
        <v>4965</v>
      </c>
      <c r="BT594" t="str">
        <f>HYPERLINK("https%3A%2F%2Fwww.webofscience.com%2Fwos%2Fwoscc%2Ffull-record%2FWOS:000813078300006","View Full Record in Web of Science")</f>
        <v>View Full Record in Web of Science</v>
      </c>
    </row>
    <row r="595" spans="1:72" x14ac:dyDescent="0.25">
      <c r="A595" t="s">
        <v>72</v>
      </c>
      <c r="B595" t="s">
        <v>5005</v>
      </c>
      <c r="C595" t="s">
        <v>74</v>
      </c>
      <c r="D595" t="s">
        <v>74</v>
      </c>
      <c r="E595" t="s">
        <v>74</v>
      </c>
      <c r="F595" t="s">
        <v>5006</v>
      </c>
      <c r="G595" t="s">
        <v>74</v>
      </c>
      <c r="H595" t="s">
        <v>74</v>
      </c>
      <c r="I595" s="1" t="s">
        <v>5007</v>
      </c>
      <c r="J595" t="s">
        <v>5008</v>
      </c>
      <c r="K595" t="s">
        <v>74</v>
      </c>
      <c r="L595" t="s">
        <v>74</v>
      </c>
      <c r="M595" t="s">
        <v>929</v>
      </c>
      <c r="N595" t="s">
        <v>79</v>
      </c>
      <c r="O595" t="s">
        <v>74</v>
      </c>
      <c r="P595" t="s">
        <v>74</v>
      </c>
      <c r="Q595" t="s">
        <v>74</v>
      </c>
      <c r="R595" t="s">
        <v>74</v>
      </c>
      <c r="S595" t="s">
        <v>74</v>
      </c>
      <c r="T595" s="1" t="s">
        <v>5009</v>
      </c>
      <c r="U595" s="1" t="s">
        <v>74</v>
      </c>
      <c r="V595" s="1" t="s">
        <v>5010</v>
      </c>
      <c r="W595" t="s">
        <v>5011</v>
      </c>
      <c r="X595" t="s">
        <v>5012</v>
      </c>
      <c r="Y595" t="s">
        <v>5013</v>
      </c>
      <c r="Z595" t="s">
        <v>5014</v>
      </c>
      <c r="AA595" t="s">
        <v>74</v>
      </c>
      <c r="AB595" t="s">
        <v>5015</v>
      </c>
      <c r="AC595" t="s">
        <v>74</v>
      </c>
      <c r="AD595" t="s">
        <v>74</v>
      </c>
      <c r="AE595" t="s">
        <v>74</v>
      </c>
      <c r="AF595" t="s">
        <v>74</v>
      </c>
      <c r="AG595">
        <v>27</v>
      </c>
      <c r="AH595">
        <v>0</v>
      </c>
      <c r="AI595">
        <v>0</v>
      </c>
      <c r="AJ595">
        <v>7</v>
      </c>
      <c r="AK595">
        <v>19</v>
      </c>
      <c r="AL595" t="s">
        <v>5016</v>
      </c>
      <c r="AM595" t="s">
        <v>5017</v>
      </c>
      <c r="AN595" t="s">
        <v>5018</v>
      </c>
      <c r="AO595" t="s">
        <v>5019</v>
      </c>
      <c r="AP595" t="s">
        <v>74</v>
      </c>
      <c r="AQ595" t="s">
        <v>74</v>
      </c>
      <c r="AR595" t="s">
        <v>5020</v>
      </c>
      <c r="AS595" t="s">
        <v>5021</v>
      </c>
      <c r="AT595" t="s">
        <v>4962</v>
      </c>
      <c r="AU595">
        <v>2022</v>
      </c>
      <c r="AV595">
        <v>12</v>
      </c>
      <c r="AW595">
        <v>23</v>
      </c>
      <c r="AX595" t="s">
        <v>74</v>
      </c>
      <c r="AY595" t="s">
        <v>74</v>
      </c>
      <c r="AZ595" t="s">
        <v>74</v>
      </c>
      <c r="BA595" t="s">
        <v>74</v>
      </c>
      <c r="BB595">
        <v>225</v>
      </c>
      <c r="BC595">
        <v>244</v>
      </c>
      <c r="BD595" t="s">
        <v>74</v>
      </c>
      <c r="BE595" t="s">
        <v>5022</v>
      </c>
      <c r="BF595" t="str">
        <f>HYPERLINK("http://dx.doi.org/10.5783/RIRP-23-2022-12-225-244","http://dx.doi.org/10.5783/RIRP-23-2022-12-225-244")</f>
        <v>http://dx.doi.org/10.5783/RIRP-23-2022-12-225-244</v>
      </c>
      <c r="BG595" t="s">
        <v>74</v>
      </c>
      <c r="BH595" t="s">
        <v>74</v>
      </c>
      <c r="BI595">
        <v>20</v>
      </c>
      <c r="BJ595" t="s">
        <v>2218</v>
      </c>
      <c r="BK595" t="s">
        <v>183</v>
      </c>
      <c r="BL595" t="s">
        <v>2218</v>
      </c>
      <c r="BM595" t="s">
        <v>5023</v>
      </c>
      <c r="BN595" t="s">
        <v>74</v>
      </c>
      <c r="BO595" t="s">
        <v>186</v>
      </c>
      <c r="BP595" t="s">
        <v>74</v>
      </c>
      <c r="BQ595" t="s">
        <v>74</v>
      </c>
      <c r="BR595" t="s">
        <v>106</v>
      </c>
      <c r="BS595" t="s">
        <v>5024</v>
      </c>
      <c r="BT595" t="str">
        <f>HYPERLINK("https%3A%2F%2Fwww.webofscience.com%2Fwos%2Fwoscc%2Ffull-record%2FWOS:000826896000009","View Full Record in Web of Science")</f>
        <v>View Full Record in Web of Science</v>
      </c>
    </row>
    <row r="596" spans="1:72" x14ac:dyDescent="0.25">
      <c r="A596" t="s">
        <v>72</v>
      </c>
      <c r="B596" t="s">
        <v>5040</v>
      </c>
      <c r="C596" t="s">
        <v>74</v>
      </c>
      <c r="D596" t="s">
        <v>74</v>
      </c>
      <c r="E596" t="s">
        <v>74</v>
      </c>
      <c r="F596" t="s">
        <v>5041</v>
      </c>
      <c r="G596" t="s">
        <v>74</v>
      </c>
      <c r="H596" t="s">
        <v>74</v>
      </c>
      <c r="I596" s="1" t="s">
        <v>5042</v>
      </c>
      <c r="J596" t="s">
        <v>5043</v>
      </c>
      <c r="K596" t="s">
        <v>74</v>
      </c>
      <c r="L596" t="s">
        <v>74</v>
      </c>
      <c r="M596" t="s">
        <v>78</v>
      </c>
      <c r="N596" t="s">
        <v>79</v>
      </c>
      <c r="O596" t="s">
        <v>74</v>
      </c>
      <c r="P596" t="s">
        <v>74</v>
      </c>
      <c r="Q596" t="s">
        <v>74</v>
      </c>
      <c r="R596" t="s">
        <v>74</v>
      </c>
      <c r="S596" t="s">
        <v>74</v>
      </c>
      <c r="T596" s="1" t="s">
        <v>5044</v>
      </c>
      <c r="U596" s="1" t="s">
        <v>5045</v>
      </c>
      <c r="V596" s="1" t="s">
        <v>5046</v>
      </c>
      <c r="W596" t="s">
        <v>5047</v>
      </c>
      <c r="X596" t="s">
        <v>5048</v>
      </c>
      <c r="Y596" t="s">
        <v>5049</v>
      </c>
      <c r="Z596" t="s">
        <v>5050</v>
      </c>
      <c r="AA596" t="s">
        <v>74</v>
      </c>
      <c r="AB596" t="s">
        <v>74</v>
      </c>
      <c r="AC596" t="s">
        <v>74</v>
      </c>
      <c r="AD596" t="s">
        <v>74</v>
      </c>
      <c r="AE596" t="s">
        <v>74</v>
      </c>
      <c r="AF596" t="s">
        <v>74</v>
      </c>
      <c r="AG596">
        <v>31</v>
      </c>
      <c r="AH596">
        <v>0</v>
      </c>
      <c r="AI596">
        <v>0</v>
      </c>
      <c r="AJ596">
        <v>1</v>
      </c>
      <c r="AK596">
        <v>1</v>
      </c>
      <c r="AL596" t="s">
        <v>5051</v>
      </c>
      <c r="AM596" t="s">
        <v>5052</v>
      </c>
      <c r="AN596" t="s">
        <v>5053</v>
      </c>
      <c r="AO596" t="s">
        <v>5054</v>
      </c>
      <c r="AP596" t="s">
        <v>74</v>
      </c>
      <c r="AQ596" t="s">
        <v>74</v>
      </c>
      <c r="AR596" t="s">
        <v>5043</v>
      </c>
      <c r="AS596" t="s">
        <v>5055</v>
      </c>
      <c r="AT596" t="s">
        <v>74</v>
      </c>
      <c r="AU596">
        <v>2022</v>
      </c>
      <c r="AV596">
        <v>26</v>
      </c>
      <c r="AW596">
        <v>3</v>
      </c>
      <c r="AX596" t="s">
        <v>74</v>
      </c>
      <c r="AY596" t="s">
        <v>74</v>
      </c>
      <c r="AZ596" t="s">
        <v>74</v>
      </c>
      <c r="BA596" t="s">
        <v>74</v>
      </c>
      <c r="BB596">
        <v>91</v>
      </c>
      <c r="BC596">
        <v>97</v>
      </c>
      <c r="BD596" t="s">
        <v>74</v>
      </c>
      <c r="BE596" t="s">
        <v>74</v>
      </c>
      <c r="BF596" t="s">
        <v>74</v>
      </c>
      <c r="BG596" t="s">
        <v>74</v>
      </c>
      <c r="BH596" t="s">
        <v>74</v>
      </c>
      <c r="BI596">
        <v>7</v>
      </c>
      <c r="BJ596" t="s">
        <v>840</v>
      </c>
      <c r="BK596" t="s">
        <v>102</v>
      </c>
      <c r="BL596" t="s">
        <v>841</v>
      </c>
      <c r="BM596" t="s">
        <v>5056</v>
      </c>
      <c r="BN596">
        <v>37324045</v>
      </c>
      <c r="BO596" t="s">
        <v>74</v>
      </c>
      <c r="BP596" t="s">
        <v>74</v>
      </c>
      <c r="BQ596" t="s">
        <v>74</v>
      </c>
      <c r="BR596" t="s">
        <v>106</v>
      </c>
      <c r="BS596" t="s">
        <v>5057</v>
      </c>
      <c r="BT596" t="str">
        <f>HYPERLINK("https%3A%2F%2Fwww.webofscience.com%2Fwos%2Fwoscc%2Ffull-record%2FWOS:001023353200001","View Full Record in Web of Science")</f>
        <v>View Full Record in Web of Science</v>
      </c>
    </row>
    <row r="597" spans="1:72" x14ac:dyDescent="0.25">
      <c r="A597" t="s">
        <v>72</v>
      </c>
      <c r="B597" t="s">
        <v>5058</v>
      </c>
      <c r="C597" t="s">
        <v>74</v>
      </c>
      <c r="D597" t="s">
        <v>74</v>
      </c>
      <c r="E597" t="s">
        <v>74</v>
      </c>
      <c r="F597" t="s">
        <v>5059</v>
      </c>
      <c r="G597" t="s">
        <v>74</v>
      </c>
      <c r="H597" t="s">
        <v>74</v>
      </c>
      <c r="I597" s="1" t="s">
        <v>5060</v>
      </c>
      <c r="J597" t="s">
        <v>3945</v>
      </c>
      <c r="K597" t="s">
        <v>74</v>
      </c>
      <c r="L597" t="s">
        <v>74</v>
      </c>
      <c r="M597" t="s">
        <v>78</v>
      </c>
      <c r="N597" t="s">
        <v>79</v>
      </c>
      <c r="O597" t="s">
        <v>74</v>
      </c>
      <c r="P597" t="s">
        <v>74</v>
      </c>
      <c r="Q597" t="s">
        <v>74</v>
      </c>
      <c r="R597" t="s">
        <v>74</v>
      </c>
      <c r="S597" t="s">
        <v>74</v>
      </c>
      <c r="T597" s="1" t="s">
        <v>5061</v>
      </c>
      <c r="U597" s="1" t="s">
        <v>5062</v>
      </c>
      <c r="V597" s="1" t="s">
        <v>5063</v>
      </c>
      <c r="W597" t="s">
        <v>5064</v>
      </c>
      <c r="X597" t="s">
        <v>5065</v>
      </c>
      <c r="Y597" t="s">
        <v>5066</v>
      </c>
      <c r="Z597" t="s">
        <v>5067</v>
      </c>
      <c r="AA597" t="s">
        <v>74</v>
      </c>
      <c r="AB597" t="s">
        <v>74</v>
      </c>
      <c r="AC597" t="s">
        <v>74</v>
      </c>
      <c r="AD597" t="s">
        <v>74</v>
      </c>
      <c r="AE597" t="s">
        <v>74</v>
      </c>
      <c r="AF597" t="s">
        <v>74</v>
      </c>
      <c r="AG597">
        <v>17</v>
      </c>
      <c r="AH597">
        <v>0</v>
      </c>
      <c r="AI597">
        <v>0</v>
      </c>
      <c r="AJ597">
        <v>1</v>
      </c>
      <c r="AK597">
        <v>2</v>
      </c>
      <c r="AL597" t="s">
        <v>3951</v>
      </c>
      <c r="AM597" t="s">
        <v>3952</v>
      </c>
      <c r="AN597" t="s">
        <v>3953</v>
      </c>
      <c r="AO597" t="s">
        <v>3954</v>
      </c>
      <c r="AP597" t="s">
        <v>74</v>
      </c>
      <c r="AQ597" t="s">
        <v>74</v>
      </c>
      <c r="AR597" t="s">
        <v>3955</v>
      </c>
      <c r="AS597" t="s">
        <v>3956</v>
      </c>
      <c r="AT597" t="s">
        <v>74</v>
      </c>
      <c r="AU597">
        <v>2022</v>
      </c>
      <c r="AV597">
        <v>14</v>
      </c>
      <c r="AW597">
        <v>2</v>
      </c>
      <c r="AX597" t="s">
        <v>74</v>
      </c>
      <c r="AY597" t="s">
        <v>74</v>
      </c>
      <c r="AZ597" t="s">
        <v>74</v>
      </c>
      <c r="BA597" t="s">
        <v>74</v>
      </c>
      <c r="BB597">
        <v>2642</v>
      </c>
      <c r="BC597">
        <v>2647</v>
      </c>
      <c r="BD597" t="s">
        <v>74</v>
      </c>
      <c r="BE597" t="s">
        <v>5068</v>
      </c>
      <c r="BF597" t="str">
        <f>HYPERLINK("http://dx.doi.org/10.9756/INT-JECSE/V14I2.248","http://dx.doi.org/10.9756/INT-JECSE/V14I2.248")</f>
        <v>http://dx.doi.org/10.9756/INT-JECSE/V14I2.248</v>
      </c>
      <c r="BG597" t="s">
        <v>74</v>
      </c>
      <c r="BH597" t="s">
        <v>74</v>
      </c>
      <c r="BI597">
        <v>6</v>
      </c>
      <c r="BJ597" t="s">
        <v>3958</v>
      </c>
      <c r="BK597" t="s">
        <v>183</v>
      </c>
      <c r="BL597" t="s">
        <v>1326</v>
      </c>
      <c r="BM597" t="s">
        <v>5069</v>
      </c>
      <c r="BN597" t="s">
        <v>74</v>
      </c>
      <c r="BO597" t="s">
        <v>74</v>
      </c>
      <c r="BP597" t="s">
        <v>74</v>
      </c>
      <c r="BQ597" t="s">
        <v>74</v>
      </c>
      <c r="BR597" t="s">
        <v>106</v>
      </c>
      <c r="BS597" t="s">
        <v>5070</v>
      </c>
      <c r="BT597" t="str">
        <f>HYPERLINK("https%3A%2F%2Fwww.webofscience.com%2Fwos%2Fwoscc%2Ffull-record%2FWOS:000806241600015","View Full Record in Web of Science")</f>
        <v>View Full Record in Web of Science</v>
      </c>
    </row>
    <row r="598" spans="1:72" x14ac:dyDescent="0.25">
      <c r="A598" t="s">
        <v>477</v>
      </c>
      <c r="B598" t="s">
        <v>5071</v>
      </c>
      <c r="C598" t="s">
        <v>74</v>
      </c>
      <c r="D598" t="s">
        <v>5072</v>
      </c>
      <c r="E598" t="s">
        <v>74</v>
      </c>
      <c r="F598" t="s">
        <v>5073</v>
      </c>
      <c r="G598" t="s">
        <v>74</v>
      </c>
      <c r="H598" t="s">
        <v>74</v>
      </c>
      <c r="I598" s="1" t="s">
        <v>5074</v>
      </c>
      <c r="J598" t="s">
        <v>5075</v>
      </c>
      <c r="K598" t="s">
        <v>5076</v>
      </c>
      <c r="L598" t="s">
        <v>74</v>
      </c>
      <c r="M598" t="s">
        <v>78</v>
      </c>
      <c r="N598" t="s">
        <v>4932</v>
      </c>
      <c r="O598" t="s">
        <v>74</v>
      </c>
      <c r="P598" t="s">
        <v>74</v>
      </c>
      <c r="Q598" t="s">
        <v>74</v>
      </c>
      <c r="R598" t="s">
        <v>74</v>
      </c>
      <c r="S598" t="s">
        <v>74</v>
      </c>
      <c r="T598" s="1" t="s">
        <v>74</v>
      </c>
      <c r="U598" s="1" t="s">
        <v>5077</v>
      </c>
      <c r="V598" s="1" t="s">
        <v>74</v>
      </c>
      <c r="W598" t="s">
        <v>5078</v>
      </c>
      <c r="X598" t="s">
        <v>5079</v>
      </c>
      <c r="Y598" t="s">
        <v>5080</v>
      </c>
      <c r="Z598" t="s">
        <v>74</v>
      </c>
      <c r="AA598" t="s">
        <v>74</v>
      </c>
      <c r="AB598" t="s">
        <v>74</v>
      </c>
      <c r="AC598" t="s">
        <v>74</v>
      </c>
      <c r="AD598" t="s">
        <v>74</v>
      </c>
      <c r="AE598" t="s">
        <v>74</v>
      </c>
      <c r="AF598" t="s">
        <v>74</v>
      </c>
      <c r="AG598">
        <v>87</v>
      </c>
      <c r="AH598">
        <v>0</v>
      </c>
      <c r="AI598">
        <v>0</v>
      </c>
      <c r="AJ598">
        <v>0</v>
      </c>
      <c r="AK598">
        <v>0</v>
      </c>
      <c r="AL598" t="s">
        <v>4936</v>
      </c>
      <c r="AM598" t="s">
        <v>493</v>
      </c>
      <c r="AN598" t="s">
        <v>4937</v>
      </c>
      <c r="AO598" t="s">
        <v>74</v>
      </c>
      <c r="AP598" t="s">
        <v>74</v>
      </c>
      <c r="AQ598" t="s">
        <v>5081</v>
      </c>
      <c r="AR598" t="s">
        <v>5082</v>
      </c>
      <c r="AS598" t="s">
        <v>74</v>
      </c>
      <c r="AT598" t="s">
        <v>74</v>
      </c>
      <c r="AU598">
        <v>2022</v>
      </c>
      <c r="AV598" t="s">
        <v>74</v>
      </c>
      <c r="AW598" t="s">
        <v>74</v>
      </c>
      <c r="AX598" t="s">
        <v>74</v>
      </c>
      <c r="AY598" t="s">
        <v>74</v>
      </c>
      <c r="AZ598" t="s">
        <v>74</v>
      </c>
      <c r="BA598" t="s">
        <v>74</v>
      </c>
      <c r="BB598">
        <v>7</v>
      </c>
      <c r="BC598">
        <v>29</v>
      </c>
      <c r="BD598" t="s">
        <v>74</v>
      </c>
      <c r="BE598" t="s">
        <v>74</v>
      </c>
      <c r="BF598" t="s">
        <v>74</v>
      </c>
      <c r="BG598" t="s">
        <v>74</v>
      </c>
      <c r="BH598" t="s">
        <v>74</v>
      </c>
      <c r="BI598">
        <v>23</v>
      </c>
      <c r="BJ598" t="s">
        <v>5083</v>
      </c>
      <c r="BK598" t="s">
        <v>4943</v>
      </c>
      <c r="BL598" t="s">
        <v>677</v>
      </c>
      <c r="BM598" t="s">
        <v>5084</v>
      </c>
      <c r="BN598" t="s">
        <v>74</v>
      </c>
      <c r="BO598" t="s">
        <v>74</v>
      </c>
      <c r="BP598" t="s">
        <v>74</v>
      </c>
      <c r="BQ598" t="s">
        <v>74</v>
      </c>
      <c r="BR598" t="s">
        <v>106</v>
      </c>
      <c r="BS598" t="s">
        <v>5085</v>
      </c>
      <c r="BT598" t="str">
        <f>HYPERLINK("https%3A%2F%2Fwww.webofscience.com%2Fwos%2Fwoscc%2Ffull-record%2FWOS:000838665700003","View Full Record in Web of Science")</f>
        <v>View Full Record in Web of Science</v>
      </c>
    </row>
    <row r="599" spans="1:72" x14ac:dyDescent="0.25">
      <c r="A599" t="s">
        <v>72</v>
      </c>
      <c r="B599" t="s">
        <v>5104</v>
      </c>
      <c r="C599" t="s">
        <v>74</v>
      </c>
      <c r="D599" t="s">
        <v>74</v>
      </c>
      <c r="E599" t="s">
        <v>74</v>
      </c>
      <c r="F599" t="s">
        <v>5105</v>
      </c>
      <c r="G599" t="s">
        <v>74</v>
      </c>
      <c r="H599" t="s">
        <v>74</v>
      </c>
      <c r="I599" s="1" t="s">
        <v>5106</v>
      </c>
      <c r="J599" t="s">
        <v>3945</v>
      </c>
      <c r="K599" t="s">
        <v>74</v>
      </c>
      <c r="L599" t="s">
        <v>74</v>
      </c>
      <c r="M599" t="s">
        <v>78</v>
      </c>
      <c r="N599" t="s">
        <v>79</v>
      </c>
      <c r="O599" t="s">
        <v>74</v>
      </c>
      <c r="P599" t="s">
        <v>74</v>
      </c>
      <c r="Q599" t="s">
        <v>74</v>
      </c>
      <c r="R599" t="s">
        <v>74</v>
      </c>
      <c r="S599" t="s">
        <v>74</v>
      </c>
      <c r="T599" s="1" t="s">
        <v>5107</v>
      </c>
      <c r="U599" s="1" t="s">
        <v>74</v>
      </c>
      <c r="V599" s="1" t="s">
        <v>5108</v>
      </c>
      <c r="W599" t="s">
        <v>5109</v>
      </c>
      <c r="X599" t="s">
        <v>5110</v>
      </c>
      <c r="Y599" t="s">
        <v>5111</v>
      </c>
      <c r="Z599" t="s">
        <v>5112</v>
      </c>
      <c r="AA599" t="s">
        <v>5113</v>
      </c>
      <c r="AB599" t="s">
        <v>74</v>
      </c>
      <c r="AC599" t="s">
        <v>74</v>
      </c>
      <c r="AD599" t="s">
        <v>74</v>
      </c>
      <c r="AE599" t="s">
        <v>74</v>
      </c>
      <c r="AF599" t="s">
        <v>74</v>
      </c>
      <c r="AG599">
        <v>4</v>
      </c>
      <c r="AH599">
        <v>0</v>
      </c>
      <c r="AI599">
        <v>0</v>
      </c>
      <c r="AJ599">
        <v>0</v>
      </c>
      <c r="AK599">
        <v>7</v>
      </c>
      <c r="AL599" t="s">
        <v>3951</v>
      </c>
      <c r="AM599" t="s">
        <v>3952</v>
      </c>
      <c r="AN599" t="s">
        <v>3953</v>
      </c>
      <c r="AO599" t="s">
        <v>3954</v>
      </c>
      <c r="AP599" t="s">
        <v>74</v>
      </c>
      <c r="AQ599" t="s">
        <v>74</v>
      </c>
      <c r="AR599" t="s">
        <v>3955</v>
      </c>
      <c r="AS599" t="s">
        <v>3956</v>
      </c>
      <c r="AT599" t="s">
        <v>74</v>
      </c>
      <c r="AU599">
        <v>2022</v>
      </c>
      <c r="AV599">
        <v>14</v>
      </c>
      <c r="AW599">
        <v>2</v>
      </c>
      <c r="AX599" t="s">
        <v>74</v>
      </c>
      <c r="AY599" t="s">
        <v>74</v>
      </c>
      <c r="AZ599" t="s">
        <v>74</v>
      </c>
      <c r="BA599" t="s">
        <v>74</v>
      </c>
      <c r="BB599">
        <v>2447</v>
      </c>
      <c r="BC599">
        <v>2452</v>
      </c>
      <c r="BD599" t="s">
        <v>74</v>
      </c>
      <c r="BE599" t="s">
        <v>5114</v>
      </c>
      <c r="BF599" t="str">
        <f>HYPERLINK("http://dx.doi.org/10.9756/INT-JECSE/V14I2.230","http://dx.doi.org/10.9756/INT-JECSE/V14I2.230")</f>
        <v>http://dx.doi.org/10.9756/INT-JECSE/V14I2.230</v>
      </c>
      <c r="BG599" t="s">
        <v>74</v>
      </c>
      <c r="BH599" t="s">
        <v>74</v>
      </c>
      <c r="BI599">
        <v>6</v>
      </c>
      <c r="BJ599" t="s">
        <v>3958</v>
      </c>
      <c r="BK599" t="s">
        <v>183</v>
      </c>
      <c r="BL599" t="s">
        <v>1326</v>
      </c>
      <c r="BM599" t="s">
        <v>5115</v>
      </c>
      <c r="BN599" t="s">
        <v>74</v>
      </c>
      <c r="BO599" t="s">
        <v>74</v>
      </c>
      <c r="BP599" t="s">
        <v>74</v>
      </c>
      <c r="BQ599" t="s">
        <v>74</v>
      </c>
      <c r="BR599" t="s">
        <v>106</v>
      </c>
      <c r="BS599" t="s">
        <v>5116</v>
      </c>
      <c r="BT599" t="str">
        <f>HYPERLINK("https%3A%2F%2Fwww.webofscience.com%2Fwos%2Fwoscc%2Ffull-record%2FWOS:000806030700037","View Full Record in Web of Science")</f>
        <v>View Full Record in Web of Science</v>
      </c>
    </row>
    <row r="600" spans="1:72" x14ac:dyDescent="0.25">
      <c r="A600" t="s">
        <v>72</v>
      </c>
      <c r="B600" t="s">
        <v>5117</v>
      </c>
      <c r="C600" t="s">
        <v>74</v>
      </c>
      <c r="D600" t="s">
        <v>74</v>
      </c>
      <c r="E600" t="s">
        <v>74</v>
      </c>
      <c r="F600" t="s">
        <v>5118</v>
      </c>
      <c r="G600" t="s">
        <v>74</v>
      </c>
      <c r="H600" t="s">
        <v>74</v>
      </c>
      <c r="I600" s="1" t="s">
        <v>5119</v>
      </c>
      <c r="J600" t="s">
        <v>3945</v>
      </c>
      <c r="K600" t="s">
        <v>74</v>
      </c>
      <c r="L600" t="s">
        <v>74</v>
      </c>
      <c r="M600" t="s">
        <v>78</v>
      </c>
      <c r="N600" t="s">
        <v>79</v>
      </c>
      <c r="O600" t="s">
        <v>74</v>
      </c>
      <c r="P600" t="s">
        <v>74</v>
      </c>
      <c r="Q600" t="s">
        <v>74</v>
      </c>
      <c r="R600" t="s">
        <v>74</v>
      </c>
      <c r="S600" t="s">
        <v>74</v>
      </c>
      <c r="T600" s="1" t="s">
        <v>5120</v>
      </c>
      <c r="U600" s="1" t="s">
        <v>5121</v>
      </c>
      <c r="V600" s="1" t="s">
        <v>5122</v>
      </c>
      <c r="W600" t="s">
        <v>5123</v>
      </c>
      <c r="X600" t="s">
        <v>74</v>
      </c>
      <c r="Y600" t="s">
        <v>5124</v>
      </c>
      <c r="Z600" t="s">
        <v>74</v>
      </c>
      <c r="AA600" t="s">
        <v>74</v>
      </c>
      <c r="AB600" t="s">
        <v>74</v>
      </c>
      <c r="AC600" t="s">
        <v>74</v>
      </c>
      <c r="AD600" t="s">
        <v>74</v>
      </c>
      <c r="AE600" t="s">
        <v>74</v>
      </c>
      <c r="AF600" t="s">
        <v>74</v>
      </c>
      <c r="AG600">
        <v>13</v>
      </c>
      <c r="AH600">
        <v>0</v>
      </c>
      <c r="AI600">
        <v>0</v>
      </c>
      <c r="AJ600">
        <v>2</v>
      </c>
      <c r="AK600">
        <v>10</v>
      </c>
      <c r="AL600" t="s">
        <v>3951</v>
      </c>
      <c r="AM600" t="s">
        <v>3952</v>
      </c>
      <c r="AN600" t="s">
        <v>3953</v>
      </c>
      <c r="AO600" t="s">
        <v>3954</v>
      </c>
      <c r="AP600" t="s">
        <v>74</v>
      </c>
      <c r="AQ600" t="s">
        <v>74</v>
      </c>
      <c r="AR600" t="s">
        <v>3955</v>
      </c>
      <c r="AS600" t="s">
        <v>3956</v>
      </c>
      <c r="AT600" t="s">
        <v>74</v>
      </c>
      <c r="AU600">
        <v>2022</v>
      </c>
      <c r="AV600">
        <v>14</v>
      </c>
      <c r="AW600">
        <v>2</v>
      </c>
      <c r="AX600" t="s">
        <v>74</v>
      </c>
      <c r="AY600" t="s">
        <v>74</v>
      </c>
      <c r="AZ600" t="s">
        <v>74</v>
      </c>
      <c r="BA600" t="s">
        <v>74</v>
      </c>
      <c r="BB600">
        <v>6584</v>
      </c>
      <c r="BC600">
        <v>6591</v>
      </c>
      <c r="BD600" t="s">
        <v>74</v>
      </c>
      <c r="BE600" t="s">
        <v>5125</v>
      </c>
      <c r="BF600" t="str">
        <f>HYPERLINK("http://dx.doi.org/10.9756/INT-JECSE/V14I2.750","http://dx.doi.org/10.9756/INT-JECSE/V14I2.750")</f>
        <v>http://dx.doi.org/10.9756/INT-JECSE/V14I2.750</v>
      </c>
      <c r="BG600" t="s">
        <v>74</v>
      </c>
      <c r="BH600" t="s">
        <v>74</v>
      </c>
      <c r="BI600">
        <v>8</v>
      </c>
      <c r="BJ600" t="s">
        <v>3958</v>
      </c>
      <c r="BK600" t="s">
        <v>183</v>
      </c>
      <c r="BL600" t="s">
        <v>1326</v>
      </c>
      <c r="BM600" t="s">
        <v>5126</v>
      </c>
      <c r="BN600" t="s">
        <v>74</v>
      </c>
      <c r="BO600" t="s">
        <v>74</v>
      </c>
      <c r="BP600" t="s">
        <v>74</v>
      </c>
      <c r="BQ600" t="s">
        <v>74</v>
      </c>
      <c r="BR600" t="s">
        <v>106</v>
      </c>
      <c r="BS600" t="s">
        <v>5127</v>
      </c>
      <c r="BT600" t="str">
        <f>HYPERLINK("https%3A%2F%2Fwww.webofscience.com%2Fwos%2Fwoscc%2Ffull-record%2FWOS:000826879200029","View Full Record in Web of Science")</f>
        <v>View Full Record in Web of Science</v>
      </c>
    </row>
    <row r="601" spans="1:72" x14ac:dyDescent="0.25">
      <c r="A601" t="s">
        <v>72</v>
      </c>
      <c r="B601" t="s">
        <v>5143</v>
      </c>
      <c r="C601" t="s">
        <v>74</v>
      </c>
      <c r="D601" t="s">
        <v>74</v>
      </c>
      <c r="E601" t="s">
        <v>74</v>
      </c>
      <c r="F601" t="s">
        <v>5144</v>
      </c>
      <c r="G601" t="s">
        <v>74</v>
      </c>
      <c r="H601" t="s">
        <v>74</v>
      </c>
      <c r="I601" s="1" t="s">
        <v>5145</v>
      </c>
      <c r="J601" t="s">
        <v>5146</v>
      </c>
      <c r="K601" t="s">
        <v>74</v>
      </c>
      <c r="L601" t="s">
        <v>74</v>
      </c>
      <c r="M601" t="s">
        <v>5147</v>
      </c>
      <c r="N601" t="s">
        <v>79</v>
      </c>
      <c r="O601" t="s">
        <v>74</v>
      </c>
      <c r="P601" t="s">
        <v>74</v>
      </c>
      <c r="Q601" t="s">
        <v>74</v>
      </c>
      <c r="R601" t="s">
        <v>74</v>
      </c>
      <c r="S601" t="s">
        <v>74</v>
      </c>
      <c r="T601" s="1" t="s">
        <v>5148</v>
      </c>
      <c r="U601" s="1" t="s">
        <v>74</v>
      </c>
      <c r="V601" s="1" t="s">
        <v>5149</v>
      </c>
      <c r="W601" t="s">
        <v>5150</v>
      </c>
      <c r="X601" t="s">
        <v>5151</v>
      </c>
      <c r="Y601" t="s">
        <v>5152</v>
      </c>
      <c r="Z601" t="s">
        <v>74</v>
      </c>
      <c r="AA601" t="s">
        <v>5153</v>
      </c>
      <c r="AB601" t="s">
        <v>5154</v>
      </c>
      <c r="AC601" t="s">
        <v>74</v>
      </c>
      <c r="AD601" t="s">
        <v>74</v>
      </c>
      <c r="AE601" t="s">
        <v>74</v>
      </c>
      <c r="AF601" t="s">
        <v>74</v>
      </c>
      <c r="AG601">
        <v>18</v>
      </c>
      <c r="AH601">
        <v>0</v>
      </c>
      <c r="AI601">
        <v>0</v>
      </c>
      <c r="AJ601">
        <v>0</v>
      </c>
      <c r="AK601">
        <v>3</v>
      </c>
      <c r="AL601" t="s">
        <v>5155</v>
      </c>
      <c r="AM601" t="s">
        <v>5156</v>
      </c>
      <c r="AN601" t="s">
        <v>5157</v>
      </c>
      <c r="AO601" t="s">
        <v>5158</v>
      </c>
      <c r="AP601" t="s">
        <v>74</v>
      </c>
      <c r="AQ601" t="s">
        <v>74</v>
      </c>
      <c r="AR601" t="s">
        <v>5159</v>
      </c>
      <c r="AS601" t="s">
        <v>5160</v>
      </c>
      <c r="AT601" t="s">
        <v>74</v>
      </c>
      <c r="AU601">
        <v>2022</v>
      </c>
      <c r="AV601" t="s">
        <v>74</v>
      </c>
      <c r="AW601">
        <v>177</v>
      </c>
      <c r="AX601" t="s">
        <v>74</v>
      </c>
      <c r="AY601" t="s">
        <v>74</v>
      </c>
      <c r="AZ601" t="s">
        <v>74</v>
      </c>
      <c r="BA601" t="s">
        <v>74</v>
      </c>
      <c r="BB601">
        <v>1</v>
      </c>
      <c r="BC601">
        <v>22</v>
      </c>
      <c r="BD601" t="s">
        <v>74</v>
      </c>
      <c r="BE601" t="s">
        <v>5161</v>
      </c>
      <c r="BF601" t="str">
        <f>HYPERLINK("http://dx.doi.org/10.13127/qdg/177","http://dx.doi.org/10.13127/qdg/177")</f>
        <v>http://dx.doi.org/10.13127/qdg/177</v>
      </c>
      <c r="BG601" t="s">
        <v>74</v>
      </c>
      <c r="BH601" t="s">
        <v>74</v>
      </c>
      <c r="BI601">
        <v>22</v>
      </c>
      <c r="BJ601" t="s">
        <v>5162</v>
      </c>
      <c r="BK601" t="s">
        <v>183</v>
      </c>
      <c r="BL601" t="s">
        <v>5162</v>
      </c>
      <c r="BM601" t="s">
        <v>5163</v>
      </c>
      <c r="BN601" t="s">
        <v>74</v>
      </c>
      <c r="BO601" t="s">
        <v>74</v>
      </c>
      <c r="BP601" t="s">
        <v>74</v>
      </c>
      <c r="BQ601" t="s">
        <v>74</v>
      </c>
      <c r="BR601" t="s">
        <v>106</v>
      </c>
      <c r="BS601" t="s">
        <v>5164</v>
      </c>
      <c r="BT601" t="str">
        <f>HYPERLINK("https%3A%2F%2Fwww.webofscience.com%2Fwos%2Fwoscc%2Ffull-record%2FWOS:000799191100001","View Full Record in Web of Science")</f>
        <v>View Full Record in Web of Science</v>
      </c>
    </row>
    <row r="602" spans="1:72" x14ac:dyDescent="0.25">
      <c r="A602" t="s">
        <v>72</v>
      </c>
      <c r="B602" t="s">
        <v>5179</v>
      </c>
      <c r="C602" t="s">
        <v>74</v>
      </c>
      <c r="D602" t="s">
        <v>74</v>
      </c>
      <c r="E602" t="s">
        <v>74</v>
      </c>
      <c r="F602" t="s">
        <v>5180</v>
      </c>
      <c r="G602" t="s">
        <v>74</v>
      </c>
      <c r="H602" t="s">
        <v>74</v>
      </c>
      <c r="I602" s="1" t="s">
        <v>5181</v>
      </c>
      <c r="J602" t="s">
        <v>5182</v>
      </c>
      <c r="K602" t="s">
        <v>74</v>
      </c>
      <c r="L602" t="s">
        <v>74</v>
      </c>
      <c r="M602" t="s">
        <v>78</v>
      </c>
      <c r="N602" t="s">
        <v>79</v>
      </c>
      <c r="O602" t="s">
        <v>74</v>
      </c>
      <c r="P602" t="s">
        <v>74</v>
      </c>
      <c r="Q602" t="s">
        <v>74</v>
      </c>
      <c r="R602" t="s">
        <v>74</v>
      </c>
      <c r="S602" t="s">
        <v>74</v>
      </c>
      <c r="T602" s="1" t="s">
        <v>5183</v>
      </c>
      <c r="U602" s="1" t="s">
        <v>5184</v>
      </c>
      <c r="V602" s="1" t="s">
        <v>5185</v>
      </c>
      <c r="W602" t="s">
        <v>5186</v>
      </c>
      <c r="X602" t="s">
        <v>5187</v>
      </c>
      <c r="Y602" t="s">
        <v>5188</v>
      </c>
      <c r="Z602" t="s">
        <v>5189</v>
      </c>
      <c r="AA602" t="s">
        <v>5190</v>
      </c>
      <c r="AB602" t="s">
        <v>5191</v>
      </c>
      <c r="AC602" t="s">
        <v>74</v>
      </c>
      <c r="AD602" t="s">
        <v>74</v>
      </c>
      <c r="AE602" t="s">
        <v>74</v>
      </c>
      <c r="AF602" t="s">
        <v>74</v>
      </c>
      <c r="AG602">
        <v>55</v>
      </c>
      <c r="AH602">
        <v>0</v>
      </c>
      <c r="AI602">
        <v>0</v>
      </c>
      <c r="AJ602">
        <v>2</v>
      </c>
      <c r="AK602">
        <v>2</v>
      </c>
      <c r="AL602" t="s">
        <v>5192</v>
      </c>
      <c r="AM602" t="s">
        <v>4514</v>
      </c>
      <c r="AN602" t="s">
        <v>5193</v>
      </c>
      <c r="AO602" t="s">
        <v>5194</v>
      </c>
      <c r="AP602" t="s">
        <v>5195</v>
      </c>
      <c r="AQ602" t="s">
        <v>74</v>
      </c>
      <c r="AR602" t="s">
        <v>5196</v>
      </c>
      <c r="AS602" t="s">
        <v>5197</v>
      </c>
      <c r="AT602" t="s">
        <v>74</v>
      </c>
      <c r="AU602">
        <v>2022</v>
      </c>
      <c r="AV602">
        <v>27</v>
      </c>
      <c r="AW602">
        <v>1</v>
      </c>
      <c r="AX602" t="s">
        <v>74</v>
      </c>
      <c r="AY602" t="s">
        <v>74</v>
      </c>
      <c r="AZ602" t="s">
        <v>74</v>
      </c>
      <c r="BA602" t="s">
        <v>74</v>
      </c>
      <c r="BB602">
        <v>175</v>
      </c>
      <c r="BC602">
        <v>185</v>
      </c>
      <c r="BD602" t="s">
        <v>74</v>
      </c>
      <c r="BE602" t="s">
        <v>5198</v>
      </c>
      <c r="BF602" t="str">
        <f>HYPERLINK("http://dx.doi.org/10.5209/hics.81585","http://dx.doi.org/10.5209/hics.81585")</f>
        <v>http://dx.doi.org/10.5209/hics.81585</v>
      </c>
      <c r="BG602" t="s">
        <v>74</v>
      </c>
      <c r="BH602" t="s">
        <v>74</v>
      </c>
      <c r="BI602">
        <v>11</v>
      </c>
      <c r="BJ602" t="s">
        <v>5199</v>
      </c>
      <c r="BK602" t="s">
        <v>3239</v>
      </c>
      <c r="BL602" t="s">
        <v>5200</v>
      </c>
      <c r="BM602" t="s">
        <v>5201</v>
      </c>
      <c r="BN602" t="s">
        <v>74</v>
      </c>
      <c r="BO602" t="s">
        <v>2730</v>
      </c>
      <c r="BP602" t="s">
        <v>74</v>
      </c>
      <c r="BQ602" t="s">
        <v>74</v>
      </c>
      <c r="BR602" t="s">
        <v>106</v>
      </c>
      <c r="BS602" t="s">
        <v>5202</v>
      </c>
      <c r="BT602" t="str">
        <f>HYPERLINK("https%3A%2F%2Fwww.webofscience.com%2Fwos%2Fwoscc%2Ffull-record%2FWOS:000801931300015","View Full Record in Web of Science")</f>
        <v>View Full Record in Web of Science</v>
      </c>
    </row>
    <row r="603" spans="1:72" x14ac:dyDescent="0.25">
      <c r="A603" t="s">
        <v>72</v>
      </c>
      <c r="B603" t="s">
        <v>5203</v>
      </c>
      <c r="C603" t="s">
        <v>74</v>
      </c>
      <c r="D603" t="s">
        <v>74</v>
      </c>
      <c r="E603" t="s">
        <v>74</v>
      </c>
      <c r="F603" t="s">
        <v>5204</v>
      </c>
      <c r="G603" t="s">
        <v>74</v>
      </c>
      <c r="H603" t="s">
        <v>74</v>
      </c>
      <c r="I603" s="1" t="s">
        <v>5205</v>
      </c>
      <c r="J603" t="s">
        <v>5206</v>
      </c>
      <c r="K603" t="s">
        <v>74</v>
      </c>
      <c r="L603" t="s">
        <v>74</v>
      </c>
      <c r="M603" t="s">
        <v>2896</v>
      </c>
      <c r="N603" t="s">
        <v>79</v>
      </c>
      <c r="O603" t="s">
        <v>74</v>
      </c>
      <c r="P603" t="s">
        <v>74</v>
      </c>
      <c r="Q603" t="s">
        <v>74</v>
      </c>
      <c r="R603" t="s">
        <v>74</v>
      </c>
      <c r="S603" t="s">
        <v>74</v>
      </c>
      <c r="T603" s="1" t="s">
        <v>5207</v>
      </c>
      <c r="U603" s="1" t="s">
        <v>5208</v>
      </c>
      <c r="V603" s="1" t="s">
        <v>5209</v>
      </c>
      <c r="W603" t="s">
        <v>5210</v>
      </c>
      <c r="X603" t="s">
        <v>5211</v>
      </c>
      <c r="Y603" t="s">
        <v>5212</v>
      </c>
      <c r="Z603" t="s">
        <v>5213</v>
      </c>
      <c r="AA603" t="s">
        <v>74</v>
      </c>
      <c r="AB603" t="s">
        <v>74</v>
      </c>
      <c r="AC603" t="s">
        <v>74</v>
      </c>
      <c r="AD603" t="s">
        <v>74</v>
      </c>
      <c r="AE603" t="s">
        <v>74</v>
      </c>
      <c r="AF603" t="s">
        <v>74</v>
      </c>
      <c r="AG603">
        <v>32</v>
      </c>
      <c r="AH603">
        <v>0</v>
      </c>
      <c r="AI603">
        <v>0</v>
      </c>
      <c r="AJ603">
        <v>0</v>
      </c>
      <c r="AK603">
        <v>16</v>
      </c>
      <c r="AL603" t="s">
        <v>5214</v>
      </c>
      <c r="AM603" t="s">
        <v>5215</v>
      </c>
      <c r="AN603" t="s">
        <v>5216</v>
      </c>
      <c r="AO603" t="s">
        <v>5217</v>
      </c>
      <c r="AP603" t="s">
        <v>74</v>
      </c>
      <c r="AQ603" t="s">
        <v>74</v>
      </c>
      <c r="AR603" t="s">
        <v>5218</v>
      </c>
      <c r="AS603" t="s">
        <v>5219</v>
      </c>
      <c r="AT603" t="s">
        <v>2068</v>
      </c>
      <c r="AU603">
        <v>2022</v>
      </c>
      <c r="AV603" t="s">
        <v>74</v>
      </c>
      <c r="AW603">
        <v>11</v>
      </c>
      <c r="AX603" t="s">
        <v>74</v>
      </c>
      <c r="AY603" t="s">
        <v>74</v>
      </c>
      <c r="AZ603" t="s">
        <v>1020</v>
      </c>
      <c r="BA603" t="s">
        <v>74</v>
      </c>
      <c r="BB603">
        <v>92</v>
      </c>
      <c r="BC603">
        <v>113</v>
      </c>
      <c r="BD603" t="s">
        <v>74</v>
      </c>
      <c r="BE603" t="s">
        <v>5220</v>
      </c>
      <c r="BF603" t="str">
        <f>HYPERLINK("http://dx.doi.org/10.1054663/2182-9306.sn11.92-113","http://dx.doi.org/10.1054663/2182-9306.sn11.92-113")</f>
        <v>http://dx.doi.org/10.1054663/2182-9306.sn11.92-113</v>
      </c>
      <c r="BG603" t="s">
        <v>74</v>
      </c>
      <c r="BH603" t="s">
        <v>74</v>
      </c>
      <c r="BI603">
        <v>22</v>
      </c>
      <c r="BJ603" t="s">
        <v>2218</v>
      </c>
      <c r="BK603" t="s">
        <v>183</v>
      </c>
      <c r="BL603" t="s">
        <v>2218</v>
      </c>
      <c r="BM603" t="s">
        <v>5221</v>
      </c>
      <c r="BN603" t="s">
        <v>74</v>
      </c>
      <c r="BO603" t="s">
        <v>74</v>
      </c>
      <c r="BP603" t="s">
        <v>74</v>
      </c>
      <c r="BQ603" t="s">
        <v>74</v>
      </c>
      <c r="BR603" t="s">
        <v>106</v>
      </c>
      <c r="BS603" t="s">
        <v>5222</v>
      </c>
      <c r="BT603" t="str">
        <f>HYPERLINK("https%3A%2F%2Fwww.webofscience.com%2Fwos%2Fwoscc%2Ffull-record%2FWOS:000752414800001","View Full Record in Web of Science")</f>
        <v>View Full Record in Web of Science</v>
      </c>
    </row>
    <row r="604" spans="1:72" x14ac:dyDescent="0.25">
      <c r="A604" t="s">
        <v>72</v>
      </c>
      <c r="B604" t="s">
        <v>5245</v>
      </c>
      <c r="C604" t="s">
        <v>74</v>
      </c>
      <c r="D604" t="s">
        <v>74</v>
      </c>
      <c r="E604" t="s">
        <v>74</v>
      </c>
      <c r="F604" t="s">
        <v>5246</v>
      </c>
      <c r="G604" t="s">
        <v>74</v>
      </c>
      <c r="H604" t="s">
        <v>74</v>
      </c>
      <c r="I604" s="1" t="s">
        <v>5247</v>
      </c>
      <c r="J604" t="s">
        <v>5248</v>
      </c>
      <c r="K604" t="s">
        <v>74</v>
      </c>
      <c r="L604" t="s">
        <v>74</v>
      </c>
      <c r="M604" t="s">
        <v>5147</v>
      </c>
      <c r="N604" t="s">
        <v>79</v>
      </c>
      <c r="O604" t="s">
        <v>74</v>
      </c>
      <c r="P604" t="s">
        <v>74</v>
      </c>
      <c r="Q604" t="s">
        <v>74</v>
      </c>
      <c r="R604" t="s">
        <v>74</v>
      </c>
      <c r="S604" t="s">
        <v>74</v>
      </c>
      <c r="T604" s="1" t="s">
        <v>5249</v>
      </c>
      <c r="U604" s="1" t="s">
        <v>5250</v>
      </c>
      <c r="V604" s="1" t="s">
        <v>5251</v>
      </c>
      <c r="W604" t="s">
        <v>5252</v>
      </c>
      <c r="X604" t="s">
        <v>5253</v>
      </c>
      <c r="Y604" t="s">
        <v>5254</v>
      </c>
      <c r="Z604" t="s">
        <v>5255</v>
      </c>
      <c r="AA604" t="s">
        <v>74</v>
      </c>
      <c r="AB604" t="s">
        <v>74</v>
      </c>
      <c r="AC604" t="s">
        <v>74</v>
      </c>
      <c r="AD604" t="s">
        <v>74</v>
      </c>
      <c r="AE604" t="s">
        <v>74</v>
      </c>
      <c r="AF604" t="s">
        <v>74</v>
      </c>
      <c r="AG604">
        <v>23</v>
      </c>
      <c r="AH604">
        <v>0</v>
      </c>
      <c r="AI604">
        <v>0</v>
      </c>
      <c r="AJ604">
        <v>1</v>
      </c>
      <c r="AK604">
        <v>1</v>
      </c>
      <c r="AL604" t="s">
        <v>5256</v>
      </c>
      <c r="AM604" t="s">
        <v>5257</v>
      </c>
      <c r="AN604" t="s">
        <v>5258</v>
      </c>
      <c r="AO604" t="s">
        <v>5259</v>
      </c>
      <c r="AP604" t="s">
        <v>74</v>
      </c>
      <c r="AQ604" t="s">
        <v>74</v>
      </c>
      <c r="AR604" t="s">
        <v>5260</v>
      </c>
      <c r="AS604" t="s">
        <v>5261</v>
      </c>
      <c r="AT604" t="s">
        <v>74</v>
      </c>
      <c r="AU604">
        <v>2022</v>
      </c>
      <c r="AV604">
        <v>12</v>
      </c>
      <c r="AW604">
        <v>24</v>
      </c>
      <c r="AX604" t="s">
        <v>74</v>
      </c>
      <c r="AY604" t="s">
        <v>74</v>
      </c>
      <c r="AZ604" t="s">
        <v>74</v>
      </c>
      <c r="BA604" t="s">
        <v>74</v>
      </c>
      <c r="BB604" t="s">
        <v>74</v>
      </c>
      <c r="BC604" t="s">
        <v>74</v>
      </c>
      <c r="BD604" t="s">
        <v>74</v>
      </c>
      <c r="BE604" t="s">
        <v>5262</v>
      </c>
      <c r="BF604" t="str">
        <f>HYPERLINK("http://dx.doi.org/10.36253/cambio-11490","http://dx.doi.org/10.36253/cambio-11490")</f>
        <v>http://dx.doi.org/10.36253/cambio-11490</v>
      </c>
      <c r="BG604" t="s">
        <v>74</v>
      </c>
      <c r="BH604" t="s">
        <v>74</v>
      </c>
      <c r="BI604">
        <v>15</v>
      </c>
      <c r="BJ604" t="s">
        <v>5263</v>
      </c>
      <c r="BK604" t="s">
        <v>183</v>
      </c>
      <c r="BL604" t="s">
        <v>5263</v>
      </c>
      <c r="BM604" t="s">
        <v>5264</v>
      </c>
      <c r="BN604" t="s">
        <v>74</v>
      </c>
      <c r="BO604" t="s">
        <v>186</v>
      </c>
      <c r="BP604" t="s">
        <v>74</v>
      </c>
      <c r="BQ604" t="s">
        <v>74</v>
      </c>
      <c r="BR604" t="s">
        <v>106</v>
      </c>
      <c r="BS604" t="s">
        <v>5265</v>
      </c>
      <c r="BT604" t="str">
        <f>HYPERLINK("https%3A%2F%2Fwww.webofscience.com%2Fwos%2Fwoscc%2Ffull-record%2FWOS:000961307000005","View Full Record in Web of Science")</f>
        <v>View Full Record in Web of Science</v>
      </c>
    </row>
    <row r="605" spans="1:72" x14ac:dyDescent="0.25">
      <c r="A605" t="s">
        <v>72</v>
      </c>
      <c r="B605" t="s">
        <v>5266</v>
      </c>
      <c r="C605" t="s">
        <v>74</v>
      </c>
      <c r="D605" t="s">
        <v>74</v>
      </c>
      <c r="E605" t="s">
        <v>74</v>
      </c>
      <c r="F605" t="s">
        <v>5267</v>
      </c>
      <c r="G605" t="s">
        <v>74</v>
      </c>
      <c r="H605" t="s">
        <v>74</v>
      </c>
      <c r="I605" s="1" t="s">
        <v>5268</v>
      </c>
      <c r="J605" t="s">
        <v>5269</v>
      </c>
      <c r="K605" t="s">
        <v>74</v>
      </c>
      <c r="L605" t="s">
        <v>74</v>
      </c>
      <c r="M605" t="s">
        <v>78</v>
      </c>
      <c r="N605" t="s">
        <v>79</v>
      </c>
      <c r="O605" t="s">
        <v>74</v>
      </c>
      <c r="P605" t="s">
        <v>74</v>
      </c>
      <c r="Q605" t="s">
        <v>74</v>
      </c>
      <c r="R605" t="s">
        <v>74</v>
      </c>
      <c r="S605" t="s">
        <v>74</v>
      </c>
      <c r="T605" s="1" t="s">
        <v>5270</v>
      </c>
      <c r="U605" s="1" t="s">
        <v>74</v>
      </c>
      <c r="V605" s="1" t="s">
        <v>5271</v>
      </c>
      <c r="W605" t="s">
        <v>5272</v>
      </c>
      <c r="X605" t="s">
        <v>5273</v>
      </c>
      <c r="Y605" t="s">
        <v>5274</v>
      </c>
      <c r="Z605" t="s">
        <v>5275</v>
      </c>
      <c r="AA605" t="s">
        <v>5276</v>
      </c>
      <c r="AB605" t="s">
        <v>5277</v>
      </c>
      <c r="AC605" t="s">
        <v>5278</v>
      </c>
      <c r="AD605" t="s">
        <v>5279</v>
      </c>
      <c r="AE605" t="s">
        <v>5280</v>
      </c>
      <c r="AF605" t="s">
        <v>74</v>
      </c>
      <c r="AG605">
        <v>34</v>
      </c>
      <c r="AH605">
        <v>0</v>
      </c>
      <c r="AI605">
        <v>0</v>
      </c>
      <c r="AJ605">
        <v>5</v>
      </c>
      <c r="AK605">
        <v>8</v>
      </c>
      <c r="AL605" t="s">
        <v>5281</v>
      </c>
      <c r="AM605" t="s">
        <v>5282</v>
      </c>
      <c r="AN605" t="s">
        <v>5283</v>
      </c>
      <c r="AO605" t="s">
        <v>5284</v>
      </c>
      <c r="AP605" t="s">
        <v>74</v>
      </c>
      <c r="AQ605" t="s">
        <v>74</v>
      </c>
      <c r="AR605" t="s">
        <v>5285</v>
      </c>
      <c r="AS605" t="s">
        <v>5286</v>
      </c>
      <c r="AT605" t="s">
        <v>74</v>
      </c>
      <c r="AU605">
        <v>2022</v>
      </c>
      <c r="AV605">
        <v>21</v>
      </c>
      <c r="AW605" t="s">
        <v>5287</v>
      </c>
      <c r="AX605" t="s">
        <v>74</v>
      </c>
      <c r="AY605" t="s">
        <v>74</v>
      </c>
      <c r="AZ605" t="s">
        <v>74</v>
      </c>
      <c r="BA605" t="s">
        <v>74</v>
      </c>
      <c r="BB605">
        <v>462</v>
      </c>
      <c r="BC605">
        <v>478</v>
      </c>
      <c r="BD605" t="s">
        <v>74</v>
      </c>
      <c r="BE605" t="s">
        <v>74</v>
      </c>
      <c r="BF605" t="s">
        <v>74</v>
      </c>
      <c r="BG605" t="s">
        <v>74</v>
      </c>
      <c r="BH605" t="s">
        <v>74</v>
      </c>
      <c r="BI605">
        <v>17</v>
      </c>
      <c r="BJ605" t="s">
        <v>5288</v>
      </c>
      <c r="BK605" t="s">
        <v>156</v>
      </c>
      <c r="BL605" t="s">
        <v>265</v>
      </c>
      <c r="BM605" t="s">
        <v>5289</v>
      </c>
      <c r="BN605" t="s">
        <v>74</v>
      </c>
      <c r="BO605" t="s">
        <v>74</v>
      </c>
      <c r="BP605" t="s">
        <v>74</v>
      </c>
      <c r="BQ605" t="s">
        <v>74</v>
      </c>
      <c r="BR605" t="s">
        <v>106</v>
      </c>
      <c r="BS605" t="s">
        <v>5290</v>
      </c>
      <c r="BT605" t="str">
        <f>HYPERLINK("https%3A%2F%2Fwww.webofscience.com%2Fwos%2Fwoscc%2Ffull-record%2FWOS:000927592100004","View Full Record in Web of Science")</f>
        <v>View Full Record in Web of Science</v>
      </c>
    </row>
    <row r="606" spans="1:72" x14ac:dyDescent="0.25">
      <c r="A606" t="s">
        <v>72</v>
      </c>
      <c r="B606" t="s">
        <v>5547</v>
      </c>
      <c r="C606" t="s">
        <v>74</v>
      </c>
      <c r="D606" t="s">
        <v>74</v>
      </c>
      <c r="E606" t="s">
        <v>74</v>
      </c>
      <c r="F606" t="s">
        <v>5548</v>
      </c>
      <c r="G606" t="s">
        <v>74</v>
      </c>
      <c r="H606" t="s">
        <v>74</v>
      </c>
      <c r="I606" s="1" t="s">
        <v>5549</v>
      </c>
      <c r="J606" t="s">
        <v>573</v>
      </c>
      <c r="K606" t="s">
        <v>74</v>
      </c>
      <c r="L606" t="s">
        <v>74</v>
      </c>
      <c r="M606" t="s">
        <v>78</v>
      </c>
      <c r="N606" t="s">
        <v>79</v>
      </c>
      <c r="O606" t="s">
        <v>74</v>
      </c>
      <c r="P606" t="s">
        <v>74</v>
      </c>
      <c r="Q606" t="s">
        <v>74</v>
      </c>
      <c r="R606" t="s">
        <v>74</v>
      </c>
      <c r="S606" t="s">
        <v>74</v>
      </c>
      <c r="T606" s="1" t="s">
        <v>5550</v>
      </c>
      <c r="U606" s="1" t="s">
        <v>5551</v>
      </c>
      <c r="V606" s="1" t="s">
        <v>5552</v>
      </c>
      <c r="W606" t="s">
        <v>5553</v>
      </c>
      <c r="X606" t="s">
        <v>5554</v>
      </c>
      <c r="Y606" t="s">
        <v>5555</v>
      </c>
      <c r="Z606" t="s">
        <v>5556</v>
      </c>
      <c r="AA606" t="s">
        <v>74</v>
      </c>
      <c r="AB606" t="s">
        <v>74</v>
      </c>
      <c r="AC606" t="s">
        <v>74</v>
      </c>
      <c r="AD606" t="s">
        <v>74</v>
      </c>
      <c r="AE606" t="s">
        <v>74</v>
      </c>
      <c r="AF606" t="s">
        <v>74</v>
      </c>
      <c r="AG606">
        <v>70</v>
      </c>
      <c r="AH606">
        <v>0</v>
      </c>
      <c r="AI606">
        <v>0</v>
      </c>
      <c r="AJ606">
        <v>1</v>
      </c>
      <c r="AK606">
        <v>11</v>
      </c>
      <c r="AL606" t="s">
        <v>492</v>
      </c>
      <c r="AM606" t="s">
        <v>493</v>
      </c>
      <c r="AN606" t="s">
        <v>494</v>
      </c>
      <c r="AO606" t="s">
        <v>583</v>
      </c>
      <c r="AP606" t="s">
        <v>584</v>
      </c>
      <c r="AQ606" t="s">
        <v>74</v>
      </c>
      <c r="AR606" t="s">
        <v>585</v>
      </c>
      <c r="AS606" t="s">
        <v>586</v>
      </c>
      <c r="AT606" t="s">
        <v>5557</v>
      </c>
      <c r="AU606">
        <v>2023</v>
      </c>
      <c r="AV606">
        <v>26</v>
      </c>
      <c r="AW606">
        <v>6</v>
      </c>
      <c r="AX606" t="s">
        <v>74</v>
      </c>
      <c r="AY606" t="s">
        <v>74</v>
      </c>
      <c r="AZ606" t="s">
        <v>74</v>
      </c>
      <c r="BA606" t="s">
        <v>74</v>
      </c>
      <c r="BB606">
        <v>1177</v>
      </c>
      <c r="BC606">
        <v>1192</v>
      </c>
      <c r="BD606" t="s">
        <v>74</v>
      </c>
      <c r="BE606" t="s">
        <v>5558</v>
      </c>
      <c r="BF606" t="str">
        <f>HYPERLINK("http://dx.doi.org/10.1080/1369118X.2021.1994628","http://dx.doi.org/10.1080/1369118X.2021.1994628")</f>
        <v>http://dx.doi.org/10.1080/1369118X.2021.1994628</v>
      </c>
      <c r="BG606" t="s">
        <v>74</v>
      </c>
      <c r="BH606" t="s">
        <v>5559</v>
      </c>
      <c r="BI606">
        <v>16</v>
      </c>
      <c r="BJ606" t="s">
        <v>589</v>
      </c>
      <c r="BK606" t="s">
        <v>156</v>
      </c>
      <c r="BL606" t="s">
        <v>589</v>
      </c>
      <c r="BM606" t="s">
        <v>5560</v>
      </c>
      <c r="BN606" t="s">
        <v>74</v>
      </c>
      <c r="BO606" t="s">
        <v>74</v>
      </c>
      <c r="BP606" t="s">
        <v>74</v>
      </c>
      <c r="BQ606" t="s">
        <v>74</v>
      </c>
      <c r="BR606" t="s">
        <v>106</v>
      </c>
      <c r="BS606" t="s">
        <v>5561</v>
      </c>
      <c r="BT606" t="str">
        <f>HYPERLINK("https%3A%2F%2Fwww.webofscience.com%2Fwos%2Fwoscc%2Ffull-record%2FWOS:000712668000001","View Full Record in Web of Science")</f>
        <v>View Full Record in Web of Science</v>
      </c>
    </row>
    <row r="607" spans="1:72" x14ac:dyDescent="0.25">
      <c r="A607" t="s">
        <v>72</v>
      </c>
      <c r="B607" t="s">
        <v>5626</v>
      </c>
      <c r="C607" t="s">
        <v>74</v>
      </c>
      <c r="D607" t="s">
        <v>74</v>
      </c>
      <c r="E607" t="s">
        <v>74</v>
      </c>
      <c r="F607" t="s">
        <v>5627</v>
      </c>
      <c r="G607" t="s">
        <v>74</v>
      </c>
      <c r="H607" t="s">
        <v>74</v>
      </c>
      <c r="I607" s="1" t="s">
        <v>5628</v>
      </c>
      <c r="J607" t="s">
        <v>5629</v>
      </c>
      <c r="K607" t="s">
        <v>74</v>
      </c>
      <c r="L607" t="s">
        <v>74</v>
      </c>
      <c r="M607" t="s">
        <v>78</v>
      </c>
      <c r="N607" t="s">
        <v>79</v>
      </c>
      <c r="O607" t="s">
        <v>74</v>
      </c>
      <c r="P607" t="s">
        <v>74</v>
      </c>
      <c r="Q607" t="s">
        <v>74</v>
      </c>
      <c r="R607" t="s">
        <v>74</v>
      </c>
      <c r="S607" t="s">
        <v>74</v>
      </c>
      <c r="T607" s="1" t="s">
        <v>5630</v>
      </c>
      <c r="U607" s="1" t="s">
        <v>74</v>
      </c>
      <c r="V607" s="1" t="s">
        <v>5631</v>
      </c>
      <c r="W607" t="s">
        <v>5632</v>
      </c>
      <c r="X607" t="s">
        <v>5633</v>
      </c>
      <c r="Y607" t="s">
        <v>5634</v>
      </c>
      <c r="Z607" t="s">
        <v>5635</v>
      </c>
      <c r="AA607" t="s">
        <v>74</v>
      </c>
      <c r="AB607" t="s">
        <v>74</v>
      </c>
      <c r="AC607" t="s">
        <v>74</v>
      </c>
      <c r="AD607" t="s">
        <v>74</v>
      </c>
      <c r="AE607" t="s">
        <v>74</v>
      </c>
      <c r="AF607" t="s">
        <v>74</v>
      </c>
      <c r="AG607">
        <v>22</v>
      </c>
      <c r="AH607">
        <v>0</v>
      </c>
      <c r="AI607">
        <v>0</v>
      </c>
      <c r="AJ607">
        <v>4</v>
      </c>
      <c r="AK607">
        <v>21</v>
      </c>
      <c r="AL607" t="s">
        <v>5636</v>
      </c>
      <c r="AM607" t="s">
        <v>2281</v>
      </c>
      <c r="AN607" t="s">
        <v>5637</v>
      </c>
      <c r="AO607" t="s">
        <v>5638</v>
      </c>
      <c r="AP607" t="s">
        <v>74</v>
      </c>
      <c r="AQ607" t="s">
        <v>74</v>
      </c>
      <c r="AR607" t="s">
        <v>5639</v>
      </c>
      <c r="AS607" t="s">
        <v>5639</v>
      </c>
      <c r="AT607" t="s">
        <v>5640</v>
      </c>
      <c r="AU607">
        <v>2021</v>
      </c>
      <c r="AV607">
        <v>12</v>
      </c>
      <c r="AW607">
        <v>4</v>
      </c>
      <c r="AX607" t="s">
        <v>74</v>
      </c>
      <c r="AY607" t="s">
        <v>74</v>
      </c>
      <c r="AZ607" t="s">
        <v>74</v>
      </c>
      <c r="BA607" t="s">
        <v>74</v>
      </c>
      <c r="BB607">
        <v>29</v>
      </c>
      <c r="BC607">
        <v>35</v>
      </c>
      <c r="BD607" t="s">
        <v>74</v>
      </c>
      <c r="BE607" t="s">
        <v>5641</v>
      </c>
      <c r="BF607" t="str">
        <f>HYPERLINK("http://dx.doi.org/10.23925/2179-3565.2021v12i4p29-35","http://dx.doi.org/10.23925/2179-3565.2021v12i4p29-35")</f>
        <v>http://dx.doi.org/10.23925/2179-3565.2021v12i4p29-35</v>
      </c>
      <c r="BG607" t="s">
        <v>74</v>
      </c>
      <c r="BH607" t="s">
        <v>74</v>
      </c>
      <c r="BI607">
        <v>7</v>
      </c>
      <c r="BJ607" t="s">
        <v>315</v>
      </c>
      <c r="BK607" t="s">
        <v>183</v>
      </c>
      <c r="BL607" t="s">
        <v>265</v>
      </c>
      <c r="BM607" t="s">
        <v>5642</v>
      </c>
      <c r="BN607" t="s">
        <v>74</v>
      </c>
      <c r="BO607" t="s">
        <v>186</v>
      </c>
      <c r="BP607" t="s">
        <v>74</v>
      </c>
      <c r="BQ607" t="s">
        <v>74</v>
      </c>
      <c r="BR607" t="s">
        <v>106</v>
      </c>
      <c r="BS607" t="s">
        <v>5643</v>
      </c>
      <c r="BT607" t="str">
        <f>HYPERLINK("https%3A%2F%2Fwww.webofscience.com%2Fwos%2Fwoscc%2Ffull-record%2FWOS:000744182400004","View Full Record in Web of Science")</f>
        <v>View Full Record in Web of Science</v>
      </c>
    </row>
    <row r="608" spans="1:72" x14ac:dyDescent="0.25">
      <c r="A608" t="s">
        <v>72</v>
      </c>
      <c r="B608" t="s">
        <v>5792</v>
      </c>
      <c r="C608" t="s">
        <v>74</v>
      </c>
      <c r="D608" t="s">
        <v>74</v>
      </c>
      <c r="E608" t="s">
        <v>74</v>
      </c>
      <c r="F608" t="s">
        <v>5793</v>
      </c>
      <c r="G608" t="s">
        <v>74</v>
      </c>
      <c r="H608" t="s">
        <v>74</v>
      </c>
      <c r="I608" s="1" t="s">
        <v>5794</v>
      </c>
      <c r="J608" t="s">
        <v>5795</v>
      </c>
      <c r="K608" t="s">
        <v>74</v>
      </c>
      <c r="L608" t="s">
        <v>74</v>
      </c>
      <c r="M608" t="s">
        <v>78</v>
      </c>
      <c r="N608" t="s">
        <v>79</v>
      </c>
      <c r="O608" t="s">
        <v>74</v>
      </c>
      <c r="P608" t="s">
        <v>74</v>
      </c>
      <c r="Q608" t="s">
        <v>74</v>
      </c>
      <c r="R608" t="s">
        <v>74</v>
      </c>
      <c r="S608" t="s">
        <v>74</v>
      </c>
      <c r="T608" s="1" t="s">
        <v>5796</v>
      </c>
      <c r="U608" s="1" t="s">
        <v>74</v>
      </c>
      <c r="V608" s="1" t="s">
        <v>5797</v>
      </c>
      <c r="W608" t="s">
        <v>5798</v>
      </c>
      <c r="X608" t="s">
        <v>5799</v>
      </c>
      <c r="Y608" t="s">
        <v>5800</v>
      </c>
      <c r="Z608" t="s">
        <v>5801</v>
      </c>
      <c r="AA608" t="s">
        <v>74</v>
      </c>
      <c r="AB608" t="s">
        <v>5802</v>
      </c>
      <c r="AC608" t="s">
        <v>74</v>
      </c>
      <c r="AD608" t="s">
        <v>74</v>
      </c>
      <c r="AE608" t="s">
        <v>74</v>
      </c>
      <c r="AF608" t="s">
        <v>74</v>
      </c>
      <c r="AG608">
        <v>61</v>
      </c>
      <c r="AH608">
        <v>0</v>
      </c>
      <c r="AI608">
        <v>0</v>
      </c>
      <c r="AJ608">
        <v>0</v>
      </c>
      <c r="AK608">
        <v>3</v>
      </c>
      <c r="AL608" t="s">
        <v>492</v>
      </c>
      <c r="AM608" t="s">
        <v>493</v>
      </c>
      <c r="AN608" t="s">
        <v>494</v>
      </c>
      <c r="AO608" t="s">
        <v>5803</v>
      </c>
      <c r="AP608" t="s">
        <v>5804</v>
      </c>
      <c r="AQ608" t="s">
        <v>74</v>
      </c>
      <c r="AR608" t="s">
        <v>5805</v>
      </c>
      <c r="AS608" t="s">
        <v>5806</v>
      </c>
      <c r="AT608" t="s">
        <v>3237</v>
      </c>
      <c r="AU608">
        <v>2021</v>
      </c>
      <c r="AV608">
        <v>18</v>
      </c>
      <c r="AW608">
        <v>3</v>
      </c>
      <c r="AX608" t="s">
        <v>74</v>
      </c>
      <c r="AY608" t="s">
        <v>74</v>
      </c>
      <c r="AZ608" t="s">
        <v>1020</v>
      </c>
      <c r="BA608" t="s">
        <v>74</v>
      </c>
      <c r="BB608">
        <v>195</v>
      </c>
      <c r="BC608">
        <v>211</v>
      </c>
      <c r="BD608" t="s">
        <v>74</v>
      </c>
      <c r="BE608" t="s">
        <v>5807</v>
      </c>
      <c r="BF608" t="str">
        <f>HYPERLINK("http://dx.doi.org/10.1080/17411548.2021.1921930","http://dx.doi.org/10.1080/17411548.2021.1921930")</f>
        <v>http://dx.doi.org/10.1080/17411548.2021.1921930</v>
      </c>
      <c r="BG608" t="s">
        <v>74</v>
      </c>
      <c r="BH608" t="s">
        <v>5683</v>
      </c>
      <c r="BI608">
        <v>17</v>
      </c>
      <c r="BJ608" t="s">
        <v>5808</v>
      </c>
      <c r="BK608" t="s">
        <v>183</v>
      </c>
      <c r="BL608" t="s">
        <v>5809</v>
      </c>
      <c r="BM608" t="s">
        <v>5810</v>
      </c>
      <c r="BN608" t="s">
        <v>74</v>
      </c>
      <c r="BO608" t="s">
        <v>74</v>
      </c>
      <c r="BP608" t="s">
        <v>74</v>
      </c>
      <c r="BQ608" t="s">
        <v>74</v>
      </c>
      <c r="BR608" t="s">
        <v>106</v>
      </c>
      <c r="BS608" t="s">
        <v>5811</v>
      </c>
      <c r="BT608" t="str">
        <f>HYPERLINK("https%3A%2F%2Fwww.webofscience.com%2Fwos%2Fwoscc%2Ffull-record%2FWOS:000695454600001","View Full Record in Web of Science")</f>
        <v>View Full Record in Web of Science</v>
      </c>
    </row>
    <row r="609" spans="1:72" x14ac:dyDescent="0.25">
      <c r="A609" t="s">
        <v>72</v>
      </c>
      <c r="B609" t="s">
        <v>6344</v>
      </c>
      <c r="C609" t="s">
        <v>74</v>
      </c>
      <c r="D609" t="s">
        <v>74</v>
      </c>
      <c r="E609" t="s">
        <v>74</v>
      </c>
      <c r="F609" t="s">
        <v>6345</v>
      </c>
      <c r="G609" t="s">
        <v>74</v>
      </c>
      <c r="H609" t="s">
        <v>74</v>
      </c>
      <c r="I609" s="1" t="s">
        <v>6346</v>
      </c>
      <c r="J609" t="s">
        <v>6347</v>
      </c>
      <c r="K609" t="s">
        <v>74</v>
      </c>
      <c r="L609" t="s">
        <v>74</v>
      </c>
      <c r="M609" t="s">
        <v>929</v>
      </c>
      <c r="N609" t="s">
        <v>79</v>
      </c>
      <c r="O609" t="s">
        <v>74</v>
      </c>
      <c r="P609" t="s">
        <v>74</v>
      </c>
      <c r="Q609" t="s">
        <v>74</v>
      </c>
      <c r="R609" t="s">
        <v>74</v>
      </c>
      <c r="S609" t="s">
        <v>74</v>
      </c>
      <c r="T609" s="1" t="s">
        <v>6348</v>
      </c>
      <c r="U609" s="1" t="s">
        <v>74</v>
      </c>
      <c r="V609" s="1" t="s">
        <v>6349</v>
      </c>
      <c r="W609" t="s">
        <v>6350</v>
      </c>
      <c r="X609" t="s">
        <v>74</v>
      </c>
      <c r="Y609" t="s">
        <v>6351</v>
      </c>
      <c r="Z609" t="s">
        <v>6352</v>
      </c>
      <c r="AA609" t="s">
        <v>74</v>
      </c>
      <c r="AB609" t="s">
        <v>74</v>
      </c>
      <c r="AC609" t="s">
        <v>74</v>
      </c>
      <c r="AD609" t="s">
        <v>74</v>
      </c>
      <c r="AE609" t="s">
        <v>74</v>
      </c>
      <c r="AF609" t="s">
        <v>74</v>
      </c>
      <c r="AG609">
        <v>30</v>
      </c>
      <c r="AH609">
        <v>0</v>
      </c>
      <c r="AI609">
        <v>0</v>
      </c>
      <c r="AJ609">
        <v>2</v>
      </c>
      <c r="AK609">
        <v>25</v>
      </c>
      <c r="AL609" t="s">
        <v>6353</v>
      </c>
      <c r="AM609" t="s">
        <v>6354</v>
      </c>
      <c r="AN609" t="s">
        <v>6355</v>
      </c>
      <c r="AO609" t="s">
        <v>6356</v>
      </c>
      <c r="AP609" t="s">
        <v>74</v>
      </c>
      <c r="AQ609" t="s">
        <v>74</v>
      </c>
      <c r="AR609" t="s">
        <v>6357</v>
      </c>
      <c r="AS609" t="s">
        <v>6358</v>
      </c>
      <c r="AT609" t="s">
        <v>6359</v>
      </c>
      <c r="AU609">
        <v>2021</v>
      </c>
      <c r="AV609">
        <v>14</v>
      </c>
      <c r="AW609">
        <v>1</v>
      </c>
      <c r="AX609" t="s">
        <v>74</v>
      </c>
      <c r="AY609" t="s">
        <v>74</v>
      </c>
      <c r="AZ609" t="s">
        <v>74</v>
      </c>
      <c r="BA609" t="s">
        <v>74</v>
      </c>
      <c r="BB609">
        <v>63</v>
      </c>
      <c r="BC609">
        <v>85</v>
      </c>
      <c r="BD609" t="s">
        <v>74</v>
      </c>
      <c r="BE609" t="s">
        <v>6360</v>
      </c>
      <c r="BF609" t="str">
        <f>HYPERLINK("http://dx.doi.org/10.18359/ravi.5027","http://dx.doi.org/10.18359/ravi.5027")</f>
        <v>http://dx.doi.org/10.18359/ravi.5027</v>
      </c>
      <c r="BG609" t="s">
        <v>74</v>
      </c>
      <c r="BH609" t="s">
        <v>74</v>
      </c>
      <c r="BI609">
        <v>23</v>
      </c>
      <c r="BJ609" t="s">
        <v>1326</v>
      </c>
      <c r="BK609" t="s">
        <v>183</v>
      </c>
      <c r="BL609" t="s">
        <v>1326</v>
      </c>
      <c r="BM609" t="s">
        <v>6361</v>
      </c>
      <c r="BN609" t="s">
        <v>74</v>
      </c>
      <c r="BO609" t="s">
        <v>2162</v>
      </c>
      <c r="BP609" t="s">
        <v>74</v>
      </c>
      <c r="BQ609" t="s">
        <v>74</v>
      </c>
      <c r="BR609" t="s">
        <v>106</v>
      </c>
      <c r="BS609" t="s">
        <v>6362</v>
      </c>
      <c r="BT609" t="str">
        <f>HYPERLINK("https%3A%2F%2Fwww.webofscience.com%2Fwos%2Fwoscc%2Ffull-record%2FWOS:000657259400005","View Full Record in Web of Science")</f>
        <v>View Full Record in Web of Science</v>
      </c>
    </row>
    <row r="610" spans="1:72" x14ac:dyDescent="0.25">
      <c r="A610" t="s">
        <v>72</v>
      </c>
      <c r="B610" t="s">
        <v>6568</v>
      </c>
      <c r="C610" t="s">
        <v>74</v>
      </c>
      <c r="D610" t="s">
        <v>74</v>
      </c>
      <c r="E610" t="s">
        <v>74</v>
      </c>
      <c r="F610" t="s">
        <v>6569</v>
      </c>
      <c r="G610" t="s">
        <v>74</v>
      </c>
      <c r="H610" t="s">
        <v>74</v>
      </c>
      <c r="I610" s="1" t="s">
        <v>6570</v>
      </c>
      <c r="J610" t="s">
        <v>6571</v>
      </c>
      <c r="K610" t="s">
        <v>74</v>
      </c>
      <c r="L610" t="s">
        <v>74</v>
      </c>
      <c r="M610" t="s">
        <v>78</v>
      </c>
      <c r="N610" t="s">
        <v>79</v>
      </c>
      <c r="O610" t="s">
        <v>74</v>
      </c>
      <c r="P610" t="s">
        <v>74</v>
      </c>
      <c r="Q610" t="s">
        <v>74</v>
      </c>
      <c r="R610" t="s">
        <v>74</v>
      </c>
      <c r="S610" t="s">
        <v>74</v>
      </c>
      <c r="T610" s="1" t="s">
        <v>6572</v>
      </c>
      <c r="U610" s="1" t="s">
        <v>74</v>
      </c>
      <c r="V610" s="1" t="s">
        <v>6573</v>
      </c>
      <c r="W610" t="s">
        <v>74</v>
      </c>
      <c r="X610" t="s">
        <v>74</v>
      </c>
      <c r="Y610" t="s">
        <v>74</v>
      </c>
      <c r="Z610" t="s">
        <v>74</v>
      </c>
      <c r="AA610" t="s">
        <v>74</v>
      </c>
      <c r="AB610" t="s">
        <v>74</v>
      </c>
      <c r="AC610" t="s">
        <v>74</v>
      </c>
      <c r="AD610" t="s">
        <v>74</v>
      </c>
      <c r="AE610" t="s">
        <v>74</v>
      </c>
      <c r="AF610" t="s">
        <v>74</v>
      </c>
      <c r="AG610">
        <v>4</v>
      </c>
      <c r="AH610">
        <v>0</v>
      </c>
      <c r="AI610">
        <v>0</v>
      </c>
      <c r="AJ610">
        <v>0</v>
      </c>
      <c r="AK610">
        <v>2</v>
      </c>
      <c r="AL610" t="s">
        <v>6574</v>
      </c>
      <c r="AM610" t="s">
        <v>2129</v>
      </c>
      <c r="AN610" t="s">
        <v>6575</v>
      </c>
      <c r="AO610" t="s">
        <v>6576</v>
      </c>
      <c r="AP610" t="s">
        <v>6577</v>
      </c>
      <c r="AQ610" t="s">
        <v>74</v>
      </c>
      <c r="AR610" t="s">
        <v>6578</v>
      </c>
      <c r="AS610" t="s">
        <v>6579</v>
      </c>
      <c r="AT610" t="s">
        <v>1430</v>
      </c>
      <c r="AU610">
        <v>2021</v>
      </c>
      <c r="AV610">
        <v>186</v>
      </c>
      <c r="AW610" t="s">
        <v>74</v>
      </c>
      <c r="AX610" t="s">
        <v>74</v>
      </c>
      <c r="AY610" t="s">
        <v>74</v>
      </c>
      <c r="AZ610" t="s">
        <v>1020</v>
      </c>
      <c r="BA610" t="s">
        <v>74</v>
      </c>
      <c r="BB610">
        <v>18</v>
      </c>
      <c r="BC610">
        <v>22</v>
      </c>
      <c r="BD610" t="s">
        <v>74</v>
      </c>
      <c r="BE610" t="s">
        <v>6580</v>
      </c>
      <c r="BF610" t="str">
        <f>HYPERLINK("http://dx.doi.org/10.3138/ctr.186.004","http://dx.doi.org/10.3138/ctr.186.004")</f>
        <v>http://dx.doi.org/10.3138/ctr.186.004</v>
      </c>
      <c r="BG610" t="s">
        <v>74</v>
      </c>
      <c r="BH610" t="s">
        <v>74</v>
      </c>
      <c r="BI610">
        <v>5</v>
      </c>
      <c r="BJ610" t="s">
        <v>6581</v>
      </c>
      <c r="BK610" t="s">
        <v>3239</v>
      </c>
      <c r="BL610" t="s">
        <v>6581</v>
      </c>
      <c r="BM610" t="s">
        <v>6582</v>
      </c>
      <c r="BN610" t="s">
        <v>74</v>
      </c>
      <c r="BO610" t="s">
        <v>74</v>
      </c>
      <c r="BP610" t="s">
        <v>74</v>
      </c>
      <c r="BQ610" t="s">
        <v>74</v>
      </c>
      <c r="BR610" t="s">
        <v>106</v>
      </c>
      <c r="BS610" t="s">
        <v>6583</v>
      </c>
      <c r="BT610" t="str">
        <f>HYPERLINK("https%3A%2F%2Fwww.webofscience.com%2Fwos%2Fwoscc%2Ffull-record%2FWOS:000642009300004","View Full Record in Web of Science")</f>
        <v>View Full Record in Web of Science</v>
      </c>
    </row>
    <row r="611" spans="1:72" x14ac:dyDescent="0.25">
      <c r="A611" t="s">
        <v>72</v>
      </c>
      <c r="B611" t="s">
        <v>6894</v>
      </c>
      <c r="C611" t="s">
        <v>74</v>
      </c>
      <c r="D611" t="s">
        <v>74</v>
      </c>
      <c r="E611" t="s">
        <v>74</v>
      </c>
      <c r="F611" t="s">
        <v>6895</v>
      </c>
      <c r="G611" t="s">
        <v>74</v>
      </c>
      <c r="H611" t="s">
        <v>74</v>
      </c>
      <c r="I611" s="1" t="s">
        <v>6896</v>
      </c>
      <c r="J611" t="s">
        <v>6897</v>
      </c>
      <c r="K611" t="s">
        <v>74</v>
      </c>
      <c r="L611" t="s">
        <v>74</v>
      </c>
      <c r="M611" t="s">
        <v>78</v>
      </c>
      <c r="N611" t="s">
        <v>79</v>
      </c>
      <c r="O611" t="s">
        <v>74</v>
      </c>
      <c r="P611" t="s">
        <v>74</v>
      </c>
      <c r="Q611" t="s">
        <v>74</v>
      </c>
      <c r="R611" t="s">
        <v>74</v>
      </c>
      <c r="S611" t="s">
        <v>74</v>
      </c>
      <c r="T611" s="1" t="s">
        <v>6898</v>
      </c>
      <c r="U611" s="1" t="s">
        <v>6899</v>
      </c>
      <c r="V611" s="1" t="s">
        <v>6900</v>
      </c>
      <c r="W611" t="s">
        <v>6901</v>
      </c>
      <c r="X611" t="s">
        <v>74</v>
      </c>
      <c r="Y611" t="s">
        <v>6902</v>
      </c>
      <c r="Z611" t="s">
        <v>6903</v>
      </c>
      <c r="AA611" t="s">
        <v>74</v>
      </c>
      <c r="AB611" t="s">
        <v>74</v>
      </c>
      <c r="AC611" t="s">
        <v>74</v>
      </c>
      <c r="AD611" t="s">
        <v>74</v>
      </c>
      <c r="AE611" t="s">
        <v>74</v>
      </c>
      <c r="AF611" t="s">
        <v>74</v>
      </c>
      <c r="AG611">
        <v>17</v>
      </c>
      <c r="AH611">
        <v>0</v>
      </c>
      <c r="AI611">
        <v>0</v>
      </c>
      <c r="AJ611">
        <v>0</v>
      </c>
      <c r="AK611">
        <v>2</v>
      </c>
      <c r="AL611" t="s">
        <v>492</v>
      </c>
      <c r="AM611" t="s">
        <v>493</v>
      </c>
      <c r="AN611" t="s">
        <v>494</v>
      </c>
      <c r="AO611" t="s">
        <v>6904</v>
      </c>
      <c r="AP611" t="s">
        <v>6905</v>
      </c>
      <c r="AQ611" t="s">
        <v>74</v>
      </c>
      <c r="AR611" t="s">
        <v>6906</v>
      </c>
      <c r="AS611" t="s">
        <v>6907</v>
      </c>
      <c r="AT611" t="s">
        <v>3505</v>
      </c>
      <c r="AU611">
        <v>2021</v>
      </c>
      <c r="AV611">
        <v>26</v>
      </c>
      <c r="AW611">
        <v>1</v>
      </c>
      <c r="AX611" t="s">
        <v>74</v>
      </c>
      <c r="AY611" t="s">
        <v>74</v>
      </c>
      <c r="AZ611" t="s">
        <v>74</v>
      </c>
      <c r="BA611" t="s">
        <v>74</v>
      </c>
      <c r="BB611">
        <v>38</v>
      </c>
      <c r="BC611">
        <v>58</v>
      </c>
      <c r="BD611" t="s">
        <v>74</v>
      </c>
      <c r="BE611" t="s">
        <v>6908</v>
      </c>
      <c r="BF611" t="str">
        <f>HYPERLINK("http://dx.doi.org/10.1080/13596748.2021.1873407","http://dx.doi.org/10.1080/13596748.2021.1873407")</f>
        <v>http://dx.doi.org/10.1080/13596748.2021.1873407</v>
      </c>
      <c r="BG611" t="s">
        <v>74</v>
      </c>
      <c r="BH611" t="s">
        <v>74</v>
      </c>
      <c r="BI611">
        <v>21</v>
      </c>
      <c r="BJ611" t="s">
        <v>1326</v>
      </c>
      <c r="BK611" t="s">
        <v>183</v>
      </c>
      <c r="BL611" t="s">
        <v>1326</v>
      </c>
      <c r="BM611" t="s">
        <v>6909</v>
      </c>
      <c r="BN611" t="s">
        <v>74</v>
      </c>
      <c r="BO611" t="s">
        <v>74</v>
      </c>
      <c r="BP611" t="s">
        <v>74</v>
      </c>
      <c r="BQ611" t="s">
        <v>74</v>
      </c>
      <c r="BR611" t="s">
        <v>106</v>
      </c>
      <c r="BS611" t="s">
        <v>6910</v>
      </c>
      <c r="BT611" t="str">
        <f>HYPERLINK("https%3A%2F%2Fwww.webofscience.com%2Fwos%2Fwoscc%2Ffull-record%2FWOS:000626291900003","View Full Record in Web of Science")</f>
        <v>View Full Record in Web of Science</v>
      </c>
    </row>
    <row r="612" spans="1:72" x14ac:dyDescent="0.25">
      <c r="A612" t="s">
        <v>72</v>
      </c>
      <c r="B612" t="s">
        <v>6927</v>
      </c>
      <c r="C612" t="s">
        <v>74</v>
      </c>
      <c r="D612" t="s">
        <v>74</v>
      </c>
      <c r="E612" t="s">
        <v>74</v>
      </c>
      <c r="F612" t="s">
        <v>6928</v>
      </c>
      <c r="G612" t="s">
        <v>74</v>
      </c>
      <c r="H612" t="s">
        <v>74</v>
      </c>
      <c r="I612" s="1" t="s">
        <v>6929</v>
      </c>
      <c r="J612" t="s">
        <v>6930</v>
      </c>
      <c r="K612" t="s">
        <v>74</v>
      </c>
      <c r="L612" t="s">
        <v>74</v>
      </c>
      <c r="M612" t="s">
        <v>4637</v>
      </c>
      <c r="N612" t="s">
        <v>79</v>
      </c>
      <c r="O612" t="s">
        <v>74</v>
      </c>
      <c r="P612" t="s">
        <v>74</v>
      </c>
      <c r="Q612" t="s">
        <v>74</v>
      </c>
      <c r="R612" t="s">
        <v>74</v>
      </c>
      <c r="S612" t="s">
        <v>74</v>
      </c>
      <c r="T612" s="1" t="s">
        <v>6931</v>
      </c>
      <c r="U612" s="1" t="s">
        <v>74</v>
      </c>
      <c r="V612" s="1" t="s">
        <v>6932</v>
      </c>
      <c r="W612" t="s">
        <v>6933</v>
      </c>
      <c r="X612" t="s">
        <v>6934</v>
      </c>
      <c r="Y612" t="s">
        <v>6935</v>
      </c>
      <c r="Z612" t="s">
        <v>6936</v>
      </c>
      <c r="AA612" t="s">
        <v>74</v>
      </c>
      <c r="AB612" t="s">
        <v>74</v>
      </c>
      <c r="AC612" t="s">
        <v>74</v>
      </c>
      <c r="AD612" t="s">
        <v>74</v>
      </c>
      <c r="AE612" t="s">
        <v>74</v>
      </c>
      <c r="AF612" t="s">
        <v>74</v>
      </c>
      <c r="AG612">
        <v>30</v>
      </c>
      <c r="AH612">
        <v>0</v>
      </c>
      <c r="AI612">
        <v>0</v>
      </c>
      <c r="AJ612">
        <v>0</v>
      </c>
      <c r="AK612">
        <v>5</v>
      </c>
      <c r="AL612" t="s">
        <v>6937</v>
      </c>
      <c r="AM612" t="s">
        <v>6938</v>
      </c>
      <c r="AN612" t="s">
        <v>6939</v>
      </c>
      <c r="AO612" t="s">
        <v>6940</v>
      </c>
      <c r="AP612" t="s">
        <v>74</v>
      </c>
      <c r="AQ612" t="s">
        <v>74</v>
      </c>
      <c r="AR612" t="s">
        <v>6941</v>
      </c>
      <c r="AS612" t="s">
        <v>6942</v>
      </c>
      <c r="AT612" t="s">
        <v>74</v>
      </c>
      <c r="AU612">
        <v>2021</v>
      </c>
      <c r="AV612">
        <v>24</v>
      </c>
      <c r="AW612">
        <v>2</v>
      </c>
      <c r="AX612" t="s">
        <v>74</v>
      </c>
      <c r="AY612" t="s">
        <v>74</v>
      </c>
      <c r="AZ612" t="s">
        <v>74</v>
      </c>
      <c r="BA612" t="s">
        <v>74</v>
      </c>
      <c r="BB612" t="s">
        <v>74</v>
      </c>
      <c r="BC612" t="s">
        <v>74</v>
      </c>
      <c r="BD612">
        <v>5739</v>
      </c>
      <c r="BE612" t="s">
        <v>6943</v>
      </c>
      <c r="BF612" t="str">
        <f>HYPERLINK("http://dx.doi.org/10.4000/alsic.5739","http://dx.doi.org/10.4000/alsic.5739")</f>
        <v>http://dx.doi.org/10.4000/alsic.5739</v>
      </c>
      <c r="BG612" t="s">
        <v>74</v>
      </c>
      <c r="BH612" t="s">
        <v>74</v>
      </c>
      <c r="BI612">
        <v>20</v>
      </c>
      <c r="BJ612" t="s">
        <v>1326</v>
      </c>
      <c r="BK612" t="s">
        <v>183</v>
      </c>
      <c r="BL612" t="s">
        <v>1326</v>
      </c>
      <c r="BM612" t="s">
        <v>6944</v>
      </c>
      <c r="BN612" t="s">
        <v>74</v>
      </c>
      <c r="BO612" t="s">
        <v>2730</v>
      </c>
      <c r="BP612" t="s">
        <v>74</v>
      </c>
      <c r="BQ612" t="s">
        <v>74</v>
      </c>
      <c r="BR612" t="s">
        <v>106</v>
      </c>
      <c r="BS612" t="s">
        <v>6945</v>
      </c>
      <c r="BT612" t="str">
        <f>HYPERLINK("https%3A%2F%2Fwww.webofscience.com%2Fwos%2Fwoscc%2Ffull-record%2FWOS:000744952700005","View Full Record in Web of Science")</f>
        <v>View Full Record in Web of Science</v>
      </c>
    </row>
    <row r="613" spans="1:72" x14ac:dyDescent="0.25">
      <c r="A613" t="s">
        <v>72</v>
      </c>
      <c r="B613" t="s">
        <v>6960</v>
      </c>
      <c r="C613" t="s">
        <v>74</v>
      </c>
      <c r="D613" t="s">
        <v>74</v>
      </c>
      <c r="E613" t="s">
        <v>74</v>
      </c>
      <c r="F613" t="s">
        <v>6961</v>
      </c>
      <c r="G613" t="s">
        <v>74</v>
      </c>
      <c r="H613" t="s">
        <v>74</v>
      </c>
      <c r="I613" s="1" t="s">
        <v>6962</v>
      </c>
      <c r="J613" t="s">
        <v>6963</v>
      </c>
      <c r="K613" t="s">
        <v>74</v>
      </c>
      <c r="L613" t="s">
        <v>74</v>
      </c>
      <c r="M613" t="s">
        <v>78</v>
      </c>
      <c r="N613" t="s">
        <v>79</v>
      </c>
      <c r="O613" t="s">
        <v>74</v>
      </c>
      <c r="P613" t="s">
        <v>74</v>
      </c>
      <c r="Q613" t="s">
        <v>74</v>
      </c>
      <c r="R613" t="s">
        <v>74</v>
      </c>
      <c r="S613" t="s">
        <v>74</v>
      </c>
      <c r="T613" s="1" t="s">
        <v>6964</v>
      </c>
      <c r="U613" s="1" t="s">
        <v>74</v>
      </c>
      <c r="V613" s="1" t="s">
        <v>6965</v>
      </c>
      <c r="W613" t="s">
        <v>6966</v>
      </c>
      <c r="X613" t="s">
        <v>6102</v>
      </c>
      <c r="Y613" t="s">
        <v>6967</v>
      </c>
      <c r="Z613" t="s">
        <v>6968</v>
      </c>
      <c r="AA613" t="s">
        <v>6969</v>
      </c>
      <c r="AB613" t="s">
        <v>6970</v>
      </c>
      <c r="AC613" t="s">
        <v>74</v>
      </c>
      <c r="AD613" t="s">
        <v>74</v>
      </c>
      <c r="AE613" t="s">
        <v>74</v>
      </c>
      <c r="AF613" t="s">
        <v>74</v>
      </c>
      <c r="AG613">
        <v>15</v>
      </c>
      <c r="AH613">
        <v>0</v>
      </c>
      <c r="AI613">
        <v>0</v>
      </c>
      <c r="AJ613">
        <v>0</v>
      </c>
      <c r="AK613">
        <v>6</v>
      </c>
      <c r="AL613" t="s">
        <v>6971</v>
      </c>
      <c r="AM613" t="s">
        <v>6972</v>
      </c>
      <c r="AN613" t="s">
        <v>6973</v>
      </c>
      <c r="AO613" t="s">
        <v>6974</v>
      </c>
      <c r="AP613" t="s">
        <v>6975</v>
      </c>
      <c r="AQ613" t="s">
        <v>74</v>
      </c>
      <c r="AR613" t="s">
        <v>6976</v>
      </c>
      <c r="AS613" t="s">
        <v>6977</v>
      </c>
      <c r="AT613" t="s">
        <v>74</v>
      </c>
      <c r="AU613">
        <v>2021</v>
      </c>
      <c r="AV613">
        <v>12</v>
      </c>
      <c r="AW613">
        <v>5</v>
      </c>
      <c r="AX613" t="s">
        <v>74</v>
      </c>
      <c r="AY613" t="s">
        <v>74</v>
      </c>
      <c r="AZ613" t="s">
        <v>74</v>
      </c>
      <c r="BA613" t="s">
        <v>74</v>
      </c>
      <c r="BB613" t="s">
        <v>74</v>
      </c>
      <c r="BC613" t="s">
        <v>74</v>
      </c>
      <c r="BD613" t="s">
        <v>6978</v>
      </c>
      <c r="BE613" t="s">
        <v>6979</v>
      </c>
      <c r="BF613" t="str">
        <f>HYPERLINK("http://dx.doi.org/10.14456/ITJEMAST.2021.91","http://dx.doi.org/10.14456/ITJEMAST.2021.91")</f>
        <v>http://dx.doi.org/10.14456/ITJEMAST.2021.91</v>
      </c>
      <c r="BG613" t="s">
        <v>74</v>
      </c>
      <c r="BH613" t="s">
        <v>74</v>
      </c>
      <c r="BI613">
        <v>10</v>
      </c>
      <c r="BJ613" t="s">
        <v>700</v>
      </c>
      <c r="BK613" t="s">
        <v>183</v>
      </c>
      <c r="BL613" t="s">
        <v>701</v>
      </c>
      <c r="BM613" t="s">
        <v>6980</v>
      </c>
      <c r="BN613" t="s">
        <v>74</v>
      </c>
      <c r="BO613" t="s">
        <v>74</v>
      </c>
      <c r="BP613" t="s">
        <v>74</v>
      </c>
      <c r="BQ613" t="s">
        <v>74</v>
      </c>
      <c r="BR613" t="s">
        <v>106</v>
      </c>
      <c r="BS613" t="s">
        <v>6981</v>
      </c>
      <c r="BT613" t="str">
        <f>HYPERLINK("https%3A%2F%2Fwww.webofscience.com%2Fwos%2Fwoscc%2Ffull-record%2FWOS:000652490100007","View Full Record in Web of Science")</f>
        <v>View Full Record in Web of Science</v>
      </c>
    </row>
    <row r="614" spans="1:72" x14ac:dyDescent="0.25">
      <c r="A614" t="s">
        <v>477</v>
      </c>
      <c r="B614" t="s">
        <v>7070</v>
      </c>
      <c r="C614" t="s">
        <v>74</v>
      </c>
      <c r="D614" t="s">
        <v>7071</v>
      </c>
      <c r="E614" t="s">
        <v>74</v>
      </c>
      <c r="F614" t="s">
        <v>7072</v>
      </c>
      <c r="G614" t="s">
        <v>74</v>
      </c>
      <c r="H614" t="s">
        <v>74</v>
      </c>
      <c r="I614" s="1" t="s">
        <v>7073</v>
      </c>
      <c r="J614" t="s">
        <v>7074</v>
      </c>
      <c r="K614" t="s">
        <v>7075</v>
      </c>
      <c r="L614" t="s">
        <v>74</v>
      </c>
      <c r="M614" t="s">
        <v>78</v>
      </c>
      <c r="N614" t="s">
        <v>4932</v>
      </c>
      <c r="O614" t="s">
        <v>74</v>
      </c>
      <c r="P614" t="s">
        <v>74</v>
      </c>
      <c r="Q614" t="s">
        <v>74</v>
      </c>
      <c r="R614" t="s">
        <v>74</v>
      </c>
      <c r="S614" t="s">
        <v>74</v>
      </c>
      <c r="T614" s="1" t="s">
        <v>74</v>
      </c>
      <c r="U614" s="1" t="s">
        <v>7076</v>
      </c>
      <c r="V614" s="1" t="s">
        <v>74</v>
      </c>
      <c r="W614" t="s">
        <v>7077</v>
      </c>
      <c r="X614" t="s">
        <v>7078</v>
      </c>
      <c r="Y614" t="s">
        <v>7079</v>
      </c>
      <c r="Z614" t="s">
        <v>74</v>
      </c>
      <c r="AA614" t="s">
        <v>74</v>
      </c>
      <c r="AB614" t="s">
        <v>74</v>
      </c>
      <c r="AC614" t="s">
        <v>74</v>
      </c>
      <c r="AD614" t="s">
        <v>74</v>
      </c>
      <c r="AE614" t="s">
        <v>74</v>
      </c>
      <c r="AF614" t="s">
        <v>74</v>
      </c>
      <c r="AG614">
        <v>89</v>
      </c>
      <c r="AH614">
        <v>0</v>
      </c>
      <c r="AI614">
        <v>0</v>
      </c>
      <c r="AJ614">
        <v>0</v>
      </c>
      <c r="AK614">
        <v>0</v>
      </c>
      <c r="AL614" t="s">
        <v>4936</v>
      </c>
      <c r="AM614" t="s">
        <v>493</v>
      </c>
      <c r="AN614" t="s">
        <v>4937</v>
      </c>
      <c r="AO614" t="s">
        <v>74</v>
      </c>
      <c r="AP614" t="s">
        <v>74</v>
      </c>
      <c r="AQ614" t="s">
        <v>7080</v>
      </c>
      <c r="AR614" t="s">
        <v>7081</v>
      </c>
      <c r="AS614" t="s">
        <v>74</v>
      </c>
      <c r="AT614" t="s">
        <v>74</v>
      </c>
      <c r="AU614">
        <v>2021</v>
      </c>
      <c r="AV614" t="s">
        <v>74</v>
      </c>
      <c r="AW614" t="s">
        <v>74</v>
      </c>
      <c r="AX614" t="s">
        <v>74</v>
      </c>
      <c r="AY614" t="s">
        <v>74</v>
      </c>
      <c r="AZ614" t="s">
        <v>74</v>
      </c>
      <c r="BA614" t="s">
        <v>74</v>
      </c>
      <c r="BB614">
        <v>242</v>
      </c>
      <c r="BC614">
        <v>267</v>
      </c>
      <c r="BD614" t="s">
        <v>74</v>
      </c>
      <c r="BE614" t="s">
        <v>74</v>
      </c>
      <c r="BF614" t="s">
        <v>74</v>
      </c>
      <c r="BG614" t="s">
        <v>74</v>
      </c>
      <c r="BH614" t="s">
        <v>74</v>
      </c>
      <c r="BI614">
        <v>26</v>
      </c>
      <c r="BJ614" t="s">
        <v>264</v>
      </c>
      <c r="BK614" t="s">
        <v>4943</v>
      </c>
      <c r="BL614" t="s">
        <v>265</v>
      </c>
      <c r="BM614" t="s">
        <v>7082</v>
      </c>
      <c r="BN614" t="s">
        <v>74</v>
      </c>
      <c r="BO614" t="s">
        <v>74</v>
      </c>
      <c r="BP614" t="s">
        <v>74</v>
      </c>
      <c r="BQ614" t="s">
        <v>74</v>
      </c>
      <c r="BR614" t="s">
        <v>106</v>
      </c>
      <c r="BS614" t="s">
        <v>7083</v>
      </c>
      <c r="BT614" t="str">
        <f>HYPERLINK("https%3A%2F%2Fwww.webofscience.com%2Fwos%2Fwoscc%2Ffull-record%2FWOS:000877485500008","View Full Record in Web of Science")</f>
        <v>View Full Record in Web of Science</v>
      </c>
    </row>
    <row r="615" spans="1:72" x14ac:dyDescent="0.25">
      <c r="A615" t="s">
        <v>72</v>
      </c>
      <c r="B615" t="s">
        <v>7105</v>
      </c>
      <c r="C615" t="s">
        <v>74</v>
      </c>
      <c r="D615" t="s">
        <v>74</v>
      </c>
      <c r="E615" t="s">
        <v>74</v>
      </c>
      <c r="F615" t="s">
        <v>7106</v>
      </c>
      <c r="G615" t="s">
        <v>74</v>
      </c>
      <c r="H615" t="s">
        <v>74</v>
      </c>
      <c r="I615" s="1" t="s">
        <v>7107</v>
      </c>
      <c r="J615" t="s">
        <v>7108</v>
      </c>
      <c r="K615" t="s">
        <v>74</v>
      </c>
      <c r="L615" t="s">
        <v>74</v>
      </c>
      <c r="M615" t="s">
        <v>78</v>
      </c>
      <c r="N615" t="s">
        <v>79</v>
      </c>
      <c r="O615" t="s">
        <v>74</v>
      </c>
      <c r="P615" t="s">
        <v>74</v>
      </c>
      <c r="Q615" t="s">
        <v>74</v>
      </c>
      <c r="R615" t="s">
        <v>74</v>
      </c>
      <c r="S615" t="s">
        <v>74</v>
      </c>
      <c r="T615" s="1" t="s">
        <v>7109</v>
      </c>
      <c r="U615" s="1" t="s">
        <v>74</v>
      </c>
      <c r="V615" s="1" t="s">
        <v>7110</v>
      </c>
      <c r="W615" t="s">
        <v>7111</v>
      </c>
      <c r="X615" t="s">
        <v>5135</v>
      </c>
      <c r="Y615" t="s">
        <v>7112</v>
      </c>
      <c r="Z615" t="s">
        <v>7113</v>
      </c>
      <c r="AA615" t="s">
        <v>74</v>
      </c>
      <c r="AB615" t="s">
        <v>74</v>
      </c>
      <c r="AC615" t="s">
        <v>74</v>
      </c>
      <c r="AD615" t="s">
        <v>74</v>
      </c>
      <c r="AE615" t="s">
        <v>74</v>
      </c>
      <c r="AF615" t="s">
        <v>74</v>
      </c>
      <c r="AG615">
        <v>33</v>
      </c>
      <c r="AH615">
        <v>0</v>
      </c>
      <c r="AI615">
        <v>0</v>
      </c>
      <c r="AJ615">
        <v>0</v>
      </c>
      <c r="AK615">
        <v>2</v>
      </c>
      <c r="AL615" t="s">
        <v>7114</v>
      </c>
      <c r="AM615" t="s">
        <v>7115</v>
      </c>
      <c r="AN615" t="s">
        <v>7116</v>
      </c>
      <c r="AO615" t="s">
        <v>7117</v>
      </c>
      <c r="AP615" t="s">
        <v>74</v>
      </c>
      <c r="AQ615" t="s">
        <v>74</v>
      </c>
      <c r="AR615" t="s">
        <v>7118</v>
      </c>
      <c r="AS615" t="s">
        <v>7119</v>
      </c>
      <c r="AT615" t="s">
        <v>74</v>
      </c>
      <c r="AU615">
        <v>2021</v>
      </c>
      <c r="AV615">
        <v>16</v>
      </c>
      <c r="AW615" t="s">
        <v>74</v>
      </c>
      <c r="AX615" t="s">
        <v>74</v>
      </c>
      <c r="AY615" t="s">
        <v>7120</v>
      </c>
      <c r="AZ615" t="s">
        <v>74</v>
      </c>
      <c r="BA615" t="s">
        <v>74</v>
      </c>
      <c r="BB615" t="s">
        <v>7121</v>
      </c>
      <c r="BC615" t="s">
        <v>7122</v>
      </c>
      <c r="BD615" t="s">
        <v>74</v>
      </c>
      <c r="BE615" t="s">
        <v>7123</v>
      </c>
      <c r="BF615" t="str">
        <f>HYPERLINK("http://dx.doi.org/10.14198/jhse.2021.16.Proc1.01","http://dx.doi.org/10.14198/jhse.2021.16.Proc1.01")</f>
        <v>http://dx.doi.org/10.14198/jhse.2021.16.Proc1.01</v>
      </c>
      <c r="BG615" t="s">
        <v>74</v>
      </c>
      <c r="BH615" t="s">
        <v>74</v>
      </c>
      <c r="BI615">
        <v>13</v>
      </c>
      <c r="BJ615" t="s">
        <v>7124</v>
      </c>
      <c r="BK615" t="s">
        <v>183</v>
      </c>
      <c r="BL615" t="s">
        <v>7124</v>
      </c>
      <c r="BM615" t="s">
        <v>7125</v>
      </c>
      <c r="BN615" t="s">
        <v>74</v>
      </c>
      <c r="BO615" t="s">
        <v>1539</v>
      </c>
      <c r="BP615" t="s">
        <v>74</v>
      </c>
      <c r="BQ615" t="s">
        <v>74</v>
      </c>
      <c r="BR615" t="s">
        <v>106</v>
      </c>
      <c r="BS615" t="s">
        <v>7126</v>
      </c>
      <c r="BT615" t="str">
        <f>HYPERLINK("https%3A%2F%2Fwww.webofscience.com%2Fwos%2Fwoscc%2Ffull-record%2FWOS:000681302800001","View Full Record in Web of Science")</f>
        <v>View Full Record in Web of Science</v>
      </c>
    </row>
    <row r="616" spans="1:72" x14ac:dyDescent="0.25">
      <c r="A616" t="s">
        <v>72</v>
      </c>
      <c r="B616" t="s">
        <v>7161</v>
      </c>
      <c r="C616" t="s">
        <v>74</v>
      </c>
      <c r="D616" t="s">
        <v>74</v>
      </c>
      <c r="E616" t="s">
        <v>74</v>
      </c>
      <c r="F616" t="s">
        <v>7162</v>
      </c>
      <c r="G616" t="s">
        <v>74</v>
      </c>
      <c r="H616" t="s">
        <v>74</v>
      </c>
      <c r="I616" s="1" t="s">
        <v>7163</v>
      </c>
      <c r="J616" t="s">
        <v>7164</v>
      </c>
      <c r="K616" t="s">
        <v>74</v>
      </c>
      <c r="L616" t="s">
        <v>74</v>
      </c>
      <c r="M616" t="s">
        <v>78</v>
      </c>
      <c r="N616" t="s">
        <v>79</v>
      </c>
      <c r="O616" t="s">
        <v>74</v>
      </c>
      <c r="P616" t="s">
        <v>74</v>
      </c>
      <c r="Q616" t="s">
        <v>74</v>
      </c>
      <c r="R616" t="s">
        <v>74</v>
      </c>
      <c r="S616" t="s">
        <v>74</v>
      </c>
      <c r="T616" s="1" t="s">
        <v>7165</v>
      </c>
      <c r="U616" s="1" t="s">
        <v>7166</v>
      </c>
      <c r="V616" s="1" t="s">
        <v>7167</v>
      </c>
      <c r="W616" t="s">
        <v>7168</v>
      </c>
      <c r="X616" t="s">
        <v>74</v>
      </c>
      <c r="Y616" t="s">
        <v>7169</v>
      </c>
      <c r="Z616" t="s">
        <v>74</v>
      </c>
      <c r="AA616" t="s">
        <v>74</v>
      </c>
      <c r="AB616" t="s">
        <v>74</v>
      </c>
      <c r="AC616" t="s">
        <v>74</v>
      </c>
      <c r="AD616" t="s">
        <v>74</v>
      </c>
      <c r="AE616" t="s">
        <v>74</v>
      </c>
      <c r="AF616" t="s">
        <v>74</v>
      </c>
      <c r="AG616">
        <v>7</v>
      </c>
      <c r="AH616">
        <v>0</v>
      </c>
      <c r="AI616">
        <v>0</v>
      </c>
      <c r="AJ616">
        <v>2</v>
      </c>
      <c r="AK616">
        <v>4</v>
      </c>
      <c r="AL616" t="s">
        <v>7170</v>
      </c>
      <c r="AM616" t="s">
        <v>7171</v>
      </c>
      <c r="AN616" t="s">
        <v>7172</v>
      </c>
      <c r="AO616" t="s">
        <v>7173</v>
      </c>
      <c r="AP616" t="s">
        <v>74</v>
      </c>
      <c r="AQ616" t="s">
        <v>74</v>
      </c>
      <c r="AR616" t="s">
        <v>7174</v>
      </c>
      <c r="AS616" t="s">
        <v>7174</v>
      </c>
      <c r="AT616" t="s">
        <v>74</v>
      </c>
      <c r="AU616">
        <v>2021</v>
      </c>
      <c r="AV616">
        <v>11</v>
      </c>
      <c r="AW616">
        <v>1</v>
      </c>
      <c r="AX616" t="s">
        <v>74</v>
      </c>
      <c r="AY616" t="s">
        <v>74</v>
      </c>
      <c r="AZ616" t="s">
        <v>74</v>
      </c>
      <c r="BA616" t="s">
        <v>74</v>
      </c>
      <c r="BB616">
        <v>19</v>
      </c>
      <c r="BC616">
        <v>22</v>
      </c>
      <c r="BD616" t="s">
        <v>74</v>
      </c>
      <c r="BE616" t="s">
        <v>7175</v>
      </c>
      <c r="BF616" t="str">
        <f>HYPERLINK("http://dx.doi.org/10.2423/i22394303v11n1p19","http://dx.doi.org/10.2423/i22394303v11n1p19")</f>
        <v>http://dx.doi.org/10.2423/i22394303v11n1p19</v>
      </c>
      <c r="BG616" t="s">
        <v>74</v>
      </c>
      <c r="BH616" t="s">
        <v>74</v>
      </c>
      <c r="BI616">
        <v>4</v>
      </c>
      <c r="BJ616" t="s">
        <v>2192</v>
      </c>
      <c r="BK616" t="s">
        <v>183</v>
      </c>
      <c r="BL616" t="s">
        <v>2193</v>
      </c>
      <c r="BM616" t="s">
        <v>7176</v>
      </c>
      <c r="BN616" t="s">
        <v>74</v>
      </c>
      <c r="BO616" t="s">
        <v>74</v>
      </c>
      <c r="BP616" t="s">
        <v>74</v>
      </c>
      <c r="BQ616" t="s">
        <v>74</v>
      </c>
      <c r="BR616" t="s">
        <v>106</v>
      </c>
      <c r="BS616" t="s">
        <v>7177</v>
      </c>
      <c r="BT616" t="str">
        <f>HYPERLINK("https%3A%2F%2Fwww.webofscience.com%2Fwos%2Fwoscc%2Ffull-record%2FWOS:000733894900003","View Full Record in Web of Science")</f>
        <v>View Full Record in Web of Science</v>
      </c>
    </row>
    <row r="617" spans="1:72" x14ac:dyDescent="0.25">
      <c r="A617" t="s">
        <v>72</v>
      </c>
      <c r="B617" t="s">
        <v>7270</v>
      </c>
      <c r="C617" t="s">
        <v>74</v>
      </c>
      <c r="D617" t="s">
        <v>74</v>
      </c>
      <c r="E617" t="s">
        <v>74</v>
      </c>
      <c r="F617" t="s">
        <v>7271</v>
      </c>
      <c r="G617" t="s">
        <v>74</v>
      </c>
      <c r="H617" t="s">
        <v>74</v>
      </c>
      <c r="I617" s="1" t="s">
        <v>7272</v>
      </c>
      <c r="J617" t="s">
        <v>7273</v>
      </c>
      <c r="K617" t="s">
        <v>74</v>
      </c>
      <c r="L617" t="s">
        <v>74</v>
      </c>
      <c r="M617" t="s">
        <v>78</v>
      </c>
      <c r="N617" t="s">
        <v>79</v>
      </c>
      <c r="O617" t="s">
        <v>74</v>
      </c>
      <c r="P617" t="s">
        <v>74</v>
      </c>
      <c r="Q617" t="s">
        <v>74</v>
      </c>
      <c r="R617" t="s">
        <v>74</v>
      </c>
      <c r="S617" t="s">
        <v>74</v>
      </c>
      <c r="T617" s="1" t="s">
        <v>7274</v>
      </c>
      <c r="U617" s="1" t="s">
        <v>74</v>
      </c>
      <c r="V617" s="1" t="s">
        <v>7275</v>
      </c>
      <c r="W617" t="s">
        <v>7276</v>
      </c>
      <c r="X617" t="s">
        <v>7277</v>
      </c>
      <c r="Y617" t="s">
        <v>7278</v>
      </c>
      <c r="Z617" t="s">
        <v>7279</v>
      </c>
      <c r="AA617" t="s">
        <v>74</v>
      </c>
      <c r="AB617" t="s">
        <v>74</v>
      </c>
      <c r="AC617" t="s">
        <v>74</v>
      </c>
      <c r="AD617" t="s">
        <v>74</v>
      </c>
      <c r="AE617" t="s">
        <v>74</v>
      </c>
      <c r="AF617" t="s">
        <v>74</v>
      </c>
      <c r="AG617">
        <v>4</v>
      </c>
      <c r="AH617">
        <v>0</v>
      </c>
      <c r="AI617">
        <v>0</v>
      </c>
      <c r="AJ617">
        <v>1</v>
      </c>
      <c r="AK617">
        <v>7</v>
      </c>
      <c r="AL617" t="s">
        <v>7280</v>
      </c>
      <c r="AM617" t="s">
        <v>7281</v>
      </c>
      <c r="AN617" t="s">
        <v>7282</v>
      </c>
      <c r="AO617" t="s">
        <v>7283</v>
      </c>
      <c r="AP617" t="s">
        <v>7284</v>
      </c>
      <c r="AQ617" t="s">
        <v>74</v>
      </c>
      <c r="AR617" t="s">
        <v>7285</v>
      </c>
      <c r="AS617" t="s">
        <v>7286</v>
      </c>
      <c r="AT617" t="s">
        <v>74</v>
      </c>
      <c r="AU617">
        <v>2021</v>
      </c>
      <c r="AV617">
        <v>7</v>
      </c>
      <c r="AW617">
        <v>5</v>
      </c>
      <c r="AX617" t="s">
        <v>74</v>
      </c>
      <c r="AY617" t="s">
        <v>74</v>
      </c>
      <c r="AZ617" t="s">
        <v>74</v>
      </c>
      <c r="BA617" t="s">
        <v>74</v>
      </c>
      <c r="BB617">
        <v>123</v>
      </c>
      <c r="BC617">
        <v>129</v>
      </c>
      <c r="BD617" t="s">
        <v>74</v>
      </c>
      <c r="BE617" t="s">
        <v>7287</v>
      </c>
      <c r="BF617" t="str">
        <f>HYPERLINK("http://dx.doi.org/10.30525/2256-0742/2021-7-5-123-129","http://dx.doi.org/10.30525/2256-0742/2021-7-5-123-129")</f>
        <v>http://dx.doi.org/10.30525/2256-0742/2021-7-5-123-129</v>
      </c>
      <c r="BG617" t="s">
        <v>74</v>
      </c>
      <c r="BH617" t="s">
        <v>74</v>
      </c>
      <c r="BI617">
        <v>7</v>
      </c>
      <c r="BJ617" t="s">
        <v>521</v>
      </c>
      <c r="BK617" t="s">
        <v>183</v>
      </c>
      <c r="BL617" t="s">
        <v>265</v>
      </c>
      <c r="BM617" t="s">
        <v>7288</v>
      </c>
      <c r="BN617" t="s">
        <v>74</v>
      </c>
      <c r="BO617" t="s">
        <v>186</v>
      </c>
      <c r="BP617" t="s">
        <v>74</v>
      </c>
      <c r="BQ617" t="s">
        <v>74</v>
      </c>
      <c r="BR617" t="s">
        <v>106</v>
      </c>
      <c r="BS617" t="s">
        <v>7289</v>
      </c>
      <c r="BT617" t="str">
        <f>HYPERLINK("https%3A%2F%2Fwww.webofscience.com%2Fwos%2Fwoscc%2Ffull-record%2FWOS:000758146600013","View Full Record in Web of Science")</f>
        <v>View Full Record in Web of Science</v>
      </c>
    </row>
    <row r="618" spans="1:72" x14ac:dyDescent="0.25">
      <c r="A618" t="s">
        <v>72</v>
      </c>
      <c r="B618" t="s">
        <v>7309</v>
      </c>
      <c r="C618" t="s">
        <v>74</v>
      </c>
      <c r="D618" t="s">
        <v>74</v>
      </c>
      <c r="E618" t="s">
        <v>74</v>
      </c>
      <c r="F618" t="s">
        <v>7310</v>
      </c>
      <c r="G618" t="s">
        <v>74</v>
      </c>
      <c r="H618" t="s">
        <v>74</v>
      </c>
      <c r="I618" s="1" t="s">
        <v>7311</v>
      </c>
      <c r="J618" t="s">
        <v>7312</v>
      </c>
      <c r="K618" t="s">
        <v>74</v>
      </c>
      <c r="L618" t="s">
        <v>74</v>
      </c>
      <c r="M618" t="s">
        <v>929</v>
      </c>
      <c r="N618" t="s">
        <v>79</v>
      </c>
      <c r="O618" t="s">
        <v>74</v>
      </c>
      <c r="P618" t="s">
        <v>74</v>
      </c>
      <c r="Q618" t="s">
        <v>74</v>
      </c>
      <c r="R618" t="s">
        <v>74</v>
      </c>
      <c r="S618" t="s">
        <v>74</v>
      </c>
      <c r="T618" s="1" t="s">
        <v>7313</v>
      </c>
      <c r="U618" s="1" t="s">
        <v>74</v>
      </c>
      <c r="V618" s="1" t="s">
        <v>7314</v>
      </c>
      <c r="W618" t="s">
        <v>7315</v>
      </c>
      <c r="X618" t="s">
        <v>74</v>
      </c>
      <c r="Y618" t="s">
        <v>7316</v>
      </c>
      <c r="Z618" t="s">
        <v>7317</v>
      </c>
      <c r="AA618" t="s">
        <v>74</v>
      </c>
      <c r="AB618" t="s">
        <v>74</v>
      </c>
      <c r="AC618" t="s">
        <v>74</v>
      </c>
      <c r="AD618" t="s">
        <v>74</v>
      </c>
      <c r="AE618" t="s">
        <v>74</v>
      </c>
      <c r="AF618" t="s">
        <v>74</v>
      </c>
      <c r="AG618">
        <v>11</v>
      </c>
      <c r="AH618">
        <v>0</v>
      </c>
      <c r="AI618">
        <v>0</v>
      </c>
      <c r="AJ618">
        <v>0</v>
      </c>
      <c r="AK618">
        <v>3</v>
      </c>
      <c r="AL618" t="s">
        <v>7318</v>
      </c>
      <c r="AM618" t="s">
        <v>7319</v>
      </c>
      <c r="AN618" t="s">
        <v>7320</v>
      </c>
      <c r="AO618" t="s">
        <v>7321</v>
      </c>
      <c r="AP618" t="s">
        <v>74</v>
      </c>
      <c r="AQ618" t="s">
        <v>74</v>
      </c>
      <c r="AR618" t="s">
        <v>7322</v>
      </c>
      <c r="AS618" t="s">
        <v>7323</v>
      </c>
      <c r="AT618" t="s">
        <v>7324</v>
      </c>
      <c r="AU618">
        <v>2021</v>
      </c>
      <c r="AV618">
        <v>9</v>
      </c>
      <c r="AW618">
        <v>2</v>
      </c>
      <c r="AX618" t="s">
        <v>74</v>
      </c>
      <c r="AY618" t="s">
        <v>74</v>
      </c>
      <c r="AZ618" t="s">
        <v>74</v>
      </c>
      <c r="BA618" t="s">
        <v>74</v>
      </c>
      <c r="BB618">
        <v>99</v>
      </c>
      <c r="BC618">
        <v>104</v>
      </c>
      <c r="BD618" t="s">
        <v>74</v>
      </c>
      <c r="BE618" t="s">
        <v>7325</v>
      </c>
      <c r="BF618" t="str">
        <f>HYPERLINK("http://dx.doi.org/10.26423/rcpi.v9i2.451","http://dx.doi.org/10.26423/rcpi.v9i2.451")</f>
        <v>http://dx.doi.org/10.26423/rcpi.v9i2.451</v>
      </c>
      <c r="BG618" t="s">
        <v>74</v>
      </c>
      <c r="BH618" t="s">
        <v>74</v>
      </c>
      <c r="BI618">
        <v>6</v>
      </c>
      <c r="BJ618" t="s">
        <v>1326</v>
      </c>
      <c r="BK618" t="s">
        <v>183</v>
      </c>
      <c r="BL618" t="s">
        <v>1326</v>
      </c>
      <c r="BM618" t="s">
        <v>7326</v>
      </c>
      <c r="BN618" t="s">
        <v>74</v>
      </c>
      <c r="BO618" t="s">
        <v>186</v>
      </c>
      <c r="BP618" t="s">
        <v>74</v>
      </c>
      <c r="BQ618" t="s">
        <v>74</v>
      </c>
      <c r="BR618" t="s">
        <v>106</v>
      </c>
      <c r="BS618" t="s">
        <v>7327</v>
      </c>
      <c r="BT618" t="str">
        <f>HYPERLINK("https%3A%2F%2Fwww.webofscience.com%2Fwos%2Fwoscc%2Ffull-record%2FWOS:000735247500012","View Full Record in Web of Science")</f>
        <v>View Full Record in Web of Science</v>
      </c>
    </row>
    <row r="619" spans="1:72" x14ac:dyDescent="0.25">
      <c r="A619" t="s">
        <v>477</v>
      </c>
      <c r="B619" t="s">
        <v>7353</v>
      </c>
      <c r="C619" t="s">
        <v>74</v>
      </c>
      <c r="D619" t="s">
        <v>7354</v>
      </c>
      <c r="E619" t="s">
        <v>74</v>
      </c>
      <c r="F619" t="s">
        <v>7355</v>
      </c>
      <c r="G619" t="s">
        <v>74</v>
      </c>
      <c r="H619" t="s">
        <v>74</v>
      </c>
      <c r="I619" s="1" t="s">
        <v>7356</v>
      </c>
      <c r="J619" t="s">
        <v>7357</v>
      </c>
      <c r="K619" t="s">
        <v>74</v>
      </c>
      <c r="L619" t="s">
        <v>74</v>
      </c>
      <c r="M619" t="s">
        <v>78</v>
      </c>
      <c r="N619" t="s">
        <v>4932</v>
      </c>
      <c r="O619" t="s">
        <v>74</v>
      </c>
      <c r="P619" t="s">
        <v>74</v>
      </c>
      <c r="Q619" t="s">
        <v>74</v>
      </c>
      <c r="R619" t="s">
        <v>74</v>
      </c>
      <c r="S619" t="s">
        <v>74</v>
      </c>
      <c r="T619" s="1" t="s">
        <v>74</v>
      </c>
      <c r="U619" s="1" t="s">
        <v>7358</v>
      </c>
      <c r="V619" s="1" t="s">
        <v>74</v>
      </c>
      <c r="W619" t="s">
        <v>7359</v>
      </c>
      <c r="X619" t="s">
        <v>7360</v>
      </c>
      <c r="Y619" t="s">
        <v>7361</v>
      </c>
      <c r="Z619" t="s">
        <v>74</v>
      </c>
      <c r="AA619" t="s">
        <v>74</v>
      </c>
      <c r="AB619" t="s">
        <v>74</v>
      </c>
      <c r="AC619" t="s">
        <v>74</v>
      </c>
      <c r="AD619" t="s">
        <v>74</v>
      </c>
      <c r="AE619" t="s">
        <v>74</v>
      </c>
      <c r="AF619" t="s">
        <v>74</v>
      </c>
      <c r="AG619">
        <v>15</v>
      </c>
      <c r="AH619">
        <v>0</v>
      </c>
      <c r="AI619">
        <v>0</v>
      </c>
      <c r="AJ619">
        <v>0</v>
      </c>
      <c r="AK619">
        <v>0</v>
      </c>
      <c r="AL619" t="s">
        <v>7362</v>
      </c>
      <c r="AM619" t="s">
        <v>122</v>
      </c>
      <c r="AN619" t="s">
        <v>7363</v>
      </c>
      <c r="AO619" t="s">
        <v>74</v>
      </c>
      <c r="AP619" t="s">
        <v>74</v>
      </c>
      <c r="AQ619" t="s">
        <v>7364</v>
      </c>
      <c r="AR619" t="s">
        <v>74</v>
      </c>
      <c r="AS619" t="s">
        <v>74</v>
      </c>
      <c r="AT619" t="s">
        <v>74</v>
      </c>
      <c r="AU619">
        <v>2021</v>
      </c>
      <c r="AV619" t="s">
        <v>74</v>
      </c>
      <c r="AW619" t="s">
        <v>74</v>
      </c>
      <c r="AX619" t="s">
        <v>74</v>
      </c>
      <c r="AY619" t="s">
        <v>74</v>
      </c>
      <c r="AZ619" t="s">
        <v>74</v>
      </c>
      <c r="BA619" t="s">
        <v>74</v>
      </c>
      <c r="BB619">
        <v>245</v>
      </c>
      <c r="BC619">
        <v>264</v>
      </c>
      <c r="BD619" t="s">
        <v>74</v>
      </c>
      <c r="BE619" t="s">
        <v>74</v>
      </c>
      <c r="BF619" t="s">
        <v>74</v>
      </c>
      <c r="BG619" t="s">
        <v>74</v>
      </c>
      <c r="BH619" t="s">
        <v>74</v>
      </c>
      <c r="BI619">
        <v>20</v>
      </c>
      <c r="BJ619" t="s">
        <v>7365</v>
      </c>
      <c r="BK619" t="s">
        <v>4943</v>
      </c>
      <c r="BL619" t="s">
        <v>7366</v>
      </c>
      <c r="BM619" t="s">
        <v>7367</v>
      </c>
      <c r="BN619" t="s">
        <v>74</v>
      </c>
      <c r="BO619" t="s">
        <v>74</v>
      </c>
      <c r="BP619" t="s">
        <v>74</v>
      </c>
      <c r="BQ619" t="s">
        <v>74</v>
      </c>
      <c r="BR619" t="s">
        <v>106</v>
      </c>
      <c r="BS619" t="s">
        <v>7368</v>
      </c>
      <c r="BT619" t="str">
        <f>HYPERLINK("https%3A%2F%2Fwww.webofscience.com%2Fwos%2Fwoscc%2Ffull-record%2FWOS:000950030900013","View Full Record in Web of Science")</f>
        <v>View Full Record in Web of Science</v>
      </c>
    </row>
    <row r="620" spans="1:72" x14ac:dyDescent="0.25">
      <c r="A620" t="s">
        <v>72</v>
      </c>
      <c r="B620" t="s">
        <v>7408</v>
      </c>
      <c r="C620" t="s">
        <v>74</v>
      </c>
      <c r="D620" t="s">
        <v>74</v>
      </c>
      <c r="E620" t="s">
        <v>74</v>
      </c>
      <c r="F620" t="s">
        <v>7409</v>
      </c>
      <c r="G620" t="s">
        <v>74</v>
      </c>
      <c r="H620" t="s">
        <v>74</v>
      </c>
      <c r="I620" s="1" t="s">
        <v>7410</v>
      </c>
      <c r="J620" t="s">
        <v>7411</v>
      </c>
      <c r="K620" t="s">
        <v>74</v>
      </c>
      <c r="L620" t="s">
        <v>74</v>
      </c>
      <c r="M620" t="s">
        <v>5147</v>
      </c>
      <c r="N620" t="s">
        <v>79</v>
      </c>
      <c r="O620" t="s">
        <v>74</v>
      </c>
      <c r="P620" t="s">
        <v>74</v>
      </c>
      <c r="Q620" t="s">
        <v>74</v>
      </c>
      <c r="R620" t="s">
        <v>74</v>
      </c>
      <c r="S620" t="s">
        <v>74</v>
      </c>
      <c r="T620" s="1" t="s">
        <v>7412</v>
      </c>
      <c r="U620" s="1" t="s">
        <v>74</v>
      </c>
      <c r="V620" s="1" t="s">
        <v>7413</v>
      </c>
      <c r="W620" t="s">
        <v>7414</v>
      </c>
      <c r="X620" t="s">
        <v>7415</v>
      </c>
      <c r="Y620" t="s">
        <v>7416</v>
      </c>
      <c r="Z620" t="s">
        <v>7417</v>
      </c>
      <c r="AA620" t="s">
        <v>74</v>
      </c>
      <c r="AB620" t="s">
        <v>74</v>
      </c>
      <c r="AC620" t="s">
        <v>74</v>
      </c>
      <c r="AD620" t="s">
        <v>74</v>
      </c>
      <c r="AE620" t="s">
        <v>74</v>
      </c>
      <c r="AF620" t="s">
        <v>74</v>
      </c>
      <c r="AG620">
        <v>58</v>
      </c>
      <c r="AH620">
        <v>0</v>
      </c>
      <c r="AI620">
        <v>0</v>
      </c>
      <c r="AJ620">
        <v>0</v>
      </c>
      <c r="AK620">
        <v>0</v>
      </c>
      <c r="AL620" t="s">
        <v>7418</v>
      </c>
      <c r="AM620" t="s">
        <v>7419</v>
      </c>
      <c r="AN620" t="s">
        <v>7420</v>
      </c>
      <c r="AO620" t="s">
        <v>7421</v>
      </c>
      <c r="AP620" t="s">
        <v>74</v>
      </c>
      <c r="AQ620" t="s">
        <v>74</v>
      </c>
      <c r="AR620" t="s">
        <v>7422</v>
      </c>
      <c r="AS620" t="s">
        <v>7423</v>
      </c>
      <c r="AT620" t="s">
        <v>74</v>
      </c>
      <c r="AU620">
        <v>2021</v>
      </c>
      <c r="AV620" t="s">
        <v>74</v>
      </c>
      <c r="AW620">
        <v>3</v>
      </c>
      <c r="AX620" t="s">
        <v>74</v>
      </c>
      <c r="AY620" t="s">
        <v>74</v>
      </c>
      <c r="AZ620" t="s">
        <v>74</v>
      </c>
      <c r="BA620" t="s">
        <v>74</v>
      </c>
      <c r="BB620">
        <v>457</v>
      </c>
      <c r="BC620">
        <v>471</v>
      </c>
      <c r="BD620" t="s">
        <v>74</v>
      </c>
      <c r="BE620" t="s">
        <v>74</v>
      </c>
      <c r="BF620" t="s">
        <v>74</v>
      </c>
      <c r="BG620" t="s">
        <v>74</v>
      </c>
      <c r="BH620" t="s">
        <v>74</v>
      </c>
      <c r="BI620">
        <v>15</v>
      </c>
      <c r="BJ620" t="s">
        <v>378</v>
      </c>
      <c r="BK620" t="s">
        <v>183</v>
      </c>
      <c r="BL620" t="s">
        <v>379</v>
      </c>
      <c r="BM620" t="s">
        <v>7424</v>
      </c>
      <c r="BN620" t="s">
        <v>74</v>
      </c>
      <c r="BO620" t="s">
        <v>74</v>
      </c>
      <c r="BP620" t="s">
        <v>74</v>
      </c>
      <c r="BQ620" t="s">
        <v>74</v>
      </c>
      <c r="BR620" t="s">
        <v>106</v>
      </c>
      <c r="BS620" t="s">
        <v>7425</v>
      </c>
      <c r="BT620" t="str">
        <f>HYPERLINK("https%3A%2F%2Fwww.webofscience.com%2Fwos%2Fwoscc%2Ffull-record%2FWOS:000983107100026","View Full Record in Web of Science")</f>
        <v>View Full Record in Web of Science</v>
      </c>
    </row>
    <row r="621" spans="1:72" x14ac:dyDescent="0.25">
      <c r="A621" t="s">
        <v>72</v>
      </c>
      <c r="B621" t="s">
        <v>7426</v>
      </c>
      <c r="C621" t="s">
        <v>74</v>
      </c>
      <c r="D621" t="s">
        <v>74</v>
      </c>
      <c r="E621" t="s">
        <v>74</v>
      </c>
      <c r="F621" t="s">
        <v>7427</v>
      </c>
      <c r="G621" t="s">
        <v>74</v>
      </c>
      <c r="H621" t="s">
        <v>74</v>
      </c>
      <c r="I621" s="1" t="s">
        <v>7428</v>
      </c>
      <c r="J621" t="s">
        <v>7429</v>
      </c>
      <c r="K621" t="s">
        <v>74</v>
      </c>
      <c r="L621" t="s">
        <v>74</v>
      </c>
      <c r="M621" t="s">
        <v>4637</v>
      </c>
      <c r="N621" t="s">
        <v>79</v>
      </c>
      <c r="O621" t="s">
        <v>74</v>
      </c>
      <c r="P621" t="s">
        <v>74</v>
      </c>
      <c r="Q621" t="s">
        <v>74</v>
      </c>
      <c r="R621" t="s">
        <v>74</v>
      </c>
      <c r="S621" t="s">
        <v>74</v>
      </c>
      <c r="T621" s="1" t="s">
        <v>7430</v>
      </c>
      <c r="U621" s="1" t="s">
        <v>74</v>
      </c>
      <c r="V621" s="1" t="s">
        <v>7431</v>
      </c>
      <c r="W621" t="s">
        <v>7432</v>
      </c>
      <c r="X621" t="s">
        <v>7433</v>
      </c>
      <c r="Y621" t="s">
        <v>7434</v>
      </c>
      <c r="Z621" t="s">
        <v>7435</v>
      </c>
      <c r="AA621" t="s">
        <v>7436</v>
      </c>
      <c r="AB621" t="s">
        <v>7437</v>
      </c>
      <c r="AC621" t="s">
        <v>74</v>
      </c>
      <c r="AD621" t="s">
        <v>74</v>
      </c>
      <c r="AE621" t="s">
        <v>74</v>
      </c>
      <c r="AF621" t="s">
        <v>74</v>
      </c>
      <c r="AG621">
        <v>24</v>
      </c>
      <c r="AH621">
        <v>0</v>
      </c>
      <c r="AI621">
        <v>0</v>
      </c>
      <c r="AJ621">
        <v>2</v>
      </c>
      <c r="AK621">
        <v>4</v>
      </c>
      <c r="AL621" t="s">
        <v>7438</v>
      </c>
      <c r="AM621" t="s">
        <v>4645</v>
      </c>
      <c r="AN621" t="s">
        <v>7439</v>
      </c>
      <c r="AO621" t="s">
        <v>7440</v>
      </c>
      <c r="AP621" t="s">
        <v>74</v>
      </c>
      <c r="AQ621" t="s">
        <v>74</v>
      </c>
      <c r="AR621" t="s">
        <v>7441</v>
      </c>
      <c r="AS621" t="s">
        <v>7442</v>
      </c>
      <c r="AT621" t="s">
        <v>74</v>
      </c>
      <c r="AU621">
        <v>2021</v>
      </c>
      <c r="AV621">
        <v>18</v>
      </c>
      <c r="AW621">
        <v>1</v>
      </c>
      <c r="AX621" t="s">
        <v>74</v>
      </c>
      <c r="AY621" t="s">
        <v>74</v>
      </c>
      <c r="AZ621" t="s">
        <v>74</v>
      </c>
      <c r="BA621" t="s">
        <v>74</v>
      </c>
      <c r="BB621">
        <v>291</v>
      </c>
      <c r="BC621">
        <v>304</v>
      </c>
      <c r="BD621" t="s">
        <v>74</v>
      </c>
      <c r="BE621" t="s">
        <v>7443</v>
      </c>
      <c r="BF621" t="str">
        <f>HYPERLINK("http://dx.doi.org/10.18162/ritpu-2021-v18n1-25","http://dx.doi.org/10.18162/ritpu-2021-v18n1-25")</f>
        <v>http://dx.doi.org/10.18162/ritpu-2021-v18n1-25</v>
      </c>
      <c r="BG621" t="s">
        <v>74</v>
      </c>
      <c r="BH621" t="s">
        <v>74</v>
      </c>
      <c r="BI621">
        <v>14</v>
      </c>
      <c r="BJ621" t="s">
        <v>1326</v>
      </c>
      <c r="BK621" t="s">
        <v>183</v>
      </c>
      <c r="BL621" t="s">
        <v>1326</v>
      </c>
      <c r="BM621" t="s">
        <v>7444</v>
      </c>
      <c r="BN621" t="s">
        <v>74</v>
      </c>
      <c r="BO621" t="s">
        <v>186</v>
      </c>
      <c r="BP621" t="s">
        <v>74</v>
      </c>
      <c r="BQ621" t="s">
        <v>74</v>
      </c>
      <c r="BR621" t="s">
        <v>106</v>
      </c>
      <c r="BS621" t="s">
        <v>7445</v>
      </c>
      <c r="BT621" t="str">
        <f>HYPERLINK("https%3A%2F%2Fwww.webofscience.com%2Fwos%2Fwoscc%2Ffull-record%2FWOS:000683183100024","View Full Record in Web of Science")</f>
        <v>View Full Record in Web of Science</v>
      </c>
    </row>
    <row r="622" spans="1:72" x14ac:dyDescent="0.25">
      <c r="A622" t="s">
        <v>72</v>
      </c>
      <c r="B622" t="s">
        <v>7446</v>
      </c>
      <c r="C622" t="s">
        <v>74</v>
      </c>
      <c r="D622" t="s">
        <v>74</v>
      </c>
      <c r="E622" t="s">
        <v>74</v>
      </c>
      <c r="F622" t="s">
        <v>7447</v>
      </c>
      <c r="G622" t="s">
        <v>74</v>
      </c>
      <c r="H622" t="s">
        <v>74</v>
      </c>
      <c r="I622" s="1" t="s">
        <v>7448</v>
      </c>
      <c r="J622" t="s">
        <v>7449</v>
      </c>
      <c r="K622" t="s">
        <v>74</v>
      </c>
      <c r="L622" t="s">
        <v>74</v>
      </c>
      <c r="M622" t="s">
        <v>78</v>
      </c>
      <c r="N622" t="s">
        <v>79</v>
      </c>
      <c r="O622" t="s">
        <v>74</v>
      </c>
      <c r="P622" t="s">
        <v>74</v>
      </c>
      <c r="Q622" t="s">
        <v>74</v>
      </c>
      <c r="R622" t="s">
        <v>74</v>
      </c>
      <c r="S622" t="s">
        <v>74</v>
      </c>
      <c r="T622" s="1" t="s">
        <v>7450</v>
      </c>
      <c r="U622" s="1" t="s">
        <v>7451</v>
      </c>
      <c r="V622" s="1" t="s">
        <v>7452</v>
      </c>
      <c r="W622" t="s">
        <v>7453</v>
      </c>
      <c r="X622" t="s">
        <v>7454</v>
      </c>
      <c r="Y622" t="s">
        <v>7455</v>
      </c>
      <c r="Z622" t="s">
        <v>7456</v>
      </c>
      <c r="AA622" t="s">
        <v>7457</v>
      </c>
      <c r="AB622" t="s">
        <v>7458</v>
      </c>
      <c r="AC622" t="s">
        <v>74</v>
      </c>
      <c r="AD622" t="s">
        <v>74</v>
      </c>
      <c r="AE622" t="s">
        <v>74</v>
      </c>
      <c r="AF622" t="s">
        <v>74</v>
      </c>
      <c r="AG622">
        <v>30</v>
      </c>
      <c r="AH622">
        <v>0</v>
      </c>
      <c r="AI622">
        <v>0</v>
      </c>
      <c r="AJ622">
        <v>0</v>
      </c>
      <c r="AK622">
        <v>11</v>
      </c>
      <c r="AL622" t="s">
        <v>7459</v>
      </c>
      <c r="AM622" t="s">
        <v>4514</v>
      </c>
      <c r="AN622" t="s">
        <v>7460</v>
      </c>
      <c r="AO622" t="s">
        <v>7461</v>
      </c>
      <c r="AP622" t="s">
        <v>7462</v>
      </c>
      <c r="AQ622" t="s">
        <v>74</v>
      </c>
      <c r="AR622" t="s">
        <v>7463</v>
      </c>
      <c r="AS622" t="s">
        <v>7464</v>
      </c>
      <c r="AT622" t="s">
        <v>74</v>
      </c>
      <c r="AU622">
        <v>2021</v>
      </c>
      <c r="AV622">
        <v>39</v>
      </c>
      <c r="AW622">
        <v>5</v>
      </c>
      <c r="AX622" t="s">
        <v>74</v>
      </c>
      <c r="AY622" t="s">
        <v>74</v>
      </c>
      <c r="AZ622" t="s">
        <v>1020</v>
      </c>
      <c r="BA622" t="s">
        <v>74</v>
      </c>
      <c r="BB622" t="s">
        <v>74</v>
      </c>
      <c r="BC622" t="s">
        <v>74</v>
      </c>
      <c r="BD622" t="s">
        <v>74</v>
      </c>
      <c r="BE622" t="s">
        <v>7465</v>
      </c>
      <c r="BF622" t="str">
        <f>HYPERLINK("http://dx.doi.org/10.25115/eea.v39i5.4912","http://dx.doi.org/10.25115/eea.v39i5.4912")</f>
        <v>http://dx.doi.org/10.25115/eea.v39i5.4912</v>
      </c>
      <c r="BG622" t="s">
        <v>74</v>
      </c>
      <c r="BH622" t="s">
        <v>74</v>
      </c>
      <c r="BI622">
        <v>19</v>
      </c>
      <c r="BJ622" t="s">
        <v>521</v>
      </c>
      <c r="BK622" t="s">
        <v>183</v>
      </c>
      <c r="BL622" t="s">
        <v>265</v>
      </c>
      <c r="BM622" t="s">
        <v>7466</v>
      </c>
      <c r="BN622" t="s">
        <v>74</v>
      </c>
      <c r="BO622" t="s">
        <v>791</v>
      </c>
      <c r="BP622" t="s">
        <v>74</v>
      </c>
      <c r="BQ622" t="s">
        <v>74</v>
      </c>
      <c r="BR622" t="s">
        <v>106</v>
      </c>
      <c r="BS622" t="s">
        <v>7467</v>
      </c>
      <c r="BT622" t="str">
        <f>HYPERLINK("https%3A%2F%2Fwww.webofscience.com%2Fwos%2Fwoscc%2Ffull-record%2FWOS:000657220600024","View Full Record in Web of Science")</f>
        <v>View Full Record in Web of Science</v>
      </c>
    </row>
    <row r="623" spans="1:72" x14ac:dyDescent="0.25">
      <c r="A623" t="s">
        <v>72</v>
      </c>
      <c r="B623" t="s">
        <v>7562</v>
      </c>
      <c r="C623" t="s">
        <v>74</v>
      </c>
      <c r="D623" t="s">
        <v>74</v>
      </c>
      <c r="E623" t="s">
        <v>74</v>
      </c>
      <c r="F623" t="s">
        <v>7563</v>
      </c>
      <c r="G623" t="s">
        <v>74</v>
      </c>
      <c r="H623" t="s">
        <v>74</v>
      </c>
      <c r="I623" s="1" t="s">
        <v>7564</v>
      </c>
      <c r="J623" t="s">
        <v>7565</v>
      </c>
      <c r="K623" t="s">
        <v>74</v>
      </c>
      <c r="L623" t="s">
        <v>74</v>
      </c>
      <c r="M623" t="s">
        <v>78</v>
      </c>
      <c r="N623" t="s">
        <v>79</v>
      </c>
      <c r="O623" t="s">
        <v>74</v>
      </c>
      <c r="P623" t="s">
        <v>74</v>
      </c>
      <c r="Q623" t="s">
        <v>74</v>
      </c>
      <c r="R623" t="s">
        <v>74</v>
      </c>
      <c r="S623" t="s">
        <v>74</v>
      </c>
      <c r="T623" s="1" t="s">
        <v>7566</v>
      </c>
      <c r="U623" s="1" t="s">
        <v>7567</v>
      </c>
      <c r="V623" s="1" t="s">
        <v>7568</v>
      </c>
      <c r="W623" t="s">
        <v>7569</v>
      </c>
      <c r="X623" t="s">
        <v>7570</v>
      </c>
      <c r="Y623" t="s">
        <v>7571</v>
      </c>
      <c r="Z623" t="s">
        <v>7572</v>
      </c>
      <c r="AA623" t="s">
        <v>74</v>
      </c>
      <c r="AB623" t="s">
        <v>7573</v>
      </c>
      <c r="AC623" t="s">
        <v>7574</v>
      </c>
      <c r="AD623" t="s">
        <v>7575</v>
      </c>
      <c r="AE623" t="s">
        <v>7576</v>
      </c>
      <c r="AF623" t="s">
        <v>74</v>
      </c>
      <c r="AG623">
        <v>54</v>
      </c>
      <c r="AH623">
        <v>0</v>
      </c>
      <c r="AI623">
        <v>1</v>
      </c>
      <c r="AJ623">
        <v>0</v>
      </c>
      <c r="AK623">
        <v>8</v>
      </c>
      <c r="AL623" t="s">
        <v>2128</v>
      </c>
      <c r="AM623" t="s">
        <v>2129</v>
      </c>
      <c r="AN623" t="s">
        <v>3823</v>
      </c>
      <c r="AO623" t="s">
        <v>7577</v>
      </c>
      <c r="AP623" t="s">
        <v>74</v>
      </c>
      <c r="AQ623" t="s">
        <v>74</v>
      </c>
      <c r="AR623" t="s">
        <v>7565</v>
      </c>
      <c r="AS623" t="s">
        <v>7578</v>
      </c>
      <c r="AT623" t="s">
        <v>7579</v>
      </c>
      <c r="AU623">
        <v>2020</v>
      </c>
      <c r="AV623">
        <v>6</v>
      </c>
      <c r="AW623">
        <v>2</v>
      </c>
      <c r="AX623" t="s">
        <v>74</v>
      </c>
      <c r="AY623" t="s">
        <v>74</v>
      </c>
      <c r="AZ623" t="s">
        <v>74</v>
      </c>
      <c r="BA623" t="s">
        <v>74</v>
      </c>
      <c r="BB623" t="s">
        <v>74</v>
      </c>
      <c r="BC623" t="s">
        <v>74</v>
      </c>
      <c r="BD623" t="s">
        <v>7580</v>
      </c>
      <c r="BE623" t="s">
        <v>7581</v>
      </c>
      <c r="BF623" t="str">
        <f>HYPERLINK("http://dx.doi.org/10.2196/24137","http://dx.doi.org/10.2196/24137")</f>
        <v>http://dx.doi.org/10.2196/24137</v>
      </c>
      <c r="BG623" t="s">
        <v>74</v>
      </c>
      <c r="BH623" t="s">
        <v>74</v>
      </c>
      <c r="BI623">
        <v>11</v>
      </c>
      <c r="BJ623" t="s">
        <v>6703</v>
      </c>
      <c r="BK623" t="s">
        <v>183</v>
      </c>
      <c r="BL623" t="s">
        <v>6703</v>
      </c>
      <c r="BM623" t="s">
        <v>7582</v>
      </c>
      <c r="BN623">
        <v>33156810</v>
      </c>
      <c r="BO623" t="s">
        <v>614</v>
      </c>
      <c r="BP623" t="s">
        <v>74</v>
      </c>
      <c r="BQ623" t="s">
        <v>74</v>
      </c>
      <c r="BR623" t="s">
        <v>106</v>
      </c>
      <c r="BS623" t="s">
        <v>7583</v>
      </c>
      <c r="BT623" t="str">
        <f>HYPERLINK("https%3A%2F%2Fwww.webofscience.com%2Fwos%2Fwoscc%2Ffull-record%2FWOS:000598578000001","View Full Record in Web of Science")</f>
        <v>View Full Record in Web of Science</v>
      </c>
    </row>
    <row r="624" spans="1:72" x14ac:dyDescent="0.25">
      <c r="A624" t="s">
        <v>72</v>
      </c>
      <c r="B624" t="s">
        <v>7598</v>
      </c>
      <c r="C624" t="s">
        <v>74</v>
      </c>
      <c r="D624" t="s">
        <v>74</v>
      </c>
      <c r="E624" t="s">
        <v>74</v>
      </c>
      <c r="F624" t="s">
        <v>7599</v>
      </c>
      <c r="G624" t="s">
        <v>74</v>
      </c>
      <c r="H624" t="s">
        <v>74</v>
      </c>
      <c r="I624" s="1" t="s">
        <v>7600</v>
      </c>
      <c r="J624" t="s">
        <v>7601</v>
      </c>
      <c r="K624" t="s">
        <v>74</v>
      </c>
      <c r="L624" t="s">
        <v>74</v>
      </c>
      <c r="M624" t="s">
        <v>929</v>
      </c>
      <c r="N624" t="s">
        <v>79</v>
      </c>
      <c r="O624" t="s">
        <v>74</v>
      </c>
      <c r="P624" t="s">
        <v>74</v>
      </c>
      <c r="Q624" t="s">
        <v>74</v>
      </c>
      <c r="R624" t="s">
        <v>74</v>
      </c>
      <c r="S624" t="s">
        <v>74</v>
      </c>
      <c r="T624" s="1" t="s">
        <v>7602</v>
      </c>
      <c r="U624" s="1" t="s">
        <v>74</v>
      </c>
      <c r="V624" s="1" t="s">
        <v>7603</v>
      </c>
      <c r="W624" t="s">
        <v>7604</v>
      </c>
      <c r="X624" t="s">
        <v>7605</v>
      </c>
      <c r="Y624" t="s">
        <v>7606</v>
      </c>
      <c r="Z624" t="s">
        <v>7607</v>
      </c>
      <c r="AA624" t="s">
        <v>74</v>
      </c>
      <c r="AB624" t="s">
        <v>74</v>
      </c>
      <c r="AC624" t="s">
        <v>74</v>
      </c>
      <c r="AD624" t="s">
        <v>74</v>
      </c>
      <c r="AE624" t="s">
        <v>74</v>
      </c>
      <c r="AF624" t="s">
        <v>74</v>
      </c>
      <c r="AG624">
        <v>41</v>
      </c>
      <c r="AH624">
        <v>0</v>
      </c>
      <c r="AI624">
        <v>1</v>
      </c>
      <c r="AJ624">
        <v>0</v>
      </c>
      <c r="AK624">
        <v>4</v>
      </c>
      <c r="AL624" t="s">
        <v>4513</v>
      </c>
      <c r="AM624" t="s">
        <v>4514</v>
      </c>
      <c r="AN624" t="s">
        <v>4515</v>
      </c>
      <c r="AO624" t="s">
        <v>7608</v>
      </c>
      <c r="AP624" t="s">
        <v>74</v>
      </c>
      <c r="AQ624" t="s">
        <v>74</v>
      </c>
      <c r="AR624" t="s">
        <v>7609</v>
      </c>
      <c r="AS624" t="s">
        <v>7610</v>
      </c>
      <c r="AT624" t="s">
        <v>476</v>
      </c>
      <c r="AU624">
        <v>2020</v>
      </c>
      <c r="AV624">
        <v>9</v>
      </c>
      <c r="AW624">
        <v>3</v>
      </c>
      <c r="AX624" t="s">
        <v>74</v>
      </c>
      <c r="AY624" t="s">
        <v>74</v>
      </c>
      <c r="AZ624" t="s">
        <v>74</v>
      </c>
      <c r="BA624" t="s">
        <v>74</v>
      </c>
      <c r="BB624">
        <v>335</v>
      </c>
      <c r="BC624">
        <v>352</v>
      </c>
      <c r="BD624" t="s">
        <v>74</v>
      </c>
      <c r="BE624" t="s">
        <v>7611</v>
      </c>
      <c r="BF624" t="str">
        <f>HYPERLINK("http://dx.doi.org/10.15366/riejs2020.9.3.018","http://dx.doi.org/10.15366/riejs2020.9.3.018")</f>
        <v>http://dx.doi.org/10.15366/riejs2020.9.3.018</v>
      </c>
      <c r="BG624" t="s">
        <v>74</v>
      </c>
      <c r="BH624" t="s">
        <v>74</v>
      </c>
      <c r="BI624">
        <v>18</v>
      </c>
      <c r="BJ624" t="s">
        <v>1326</v>
      </c>
      <c r="BK624" t="s">
        <v>183</v>
      </c>
      <c r="BL624" t="s">
        <v>1326</v>
      </c>
      <c r="BM624" t="s">
        <v>7612</v>
      </c>
      <c r="BN624" t="s">
        <v>74</v>
      </c>
      <c r="BO624" t="s">
        <v>186</v>
      </c>
      <c r="BP624" t="s">
        <v>74</v>
      </c>
      <c r="BQ624" t="s">
        <v>74</v>
      </c>
      <c r="BR624" t="s">
        <v>106</v>
      </c>
      <c r="BS624" t="s">
        <v>7613</v>
      </c>
      <c r="BT624" t="str">
        <f>HYPERLINK("https%3A%2F%2Fwww.webofscience.com%2Fwos%2Fwoscc%2Ffull-record%2FWOS:000608600400018","View Full Record in Web of Science")</f>
        <v>View Full Record in Web of Science</v>
      </c>
    </row>
    <row r="625" spans="1:72" x14ac:dyDescent="0.25">
      <c r="A625" t="s">
        <v>72</v>
      </c>
      <c r="B625" t="s">
        <v>7630</v>
      </c>
      <c r="C625" t="s">
        <v>74</v>
      </c>
      <c r="D625" t="s">
        <v>74</v>
      </c>
      <c r="E625" t="s">
        <v>74</v>
      </c>
      <c r="F625" t="s">
        <v>7631</v>
      </c>
      <c r="G625" t="s">
        <v>74</v>
      </c>
      <c r="H625" t="s">
        <v>74</v>
      </c>
      <c r="I625" s="1" t="s">
        <v>7632</v>
      </c>
      <c r="J625" t="s">
        <v>7633</v>
      </c>
      <c r="K625" t="s">
        <v>74</v>
      </c>
      <c r="L625" t="s">
        <v>74</v>
      </c>
      <c r="M625" t="s">
        <v>78</v>
      </c>
      <c r="N625" t="s">
        <v>79</v>
      </c>
      <c r="O625" t="s">
        <v>74</v>
      </c>
      <c r="P625" t="s">
        <v>74</v>
      </c>
      <c r="Q625" t="s">
        <v>74</v>
      </c>
      <c r="R625" t="s">
        <v>74</v>
      </c>
      <c r="S625" t="s">
        <v>74</v>
      </c>
      <c r="T625" s="1" t="s">
        <v>7634</v>
      </c>
      <c r="U625" s="1" t="s">
        <v>74</v>
      </c>
      <c r="V625" s="1" t="s">
        <v>7635</v>
      </c>
      <c r="W625" t="s">
        <v>7636</v>
      </c>
      <c r="X625" t="s">
        <v>7637</v>
      </c>
      <c r="Y625" t="s">
        <v>7638</v>
      </c>
      <c r="Z625" t="s">
        <v>7639</v>
      </c>
      <c r="AA625" t="s">
        <v>7640</v>
      </c>
      <c r="AB625" t="s">
        <v>7641</v>
      </c>
      <c r="AC625" t="s">
        <v>74</v>
      </c>
      <c r="AD625" t="s">
        <v>74</v>
      </c>
      <c r="AE625" t="s">
        <v>74</v>
      </c>
      <c r="AF625" t="s">
        <v>74</v>
      </c>
      <c r="AG625">
        <v>19</v>
      </c>
      <c r="AH625">
        <v>0</v>
      </c>
      <c r="AI625">
        <v>0</v>
      </c>
      <c r="AJ625">
        <v>5</v>
      </c>
      <c r="AK625">
        <v>18</v>
      </c>
      <c r="AL625" t="s">
        <v>7642</v>
      </c>
      <c r="AM625" t="s">
        <v>7643</v>
      </c>
      <c r="AN625" t="s">
        <v>7644</v>
      </c>
      <c r="AO625" t="s">
        <v>7645</v>
      </c>
      <c r="AP625" t="s">
        <v>7646</v>
      </c>
      <c r="AQ625" t="s">
        <v>74</v>
      </c>
      <c r="AR625" t="s">
        <v>7647</v>
      </c>
      <c r="AS625" t="s">
        <v>7648</v>
      </c>
      <c r="AT625" t="s">
        <v>476</v>
      </c>
      <c r="AU625">
        <v>2020</v>
      </c>
      <c r="AV625">
        <v>20</v>
      </c>
      <c r="AW625">
        <v>2</v>
      </c>
      <c r="AX625" t="s">
        <v>74</v>
      </c>
      <c r="AY625" t="s">
        <v>74</v>
      </c>
      <c r="AZ625" t="s">
        <v>74</v>
      </c>
      <c r="BA625" t="s">
        <v>74</v>
      </c>
      <c r="BB625">
        <v>79</v>
      </c>
      <c r="BC625">
        <v>85</v>
      </c>
      <c r="BD625" t="s">
        <v>74</v>
      </c>
      <c r="BE625" t="s">
        <v>74</v>
      </c>
      <c r="BF625" t="s">
        <v>74</v>
      </c>
      <c r="BG625" t="s">
        <v>74</v>
      </c>
      <c r="BH625" t="s">
        <v>74</v>
      </c>
      <c r="BI625">
        <v>7</v>
      </c>
      <c r="BJ625" t="s">
        <v>977</v>
      </c>
      <c r="BK625" t="s">
        <v>183</v>
      </c>
      <c r="BL625" t="s">
        <v>977</v>
      </c>
      <c r="BM625" t="s">
        <v>7649</v>
      </c>
      <c r="BN625" t="s">
        <v>74</v>
      </c>
      <c r="BO625" t="s">
        <v>74</v>
      </c>
      <c r="BP625" t="s">
        <v>74</v>
      </c>
      <c r="BQ625" t="s">
        <v>74</v>
      </c>
      <c r="BR625" t="s">
        <v>106</v>
      </c>
      <c r="BS625" t="s">
        <v>7650</v>
      </c>
      <c r="BT625" t="str">
        <f>HYPERLINK("https%3A%2F%2Fwww.webofscience.com%2Fwos%2Fwoscc%2Ffull-record%2FWOS:000609928200006","View Full Record in Web of Science")</f>
        <v>View Full Record in Web of Science</v>
      </c>
    </row>
    <row r="626" spans="1:72" x14ac:dyDescent="0.25">
      <c r="A626" t="s">
        <v>72</v>
      </c>
      <c r="B626" t="s">
        <v>7691</v>
      </c>
      <c r="C626" t="s">
        <v>74</v>
      </c>
      <c r="D626" t="s">
        <v>74</v>
      </c>
      <c r="E626" t="s">
        <v>74</v>
      </c>
      <c r="F626" t="s">
        <v>7692</v>
      </c>
      <c r="G626" t="s">
        <v>74</v>
      </c>
      <c r="H626" t="s">
        <v>74</v>
      </c>
      <c r="I626" s="1" t="s">
        <v>7693</v>
      </c>
      <c r="J626" t="s">
        <v>7694</v>
      </c>
      <c r="K626" t="s">
        <v>74</v>
      </c>
      <c r="L626" t="s">
        <v>74</v>
      </c>
      <c r="M626" t="s">
        <v>78</v>
      </c>
      <c r="N626" t="s">
        <v>79</v>
      </c>
      <c r="O626" t="s">
        <v>74</v>
      </c>
      <c r="P626" t="s">
        <v>74</v>
      </c>
      <c r="Q626" t="s">
        <v>74</v>
      </c>
      <c r="R626" t="s">
        <v>74</v>
      </c>
      <c r="S626" t="s">
        <v>74</v>
      </c>
      <c r="T626" s="1" t="s">
        <v>74</v>
      </c>
      <c r="U626" s="1" t="s">
        <v>74</v>
      </c>
      <c r="V626" s="1" t="s">
        <v>74</v>
      </c>
      <c r="W626" t="s">
        <v>74</v>
      </c>
      <c r="X626" t="s">
        <v>74</v>
      </c>
      <c r="Y626" t="s">
        <v>74</v>
      </c>
      <c r="Z626" t="s">
        <v>74</v>
      </c>
      <c r="AA626" t="s">
        <v>74</v>
      </c>
      <c r="AB626" t="s">
        <v>74</v>
      </c>
      <c r="AC626" t="s">
        <v>74</v>
      </c>
      <c r="AD626" t="s">
        <v>74</v>
      </c>
      <c r="AE626" t="s">
        <v>74</v>
      </c>
      <c r="AF626" t="s">
        <v>74</v>
      </c>
      <c r="AG626">
        <v>4</v>
      </c>
      <c r="AH626">
        <v>0</v>
      </c>
      <c r="AI626">
        <v>0</v>
      </c>
      <c r="AJ626">
        <v>1</v>
      </c>
      <c r="AK626">
        <v>1</v>
      </c>
      <c r="AL626" t="s">
        <v>7695</v>
      </c>
      <c r="AM626" t="s">
        <v>7696</v>
      </c>
      <c r="AN626" t="s">
        <v>7697</v>
      </c>
      <c r="AO626" t="s">
        <v>7698</v>
      </c>
      <c r="AP626" t="s">
        <v>7699</v>
      </c>
      <c r="AQ626" t="s">
        <v>74</v>
      </c>
      <c r="AR626" t="s">
        <v>7700</v>
      </c>
      <c r="AS626" t="s">
        <v>7701</v>
      </c>
      <c r="AT626" t="s">
        <v>99</v>
      </c>
      <c r="AU626">
        <v>2020</v>
      </c>
      <c r="AV626">
        <v>33</v>
      </c>
      <c r="AW626">
        <v>11</v>
      </c>
      <c r="AX626" t="s">
        <v>74</v>
      </c>
      <c r="AY626" t="s">
        <v>74</v>
      </c>
      <c r="AZ626" t="s">
        <v>74</v>
      </c>
      <c r="BA626" t="s">
        <v>74</v>
      </c>
      <c r="BB626">
        <v>48</v>
      </c>
      <c r="BC626">
        <v>51</v>
      </c>
      <c r="BD626" t="s">
        <v>74</v>
      </c>
      <c r="BE626" t="s">
        <v>74</v>
      </c>
      <c r="BF626" t="s">
        <v>74</v>
      </c>
      <c r="BG626" t="s">
        <v>74</v>
      </c>
      <c r="BH626" t="s">
        <v>74</v>
      </c>
      <c r="BI626">
        <v>4</v>
      </c>
      <c r="BJ626" t="s">
        <v>7702</v>
      </c>
      <c r="BK626" t="s">
        <v>102</v>
      </c>
      <c r="BL626" t="s">
        <v>7702</v>
      </c>
      <c r="BM626" t="s">
        <v>7703</v>
      </c>
      <c r="BN626" t="s">
        <v>74</v>
      </c>
      <c r="BO626" t="s">
        <v>74</v>
      </c>
      <c r="BP626" t="s">
        <v>74</v>
      </c>
      <c r="BQ626" t="s">
        <v>74</v>
      </c>
      <c r="BR626" t="s">
        <v>106</v>
      </c>
      <c r="BS626" t="s">
        <v>7704</v>
      </c>
      <c r="BT626" t="str">
        <f>HYPERLINK("https%3A%2F%2Fwww.webofscience.com%2Fwos%2Fwoscc%2Ffull-record%2FWOS:000981661400013","View Full Record in Web of Science")</f>
        <v>View Full Record in Web of Science</v>
      </c>
    </row>
    <row r="627" spans="1:72" x14ac:dyDescent="0.25">
      <c r="A627" t="s">
        <v>72</v>
      </c>
      <c r="B627" t="s">
        <v>8051</v>
      </c>
      <c r="C627" t="s">
        <v>74</v>
      </c>
      <c r="D627" t="s">
        <v>74</v>
      </c>
      <c r="E627" t="s">
        <v>74</v>
      </c>
      <c r="F627" t="s">
        <v>8052</v>
      </c>
      <c r="G627" t="s">
        <v>74</v>
      </c>
      <c r="H627" t="s">
        <v>74</v>
      </c>
      <c r="I627" s="1" t="s">
        <v>8053</v>
      </c>
      <c r="J627" t="s">
        <v>8054</v>
      </c>
      <c r="K627" t="s">
        <v>74</v>
      </c>
      <c r="L627" t="s">
        <v>74</v>
      </c>
      <c r="M627" t="s">
        <v>929</v>
      </c>
      <c r="N627" t="s">
        <v>79</v>
      </c>
      <c r="O627" t="s">
        <v>74</v>
      </c>
      <c r="P627" t="s">
        <v>74</v>
      </c>
      <c r="Q627" t="s">
        <v>74</v>
      </c>
      <c r="R627" t="s">
        <v>74</v>
      </c>
      <c r="S627" t="s">
        <v>74</v>
      </c>
      <c r="T627" s="1" t="s">
        <v>8055</v>
      </c>
      <c r="U627" s="1" t="s">
        <v>74</v>
      </c>
      <c r="V627" s="1" t="s">
        <v>8056</v>
      </c>
      <c r="W627" t="s">
        <v>8057</v>
      </c>
      <c r="X627" t="s">
        <v>8058</v>
      </c>
      <c r="Y627" t="s">
        <v>8059</v>
      </c>
      <c r="Z627" t="s">
        <v>8060</v>
      </c>
      <c r="AA627" t="s">
        <v>74</v>
      </c>
      <c r="AB627" t="s">
        <v>74</v>
      </c>
      <c r="AC627" t="s">
        <v>74</v>
      </c>
      <c r="AD627" t="s">
        <v>74</v>
      </c>
      <c r="AE627" t="s">
        <v>74</v>
      </c>
      <c r="AF627" t="s">
        <v>74</v>
      </c>
      <c r="AG627">
        <v>35</v>
      </c>
      <c r="AH627">
        <v>0</v>
      </c>
      <c r="AI627">
        <v>1</v>
      </c>
      <c r="AJ627">
        <v>6</v>
      </c>
      <c r="AK627">
        <v>21</v>
      </c>
      <c r="AL627" t="s">
        <v>8061</v>
      </c>
      <c r="AM627" t="s">
        <v>8062</v>
      </c>
      <c r="AN627" t="s">
        <v>8063</v>
      </c>
      <c r="AO627" t="s">
        <v>8064</v>
      </c>
      <c r="AP627" t="s">
        <v>74</v>
      </c>
      <c r="AQ627" t="s">
        <v>74</v>
      </c>
      <c r="AR627" t="s">
        <v>8065</v>
      </c>
      <c r="AS627" t="s">
        <v>8066</v>
      </c>
      <c r="AT627" t="s">
        <v>4456</v>
      </c>
      <c r="AU627">
        <v>2020</v>
      </c>
      <c r="AV627">
        <v>87</v>
      </c>
      <c r="AW627">
        <v>346</v>
      </c>
      <c r="AX627" t="s">
        <v>74</v>
      </c>
      <c r="AY627" t="s">
        <v>74</v>
      </c>
      <c r="AZ627" t="s">
        <v>74</v>
      </c>
      <c r="BA627" t="s">
        <v>74</v>
      </c>
      <c r="BB627">
        <v>367</v>
      </c>
      <c r="BC627">
        <v>402</v>
      </c>
      <c r="BD627" t="s">
        <v>74</v>
      </c>
      <c r="BE627" t="s">
        <v>8067</v>
      </c>
      <c r="BF627" t="str">
        <f>HYPERLINK("http://dx.doi.org/10.20430/ete.v87i346.974","http://dx.doi.org/10.20430/ete.v87i346.974")</f>
        <v>http://dx.doi.org/10.20430/ete.v87i346.974</v>
      </c>
      <c r="BG627" t="s">
        <v>74</v>
      </c>
      <c r="BH627" t="s">
        <v>74</v>
      </c>
      <c r="BI627">
        <v>36</v>
      </c>
      <c r="BJ627" t="s">
        <v>521</v>
      </c>
      <c r="BK627" t="s">
        <v>156</v>
      </c>
      <c r="BL627" t="s">
        <v>265</v>
      </c>
      <c r="BM627" t="s">
        <v>8068</v>
      </c>
      <c r="BN627" t="s">
        <v>74</v>
      </c>
      <c r="BO627" t="s">
        <v>422</v>
      </c>
      <c r="BP627" t="s">
        <v>74</v>
      </c>
      <c r="BQ627" t="s">
        <v>74</v>
      </c>
      <c r="BR627" t="s">
        <v>106</v>
      </c>
      <c r="BS627" t="s">
        <v>8069</v>
      </c>
      <c r="BT627" t="str">
        <f>HYPERLINK("https%3A%2F%2Fwww.webofscience.com%2Fwos%2Fwoscc%2Ffull-record%2FWOS:000523565400002","View Full Record in Web of Science")</f>
        <v>View Full Record in Web of Science</v>
      </c>
    </row>
    <row r="628" spans="1:72" x14ac:dyDescent="0.25">
      <c r="A628" t="s">
        <v>72</v>
      </c>
      <c r="B628" t="s">
        <v>8201</v>
      </c>
      <c r="C628" t="s">
        <v>74</v>
      </c>
      <c r="D628" t="s">
        <v>74</v>
      </c>
      <c r="E628" t="s">
        <v>74</v>
      </c>
      <c r="F628" t="s">
        <v>8202</v>
      </c>
      <c r="G628" t="s">
        <v>74</v>
      </c>
      <c r="H628" t="s">
        <v>74</v>
      </c>
      <c r="I628" s="1" t="s">
        <v>8203</v>
      </c>
      <c r="J628" t="s">
        <v>8204</v>
      </c>
      <c r="K628" t="s">
        <v>74</v>
      </c>
      <c r="L628" t="s">
        <v>74</v>
      </c>
      <c r="M628" t="s">
        <v>78</v>
      </c>
      <c r="N628" t="s">
        <v>79</v>
      </c>
      <c r="O628" t="s">
        <v>74</v>
      </c>
      <c r="P628" t="s">
        <v>74</v>
      </c>
      <c r="Q628" t="s">
        <v>74</v>
      </c>
      <c r="R628" t="s">
        <v>74</v>
      </c>
      <c r="S628" t="s">
        <v>74</v>
      </c>
      <c r="T628" s="1" t="s">
        <v>8205</v>
      </c>
      <c r="U628" s="1" t="s">
        <v>8206</v>
      </c>
      <c r="V628" s="1" t="s">
        <v>8207</v>
      </c>
      <c r="W628" t="s">
        <v>8208</v>
      </c>
      <c r="X628" t="s">
        <v>8209</v>
      </c>
      <c r="Y628" t="s">
        <v>8210</v>
      </c>
      <c r="Z628" t="s">
        <v>74</v>
      </c>
      <c r="AA628" t="s">
        <v>74</v>
      </c>
      <c r="AB628" t="s">
        <v>8211</v>
      </c>
      <c r="AC628" t="s">
        <v>8212</v>
      </c>
      <c r="AD628" t="s">
        <v>8212</v>
      </c>
      <c r="AE628" t="s">
        <v>8213</v>
      </c>
      <c r="AF628" t="s">
        <v>74</v>
      </c>
      <c r="AG628">
        <v>31</v>
      </c>
      <c r="AH628">
        <v>0</v>
      </c>
      <c r="AI628">
        <v>0</v>
      </c>
      <c r="AJ628">
        <v>1</v>
      </c>
      <c r="AK628">
        <v>1</v>
      </c>
      <c r="AL628" t="s">
        <v>8214</v>
      </c>
      <c r="AM628" t="s">
        <v>8215</v>
      </c>
      <c r="AN628" t="s">
        <v>8216</v>
      </c>
      <c r="AO628" t="s">
        <v>8217</v>
      </c>
      <c r="AP628" t="s">
        <v>8218</v>
      </c>
      <c r="AQ628" t="s">
        <v>74</v>
      </c>
      <c r="AR628" t="s">
        <v>8219</v>
      </c>
      <c r="AS628" t="s">
        <v>8220</v>
      </c>
      <c r="AT628" t="s">
        <v>1683</v>
      </c>
      <c r="AU628">
        <v>2020</v>
      </c>
      <c r="AV628">
        <v>13</v>
      </c>
      <c r="AW628">
        <v>1</v>
      </c>
      <c r="AX628" t="s">
        <v>74</v>
      </c>
      <c r="AY628" t="s">
        <v>74</v>
      </c>
      <c r="AZ628" t="s">
        <v>74</v>
      </c>
      <c r="BA628" t="s">
        <v>74</v>
      </c>
      <c r="BB628">
        <v>50</v>
      </c>
      <c r="BC628">
        <v>66</v>
      </c>
      <c r="BD628" t="s">
        <v>74</v>
      </c>
      <c r="BE628" t="s">
        <v>8221</v>
      </c>
      <c r="BF628" t="str">
        <f>HYPERLINK("http://dx.doi.org/10.3167/ghs.2020.130105","http://dx.doi.org/10.3167/ghs.2020.130105")</f>
        <v>http://dx.doi.org/10.3167/ghs.2020.130105</v>
      </c>
      <c r="BG628" t="s">
        <v>74</v>
      </c>
      <c r="BH628" t="s">
        <v>74</v>
      </c>
      <c r="BI628">
        <v>17</v>
      </c>
      <c r="BJ628" t="s">
        <v>942</v>
      </c>
      <c r="BK628" t="s">
        <v>183</v>
      </c>
      <c r="BL628" t="s">
        <v>943</v>
      </c>
      <c r="BM628" t="s">
        <v>8222</v>
      </c>
      <c r="BN628" t="s">
        <v>74</v>
      </c>
      <c r="BO628" t="s">
        <v>74</v>
      </c>
      <c r="BP628" t="s">
        <v>74</v>
      </c>
      <c r="BQ628" t="s">
        <v>74</v>
      </c>
      <c r="BR628" t="s">
        <v>106</v>
      </c>
      <c r="BS628" t="s">
        <v>8223</v>
      </c>
      <c r="BT628" t="str">
        <f>HYPERLINK("https%3A%2F%2Fwww.webofscience.com%2Fwos%2Fwoscc%2Ffull-record%2FWOS:000519562400005","View Full Record in Web of Science")</f>
        <v>View Full Record in Web of Science</v>
      </c>
    </row>
    <row r="629" spans="1:72" x14ac:dyDescent="0.25">
      <c r="A629" t="s">
        <v>72</v>
      </c>
      <c r="B629" t="s">
        <v>8295</v>
      </c>
      <c r="C629" t="s">
        <v>74</v>
      </c>
      <c r="D629" t="s">
        <v>74</v>
      </c>
      <c r="E629" t="s">
        <v>74</v>
      </c>
      <c r="F629" t="s">
        <v>8296</v>
      </c>
      <c r="G629" t="s">
        <v>74</v>
      </c>
      <c r="H629" t="s">
        <v>74</v>
      </c>
      <c r="I629" s="1" t="s">
        <v>8297</v>
      </c>
      <c r="J629" t="s">
        <v>8298</v>
      </c>
      <c r="K629" t="s">
        <v>74</v>
      </c>
      <c r="L629" t="s">
        <v>74</v>
      </c>
      <c r="M629" t="s">
        <v>2896</v>
      </c>
      <c r="N629" t="s">
        <v>79</v>
      </c>
      <c r="O629" t="s">
        <v>74</v>
      </c>
      <c r="P629" t="s">
        <v>74</v>
      </c>
      <c r="Q629" t="s">
        <v>74</v>
      </c>
      <c r="R629" t="s">
        <v>74</v>
      </c>
      <c r="S629" t="s">
        <v>74</v>
      </c>
      <c r="T629" s="1" t="s">
        <v>8299</v>
      </c>
      <c r="U629" s="1" t="s">
        <v>74</v>
      </c>
      <c r="V629" s="1" t="s">
        <v>8300</v>
      </c>
      <c r="W629" t="s">
        <v>8301</v>
      </c>
      <c r="X629" t="s">
        <v>8302</v>
      </c>
      <c r="Y629" t="s">
        <v>8303</v>
      </c>
      <c r="Z629" t="s">
        <v>8304</v>
      </c>
      <c r="AA629" t="s">
        <v>74</v>
      </c>
      <c r="AB629" t="s">
        <v>74</v>
      </c>
      <c r="AC629" t="s">
        <v>74</v>
      </c>
      <c r="AD629" t="s">
        <v>74</v>
      </c>
      <c r="AE629" t="s">
        <v>74</v>
      </c>
      <c r="AF629" t="s">
        <v>74</v>
      </c>
      <c r="AG629">
        <v>34</v>
      </c>
      <c r="AH629">
        <v>0</v>
      </c>
      <c r="AI629">
        <v>0</v>
      </c>
      <c r="AJ629">
        <v>0</v>
      </c>
      <c r="AK629">
        <v>1</v>
      </c>
      <c r="AL629" t="s">
        <v>8305</v>
      </c>
      <c r="AM629" t="s">
        <v>8306</v>
      </c>
      <c r="AN629" t="s">
        <v>8307</v>
      </c>
      <c r="AO629" t="s">
        <v>8308</v>
      </c>
      <c r="AP629" t="s">
        <v>74</v>
      </c>
      <c r="AQ629" t="s">
        <v>74</v>
      </c>
      <c r="AR629" t="s">
        <v>8309</v>
      </c>
      <c r="AS629" t="s">
        <v>8310</v>
      </c>
      <c r="AT629" t="s">
        <v>2068</v>
      </c>
      <c r="AU629">
        <v>2020</v>
      </c>
      <c r="AV629">
        <v>7</v>
      </c>
      <c r="AW629">
        <v>1</v>
      </c>
      <c r="AX629" t="s">
        <v>74</v>
      </c>
      <c r="AY629" t="s">
        <v>74</v>
      </c>
      <c r="AZ629" t="s">
        <v>74</v>
      </c>
      <c r="BA629" t="s">
        <v>74</v>
      </c>
      <c r="BB629">
        <v>251</v>
      </c>
      <c r="BC629">
        <v>266</v>
      </c>
      <c r="BD629" t="s">
        <v>74</v>
      </c>
      <c r="BE629" t="s">
        <v>74</v>
      </c>
      <c r="BF629" t="s">
        <v>74</v>
      </c>
      <c r="BG629" t="s">
        <v>74</v>
      </c>
      <c r="BH629" t="s">
        <v>74</v>
      </c>
      <c r="BI629">
        <v>16</v>
      </c>
      <c r="BJ629" t="s">
        <v>2192</v>
      </c>
      <c r="BK629" t="s">
        <v>183</v>
      </c>
      <c r="BL629" t="s">
        <v>2193</v>
      </c>
      <c r="BM629" t="s">
        <v>8311</v>
      </c>
      <c r="BN629" t="s">
        <v>74</v>
      </c>
      <c r="BO629" t="s">
        <v>74</v>
      </c>
      <c r="BP629" t="s">
        <v>74</v>
      </c>
      <c r="BQ629" t="s">
        <v>74</v>
      </c>
      <c r="BR629" t="s">
        <v>106</v>
      </c>
      <c r="BS629" t="s">
        <v>8312</v>
      </c>
      <c r="BT629" t="str">
        <f>HYPERLINK("https%3A%2F%2Fwww.webofscience.com%2Fwos%2Fwoscc%2Ffull-record%2FWOS:000512737100024","View Full Record in Web of Science")</f>
        <v>View Full Record in Web of Science</v>
      </c>
    </row>
    <row r="630" spans="1:72" x14ac:dyDescent="0.25">
      <c r="A630" t="s">
        <v>72</v>
      </c>
      <c r="B630" t="s">
        <v>8332</v>
      </c>
      <c r="C630" t="s">
        <v>74</v>
      </c>
      <c r="D630" t="s">
        <v>74</v>
      </c>
      <c r="E630" t="s">
        <v>74</v>
      </c>
      <c r="F630" t="s">
        <v>8333</v>
      </c>
      <c r="G630" t="s">
        <v>74</v>
      </c>
      <c r="H630" t="s">
        <v>74</v>
      </c>
      <c r="I630" s="1" t="s">
        <v>8334</v>
      </c>
      <c r="J630" t="s">
        <v>8335</v>
      </c>
      <c r="K630" t="s">
        <v>74</v>
      </c>
      <c r="L630" t="s">
        <v>74</v>
      </c>
      <c r="M630" t="s">
        <v>4637</v>
      </c>
      <c r="N630" t="s">
        <v>79</v>
      </c>
      <c r="O630" t="s">
        <v>74</v>
      </c>
      <c r="P630" t="s">
        <v>74</v>
      </c>
      <c r="Q630" t="s">
        <v>74</v>
      </c>
      <c r="R630" t="s">
        <v>74</v>
      </c>
      <c r="S630" t="s">
        <v>74</v>
      </c>
      <c r="T630" s="1" t="s">
        <v>8336</v>
      </c>
      <c r="U630" s="1" t="s">
        <v>74</v>
      </c>
      <c r="V630" s="1" t="s">
        <v>8337</v>
      </c>
      <c r="W630" t="s">
        <v>8338</v>
      </c>
      <c r="X630" t="s">
        <v>8339</v>
      </c>
      <c r="Y630" t="s">
        <v>8340</v>
      </c>
      <c r="Z630" t="s">
        <v>74</v>
      </c>
      <c r="AA630" t="s">
        <v>74</v>
      </c>
      <c r="AB630" t="s">
        <v>74</v>
      </c>
      <c r="AC630" t="s">
        <v>74</v>
      </c>
      <c r="AD630" t="s">
        <v>74</v>
      </c>
      <c r="AE630" t="s">
        <v>74</v>
      </c>
      <c r="AF630" t="s">
        <v>74</v>
      </c>
      <c r="AG630">
        <v>26</v>
      </c>
      <c r="AH630">
        <v>0</v>
      </c>
      <c r="AI630">
        <v>0</v>
      </c>
      <c r="AJ630">
        <v>2</v>
      </c>
      <c r="AK630">
        <v>3</v>
      </c>
      <c r="AL630" t="s">
        <v>8341</v>
      </c>
      <c r="AM630" t="s">
        <v>8342</v>
      </c>
      <c r="AN630" t="s">
        <v>8343</v>
      </c>
      <c r="AO630" t="s">
        <v>8344</v>
      </c>
      <c r="AP630" t="s">
        <v>8345</v>
      </c>
      <c r="AQ630" t="s">
        <v>74</v>
      </c>
      <c r="AR630" t="s">
        <v>8346</v>
      </c>
      <c r="AS630" t="s">
        <v>8347</v>
      </c>
      <c r="AT630" t="s">
        <v>74</v>
      </c>
      <c r="AU630">
        <v>2020</v>
      </c>
      <c r="AV630" t="s">
        <v>74</v>
      </c>
      <c r="AW630">
        <v>36</v>
      </c>
      <c r="AX630" t="s">
        <v>74</v>
      </c>
      <c r="AY630" t="s">
        <v>74</v>
      </c>
      <c r="AZ630" t="s">
        <v>74</v>
      </c>
      <c r="BA630" t="s">
        <v>74</v>
      </c>
      <c r="BB630">
        <v>35</v>
      </c>
      <c r="BC630">
        <v>56</v>
      </c>
      <c r="BD630" t="s">
        <v>74</v>
      </c>
      <c r="BE630" t="s">
        <v>8348</v>
      </c>
      <c r="BF630" t="str">
        <f>HYPERLINK("http://dx.doi.org/10.4000/culturemusees.5391","http://dx.doi.org/10.4000/culturemusees.5391")</f>
        <v>http://dx.doi.org/10.4000/culturemusees.5391</v>
      </c>
      <c r="BG630" t="s">
        <v>74</v>
      </c>
      <c r="BH630" t="s">
        <v>74</v>
      </c>
      <c r="BI630">
        <v>22</v>
      </c>
      <c r="BJ630" t="s">
        <v>2192</v>
      </c>
      <c r="BK630" t="s">
        <v>3239</v>
      </c>
      <c r="BL630" t="s">
        <v>2193</v>
      </c>
      <c r="BM630" t="s">
        <v>8349</v>
      </c>
      <c r="BN630" t="s">
        <v>74</v>
      </c>
      <c r="BO630" t="s">
        <v>4521</v>
      </c>
      <c r="BP630" t="s">
        <v>74</v>
      </c>
      <c r="BQ630" t="s">
        <v>74</v>
      </c>
      <c r="BR630" t="s">
        <v>106</v>
      </c>
      <c r="BS630" t="s">
        <v>8350</v>
      </c>
      <c r="BT630" t="str">
        <f>HYPERLINK("https%3A%2F%2Fwww.webofscience.com%2Fwos%2Fwoscc%2Ffull-record%2FWOS:000596092700004","View Full Record in Web of Science")</f>
        <v>View Full Record in Web of Science</v>
      </c>
    </row>
    <row r="631" spans="1:72" x14ac:dyDescent="0.25">
      <c r="A631" t="s">
        <v>72</v>
      </c>
      <c r="B631" t="s">
        <v>8351</v>
      </c>
      <c r="C631" t="s">
        <v>74</v>
      </c>
      <c r="D631" t="s">
        <v>74</v>
      </c>
      <c r="E631" t="s">
        <v>74</v>
      </c>
      <c r="F631" t="s">
        <v>8352</v>
      </c>
      <c r="G631" t="s">
        <v>74</v>
      </c>
      <c r="H631" t="s">
        <v>74</v>
      </c>
      <c r="I631" s="1" t="s">
        <v>8353</v>
      </c>
      <c r="J631" t="s">
        <v>8354</v>
      </c>
      <c r="K631" t="s">
        <v>74</v>
      </c>
      <c r="L631" t="s">
        <v>74</v>
      </c>
      <c r="M631" t="s">
        <v>929</v>
      </c>
      <c r="N631" t="s">
        <v>79</v>
      </c>
      <c r="O631" t="s">
        <v>74</v>
      </c>
      <c r="P631" t="s">
        <v>74</v>
      </c>
      <c r="Q631" t="s">
        <v>74</v>
      </c>
      <c r="R631" t="s">
        <v>74</v>
      </c>
      <c r="S631" t="s">
        <v>74</v>
      </c>
      <c r="T631" s="1" t="s">
        <v>8355</v>
      </c>
      <c r="U631" s="1" t="s">
        <v>8356</v>
      </c>
      <c r="V631" s="1" t="s">
        <v>8357</v>
      </c>
      <c r="W631" t="s">
        <v>8358</v>
      </c>
      <c r="X631" t="s">
        <v>8359</v>
      </c>
      <c r="Y631" t="s">
        <v>8360</v>
      </c>
      <c r="Z631" t="s">
        <v>8361</v>
      </c>
      <c r="AA631" t="s">
        <v>74</v>
      </c>
      <c r="AB631" t="s">
        <v>74</v>
      </c>
      <c r="AC631" t="s">
        <v>74</v>
      </c>
      <c r="AD631" t="s">
        <v>74</v>
      </c>
      <c r="AE631" t="s">
        <v>74</v>
      </c>
      <c r="AF631" t="s">
        <v>74</v>
      </c>
      <c r="AG631">
        <v>42</v>
      </c>
      <c r="AH631">
        <v>0</v>
      </c>
      <c r="AI631">
        <v>0</v>
      </c>
      <c r="AJ631">
        <v>0</v>
      </c>
      <c r="AK631">
        <v>8</v>
      </c>
      <c r="AL631" t="s">
        <v>8362</v>
      </c>
      <c r="AM631" t="s">
        <v>8363</v>
      </c>
      <c r="AN631" t="s">
        <v>8364</v>
      </c>
      <c r="AO631" t="s">
        <v>8365</v>
      </c>
      <c r="AP631" t="s">
        <v>74</v>
      </c>
      <c r="AQ631" t="s">
        <v>74</v>
      </c>
      <c r="AR631" t="s">
        <v>8366</v>
      </c>
      <c r="AS631" t="s">
        <v>8367</v>
      </c>
      <c r="AT631" t="s">
        <v>74</v>
      </c>
      <c r="AU631">
        <v>2020</v>
      </c>
      <c r="AV631">
        <v>13</v>
      </c>
      <c r="AW631" t="s">
        <v>74</v>
      </c>
      <c r="AX631" t="s">
        <v>74</v>
      </c>
      <c r="AY631" t="s">
        <v>74</v>
      </c>
      <c r="AZ631" t="s">
        <v>1020</v>
      </c>
      <c r="BA631" t="s">
        <v>74</v>
      </c>
      <c r="BB631">
        <v>32</v>
      </c>
      <c r="BC631">
        <v>42</v>
      </c>
      <c r="BD631" t="s">
        <v>74</v>
      </c>
      <c r="BE631" t="s">
        <v>74</v>
      </c>
      <c r="BF631" t="s">
        <v>74</v>
      </c>
      <c r="BG631" t="s">
        <v>74</v>
      </c>
      <c r="BH631" t="s">
        <v>74</v>
      </c>
      <c r="BI631">
        <v>11</v>
      </c>
      <c r="BJ631" t="s">
        <v>1326</v>
      </c>
      <c r="BK631" t="s">
        <v>183</v>
      </c>
      <c r="BL631" t="s">
        <v>1326</v>
      </c>
      <c r="BM631" t="s">
        <v>8368</v>
      </c>
      <c r="BN631" t="s">
        <v>74</v>
      </c>
      <c r="BO631" t="s">
        <v>74</v>
      </c>
      <c r="BP631" t="s">
        <v>74</v>
      </c>
      <c r="BQ631" t="s">
        <v>74</v>
      </c>
      <c r="BR631" t="s">
        <v>106</v>
      </c>
      <c r="BS631" t="s">
        <v>8369</v>
      </c>
      <c r="BT631" t="str">
        <f>HYPERLINK("https%3A%2F%2Fwww.webofscience.com%2Fwos%2Fwoscc%2Ffull-record%2FWOS:000752492600003","View Full Record in Web of Science")</f>
        <v>View Full Record in Web of Science</v>
      </c>
    </row>
    <row r="632" spans="1:72" x14ac:dyDescent="0.25">
      <c r="A632" t="s">
        <v>72</v>
      </c>
      <c r="B632" t="s">
        <v>8370</v>
      </c>
      <c r="C632" t="s">
        <v>74</v>
      </c>
      <c r="D632" t="s">
        <v>74</v>
      </c>
      <c r="E632" t="s">
        <v>74</v>
      </c>
      <c r="F632" t="s">
        <v>8371</v>
      </c>
      <c r="G632" t="s">
        <v>74</v>
      </c>
      <c r="H632" t="s">
        <v>74</v>
      </c>
      <c r="I632" s="1" t="s">
        <v>8372</v>
      </c>
      <c r="J632" t="s">
        <v>8373</v>
      </c>
      <c r="K632" t="s">
        <v>74</v>
      </c>
      <c r="L632" t="s">
        <v>74</v>
      </c>
      <c r="M632" t="s">
        <v>929</v>
      </c>
      <c r="N632" t="s">
        <v>79</v>
      </c>
      <c r="O632" t="s">
        <v>74</v>
      </c>
      <c r="P632" t="s">
        <v>74</v>
      </c>
      <c r="Q632" t="s">
        <v>74</v>
      </c>
      <c r="R632" t="s">
        <v>74</v>
      </c>
      <c r="S632" t="s">
        <v>74</v>
      </c>
      <c r="T632" s="1" t="s">
        <v>8374</v>
      </c>
      <c r="U632" s="1" t="s">
        <v>8375</v>
      </c>
      <c r="V632" s="1" t="s">
        <v>8376</v>
      </c>
      <c r="W632" t="s">
        <v>8377</v>
      </c>
      <c r="X632" t="s">
        <v>8378</v>
      </c>
      <c r="Y632" t="s">
        <v>8379</v>
      </c>
      <c r="Z632" t="s">
        <v>8380</v>
      </c>
      <c r="AA632" t="s">
        <v>8381</v>
      </c>
      <c r="AB632" t="s">
        <v>8382</v>
      </c>
      <c r="AC632" t="s">
        <v>74</v>
      </c>
      <c r="AD632" t="s">
        <v>74</v>
      </c>
      <c r="AE632" t="s">
        <v>74</v>
      </c>
      <c r="AF632" t="s">
        <v>74</v>
      </c>
      <c r="AG632">
        <v>76</v>
      </c>
      <c r="AH632">
        <v>0</v>
      </c>
      <c r="AI632">
        <v>0</v>
      </c>
      <c r="AJ632">
        <v>0</v>
      </c>
      <c r="AK632">
        <v>0</v>
      </c>
      <c r="AL632" t="s">
        <v>8383</v>
      </c>
      <c r="AM632" t="s">
        <v>8384</v>
      </c>
      <c r="AN632" t="s">
        <v>8385</v>
      </c>
      <c r="AO632" t="s">
        <v>8386</v>
      </c>
      <c r="AP632" t="s">
        <v>8387</v>
      </c>
      <c r="AQ632" t="s">
        <v>74</v>
      </c>
      <c r="AR632" t="s">
        <v>8388</v>
      </c>
      <c r="AS632" t="s">
        <v>8389</v>
      </c>
      <c r="AT632" t="s">
        <v>74</v>
      </c>
      <c r="AU632">
        <v>2020</v>
      </c>
      <c r="AV632" t="s">
        <v>74</v>
      </c>
      <c r="AW632">
        <v>2</v>
      </c>
      <c r="AX632" t="s">
        <v>74</v>
      </c>
      <c r="AY632" t="s">
        <v>74</v>
      </c>
      <c r="AZ632" t="s">
        <v>74</v>
      </c>
      <c r="BA632" t="s">
        <v>74</v>
      </c>
      <c r="BB632">
        <v>53</v>
      </c>
      <c r="BC632">
        <v>69</v>
      </c>
      <c r="BD632" t="s">
        <v>74</v>
      </c>
      <c r="BE632" t="s">
        <v>8390</v>
      </c>
      <c r="BF632" t="str">
        <f>HYPERLINK("http://dx.doi.org/10.17561/ree.v2020n2.4","http://dx.doi.org/10.17561/ree.v2020n2.4")</f>
        <v>http://dx.doi.org/10.17561/ree.v2020n2.4</v>
      </c>
      <c r="BG632" t="s">
        <v>74</v>
      </c>
      <c r="BH632" t="s">
        <v>74</v>
      </c>
      <c r="BI632">
        <v>17</v>
      </c>
      <c r="BJ632" t="s">
        <v>1023</v>
      </c>
      <c r="BK632" t="s">
        <v>183</v>
      </c>
      <c r="BL632" t="s">
        <v>265</v>
      </c>
      <c r="BM632" t="s">
        <v>8391</v>
      </c>
      <c r="BN632" t="s">
        <v>74</v>
      </c>
      <c r="BO632" t="s">
        <v>2162</v>
      </c>
      <c r="BP632" t="s">
        <v>74</v>
      </c>
      <c r="BQ632" t="s">
        <v>74</v>
      </c>
      <c r="BR632" t="s">
        <v>106</v>
      </c>
      <c r="BS632" t="s">
        <v>8392</v>
      </c>
      <c r="BT632" t="str">
        <f>HYPERLINK("https%3A%2F%2Fwww.webofscience.com%2Fwos%2Fwoscc%2Ffull-record%2FWOS:000601789600005","View Full Record in Web of Science")</f>
        <v>View Full Record in Web of Science</v>
      </c>
    </row>
    <row r="633" spans="1:72" x14ac:dyDescent="0.25">
      <c r="A633" t="s">
        <v>72</v>
      </c>
      <c r="B633" t="s">
        <v>8441</v>
      </c>
      <c r="C633" t="s">
        <v>74</v>
      </c>
      <c r="D633" t="s">
        <v>74</v>
      </c>
      <c r="E633" t="s">
        <v>74</v>
      </c>
      <c r="F633" t="s">
        <v>8442</v>
      </c>
      <c r="G633" t="s">
        <v>74</v>
      </c>
      <c r="H633" t="s">
        <v>74</v>
      </c>
      <c r="I633" s="1" t="s">
        <v>8443</v>
      </c>
      <c r="J633" t="s">
        <v>8444</v>
      </c>
      <c r="K633" t="s">
        <v>74</v>
      </c>
      <c r="L633" t="s">
        <v>74</v>
      </c>
      <c r="M633" t="s">
        <v>5147</v>
      </c>
      <c r="N633" t="s">
        <v>79</v>
      </c>
      <c r="O633" t="s">
        <v>74</v>
      </c>
      <c r="P633" t="s">
        <v>74</v>
      </c>
      <c r="Q633" t="s">
        <v>74</v>
      </c>
      <c r="R633" t="s">
        <v>74</v>
      </c>
      <c r="S633" t="s">
        <v>74</v>
      </c>
      <c r="T633" s="1" t="s">
        <v>74</v>
      </c>
      <c r="U633" s="1" t="s">
        <v>74</v>
      </c>
      <c r="V633" s="1" t="s">
        <v>8445</v>
      </c>
      <c r="W633" t="s">
        <v>8446</v>
      </c>
      <c r="X633" t="s">
        <v>74</v>
      </c>
      <c r="Y633" t="s">
        <v>8447</v>
      </c>
      <c r="Z633" t="s">
        <v>8448</v>
      </c>
      <c r="AA633" t="s">
        <v>74</v>
      </c>
      <c r="AB633" t="s">
        <v>74</v>
      </c>
      <c r="AC633" t="s">
        <v>74</v>
      </c>
      <c r="AD633" t="s">
        <v>74</v>
      </c>
      <c r="AE633" t="s">
        <v>74</v>
      </c>
      <c r="AF633" t="s">
        <v>74</v>
      </c>
      <c r="AG633">
        <v>0</v>
      </c>
      <c r="AH633">
        <v>0</v>
      </c>
      <c r="AI633">
        <v>0</v>
      </c>
      <c r="AJ633">
        <v>0</v>
      </c>
      <c r="AK633">
        <v>2</v>
      </c>
      <c r="AL633" t="s">
        <v>8449</v>
      </c>
      <c r="AM633" t="s">
        <v>5156</v>
      </c>
      <c r="AN633" t="s">
        <v>8450</v>
      </c>
      <c r="AO633" t="s">
        <v>8451</v>
      </c>
      <c r="AP633" t="s">
        <v>74</v>
      </c>
      <c r="AQ633" t="s">
        <v>74</v>
      </c>
      <c r="AR633" t="s">
        <v>8449</v>
      </c>
      <c r="AS633" t="s">
        <v>8452</v>
      </c>
      <c r="AT633" t="s">
        <v>74</v>
      </c>
      <c r="AU633">
        <v>2020</v>
      </c>
      <c r="AV633">
        <v>11</v>
      </c>
      <c r="AW633">
        <v>2</v>
      </c>
      <c r="AX633" t="s">
        <v>74</v>
      </c>
      <c r="AY633" t="s">
        <v>74</v>
      </c>
      <c r="AZ633" t="s">
        <v>74</v>
      </c>
      <c r="BA633" t="s">
        <v>74</v>
      </c>
      <c r="BB633">
        <v>14</v>
      </c>
      <c r="BC633">
        <v>17</v>
      </c>
      <c r="BD633" t="s">
        <v>74</v>
      </c>
      <c r="BE633" t="s">
        <v>74</v>
      </c>
      <c r="BF633" t="s">
        <v>74</v>
      </c>
      <c r="BG633" t="s">
        <v>74</v>
      </c>
      <c r="BH633" t="s">
        <v>74</v>
      </c>
      <c r="BI633">
        <v>4</v>
      </c>
      <c r="BJ633" t="s">
        <v>2192</v>
      </c>
      <c r="BK633" t="s">
        <v>183</v>
      </c>
      <c r="BL633" t="s">
        <v>2193</v>
      </c>
      <c r="BM633" t="s">
        <v>8453</v>
      </c>
      <c r="BN633" t="s">
        <v>74</v>
      </c>
      <c r="BO633" t="s">
        <v>74</v>
      </c>
      <c r="BP633" t="s">
        <v>74</v>
      </c>
      <c r="BQ633" t="s">
        <v>74</v>
      </c>
      <c r="BR633" t="s">
        <v>106</v>
      </c>
      <c r="BS633" t="s">
        <v>8454</v>
      </c>
      <c r="BT633" t="str">
        <f>HYPERLINK("https%3A%2F%2Fwww.webofscience.com%2Fwos%2Fwoscc%2Ffull-record%2FWOS:000599990000003","View Full Record in Web of Science")</f>
        <v>View Full Record in Web of Science</v>
      </c>
    </row>
    <row r="634" spans="1:72" x14ac:dyDescent="0.25">
      <c r="A634" t="s">
        <v>72</v>
      </c>
      <c r="B634" t="s">
        <v>8506</v>
      </c>
      <c r="C634" t="s">
        <v>74</v>
      </c>
      <c r="D634" t="s">
        <v>74</v>
      </c>
      <c r="E634" t="s">
        <v>74</v>
      </c>
      <c r="F634" t="s">
        <v>8507</v>
      </c>
      <c r="G634" t="s">
        <v>74</v>
      </c>
      <c r="H634" t="s">
        <v>74</v>
      </c>
      <c r="I634" s="1" t="s">
        <v>8508</v>
      </c>
      <c r="J634" t="s">
        <v>4309</v>
      </c>
      <c r="K634" t="s">
        <v>74</v>
      </c>
      <c r="L634" t="s">
        <v>74</v>
      </c>
      <c r="M634" t="s">
        <v>78</v>
      </c>
      <c r="N634" t="s">
        <v>79</v>
      </c>
      <c r="O634" t="s">
        <v>74</v>
      </c>
      <c r="P634" t="s">
        <v>74</v>
      </c>
      <c r="Q634" t="s">
        <v>74</v>
      </c>
      <c r="R634" t="s">
        <v>74</v>
      </c>
      <c r="S634" t="s">
        <v>74</v>
      </c>
      <c r="T634" s="1" t="s">
        <v>8509</v>
      </c>
      <c r="U634" s="1" t="s">
        <v>74</v>
      </c>
      <c r="V634" s="1" t="s">
        <v>8510</v>
      </c>
      <c r="W634" t="s">
        <v>8511</v>
      </c>
      <c r="X634" t="s">
        <v>74</v>
      </c>
      <c r="Y634" t="s">
        <v>8512</v>
      </c>
      <c r="Z634" t="s">
        <v>8513</v>
      </c>
      <c r="AA634" t="s">
        <v>74</v>
      </c>
      <c r="AB634" t="s">
        <v>74</v>
      </c>
      <c r="AC634" t="s">
        <v>74</v>
      </c>
      <c r="AD634" t="s">
        <v>74</v>
      </c>
      <c r="AE634" t="s">
        <v>74</v>
      </c>
      <c r="AF634" t="s">
        <v>74</v>
      </c>
      <c r="AG634">
        <v>20</v>
      </c>
      <c r="AH634">
        <v>0</v>
      </c>
      <c r="AI634">
        <v>0</v>
      </c>
      <c r="AJ634">
        <v>1</v>
      </c>
      <c r="AK634">
        <v>8</v>
      </c>
      <c r="AL634" t="s">
        <v>4315</v>
      </c>
      <c r="AM634" t="s">
        <v>4316</v>
      </c>
      <c r="AN634" t="s">
        <v>4317</v>
      </c>
      <c r="AO634" t="s">
        <v>4318</v>
      </c>
      <c r="AP634" t="s">
        <v>74</v>
      </c>
      <c r="AQ634" t="s">
        <v>74</v>
      </c>
      <c r="AR634" t="s">
        <v>4319</v>
      </c>
      <c r="AS634" t="s">
        <v>4320</v>
      </c>
      <c r="AT634" t="s">
        <v>6990</v>
      </c>
      <c r="AU634">
        <v>2020</v>
      </c>
      <c r="AV634">
        <v>8</v>
      </c>
      <c r="AW634">
        <v>1</v>
      </c>
      <c r="AX634" t="s">
        <v>74</v>
      </c>
      <c r="AY634" t="s">
        <v>74</v>
      </c>
      <c r="AZ634" t="s">
        <v>74</v>
      </c>
      <c r="BA634" t="s">
        <v>74</v>
      </c>
      <c r="BB634">
        <v>33</v>
      </c>
      <c r="BC634">
        <v>44</v>
      </c>
      <c r="BD634" t="s">
        <v>74</v>
      </c>
      <c r="BE634" t="s">
        <v>74</v>
      </c>
      <c r="BF634" t="s">
        <v>74</v>
      </c>
      <c r="BG634" t="s">
        <v>74</v>
      </c>
      <c r="BH634" t="s">
        <v>74</v>
      </c>
      <c r="BI634">
        <v>12</v>
      </c>
      <c r="BJ634" t="s">
        <v>4321</v>
      </c>
      <c r="BK634" t="s">
        <v>183</v>
      </c>
      <c r="BL634" t="s">
        <v>4321</v>
      </c>
      <c r="BM634" t="s">
        <v>8514</v>
      </c>
      <c r="BN634" t="s">
        <v>74</v>
      </c>
      <c r="BO634" t="s">
        <v>74</v>
      </c>
      <c r="BP634" t="s">
        <v>74</v>
      </c>
      <c r="BQ634" t="s">
        <v>74</v>
      </c>
      <c r="BR634" t="s">
        <v>106</v>
      </c>
      <c r="BS634" t="s">
        <v>8515</v>
      </c>
      <c r="BT634" t="str">
        <f>HYPERLINK("https%3A%2F%2Fwww.webofscience.com%2Fwos%2Fwoscc%2Ffull-record%2FWOS:000528233200004","View Full Record in Web of Science")</f>
        <v>View Full Record in Web of Science</v>
      </c>
    </row>
    <row r="635" spans="1:72" x14ac:dyDescent="0.25">
      <c r="A635" t="s">
        <v>72</v>
      </c>
      <c r="B635" t="s">
        <v>8665</v>
      </c>
      <c r="C635" t="s">
        <v>74</v>
      </c>
      <c r="D635" t="s">
        <v>74</v>
      </c>
      <c r="E635" t="s">
        <v>74</v>
      </c>
      <c r="F635" t="s">
        <v>8666</v>
      </c>
      <c r="G635" t="s">
        <v>74</v>
      </c>
      <c r="H635" t="s">
        <v>74</v>
      </c>
      <c r="I635" s="1" t="s">
        <v>8667</v>
      </c>
      <c r="J635" t="s">
        <v>8668</v>
      </c>
      <c r="K635" t="s">
        <v>74</v>
      </c>
      <c r="L635" t="s">
        <v>74</v>
      </c>
      <c r="M635" t="s">
        <v>2896</v>
      </c>
      <c r="N635" t="s">
        <v>79</v>
      </c>
      <c r="O635" t="s">
        <v>74</v>
      </c>
      <c r="P635" t="s">
        <v>74</v>
      </c>
      <c r="Q635" t="s">
        <v>74</v>
      </c>
      <c r="R635" t="s">
        <v>74</v>
      </c>
      <c r="S635" t="s">
        <v>74</v>
      </c>
      <c r="T635" s="1" t="s">
        <v>8669</v>
      </c>
      <c r="U635" s="1" t="s">
        <v>74</v>
      </c>
      <c r="V635" s="1" t="s">
        <v>8670</v>
      </c>
      <c r="W635" t="s">
        <v>8671</v>
      </c>
      <c r="X635" t="s">
        <v>8672</v>
      </c>
      <c r="Y635" t="s">
        <v>8673</v>
      </c>
      <c r="Z635" t="s">
        <v>8674</v>
      </c>
      <c r="AA635" t="s">
        <v>74</v>
      </c>
      <c r="AB635" t="s">
        <v>74</v>
      </c>
      <c r="AC635" t="s">
        <v>74</v>
      </c>
      <c r="AD635" t="s">
        <v>74</v>
      </c>
      <c r="AE635" t="s">
        <v>74</v>
      </c>
      <c r="AF635" t="s">
        <v>74</v>
      </c>
      <c r="AG635">
        <v>35</v>
      </c>
      <c r="AH635">
        <v>0</v>
      </c>
      <c r="AI635">
        <v>0</v>
      </c>
      <c r="AJ635">
        <v>0</v>
      </c>
      <c r="AK635">
        <v>3</v>
      </c>
      <c r="AL635" t="s">
        <v>8675</v>
      </c>
      <c r="AM635" t="s">
        <v>8676</v>
      </c>
      <c r="AN635" t="s">
        <v>8677</v>
      </c>
      <c r="AO635" t="s">
        <v>8678</v>
      </c>
      <c r="AP635" t="s">
        <v>8679</v>
      </c>
      <c r="AQ635" t="s">
        <v>74</v>
      </c>
      <c r="AR635" t="s">
        <v>8680</v>
      </c>
      <c r="AS635" t="s">
        <v>8681</v>
      </c>
      <c r="AT635" t="s">
        <v>476</v>
      </c>
      <c r="AU635">
        <v>2019</v>
      </c>
      <c r="AV635" t="s">
        <v>74</v>
      </c>
      <c r="AW635">
        <v>120</v>
      </c>
      <c r="AX635" t="s">
        <v>74</v>
      </c>
      <c r="AY635" t="s">
        <v>74</v>
      </c>
      <c r="AZ635" t="s">
        <v>74</v>
      </c>
      <c r="BA635" t="s">
        <v>74</v>
      </c>
      <c r="BB635">
        <v>5</v>
      </c>
      <c r="BC635">
        <v>31</v>
      </c>
      <c r="BD635" t="s">
        <v>74</v>
      </c>
      <c r="BE635" t="s">
        <v>8682</v>
      </c>
      <c r="BF635" t="str">
        <f>HYPERLINK("http://dx.doi.org/10.4000/rccs.9438","http://dx.doi.org/10.4000/rccs.9438")</f>
        <v>http://dx.doi.org/10.4000/rccs.9438</v>
      </c>
      <c r="BG635" t="s">
        <v>74</v>
      </c>
      <c r="BH635" t="s">
        <v>74</v>
      </c>
      <c r="BI635">
        <v>27</v>
      </c>
      <c r="BJ635" t="s">
        <v>942</v>
      </c>
      <c r="BK635" t="s">
        <v>183</v>
      </c>
      <c r="BL635" t="s">
        <v>943</v>
      </c>
      <c r="BM635" t="s">
        <v>8683</v>
      </c>
      <c r="BN635" t="s">
        <v>74</v>
      </c>
      <c r="BO635" t="s">
        <v>614</v>
      </c>
      <c r="BP635" t="s">
        <v>74</v>
      </c>
      <c r="BQ635" t="s">
        <v>74</v>
      </c>
      <c r="BR635" t="s">
        <v>106</v>
      </c>
      <c r="BS635" t="s">
        <v>8684</v>
      </c>
      <c r="BT635" t="str">
        <f>HYPERLINK("https%3A%2F%2Fwww.webofscience.com%2Fwos%2Fwoscc%2Ffull-record%2FWOS:000511377300001","View Full Record in Web of Science")</f>
        <v>View Full Record in Web of Science</v>
      </c>
    </row>
    <row r="636" spans="1:72" x14ac:dyDescent="0.25">
      <c r="A636" t="s">
        <v>72</v>
      </c>
      <c r="B636" t="s">
        <v>8977</v>
      </c>
      <c r="C636" t="s">
        <v>74</v>
      </c>
      <c r="D636" t="s">
        <v>74</v>
      </c>
      <c r="E636" t="s">
        <v>74</v>
      </c>
      <c r="F636" t="s">
        <v>8978</v>
      </c>
      <c r="G636" t="s">
        <v>74</v>
      </c>
      <c r="H636" t="s">
        <v>74</v>
      </c>
      <c r="I636" s="1" t="s">
        <v>8979</v>
      </c>
      <c r="J636" t="s">
        <v>8980</v>
      </c>
      <c r="K636" t="s">
        <v>74</v>
      </c>
      <c r="L636" t="s">
        <v>74</v>
      </c>
      <c r="M636" t="s">
        <v>929</v>
      </c>
      <c r="N636" t="s">
        <v>79</v>
      </c>
      <c r="O636" t="s">
        <v>74</v>
      </c>
      <c r="P636" t="s">
        <v>74</v>
      </c>
      <c r="Q636" t="s">
        <v>74</v>
      </c>
      <c r="R636" t="s">
        <v>74</v>
      </c>
      <c r="S636" t="s">
        <v>74</v>
      </c>
      <c r="T636" s="1" t="s">
        <v>8981</v>
      </c>
      <c r="U636" s="1" t="s">
        <v>1147</v>
      </c>
      <c r="V636" s="1" t="s">
        <v>8982</v>
      </c>
      <c r="W636" t="s">
        <v>8983</v>
      </c>
      <c r="X636" t="s">
        <v>8984</v>
      </c>
      <c r="Y636" t="s">
        <v>8985</v>
      </c>
      <c r="Z636" t="s">
        <v>8986</v>
      </c>
      <c r="AA636" t="s">
        <v>74</v>
      </c>
      <c r="AB636" t="s">
        <v>74</v>
      </c>
      <c r="AC636" t="s">
        <v>74</v>
      </c>
      <c r="AD636" t="s">
        <v>74</v>
      </c>
      <c r="AE636" t="s">
        <v>74</v>
      </c>
      <c r="AF636" t="s">
        <v>74</v>
      </c>
      <c r="AG636">
        <v>65</v>
      </c>
      <c r="AH636">
        <v>0</v>
      </c>
      <c r="AI636">
        <v>0</v>
      </c>
      <c r="AJ636">
        <v>3</v>
      </c>
      <c r="AK636">
        <v>7</v>
      </c>
      <c r="AL636" t="s">
        <v>8987</v>
      </c>
      <c r="AM636" t="s">
        <v>8988</v>
      </c>
      <c r="AN636" t="s">
        <v>8989</v>
      </c>
      <c r="AO636" t="s">
        <v>8990</v>
      </c>
      <c r="AP636" t="s">
        <v>74</v>
      </c>
      <c r="AQ636" t="s">
        <v>74</v>
      </c>
      <c r="AR636" t="s">
        <v>8980</v>
      </c>
      <c r="AS636" t="s">
        <v>8991</v>
      </c>
      <c r="AT636" t="s">
        <v>8992</v>
      </c>
      <c r="AU636">
        <v>2019</v>
      </c>
      <c r="AV636" t="s">
        <v>74</v>
      </c>
      <c r="AW636">
        <v>37</v>
      </c>
      <c r="AX636" t="s">
        <v>74</v>
      </c>
      <c r="AY636" t="s">
        <v>74</v>
      </c>
      <c r="AZ636" t="s">
        <v>74</v>
      </c>
      <c r="BA636" t="s">
        <v>74</v>
      </c>
      <c r="BB636">
        <v>356</v>
      </c>
      <c r="BC636">
        <v>394</v>
      </c>
      <c r="BD636" t="s">
        <v>74</v>
      </c>
      <c r="BE636" t="s">
        <v>74</v>
      </c>
      <c r="BF636" t="s">
        <v>74</v>
      </c>
      <c r="BG636" t="s">
        <v>74</v>
      </c>
      <c r="BH636" t="s">
        <v>74</v>
      </c>
      <c r="BI636">
        <v>39</v>
      </c>
      <c r="BJ636" t="s">
        <v>4630</v>
      </c>
      <c r="BK636" t="s">
        <v>183</v>
      </c>
      <c r="BL636" t="s">
        <v>943</v>
      </c>
      <c r="BM636" t="s">
        <v>8993</v>
      </c>
      <c r="BN636" t="s">
        <v>74</v>
      </c>
      <c r="BO636" t="s">
        <v>74</v>
      </c>
      <c r="BP636" t="s">
        <v>74</v>
      </c>
      <c r="BQ636" t="s">
        <v>74</v>
      </c>
      <c r="BR636" t="s">
        <v>106</v>
      </c>
      <c r="BS636" t="s">
        <v>8994</v>
      </c>
      <c r="BT636" t="str">
        <f>HYPERLINK("https%3A%2F%2Fwww.webofscience.com%2Fwos%2Fwoscc%2Ffull-record%2FWOS:000505934500014","View Full Record in Web of Science")</f>
        <v>View Full Record in Web of Science</v>
      </c>
    </row>
    <row r="637" spans="1:72" x14ac:dyDescent="0.25">
      <c r="A637" t="s">
        <v>72</v>
      </c>
      <c r="B637" t="s">
        <v>8995</v>
      </c>
      <c r="C637" t="s">
        <v>74</v>
      </c>
      <c r="D637" t="s">
        <v>74</v>
      </c>
      <c r="E637" t="s">
        <v>74</v>
      </c>
      <c r="F637" t="s">
        <v>8996</v>
      </c>
      <c r="G637" t="s">
        <v>74</v>
      </c>
      <c r="H637" t="s">
        <v>74</v>
      </c>
      <c r="I637" s="1" t="s">
        <v>8997</v>
      </c>
      <c r="J637" t="s">
        <v>8998</v>
      </c>
      <c r="K637" t="s">
        <v>74</v>
      </c>
      <c r="L637" t="s">
        <v>74</v>
      </c>
      <c r="M637" t="s">
        <v>2896</v>
      </c>
      <c r="N637" t="s">
        <v>79</v>
      </c>
      <c r="O637" t="s">
        <v>74</v>
      </c>
      <c r="P637" t="s">
        <v>74</v>
      </c>
      <c r="Q637" t="s">
        <v>74</v>
      </c>
      <c r="R637" t="s">
        <v>74</v>
      </c>
      <c r="S637" t="s">
        <v>74</v>
      </c>
      <c r="T637" s="1" t="s">
        <v>8999</v>
      </c>
      <c r="U637" s="1" t="s">
        <v>74</v>
      </c>
      <c r="V637" s="1" t="s">
        <v>9000</v>
      </c>
      <c r="W637" t="s">
        <v>9001</v>
      </c>
      <c r="X637" t="s">
        <v>2249</v>
      </c>
      <c r="Y637" t="s">
        <v>9002</v>
      </c>
      <c r="Z637" t="s">
        <v>9003</v>
      </c>
      <c r="AA637" t="s">
        <v>2278</v>
      </c>
      <c r="AB637" t="s">
        <v>2279</v>
      </c>
      <c r="AC637" t="s">
        <v>74</v>
      </c>
      <c r="AD637" t="s">
        <v>74</v>
      </c>
      <c r="AE637" t="s">
        <v>74</v>
      </c>
      <c r="AF637" t="s">
        <v>74</v>
      </c>
      <c r="AG637">
        <v>46</v>
      </c>
      <c r="AH637">
        <v>0</v>
      </c>
      <c r="AI637">
        <v>0</v>
      </c>
      <c r="AJ637">
        <v>0</v>
      </c>
      <c r="AK637">
        <v>5</v>
      </c>
      <c r="AL637" t="s">
        <v>9004</v>
      </c>
      <c r="AM637" t="s">
        <v>9005</v>
      </c>
      <c r="AN637" t="s">
        <v>9006</v>
      </c>
      <c r="AO637" t="s">
        <v>9007</v>
      </c>
      <c r="AP637" t="s">
        <v>9008</v>
      </c>
      <c r="AQ637" t="s">
        <v>74</v>
      </c>
      <c r="AR637" t="s">
        <v>9009</v>
      </c>
      <c r="AS637" t="s">
        <v>9010</v>
      </c>
      <c r="AT637" t="s">
        <v>8992</v>
      </c>
      <c r="AU637">
        <v>2019</v>
      </c>
      <c r="AV637">
        <v>18</v>
      </c>
      <c r="AW637">
        <v>36</v>
      </c>
      <c r="AX637" t="s">
        <v>74</v>
      </c>
      <c r="AY637" t="s">
        <v>74</v>
      </c>
      <c r="AZ637" t="s">
        <v>74</v>
      </c>
      <c r="BA637" t="s">
        <v>74</v>
      </c>
      <c r="BB637">
        <v>15</v>
      </c>
      <c r="BC637">
        <v>35</v>
      </c>
      <c r="BD637" t="s">
        <v>74</v>
      </c>
      <c r="BE637" t="s">
        <v>9011</v>
      </c>
      <c r="BF637" t="str">
        <f>HYPERLINK("http://dx.doi.org/10.18226/21782687.v19.n36.01","http://dx.doi.org/10.18226/21782687.v19.n36.01")</f>
        <v>http://dx.doi.org/10.18226/21782687.v19.n36.01</v>
      </c>
      <c r="BG637" t="s">
        <v>74</v>
      </c>
      <c r="BH637" t="s">
        <v>74</v>
      </c>
      <c r="BI637">
        <v>21</v>
      </c>
      <c r="BJ637" t="s">
        <v>2218</v>
      </c>
      <c r="BK637" t="s">
        <v>183</v>
      </c>
      <c r="BL637" t="s">
        <v>2218</v>
      </c>
      <c r="BM637" t="s">
        <v>9012</v>
      </c>
      <c r="BN637" t="s">
        <v>74</v>
      </c>
      <c r="BO637" t="s">
        <v>186</v>
      </c>
      <c r="BP637" t="s">
        <v>74</v>
      </c>
      <c r="BQ637" t="s">
        <v>74</v>
      </c>
      <c r="BR637" t="s">
        <v>106</v>
      </c>
      <c r="BS637" t="s">
        <v>9013</v>
      </c>
      <c r="BT637" t="str">
        <f>HYPERLINK("https%3A%2F%2Fwww.webofscience.com%2Fwos%2Fwoscc%2Ffull-record%2FWOS:000600114800002","View Full Record in Web of Science")</f>
        <v>View Full Record in Web of Science</v>
      </c>
    </row>
    <row r="638" spans="1:72" x14ac:dyDescent="0.25">
      <c r="A638" t="s">
        <v>72</v>
      </c>
      <c r="B638" t="s">
        <v>9035</v>
      </c>
      <c r="C638" t="s">
        <v>74</v>
      </c>
      <c r="D638" t="s">
        <v>74</v>
      </c>
      <c r="E638" t="s">
        <v>74</v>
      </c>
      <c r="F638" t="s">
        <v>9036</v>
      </c>
      <c r="G638" t="s">
        <v>74</v>
      </c>
      <c r="H638" t="s">
        <v>74</v>
      </c>
      <c r="I638" s="1" t="s">
        <v>9037</v>
      </c>
      <c r="J638" t="s">
        <v>9038</v>
      </c>
      <c r="K638" t="s">
        <v>74</v>
      </c>
      <c r="L638" t="s">
        <v>74</v>
      </c>
      <c r="M638" t="s">
        <v>78</v>
      </c>
      <c r="N638" t="s">
        <v>79</v>
      </c>
      <c r="O638" t="s">
        <v>74</v>
      </c>
      <c r="P638" t="s">
        <v>74</v>
      </c>
      <c r="Q638" t="s">
        <v>74</v>
      </c>
      <c r="R638" t="s">
        <v>74</v>
      </c>
      <c r="S638" t="s">
        <v>74</v>
      </c>
      <c r="T638" s="1" t="s">
        <v>9039</v>
      </c>
      <c r="U638" s="1" t="s">
        <v>74</v>
      </c>
      <c r="V638" s="1" t="s">
        <v>9040</v>
      </c>
      <c r="W638" t="s">
        <v>9041</v>
      </c>
      <c r="X638" t="s">
        <v>9042</v>
      </c>
      <c r="Y638" t="s">
        <v>9043</v>
      </c>
      <c r="Z638" t="s">
        <v>74</v>
      </c>
      <c r="AA638" t="s">
        <v>9044</v>
      </c>
      <c r="AB638" t="s">
        <v>9045</v>
      </c>
      <c r="AC638" t="s">
        <v>74</v>
      </c>
      <c r="AD638" t="s">
        <v>74</v>
      </c>
      <c r="AE638" t="s">
        <v>74</v>
      </c>
      <c r="AF638" t="s">
        <v>74</v>
      </c>
      <c r="AG638">
        <v>16</v>
      </c>
      <c r="AH638">
        <v>0</v>
      </c>
      <c r="AI638">
        <v>0</v>
      </c>
      <c r="AJ638">
        <v>0</v>
      </c>
      <c r="AK638">
        <v>1</v>
      </c>
      <c r="AL638" t="s">
        <v>9046</v>
      </c>
      <c r="AM638" t="s">
        <v>9047</v>
      </c>
      <c r="AN638" t="s">
        <v>9048</v>
      </c>
      <c r="AO638" t="s">
        <v>9049</v>
      </c>
      <c r="AP638" t="s">
        <v>74</v>
      </c>
      <c r="AQ638" t="s">
        <v>74</v>
      </c>
      <c r="AR638" t="s">
        <v>9038</v>
      </c>
      <c r="AS638" t="s">
        <v>9050</v>
      </c>
      <c r="AT638" t="s">
        <v>1138</v>
      </c>
      <c r="AU638">
        <v>2019</v>
      </c>
      <c r="AV638">
        <v>12</v>
      </c>
      <c r="AW638">
        <v>22</v>
      </c>
      <c r="AX638" t="s">
        <v>74</v>
      </c>
      <c r="AY638" t="s">
        <v>74</v>
      </c>
      <c r="AZ638" t="s">
        <v>74</v>
      </c>
      <c r="BA638" t="s">
        <v>74</v>
      </c>
      <c r="BB638" t="s">
        <v>74</v>
      </c>
      <c r="BC638" t="s">
        <v>74</v>
      </c>
      <c r="BD638" t="s">
        <v>74</v>
      </c>
      <c r="BE638" t="s">
        <v>74</v>
      </c>
      <c r="BF638" t="s">
        <v>74</v>
      </c>
      <c r="BG638" t="s">
        <v>74</v>
      </c>
      <c r="BH638" t="s">
        <v>74</v>
      </c>
      <c r="BI638">
        <v>18</v>
      </c>
      <c r="BJ638" t="s">
        <v>9051</v>
      </c>
      <c r="BK638" t="s">
        <v>183</v>
      </c>
      <c r="BL638" t="s">
        <v>9051</v>
      </c>
      <c r="BM638" t="s">
        <v>9052</v>
      </c>
      <c r="BN638" t="s">
        <v>74</v>
      </c>
      <c r="BO638" t="s">
        <v>74</v>
      </c>
      <c r="BP638" t="s">
        <v>74</v>
      </c>
      <c r="BQ638" t="s">
        <v>74</v>
      </c>
      <c r="BR638" t="s">
        <v>106</v>
      </c>
      <c r="BS638" t="s">
        <v>9053</v>
      </c>
      <c r="BT638" t="str">
        <f>HYPERLINK("https%3A%2F%2Fwww.webofscience.com%2Fwos%2Fwoscc%2Ffull-record%2FWOS:000751943600021","View Full Record in Web of Science")</f>
        <v>View Full Record in Web of Science</v>
      </c>
    </row>
    <row r="639" spans="1:72" x14ac:dyDescent="0.25">
      <c r="A639" t="s">
        <v>72</v>
      </c>
      <c r="B639" t="s">
        <v>9228</v>
      </c>
      <c r="C639" t="s">
        <v>74</v>
      </c>
      <c r="D639" t="s">
        <v>74</v>
      </c>
      <c r="E639" t="s">
        <v>74</v>
      </c>
      <c r="F639" t="s">
        <v>9229</v>
      </c>
      <c r="G639" t="s">
        <v>74</v>
      </c>
      <c r="H639" t="s">
        <v>74</v>
      </c>
      <c r="I639" s="1" t="s">
        <v>9230</v>
      </c>
      <c r="J639" t="s">
        <v>9194</v>
      </c>
      <c r="K639" t="s">
        <v>74</v>
      </c>
      <c r="L639" t="s">
        <v>74</v>
      </c>
      <c r="M639" t="s">
        <v>1030</v>
      </c>
      <c r="N639" t="s">
        <v>79</v>
      </c>
      <c r="O639" t="s">
        <v>74</v>
      </c>
      <c r="P639" t="s">
        <v>74</v>
      </c>
      <c r="Q639" t="s">
        <v>74</v>
      </c>
      <c r="R639" t="s">
        <v>74</v>
      </c>
      <c r="S639" t="s">
        <v>74</v>
      </c>
      <c r="T639" s="1" t="s">
        <v>9231</v>
      </c>
      <c r="U639" s="1" t="s">
        <v>9232</v>
      </c>
      <c r="V639" s="1" t="s">
        <v>9233</v>
      </c>
      <c r="W639" t="s">
        <v>9234</v>
      </c>
      <c r="X639" t="s">
        <v>74</v>
      </c>
      <c r="Y639" t="s">
        <v>9235</v>
      </c>
      <c r="Z639" t="s">
        <v>74</v>
      </c>
      <c r="AA639" t="s">
        <v>74</v>
      </c>
      <c r="AB639" t="s">
        <v>74</v>
      </c>
      <c r="AC639" t="s">
        <v>74</v>
      </c>
      <c r="AD639" t="s">
        <v>74</v>
      </c>
      <c r="AE639" t="s">
        <v>74</v>
      </c>
      <c r="AF639" t="s">
        <v>74</v>
      </c>
      <c r="AG639">
        <v>151</v>
      </c>
      <c r="AH639">
        <v>0</v>
      </c>
      <c r="AI639">
        <v>0</v>
      </c>
      <c r="AJ639">
        <v>1</v>
      </c>
      <c r="AK639">
        <v>15</v>
      </c>
      <c r="AL639" t="s">
        <v>644</v>
      </c>
      <c r="AM639" t="s">
        <v>645</v>
      </c>
      <c r="AN639" t="s">
        <v>646</v>
      </c>
      <c r="AO639" t="s">
        <v>9203</v>
      </c>
      <c r="AP639" t="s">
        <v>9204</v>
      </c>
      <c r="AQ639" t="s">
        <v>74</v>
      </c>
      <c r="AR639" t="s">
        <v>9205</v>
      </c>
      <c r="AS639" t="s">
        <v>9206</v>
      </c>
      <c r="AT639" t="s">
        <v>1683</v>
      </c>
      <c r="AU639">
        <v>2019</v>
      </c>
      <c r="AV639">
        <v>98</v>
      </c>
      <c r="AW639" t="s">
        <v>74</v>
      </c>
      <c r="AX639" t="s">
        <v>74</v>
      </c>
      <c r="AY639">
        <v>1</v>
      </c>
      <c r="AZ639" t="s">
        <v>74</v>
      </c>
      <c r="BA639" t="s">
        <v>74</v>
      </c>
      <c r="BB639" t="s">
        <v>9236</v>
      </c>
      <c r="BC639" t="s">
        <v>9237</v>
      </c>
      <c r="BD639" t="s">
        <v>74</v>
      </c>
      <c r="BE639" t="s">
        <v>9238</v>
      </c>
      <c r="BF639" t="str">
        <f>HYPERLINK("http://dx.doi.org/10.1055/a-0755-2688","http://dx.doi.org/10.1055/a-0755-2688")</f>
        <v>http://dx.doi.org/10.1055/a-0755-2688</v>
      </c>
      <c r="BG639" t="s">
        <v>74</v>
      </c>
      <c r="BH639" t="s">
        <v>74</v>
      </c>
      <c r="BI639">
        <v>17</v>
      </c>
      <c r="BJ639" t="s">
        <v>9210</v>
      </c>
      <c r="BK639" t="s">
        <v>211</v>
      </c>
      <c r="BL639" t="s">
        <v>9210</v>
      </c>
      <c r="BM639" t="s">
        <v>9211</v>
      </c>
      <c r="BN639">
        <v>31096300</v>
      </c>
      <c r="BO639" t="s">
        <v>105</v>
      </c>
      <c r="BP639" t="s">
        <v>74</v>
      </c>
      <c r="BQ639" t="s">
        <v>74</v>
      </c>
      <c r="BR639" t="s">
        <v>106</v>
      </c>
      <c r="BS639" t="s">
        <v>9239</v>
      </c>
      <c r="BT639" t="str">
        <f>HYPERLINK("https%3A%2F%2Fwww.webofscience.com%2Fwos%2Fwoscc%2Ffull-record%2FWOS:000469498300010","View Full Record in Web of Science")</f>
        <v>View Full Record in Web of Science</v>
      </c>
    </row>
    <row r="640" spans="1:72" x14ac:dyDescent="0.25">
      <c r="A640" t="s">
        <v>72</v>
      </c>
      <c r="B640" t="s">
        <v>9271</v>
      </c>
      <c r="C640" t="s">
        <v>74</v>
      </c>
      <c r="D640" t="s">
        <v>74</v>
      </c>
      <c r="E640" t="s">
        <v>74</v>
      </c>
      <c r="F640" t="s">
        <v>9272</v>
      </c>
      <c r="G640" t="s">
        <v>74</v>
      </c>
      <c r="H640" t="s">
        <v>74</v>
      </c>
      <c r="I640" s="1" t="s">
        <v>9273</v>
      </c>
      <c r="J640" t="s">
        <v>9274</v>
      </c>
      <c r="K640" t="s">
        <v>74</v>
      </c>
      <c r="L640" t="s">
        <v>74</v>
      </c>
      <c r="M640" t="s">
        <v>2751</v>
      </c>
      <c r="N640" t="s">
        <v>79</v>
      </c>
      <c r="O640" t="s">
        <v>74</v>
      </c>
      <c r="P640" t="s">
        <v>74</v>
      </c>
      <c r="Q640" t="s">
        <v>74</v>
      </c>
      <c r="R640" t="s">
        <v>74</v>
      </c>
      <c r="S640" t="s">
        <v>74</v>
      </c>
      <c r="T640" s="1" t="s">
        <v>9275</v>
      </c>
      <c r="U640" s="1" t="s">
        <v>74</v>
      </c>
      <c r="V640" s="1" t="s">
        <v>9276</v>
      </c>
      <c r="W640" t="s">
        <v>9277</v>
      </c>
      <c r="X640" t="s">
        <v>9278</v>
      </c>
      <c r="Y640" t="s">
        <v>9279</v>
      </c>
      <c r="Z640" t="s">
        <v>9280</v>
      </c>
      <c r="AA640" t="s">
        <v>74</v>
      </c>
      <c r="AB640" t="s">
        <v>74</v>
      </c>
      <c r="AC640" t="s">
        <v>74</v>
      </c>
      <c r="AD640" t="s">
        <v>74</v>
      </c>
      <c r="AE640" t="s">
        <v>74</v>
      </c>
      <c r="AF640" t="s">
        <v>74</v>
      </c>
      <c r="AG640">
        <v>14</v>
      </c>
      <c r="AH640">
        <v>0</v>
      </c>
      <c r="AI640">
        <v>0</v>
      </c>
      <c r="AJ640">
        <v>1</v>
      </c>
      <c r="AK640">
        <v>2</v>
      </c>
      <c r="AL640" t="s">
        <v>9281</v>
      </c>
      <c r="AM640" t="s">
        <v>2764</v>
      </c>
      <c r="AN640" t="s">
        <v>9282</v>
      </c>
      <c r="AO640" t="s">
        <v>9283</v>
      </c>
      <c r="AP640" t="s">
        <v>74</v>
      </c>
      <c r="AQ640" t="s">
        <v>74</v>
      </c>
      <c r="AR640" t="s">
        <v>9284</v>
      </c>
      <c r="AS640" t="s">
        <v>9285</v>
      </c>
      <c r="AT640" t="s">
        <v>74</v>
      </c>
      <c r="AU640">
        <v>2019</v>
      </c>
      <c r="AV640" t="s">
        <v>74</v>
      </c>
      <c r="AW640">
        <v>4</v>
      </c>
      <c r="AX640" t="s">
        <v>74</v>
      </c>
      <c r="AY640" t="s">
        <v>74</v>
      </c>
      <c r="AZ640" t="s">
        <v>74</v>
      </c>
      <c r="BA640" t="s">
        <v>74</v>
      </c>
      <c r="BB640">
        <v>87</v>
      </c>
      <c r="BC640">
        <v>112</v>
      </c>
      <c r="BD640" t="s">
        <v>74</v>
      </c>
      <c r="BE640" t="s">
        <v>74</v>
      </c>
      <c r="BF640" t="s">
        <v>74</v>
      </c>
      <c r="BG640" t="s">
        <v>74</v>
      </c>
      <c r="BH640" t="s">
        <v>74</v>
      </c>
      <c r="BI640">
        <v>26</v>
      </c>
      <c r="BJ640" t="s">
        <v>1477</v>
      </c>
      <c r="BK640" t="s">
        <v>183</v>
      </c>
      <c r="BL640" t="s">
        <v>1477</v>
      </c>
      <c r="BM640" t="s">
        <v>9286</v>
      </c>
      <c r="BN640" t="s">
        <v>74</v>
      </c>
      <c r="BO640" t="s">
        <v>74</v>
      </c>
      <c r="BP640" t="s">
        <v>74</v>
      </c>
      <c r="BQ640" t="s">
        <v>74</v>
      </c>
      <c r="BR640" t="s">
        <v>106</v>
      </c>
      <c r="BS640" t="s">
        <v>9287</v>
      </c>
      <c r="BT640" t="str">
        <f>HYPERLINK("https%3A%2F%2Fwww.webofscience.com%2Fwos%2Fwoscc%2Ffull-record%2FWOS:000562934000004","View Full Record in Web of Science")</f>
        <v>View Full Record in Web of Science</v>
      </c>
    </row>
    <row r="641" spans="1:72" x14ac:dyDescent="0.25">
      <c r="A641" t="s">
        <v>477</v>
      </c>
      <c r="B641" t="s">
        <v>9427</v>
      </c>
      <c r="C641" t="s">
        <v>74</v>
      </c>
      <c r="D641" t="s">
        <v>9428</v>
      </c>
      <c r="E641" t="s">
        <v>74</v>
      </c>
      <c r="F641" t="s">
        <v>9429</v>
      </c>
      <c r="G641" t="s">
        <v>74</v>
      </c>
      <c r="H641" t="s">
        <v>74</v>
      </c>
      <c r="I641" s="1" t="s">
        <v>9430</v>
      </c>
      <c r="J641" t="s">
        <v>9431</v>
      </c>
      <c r="K641" t="s">
        <v>9432</v>
      </c>
      <c r="L641" t="s">
        <v>74</v>
      </c>
      <c r="M641" t="s">
        <v>78</v>
      </c>
      <c r="N641" t="s">
        <v>4932</v>
      </c>
      <c r="O641" t="s">
        <v>74</v>
      </c>
      <c r="P641" t="s">
        <v>74</v>
      </c>
      <c r="Q641" t="s">
        <v>74</v>
      </c>
      <c r="R641" t="s">
        <v>74</v>
      </c>
      <c r="S641" t="s">
        <v>74</v>
      </c>
      <c r="T641" s="1" t="s">
        <v>74</v>
      </c>
      <c r="U641" s="1" t="s">
        <v>9433</v>
      </c>
      <c r="V641" s="1" t="s">
        <v>9434</v>
      </c>
      <c r="W641" t="s">
        <v>9435</v>
      </c>
      <c r="X641" t="s">
        <v>9436</v>
      </c>
      <c r="Y641" t="s">
        <v>9437</v>
      </c>
      <c r="Z641" t="s">
        <v>74</v>
      </c>
      <c r="AA641" t="s">
        <v>74</v>
      </c>
      <c r="AB641" t="s">
        <v>74</v>
      </c>
      <c r="AC641" t="s">
        <v>74</v>
      </c>
      <c r="AD641" t="s">
        <v>74</v>
      </c>
      <c r="AE641" t="s">
        <v>74</v>
      </c>
      <c r="AF641" t="s">
        <v>74</v>
      </c>
      <c r="AG641">
        <v>28</v>
      </c>
      <c r="AH641">
        <v>0</v>
      </c>
      <c r="AI641">
        <v>0</v>
      </c>
      <c r="AJ641">
        <v>0</v>
      </c>
      <c r="AK641">
        <v>1</v>
      </c>
      <c r="AL641" t="s">
        <v>9438</v>
      </c>
      <c r="AM641" t="s">
        <v>9439</v>
      </c>
      <c r="AN641" t="s">
        <v>9440</v>
      </c>
      <c r="AO641" t="s">
        <v>74</v>
      </c>
      <c r="AP641" t="s">
        <v>74</v>
      </c>
      <c r="AQ641" t="s">
        <v>9441</v>
      </c>
      <c r="AR641" t="s">
        <v>9442</v>
      </c>
      <c r="AS641" t="s">
        <v>74</v>
      </c>
      <c r="AT641" t="s">
        <v>74</v>
      </c>
      <c r="AU641">
        <v>2019</v>
      </c>
      <c r="AV641" t="s">
        <v>74</v>
      </c>
      <c r="AW641" t="s">
        <v>74</v>
      </c>
      <c r="AX641" t="s">
        <v>74</v>
      </c>
      <c r="AY641" t="s">
        <v>74</v>
      </c>
      <c r="AZ641" t="s">
        <v>74</v>
      </c>
      <c r="BA641" t="s">
        <v>74</v>
      </c>
      <c r="BB641">
        <v>227</v>
      </c>
      <c r="BC641">
        <v>241</v>
      </c>
      <c r="BD641" t="s">
        <v>74</v>
      </c>
      <c r="BE641" t="s">
        <v>74</v>
      </c>
      <c r="BF641" t="s">
        <v>74</v>
      </c>
      <c r="BG641" t="s">
        <v>74</v>
      </c>
      <c r="BH641" t="s">
        <v>74</v>
      </c>
      <c r="BI641">
        <v>15</v>
      </c>
      <c r="BJ641" t="s">
        <v>1326</v>
      </c>
      <c r="BK641" t="s">
        <v>4943</v>
      </c>
      <c r="BL641" t="s">
        <v>1326</v>
      </c>
      <c r="BM641" t="s">
        <v>9443</v>
      </c>
      <c r="BN641" t="s">
        <v>74</v>
      </c>
      <c r="BO641" t="s">
        <v>74</v>
      </c>
      <c r="BP641" t="s">
        <v>74</v>
      </c>
      <c r="BQ641" t="s">
        <v>74</v>
      </c>
      <c r="BR641" t="s">
        <v>106</v>
      </c>
      <c r="BS641" t="s">
        <v>9444</v>
      </c>
      <c r="BT641" t="str">
        <f>HYPERLINK("https%3A%2F%2Fwww.webofscience.com%2Fwos%2Fwoscc%2Ffull-record%2FWOS:000505268200010","View Full Record in Web of Science")</f>
        <v>View Full Record in Web of Science</v>
      </c>
    </row>
    <row r="642" spans="1:72" x14ac:dyDescent="0.25">
      <c r="A642" t="s">
        <v>72</v>
      </c>
      <c r="B642" t="s">
        <v>9458</v>
      </c>
      <c r="C642" t="s">
        <v>74</v>
      </c>
      <c r="D642" t="s">
        <v>74</v>
      </c>
      <c r="E642" t="s">
        <v>74</v>
      </c>
      <c r="F642" t="s">
        <v>9459</v>
      </c>
      <c r="G642" t="s">
        <v>74</v>
      </c>
      <c r="H642" t="s">
        <v>74</v>
      </c>
      <c r="I642" s="1" t="s">
        <v>9460</v>
      </c>
      <c r="J642" t="s">
        <v>9461</v>
      </c>
      <c r="K642" t="s">
        <v>74</v>
      </c>
      <c r="L642" t="s">
        <v>74</v>
      </c>
      <c r="M642" t="s">
        <v>2751</v>
      </c>
      <c r="N642" t="s">
        <v>79</v>
      </c>
      <c r="O642" t="s">
        <v>74</v>
      </c>
      <c r="P642" t="s">
        <v>74</v>
      </c>
      <c r="Q642" t="s">
        <v>74</v>
      </c>
      <c r="R642" t="s">
        <v>74</v>
      </c>
      <c r="S642" t="s">
        <v>74</v>
      </c>
      <c r="T642" s="1" t="s">
        <v>9462</v>
      </c>
      <c r="U642" s="1" t="s">
        <v>74</v>
      </c>
      <c r="V642" s="1" t="s">
        <v>9463</v>
      </c>
      <c r="W642" t="s">
        <v>9464</v>
      </c>
      <c r="X642" t="s">
        <v>9465</v>
      </c>
      <c r="Y642" t="s">
        <v>9466</v>
      </c>
      <c r="Z642" t="s">
        <v>9467</v>
      </c>
      <c r="AA642" t="s">
        <v>9468</v>
      </c>
      <c r="AB642" t="s">
        <v>74</v>
      </c>
      <c r="AC642" t="s">
        <v>74</v>
      </c>
      <c r="AD642" t="s">
        <v>74</v>
      </c>
      <c r="AE642" t="s">
        <v>74</v>
      </c>
      <c r="AF642" t="s">
        <v>74</v>
      </c>
      <c r="AG642">
        <v>8</v>
      </c>
      <c r="AH642">
        <v>0</v>
      </c>
      <c r="AI642">
        <v>0</v>
      </c>
      <c r="AJ642">
        <v>0</v>
      </c>
      <c r="AK642">
        <v>17</v>
      </c>
      <c r="AL642" t="s">
        <v>9469</v>
      </c>
      <c r="AM642" t="s">
        <v>2764</v>
      </c>
      <c r="AN642" t="s">
        <v>9470</v>
      </c>
      <c r="AO642" t="s">
        <v>9471</v>
      </c>
      <c r="AP642" t="s">
        <v>9472</v>
      </c>
      <c r="AQ642" t="s">
        <v>74</v>
      </c>
      <c r="AR642" t="s">
        <v>9473</v>
      </c>
      <c r="AS642" t="s">
        <v>9474</v>
      </c>
      <c r="AT642" t="s">
        <v>74</v>
      </c>
      <c r="AU642">
        <v>2019</v>
      </c>
      <c r="AV642">
        <v>10</v>
      </c>
      <c r="AW642">
        <v>1</v>
      </c>
      <c r="AX642" t="s">
        <v>74</v>
      </c>
      <c r="AY642" t="s">
        <v>74</v>
      </c>
      <c r="AZ642" t="s">
        <v>74</v>
      </c>
      <c r="BA642" t="s">
        <v>74</v>
      </c>
      <c r="BB642">
        <v>42</v>
      </c>
      <c r="BC642">
        <v>58</v>
      </c>
      <c r="BD642" t="s">
        <v>74</v>
      </c>
      <c r="BE642" t="s">
        <v>9475</v>
      </c>
      <c r="BF642" t="str">
        <f>HYPERLINK("http://dx.doi.org/10.24411/2221-3279-2019-10003","http://dx.doi.org/10.24411/2221-3279-2019-10003")</f>
        <v>http://dx.doi.org/10.24411/2221-3279-2019-10003</v>
      </c>
      <c r="BG642" t="s">
        <v>74</v>
      </c>
      <c r="BH642" t="s">
        <v>74</v>
      </c>
      <c r="BI642">
        <v>17</v>
      </c>
      <c r="BJ642" t="s">
        <v>1082</v>
      </c>
      <c r="BK642" t="s">
        <v>183</v>
      </c>
      <c r="BL642" t="s">
        <v>379</v>
      </c>
      <c r="BM642" t="s">
        <v>9476</v>
      </c>
      <c r="BN642" t="s">
        <v>74</v>
      </c>
      <c r="BO642" t="s">
        <v>74</v>
      </c>
      <c r="BP642" t="s">
        <v>74</v>
      </c>
      <c r="BQ642" t="s">
        <v>74</v>
      </c>
      <c r="BR642" t="s">
        <v>106</v>
      </c>
      <c r="BS642" t="s">
        <v>9477</v>
      </c>
      <c r="BT642" t="str">
        <f>HYPERLINK("https%3A%2F%2Fwww.webofscience.com%2Fwos%2Fwoscc%2Ffull-record%2FWOS:000454342500003","View Full Record in Web of Science")</f>
        <v>View Full Record in Web of Science</v>
      </c>
    </row>
    <row r="643" spans="1:72" x14ac:dyDescent="0.25">
      <c r="A643" t="s">
        <v>7120</v>
      </c>
      <c r="B643" t="s">
        <v>9579</v>
      </c>
      <c r="C643" t="s">
        <v>74</v>
      </c>
      <c r="D643" t="s">
        <v>9402</v>
      </c>
      <c r="E643" t="s">
        <v>74</v>
      </c>
      <c r="F643" t="s">
        <v>9580</v>
      </c>
      <c r="G643" t="s">
        <v>74</v>
      </c>
      <c r="H643" t="s">
        <v>74</v>
      </c>
      <c r="I643" s="1" t="s">
        <v>9581</v>
      </c>
      <c r="J643" t="s">
        <v>9405</v>
      </c>
      <c r="K643" t="s">
        <v>9406</v>
      </c>
      <c r="L643" t="s">
        <v>74</v>
      </c>
      <c r="M643" t="s">
        <v>78</v>
      </c>
      <c r="N643" t="s">
        <v>4932</v>
      </c>
      <c r="O643" t="s">
        <v>74</v>
      </c>
      <c r="P643" t="s">
        <v>74</v>
      </c>
      <c r="Q643" t="s">
        <v>74</v>
      </c>
      <c r="R643" t="s">
        <v>74</v>
      </c>
      <c r="S643" t="s">
        <v>74</v>
      </c>
      <c r="T643" s="1" t="s">
        <v>74</v>
      </c>
      <c r="U643" s="1" t="s">
        <v>74</v>
      </c>
      <c r="V643" s="1" t="s">
        <v>9582</v>
      </c>
      <c r="W643" t="s">
        <v>9583</v>
      </c>
      <c r="X643" t="s">
        <v>9584</v>
      </c>
      <c r="Y643" t="s">
        <v>9585</v>
      </c>
      <c r="Z643" t="s">
        <v>9586</v>
      </c>
      <c r="AA643" t="s">
        <v>74</v>
      </c>
      <c r="AB643" t="s">
        <v>74</v>
      </c>
      <c r="AC643" t="s">
        <v>74</v>
      </c>
      <c r="AD643" t="s">
        <v>74</v>
      </c>
      <c r="AE643" t="s">
        <v>74</v>
      </c>
      <c r="AF643" t="s">
        <v>74</v>
      </c>
      <c r="AG643">
        <v>13</v>
      </c>
      <c r="AH643">
        <v>0</v>
      </c>
      <c r="AI643">
        <v>0</v>
      </c>
      <c r="AJ643">
        <v>0</v>
      </c>
      <c r="AK643">
        <v>4</v>
      </c>
      <c r="AL643" t="s">
        <v>9414</v>
      </c>
      <c r="AM643" t="s">
        <v>9415</v>
      </c>
      <c r="AN643" t="s">
        <v>9416</v>
      </c>
      <c r="AO643" t="s">
        <v>9417</v>
      </c>
      <c r="AP643" t="s">
        <v>74</v>
      </c>
      <c r="AQ643" t="s">
        <v>9418</v>
      </c>
      <c r="AR643" t="s">
        <v>9419</v>
      </c>
      <c r="AS643" t="s">
        <v>74</v>
      </c>
      <c r="AT643" t="s">
        <v>74</v>
      </c>
      <c r="AU643">
        <v>2019</v>
      </c>
      <c r="AV643" t="s">
        <v>74</v>
      </c>
      <c r="AW643" t="s">
        <v>74</v>
      </c>
      <c r="AX643" t="s">
        <v>74</v>
      </c>
      <c r="AY643" t="s">
        <v>74</v>
      </c>
      <c r="AZ643" t="s">
        <v>74</v>
      </c>
      <c r="BA643" t="s">
        <v>74</v>
      </c>
      <c r="BB643">
        <v>491</v>
      </c>
      <c r="BC643">
        <v>506</v>
      </c>
      <c r="BD643" t="s">
        <v>74</v>
      </c>
      <c r="BE643" t="s">
        <v>9587</v>
      </c>
      <c r="BF643" t="str">
        <f>HYPERLINK("http://dx.doi.org/10.1007/978-3-319-97457-6_25","http://dx.doi.org/10.1007/978-3-319-97457-6_25")</f>
        <v>http://dx.doi.org/10.1007/978-3-319-97457-6_25</v>
      </c>
      <c r="BG643" t="s">
        <v>9421</v>
      </c>
      <c r="BH643" t="s">
        <v>74</v>
      </c>
      <c r="BI643">
        <v>16</v>
      </c>
      <c r="BJ643" t="s">
        <v>9422</v>
      </c>
      <c r="BK643" t="s">
        <v>9423</v>
      </c>
      <c r="BL643" t="s">
        <v>9424</v>
      </c>
      <c r="BM643" t="s">
        <v>9425</v>
      </c>
      <c r="BN643" t="s">
        <v>74</v>
      </c>
      <c r="BO643" t="s">
        <v>74</v>
      </c>
      <c r="BP643" t="s">
        <v>74</v>
      </c>
      <c r="BQ643" t="s">
        <v>74</v>
      </c>
      <c r="BR643" t="s">
        <v>106</v>
      </c>
      <c r="BS643" t="s">
        <v>9588</v>
      </c>
      <c r="BT643" t="str">
        <f>HYPERLINK("https%3A%2F%2Fwww.webofscience.com%2Fwos%2Fwoscc%2Ffull-record%2FWOS:000486078600026","View Full Record in Web of Science")</f>
        <v>View Full Record in Web of Science</v>
      </c>
    </row>
    <row r="644" spans="1:72" x14ac:dyDescent="0.25">
      <c r="A644" t="s">
        <v>72</v>
      </c>
      <c r="B644" t="s">
        <v>9607</v>
      </c>
      <c r="C644" t="s">
        <v>74</v>
      </c>
      <c r="D644" t="s">
        <v>74</v>
      </c>
      <c r="E644" t="s">
        <v>74</v>
      </c>
      <c r="F644" t="s">
        <v>9608</v>
      </c>
      <c r="G644" t="s">
        <v>74</v>
      </c>
      <c r="H644" t="s">
        <v>74</v>
      </c>
      <c r="I644" s="1" t="s">
        <v>9609</v>
      </c>
      <c r="J644" t="s">
        <v>9610</v>
      </c>
      <c r="K644" t="s">
        <v>74</v>
      </c>
      <c r="L644" t="s">
        <v>74</v>
      </c>
      <c r="M644" t="s">
        <v>9611</v>
      </c>
      <c r="N644" t="s">
        <v>79</v>
      </c>
      <c r="O644" t="s">
        <v>74</v>
      </c>
      <c r="P644" t="s">
        <v>74</v>
      </c>
      <c r="Q644" t="s">
        <v>74</v>
      </c>
      <c r="R644" t="s">
        <v>74</v>
      </c>
      <c r="S644" t="s">
        <v>74</v>
      </c>
      <c r="T644" s="1" t="s">
        <v>9612</v>
      </c>
      <c r="U644" s="1" t="s">
        <v>74</v>
      </c>
      <c r="V644" s="1" t="s">
        <v>9613</v>
      </c>
      <c r="W644" t="s">
        <v>9614</v>
      </c>
      <c r="X644" t="s">
        <v>9615</v>
      </c>
      <c r="Y644" t="s">
        <v>9616</v>
      </c>
      <c r="Z644" t="s">
        <v>9617</v>
      </c>
      <c r="AA644" t="s">
        <v>9618</v>
      </c>
      <c r="AB644" t="s">
        <v>9619</v>
      </c>
      <c r="AC644" t="s">
        <v>74</v>
      </c>
      <c r="AD644" t="s">
        <v>74</v>
      </c>
      <c r="AE644" t="s">
        <v>74</v>
      </c>
      <c r="AF644" t="s">
        <v>74</v>
      </c>
      <c r="AG644">
        <v>25</v>
      </c>
      <c r="AH644">
        <v>0</v>
      </c>
      <c r="AI644">
        <v>0</v>
      </c>
      <c r="AJ644">
        <v>0</v>
      </c>
      <c r="AK644">
        <v>9</v>
      </c>
      <c r="AL644" t="s">
        <v>9620</v>
      </c>
      <c r="AM644" t="s">
        <v>9621</v>
      </c>
      <c r="AN644" t="s">
        <v>9622</v>
      </c>
      <c r="AO644" t="s">
        <v>9623</v>
      </c>
      <c r="AP644" t="s">
        <v>9624</v>
      </c>
      <c r="AQ644" t="s">
        <v>74</v>
      </c>
      <c r="AR644" t="s">
        <v>9625</v>
      </c>
      <c r="AS644" t="s">
        <v>9626</v>
      </c>
      <c r="AT644" t="s">
        <v>99</v>
      </c>
      <c r="AU644">
        <v>2018</v>
      </c>
      <c r="AV644">
        <v>35</v>
      </c>
      <c r="AW644">
        <v>2</v>
      </c>
      <c r="AX644" t="s">
        <v>74</v>
      </c>
      <c r="AY644" t="s">
        <v>74</v>
      </c>
      <c r="AZ644" t="s">
        <v>74</v>
      </c>
      <c r="BA644" t="s">
        <v>74</v>
      </c>
      <c r="BB644">
        <v>67</v>
      </c>
      <c r="BC644">
        <v>82</v>
      </c>
      <c r="BD644" t="s">
        <v>74</v>
      </c>
      <c r="BE644" t="s">
        <v>9627</v>
      </c>
      <c r="BF644" t="str">
        <f>HYPERLINK("http://dx.doi.org/10.2436/20.3008.01.173","http://dx.doi.org/10.2436/20.3008.01.173")</f>
        <v>http://dx.doi.org/10.2436/20.3008.01.173</v>
      </c>
      <c r="BG644" t="s">
        <v>74</v>
      </c>
      <c r="BH644" t="s">
        <v>74</v>
      </c>
      <c r="BI644">
        <v>16</v>
      </c>
      <c r="BJ644" t="s">
        <v>2218</v>
      </c>
      <c r="BK644" t="s">
        <v>183</v>
      </c>
      <c r="BL644" t="s">
        <v>2218</v>
      </c>
      <c r="BM644" t="s">
        <v>9628</v>
      </c>
      <c r="BN644" t="s">
        <v>74</v>
      </c>
      <c r="BO644" t="s">
        <v>74</v>
      </c>
      <c r="BP644" t="s">
        <v>74</v>
      </c>
      <c r="BQ644" t="s">
        <v>74</v>
      </c>
      <c r="BR644" t="s">
        <v>106</v>
      </c>
      <c r="BS644" t="s">
        <v>9629</v>
      </c>
      <c r="BT644" t="str">
        <f>HYPERLINK("https%3A%2F%2Fwww.webofscience.com%2Fwos%2Fwoscc%2Ffull-record%2FWOS:000451872100004","View Full Record in Web of Science")</f>
        <v>View Full Record in Web of Science</v>
      </c>
    </row>
    <row r="645" spans="1:72" x14ac:dyDescent="0.25">
      <c r="A645" t="s">
        <v>477</v>
      </c>
      <c r="B645" t="s">
        <v>10084</v>
      </c>
      <c r="C645" t="s">
        <v>74</v>
      </c>
      <c r="D645" t="s">
        <v>10085</v>
      </c>
      <c r="E645" t="s">
        <v>74</v>
      </c>
      <c r="F645" t="s">
        <v>10086</v>
      </c>
      <c r="G645" t="s">
        <v>74</v>
      </c>
      <c r="H645" t="s">
        <v>74</v>
      </c>
      <c r="I645" s="1" t="s">
        <v>10087</v>
      </c>
      <c r="J645" t="s">
        <v>10088</v>
      </c>
      <c r="K645" t="s">
        <v>74</v>
      </c>
      <c r="L645" t="s">
        <v>74</v>
      </c>
      <c r="M645" t="s">
        <v>78</v>
      </c>
      <c r="N645" t="s">
        <v>4932</v>
      </c>
      <c r="O645" t="s">
        <v>74</v>
      </c>
      <c r="P645" t="s">
        <v>74</v>
      </c>
      <c r="Q645" t="s">
        <v>74</v>
      </c>
      <c r="R645" t="s">
        <v>74</v>
      </c>
      <c r="S645" t="s">
        <v>74</v>
      </c>
      <c r="T645" s="1" t="s">
        <v>74</v>
      </c>
      <c r="U645" s="1" t="s">
        <v>74</v>
      </c>
      <c r="V645" s="1" t="s">
        <v>74</v>
      </c>
      <c r="W645" t="s">
        <v>10089</v>
      </c>
      <c r="X645" t="s">
        <v>74</v>
      </c>
      <c r="Y645" t="s">
        <v>10090</v>
      </c>
      <c r="Z645" t="s">
        <v>74</v>
      </c>
      <c r="AA645" t="s">
        <v>74</v>
      </c>
      <c r="AB645" t="s">
        <v>74</v>
      </c>
      <c r="AC645" t="s">
        <v>74</v>
      </c>
      <c r="AD645" t="s">
        <v>74</v>
      </c>
      <c r="AE645" t="s">
        <v>74</v>
      </c>
      <c r="AF645" t="s">
        <v>74</v>
      </c>
      <c r="AG645">
        <v>8</v>
      </c>
      <c r="AH645">
        <v>0</v>
      </c>
      <c r="AI645">
        <v>0</v>
      </c>
      <c r="AJ645">
        <v>0</v>
      </c>
      <c r="AK645">
        <v>0</v>
      </c>
      <c r="AL645" t="s">
        <v>10091</v>
      </c>
      <c r="AM645" t="s">
        <v>10092</v>
      </c>
      <c r="AN645" t="s">
        <v>10093</v>
      </c>
      <c r="AO645" t="s">
        <v>74</v>
      </c>
      <c r="AP645" t="s">
        <v>74</v>
      </c>
      <c r="AQ645" t="s">
        <v>10094</v>
      </c>
      <c r="AR645" t="s">
        <v>74</v>
      </c>
      <c r="AS645" t="s">
        <v>74</v>
      </c>
      <c r="AT645" t="s">
        <v>74</v>
      </c>
      <c r="AU645">
        <v>2018</v>
      </c>
      <c r="AV645" t="s">
        <v>74</v>
      </c>
      <c r="AW645" t="s">
        <v>74</v>
      </c>
      <c r="AX645" t="s">
        <v>74</v>
      </c>
      <c r="AY645" t="s">
        <v>74</v>
      </c>
      <c r="AZ645" t="s">
        <v>74</v>
      </c>
      <c r="BA645" t="s">
        <v>74</v>
      </c>
      <c r="BB645">
        <v>92</v>
      </c>
      <c r="BC645">
        <v>120</v>
      </c>
      <c r="BD645" t="s">
        <v>74</v>
      </c>
      <c r="BE645" t="s">
        <v>74</v>
      </c>
      <c r="BF645" t="s">
        <v>74</v>
      </c>
      <c r="BG645" t="s">
        <v>74</v>
      </c>
      <c r="BH645" t="s">
        <v>74</v>
      </c>
      <c r="BI645">
        <v>29</v>
      </c>
      <c r="BJ645" t="s">
        <v>10095</v>
      </c>
      <c r="BK645" t="s">
        <v>4943</v>
      </c>
      <c r="BL645" t="s">
        <v>10095</v>
      </c>
      <c r="BM645" t="s">
        <v>10096</v>
      </c>
      <c r="BN645" t="s">
        <v>74</v>
      </c>
      <c r="BO645" t="s">
        <v>74</v>
      </c>
      <c r="BP645" t="s">
        <v>74</v>
      </c>
      <c r="BQ645" t="s">
        <v>74</v>
      </c>
      <c r="BR645" t="s">
        <v>106</v>
      </c>
      <c r="BS645" t="s">
        <v>10097</v>
      </c>
      <c r="BT645" t="str">
        <f>HYPERLINK("https%3A%2F%2Fwww.webofscience.com%2Fwos%2Fwoscc%2Ffull-record%2FWOS:000511300100006","View Full Record in Web of Science")</f>
        <v>View Full Record in Web of Science</v>
      </c>
    </row>
    <row r="646" spans="1:72" x14ac:dyDescent="0.25">
      <c r="A646" t="s">
        <v>72</v>
      </c>
      <c r="B646" t="s">
        <v>10238</v>
      </c>
      <c r="C646" t="s">
        <v>74</v>
      </c>
      <c r="D646" t="s">
        <v>74</v>
      </c>
      <c r="E646" t="s">
        <v>74</v>
      </c>
      <c r="F646" t="s">
        <v>10239</v>
      </c>
      <c r="G646" t="s">
        <v>74</v>
      </c>
      <c r="H646" t="s">
        <v>74</v>
      </c>
      <c r="I646" s="1" t="s">
        <v>10240</v>
      </c>
      <c r="J646" t="s">
        <v>2895</v>
      </c>
      <c r="K646" t="s">
        <v>74</v>
      </c>
      <c r="L646" t="s">
        <v>74</v>
      </c>
      <c r="M646" t="s">
        <v>2896</v>
      </c>
      <c r="N646" t="s">
        <v>79</v>
      </c>
      <c r="O646" t="s">
        <v>74</v>
      </c>
      <c r="P646" t="s">
        <v>74</v>
      </c>
      <c r="Q646" t="s">
        <v>74</v>
      </c>
      <c r="R646" t="s">
        <v>74</v>
      </c>
      <c r="S646" t="s">
        <v>74</v>
      </c>
      <c r="T646" s="1" t="s">
        <v>10241</v>
      </c>
      <c r="U646" s="1" t="s">
        <v>10242</v>
      </c>
      <c r="V646" s="1" t="s">
        <v>10243</v>
      </c>
      <c r="W646" t="s">
        <v>10244</v>
      </c>
      <c r="X646" t="s">
        <v>2249</v>
      </c>
      <c r="Y646" t="s">
        <v>10245</v>
      </c>
      <c r="Z646" t="s">
        <v>10246</v>
      </c>
      <c r="AA646" t="s">
        <v>10247</v>
      </c>
      <c r="AB646" t="s">
        <v>10248</v>
      </c>
      <c r="AC646" t="s">
        <v>74</v>
      </c>
      <c r="AD646" t="s">
        <v>74</v>
      </c>
      <c r="AE646" t="s">
        <v>74</v>
      </c>
      <c r="AF646" t="s">
        <v>74</v>
      </c>
      <c r="AG646">
        <v>74</v>
      </c>
      <c r="AH646">
        <v>0</v>
      </c>
      <c r="AI646">
        <v>0</v>
      </c>
      <c r="AJ646">
        <v>2</v>
      </c>
      <c r="AK646">
        <v>2</v>
      </c>
      <c r="AL646" t="s">
        <v>2904</v>
      </c>
      <c r="AM646" t="s">
        <v>2905</v>
      </c>
      <c r="AN646" t="s">
        <v>2906</v>
      </c>
      <c r="AO646" t="s">
        <v>2907</v>
      </c>
      <c r="AP646" t="s">
        <v>2908</v>
      </c>
      <c r="AQ646" t="s">
        <v>74</v>
      </c>
      <c r="AR646" t="s">
        <v>2909</v>
      </c>
      <c r="AS646" t="s">
        <v>2910</v>
      </c>
      <c r="AT646" t="s">
        <v>74</v>
      </c>
      <c r="AU646">
        <v>2018</v>
      </c>
      <c r="AV646">
        <v>14</v>
      </c>
      <c r="AW646">
        <v>33</v>
      </c>
      <c r="AX646" t="s">
        <v>74</v>
      </c>
      <c r="AY646" t="s">
        <v>74</v>
      </c>
      <c r="AZ646" t="s">
        <v>74</v>
      </c>
      <c r="BA646" t="s">
        <v>74</v>
      </c>
      <c r="BB646" t="s">
        <v>74</v>
      </c>
      <c r="BC646" t="s">
        <v>74</v>
      </c>
      <c r="BD646" t="s">
        <v>74</v>
      </c>
      <c r="BE646" t="s">
        <v>74</v>
      </c>
      <c r="BF646" t="s">
        <v>74</v>
      </c>
      <c r="BG646" t="s">
        <v>74</v>
      </c>
      <c r="BH646" t="s">
        <v>74</v>
      </c>
      <c r="BI646">
        <v>24</v>
      </c>
      <c r="BJ646" t="s">
        <v>942</v>
      </c>
      <c r="BK646" t="s">
        <v>183</v>
      </c>
      <c r="BL646" t="s">
        <v>943</v>
      </c>
      <c r="BM646" t="s">
        <v>10249</v>
      </c>
      <c r="BN646" t="s">
        <v>74</v>
      </c>
      <c r="BO646" t="s">
        <v>74</v>
      </c>
      <c r="BP646" t="s">
        <v>74</v>
      </c>
      <c r="BQ646" t="s">
        <v>74</v>
      </c>
      <c r="BR646" t="s">
        <v>106</v>
      </c>
      <c r="BS646" t="s">
        <v>10250</v>
      </c>
      <c r="BT646" t="str">
        <f>HYPERLINK("https%3A%2F%2Fwww.webofscience.com%2Fwos%2Fwoscc%2Ffull-record%2FWOS:000437784000016","View Full Record in Web of Science")</f>
        <v>View Full Record in Web of Science</v>
      </c>
    </row>
    <row r="647" spans="1:72" x14ac:dyDescent="0.25">
      <c r="A647" t="s">
        <v>7120</v>
      </c>
      <c r="B647" t="s">
        <v>10326</v>
      </c>
      <c r="C647" t="s">
        <v>74</v>
      </c>
      <c r="D647" t="s">
        <v>10327</v>
      </c>
      <c r="E647" t="s">
        <v>74</v>
      </c>
      <c r="F647" t="s">
        <v>10328</v>
      </c>
      <c r="G647" t="s">
        <v>74</v>
      </c>
      <c r="H647" t="s">
        <v>74</v>
      </c>
      <c r="I647" s="1" t="s">
        <v>10329</v>
      </c>
      <c r="J647" t="s">
        <v>10330</v>
      </c>
      <c r="K647" t="s">
        <v>10331</v>
      </c>
      <c r="L647" t="s">
        <v>74</v>
      </c>
      <c r="M647" t="s">
        <v>78</v>
      </c>
      <c r="N647" t="s">
        <v>4932</v>
      </c>
      <c r="O647" t="s">
        <v>74</v>
      </c>
      <c r="P647" t="s">
        <v>74</v>
      </c>
      <c r="Q647" t="s">
        <v>74</v>
      </c>
      <c r="R647" t="s">
        <v>74</v>
      </c>
      <c r="S647" t="s">
        <v>74</v>
      </c>
      <c r="T647" s="1" t="s">
        <v>10332</v>
      </c>
      <c r="U647" s="1" t="s">
        <v>10333</v>
      </c>
      <c r="V647" s="1" t="s">
        <v>10334</v>
      </c>
      <c r="W647" t="s">
        <v>10335</v>
      </c>
      <c r="X647" t="s">
        <v>10336</v>
      </c>
      <c r="Y647" t="s">
        <v>10337</v>
      </c>
      <c r="Z647" t="s">
        <v>10338</v>
      </c>
      <c r="AA647" t="s">
        <v>10339</v>
      </c>
      <c r="AB647" t="s">
        <v>10340</v>
      </c>
      <c r="AC647" t="s">
        <v>74</v>
      </c>
      <c r="AD647" t="s">
        <v>74</v>
      </c>
      <c r="AE647" t="s">
        <v>74</v>
      </c>
      <c r="AF647" t="s">
        <v>74</v>
      </c>
      <c r="AG647">
        <v>37</v>
      </c>
      <c r="AH647">
        <v>0</v>
      </c>
      <c r="AI647">
        <v>0</v>
      </c>
      <c r="AJ647">
        <v>0</v>
      </c>
      <c r="AK647">
        <v>4</v>
      </c>
      <c r="AL647" t="s">
        <v>9414</v>
      </c>
      <c r="AM647" t="s">
        <v>9415</v>
      </c>
      <c r="AN647" t="s">
        <v>9416</v>
      </c>
      <c r="AO647" t="s">
        <v>10341</v>
      </c>
      <c r="AP647" t="s">
        <v>10342</v>
      </c>
      <c r="AQ647" t="s">
        <v>10343</v>
      </c>
      <c r="AR647" t="s">
        <v>10344</v>
      </c>
      <c r="AS647" t="s">
        <v>74</v>
      </c>
      <c r="AT647" t="s">
        <v>74</v>
      </c>
      <c r="AU647">
        <v>2018</v>
      </c>
      <c r="AV647">
        <v>141</v>
      </c>
      <c r="AW647" t="s">
        <v>74</v>
      </c>
      <c r="AX647" t="s">
        <v>74</v>
      </c>
      <c r="AY647" t="s">
        <v>74</v>
      </c>
      <c r="AZ647" t="s">
        <v>74</v>
      </c>
      <c r="BA647" t="s">
        <v>74</v>
      </c>
      <c r="BB647">
        <v>161</v>
      </c>
      <c r="BC647">
        <v>175</v>
      </c>
      <c r="BD647" t="s">
        <v>74</v>
      </c>
      <c r="BE647" t="s">
        <v>10345</v>
      </c>
      <c r="BF647" t="str">
        <f>HYPERLINK("http://dx.doi.org/10.1007/978-3-319-74322-6_11","http://dx.doi.org/10.1007/978-3-319-74322-6_11")</f>
        <v>http://dx.doi.org/10.1007/978-3-319-74322-6_11</v>
      </c>
      <c r="BG647" t="s">
        <v>10346</v>
      </c>
      <c r="BH647" t="s">
        <v>74</v>
      </c>
      <c r="BI647">
        <v>15</v>
      </c>
      <c r="BJ647" t="s">
        <v>10347</v>
      </c>
      <c r="BK647" t="s">
        <v>9423</v>
      </c>
      <c r="BL647" t="s">
        <v>10348</v>
      </c>
      <c r="BM647" t="s">
        <v>10349</v>
      </c>
      <c r="BN647" t="s">
        <v>74</v>
      </c>
      <c r="BO647" t="s">
        <v>74</v>
      </c>
      <c r="BP647" t="s">
        <v>74</v>
      </c>
      <c r="BQ647" t="s">
        <v>74</v>
      </c>
      <c r="BR647" t="s">
        <v>106</v>
      </c>
      <c r="BS647" t="s">
        <v>10350</v>
      </c>
      <c r="BT647" t="str">
        <f>HYPERLINK("https%3A%2F%2Fwww.webofscience.com%2Fwos%2Fwoscc%2Ffull-record%2FWOS:000445782200012","View Full Record in Web of Science")</f>
        <v>View Full Record in Web of Science</v>
      </c>
    </row>
    <row r="648" spans="1:72" x14ac:dyDescent="0.25">
      <c r="A648" t="s">
        <v>72</v>
      </c>
      <c r="B648" t="s">
        <v>10400</v>
      </c>
      <c r="C648" t="s">
        <v>74</v>
      </c>
      <c r="D648" t="s">
        <v>74</v>
      </c>
      <c r="E648" t="s">
        <v>74</v>
      </c>
      <c r="F648" t="s">
        <v>10401</v>
      </c>
      <c r="G648" t="s">
        <v>74</v>
      </c>
      <c r="H648" t="s">
        <v>74</v>
      </c>
      <c r="I648" s="1" t="s">
        <v>10402</v>
      </c>
      <c r="J648" t="s">
        <v>10403</v>
      </c>
      <c r="K648" t="s">
        <v>74</v>
      </c>
      <c r="L648" t="s">
        <v>74</v>
      </c>
      <c r="M648" t="s">
        <v>78</v>
      </c>
      <c r="N648" t="s">
        <v>79</v>
      </c>
      <c r="O648" t="s">
        <v>74</v>
      </c>
      <c r="P648" t="s">
        <v>74</v>
      </c>
      <c r="Q648" t="s">
        <v>74</v>
      </c>
      <c r="R648" t="s">
        <v>74</v>
      </c>
      <c r="S648" t="s">
        <v>74</v>
      </c>
      <c r="T648" s="1" t="s">
        <v>74</v>
      </c>
      <c r="U648" s="1" t="s">
        <v>74</v>
      </c>
      <c r="V648" s="1" t="s">
        <v>10404</v>
      </c>
      <c r="W648" t="s">
        <v>10405</v>
      </c>
      <c r="X648" t="s">
        <v>10406</v>
      </c>
      <c r="Y648" t="s">
        <v>10407</v>
      </c>
      <c r="Z648" t="s">
        <v>10408</v>
      </c>
      <c r="AA648" t="s">
        <v>74</v>
      </c>
      <c r="AB648" t="s">
        <v>74</v>
      </c>
      <c r="AC648" t="s">
        <v>74</v>
      </c>
      <c r="AD648" t="s">
        <v>74</v>
      </c>
      <c r="AE648" t="s">
        <v>74</v>
      </c>
      <c r="AF648" t="s">
        <v>74</v>
      </c>
      <c r="AG648">
        <v>15</v>
      </c>
      <c r="AH648">
        <v>0</v>
      </c>
      <c r="AI648">
        <v>0</v>
      </c>
      <c r="AJ648">
        <v>0</v>
      </c>
      <c r="AK648">
        <v>4</v>
      </c>
      <c r="AL648" t="s">
        <v>10409</v>
      </c>
      <c r="AM648" t="s">
        <v>878</v>
      </c>
      <c r="AN648" t="s">
        <v>10410</v>
      </c>
      <c r="AO648" t="s">
        <v>10411</v>
      </c>
      <c r="AP648" t="s">
        <v>10412</v>
      </c>
      <c r="AQ648" t="s">
        <v>74</v>
      </c>
      <c r="AR648" t="s">
        <v>10413</v>
      </c>
      <c r="AS648" t="s">
        <v>10414</v>
      </c>
      <c r="AT648" t="s">
        <v>476</v>
      </c>
      <c r="AU648">
        <v>2017</v>
      </c>
      <c r="AV648">
        <v>27</v>
      </c>
      <c r="AW648" t="s">
        <v>74</v>
      </c>
      <c r="AX648" t="s">
        <v>74</v>
      </c>
      <c r="AY648" t="s">
        <v>74</v>
      </c>
      <c r="AZ648" t="s">
        <v>74</v>
      </c>
      <c r="BA648" t="s">
        <v>74</v>
      </c>
      <c r="BB648">
        <v>62</v>
      </c>
      <c r="BC648">
        <v>66</v>
      </c>
      <c r="BD648" t="s">
        <v>74</v>
      </c>
      <c r="BE648" t="s">
        <v>10415</v>
      </c>
      <c r="BF648" t="str">
        <f>HYPERLINK("http://dx.doi.org/10.1162/LMJ_a_01020","http://dx.doi.org/10.1162/LMJ_a_01020")</f>
        <v>http://dx.doi.org/10.1162/LMJ_a_01020</v>
      </c>
      <c r="BG648" t="s">
        <v>74</v>
      </c>
      <c r="BH648" t="s">
        <v>74</v>
      </c>
      <c r="BI648">
        <v>5</v>
      </c>
      <c r="BJ648" t="s">
        <v>10416</v>
      </c>
      <c r="BK648" t="s">
        <v>3239</v>
      </c>
      <c r="BL648" t="s">
        <v>10416</v>
      </c>
      <c r="BM648" t="s">
        <v>10417</v>
      </c>
      <c r="BN648" t="s">
        <v>74</v>
      </c>
      <c r="BO648" t="s">
        <v>74</v>
      </c>
      <c r="BP648" t="s">
        <v>74</v>
      </c>
      <c r="BQ648" t="s">
        <v>74</v>
      </c>
      <c r="BR648" t="s">
        <v>106</v>
      </c>
      <c r="BS648" t="s">
        <v>10418</v>
      </c>
      <c r="BT648" t="str">
        <f>HYPERLINK("https%3A%2F%2Fwww.webofscience.com%2Fwos%2Fwoscc%2Ffull-record%2FWOS:000416826400023","View Full Record in Web of Science")</f>
        <v>View Full Record in Web of Science</v>
      </c>
    </row>
    <row r="649" spans="1:72" x14ac:dyDescent="0.25">
      <c r="A649" t="s">
        <v>72</v>
      </c>
      <c r="B649" t="s">
        <v>10500</v>
      </c>
      <c r="C649" t="s">
        <v>74</v>
      </c>
      <c r="D649" t="s">
        <v>74</v>
      </c>
      <c r="E649" t="s">
        <v>74</v>
      </c>
      <c r="F649" t="s">
        <v>10501</v>
      </c>
      <c r="G649" t="s">
        <v>74</v>
      </c>
      <c r="H649" t="s">
        <v>74</v>
      </c>
      <c r="I649" s="1" t="s">
        <v>10502</v>
      </c>
      <c r="J649" t="s">
        <v>10503</v>
      </c>
      <c r="K649" t="s">
        <v>74</v>
      </c>
      <c r="L649" t="s">
        <v>74</v>
      </c>
      <c r="M649" t="s">
        <v>929</v>
      </c>
      <c r="N649" t="s">
        <v>79</v>
      </c>
      <c r="O649" t="s">
        <v>74</v>
      </c>
      <c r="P649" t="s">
        <v>74</v>
      </c>
      <c r="Q649" t="s">
        <v>74</v>
      </c>
      <c r="R649" t="s">
        <v>74</v>
      </c>
      <c r="S649" t="s">
        <v>74</v>
      </c>
      <c r="T649" s="1" t="s">
        <v>10504</v>
      </c>
      <c r="U649" s="1" t="s">
        <v>74</v>
      </c>
      <c r="V649" s="1" t="s">
        <v>10505</v>
      </c>
      <c r="W649" t="s">
        <v>10506</v>
      </c>
      <c r="X649" t="s">
        <v>10507</v>
      </c>
      <c r="Y649" t="s">
        <v>10508</v>
      </c>
      <c r="Z649" t="s">
        <v>74</v>
      </c>
      <c r="AA649" t="s">
        <v>74</v>
      </c>
      <c r="AB649" t="s">
        <v>74</v>
      </c>
      <c r="AC649" t="s">
        <v>74</v>
      </c>
      <c r="AD649" t="s">
        <v>74</v>
      </c>
      <c r="AE649" t="s">
        <v>74</v>
      </c>
      <c r="AF649" t="s">
        <v>74</v>
      </c>
      <c r="AG649">
        <v>37</v>
      </c>
      <c r="AH649">
        <v>0</v>
      </c>
      <c r="AI649">
        <v>0</v>
      </c>
      <c r="AJ649">
        <v>0</v>
      </c>
      <c r="AK649">
        <v>2</v>
      </c>
      <c r="AL649" t="s">
        <v>10509</v>
      </c>
      <c r="AM649" t="s">
        <v>10510</v>
      </c>
      <c r="AN649" t="s">
        <v>10511</v>
      </c>
      <c r="AO649" t="s">
        <v>10512</v>
      </c>
      <c r="AP649" t="s">
        <v>74</v>
      </c>
      <c r="AQ649" t="s">
        <v>74</v>
      </c>
      <c r="AR649" t="s">
        <v>10513</v>
      </c>
      <c r="AS649" t="s">
        <v>10514</v>
      </c>
      <c r="AT649" t="s">
        <v>376</v>
      </c>
      <c r="AU649">
        <v>2017</v>
      </c>
      <c r="AV649">
        <v>17</v>
      </c>
      <c r="AW649">
        <v>75</v>
      </c>
      <c r="AX649" t="s">
        <v>74</v>
      </c>
      <c r="AY649" t="s">
        <v>74</v>
      </c>
      <c r="AZ649" t="s">
        <v>74</v>
      </c>
      <c r="BA649" t="s">
        <v>74</v>
      </c>
      <c r="BB649">
        <v>9</v>
      </c>
      <c r="BC649">
        <v>27</v>
      </c>
      <c r="BD649" t="s">
        <v>74</v>
      </c>
      <c r="BE649" t="s">
        <v>74</v>
      </c>
      <c r="BF649" t="s">
        <v>74</v>
      </c>
      <c r="BG649" t="s">
        <v>74</v>
      </c>
      <c r="BH649" t="s">
        <v>74</v>
      </c>
      <c r="BI649">
        <v>19</v>
      </c>
      <c r="BJ649" t="s">
        <v>1326</v>
      </c>
      <c r="BK649" t="s">
        <v>183</v>
      </c>
      <c r="BL649" t="s">
        <v>1326</v>
      </c>
      <c r="BM649" t="s">
        <v>10515</v>
      </c>
      <c r="BN649" t="s">
        <v>74</v>
      </c>
      <c r="BO649" t="s">
        <v>74</v>
      </c>
      <c r="BP649" t="s">
        <v>74</v>
      </c>
      <c r="BQ649" t="s">
        <v>74</v>
      </c>
      <c r="BR649" t="s">
        <v>106</v>
      </c>
      <c r="BS649" t="s">
        <v>10516</v>
      </c>
      <c r="BT649" t="str">
        <f>HYPERLINK("https%3A%2F%2Fwww.webofscience.com%2Fwos%2Fwoscc%2Ffull-record%2FWOS:000433407900001","View Full Record in Web of Science")</f>
        <v>View Full Record in Web of Science</v>
      </c>
    </row>
    <row r="650" spans="1:72" x14ac:dyDescent="0.25">
      <c r="A650" t="s">
        <v>72</v>
      </c>
      <c r="B650" t="s">
        <v>10606</v>
      </c>
      <c r="C650" t="s">
        <v>74</v>
      </c>
      <c r="D650" t="s">
        <v>74</v>
      </c>
      <c r="E650" t="s">
        <v>74</v>
      </c>
      <c r="F650" t="s">
        <v>10607</v>
      </c>
      <c r="G650" t="s">
        <v>74</v>
      </c>
      <c r="H650" t="s">
        <v>74</v>
      </c>
      <c r="I650" s="1" t="s">
        <v>10608</v>
      </c>
      <c r="J650" t="s">
        <v>9977</v>
      </c>
      <c r="K650" t="s">
        <v>74</v>
      </c>
      <c r="L650" t="s">
        <v>74</v>
      </c>
      <c r="M650" t="s">
        <v>929</v>
      </c>
      <c r="N650" t="s">
        <v>79</v>
      </c>
      <c r="O650" t="s">
        <v>74</v>
      </c>
      <c r="P650" t="s">
        <v>74</v>
      </c>
      <c r="Q650" t="s">
        <v>74</v>
      </c>
      <c r="R650" t="s">
        <v>74</v>
      </c>
      <c r="S650" t="s">
        <v>74</v>
      </c>
      <c r="T650" s="1" t="s">
        <v>10609</v>
      </c>
      <c r="U650" s="1" t="s">
        <v>74</v>
      </c>
      <c r="V650" s="1" t="s">
        <v>10610</v>
      </c>
      <c r="W650" t="s">
        <v>10611</v>
      </c>
      <c r="X650" t="s">
        <v>74</v>
      </c>
      <c r="Y650" t="s">
        <v>10612</v>
      </c>
      <c r="Z650" t="s">
        <v>10613</v>
      </c>
      <c r="AA650" t="s">
        <v>10614</v>
      </c>
      <c r="AB650" t="s">
        <v>10615</v>
      </c>
      <c r="AC650" t="s">
        <v>74</v>
      </c>
      <c r="AD650" t="s">
        <v>74</v>
      </c>
      <c r="AE650" t="s">
        <v>74</v>
      </c>
      <c r="AF650" t="s">
        <v>74</v>
      </c>
      <c r="AG650">
        <v>24</v>
      </c>
      <c r="AH650">
        <v>0</v>
      </c>
      <c r="AI650">
        <v>0</v>
      </c>
      <c r="AJ650">
        <v>0</v>
      </c>
      <c r="AK650">
        <v>7</v>
      </c>
      <c r="AL650" t="s">
        <v>9986</v>
      </c>
      <c r="AM650" t="s">
        <v>9987</v>
      </c>
      <c r="AN650" t="s">
        <v>9988</v>
      </c>
      <c r="AO650" t="s">
        <v>9989</v>
      </c>
      <c r="AP650" t="s">
        <v>9990</v>
      </c>
      <c r="AQ650" t="s">
        <v>74</v>
      </c>
      <c r="AR650" t="s">
        <v>9991</v>
      </c>
      <c r="AS650" t="s">
        <v>9992</v>
      </c>
      <c r="AT650" t="s">
        <v>10616</v>
      </c>
      <c r="AU650">
        <v>2017</v>
      </c>
      <c r="AV650">
        <v>16</v>
      </c>
      <c r="AW650">
        <v>2</v>
      </c>
      <c r="AX650" t="s">
        <v>74</v>
      </c>
      <c r="AY650" t="s">
        <v>74</v>
      </c>
      <c r="AZ650" t="s">
        <v>74</v>
      </c>
      <c r="BA650" t="s">
        <v>74</v>
      </c>
      <c r="BB650">
        <v>252</v>
      </c>
      <c r="BC650">
        <v>264</v>
      </c>
      <c r="BD650" t="s">
        <v>74</v>
      </c>
      <c r="BE650" t="s">
        <v>10617</v>
      </c>
      <c r="BF650" t="str">
        <f>HYPERLINK("http://dx.doi.org/10.26441/RC16.2-2017-A12","http://dx.doi.org/10.26441/RC16.2-2017-A12")</f>
        <v>http://dx.doi.org/10.26441/RC16.2-2017-A12</v>
      </c>
      <c r="BG650" t="s">
        <v>74</v>
      </c>
      <c r="BH650" t="s">
        <v>74</v>
      </c>
      <c r="BI650">
        <v>13</v>
      </c>
      <c r="BJ650" t="s">
        <v>2218</v>
      </c>
      <c r="BK650" t="s">
        <v>183</v>
      </c>
      <c r="BL650" t="s">
        <v>2218</v>
      </c>
      <c r="BM650" t="s">
        <v>10618</v>
      </c>
      <c r="BN650" t="s">
        <v>74</v>
      </c>
      <c r="BO650" t="s">
        <v>2162</v>
      </c>
      <c r="BP650" t="s">
        <v>74</v>
      </c>
      <c r="BQ650" t="s">
        <v>74</v>
      </c>
      <c r="BR650" t="s">
        <v>106</v>
      </c>
      <c r="BS650" t="s">
        <v>10619</v>
      </c>
      <c r="BT650" t="str">
        <f>HYPERLINK("https%3A%2F%2Fwww.webofscience.com%2Fwos%2Fwoscc%2Ffull-record%2FWOS:000461199400013","View Full Record in Web of Science")</f>
        <v>View Full Record in Web of Science</v>
      </c>
    </row>
    <row r="651" spans="1:72" x14ac:dyDescent="0.25">
      <c r="A651" t="s">
        <v>72</v>
      </c>
      <c r="B651" t="s">
        <v>10824</v>
      </c>
      <c r="C651" t="s">
        <v>74</v>
      </c>
      <c r="D651" t="s">
        <v>74</v>
      </c>
      <c r="E651" t="s">
        <v>74</v>
      </c>
      <c r="F651" t="s">
        <v>10825</v>
      </c>
      <c r="G651" t="s">
        <v>74</v>
      </c>
      <c r="H651" t="s">
        <v>74</v>
      </c>
      <c r="I651" s="1" t="s">
        <v>10826</v>
      </c>
      <c r="J651" t="s">
        <v>10827</v>
      </c>
      <c r="K651" t="s">
        <v>74</v>
      </c>
      <c r="L651" t="s">
        <v>74</v>
      </c>
      <c r="M651" t="s">
        <v>78</v>
      </c>
      <c r="N651" t="s">
        <v>79</v>
      </c>
      <c r="O651" t="s">
        <v>74</v>
      </c>
      <c r="P651" t="s">
        <v>74</v>
      </c>
      <c r="Q651" t="s">
        <v>74</v>
      </c>
      <c r="R651" t="s">
        <v>74</v>
      </c>
      <c r="S651" t="s">
        <v>74</v>
      </c>
      <c r="T651" s="1" t="s">
        <v>10828</v>
      </c>
      <c r="U651" s="1" t="s">
        <v>74</v>
      </c>
      <c r="V651" s="1" t="s">
        <v>10829</v>
      </c>
      <c r="W651" t="s">
        <v>10830</v>
      </c>
      <c r="X651" t="s">
        <v>74</v>
      </c>
      <c r="Y651" t="s">
        <v>10831</v>
      </c>
      <c r="Z651" t="s">
        <v>10832</v>
      </c>
      <c r="AA651" t="s">
        <v>74</v>
      </c>
      <c r="AB651" t="s">
        <v>74</v>
      </c>
      <c r="AC651" t="s">
        <v>74</v>
      </c>
      <c r="AD651" t="s">
        <v>74</v>
      </c>
      <c r="AE651" t="s">
        <v>74</v>
      </c>
      <c r="AF651" t="s">
        <v>74</v>
      </c>
      <c r="AG651">
        <v>34</v>
      </c>
      <c r="AH651">
        <v>0</v>
      </c>
      <c r="AI651">
        <v>0</v>
      </c>
      <c r="AJ651">
        <v>0</v>
      </c>
      <c r="AK651">
        <v>10</v>
      </c>
      <c r="AL651" t="s">
        <v>10833</v>
      </c>
      <c r="AM651" t="s">
        <v>3016</v>
      </c>
      <c r="AN651" t="s">
        <v>3017</v>
      </c>
      <c r="AO651" t="s">
        <v>10834</v>
      </c>
      <c r="AP651" t="s">
        <v>10835</v>
      </c>
      <c r="AQ651" t="s">
        <v>74</v>
      </c>
      <c r="AR651" t="s">
        <v>10836</v>
      </c>
      <c r="AS651" t="s">
        <v>10837</v>
      </c>
      <c r="AT651" t="s">
        <v>74</v>
      </c>
      <c r="AU651">
        <v>2017</v>
      </c>
      <c r="AV651">
        <v>28</v>
      </c>
      <c r="AW651">
        <v>2</v>
      </c>
      <c r="AX651" t="s">
        <v>74</v>
      </c>
      <c r="AY651" t="s">
        <v>74</v>
      </c>
      <c r="AZ651" t="s">
        <v>74</v>
      </c>
      <c r="BA651" t="s">
        <v>74</v>
      </c>
      <c r="BB651">
        <v>11</v>
      </c>
      <c r="BC651">
        <v>26</v>
      </c>
      <c r="BD651" t="s">
        <v>74</v>
      </c>
      <c r="BE651" t="s">
        <v>10838</v>
      </c>
      <c r="BF651" t="str">
        <f>HYPERLINK("http://dx.doi.org/10.1163/1878-4712-11112127","http://dx.doi.org/10.1163/1878-4712-11112127")</f>
        <v>http://dx.doi.org/10.1163/1878-4712-11112127</v>
      </c>
      <c r="BG651" t="s">
        <v>74</v>
      </c>
      <c r="BH651" t="s">
        <v>74</v>
      </c>
      <c r="BI651">
        <v>16</v>
      </c>
      <c r="BJ651" t="s">
        <v>2192</v>
      </c>
      <c r="BK651" t="s">
        <v>183</v>
      </c>
      <c r="BL651" t="s">
        <v>2193</v>
      </c>
      <c r="BM651" t="s">
        <v>10839</v>
      </c>
      <c r="BN651" t="s">
        <v>74</v>
      </c>
      <c r="BO651" t="s">
        <v>74</v>
      </c>
      <c r="BP651" t="s">
        <v>74</v>
      </c>
      <c r="BQ651" t="s">
        <v>74</v>
      </c>
      <c r="BR651" t="s">
        <v>106</v>
      </c>
      <c r="BS651" t="s">
        <v>10840</v>
      </c>
      <c r="BT651" t="str">
        <f>HYPERLINK("https%3A%2F%2Fwww.webofscience.com%2Fwos%2Fwoscc%2Ffull-record%2FWOS:000411455400003","View Full Record in Web of Science")</f>
        <v>View Full Record in Web of Science</v>
      </c>
    </row>
    <row r="652" spans="1:72" x14ac:dyDescent="0.25">
      <c r="A652" t="s">
        <v>72</v>
      </c>
      <c r="B652" t="s">
        <v>10863</v>
      </c>
      <c r="C652" t="s">
        <v>74</v>
      </c>
      <c r="D652" t="s">
        <v>74</v>
      </c>
      <c r="E652" t="s">
        <v>74</v>
      </c>
      <c r="F652" t="s">
        <v>10864</v>
      </c>
      <c r="G652" t="s">
        <v>74</v>
      </c>
      <c r="H652" t="s">
        <v>74</v>
      </c>
      <c r="I652" s="1" t="s">
        <v>10865</v>
      </c>
      <c r="J652" t="s">
        <v>10866</v>
      </c>
      <c r="K652" t="s">
        <v>74</v>
      </c>
      <c r="L652" t="s">
        <v>74</v>
      </c>
      <c r="M652" t="s">
        <v>929</v>
      </c>
      <c r="N652" t="s">
        <v>79</v>
      </c>
      <c r="O652" t="s">
        <v>74</v>
      </c>
      <c r="P652" t="s">
        <v>74</v>
      </c>
      <c r="Q652" t="s">
        <v>74</v>
      </c>
      <c r="R652" t="s">
        <v>74</v>
      </c>
      <c r="S652" t="s">
        <v>74</v>
      </c>
      <c r="T652" s="1" t="s">
        <v>10867</v>
      </c>
      <c r="U652" s="1" t="s">
        <v>74</v>
      </c>
      <c r="V652" s="1" t="s">
        <v>10868</v>
      </c>
      <c r="W652" t="s">
        <v>10869</v>
      </c>
      <c r="X652" t="s">
        <v>10870</v>
      </c>
      <c r="Y652" t="s">
        <v>10871</v>
      </c>
      <c r="Z652" t="s">
        <v>10872</v>
      </c>
      <c r="AA652" t="s">
        <v>10873</v>
      </c>
      <c r="AB652" t="s">
        <v>10874</v>
      </c>
      <c r="AC652" t="s">
        <v>74</v>
      </c>
      <c r="AD652" t="s">
        <v>74</v>
      </c>
      <c r="AE652" t="s">
        <v>74</v>
      </c>
      <c r="AF652" t="s">
        <v>74</v>
      </c>
      <c r="AG652">
        <v>9</v>
      </c>
      <c r="AH652">
        <v>0</v>
      </c>
      <c r="AI652">
        <v>0</v>
      </c>
      <c r="AJ652">
        <v>0</v>
      </c>
      <c r="AK652">
        <v>7</v>
      </c>
      <c r="AL652" t="s">
        <v>10875</v>
      </c>
      <c r="AM652" t="s">
        <v>5236</v>
      </c>
      <c r="AN652" t="s">
        <v>10876</v>
      </c>
      <c r="AO652" t="s">
        <v>10877</v>
      </c>
      <c r="AP652" t="s">
        <v>10878</v>
      </c>
      <c r="AQ652" t="s">
        <v>74</v>
      </c>
      <c r="AR652" t="s">
        <v>10879</v>
      </c>
      <c r="AS652" t="s">
        <v>10880</v>
      </c>
      <c r="AT652" t="s">
        <v>4962</v>
      </c>
      <c r="AU652">
        <v>2017</v>
      </c>
      <c r="AV652">
        <v>88</v>
      </c>
      <c r="AW652">
        <v>127</v>
      </c>
      <c r="AX652" t="s">
        <v>74</v>
      </c>
      <c r="AY652" t="s">
        <v>74</v>
      </c>
      <c r="AZ652" t="s">
        <v>74</v>
      </c>
      <c r="BA652" t="s">
        <v>74</v>
      </c>
      <c r="BB652">
        <v>185</v>
      </c>
      <c r="BC652">
        <v>196</v>
      </c>
      <c r="BD652" t="s">
        <v>74</v>
      </c>
      <c r="BE652" t="s">
        <v>74</v>
      </c>
      <c r="BF652" t="s">
        <v>74</v>
      </c>
      <c r="BG652" t="s">
        <v>74</v>
      </c>
      <c r="BH652" t="s">
        <v>74</v>
      </c>
      <c r="BI652">
        <v>12</v>
      </c>
      <c r="BJ652" t="s">
        <v>2192</v>
      </c>
      <c r="BK652" t="s">
        <v>183</v>
      </c>
      <c r="BL652" t="s">
        <v>2193</v>
      </c>
      <c r="BM652" t="s">
        <v>10881</v>
      </c>
      <c r="BN652" t="s">
        <v>74</v>
      </c>
      <c r="BO652" t="s">
        <v>74</v>
      </c>
      <c r="BP652" t="s">
        <v>74</v>
      </c>
      <c r="BQ652" t="s">
        <v>74</v>
      </c>
      <c r="BR652" t="s">
        <v>106</v>
      </c>
      <c r="BS652" t="s">
        <v>10882</v>
      </c>
      <c r="BT652" t="str">
        <f>HYPERLINK("https%3A%2F%2Fwww.webofscience.com%2Fwos%2Fwoscc%2Ffull-record%2FWOS:000411618500009","View Full Record in Web of Science")</f>
        <v>View Full Record in Web of Science</v>
      </c>
    </row>
    <row r="653" spans="1:72" x14ac:dyDescent="0.25">
      <c r="A653" t="s">
        <v>7120</v>
      </c>
      <c r="B653" t="s">
        <v>10883</v>
      </c>
      <c r="C653" t="s">
        <v>74</v>
      </c>
      <c r="D653" t="s">
        <v>10884</v>
      </c>
      <c r="E653" t="s">
        <v>74</v>
      </c>
      <c r="F653" t="s">
        <v>10885</v>
      </c>
      <c r="G653" t="s">
        <v>74</v>
      </c>
      <c r="H653" t="s">
        <v>74</v>
      </c>
      <c r="I653" s="1" t="s">
        <v>10886</v>
      </c>
      <c r="J653" t="s">
        <v>10887</v>
      </c>
      <c r="K653" t="s">
        <v>10888</v>
      </c>
      <c r="L653" t="s">
        <v>74</v>
      </c>
      <c r="M653" t="s">
        <v>78</v>
      </c>
      <c r="N653" t="s">
        <v>4932</v>
      </c>
      <c r="O653" t="s">
        <v>74</v>
      </c>
      <c r="P653" t="s">
        <v>74</v>
      </c>
      <c r="Q653" t="s">
        <v>74</v>
      </c>
      <c r="R653" t="s">
        <v>74</v>
      </c>
      <c r="S653" t="s">
        <v>74</v>
      </c>
      <c r="T653" s="1" t="s">
        <v>10889</v>
      </c>
      <c r="U653" s="1" t="s">
        <v>74</v>
      </c>
      <c r="V653" s="1" t="s">
        <v>10890</v>
      </c>
      <c r="W653" t="s">
        <v>10891</v>
      </c>
      <c r="X653" t="s">
        <v>10892</v>
      </c>
      <c r="Y653" t="s">
        <v>10893</v>
      </c>
      <c r="Z653" t="s">
        <v>10894</v>
      </c>
      <c r="AA653" t="s">
        <v>10895</v>
      </c>
      <c r="AB653" t="s">
        <v>10896</v>
      </c>
      <c r="AC653" t="s">
        <v>74</v>
      </c>
      <c r="AD653" t="s">
        <v>74</v>
      </c>
      <c r="AE653" t="s">
        <v>74</v>
      </c>
      <c r="AF653" t="s">
        <v>74</v>
      </c>
      <c r="AG653">
        <v>13</v>
      </c>
      <c r="AH653">
        <v>0</v>
      </c>
      <c r="AI653">
        <v>0</v>
      </c>
      <c r="AJ653">
        <v>0</v>
      </c>
      <c r="AK653">
        <v>3</v>
      </c>
      <c r="AL653" t="s">
        <v>9414</v>
      </c>
      <c r="AM653" t="s">
        <v>9415</v>
      </c>
      <c r="AN653" t="s">
        <v>9416</v>
      </c>
      <c r="AO653" t="s">
        <v>10897</v>
      </c>
      <c r="AP653" t="s">
        <v>74</v>
      </c>
      <c r="AQ653" t="s">
        <v>10898</v>
      </c>
      <c r="AR653" t="s">
        <v>10899</v>
      </c>
      <c r="AS653" t="s">
        <v>74</v>
      </c>
      <c r="AT653" t="s">
        <v>74</v>
      </c>
      <c r="AU653">
        <v>2017</v>
      </c>
      <c r="AV653">
        <v>503</v>
      </c>
      <c r="AW653" t="s">
        <v>74</v>
      </c>
      <c r="AX653" t="s">
        <v>74</v>
      </c>
      <c r="AY653" t="s">
        <v>74</v>
      </c>
      <c r="AZ653" t="s">
        <v>74</v>
      </c>
      <c r="BA653" t="s">
        <v>74</v>
      </c>
      <c r="BB653">
        <v>213</v>
      </c>
      <c r="BC653">
        <v>219</v>
      </c>
      <c r="BD653" t="s">
        <v>74</v>
      </c>
      <c r="BE653" t="s">
        <v>10900</v>
      </c>
      <c r="BF653" t="str">
        <f>HYPERLINK("http://dx.doi.org/10.1007/978-3-319-46068-0_27","http://dx.doi.org/10.1007/978-3-319-46068-0_27")</f>
        <v>http://dx.doi.org/10.1007/978-3-319-46068-0_27</v>
      </c>
      <c r="BG653" t="s">
        <v>10901</v>
      </c>
      <c r="BH653" t="s">
        <v>74</v>
      </c>
      <c r="BI653">
        <v>7</v>
      </c>
      <c r="BJ653" t="s">
        <v>2218</v>
      </c>
      <c r="BK653" t="s">
        <v>4943</v>
      </c>
      <c r="BL653" t="s">
        <v>2218</v>
      </c>
      <c r="BM653" t="s">
        <v>10902</v>
      </c>
      <c r="BN653" t="s">
        <v>74</v>
      </c>
      <c r="BO653" t="s">
        <v>74</v>
      </c>
      <c r="BP653" t="s">
        <v>74</v>
      </c>
      <c r="BQ653" t="s">
        <v>74</v>
      </c>
      <c r="BR653" t="s">
        <v>106</v>
      </c>
      <c r="BS653" t="s">
        <v>10903</v>
      </c>
      <c r="BT653" t="str">
        <f>HYPERLINK("https%3A%2F%2Fwww.webofscience.com%2Fwos%2Fwoscc%2Ffull-record%2FWOS:000400026600028","View Full Record in Web of Science")</f>
        <v>View Full Record in Web of Science</v>
      </c>
    </row>
    <row r="654" spans="1:72" x14ac:dyDescent="0.25">
      <c r="A654" t="s">
        <v>72</v>
      </c>
      <c r="B654" t="s">
        <v>11039</v>
      </c>
      <c r="C654" t="s">
        <v>74</v>
      </c>
      <c r="D654" t="s">
        <v>74</v>
      </c>
      <c r="E654" t="s">
        <v>74</v>
      </c>
      <c r="F654" t="s">
        <v>11040</v>
      </c>
      <c r="G654" t="s">
        <v>74</v>
      </c>
      <c r="H654" t="s">
        <v>74</v>
      </c>
      <c r="I654" s="1" t="s">
        <v>11041</v>
      </c>
      <c r="J654" t="s">
        <v>10623</v>
      </c>
      <c r="K654" t="s">
        <v>74</v>
      </c>
      <c r="L654" t="s">
        <v>74</v>
      </c>
      <c r="M654" t="s">
        <v>929</v>
      </c>
      <c r="N654" t="s">
        <v>79</v>
      </c>
      <c r="O654" t="s">
        <v>74</v>
      </c>
      <c r="P654" t="s">
        <v>74</v>
      </c>
      <c r="Q654" t="s">
        <v>74</v>
      </c>
      <c r="R654" t="s">
        <v>74</v>
      </c>
      <c r="S654" t="s">
        <v>74</v>
      </c>
      <c r="T654" s="1" t="s">
        <v>11042</v>
      </c>
      <c r="U654" s="1" t="s">
        <v>74</v>
      </c>
      <c r="V654" s="1" t="s">
        <v>11043</v>
      </c>
      <c r="W654" t="s">
        <v>11044</v>
      </c>
      <c r="X654" t="s">
        <v>74</v>
      </c>
      <c r="Y654" t="s">
        <v>11045</v>
      </c>
      <c r="Z654" t="s">
        <v>11046</v>
      </c>
      <c r="AA654" t="s">
        <v>74</v>
      </c>
      <c r="AB654" t="s">
        <v>74</v>
      </c>
      <c r="AC654" t="s">
        <v>74</v>
      </c>
      <c r="AD654" t="s">
        <v>74</v>
      </c>
      <c r="AE654" t="s">
        <v>74</v>
      </c>
      <c r="AF654" t="s">
        <v>74</v>
      </c>
      <c r="AG654">
        <v>47</v>
      </c>
      <c r="AH654">
        <v>0</v>
      </c>
      <c r="AI654">
        <v>1</v>
      </c>
      <c r="AJ654">
        <v>0</v>
      </c>
      <c r="AK654">
        <v>2</v>
      </c>
      <c r="AL654" t="s">
        <v>10634</v>
      </c>
      <c r="AM654" t="s">
        <v>10635</v>
      </c>
      <c r="AN654" t="s">
        <v>10636</v>
      </c>
      <c r="AO654" t="s">
        <v>10637</v>
      </c>
      <c r="AP654" t="s">
        <v>74</v>
      </c>
      <c r="AQ654" t="s">
        <v>74</v>
      </c>
      <c r="AR654" t="s">
        <v>10638</v>
      </c>
      <c r="AS654" t="s">
        <v>10639</v>
      </c>
      <c r="AT654" t="s">
        <v>11047</v>
      </c>
      <c r="AU654">
        <v>2016</v>
      </c>
      <c r="AV654" t="s">
        <v>74</v>
      </c>
      <c r="AW654">
        <v>51</v>
      </c>
      <c r="AX654" t="s">
        <v>74</v>
      </c>
      <c r="AY654" t="s">
        <v>74</v>
      </c>
      <c r="AZ654" t="s">
        <v>74</v>
      </c>
      <c r="BA654" t="s">
        <v>74</v>
      </c>
      <c r="BB654" t="s">
        <v>74</v>
      </c>
      <c r="BC654" t="s">
        <v>74</v>
      </c>
      <c r="BD654">
        <v>2</v>
      </c>
      <c r="BE654" t="s">
        <v>11048</v>
      </c>
      <c r="BF654" t="str">
        <f>HYPERLINK("http://dx.doi.org/10.6018/red/51/2","http://dx.doi.org/10.6018/red/51/2")</f>
        <v>http://dx.doi.org/10.6018/red/51/2</v>
      </c>
      <c r="BG654" t="s">
        <v>74</v>
      </c>
      <c r="BH654" t="s">
        <v>74</v>
      </c>
      <c r="BI654">
        <v>25</v>
      </c>
      <c r="BJ654" t="s">
        <v>1326</v>
      </c>
      <c r="BK654" t="s">
        <v>183</v>
      </c>
      <c r="BL654" t="s">
        <v>1326</v>
      </c>
      <c r="BM654" t="s">
        <v>11049</v>
      </c>
      <c r="BN654" t="s">
        <v>74</v>
      </c>
      <c r="BO654" t="s">
        <v>2730</v>
      </c>
      <c r="BP654" t="s">
        <v>74</v>
      </c>
      <c r="BQ654" t="s">
        <v>74</v>
      </c>
      <c r="BR654" t="s">
        <v>106</v>
      </c>
      <c r="BS654" t="s">
        <v>11050</v>
      </c>
      <c r="BT654" t="str">
        <f>HYPERLINK("https%3A%2F%2Fwww.webofscience.com%2Fwos%2Fwoscc%2Ffull-record%2FWOS:000396461500002","View Full Record in Web of Science")</f>
        <v>View Full Record in Web of Science</v>
      </c>
    </row>
    <row r="655" spans="1:72" x14ac:dyDescent="0.25">
      <c r="A655" t="s">
        <v>72</v>
      </c>
      <c r="B655" t="s">
        <v>11178</v>
      </c>
      <c r="C655" t="s">
        <v>74</v>
      </c>
      <c r="D655" t="s">
        <v>74</v>
      </c>
      <c r="E655" t="s">
        <v>74</v>
      </c>
      <c r="F655" t="s">
        <v>11179</v>
      </c>
      <c r="G655" t="s">
        <v>74</v>
      </c>
      <c r="H655" t="s">
        <v>74</v>
      </c>
      <c r="I655" s="1" t="s">
        <v>11180</v>
      </c>
      <c r="J655" t="s">
        <v>11181</v>
      </c>
      <c r="K655" t="s">
        <v>74</v>
      </c>
      <c r="L655" t="s">
        <v>74</v>
      </c>
      <c r="M655" t="s">
        <v>929</v>
      </c>
      <c r="N655" t="s">
        <v>79</v>
      </c>
      <c r="O655" t="s">
        <v>74</v>
      </c>
      <c r="P655" t="s">
        <v>74</v>
      </c>
      <c r="Q655" t="s">
        <v>74</v>
      </c>
      <c r="R655" t="s">
        <v>74</v>
      </c>
      <c r="S655" t="s">
        <v>74</v>
      </c>
      <c r="T655" s="1" t="s">
        <v>11182</v>
      </c>
      <c r="U655" s="1" t="s">
        <v>74</v>
      </c>
      <c r="V655" s="1" t="s">
        <v>11183</v>
      </c>
      <c r="W655" t="s">
        <v>11184</v>
      </c>
      <c r="X655" t="s">
        <v>11185</v>
      </c>
      <c r="Y655" t="s">
        <v>11186</v>
      </c>
      <c r="Z655" t="s">
        <v>11187</v>
      </c>
      <c r="AA655" t="s">
        <v>74</v>
      </c>
      <c r="AB655" t="s">
        <v>74</v>
      </c>
      <c r="AC655" t="s">
        <v>74</v>
      </c>
      <c r="AD655" t="s">
        <v>74</v>
      </c>
      <c r="AE655" t="s">
        <v>74</v>
      </c>
      <c r="AF655" t="s">
        <v>74</v>
      </c>
      <c r="AG655">
        <v>24</v>
      </c>
      <c r="AH655">
        <v>0</v>
      </c>
      <c r="AI655">
        <v>0</v>
      </c>
      <c r="AJ655">
        <v>2</v>
      </c>
      <c r="AK655">
        <v>5</v>
      </c>
      <c r="AL655" t="s">
        <v>11188</v>
      </c>
      <c r="AM655" t="s">
        <v>11189</v>
      </c>
      <c r="AN655" t="s">
        <v>11190</v>
      </c>
      <c r="AO655" t="s">
        <v>11191</v>
      </c>
      <c r="AP655" t="s">
        <v>11192</v>
      </c>
      <c r="AQ655" t="s">
        <v>74</v>
      </c>
      <c r="AR655" t="s">
        <v>11193</v>
      </c>
      <c r="AS655" t="s">
        <v>11194</v>
      </c>
      <c r="AT655" t="s">
        <v>1138</v>
      </c>
      <c r="AU655">
        <v>2016</v>
      </c>
      <c r="AV655" t="s">
        <v>74</v>
      </c>
      <c r="AW655">
        <v>18</v>
      </c>
      <c r="AX655" t="s">
        <v>74</v>
      </c>
      <c r="AY655" t="s">
        <v>74</v>
      </c>
      <c r="AZ655" t="s">
        <v>74</v>
      </c>
      <c r="BA655" t="s">
        <v>74</v>
      </c>
      <c r="BB655">
        <v>90</v>
      </c>
      <c r="BC655">
        <v>103</v>
      </c>
      <c r="BD655" t="s">
        <v>74</v>
      </c>
      <c r="BE655" t="s">
        <v>11195</v>
      </c>
      <c r="BF655" t="str">
        <f>HYPERLINK("http://dx.doi.org/10.17141/urvio.18.2016.1962","http://dx.doi.org/10.17141/urvio.18.2016.1962")</f>
        <v>http://dx.doi.org/10.17141/urvio.18.2016.1962</v>
      </c>
      <c r="BG655" t="s">
        <v>74</v>
      </c>
      <c r="BH655" t="s">
        <v>74</v>
      </c>
      <c r="BI655">
        <v>14</v>
      </c>
      <c r="BJ655" t="s">
        <v>1082</v>
      </c>
      <c r="BK655" t="s">
        <v>183</v>
      </c>
      <c r="BL655" t="s">
        <v>379</v>
      </c>
      <c r="BM655" t="s">
        <v>11196</v>
      </c>
      <c r="BN655" t="s">
        <v>74</v>
      </c>
      <c r="BO655" t="s">
        <v>4460</v>
      </c>
      <c r="BP655" t="s">
        <v>74</v>
      </c>
      <c r="BQ655" t="s">
        <v>74</v>
      </c>
      <c r="BR655" t="s">
        <v>106</v>
      </c>
      <c r="BS655" t="s">
        <v>11197</v>
      </c>
      <c r="BT655" t="str">
        <f>HYPERLINK("https%3A%2F%2Fwww.webofscience.com%2Fwos%2Fwoscc%2Ffull-record%2FWOS:000384622100007","View Full Record in Web of Science")</f>
        <v>View Full Record in Web of Science</v>
      </c>
    </row>
    <row r="656" spans="1:72" x14ac:dyDescent="0.25">
      <c r="A656" t="s">
        <v>477</v>
      </c>
      <c r="B656" t="s">
        <v>11285</v>
      </c>
      <c r="C656" t="s">
        <v>11285</v>
      </c>
      <c r="D656" t="s">
        <v>74</v>
      </c>
      <c r="E656" t="s">
        <v>74</v>
      </c>
      <c r="F656" t="s">
        <v>11286</v>
      </c>
      <c r="G656" t="s">
        <v>11285</v>
      </c>
      <c r="H656" t="s">
        <v>74</v>
      </c>
      <c r="I656" s="1" t="s">
        <v>11287</v>
      </c>
      <c r="J656" t="s">
        <v>11288</v>
      </c>
      <c r="K656" t="s">
        <v>74</v>
      </c>
      <c r="L656" t="s">
        <v>74</v>
      </c>
      <c r="M656" t="s">
        <v>78</v>
      </c>
      <c r="N656" t="s">
        <v>4932</v>
      </c>
      <c r="O656" t="s">
        <v>74</v>
      </c>
      <c r="P656" t="s">
        <v>74</v>
      </c>
      <c r="Q656" t="s">
        <v>74</v>
      </c>
      <c r="R656" t="s">
        <v>74</v>
      </c>
      <c r="S656" t="s">
        <v>74</v>
      </c>
      <c r="T656" s="1" t="s">
        <v>74</v>
      </c>
      <c r="U656" s="1" t="s">
        <v>74</v>
      </c>
      <c r="V656" s="1" t="s">
        <v>74</v>
      </c>
      <c r="W656" t="s">
        <v>11289</v>
      </c>
      <c r="X656" t="s">
        <v>11290</v>
      </c>
      <c r="Y656" t="s">
        <v>11291</v>
      </c>
      <c r="Z656" t="s">
        <v>74</v>
      </c>
      <c r="AA656" t="s">
        <v>74</v>
      </c>
      <c r="AB656" t="s">
        <v>74</v>
      </c>
      <c r="AC656" t="s">
        <v>74</v>
      </c>
      <c r="AD656" t="s">
        <v>74</v>
      </c>
      <c r="AE656" t="s">
        <v>74</v>
      </c>
      <c r="AF656" t="s">
        <v>74</v>
      </c>
      <c r="AG656">
        <v>0</v>
      </c>
      <c r="AH656">
        <v>0</v>
      </c>
      <c r="AI656">
        <v>0</v>
      </c>
      <c r="AJ656">
        <v>0</v>
      </c>
      <c r="AK656">
        <v>1</v>
      </c>
      <c r="AL656" t="s">
        <v>2818</v>
      </c>
      <c r="AM656" t="s">
        <v>2819</v>
      </c>
      <c r="AN656" t="s">
        <v>11292</v>
      </c>
      <c r="AO656" t="s">
        <v>74</v>
      </c>
      <c r="AP656" t="s">
        <v>74</v>
      </c>
      <c r="AQ656" t="s">
        <v>11293</v>
      </c>
      <c r="AR656" t="s">
        <v>74</v>
      </c>
      <c r="AS656" t="s">
        <v>74</v>
      </c>
      <c r="AT656" t="s">
        <v>74</v>
      </c>
      <c r="AU656">
        <v>2016</v>
      </c>
      <c r="AV656" t="s">
        <v>74</v>
      </c>
      <c r="AW656" t="s">
        <v>74</v>
      </c>
      <c r="AX656" t="s">
        <v>74</v>
      </c>
      <c r="AY656" t="s">
        <v>74</v>
      </c>
      <c r="AZ656" t="s">
        <v>74</v>
      </c>
      <c r="BA656" t="s">
        <v>74</v>
      </c>
      <c r="BB656">
        <v>263</v>
      </c>
      <c r="BC656">
        <v>275</v>
      </c>
      <c r="BD656" t="s">
        <v>74</v>
      </c>
      <c r="BE656" t="s">
        <v>74</v>
      </c>
      <c r="BF656" t="s">
        <v>74</v>
      </c>
      <c r="BG656" t="s">
        <v>11294</v>
      </c>
      <c r="BH656" t="s">
        <v>74</v>
      </c>
      <c r="BI656">
        <v>13</v>
      </c>
      <c r="BJ656" t="s">
        <v>479</v>
      </c>
      <c r="BK656" t="s">
        <v>4943</v>
      </c>
      <c r="BL656" t="s">
        <v>265</v>
      </c>
      <c r="BM656" t="s">
        <v>11295</v>
      </c>
      <c r="BN656" t="s">
        <v>74</v>
      </c>
      <c r="BO656" t="s">
        <v>74</v>
      </c>
      <c r="BP656" t="s">
        <v>74</v>
      </c>
      <c r="BQ656" t="s">
        <v>74</v>
      </c>
      <c r="BR656" t="s">
        <v>106</v>
      </c>
      <c r="BS656" t="s">
        <v>11296</v>
      </c>
      <c r="BT656" t="str">
        <f>HYPERLINK("https%3A%2F%2Fwww.webofscience.com%2Fwos%2Fwoscc%2Ffull-record%2FWOS:000384000800020","View Full Record in Web of Science")</f>
        <v>View Full Record in Web of Science</v>
      </c>
    </row>
    <row r="657" spans="1:72" x14ac:dyDescent="0.25">
      <c r="A657" t="s">
        <v>7120</v>
      </c>
      <c r="B657" t="s">
        <v>11386</v>
      </c>
      <c r="C657" t="s">
        <v>74</v>
      </c>
      <c r="D657" t="s">
        <v>11387</v>
      </c>
      <c r="E657" t="s">
        <v>74</v>
      </c>
      <c r="F657" t="s">
        <v>11388</v>
      </c>
      <c r="G657" t="s">
        <v>74</v>
      </c>
      <c r="H657" t="s">
        <v>74</v>
      </c>
      <c r="I657" s="1" t="s">
        <v>11389</v>
      </c>
      <c r="J657" t="s">
        <v>11390</v>
      </c>
      <c r="K657" t="s">
        <v>11391</v>
      </c>
      <c r="L657" t="s">
        <v>74</v>
      </c>
      <c r="M657" t="s">
        <v>78</v>
      </c>
      <c r="N657" t="s">
        <v>4932</v>
      </c>
      <c r="O657" t="s">
        <v>74</v>
      </c>
      <c r="P657" t="s">
        <v>74</v>
      </c>
      <c r="Q657" t="s">
        <v>74</v>
      </c>
      <c r="R657" t="s">
        <v>74</v>
      </c>
      <c r="S657" t="s">
        <v>74</v>
      </c>
      <c r="T657" s="1" t="s">
        <v>11392</v>
      </c>
      <c r="U657" s="1" t="s">
        <v>74</v>
      </c>
      <c r="V657" s="1" t="s">
        <v>11393</v>
      </c>
      <c r="W657" t="s">
        <v>11394</v>
      </c>
      <c r="X657" t="s">
        <v>11395</v>
      </c>
      <c r="Y657" t="s">
        <v>11396</v>
      </c>
      <c r="Z657" t="s">
        <v>74</v>
      </c>
      <c r="AA657" t="s">
        <v>74</v>
      </c>
      <c r="AB657" t="s">
        <v>74</v>
      </c>
      <c r="AC657" t="s">
        <v>74</v>
      </c>
      <c r="AD657" t="s">
        <v>74</v>
      </c>
      <c r="AE657" t="s">
        <v>74</v>
      </c>
      <c r="AF657" t="s">
        <v>74</v>
      </c>
      <c r="AG657">
        <v>16</v>
      </c>
      <c r="AH657">
        <v>0</v>
      </c>
      <c r="AI657">
        <v>0</v>
      </c>
      <c r="AJ657">
        <v>0</v>
      </c>
      <c r="AK657">
        <v>5</v>
      </c>
      <c r="AL657" t="s">
        <v>715</v>
      </c>
      <c r="AM657" t="s">
        <v>716</v>
      </c>
      <c r="AN657" t="s">
        <v>9298</v>
      </c>
      <c r="AO657" t="s">
        <v>11397</v>
      </c>
      <c r="AP657" t="s">
        <v>74</v>
      </c>
      <c r="AQ657" t="s">
        <v>11398</v>
      </c>
      <c r="AR657" t="s">
        <v>11399</v>
      </c>
      <c r="AS657" t="s">
        <v>74</v>
      </c>
      <c r="AT657" t="s">
        <v>74</v>
      </c>
      <c r="AU657">
        <v>2016</v>
      </c>
      <c r="AV657">
        <v>12</v>
      </c>
      <c r="AW657" t="s">
        <v>74</v>
      </c>
      <c r="AX657" t="s">
        <v>74</v>
      </c>
      <c r="AY657" t="s">
        <v>74</v>
      </c>
      <c r="AZ657" t="s">
        <v>74</v>
      </c>
      <c r="BA657" t="s">
        <v>74</v>
      </c>
      <c r="BB657">
        <v>61</v>
      </c>
      <c r="BC657">
        <v>80</v>
      </c>
      <c r="BD657" t="s">
        <v>74</v>
      </c>
      <c r="BE657" t="s">
        <v>11400</v>
      </c>
      <c r="BF657" t="str">
        <f>HYPERLINK("http://dx.doi.org/10.1108/S1871-317320160000012006","http://dx.doi.org/10.1108/S1871-317320160000012006")</f>
        <v>http://dx.doi.org/10.1108/S1871-317320160000012006</v>
      </c>
      <c r="BG657" t="s">
        <v>74</v>
      </c>
      <c r="BH657" t="s">
        <v>74</v>
      </c>
      <c r="BI657">
        <v>20</v>
      </c>
      <c r="BJ657" t="s">
        <v>4630</v>
      </c>
      <c r="BK657" t="s">
        <v>4943</v>
      </c>
      <c r="BL657" t="s">
        <v>943</v>
      </c>
      <c r="BM657" t="s">
        <v>11401</v>
      </c>
      <c r="BN657" t="s">
        <v>74</v>
      </c>
      <c r="BO657" t="s">
        <v>74</v>
      </c>
      <c r="BP657" t="s">
        <v>74</v>
      </c>
      <c r="BQ657" t="s">
        <v>74</v>
      </c>
      <c r="BR657" t="s">
        <v>106</v>
      </c>
      <c r="BS657" t="s">
        <v>11402</v>
      </c>
      <c r="BT657" t="str">
        <f>HYPERLINK("https%3A%2F%2Fwww.webofscience.com%2Fwos%2Fwoscc%2Ffull-record%2FWOS:000403250800006","View Full Record in Web of Science")</f>
        <v>View Full Record in Web of Science</v>
      </c>
    </row>
    <row r="658" spans="1:72" x14ac:dyDescent="0.25">
      <c r="A658" t="s">
        <v>72</v>
      </c>
      <c r="B658" t="s">
        <v>11418</v>
      </c>
      <c r="C658" t="s">
        <v>74</v>
      </c>
      <c r="D658" t="s">
        <v>74</v>
      </c>
      <c r="E658" t="s">
        <v>74</v>
      </c>
      <c r="F658" t="s">
        <v>11419</v>
      </c>
      <c r="G658" t="s">
        <v>74</v>
      </c>
      <c r="H658" t="s">
        <v>74</v>
      </c>
      <c r="I658" s="1" t="s">
        <v>11420</v>
      </c>
      <c r="J658" t="s">
        <v>11421</v>
      </c>
      <c r="K658" t="s">
        <v>74</v>
      </c>
      <c r="L658" t="s">
        <v>74</v>
      </c>
      <c r="M658" t="s">
        <v>929</v>
      </c>
      <c r="N658" t="s">
        <v>79</v>
      </c>
      <c r="O658" t="s">
        <v>74</v>
      </c>
      <c r="P658" t="s">
        <v>74</v>
      </c>
      <c r="Q658" t="s">
        <v>74</v>
      </c>
      <c r="R658" t="s">
        <v>74</v>
      </c>
      <c r="S658" t="s">
        <v>74</v>
      </c>
      <c r="T658" s="1" t="s">
        <v>11422</v>
      </c>
      <c r="U658" s="1" t="s">
        <v>11423</v>
      </c>
      <c r="V658" s="1" t="s">
        <v>11424</v>
      </c>
      <c r="W658" t="s">
        <v>11425</v>
      </c>
      <c r="X658" t="s">
        <v>11426</v>
      </c>
      <c r="Y658" t="s">
        <v>11427</v>
      </c>
      <c r="Z658" t="s">
        <v>11428</v>
      </c>
      <c r="AA658" t="s">
        <v>11429</v>
      </c>
      <c r="AB658" t="s">
        <v>11430</v>
      </c>
      <c r="AC658" t="s">
        <v>74</v>
      </c>
      <c r="AD658" t="s">
        <v>74</v>
      </c>
      <c r="AE658" t="s">
        <v>74</v>
      </c>
      <c r="AF658" t="s">
        <v>74</v>
      </c>
      <c r="AG658">
        <v>20</v>
      </c>
      <c r="AH658">
        <v>0</v>
      </c>
      <c r="AI658">
        <v>2</v>
      </c>
      <c r="AJ658">
        <v>0</v>
      </c>
      <c r="AK658">
        <v>4</v>
      </c>
      <c r="AL658" t="s">
        <v>11431</v>
      </c>
      <c r="AM658" t="s">
        <v>6354</v>
      </c>
      <c r="AN658" t="s">
        <v>11432</v>
      </c>
      <c r="AO658" t="s">
        <v>11433</v>
      </c>
      <c r="AP658" t="s">
        <v>11434</v>
      </c>
      <c r="AQ658" t="s">
        <v>74</v>
      </c>
      <c r="AR658" t="s">
        <v>11435</v>
      </c>
      <c r="AS658" t="s">
        <v>11436</v>
      </c>
      <c r="AT658" t="s">
        <v>11437</v>
      </c>
      <c r="AU658">
        <v>2016</v>
      </c>
      <c r="AV658">
        <v>57</v>
      </c>
      <c r="AW658">
        <v>1</v>
      </c>
      <c r="AX658" t="s">
        <v>74</v>
      </c>
      <c r="AY658" t="s">
        <v>74</v>
      </c>
      <c r="AZ658" t="s">
        <v>74</v>
      </c>
      <c r="BA658" t="s">
        <v>74</v>
      </c>
      <c r="BB658">
        <v>44</v>
      </c>
      <c r="BC658">
        <v>57</v>
      </c>
      <c r="BD658" t="s">
        <v>74</v>
      </c>
      <c r="BE658" t="s">
        <v>11438</v>
      </c>
      <c r="BF658" t="str">
        <f>HYPERLINK("http://dx.doi.org/10.11144/Javeriana.umed57-1.pgpc","http://dx.doi.org/10.11144/Javeriana.umed57-1.pgpc")</f>
        <v>http://dx.doi.org/10.11144/Javeriana.umed57-1.pgpc</v>
      </c>
      <c r="BG658" t="s">
        <v>74</v>
      </c>
      <c r="BH658" t="s">
        <v>74</v>
      </c>
      <c r="BI658">
        <v>14</v>
      </c>
      <c r="BJ658" t="s">
        <v>840</v>
      </c>
      <c r="BK658" t="s">
        <v>183</v>
      </c>
      <c r="BL658" t="s">
        <v>841</v>
      </c>
      <c r="BM658" t="s">
        <v>11439</v>
      </c>
      <c r="BN658" t="s">
        <v>74</v>
      </c>
      <c r="BO658" t="s">
        <v>9500</v>
      </c>
      <c r="BP658" t="s">
        <v>74</v>
      </c>
      <c r="BQ658" t="s">
        <v>74</v>
      </c>
      <c r="BR658" t="s">
        <v>106</v>
      </c>
      <c r="BS658" t="s">
        <v>11440</v>
      </c>
      <c r="BT658" t="str">
        <f>HYPERLINK("https%3A%2F%2Fwww.webofscience.com%2Fwos%2Fwoscc%2Ffull-record%2FWOS:000398354600004","View Full Record in Web of Science")</f>
        <v>View Full Record in Web of Science</v>
      </c>
    </row>
    <row r="659" spans="1:72" x14ac:dyDescent="0.25">
      <c r="A659" t="s">
        <v>72</v>
      </c>
      <c r="B659" t="s">
        <v>11460</v>
      </c>
      <c r="C659" t="s">
        <v>74</v>
      </c>
      <c r="D659" t="s">
        <v>74</v>
      </c>
      <c r="E659" t="s">
        <v>74</v>
      </c>
      <c r="F659" t="s">
        <v>11461</v>
      </c>
      <c r="G659" t="s">
        <v>74</v>
      </c>
      <c r="H659" t="s">
        <v>74</v>
      </c>
      <c r="I659" s="1" t="s">
        <v>11462</v>
      </c>
      <c r="J659" t="s">
        <v>11463</v>
      </c>
      <c r="K659" t="s">
        <v>74</v>
      </c>
      <c r="L659" t="s">
        <v>74</v>
      </c>
      <c r="M659" t="s">
        <v>78</v>
      </c>
      <c r="N659" t="s">
        <v>79</v>
      </c>
      <c r="O659" t="s">
        <v>74</v>
      </c>
      <c r="P659" t="s">
        <v>74</v>
      </c>
      <c r="Q659" t="s">
        <v>74</v>
      </c>
      <c r="R659" t="s">
        <v>74</v>
      </c>
      <c r="S659" t="s">
        <v>74</v>
      </c>
      <c r="T659" s="1" t="s">
        <v>74</v>
      </c>
      <c r="U659" s="1" t="s">
        <v>74</v>
      </c>
      <c r="V659" s="1" t="s">
        <v>74</v>
      </c>
      <c r="W659" t="s">
        <v>11464</v>
      </c>
      <c r="X659" t="s">
        <v>8479</v>
      </c>
      <c r="Y659" t="s">
        <v>11465</v>
      </c>
      <c r="Z659" t="s">
        <v>11466</v>
      </c>
      <c r="AA659" t="s">
        <v>74</v>
      </c>
      <c r="AB659" t="s">
        <v>74</v>
      </c>
      <c r="AC659" t="s">
        <v>74</v>
      </c>
      <c r="AD659" t="s">
        <v>74</v>
      </c>
      <c r="AE659" t="s">
        <v>74</v>
      </c>
      <c r="AF659" t="s">
        <v>74</v>
      </c>
      <c r="AG659">
        <v>0</v>
      </c>
      <c r="AH659">
        <v>0</v>
      </c>
      <c r="AI659">
        <v>0</v>
      </c>
      <c r="AJ659">
        <v>0</v>
      </c>
      <c r="AK659">
        <v>1</v>
      </c>
      <c r="AL659" t="s">
        <v>1468</v>
      </c>
      <c r="AM659" t="s">
        <v>175</v>
      </c>
      <c r="AN659" t="s">
        <v>1469</v>
      </c>
      <c r="AO659" t="s">
        <v>11467</v>
      </c>
      <c r="AP659" t="s">
        <v>11468</v>
      </c>
      <c r="AQ659" t="s">
        <v>74</v>
      </c>
      <c r="AR659" t="s">
        <v>11469</v>
      </c>
      <c r="AS659" t="s">
        <v>11470</v>
      </c>
      <c r="AT659" t="s">
        <v>99</v>
      </c>
      <c r="AU659">
        <v>2015</v>
      </c>
      <c r="AV659">
        <v>60</v>
      </c>
      <c r="AW659">
        <v>4</v>
      </c>
      <c r="AX659" t="s">
        <v>74</v>
      </c>
      <c r="AY659" t="s">
        <v>74</v>
      </c>
      <c r="AZ659" t="s">
        <v>1020</v>
      </c>
      <c r="BA659" t="s">
        <v>74</v>
      </c>
      <c r="BB659">
        <v>159</v>
      </c>
      <c r="BC659">
        <v>160</v>
      </c>
      <c r="BD659" t="s">
        <v>74</v>
      </c>
      <c r="BE659" t="s">
        <v>11471</v>
      </c>
      <c r="BF659" t="str">
        <f>HYPERLINK("http://dx.doi.org/10.1177/0036933015606574","http://dx.doi.org/10.1177/0036933015606574")</f>
        <v>http://dx.doi.org/10.1177/0036933015606574</v>
      </c>
      <c r="BG659" t="s">
        <v>74</v>
      </c>
      <c r="BH659" t="s">
        <v>74</v>
      </c>
      <c r="BI659">
        <v>2</v>
      </c>
      <c r="BJ659" t="s">
        <v>840</v>
      </c>
      <c r="BK659" t="s">
        <v>102</v>
      </c>
      <c r="BL659" t="s">
        <v>841</v>
      </c>
      <c r="BM659" t="s">
        <v>11472</v>
      </c>
      <c r="BN659">
        <v>26449920</v>
      </c>
      <c r="BO659" t="s">
        <v>74</v>
      </c>
      <c r="BP659" t="s">
        <v>74</v>
      </c>
      <c r="BQ659" t="s">
        <v>74</v>
      </c>
      <c r="BR659" t="s">
        <v>106</v>
      </c>
      <c r="BS659" t="s">
        <v>11473</v>
      </c>
      <c r="BT659" t="str">
        <f>HYPERLINK("https%3A%2F%2Fwww.webofscience.com%2Fwos%2Fwoscc%2Ffull-record%2FWOS:000367847100005","View Full Record in Web of Science")</f>
        <v>View Full Record in Web of Science</v>
      </c>
    </row>
    <row r="660" spans="1:72" x14ac:dyDescent="0.25">
      <c r="A660" t="s">
        <v>72</v>
      </c>
      <c r="B660" t="s">
        <v>11474</v>
      </c>
      <c r="C660" t="s">
        <v>74</v>
      </c>
      <c r="D660" t="s">
        <v>74</v>
      </c>
      <c r="E660" t="s">
        <v>74</v>
      </c>
      <c r="F660" t="s">
        <v>11475</v>
      </c>
      <c r="G660" t="s">
        <v>74</v>
      </c>
      <c r="H660" t="s">
        <v>74</v>
      </c>
      <c r="I660" s="1" t="s">
        <v>11476</v>
      </c>
      <c r="J660" t="s">
        <v>11477</v>
      </c>
      <c r="K660" t="s">
        <v>74</v>
      </c>
      <c r="L660" t="s">
        <v>74</v>
      </c>
      <c r="M660" t="s">
        <v>4637</v>
      </c>
      <c r="N660" t="s">
        <v>79</v>
      </c>
      <c r="O660" t="s">
        <v>74</v>
      </c>
      <c r="P660" t="s">
        <v>74</v>
      </c>
      <c r="Q660" t="s">
        <v>74</v>
      </c>
      <c r="R660" t="s">
        <v>74</v>
      </c>
      <c r="S660" t="s">
        <v>74</v>
      </c>
      <c r="T660" s="1" t="s">
        <v>11478</v>
      </c>
      <c r="U660" s="1" t="s">
        <v>74</v>
      </c>
      <c r="V660" s="1" t="s">
        <v>11479</v>
      </c>
      <c r="W660" t="s">
        <v>11480</v>
      </c>
      <c r="X660" t="s">
        <v>8339</v>
      </c>
      <c r="Y660" t="s">
        <v>11481</v>
      </c>
      <c r="Z660" t="s">
        <v>11482</v>
      </c>
      <c r="AA660" t="s">
        <v>74</v>
      </c>
      <c r="AB660" t="s">
        <v>74</v>
      </c>
      <c r="AC660" t="s">
        <v>74</v>
      </c>
      <c r="AD660" t="s">
        <v>74</v>
      </c>
      <c r="AE660" t="s">
        <v>74</v>
      </c>
      <c r="AF660" t="s">
        <v>74</v>
      </c>
      <c r="AG660">
        <v>17</v>
      </c>
      <c r="AH660">
        <v>0</v>
      </c>
      <c r="AI660">
        <v>0</v>
      </c>
      <c r="AJ660">
        <v>0</v>
      </c>
      <c r="AK660">
        <v>6</v>
      </c>
      <c r="AL660" t="s">
        <v>11483</v>
      </c>
      <c r="AM660" t="s">
        <v>4716</v>
      </c>
      <c r="AN660" t="s">
        <v>11484</v>
      </c>
      <c r="AO660" t="s">
        <v>11485</v>
      </c>
      <c r="AP660" t="s">
        <v>74</v>
      </c>
      <c r="AQ660" t="s">
        <v>74</v>
      </c>
      <c r="AR660" t="s">
        <v>11486</v>
      </c>
      <c r="AS660" t="s">
        <v>11487</v>
      </c>
      <c r="AT660" t="s">
        <v>376</v>
      </c>
      <c r="AU660">
        <v>2015</v>
      </c>
      <c r="AV660">
        <v>39</v>
      </c>
      <c r="AW660" t="s">
        <v>11488</v>
      </c>
      <c r="AX660" t="s">
        <v>74</v>
      </c>
      <c r="AY660" t="s">
        <v>74</v>
      </c>
      <c r="AZ660" t="s">
        <v>1020</v>
      </c>
      <c r="BA660" t="s">
        <v>74</v>
      </c>
      <c r="BB660">
        <v>329</v>
      </c>
      <c r="BC660">
        <v>349</v>
      </c>
      <c r="BD660" t="s">
        <v>74</v>
      </c>
      <c r="BE660" t="s">
        <v>74</v>
      </c>
      <c r="BF660" t="s">
        <v>74</v>
      </c>
      <c r="BG660" t="s">
        <v>74</v>
      </c>
      <c r="BH660" t="s">
        <v>74</v>
      </c>
      <c r="BI660">
        <v>21</v>
      </c>
      <c r="BJ660" t="s">
        <v>10116</v>
      </c>
      <c r="BK660" t="s">
        <v>156</v>
      </c>
      <c r="BL660" t="s">
        <v>10117</v>
      </c>
      <c r="BM660" t="s">
        <v>11489</v>
      </c>
      <c r="BN660" t="s">
        <v>74</v>
      </c>
      <c r="BO660" t="s">
        <v>74</v>
      </c>
      <c r="BP660" t="s">
        <v>74</v>
      </c>
      <c r="BQ660" t="s">
        <v>74</v>
      </c>
      <c r="BR660" t="s">
        <v>106</v>
      </c>
      <c r="BS660" t="s">
        <v>11490</v>
      </c>
      <c r="BT660" t="str">
        <f>HYPERLINK("https%3A%2F%2Fwww.webofscience.com%2Fwos%2Fwoscc%2Ffull-record%2FWOS:000366144800006","View Full Record in Web of Science")</f>
        <v>View Full Record in Web of Science</v>
      </c>
    </row>
    <row r="661" spans="1:72" x14ac:dyDescent="0.25">
      <c r="A661" t="s">
        <v>477</v>
      </c>
      <c r="B661" t="s">
        <v>11684</v>
      </c>
      <c r="C661" t="s">
        <v>74</v>
      </c>
      <c r="D661" t="s">
        <v>74</v>
      </c>
      <c r="E661" t="s">
        <v>11685</v>
      </c>
      <c r="F661" t="s">
        <v>11686</v>
      </c>
      <c r="G661" t="s">
        <v>74</v>
      </c>
      <c r="H661" t="s">
        <v>74</v>
      </c>
      <c r="I661" s="1" t="s">
        <v>11687</v>
      </c>
      <c r="J661" t="s">
        <v>11688</v>
      </c>
      <c r="K661" t="s">
        <v>74</v>
      </c>
      <c r="L661" t="s">
        <v>74</v>
      </c>
      <c r="M661" t="s">
        <v>78</v>
      </c>
      <c r="N661" t="s">
        <v>4932</v>
      </c>
      <c r="O661" t="s">
        <v>74</v>
      </c>
      <c r="P661" t="s">
        <v>74</v>
      </c>
      <c r="Q661" t="s">
        <v>74</v>
      </c>
      <c r="R661" t="s">
        <v>74</v>
      </c>
      <c r="S661" t="s">
        <v>74</v>
      </c>
      <c r="T661" s="1" t="s">
        <v>74</v>
      </c>
      <c r="U661" s="1" t="s">
        <v>74</v>
      </c>
      <c r="V661" s="1" t="s">
        <v>11689</v>
      </c>
      <c r="W661" t="s">
        <v>11690</v>
      </c>
      <c r="X661" t="s">
        <v>11691</v>
      </c>
      <c r="Y661" t="s">
        <v>11692</v>
      </c>
      <c r="Z661" t="s">
        <v>74</v>
      </c>
      <c r="AA661" t="s">
        <v>11693</v>
      </c>
      <c r="AB661" t="s">
        <v>11694</v>
      </c>
      <c r="AC661" t="s">
        <v>74</v>
      </c>
      <c r="AD661" t="s">
        <v>74</v>
      </c>
      <c r="AE661" t="s">
        <v>74</v>
      </c>
      <c r="AF661" t="s">
        <v>74</v>
      </c>
      <c r="AG661">
        <v>62</v>
      </c>
      <c r="AH661">
        <v>0</v>
      </c>
      <c r="AI661">
        <v>0</v>
      </c>
      <c r="AJ661">
        <v>0</v>
      </c>
      <c r="AK661">
        <v>1</v>
      </c>
      <c r="AL661" t="s">
        <v>2573</v>
      </c>
      <c r="AM661" t="s">
        <v>11695</v>
      </c>
      <c r="AN661" t="s">
        <v>11696</v>
      </c>
      <c r="AO661" t="s">
        <v>74</v>
      </c>
      <c r="AP661" t="s">
        <v>74</v>
      </c>
      <c r="AQ661" t="s">
        <v>11697</v>
      </c>
      <c r="AR661" t="s">
        <v>74</v>
      </c>
      <c r="AS661" t="s">
        <v>74</v>
      </c>
      <c r="AT661" t="s">
        <v>74</v>
      </c>
      <c r="AU661">
        <v>2015</v>
      </c>
      <c r="AV661" t="s">
        <v>74</v>
      </c>
      <c r="AW661" t="s">
        <v>74</v>
      </c>
      <c r="AX661" t="s">
        <v>74</v>
      </c>
      <c r="AY661" t="s">
        <v>74</v>
      </c>
      <c r="AZ661" t="s">
        <v>74</v>
      </c>
      <c r="BA661" t="s">
        <v>74</v>
      </c>
      <c r="BB661">
        <v>1375</v>
      </c>
      <c r="BC661">
        <v>1393</v>
      </c>
      <c r="BD661" t="s">
        <v>74</v>
      </c>
      <c r="BE661" t="s">
        <v>11698</v>
      </c>
      <c r="BF661" t="str">
        <f>HYPERLINK("http://dx.doi.org/10.4018/978-1-4666-6543-9.ch079","http://dx.doi.org/10.4018/978-1-4666-6543-9.ch079")</f>
        <v>http://dx.doi.org/10.4018/978-1-4666-6543-9.ch079</v>
      </c>
      <c r="BG661" t="s">
        <v>11699</v>
      </c>
      <c r="BH661" t="s">
        <v>74</v>
      </c>
      <c r="BI661">
        <v>19</v>
      </c>
      <c r="BJ661" t="s">
        <v>4630</v>
      </c>
      <c r="BK661" t="s">
        <v>4943</v>
      </c>
      <c r="BL661" t="s">
        <v>943</v>
      </c>
      <c r="BM661" t="s">
        <v>11700</v>
      </c>
      <c r="BN661" t="s">
        <v>74</v>
      </c>
      <c r="BO661" t="s">
        <v>74</v>
      </c>
      <c r="BP661" t="s">
        <v>74</v>
      </c>
      <c r="BQ661" t="s">
        <v>74</v>
      </c>
      <c r="BR661" t="s">
        <v>106</v>
      </c>
      <c r="BS661" t="s">
        <v>11701</v>
      </c>
      <c r="BT661" t="str">
        <f>HYPERLINK("https%3A%2F%2Fwww.webofscience.com%2Fwos%2Fwoscc%2Ffull-record%2FWOS:000489991200080","View Full Record in Web of Science")</f>
        <v>View Full Record in Web of Science</v>
      </c>
    </row>
    <row r="662" spans="1:72" x14ac:dyDescent="0.25">
      <c r="A662" t="s">
        <v>72</v>
      </c>
      <c r="B662" t="s">
        <v>11827</v>
      </c>
      <c r="C662" t="s">
        <v>74</v>
      </c>
      <c r="D662" t="s">
        <v>74</v>
      </c>
      <c r="E662" t="s">
        <v>74</v>
      </c>
      <c r="F662" t="s">
        <v>11828</v>
      </c>
      <c r="G662" t="s">
        <v>74</v>
      </c>
      <c r="H662" t="s">
        <v>74</v>
      </c>
      <c r="I662" s="1" t="s">
        <v>11829</v>
      </c>
      <c r="J662" t="s">
        <v>10484</v>
      </c>
      <c r="K662" t="s">
        <v>74</v>
      </c>
      <c r="L662" t="s">
        <v>74</v>
      </c>
      <c r="M662" t="s">
        <v>78</v>
      </c>
      <c r="N662" t="s">
        <v>79</v>
      </c>
      <c r="O662" t="s">
        <v>74</v>
      </c>
      <c r="P662" t="s">
        <v>74</v>
      </c>
      <c r="Q662" t="s">
        <v>74</v>
      </c>
      <c r="R662" t="s">
        <v>74</v>
      </c>
      <c r="S662" t="s">
        <v>74</v>
      </c>
      <c r="T662" s="1" t="s">
        <v>74</v>
      </c>
      <c r="U662" s="1" t="s">
        <v>74</v>
      </c>
      <c r="V662" s="1" t="s">
        <v>11830</v>
      </c>
      <c r="W662" t="s">
        <v>11831</v>
      </c>
      <c r="X662" t="s">
        <v>11832</v>
      </c>
      <c r="Y662" t="s">
        <v>11833</v>
      </c>
      <c r="Z662" t="s">
        <v>74</v>
      </c>
      <c r="AA662" t="s">
        <v>74</v>
      </c>
      <c r="AB662" t="s">
        <v>74</v>
      </c>
      <c r="AC662" t="s">
        <v>74</v>
      </c>
      <c r="AD662" t="s">
        <v>74</v>
      </c>
      <c r="AE662" t="s">
        <v>74</v>
      </c>
      <c r="AF662" t="s">
        <v>74</v>
      </c>
      <c r="AG662">
        <v>33</v>
      </c>
      <c r="AH662">
        <v>0</v>
      </c>
      <c r="AI662">
        <v>0</v>
      </c>
      <c r="AJ662">
        <v>0</v>
      </c>
      <c r="AK662">
        <v>9</v>
      </c>
      <c r="AL662" t="s">
        <v>11834</v>
      </c>
      <c r="AM662" t="s">
        <v>11835</v>
      </c>
      <c r="AN662" t="s">
        <v>11836</v>
      </c>
      <c r="AO662" t="s">
        <v>10493</v>
      </c>
      <c r="AP662" t="s">
        <v>74</v>
      </c>
      <c r="AQ662" t="s">
        <v>74</v>
      </c>
      <c r="AR662" t="s">
        <v>10495</v>
      </c>
      <c r="AS662" t="s">
        <v>10496</v>
      </c>
      <c r="AT662" t="s">
        <v>1280</v>
      </c>
      <c r="AU662">
        <v>2014</v>
      </c>
      <c r="AV662" t="s">
        <v>74</v>
      </c>
      <c r="AW662">
        <v>151</v>
      </c>
      <c r="AX662" t="s">
        <v>74</v>
      </c>
      <c r="AY662" t="s">
        <v>74</v>
      </c>
      <c r="AZ662" t="s">
        <v>74</v>
      </c>
      <c r="BA662" t="s">
        <v>74</v>
      </c>
      <c r="BB662">
        <v>146</v>
      </c>
      <c r="BC662">
        <v>156</v>
      </c>
      <c r="BD662" t="s">
        <v>74</v>
      </c>
      <c r="BE662" t="s">
        <v>74</v>
      </c>
      <c r="BF662" t="s">
        <v>74</v>
      </c>
      <c r="BG662" t="s">
        <v>74</v>
      </c>
      <c r="BH662" t="s">
        <v>74</v>
      </c>
      <c r="BI662">
        <v>11</v>
      </c>
      <c r="BJ662" t="s">
        <v>2218</v>
      </c>
      <c r="BK662" t="s">
        <v>156</v>
      </c>
      <c r="BL662" t="s">
        <v>2218</v>
      </c>
      <c r="BM662" t="s">
        <v>11837</v>
      </c>
      <c r="BN662" t="s">
        <v>74</v>
      </c>
      <c r="BO662" t="s">
        <v>74</v>
      </c>
      <c r="BP662" t="s">
        <v>74</v>
      </c>
      <c r="BQ662" t="s">
        <v>74</v>
      </c>
      <c r="BR662" t="s">
        <v>106</v>
      </c>
      <c r="BS662" t="s">
        <v>11838</v>
      </c>
      <c r="BT662" t="str">
        <f>HYPERLINK("https%3A%2F%2Fwww.webofscience.com%2Fwos%2Fwoscc%2Ffull-record%2FWOS:000338690700018","View Full Record in Web of Science")</f>
        <v>View Full Record in Web of Science</v>
      </c>
    </row>
    <row r="663" spans="1:72" x14ac:dyDescent="0.25">
      <c r="A663" t="s">
        <v>72</v>
      </c>
      <c r="B663" t="s">
        <v>11839</v>
      </c>
      <c r="C663" t="s">
        <v>74</v>
      </c>
      <c r="D663" t="s">
        <v>74</v>
      </c>
      <c r="E663" t="s">
        <v>74</v>
      </c>
      <c r="F663" t="s">
        <v>11840</v>
      </c>
      <c r="G663" t="s">
        <v>74</v>
      </c>
      <c r="H663" t="s">
        <v>74</v>
      </c>
      <c r="I663" s="1" t="s">
        <v>11841</v>
      </c>
      <c r="J663" t="s">
        <v>11842</v>
      </c>
      <c r="K663" t="s">
        <v>74</v>
      </c>
      <c r="L663" t="s">
        <v>74</v>
      </c>
      <c r="M663" t="s">
        <v>78</v>
      </c>
      <c r="N663" t="s">
        <v>79</v>
      </c>
      <c r="O663" t="s">
        <v>74</v>
      </c>
      <c r="P663" t="s">
        <v>74</v>
      </c>
      <c r="Q663" t="s">
        <v>74</v>
      </c>
      <c r="R663" t="s">
        <v>74</v>
      </c>
      <c r="S663" t="s">
        <v>74</v>
      </c>
      <c r="T663" s="1" t="s">
        <v>74</v>
      </c>
      <c r="U663" s="1" t="s">
        <v>74</v>
      </c>
      <c r="V663" s="1" t="s">
        <v>11843</v>
      </c>
      <c r="W663" t="s">
        <v>11844</v>
      </c>
      <c r="X663" t="s">
        <v>74</v>
      </c>
      <c r="Y663" t="s">
        <v>11845</v>
      </c>
      <c r="Z663" t="s">
        <v>11846</v>
      </c>
      <c r="AA663" t="s">
        <v>74</v>
      </c>
      <c r="AB663" t="s">
        <v>74</v>
      </c>
      <c r="AC663" t="s">
        <v>74</v>
      </c>
      <c r="AD663" t="s">
        <v>74</v>
      </c>
      <c r="AE663" t="s">
        <v>74</v>
      </c>
      <c r="AF663" t="s">
        <v>74</v>
      </c>
      <c r="AG663">
        <v>8</v>
      </c>
      <c r="AH663">
        <v>0</v>
      </c>
      <c r="AI663">
        <v>0</v>
      </c>
      <c r="AJ663">
        <v>0</v>
      </c>
      <c r="AK663">
        <v>6</v>
      </c>
      <c r="AL663" t="s">
        <v>11847</v>
      </c>
      <c r="AM663" t="s">
        <v>11848</v>
      </c>
      <c r="AN663" t="s">
        <v>11849</v>
      </c>
      <c r="AO663" t="s">
        <v>11850</v>
      </c>
      <c r="AP663" t="s">
        <v>11851</v>
      </c>
      <c r="AQ663" t="s">
        <v>74</v>
      </c>
      <c r="AR663" t="s">
        <v>11852</v>
      </c>
      <c r="AS663" t="s">
        <v>11853</v>
      </c>
      <c r="AT663" t="s">
        <v>11854</v>
      </c>
      <c r="AU663">
        <v>2014</v>
      </c>
      <c r="AV663">
        <v>61</v>
      </c>
      <c r="AW663">
        <v>2</v>
      </c>
      <c r="AX663" t="s">
        <v>74</v>
      </c>
      <c r="AY663" t="s">
        <v>74</v>
      </c>
      <c r="AZ663" t="s">
        <v>74</v>
      </c>
      <c r="BA663" t="s">
        <v>74</v>
      </c>
      <c r="BB663">
        <v>68</v>
      </c>
      <c r="BC663">
        <v>75</v>
      </c>
      <c r="BD663" t="s">
        <v>74</v>
      </c>
      <c r="BE663" t="s">
        <v>11855</v>
      </c>
      <c r="BF663" t="str">
        <f>HYPERLINK("http://dx.doi.org/10.3196/186429501461221","http://dx.doi.org/10.3196/186429501461221")</f>
        <v>http://dx.doi.org/10.3196/186429501461221</v>
      </c>
      <c r="BG663" t="s">
        <v>74</v>
      </c>
      <c r="BH663" t="s">
        <v>74</v>
      </c>
      <c r="BI663">
        <v>8</v>
      </c>
      <c r="BJ663" t="s">
        <v>3050</v>
      </c>
      <c r="BK663" t="s">
        <v>156</v>
      </c>
      <c r="BL663" t="s">
        <v>3050</v>
      </c>
      <c r="BM663" t="s">
        <v>11856</v>
      </c>
      <c r="BN663" t="s">
        <v>74</v>
      </c>
      <c r="BO663" t="s">
        <v>11017</v>
      </c>
      <c r="BP663" t="s">
        <v>74</v>
      </c>
      <c r="BQ663" t="s">
        <v>74</v>
      </c>
      <c r="BR663" t="s">
        <v>106</v>
      </c>
      <c r="BS663" t="s">
        <v>11857</v>
      </c>
      <c r="BT663" t="str">
        <f>HYPERLINK("https%3A%2F%2Fwww.webofscience.com%2Fwos%2Fwoscc%2Ffull-record%2FWOS:000336886300002","View Full Record in Web of Science")</f>
        <v>View Full Record in Web of Science</v>
      </c>
    </row>
    <row r="664" spans="1:72" x14ac:dyDescent="0.25">
      <c r="A664" t="s">
        <v>72</v>
      </c>
      <c r="B664" t="s">
        <v>11950</v>
      </c>
      <c r="C664" t="s">
        <v>74</v>
      </c>
      <c r="D664" t="s">
        <v>74</v>
      </c>
      <c r="E664" t="s">
        <v>74</v>
      </c>
      <c r="F664" t="s">
        <v>11951</v>
      </c>
      <c r="G664" t="s">
        <v>74</v>
      </c>
      <c r="H664" t="s">
        <v>74</v>
      </c>
      <c r="I664" s="1" t="s">
        <v>11952</v>
      </c>
      <c r="J664" t="s">
        <v>11953</v>
      </c>
      <c r="K664" t="s">
        <v>74</v>
      </c>
      <c r="L664" t="s">
        <v>74</v>
      </c>
      <c r="M664" t="s">
        <v>2751</v>
      </c>
      <c r="N664" t="s">
        <v>79</v>
      </c>
      <c r="O664" t="s">
        <v>74</v>
      </c>
      <c r="P664" t="s">
        <v>74</v>
      </c>
      <c r="Q664" t="s">
        <v>74</v>
      </c>
      <c r="R664" t="s">
        <v>74</v>
      </c>
      <c r="S664" t="s">
        <v>74</v>
      </c>
      <c r="T664" s="1" t="s">
        <v>11954</v>
      </c>
      <c r="U664" s="1" t="s">
        <v>74</v>
      </c>
      <c r="V664" s="1" t="s">
        <v>11955</v>
      </c>
      <c r="W664" t="s">
        <v>11956</v>
      </c>
      <c r="X664" t="s">
        <v>11957</v>
      </c>
      <c r="Y664" t="s">
        <v>11958</v>
      </c>
      <c r="Z664" t="s">
        <v>11959</v>
      </c>
      <c r="AA664" t="s">
        <v>11960</v>
      </c>
      <c r="AB664" t="s">
        <v>11961</v>
      </c>
      <c r="AC664" t="s">
        <v>74</v>
      </c>
      <c r="AD664" t="s">
        <v>74</v>
      </c>
      <c r="AE664" t="s">
        <v>74</v>
      </c>
      <c r="AF664" t="s">
        <v>74</v>
      </c>
      <c r="AG664">
        <v>5</v>
      </c>
      <c r="AH664">
        <v>0</v>
      </c>
      <c r="AI664">
        <v>0</v>
      </c>
      <c r="AJ664">
        <v>0</v>
      </c>
      <c r="AK664">
        <v>0</v>
      </c>
      <c r="AL664" t="s">
        <v>11962</v>
      </c>
      <c r="AM664" t="s">
        <v>2764</v>
      </c>
      <c r="AN664" t="s">
        <v>11963</v>
      </c>
      <c r="AO664" t="s">
        <v>11964</v>
      </c>
      <c r="AP664" t="s">
        <v>11965</v>
      </c>
      <c r="AQ664" t="s">
        <v>74</v>
      </c>
      <c r="AR664" t="s">
        <v>11966</v>
      </c>
      <c r="AS664" t="s">
        <v>11967</v>
      </c>
      <c r="AT664" t="s">
        <v>74</v>
      </c>
      <c r="AU664">
        <v>2014</v>
      </c>
      <c r="AV664" t="s">
        <v>74</v>
      </c>
      <c r="AW664">
        <v>4</v>
      </c>
      <c r="AX664" t="s">
        <v>74</v>
      </c>
      <c r="AY664" t="s">
        <v>74</v>
      </c>
      <c r="AZ664" t="s">
        <v>74</v>
      </c>
      <c r="BA664" t="s">
        <v>74</v>
      </c>
      <c r="BB664">
        <v>75</v>
      </c>
      <c r="BC664">
        <v>85</v>
      </c>
      <c r="BD664" t="s">
        <v>74</v>
      </c>
      <c r="BE664" t="s">
        <v>74</v>
      </c>
      <c r="BF664" t="s">
        <v>74</v>
      </c>
      <c r="BG664" t="s">
        <v>74</v>
      </c>
      <c r="BH664" t="s">
        <v>74</v>
      </c>
      <c r="BI664">
        <v>11</v>
      </c>
      <c r="BJ664" t="s">
        <v>5263</v>
      </c>
      <c r="BK664" t="s">
        <v>183</v>
      </c>
      <c r="BL664" t="s">
        <v>5263</v>
      </c>
      <c r="BM664" t="s">
        <v>11968</v>
      </c>
      <c r="BN664" t="s">
        <v>74</v>
      </c>
      <c r="BO664" t="s">
        <v>74</v>
      </c>
      <c r="BP664" t="s">
        <v>74</v>
      </c>
      <c r="BQ664" t="s">
        <v>74</v>
      </c>
      <c r="BR664" t="s">
        <v>106</v>
      </c>
      <c r="BS664" t="s">
        <v>11969</v>
      </c>
      <c r="BT664" t="str">
        <f>HYPERLINK("https%3A%2F%2Fwww.webofscience.com%2Fwos%2Fwoscc%2Ffull-record%2FWOS:000450054100006","View Full Record in Web of Science")</f>
        <v>View Full Record in Web of Science</v>
      </c>
    </row>
    <row r="665" spans="1:72" x14ac:dyDescent="0.25">
      <c r="A665" t="s">
        <v>72</v>
      </c>
      <c r="B665" t="s">
        <v>12127</v>
      </c>
      <c r="C665" t="s">
        <v>74</v>
      </c>
      <c r="D665" t="s">
        <v>74</v>
      </c>
      <c r="E665" t="s">
        <v>74</v>
      </c>
      <c r="F665" t="s">
        <v>12128</v>
      </c>
      <c r="G665" t="s">
        <v>74</v>
      </c>
      <c r="H665" t="s">
        <v>74</v>
      </c>
      <c r="I665" s="1" t="s">
        <v>12129</v>
      </c>
      <c r="J665" t="s">
        <v>9256</v>
      </c>
      <c r="K665" t="s">
        <v>74</v>
      </c>
      <c r="L665" t="s">
        <v>74</v>
      </c>
      <c r="M665" t="s">
        <v>78</v>
      </c>
      <c r="N665" t="s">
        <v>79</v>
      </c>
      <c r="O665" t="s">
        <v>74</v>
      </c>
      <c r="P665" t="s">
        <v>74</v>
      </c>
      <c r="Q665" t="s">
        <v>74</v>
      </c>
      <c r="R665" t="s">
        <v>74</v>
      </c>
      <c r="S665" t="s">
        <v>74</v>
      </c>
      <c r="T665" s="1" t="s">
        <v>74</v>
      </c>
      <c r="U665" s="1" t="s">
        <v>74</v>
      </c>
      <c r="V665" s="1" t="s">
        <v>12130</v>
      </c>
      <c r="W665" t="s">
        <v>12131</v>
      </c>
      <c r="X665" t="s">
        <v>12132</v>
      </c>
      <c r="Y665" t="s">
        <v>12133</v>
      </c>
      <c r="Z665" t="s">
        <v>12134</v>
      </c>
      <c r="AA665" t="s">
        <v>12135</v>
      </c>
      <c r="AB665" t="s">
        <v>12136</v>
      </c>
      <c r="AC665" t="s">
        <v>74</v>
      </c>
      <c r="AD665" t="s">
        <v>74</v>
      </c>
      <c r="AE665" t="s">
        <v>74</v>
      </c>
      <c r="AF665" t="s">
        <v>74</v>
      </c>
      <c r="AG665">
        <v>2</v>
      </c>
      <c r="AH665">
        <v>0</v>
      </c>
      <c r="AI665">
        <v>0</v>
      </c>
      <c r="AJ665">
        <v>0</v>
      </c>
      <c r="AK665">
        <v>0</v>
      </c>
      <c r="AL665" t="s">
        <v>9263</v>
      </c>
      <c r="AM665" t="s">
        <v>175</v>
      </c>
      <c r="AN665" t="s">
        <v>12137</v>
      </c>
      <c r="AO665" t="s">
        <v>9265</v>
      </c>
      <c r="AP665" t="s">
        <v>74</v>
      </c>
      <c r="AQ665" t="s">
        <v>74</v>
      </c>
      <c r="AR665" t="s">
        <v>9266</v>
      </c>
      <c r="AS665" t="s">
        <v>9267</v>
      </c>
      <c r="AT665" t="s">
        <v>837</v>
      </c>
      <c r="AU665">
        <v>2013</v>
      </c>
      <c r="AV665">
        <v>26</v>
      </c>
      <c r="AW665">
        <v>2</v>
      </c>
      <c r="AX665" t="s">
        <v>74</v>
      </c>
      <c r="AY665" t="s">
        <v>74</v>
      </c>
      <c r="AZ665" t="s">
        <v>74</v>
      </c>
      <c r="BA665" t="s">
        <v>74</v>
      </c>
      <c r="BB665">
        <v>174</v>
      </c>
      <c r="BC665">
        <v>179</v>
      </c>
      <c r="BD665" t="s">
        <v>74</v>
      </c>
      <c r="BE665" t="s">
        <v>12138</v>
      </c>
      <c r="BF665" t="str">
        <f>HYPERLINK("http://dx.doi.org/10.1629/2048-7754.58","http://dx.doi.org/10.1629/2048-7754.58")</f>
        <v>http://dx.doi.org/10.1629/2048-7754.58</v>
      </c>
      <c r="BG665" t="s">
        <v>74</v>
      </c>
      <c r="BH665" t="s">
        <v>74</v>
      </c>
      <c r="BI665">
        <v>6</v>
      </c>
      <c r="BJ665" t="s">
        <v>3050</v>
      </c>
      <c r="BK665" t="s">
        <v>183</v>
      </c>
      <c r="BL665" t="s">
        <v>3050</v>
      </c>
      <c r="BM665" t="s">
        <v>12139</v>
      </c>
      <c r="BN665" t="s">
        <v>74</v>
      </c>
      <c r="BO665" t="s">
        <v>186</v>
      </c>
      <c r="BP665" t="s">
        <v>74</v>
      </c>
      <c r="BQ665" t="s">
        <v>74</v>
      </c>
      <c r="BR665" t="s">
        <v>106</v>
      </c>
      <c r="BS665" t="s">
        <v>12140</v>
      </c>
      <c r="BT665" t="str">
        <f>HYPERLINK("https%3A%2F%2Fwww.webofscience.com%2Fwos%2Fwoscc%2Ffull-record%2FWOS:000436259300014","View Full Record in Web of Science")</f>
        <v>View Full Record in Web of Science</v>
      </c>
    </row>
    <row r="666" spans="1:72" x14ac:dyDescent="0.25">
      <c r="A666" t="s">
        <v>72</v>
      </c>
      <c r="B666" t="s">
        <v>12227</v>
      </c>
      <c r="C666" t="s">
        <v>74</v>
      </c>
      <c r="D666" t="s">
        <v>74</v>
      </c>
      <c r="E666" t="s">
        <v>74</v>
      </c>
      <c r="F666" t="s">
        <v>12228</v>
      </c>
      <c r="G666" t="s">
        <v>74</v>
      </c>
      <c r="H666" t="s">
        <v>74</v>
      </c>
      <c r="I666" s="1" t="s">
        <v>12229</v>
      </c>
      <c r="J666" t="s">
        <v>12230</v>
      </c>
      <c r="K666" t="s">
        <v>74</v>
      </c>
      <c r="L666" t="s">
        <v>74</v>
      </c>
      <c r="M666" t="s">
        <v>78</v>
      </c>
      <c r="N666" t="s">
        <v>79</v>
      </c>
      <c r="O666" t="s">
        <v>74</v>
      </c>
      <c r="P666" t="s">
        <v>74</v>
      </c>
      <c r="Q666" t="s">
        <v>74</v>
      </c>
      <c r="R666" t="s">
        <v>74</v>
      </c>
      <c r="S666" t="s">
        <v>74</v>
      </c>
      <c r="T666" s="1" t="s">
        <v>12231</v>
      </c>
      <c r="U666" s="1" t="s">
        <v>74</v>
      </c>
      <c r="V666" s="1" t="s">
        <v>12232</v>
      </c>
      <c r="W666" t="s">
        <v>12233</v>
      </c>
      <c r="X666" t="s">
        <v>12234</v>
      </c>
      <c r="Y666" t="s">
        <v>12235</v>
      </c>
      <c r="Z666" t="s">
        <v>12236</v>
      </c>
      <c r="AA666" t="s">
        <v>74</v>
      </c>
      <c r="AB666" t="s">
        <v>74</v>
      </c>
      <c r="AC666" t="s">
        <v>74</v>
      </c>
      <c r="AD666" t="s">
        <v>74</v>
      </c>
      <c r="AE666" t="s">
        <v>74</v>
      </c>
      <c r="AF666" t="s">
        <v>74</v>
      </c>
      <c r="AG666">
        <v>12</v>
      </c>
      <c r="AH666">
        <v>0</v>
      </c>
      <c r="AI666">
        <v>1</v>
      </c>
      <c r="AJ666">
        <v>0</v>
      </c>
      <c r="AK666">
        <v>1</v>
      </c>
      <c r="AL666" t="s">
        <v>715</v>
      </c>
      <c r="AM666" t="s">
        <v>716</v>
      </c>
      <c r="AN666" t="s">
        <v>717</v>
      </c>
      <c r="AO666" t="s">
        <v>12237</v>
      </c>
      <c r="AP666" t="s">
        <v>12238</v>
      </c>
      <c r="AQ666" t="s">
        <v>74</v>
      </c>
      <c r="AR666" t="s">
        <v>12239</v>
      </c>
      <c r="AS666" t="s">
        <v>12240</v>
      </c>
      <c r="AT666" t="s">
        <v>74</v>
      </c>
      <c r="AU666">
        <v>2013</v>
      </c>
      <c r="AV666">
        <v>34</v>
      </c>
      <c r="AW666" t="s">
        <v>12241</v>
      </c>
      <c r="AX666" t="s">
        <v>74</v>
      </c>
      <c r="AY666" t="s">
        <v>74</v>
      </c>
      <c r="AZ666" t="s">
        <v>1020</v>
      </c>
      <c r="BA666" t="s">
        <v>74</v>
      </c>
      <c r="BB666">
        <v>290</v>
      </c>
      <c r="BC666">
        <v>298</v>
      </c>
      <c r="BD666" t="s">
        <v>74</v>
      </c>
      <c r="BE666" t="s">
        <v>12242</v>
      </c>
      <c r="BF666" t="str">
        <f>HYPERLINK("http://dx.doi.org/10.1108/01435121311328636","http://dx.doi.org/10.1108/01435121311328636")</f>
        <v>http://dx.doi.org/10.1108/01435121311328636</v>
      </c>
      <c r="BG666" t="s">
        <v>74</v>
      </c>
      <c r="BH666" t="s">
        <v>74</v>
      </c>
      <c r="BI666">
        <v>9</v>
      </c>
      <c r="BJ666" t="s">
        <v>3050</v>
      </c>
      <c r="BK666" t="s">
        <v>183</v>
      </c>
      <c r="BL666" t="s">
        <v>3050</v>
      </c>
      <c r="BM666" t="s">
        <v>12243</v>
      </c>
      <c r="BN666" t="s">
        <v>74</v>
      </c>
      <c r="BO666" t="s">
        <v>74</v>
      </c>
      <c r="BP666" t="s">
        <v>74</v>
      </c>
      <c r="BQ666" t="s">
        <v>74</v>
      </c>
      <c r="BR666" t="s">
        <v>106</v>
      </c>
      <c r="BS666" t="s">
        <v>12244</v>
      </c>
      <c r="BT666" t="str">
        <f>HYPERLINK("https%3A%2F%2Fwww.webofscience.com%2Fwos%2Fwoscc%2Ffull-record%2FWOS:000213138200003","View Full Record in Web of Science")</f>
        <v>View Full Record in Web of Science</v>
      </c>
    </row>
    <row r="667" spans="1:72" x14ac:dyDescent="0.25">
      <c r="A667" t="s">
        <v>72</v>
      </c>
      <c r="B667" t="s">
        <v>12279</v>
      </c>
      <c r="C667" t="s">
        <v>74</v>
      </c>
      <c r="D667" t="s">
        <v>74</v>
      </c>
      <c r="E667" t="s">
        <v>74</v>
      </c>
      <c r="F667" t="s">
        <v>12280</v>
      </c>
      <c r="G667" t="s">
        <v>74</v>
      </c>
      <c r="H667" t="s">
        <v>74</v>
      </c>
      <c r="I667" s="1" t="s">
        <v>12281</v>
      </c>
      <c r="J667" t="s">
        <v>10827</v>
      </c>
      <c r="K667" t="s">
        <v>74</v>
      </c>
      <c r="L667" t="s">
        <v>74</v>
      </c>
      <c r="M667" t="s">
        <v>78</v>
      </c>
      <c r="N667" t="s">
        <v>79</v>
      </c>
      <c r="O667" t="s">
        <v>74</v>
      </c>
      <c r="P667" t="s">
        <v>74</v>
      </c>
      <c r="Q667" t="s">
        <v>74</v>
      </c>
      <c r="R667" t="s">
        <v>74</v>
      </c>
      <c r="S667" t="s">
        <v>74</v>
      </c>
      <c r="T667" s="1" t="s">
        <v>74</v>
      </c>
      <c r="U667" s="1" t="s">
        <v>74</v>
      </c>
      <c r="V667" s="1" t="s">
        <v>74</v>
      </c>
      <c r="W667" t="s">
        <v>74</v>
      </c>
      <c r="X667" t="s">
        <v>74</v>
      </c>
      <c r="Y667" t="s">
        <v>74</v>
      </c>
      <c r="Z667" t="s">
        <v>12282</v>
      </c>
      <c r="AA667" t="s">
        <v>74</v>
      </c>
      <c r="AB667" t="s">
        <v>74</v>
      </c>
      <c r="AC667" t="s">
        <v>74</v>
      </c>
      <c r="AD667" t="s">
        <v>74</v>
      </c>
      <c r="AE667" t="s">
        <v>74</v>
      </c>
      <c r="AF667" t="s">
        <v>74</v>
      </c>
      <c r="AG667">
        <v>0</v>
      </c>
      <c r="AH667">
        <v>0</v>
      </c>
      <c r="AI667">
        <v>0</v>
      </c>
      <c r="AJ667">
        <v>0</v>
      </c>
      <c r="AK667">
        <v>1</v>
      </c>
      <c r="AL667" t="s">
        <v>10833</v>
      </c>
      <c r="AM667" t="s">
        <v>3016</v>
      </c>
      <c r="AN667" t="s">
        <v>3017</v>
      </c>
      <c r="AO667" t="s">
        <v>10834</v>
      </c>
      <c r="AP667" t="s">
        <v>10835</v>
      </c>
      <c r="AQ667" t="s">
        <v>74</v>
      </c>
      <c r="AR667" t="s">
        <v>10836</v>
      </c>
      <c r="AS667" t="s">
        <v>10837</v>
      </c>
      <c r="AT667" t="s">
        <v>74</v>
      </c>
      <c r="AU667">
        <v>2012</v>
      </c>
      <c r="AV667">
        <v>23</v>
      </c>
      <c r="AW667">
        <v>1</v>
      </c>
      <c r="AX667" t="s">
        <v>74</v>
      </c>
      <c r="AY667" t="s">
        <v>74</v>
      </c>
      <c r="AZ667" t="s">
        <v>74</v>
      </c>
      <c r="BA667" t="s">
        <v>74</v>
      </c>
      <c r="BB667">
        <v>13</v>
      </c>
      <c r="BC667">
        <v>15</v>
      </c>
      <c r="BD667" t="s">
        <v>74</v>
      </c>
      <c r="BE667" t="s">
        <v>12283</v>
      </c>
      <c r="BF667" t="str">
        <f>HYPERLINK("http://dx.doi.org/10.1163/095796512X640367","http://dx.doi.org/10.1163/095796512X640367")</f>
        <v>http://dx.doi.org/10.1163/095796512X640367</v>
      </c>
      <c r="BG667" t="s">
        <v>74</v>
      </c>
      <c r="BH667" t="s">
        <v>74</v>
      </c>
      <c r="BI667">
        <v>3</v>
      </c>
      <c r="BJ667" t="s">
        <v>2192</v>
      </c>
      <c r="BK667" t="s">
        <v>183</v>
      </c>
      <c r="BL667" t="s">
        <v>2193</v>
      </c>
      <c r="BM667" t="s">
        <v>12284</v>
      </c>
      <c r="BN667" t="s">
        <v>74</v>
      </c>
      <c r="BO667" t="s">
        <v>74</v>
      </c>
      <c r="BP667" t="s">
        <v>74</v>
      </c>
      <c r="BQ667" t="s">
        <v>74</v>
      </c>
      <c r="BR667" t="s">
        <v>106</v>
      </c>
      <c r="BS667" t="s">
        <v>12285</v>
      </c>
      <c r="BT667" t="str">
        <f>HYPERLINK("https%3A%2F%2Fwww.webofscience.com%2Fwos%2Fwoscc%2Ffull-record%2FWOS:000217877300003","View Full Record in Web of Science")</f>
        <v>View Full Record in Web of Science</v>
      </c>
    </row>
    <row r="668" spans="1:72" x14ac:dyDescent="0.25">
      <c r="A668" t="s">
        <v>477</v>
      </c>
      <c r="B668" t="s">
        <v>12286</v>
      </c>
      <c r="C668" t="s">
        <v>74</v>
      </c>
      <c r="D668" t="s">
        <v>74</v>
      </c>
      <c r="E668" t="s">
        <v>11685</v>
      </c>
      <c r="F668" t="s">
        <v>12287</v>
      </c>
      <c r="G668" t="s">
        <v>74</v>
      </c>
      <c r="H668" t="s">
        <v>74</v>
      </c>
      <c r="I668" s="1" t="s">
        <v>12288</v>
      </c>
      <c r="J668" t="s">
        <v>12289</v>
      </c>
      <c r="K668" t="s">
        <v>74</v>
      </c>
      <c r="L668" t="s">
        <v>74</v>
      </c>
      <c r="M668" t="s">
        <v>78</v>
      </c>
      <c r="N668" t="s">
        <v>4932</v>
      </c>
      <c r="O668" t="s">
        <v>74</v>
      </c>
      <c r="P668" t="s">
        <v>74</v>
      </c>
      <c r="Q668" t="s">
        <v>74</v>
      </c>
      <c r="R668" t="s">
        <v>74</v>
      </c>
      <c r="S668" t="s">
        <v>74</v>
      </c>
      <c r="T668" s="1" t="s">
        <v>74</v>
      </c>
      <c r="U668" s="1" t="s">
        <v>12290</v>
      </c>
      <c r="V668" s="1" t="s">
        <v>12291</v>
      </c>
      <c r="W668" t="s">
        <v>12292</v>
      </c>
      <c r="X668" t="s">
        <v>12293</v>
      </c>
      <c r="Y668" t="s">
        <v>12294</v>
      </c>
      <c r="Z668" t="s">
        <v>74</v>
      </c>
      <c r="AA668" t="s">
        <v>12295</v>
      </c>
      <c r="AB668" t="s">
        <v>12296</v>
      </c>
      <c r="AC668" t="s">
        <v>74</v>
      </c>
      <c r="AD668" t="s">
        <v>74</v>
      </c>
      <c r="AE668" t="s">
        <v>74</v>
      </c>
      <c r="AF668" t="s">
        <v>74</v>
      </c>
      <c r="AG668">
        <v>113</v>
      </c>
      <c r="AH668">
        <v>0</v>
      </c>
      <c r="AI668">
        <v>0</v>
      </c>
      <c r="AJ668">
        <v>0</v>
      </c>
      <c r="AK668">
        <v>3</v>
      </c>
      <c r="AL668" t="s">
        <v>2573</v>
      </c>
      <c r="AM668" t="s">
        <v>11695</v>
      </c>
      <c r="AN668" t="s">
        <v>11696</v>
      </c>
      <c r="AO668" t="s">
        <v>74</v>
      </c>
      <c r="AP668" t="s">
        <v>74</v>
      </c>
      <c r="AQ668" t="s">
        <v>12297</v>
      </c>
      <c r="AR668" t="s">
        <v>74</v>
      </c>
      <c r="AS668" t="s">
        <v>74</v>
      </c>
      <c r="AT668" t="s">
        <v>74</v>
      </c>
      <c r="AU668">
        <v>2012</v>
      </c>
      <c r="AV668" t="s">
        <v>74</v>
      </c>
      <c r="AW668" t="s">
        <v>74</v>
      </c>
      <c r="AX668" t="s">
        <v>74</v>
      </c>
      <c r="AY668" t="s">
        <v>74</v>
      </c>
      <c r="AZ668" t="s">
        <v>74</v>
      </c>
      <c r="BA668" t="s">
        <v>74</v>
      </c>
      <c r="BB668">
        <v>1554</v>
      </c>
      <c r="BC668">
        <v>1579</v>
      </c>
      <c r="BD668" t="s">
        <v>74</v>
      </c>
      <c r="BE668" t="s">
        <v>12298</v>
      </c>
      <c r="BF668" t="str">
        <f>HYPERLINK("http://dx.doi.org/10.4018/978-1-4666-1740-7.ch077","http://dx.doi.org/10.4018/978-1-4666-1740-7.ch077")</f>
        <v>http://dx.doi.org/10.4018/978-1-4666-1740-7.ch077</v>
      </c>
      <c r="BG668" t="s">
        <v>12299</v>
      </c>
      <c r="BH668" t="s">
        <v>74</v>
      </c>
      <c r="BI668">
        <v>26</v>
      </c>
      <c r="BJ668" t="s">
        <v>12300</v>
      </c>
      <c r="BK668" t="s">
        <v>9423</v>
      </c>
      <c r="BL668" t="s">
        <v>10117</v>
      </c>
      <c r="BM668" t="s">
        <v>12301</v>
      </c>
      <c r="BN668" t="s">
        <v>74</v>
      </c>
      <c r="BO668" t="s">
        <v>74</v>
      </c>
      <c r="BP668" t="s">
        <v>74</v>
      </c>
      <c r="BQ668" t="s">
        <v>74</v>
      </c>
      <c r="BR668" t="s">
        <v>106</v>
      </c>
      <c r="BS668" t="s">
        <v>12302</v>
      </c>
      <c r="BT668" t="str">
        <f>HYPERLINK("https%3A%2F%2Fwww.webofscience.com%2Fwos%2Fwoscc%2Ffull-record%2FWOS:000428175800079","View Full Record in Web of Science")</f>
        <v>View Full Record in Web of Science</v>
      </c>
    </row>
    <row r="669" spans="1:72" x14ac:dyDescent="0.25">
      <c r="A669" t="s">
        <v>72</v>
      </c>
      <c r="B669" t="s">
        <v>12303</v>
      </c>
      <c r="C669" t="s">
        <v>74</v>
      </c>
      <c r="D669" t="s">
        <v>74</v>
      </c>
      <c r="E669" t="s">
        <v>74</v>
      </c>
      <c r="F669" t="s">
        <v>12304</v>
      </c>
      <c r="G669" t="s">
        <v>74</v>
      </c>
      <c r="H669" t="s">
        <v>74</v>
      </c>
      <c r="I669" s="1" t="s">
        <v>12305</v>
      </c>
      <c r="J669" t="s">
        <v>10827</v>
      </c>
      <c r="K669" t="s">
        <v>74</v>
      </c>
      <c r="L669" t="s">
        <v>74</v>
      </c>
      <c r="M669" t="s">
        <v>78</v>
      </c>
      <c r="N669" t="s">
        <v>79</v>
      </c>
      <c r="O669" t="s">
        <v>74</v>
      </c>
      <c r="P669" t="s">
        <v>74</v>
      </c>
      <c r="Q669" t="s">
        <v>74</v>
      </c>
      <c r="R669" t="s">
        <v>74</v>
      </c>
      <c r="S669" t="s">
        <v>74</v>
      </c>
      <c r="T669" s="1" t="s">
        <v>12306</v>
      </c>
      <c r="U669" s="1" t="s">
        <v>74</v>
      </c>
      <c r="V669" s="1" t="s">
        <v>12307</v>
      </c>
      <c r="W669" t="s">
        <v>12308</v>
      </c>
      <c r="X669" t="s">
        <v>11926</v>
      </c>
      <c r="Y669" t="s">
        <v>12309</v>
      </c>
      <c r="Z669" t="s">
        <v>12310</v>
      </c>
      <c r="AA669" t="s">
        <v>74</v>
      </c>
      <c r="AB669" t="s">
        <v>74</v>
      </c>
      <c r="AC669" t="s">
        <v>74</v>
      </c>
      <c r="AD669" t="s">
        <v>74</v>
      </c>
      <c r="AE669" t="s">
        <v>74</v>
      </c>
      <c r="AF669" t="s">
        <v>74</v>
      </c>
      <c r="AG669">
        <v>11</v>
      </c>
      <c r="AH669">
        <v>0</v>
      </c>
      <c r="AI669">
        <v>0</v>
      </c>
      <c r="AJ669">
        <v>0</v>
      </c>
      <c r="AK669">
        <v>0</v>
      </c>
      <c r="AL669" t="s">
        <v>3015</v>
      </c>
      <c r="AM669" t="s">
        <v>3016</v>
      </c>
      <c r="AN669" t="s">
        <v>3017</v>
      </c>
      <c r="AO669" t="s">
        <v>10834</v>
      </c>
      <c r="AP669" t="s">
        <v>10835</v>
      </c>
      <c r="AQ669" t="s">
        <v>74</v>
      </c>
      <c r="AR669" t="s">
        <v>10836</v>
      </c>
      <c r="AS669" t="s">
        <v>10837</v>
      </c>
      <c r="AT669" t="s">
        <v>74</v>
      </c>
      <c r="AU669">
        <v>2012</v>
      </c>
      <c r="AV669">
        <v>23</v>
      </c>
      <c r="AW669">
        <v>3</v>
      </c>
      <c r="AX669" t="s">
        <v>74</v>
      </c>
      <c r="AY669" t="s">
        <v>74</v>
      </c>
      <c r="AZ669" t="s">
        <v>74</v>
      </c>
      <c r="BA669" t="s">
        <v>74</v>
      </c>
      <c r="BB669">
        <v>48</v>
      </c>
      <c r="BC669">
        <v>55</v>
      </c>
      <c r="BD669" t="s">
        <v>74</v>
      </c>
      <c r="BE669" t="s">
        <v>12311</v>
      </c>
      <c r="BF669" t="str">
        <f>HYPERLINK("http://dx.doi.org/10.1163/1878-4712-11111123","http://dx.doi.org/10.1163/1878-4712-11111123")</f>
        <v>http://dx.doi.org/10.1163/1878-4712-11111123</v>
      </c>
      <c r="BG669" t="s">
        <v>74</v>
      </c>
      <c r="BH669" t="s">
        <v>74</v>
      </c>
      <c r="BI669">
        <v>8</v>
      </c>
      <c r="BJ669" t="s">
        <v>2192</v>
      </c>
      <c r="BK669" t="s">
        <v>183</v>
      </c>
      <c r="BL669" t="s">
        <v>2193</v>
      </c>
      <c r="BM669" t="s">
        <v>12312</v>
      </c>
      <c r="BN669" t="s">
        <v>74</v>
      </c>
      <c r="BO669" t="s">
        <v>74</v>
      </c>
      <c r="BP669" t="s">
        <v>74</v>
      </c>
      <c r="BQ669" t="s">
        <v>74</v>
      </c>
      <c r="BR669" t="s">
        <v>106</v>
      </c>
      <c r="BS669" t="s">
        <v>12313</v>
      </c>
      <c r="BT669" t="str">
        <f>HYPERLINK("https%3A%2F%2Fwww.webofscience.com%2Fwos%2Fwoscc%2Ffull-record%2FWOS:000217879200006","View Full Record in Web of Science")</f>
        <v>View Full Record in Web of Science</v>
      </c>
    </row>
    <row r="670" spans="1:72" x14ac:dyDescent="0.25">
      <c r="A670" t="s">
        <v>72</v>
      </c>
      <c r="B670" t="s">
        <v>12324</v>
      </c>
      <c r="C670" t="s">
        <v>74</v>
      </c>
      <c r="D670" t="s">
        <v>74</v>
      </c>
      <c r="E670" t="s">
        <v>74</v>
      </c>
      <c r="F670" t="s">
        <v>12325</v>
      </c>
      <c r="G670" t="s">
        <v>74</v>
      </c>
      <c r="H670" t="s">
        <v>74</v>
      </c>
      <c r="I670" s="1" t="s">
        <v>12326</v>
      </c>
      <c r="J670" t="s">
        <v>7146</v>
      </c>
      <c r="K670" t="s">
        <v>74</v>
      </c>
      <c r="L670" t="s">
        <v>74</v>
      </c>
      <c r="M670" t="s">
        <v>929</v>
      </c>
      <c r="N670" t="s">
        <v>79</v>
      </c>
      <c r="O670" t="s">
        <v>74</v>
      </c>
      <c r="P670" t="s">
        <v>74</v>
      </c>
      <c r="Q670" t="s">
        <v>74</v>
      </c>
      <c r="R670" t="s">
        <v>74</v>
      </c>
      <c r="S670" t="s">
        <v>74</v>
      </c>
      <c r="T670" s="1" t="s">
        <v>12327</v>
      </c>
      <c r="U670" s="1" t="s">
        <v>74</v>
      </c>
      <c r="V670" s="1" t="s">
        <v>12328</v>
      </c>
      <c r="W670" t="s">
        <v>12329</v>
      </c>
      <c r="X670" t="s">
        <v>10892</v>
      </c>
      <c r="Y670" t="s">
        <v>12330</v>
      </c>
      <c r="Z670" t="s">
        <v>12331</v>
      </c>
      <c r="AA670" t="s">
        <v>74</v>
      </c>
      <c r="AB670" t="s">
        <v>74</v>
      </c>
      <c r="AC670" t="s">
        <v>74</v>
      </c>
      <c r="AD670" t="s">
        <v>74</v>
      </c>
      <c r="AE670" t="s">
        <v>74</v>
      </c>
      <c r="AF670" t="s">
        <v>74</v>
      </c>
      <c r="AG670">
        <v>24</v>
      </c>
      <c r="AH670">
        <v>0</v>
      </c>
      <c r="AI670">
        <v>0</v>
      </c>
      <c r="AJ670">
        <v>0</v>
      </c>
      <c r="AK670">
        <v>0</v>
      </c>
      <c r="AL670" t="s">
        <v>5192</v>
      </c>
      <c r="AM670" t="s">
        <v>4514</v>
      </c>
      <c r="AN670" t="s">
        <v>5193</v>
      </c>
      <c r="AO670" t="s">
        <v>7155</v>
      </c>
      <c r="AP670" t="s">
        <v>74</v>
      </c>
      <c r="AQ670" t="s">
        <v>74</v>
      </c>
      <c r="AR670" t="s">
        <v>7156</v>
      </c>
      <c r="AS670" t="s">
        <v>7157</v>
      </c>
      <c r="AT670" t="s">
        <v>476</v>
      </c>
      <c r="AU670">
        <v>2011</v>
      </c>
      <c r="AV670" t="s">
        <v>74</v>
      </c>
      <c r="AW670">
        <v>117</v>
      </c>
      <c r="AX670" t="s">
        <v>74</v>
      </c>
      <c r="AY670" t="s">
        <v>74</v>
      </c>
      <c r="AZ670" t="s">
        <v>74</v>
      </c>
      <c r="BA670" t="s">
        <v>74</v>
      </c>
      <c r="BB670">
        <v>327</v>
      </c>
      <c r="BC670">
        <v>336</v>
      </c>
      <c r="BD670" t="s">
        <v>74</v>
      </c>
      <c r="BE670" t="s">
        <v>12332</v>
      </c>
      <c r="BF670" t="str">
        <f>HYPERLINK("http://dx.doi.org/10.15178/va.2011.117E.327-336","http://dx.doi.org/10.15178/va.2011.117E.327-336")</f>
        <v>http://dx.doi.org/10.15178/va.2011.117E.327-336</v>
      </c>
      <c r="BG670" t="s">
        <v>74</v>
      </c>
      <c r="BH670" t="s">
        <v>74</v>
      </c>
      <c r="BI670">
        <v>10</v>
      </c>
      <c r="BJ670" t="s">
        <v>2218</v>
      </c>
      <c r="BK670" t="s">
        <v>183</v>
      </c>
      <c r="BL670" t="s">
        <v>2218</v>
      </c>
      <c r="BM670" t="s">
        <v>12333</v>
      </c>
      <c r="BN670" t="s">
        <v>74</v>
      </c>
      <c r="BO670" t="s">
        <v>2730</v>
      </c>
      <c r="BP670" t="s">
        <v>74</v>
      </c>
      <c r="BQ670" t="s">
        <v>74</v>
      </c>
      <c r="BR670" t="s">
        <v>106</v>
      </c>
      <c r="BS670" t="s">
        <v>12334</v>
      </c>
      <c r="BT670" t="str">
        <f>HYPERLINK("https%3A%2F%2Fwww.webofscience.com%2Fwos%2Fwoscc%2Ffull-record%2FWOS:000215545600021","View Full Record in Web of Science")</f>
        <v>View Full Record in Web of Science</v>
      </c>
    </row>
    <row r="671" spans="1:72" x14ac:dyDescent="0.25">
      <c r="A671" t="s">
        <v>72</v>
      </c>
      <c r="B671" t="s">
        <v>12345</v>
      </c>
      <c r="C671" t="s">
        <v>74</v>
      </c>
      <c r="D671" t="s">
        <v>74</v>
      </c>
      <c r="E671" t="s">
        <v>74</v>
      </c>
      <c r="F671" t="s">
        <v>12346</v>
      </c>
      <c r="G671" t="s">
        <v>74</v>
      </c>
      <c r="H671" t="s">
        <v>74</v>
      </c>
      <c r="I671" s="1" t="s">
        <v>12347</v>
      </c>
      <c r="J671" t="s">
        <v>12348</v>
      </c>
      <c r="K671" t="s">
        <v>74</v>
      </c>
      <c r="L671" t="s">
        <v>74</v>
      </c>
      <c r="M671" t="s">
        <v>2896</v>
      </c>
      <c r="N671" t="s">
        <v>79</v>
      </c>
      <c r="O671" t="s">
        <v>74</v>
      </c>
      <c r="P671" t="s">
        <v>74</v>
      </c>
      <c r="Q671" t="s">
        <v>74</v>
      </c>
      <c r="R671" t="s">
        <v>74</v>
      </c>
      <c r="S671" t="s">
        <v>74</v>
      </c>
      <c r="T671" s="1" t="s">
        <v>12349</v>
      </c>
      <c r="U671" s="1" t="s">
        <v>74</v>
      </c>
      <c r="V671" s="1" t="s">
        <v>12350</v>
      </c>
      <c r="W671" t="s">
        <v>12351</v>
      </c>
      <c r="X671" t="s">
        <v>12352</v>
      </c>
      <c r="Y671" t="s">
        <v>12353</v>
      </c>
      <c r="Z671" t="s">
        <v>12354</v>
      </c>
      <c r="AA671" t="s">
        <v>74</v>
      </c>
      <c r="AB671" t="s">
        <v>74</v>
      </c>
      <c r="AC671" t="s">
        <v>74</v>
      </c>
      <c r="AD671" t="s">
        <v>74</v>
      </c>
      <c r="AE671" t="s">
        <v>74</v>
      </c>
      <c r="AF671" t="s">
        <v>74</v>
      </c>
      <c r="AG671">
        <v>23</v>
      </c>
      <c r="AH671">
        <v>0</v>
      </c>
      <c r="AI671">
        <v>0</v>
      </c>
      <c r="AJ671">
        <v>0</v>
      </c>
      <c r="AK671">
        <v>1</v>
      </c>
      <c r="AL671" t="s">
        <v>12355</v>
      </c>
      <c r="AM671" t="s">
        <v>2281</v>
      </c>
      <c r="AN671" t="s">
        <v>12356</v>
      </c>
      <c r="AO671" t="s">
        <v>12357</v>
      </c>
      <c r="AP671" t="s">
        <v>74</v>
      </c>
      <c r="AQ671" t="s">
        <v>74</v>
      </c>
      <c r="AR671" t="s">
        <v>12358</v>
      </c>
      <c r="AS671" t="s">
        <v>12359</v>
      </c>
      <c r="AT671" t="s">
        <v>376</v>
      </c>
      <c r="AU671">
        <v>2011</v>
      </c>
      <c r="AV671">
        <v>10</v>
      </c>
      <c r="AW671">
        <v>3</v>
      </c>
      <c r="AX671" t="s">
        <v>74</v>
      </c>
      <c r="AY671" t="s">
        <v>74</v>
      </c>
      <c r="AZ671" t="s">
        <v>74</v>
      </c>
      <c r="BA671" t="s">
        <v>74</v>
      </c>
      <c r="BB671">
        <v>107</v>
      </c>
      <c r="BC671">
        <v>126</v>
      </c>
      <c r="BD671" t="s">
        <v>74</v>
      </c>
      <c r="BE671" t="s">
        <v>74</v>
      </c>
      <c r="BF671" t="s">
        <v>74</v>
      </c>
      <c r="BG671" t="s">
        <v>74</v>
      </c>
      <c r="BH671" t="s">
        <v>74</v>
      </c>
      <c r="BI671">
        <v>20</v>
      </c>
      <c r="BJ671" t="s">
        <v>1023</v>
      </c>
      <c r="BK671" t="s">
        <v>183</v>
      </c>
      <c r="BL671" t="s">
        <v>265</v>
      </c>
      <c r="BM671" t="s">
        <v>12360</v>
      </c>
      <c r="BN671" t="s">
        <v>74</v>
      </c>
      <c r="BO671" t="s">
        <v>74</v>
      </c>
      <c r="BP671" t="s">
        <v>74</v>
      </c>
      <c r="BQ671" t="s">
        <v>74</v>
      </c>
      <c r="BR671" t="s">
        <v>106</v>
      </c>
      <c r="BS671" t="s">
        <v>12361</v>
      </c>
      <c r="BT671" t="str">
        <f>HYPERLINK("https%3A%2F%2Fwww.webofscience.com%2Fwos%2Fwoscc%2Ffull-record%2FWOS:000219830900007","View Full Record in Web of Science")</f>
        <v>View Full Record in Web of Science</v>
      </c>
    </row>
    <row r="672" spans="1:72" x14ac:dyDescent="0.25">
      <c r="A672" t="s">
        <v>72</v>
      </c>
      <c r="B672" t="s">
        <v>12620</v>
      </c>
      <c r="C672" t="s">
        <v>74</v>
      </c>
      <c r="D672" t="s">
        <v>74</v>
      </c>
      <c r="E672" t="s">
        <v>74</v>
      </c>
      <c r="F672" t="s">
        <v>12621</v>
      </c>
      <c r="G672" t="s">
        <v>74</v>
      </c>
      <c r="H672" t="s">
        <v>74</v>
      </c>
      <c r="I672" s="1" t="s">
        <v>12622</v>
      </c>
      <c r="J672" t="s">
        <v>4195</v>
      </c>
      <c r="K672" t="s">
        <v>74</v>
      </c>
      <c r="L672" t="s">
        <v>74</v>
      </c>
      <c r="M672" t="s">
        <v>78</v>
      </c>
      <c r="N672" t="s">
        <v>79</v>
      </c>
      <c r="O672" t="s">
        <v>74</v>
      </c>
      <c r="P672" t="s">
        <v>74</v>
      </c>
      <c r="Q672" t="s">
        <v>74</v>
      </c>
      <c r="R672" t="s">
        <v>74</v>
      </c>
      <c r="S672" t="s">
        <v>74</v>
      </c>
      <c r="T672" s="1" t="s">
        <v>12623</v>
      </c>
      <c r="U672" s="1" t="s">
        <v>74</v>
      </c>
      <c r="V672" s="1" t="s">
        <v>12624</v>
      </c>
      <c r="W672" t="s">
        <v>12625</v>
      </c>
      <c r="X672" t="s">
        <v>74</v>
      </c>
      <c r="Y672" t="s">
        <v>12626</v>
      </c>
      <c r="Z672" t="s">
        <v>12627</v>
      </c>
      <c r="AA672" t="s">
        <v>74</v>
      </c>
      <c r="AB672" t="s">
        <v>74</v>
      </c>
      <c r="AC672" t="s">
        <v>74</v>
      </c>
      <c r="AD672" t="s">
        <v>74</v>
      </c>
      <c r="AE672" t="s">
        <v>74</v>
      </c>
      <c r="AF672" t="s">
        <v>74</v>
      </c>
      <c r="AG672">
        <v>5</v>
      </c>
      <c r="AH672">
        <v>0</v>
      </c>
      <c r="AI672">
        <v>0</v>
      </c>
      <c r="AJ672">
        <v>0</v>
      </c>
      <c r="AK672">
        <v>0</v>
      </c>
      <c r="AL672" t="s">
        <v>492</v>
      </c>
      <c r="AM672" t="s">
        <v>493</v>
      </c>
      <c r="AN672" t="s">
        <v>494</v>
      </c>
      <c r="AO672" t="s">
        <v>4206</v>
      </c>
      <c r="AP672" t="s">
        <v>4207</v>
      </c>
      <c r="AQ672" t="s">
        <v>74</v>
      </c>
      <c r="AR672" t="s">
        <v>4208</v>
      </c>
      <c r="AS672" t="s">
        <v>4209</v>
      </c>
      <c r="AT672" t="s">
        <v>74</v>
      </c>
      <c r="AU672">
        <v>2009</v>
      </c>
      <c r="AV672">
        <v>28</v>
      </c>
      <c r="AW672">
        <v>3</v>
      </c>
      <c r="AX672" t="s">
        <v>74</v>
      </c>
      <c r="AY672" t="s">
        <v>74</v>
      </c>
      <c r="AZ672" t="s">
        <v>74</v>
      </c>
      <c r="BA672" t="s">
        <v>74</v>
      </c>
      <c r="BB672">
        <v>193</v>
      </c>
      <c r="BC672">
        <v>203</v>
      </c>
      <c r="BD672" t="s">
        <v>74</v>
      </c>
      <c r="BE672" t="s">
        <v>12628</v>
      </c>
      <c r="BF672" t="str">
        <f>HYPERLINK("http://dx.doi.org/10.1080/01616840903106949","http://dx.doi.org/10.1080/01616840903106949")</f>
        <v>http://dx.doi.org/10.1080/01616840903106949</v>
      </c>
      <c r="BG672" t="s">
        <v>74</v>
      </c>
      <c r="BH672" t="s">
        <v>74</v>
      </c>
      <c r="BI672">
        <v>11</v>
      </c>
      <c r="BJ672" t="s">
        <v>3050</v>
      </c>
      <c r="BK672" t="s">
        <v>183</v>
      </c>
      <c r="BL672" t="s">
        <v>3050</v>
      </c>
      <c r="BM672" t="s">
        <v>12629</v>
      </c>
      <c r="BN672" t="s">
        <v>74</v>
      </c>
      <c r="BO672" t="s">
        <v>74</v>
      </c>
      <c r="BP672" t="s">
        <v>74</v>
      </c>
      <c r="BQ672" t="s">
        <v>74</v>
      </c>
      <c r="BR672" t="s">
        <v>106</v>
      </c>
      <c r="BS672" t="s">
        <v>12630</v>
      </c>
      <c r="BT672" t="str">
        <f>HYPERLINK("https%3A%2F%2Fwww.webofscience.com%2Fwos%2Fwoscc%2Ffull-record%2FWOS:000415426800001","View Full Record in Web of Science")</f>
        <v>View Full Record in Web of Science</v>
      </c>
    </row>
    <row r="673" spans="1:72" x14ac:dyDescent="0.25">
      <c r="A673" t="s">
        <v>72</v>
      </c>
      <c r="B673" t="s">
        <v>12652</v>
      </c>
      <c r="C673" t="s">
        <v>74</v>
      </c>
      <c r="D673" t="s">
        <v>74</v>
      </c>
      <c r="E673" t="s">
        <v>74</v>
      </c>
      <c r="F673" t="s">
        <v>12653</v>
      </c>
      <c r="G673" t="s">
        <v>74</v>
      </c>
      <c r="H673" t="s">
        <v>74</v>
      </c>
      <c r="I673" s="1" t="s">
        <v>12654</v>
      </c>
      <c r="J673" t="s">
        <v>7087</v>
      </c>
      <c r="K673" t="s">
        <v>74</v>
      </c>
      <c r="L673" t="s">
        <v>74</v>
      </c>
      <c r="M673" t="s">
        <v>929</v>
      </c>
      <c r="N673" t="s">
        <v>79</v>
      </c>
      <c r="O673" t="s">
        <v>74</v>
      </c>
      <c r="P673" t="s">
        <v>74</v>
      </c>
      <c r="Q673" t="s">
        <v>74</v>
      </c>
      <c r="R673" t="s">
        <v>74</v>
      </c>
      <c r="S673" t="s">
        <v>74</v>
      </c>
      <c r="T673" s="1" t="s">
        <v>12655</v>
      </c>
      <c r="U673" s="1" t="s">
        <v>74</v>
      </c>
      <c r="V673" s="1" t="s">
        <v>12656</v>
      </c>
      <c r="W673" t="s">
        <v>12657</v>
      </c>
      <c r="X673" t="s">
        <v>12658</v>
      </c>
      <c r="Y673" t="s">
        <v>12659</v>
      </c>
      <c r="Z673" t="s">
        <v>12660</v>
      </c>
      <c r="AA673" t="s">
        <v>12661</v>
      </c>
      <c r="AB673" t="s">
        <v>12662</v>
      </c>
      <c r="AC673" t="s">
        <v>74</v>
      </c>
      <c r="AD673" t="s">
        <v>74</v>
      </c>
      <c r="AE673" t="s">
        <v>74</v>
      </c>
      <c r="AF673" t="s">
        <v>74</v>
      </c>
      <c r="AG673">
        <v>12</v>
      </c>
      <c r="AH673">
        <v>0</v>
      </c>
      <c r="AI673">
        <v>0</v>
      </c>
      <c r="AJ673">
        <v>0</v>
      </c>
      <c r="AK673">
        <v>0</v>
      </c>
      <c r="AL673" t="s">
        <v>7096</v>
      </c>
      <c r="AM673" t="s">
        <v>7097</v>
      </c>
      <c r="AN673" t="s">
        <v>7098</v>
      </c>
      <c r="AO673" t="s">
        <v>7099</v>
      </c>
      <c r="AP673" t="s">
        <v>74</v>
      </c>
      <c r="AQ673" t="s">
        <v>74</v>
      </c>
      <c r="AR673" t="s">
        <v>7100</v>
      </c>
      <c r="AS673" t="s">
        <v>7101</v>
      </c>
      <c r="AT673" t="s">
        <v>74</v>
      </c>
      <c r="AU673">
        <v>2008</v>
      </c>
      <c r="AV673">
        <v>7</v>
      </c>
      <c r="AW673">
        <v>2</v>
      </c>
      <c r="AX673" t="s">
        <v>74</v>
      </c>
      <c r="AY673" t="s">
        <v>74</v>
      </c>
      <c r="AZ673" t="s">
        <v>74</v>
      </c>
      <c r="BA673" t="s">
        <v>74</v>
      </c>
      <c r="BB673">
        <v>45</v>
      </c>
      <c r="BC673">
        <v>55</v>
      </c>
      <c r="BD673" t="s">
        <v>74</v>
      </c>
      <c r="BE673" t="s">
        <v>74</v>
      </c>
      <c r="BF673" t="s">
        <v>74</v>
      </c>
      <c r="BG673" t="s">
        <v>74</v>
      </c>
      <c r="BH673" t="s">
        <v>74</v>
      </c>
      <c r="BI673">
        <v>11</v>
      </c>
      <c r="BJ673" t="s">
        <v>1326</v>
      </c>
      <c r="BK673" t="s">
        <v>183</v>
      </c>
      <c r="BL673" t="s">
        <v>1326</v>
      </c>
      <c r="BM673" t="s">
        <v>12663</v>
      </c>
      <c r="BN673" t="s">
        <v>74</v>
      </c>
      <c r="BO673" t="s">
        <v>74</v>
      </c>
      <c r="BP673" t="s">
        <v>74</v>
      </c>
      <c r="BQ673" t="s">
        <v>74</v>
      </c>
      <c r="BR673" t="s">
        <v>106</v>
      </c>
      <c r="BS673" t="s">
        <v>12664</v>
      </c>
      <c r="BT673" t="str">
        <f>HYPERLINK("https%3A%2F%2Fwww.webofscience.com%2Fwos%2Fwoscc%2Ffull-record%2FWOS:000210456200003","View Full Record in Web of Science")</f>
        <v>View Full Record in Web of Science</v>
      </c>
    </row>
    <row r="674" spans="1:72" x14ac:dyDescent="0.25">
      <c r="A674" t="s">
        <v>72</v>
      </c>
      <c r="B674" t="s">
        <v>12665</v>
      </c>
      <c r="C674" t="s">
        <v>74</v>
      </c>
      <c r="D674" t="s">
        <v>74</v>
      </c>
      <c r="E674" t="s">
        <v>74</v>
      </c>
      <c r="F674" t="s">
        <v>12666</v>
      </c>
      <c r="G674" t="s">
        <v>74</v>
      </c>
      <c r="H674" t="s">
        <v>74</v>
      </c>
      <c r="I674" s="1" t="s">
        <v>12667</v>
      </c>
      <c r="J674" t="s">
        <v>12668</v>
      </c>
      <c r="K674" t="s">
        <v>74</v>
      </c>
      <c r="L674" t="s">
        <v>74</v>
      </c>
      <c r="M674" t="s">
        <v>12669</v>
      </c>
      <c r="N674" t="s">
        <v>79</v>
      </c>
      <c r="O674" t="s">
        <v>74</v>
      </c>
      <c r="P674" t="s">
        <v>74</v>
      </c>
      <c r="Q674" t="s">
        <v>74</v>
      </c>
      <c r="R674" t="s">
        <v>74</v>
      </c>
      <c r="S674" t="s">
        <v>74</v>
      </c>
      <c r="T674" s="1" t="s">
        <v>12670</v>
      </c>
      <c r="U674" s="1" t="s">
        <v>12671</v>
      </c>
      <c r="V674" s="1" t="s">
        <v>12672</v>
      </c>
      <c r="W674" t="s">
        <v>74</v>
      </c>
      <c r="X674" t="s">
        <v>74</v>
      </c>
      <c r="Y674" t="s">
        <v>74</v>
      </c>
      <c r="Z674" t="s">
        <v>12673</v>
      </c>
      <c r="AA674" t="s">
        <v>74</v>
      </c>
      <c r="AB674" t="s">
        <v>74</v>
      </c>
      <c r="AC674" t="s">
        <v>74</v>
      </c>
      <c r="AD674" t="s">
        <v>74</v>
      </c>
      <c r="AE674" t="s">
        <v>74</v>
      </c>
      <c r="AF674" t="s">
        <v>74</v>
      </c>
      <c r="AG674">
        <v>39</v>
      </c>
      <c r="AH674">
        <v>0</v>
      </c>
      <c r="AI674">
        <v>0</v>
      </c>
      <c r="AJ674">
        <v>0</v>
      </c>
      <c r="AK674">
        <v>0</v>
      </c>
      <c r="AL674" t="s">
        <v>12674</v>
      </c>
      <c r="AM674" t="s">
        <v>10781</v>
      </c>
      <c r="AN674" t="s">
        <v>12675</v>
      </c>
      <c r="AO674" t="s">
        <v>12676</v>
      </c>
      <c r="AP674" t="s">
        <v>74</v>
      </c>
      <c r="AQ674" t="s">
        <v>74</v>
      </c>
      <c r="AR674" t="s">
        <v>12677</v>
      </c>
      <c r="AS674" t="s">
        <v>12678</v>
      </c>
      <c r="AT674" t="s">
        <v>74</v>
      </c>
      <c r="AU674">
        <v>2008</v>
      </c>
      <c r="AV674">
        <v>8</v>
      </c>
      <c r="AW674">
        <v>3</v>
      </c>
      <c r="AX674" t="s">
        <v>74</v>
      </c>
      <c r="AY674" t="s">
        <v>74</v>
      </c>
      <c r="AZ674" t="s">
        <v>74</v>
      </c>
      <c r="BA674" t="s">
        <v>74</v>
      </c>
      <c r="BB674">
        <v>82</v>
      </c>
      <c r="BC674" t="s">
        <v>11057</v>
      </c>
      <c r="BD674" t="s">
        <v>74</v>
      </c>
      <c r="BE674" t="s">
        <v>74</v>
      </c>
      <c r="BF674" t="s">
        <v>74</v>
      </c>
      <c r="BG674" t="s">
        <v>74</v>
      </c>
      <c r="BH674" t="s">
        <v>74</v>
      </c>
      <c r="BI674">
        <v>32</v>
      </c>
      <c r="BJ674" t="s">
        <v>3050</v>
      </c>
      <c r="BK674" t="s">
        <v>156</v>
      </c>
      <c r="BL674" t="s">
        <v>3050</v>
      </c>
      <c r="BM674" t="s">
        <v>12679</v>
      </c>
      <c r="BN674" t="s">
        <v>74</v>
      </c>
      <c r="BO674" t="s">
        <v>74</v>
      </c>
      <c r="BP674" t="s">
        <v>74</v>
      </c>
      <c r="BQ674" t="s">
        <v>74</v>
      </c>
      <c r="BR674" t="s">
        <v>106</v>
      </c>
      <c r="BS674" t="s">
        <v>12680</v>
      </c>
      <c r="BT674" t="str">
        <f>HYPERLINK("https%3A%2F%2Fwww.webofscience.com%2Fwos%2Fwoscc%2Ffull-record%2FWOS:000260275100007","View Full Record in Web of Science")</f>
        <v>View Full Record in Web of Science</v>
      </c>
    </row>
    <row r="675" spans="1:72" x14ac:dyDescent="0.25">
      <c r="A675" t="s">
        <v>72</v>
      </c>
      <c r="B675" t="s">
        <v>12828</v>
      </c>
      <c r="C675" t="s">
        <v>74</v>
      </c>
      <c r="D675" t="s">
        <v>74</v>
      </c>
      <c r="E675" t="s">
        <v>74</v>
      </c>
      <c r="F675" t="s">
        <v>12828</v>
      </c>
      <c r="G675" t="s">
        <v>74</v>
      </c>
      <c r="H675" t="s">
        <v>74</v>
      </c>
      <c r="I675" s="1" t="s">
        <v>12829</v>
      </c>
      <c r="J675" t="s">
        <v>7999</v>
      </c>
      <c r="K675" t="s">
        <v>74</v>
      </c>
      <c r="L675" t="s">
        <v>74</v>
      </c>
      <c r="M675" t="s">
        <v>78</v>
      </c>
      <c r="N675" t="s">
        <v>79</v>
      </c>
      <c r="O675" t="s">
        <v>74</v>
      </c>
      <c r="P675" t="s">
        <v>74</v>
      </c>
      <c r="Q675" t="s">
        <v>74</v>
      </c>
      <c r="R675" t="s">
        <v>74</v>
      </c>
      <c r="S675" t="s">
        <v>74</v>
      </c>
      <c r="T675" s="1" t="s">
        <v>74</v>
      </c>
      <c r="U675" s="1" t="s">
        <v>74</v>
      </c>
      <c r="V675" s="1" t="s">
        <v>12830</v>
      </c>
      <c r="W675" t="s">
        <v>12831</v>
      </c>
      <c r="X675" t="s">
        <v>12340</v>
      </c>
      <c r="Y675" t="s">
        <v>12832</v>
      </c>
      <c r="Z675" t="s">
        <v>12833</v>
      </c>
      <c r="AA675" t="s">
        <v>74</v>
      </c>
      <c r="AB675" t="s">
        <v>74</v>
      </c>
      <c r="AC675" t="s">
        <v>74</v>
      </c>
      <c r="AD675" t="s">
        <v>74</v>
      </c>
      <c r="AE675" t="s">
        <v>74</v>
      </c>
      <c r="AF675" t="s">
        <v>74</v>
      </c>
      <c r="AG675">
        <v>0</v>
      </c>
      <c r="AH675">
        <v>0</v>
      </c>
      <c r="AI675">
        <v>0</v>
      </c>
      <c r="AJ675">
        <v>0</v>
      </c>
      <c r="AK675">
        <v>5</v>
      </c>
      <c r="AL675" t="s">
        <v>8003</v>
      </c>
      <c r="AM675" t="s">
        <v>8004</v>
      </c>
      <c r="AN675" t="s">
        <v>8005</v>
      </c>
      <c r="AO675" t="s">
        <v>8006</v>
      </c>
      <c r="AP675" t="s">
        <v>74</v>
      </c>
      <c r="AQ675" t="s">
        <v>74</v>
      </c>
      <c r="AR675" t="s">
        <v>8007</v>
      </c>
      <c r="AS675" t="s">
        <v>8008</v>
      </c>
      <c r="AT675" t="s">
        <v>476</v>
      </c>
      <c r="AU675">
        <v>2005</v>
      </c>
      <c r="AV675">
        <v>83</v>
      </c>
      <c r="AW675">
        <v>12</v>
      </c>
      <c r="AX675" t="s">
        <v>74</v>
      </c>
      <c r="AY675" t="s">
        <v>74</v>
      </c>
      <c r="AZ675" t="s">
        <v>74</v>
      </c>
      <c r="BA675" t="s">
        <v>74</v>
      </c>
      <c r="BB675">
        <v>39</v>
      </c>
      <c r="BC675" t="s">
        <v>11057</v>
      </c>
      <c r="BD675" t="s">
        <v>74</v>
      </c>
      <c r="BE675" t="s">
        <v>74</v>
      </c>
      <c r="BF675" t="s">
        <v>74</v>
      </c>
      <c r="BG675" t="s">
        <v>74</v>
      </c>
      <c r="BH675" t="s">
        <v>74</v>
      </c>
      <c r="BI675">
        <v>9</v>
      </c>
      <c r="BJ675" t="s">
        <v>264</v>
      </c>
      <c r="BK675" t="s">
        <v>156</v>
      </c>
      <c r="BL675" t="s">
        <v>265</v>
      </c>
      <c r="BM675" t="s">
        <v>12834</v>
      </c>
      <c r="BN675" t="s">
        <v>74</v>
      </c>
      <c r="BO675" t="s">
        <v>74</v>
      </c>
      <c r="BP675" t="s">
        <v>74</v>
      </c>
      <c r="BQ675" t="s">
        <v>74</v>
      </c>
      <c r="BR675" t="s">
        <v>106</v>
      </c>
      <c r="BS675" t="s">
        <v>12835</v>
      </c>
      <c r="BT675" t="str">
        <f>HYPERLINK("https%3A%2F%2Fwww.webofscience.com%2Fwos%2Fwoscc%2Ffull-record%2FWOS:000233454000016","View Full Record in Web of Science")</f>
        <v>View Full Record in Web of Science</v>
      </c>
    </row>
  </sheetData>
  <autoFilter ref="A1:BT675" xr:uid="{00000000-0009-0000-0000-000001000000}">
    <sortState ref="A2:BT675">
      <sortCondition descending="1" ref="AH1:AH675"/>
    </sortState>
  </autoFilter>
  <pageMargins left="0.75" right="0.75" top="1" bottom="1" header="0.5" footer="0.5"/>
  <pageSetup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T29"/>
  <sheetViews>
    <sheetView topLeftCell="F1" zoomScale="94" zoomScaleNormal="130" workbookViewId="0">
      <selection activeCell="H23" sqref="H23"/>
    </sheetView>
  </sheetViews>
  <sheetFormatPr baseColWidth="10" defaultRowHeight="12.5" x14ac:dyDescent="0.25"/>
  <cols>
    <col min="1" max="1" width="17.81640625" style="12" bestFit="1" customWidth="1"/>
    <col min="2" max="2" width="26.1796875" style="12" bestFit="1" customWidth="1"/>
    <col min="3" max="5" width="10.90625" style="12"/>
    <col min="6" max="6" width="13.7265625" style="12" bestFit="1" customWidth="1"/>
    <col min="7" max="16" width="10.90625" style="12"/>
    <col min="17" max="17" width="7.81640625" style="76" bestFit="1" customWidth="1"/>
    <col min="18" max="18" width="13.453125" style="76" bestFit="1" customWidth="1"/>
    <col min="19" max="19" width="12.6328125" style="76" bestFit="1" customWidth="1"/>
    <col min="20" max="20" width="9.81640625" style="76" bestFit="1" customWidth="1"/>
    <col min="21" max="21" width="20.453125" style="76" bestFit="1" customWidth="1"/>
    <col min="22" max="38" width="10.90625" style="12"/>
    <col min="39" max="39" width="17" style="12" customWidth="1"/>
    <col min="40" max="71" width="10.90625" style="12"/>
    <col min="72" max="72" width="14" style="12" customWidth="1"/>
    <col min="73" max="16384" width="10.90625" style="12"/>
  </cols>
  <sheetData>
    <row r="1" spans="1:72" ht="14.5" thickBot="1" x14ac:dyDescent="0.35">
      <c r="A1" s="12" t="s">
        <v>13434</v>
      </c>
      <c r="B1" s="12" t="s">
        <v>15339</v>
      </c>
      <c r="E1" s="31" t="s">
        <v>15340</v>
      </c>
      <c r="F1" s="31" t="s">
        <v>13436</v>
      </c>
      <c r="Q1" s="77" t="s">
        <v>15346</v>
      </c>
      <c r="R1" s="77" t="s">
        <v>15425</v>
      </c>
      <c r="S1" s="77" t="s">
        <v>15342</v>
      </c>
      <c r="T1" s="77" t="s">
        <v>15347</v>
      </c>
      <c r="U1" s="77" t="s">
        <v>15426</v>
      </c>
    </row>
    <row r="2" spans="1:72" ht="14" x14ac:dyDescent="0.25">
      <c r="A2" s="27">
        <v>1991</v>
      </c>
      <c r="B2" s="12">
        <v>1</v>
      </c>
      <c r="E2" s="30">
        <v>1991</v>
      </c>
      <c r="F2" s="28">
        <v>1</v>
      </c>
      <c r="Q2" s="74">
        <v>1</v>
      </c>
      <c r="R2" s="74" t="s">
        <v>15427</v>
      </c>
      <c r="S2" s="74">
        <v>119</v>
      </c>
      <c r="T2" s="74">
        <v>5012</v>
      </c>
      <c r="U2" s="74">
        <v>30</v>
      </c>
      <c r="BS2" s="12" t="s">
        <v>106</v>
      </c>
      <c r="BT2" s="12" t="s">
        <v>12893</v>
      </c>
    </row>
    <row r="3" spans="1:72" ht="14" x14ac:dyDescent="0.25">
      <c r="A3" s="27">
        <v>1995</v>
      </c>
      <c r="B3" s="12">
        <v>1</v>
      </c>
      <c r="E3" s="30">
        <v>1995</v>
      </c>
      <c r="F3" s="28">
        <v>1</v>
      </c>
      <c r="Q3" s="74">
        <v>2</v>
      </c>
      <c r="R3" s="74" t="s">
        <v>15428</v>
      </c>
      <c r="S3" s="74">
        <v>70</v>
      </c>
      <c r="T3" s="74">
        <v>308</v>
      </c>
      <c r="U3" s="74">
        <v>21</v>
      </c>
      <c r="BS3" s="12" t="s">
        <v>106</v>
      </c>
      <c r="BT3" s="12" t="s">
        <v>12911</v>
      </c>
    </row>
    <row r="4" spans="1:72" ht="14" x14ac:dyDescent="0.25">
      <c r="A4" s="27">
        <v>2000</v>
      </c>
      <c r="B4" s="12">
        <v>1</v>
      </c>
      <c r="E4" s="30">
        <v>2000</v>
      </c>
      <c r="F4" s="28">
        <v>1</v>
      </c>
      <c r="Q4" s="74">
        <v>3</v>
      </c>
      <c r="R4" s="74" t="s">
        <v>15367</v>
      </c>
      <c r="S4" s="74">
        <v>69</v>
      </c>
      <c r="T4" s="74">
        <v>1578</v>
      </c>
      <c r="U4" s="74">
        <v>36</v>
      </c>
      <c r="BS4" s="12" t="s">
        <v>106</v>
      </c>
      <c r="BT4" s="12" t="s">
        <v>12936</v>
      </c>
    </row>
    <row r="5" spans="1:72" ht="14" x14ac:dyDescent="0.25">
      <c r="A5" s="27">
        <v>2001</v>
      </c>
      <c r="B5" s="12">
        <v>2</v>
      </c>
      <c r="E5" s="30">
        <v>2001</v>
      </c>
      <c r="F5" s="28">
        <v>2</v>
      </c>
      <c r="Q5" s="74">
        <v>4</v>
      </c>
      <c r="R5" s="74" t="s">
        <v>15395</v>
      </c>
      <c r="S5" s="74">
        <v>58</v>
      </c>
      <c r="T5" s="74">
        <v>774</v>
      </c>
      <c r="U5" s="74">
        <v>19</v>
      </c>
      <c r="BS5" s="12" t="s">
        <v>15341</v>
      </c>
      <c r="BT5" s="12" t="s">
        <v>15342</v>
      </c>
    </row>
    <row r="6" spans="1:72" ht="14" x14ac:dyDescent="0.25">
      <c r="A6" s="27">
        <v>2003</v>
      </c>
      <c r="B6" s="12">
        <v>1</v>
      </c>
      <c r="E6" s="30">
        <v>2003</v>
      </c>
      <c r="F6" s="28">
        <v>1</v>
      </c>
      <c r="Q6" s="74">
        <v>5</v>
      </c>
      <c r="R6" s="74" t="s">
        <v>15429</v>
      </c>
      <c r="S6" s="74">
        <v>53</v>
      </c>
      <c r="T6" s="74">
        <v>578</v>
      </c>
      <c r="U6" s="74">
        <v>17</v>
      </c>
      <c r="BS6" s="27">
        <v>2023</v>
      </c>
      <c r="BT6" s="12">
        <v>127</v>
      </c>
    </row>
    <row r="7" spans="1:72" ht="14" x14ac:dyDescent="0.25">
      <c r="A7" s="27">
        <v>2005</v>
      </c>
      <c r="B7" s="12">
        <v>1</v>
      </c>
      <c r="E7" s="30">
        <v>2005</v>
      </c>
      <c r="F7" s="28">
        <v>1</v>
      </c>
      <c r="Q7" s="74">
        <v>6</v>
      </c>
      <c r="R7" s="74" t="s">
        <v>15430</v>
      </c>
      <c r="S7" s="74">
        <v>39</v>
      </c>
      <c r="T7" s="74">
        <v>902</v>
      </c>
      <c r="U7" s="74">
        <v>16</v>
      </c>
      <c r="BS7" s="27">
        <v>2022</v>
      </c>
      <c r="BT7" s="12">
        <v>154</v>
      </c>
    </row>
    <row r="8" spans="1:72" ht="14" x14ac:dyDescent="0.25">
      <c r="A8" s="27">
        <v>2006</v>
      </c>
      <c r="B8" s="12">
        <v>3</v>
      </c>
      <c r="E8" s="30">
        <v>2006</v>
      </c>
      <c r="F8" s="28">
        <v>3</v>
      </c>
      <c r="Q8" s="74">
        <v>7</v>
      </c>
      <c r="R8" s="74" t="s">
        <v>15361</v>
      </c>
      <c r="S8" s="74">
        <v>36</v>
      </c>
      <c r="T8" s="74">
        <v>150</v>
      </c>
      <c r="U8" s="74">
        <v>8</v>
      </c>
      <c r="BS8" s="27">
        <v>2021</v>
      </c>
      <c r="BT8" s="12">
        <v>98</v>
      </c>
    </row>
    <row r="9" spans="1:72" ht="14" x14ac:dyDescent="0.25">
      <c r="A9" s="27">
        <v>2007</v>
      </c>
      <c r="B9" s="12">
        <v>5</v>
      </c>
      <c r="E9" s="30">
        <v>2007</v>
      </c>
      <c r="F9" s="28">
        <v>5</v>
      </c>
      <c r="Q9" s="74">
        <v>8</v>
      </c>
      <c r="R9" s="74" t="s">
        <v>15431</v>
      </c>
      <c r="S9" s="74">
        <v>35</v>
      </c>
      <c r="T9" s="74">
        <v>465</v>
      </c>
      <c r="U9" s="74">
        <v>20</v>
      </c>
      <c r="BS9" s="27">
        <v>2020</v>
      </c>
      <c r="BT9" s="12">
        <v>52</v>
      </c>
    </row>
    <row r="10" spans="1:72" ht="14" x14ac:dyDescent="0.25">
      <c r="A10" s="27">
        <v>2008</v>
      </c>
      <c r="B10" s="12">
        <v>4</v>
      </c>
      <c r="E10" s="30">
        <v>2008</v>
      </c>
      <c r="F10" s="28">
        <v>4</v>
      </c>
      <c r="Q10" s="74">
        <v>9</v>
      </c>
      <c r="R10" s="74" t="s">
        <v>15432</v>
      </c>
      <c r="S10" s="74">
        <v>25</v>
      </c>
      <c r="T10" s="74">
        <v>563</v>
      </c>
      <c r="U10" s="74">
        <v>11</v>
      </c>
      <c r="BS10" s="27">
        <v>2019</v>
      </c>
      <c r="BT10" s="12">
        <v>54</v>
      </c>
    </row>
    <row r="11" spans="1:72" ht="14" x14ac:dyDescent="0.25">
      <c r="A11" s="27">
        <v>2009</v>
      </c>
      <c r="B11" s="12">
        <v>5</v>
      </c>
      <c r="E11" s="30">
        <v>2009</v>
      </c>
      <c r="F11" s="28">
        <v>5</v>
      </c>
      <c r="Q11" s="74">
        <v>10</v>
      </c>
      <c r="R11" s="74" t="s">
        <v>15433</v>
      </c>
      <c r="S11" s="74">
        <v>24</v>
      </c>
      <c r="T11" s="74">
        <v>760</v>
      </c>
      <c r="U11" s="74">
        <v>20</v>
      </c>
      <c r="BS11" s="27">
        <v>2018</v>
      </c>
      <c r="BT11" s="12">
        <v>41</v>
      </c>
    </row>
    <row r="12" spans="1:72" ht="14" x14ac:dyDescent="0.25">
      <c r="A12" s="27">
        <v>2010</v>
      </c>
      <c r="B12" s="12">
        <v>8</v>
      </c>
      <c r="E12" s="30">
        <v>2010</v>
      </c>
      <c r="F12" s="28">
        <v>8</v>
      </c>
      <c r="Q12" s="74">
        <v>11</v>
      </c>
      <c r="R12" s="74" t="s">
        <v>15370</v>
      </c>
      <c r="S12" s="74">
        <v>19</v>
      </c>
      <c r="T12" s="74">
        <v>313</v>
      </c>
      <c r="U12" s="74">
        <v>5</v>
      </c>
      <c r="BS12" s="27">
        <v>2017</v>
      </c>
      <c r="BT12" s="12">
        <v>34</v>
      </c>
    </row>
    <row r="13" spans="1:72" ht="14" x14ac:dyDescent="0.25">
      <c r="A13" s="27">
        <v>2011</v>
      </c>
      <c r="B13" s="12">
        <v>7</v>
      </c>
      <c r="E13" s="30">
        <v>2011</v>
      </c>
      <c r="F13" s="28">
        <v>7</v>
      </c>
      <c r="Q13" s="74">
        <v>12</v>
      </c>
      <c r="R13" s="74" t="s">
        <v>15434</v>
      </c>
      <c r="S13" s="74">
        <v>17</v>
      </c>
      <c r="T13" s="74">
        <v>116</v>
      </c>
      <c r="U13" s="74">
        <v>13</v>
      </c>
      <c r="BS13" s="27">
        <v>2016</v>
      </c>
      <c r="BT13" s="12">
        <v>25</v>
      </c>
    </row>
    <row r="14" spans="1:72" ht="14" x14ac:dyDescent="0.25">
      <c r="A14" s="27">
        <v>2012</v>
      </c>
      <c r="B14" s="12">
        <v>3</v>
      </c>
      <c r="E14" s="30">
        <v>2012</v>
      </c>
      <c r="F14" s="28">
        <v>3</v>
      </c>
      <c r="Q14" s="74">
        <v>13</v>
      </c>
      <c r="R14" s="74" t="s">
        <v>15388</v>
      </c>
      <c r="S14" s="74">
        <v>16</v>
      </c>
      <c r="T14" s="74">
        <v>110</v>
      </c>
      <c r="U14" s="74">
        <v>4</v>
      </c>
      <c r="BS14" s="27">
        <v>2015</v>
      </c>
      <c r="BT14" s="12">
        <v>17</v>
      </c>
    </row>
    <row r="15" spans="1:72" ht="14" x14ac:dyDescent="0.25">
      <c r="A15" s="27">
        <v>2013</v>
      </c>
      <c r="B15" s="12">
        <v>16</v>
      </c>
      <c r="E15" s="30">
        <v>2013</v>
      </c>
      <c r="F15" s="28">
        <v>16</v>
      </c>
      <c r="Q15" s="74">
        <v>14</v>
      </c>
      <c r="R15" s="74" t="s">
        <v>15435</v>
      </c>
      <c r="S15" s="74">
        <v>16</v>
      </c>
      <c r="T15" s="74">
        <v>912</v>
      </c>
      <c r="U15" s="74">
        <v>15</v>
      </c>
      <c r="BS15" s="27">
        <v>2014</v>
      </c>
      <c r="BT15" s="12">
        <v>14</v>
      </c>
    </row>
    <row r="16" spans="1:72" ht="14" x14ac:dyDescent="0.25">
      <c r="A16" s="27">
        <v>2014</v>
      </c>
      <c r="B16" s="12">
        <v>14</v>
      </c>
      <c r="E16" s="30">
        <v>2014</v>
      </c>
      <c r="F16" s="28">
        <v>14</v>
      </c>
      <c r="Q16" s="74">
        <v>15</v>
      </c>
      <c r="R16" s="74" t="s">
        <v>15436</v>
      </c>
      <c r="S16" s="74">
        <v>16</v>
      </c>
      <c r="T16" s="74">
        <v>132</v>
      </c>
      <c r="U16" s="74">
        <v>4</v>
      </c>
      <c r="BS16" s="27">
        <v>2013</v>
      </c>
      <c r="BT16" s="12">
        <v>16</v>
      </c>
    </row>
    <row r="17" spans="1:72" ht="14" x14ac:dyDescent="0.25">
      <c r="A17" s="27">
        <v>2015</v>
      </c>
      <c r="B17" s="12">
        <v>17</v>
      </c>
      <c r="E17" s="30">
        <v>2015</v>
      </c>
      <c r="F17" s="28">
        <v>17</v>
      </c>
      <c r="Q17" s="74">
        <v>16</v>
      </c>
      <c r="R17" s="74" t="s">
        <v>15437</v>
      </c>
      <c r="S17" s="74">
        <v>15</v>
      </c>
      <c r="T17" s="74">
        <v>194</v>
      </c>
      <c r="U17" s="74">
        <v>14</v>
      </c>
      <c r="BS17" s="27">
        <v>2012</v>
      </c>
      <c r="BT17" s="12">
        <v>3</v>
      </c>
    </row>
    <row r="18" spans="1:72" ht="14" x14ac:dyDescent="0.25">
      <c r="A18" s="27">
        <v>2016</v>
      </c>
      <c r="B18" s="12">
        <v>25</v>
      </c>
      <c r="E18" s="30">
        <v>2016</v>
      </c>
      <c r="F18" s="28">
        <v>25</v>
      </c>
      <c r="Q18" s="74">
        <v>17</v>
      </c>
      <c r="R18" s="74" t="s">
        <v>15438</v>
      </c>
      <c r="S18" s="74">
        <v>12</v>
      </c>
      <c r="T18" s="74">
        <v>19</v>
      </c>
      <c r="U18" s="74">
        <v>5</v>
      </c>
      <c r="BS18" s="27">
        <v>2011</v>
      </c>
      <c r="BT18" s="12">
        <v>7</v>
      </c>
    </row>
    <row r="19" spans="1:72" ht="14" x14ac:dyDescent="0.25">
      <c r="A19" s="27">
        <v>2017</v>
      </c>
      <c r="B19" s="12">
        <v>34</v>
      </c>
      <c r="E19" s="30">
        <v>2017</v>
      </c>
      <c r="F19" s="28">
        <v>34</v>
      </c>
      <c r="Q19" s="74">
        <v>18</v>
      </c>
      <c r="R19" s="74" t="s">
        <v>15439</v>
      </c>
      <c r="S19" s="74">
        <v>12</v>
      </c>
      <c r="T19" s="74">
        <v>20</v>
      </c>
      <c r="U19" s="74">
        <v>5</v>
      </c>
      <c r="BS19" s="27">
        <v>2010</v>
      </c>
      <c r="BT19" s="12">
        <v>8</v>
      </c>
    </row>
    <row r="20" spans="1:72" ht="14" x14ac:dyDescent="0.25">
      <c r="A20" s="27">
        <v>2018</v>
      </c>
      <c r="B20" s="12">
        <v>41</v>
      </c>
      <c r="E20" s="30">
        <v>2018</v>
      </c>
      <c r="F20" s="28">
        <v>41</v>
      </c>
      <c r="Q20" s="74">
        <v>19</v>
      </c>
      <c r="R20" s="74" t="s">
        <v>15440</v>
      </c>
      <c r="S20" s="74">
        <v>12</v>
      </c>
      <c r="T20" s="74">
        <v>143</v>
      </c>
      <c r="U20" s="74">
        <v>11</v>
      </c>
      <c r="BS20" s="27">
        <v>2009</v>
      </c>
      <c r="BT20" s="12">
        <v>5</v>
      </c>
    </row>
    <row r="21" spans="1:72" ht="14.5" thickBot="1" x14ac:dyDescent="0.3">
      <c r="A21" s="27">
        <v>2019</v>
      </c>
      <c r="B21" s="12">
        <v>54</v>
      </c>
      <c r="E21" s="30">
        <v>2019</v>
      </c>
      <c r="F21" s="28">
        <v>54</v>
      </c>
      <c r="Q21" s="75">
        <v>20</v>
      </c>
      <c r="R21" s="75" t="s">
        <v>15441</v>
      </c>
      <c r="S21" s="75">
        <v>11</v>
      </c>
      <c r="T21" s="75">
        <v>51</v>
      </c>
      <c r="U21" s="75">
        <v>5</v>
      </c>
      <c r="BS21" s="27">
        <v>2008</v>
      </c>
      <c r="BT21" s="12">
        <v>4</v>
      </c>
    </row>
    <row r="22" spans="1:72" x14ac:dyDescent="0.25">
      <c r="A22" s="27">
        <v>2020</v>
      </c>
      <c r="B22" s="12">
        <v>52</v>
      </c>
      <c r="E22" s="30">
        <v>2020</v>
      </c>
      <c r="F22" s="28">
        <v>52</v>
      </c>
      <c r="BS22" s="27">
        <v>2007</v>
      </c>
      <c r="BT22" s="12">
        <v>5</v>
      </c>
    </row>
    <row r="23" spans="1:72" x14ac:dyDescent="0.25">
      <c r="A23" s="27">
        <v>2021</v>
      </c>
      <c r="B23" s="12">
        <v>98</v>
      </c>
      <c r="E23" s="30">
        <v>2021</v>
      </c>
      <c r="F23" s="28">
        <v>98</v>
      </c>
      <c r="BS23" s="27">
        <v>2006</v>
      </c>
      <c r="BT23" s="12">
        <v>3</v>
      </c>
    </row>
    <row r="24" spans="1:72" x14ac:dyDescent="0.25">
      <c r="A24" s="27">
        <v>2022</v>
      </c>
      <c r="B24" s="12">
        <v>154</v>
      </c>
      <c r="E24" s="30">
        <v>2022</v>
      </c>
      <c r="F24" s="28">
        <v>154</v>
      </c>
      <c r="BS24" s="27">
        <v>2005</v>
      </c>
      <c r="BT24" s="12">
        <v>1</v>
      </c>
    </row>
    <row r="25" spans="1:72" x14ac:dyDescent="0.25">
      <c r="A25" s="27">
        <v>2023</v>
      </c>
      <c r="B25" s="12">
        <v>127</v>
      </c>
      <c r="E25" s="30">
        <v>2023</v>
      </c>
      <c r="F25" s="28">
        <v>127</v>
      </c>
      <c r="BS25" s="27">
        <v>2003</v>
      </c>
      <c r="BT25" s="12">
        <v>1</v>
      </c>
    </row>
    <row r="26" spans="1:72" ht="13" x14ac:dyDescent="0.3">
      <c r="A26" s="27" t="s">
        <v>15338</v>
      </c>
      <c r="B26" s="12">
        <v>674</v>
      </c>
      <c r="E26" s="29" t="s">
        <v>13455</v>
      </c>
      <c r="F26" s="28">
        <f>SUM(F2:F25)</f>
        <v>674</v>
      </c>
      <c r="BS26" s="27">
        <v>2001</v>
      </c>
      <c r="BT26" s="12">
        <v>2</v>
      </c>
    </row>
    <row r="27" spans="1:72" x14ac:dyDescent="0.25">
      <c r="BS27" s="27">
        <v>2000</v>
      </c>
      <c r="BT27" s="12">
        <v>1</v>
      </c>
    </row>
    <row r="28" spans="1:72" x14ac:dyDescent="0.25">
      <c r="BS28" s="27">
        <v>1995</v>
      </c>
      <c r="BT28" s="12">
        <v>1</v>
      </c>
    </row>
    <row r="29" spans="1:72" x14ac:dyDescent="0.25">
      <c r="BS29" s="27">
        <v>1991</v>
      </c>
      <c r="BT29" s="12">
        <v>1</v>
      </c>
    </row>
  </sheetData>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675"/>
  <sheetViews>
    <sheetView zoomScale="58" zoomScaleNormal="85" workbookViewId="0">
      <selection activeCell="A15" sqref="A15"/>
    </sheetView>
  </sheetViews>
  <sheetFormatPr baseColWidth="10" defaultRowHeight="12.5" x14ac:dyDescent="0.25"/>
  <cols>
    <col min="1" max="1" width="108.453125" style="27" customWidth="1"/>
    <col min="2" max="3" width="10.90625" style="34"/>
    <col min="4" max="16384" width="10.90625" style="12"/>
  </cols>
  <sheetData>
    <row r="1" spans="1:16" ht="13" x14ac:dyDescent="0.3">
      <c r="A1" s="32" t="s">
        <v>15343</v>
      </c>
      <c r="B1" s="33" t="s">
        <v>15344</v>
      </c>
      <c r="C1" s="33" t="s">
        <v>15345</v>
      </c>
      <c r="O1" s="12" t="s">
        <v>15346</v>
      </c>
      <c r="P1" s="12" t="s">
        <v>15347</v>
      </c>
    </row>
    <row r="2" spans="1:16" x14ac:dyDescent="0.25">
      <c r="A2" s="78" t="s">
        <v>12419</v>
      </c>
      <c r="B2" s="79">
        <v>1</v>
      </c>
      <c r="C2" s="80">
        <v>1231</v>
      </c>
      <c r="O2" s="12">
        <v>1</v>
      </c>
      <c r="P2" s="35">
        <v>38</v>
      </c>
    </row>
    <row r="3" spans="1:16" x14ac:dyDescent="0.25">
      <c r="A3" s="78" t="s">
        <v>12143</v>
      </c>
      <c r="B3" s="79">
        <v>2</v>
      </c>
      <c r="C3" s="80">
        <v>1212</v>
      </c>
      <c r="O3" s="12">
        <v>2</v>
      </c>
      <c r="P3" s="35">
        <v>47</v>
      </c>
    </row>
    <row r="4" spans="1:16" x14ac:dyDescent="0.25">
      <c r="A4" s="78" t="s">
        <v>8929</v>
      </c>
      <c r="B4" s="79">
        <v>3</v>
      </c>
      <c r="C4" s="80">
        <v>435</v>
      </c>
      <c r="O4" s="12">
        <v>3</v>
      </c>
      <c r="P4" s="35">
        <v>49</v>
      </c>
    </row>
    <row r="5" spans="1:16" x14ac:dyDescent="0.25">
      <c r="A5" s="78" t="s">
        <v>7616</v>
      </c>
      <c r="B5" s="79">
        <v>4</v>
      </c>
      <c r="C5" s="80">
        <v>372</v>
      </c>
      <c r="O5" s="12">
        <v>4</v>
      </c>
      <c r="P5" s="35">
        <v>52</v>
      </c>
    </row>
    <row r="6" spans="1:16" x14ac:dyDescent="0.25">
      <c r="A6" s="78" t="s">
        <v>7922</v>
      </c>
      <c r="B6" s="79">
        <v>5</v>
      </c>
      <c r="C6" s="80">
        <v>349</v>
      </c>
      <c r="O6" s="12">
        <v>5</v>
      </c>
      <c r="P6" s="35">
        <v>55</v>
      </c>
    </row>
    <row r="7" spans="1:16" x14ac:dyDescent="0.25">
      <c r="A7" s="78" t="s">
        <v>10519</v>
      </c>
      <c r="B7" s="79">
        <v>6</v>
      </c>
      <c r="C7" s="80">
        <v>335</v>
      </c>
      <c r="O7" s="12">
        <v>6</v>
      </c>
      <c r="P7" s="35">
        <v>55</v>
      </c>
    </row>
    <row r="8" spans="1:16" x14ac:dyDescent="0.25">
      <c r="A8" s="78" t="s">
        <v>12590</v>
      </c>
      <c r="B8" s="79">
        <v>7</v>
      </c>
      <c r="C8" s="80">
        <v>241</v>
      </c>
      <c r="O8" s="12">
        <v>7</v>
      </c>
      <c r="P8" s="35">
        <v>56</v>
      </c>
    </row>
    <row r="9" spans="1:16" x14ac:dyDescent="0.25">
      <c r="A9" s="78" t="s">
        <v>9999</v>
      </c>
      <c r="B9" s="79">
        <v>8</v>
      </c>
      <c r="C9" s="80">
        <v>238</v>
      </c>
      <c r="O9" s="12">
        <v>8</v>
      </c>
      <c r="P9" s="35">
        <v>57</v>
      </c>
    </row>
    <row r="10" spans="1:16" x14ac:dyDescent="0.25">
      <c r="A10" s="78" t="s">
        <v>10226</v>
      </c>
      <c r="B10" s="79">
        <v>9</v>
      </c>
      <c r="C10" s="80">
        <v>235</v>
      </c>
      <c r="O10" s="12">
        <v>9</v>
      </c>
      <c r="P10" s="35">
        <v>59</v>
      </c>
    </row>
    <row r="11" spans="1:16" x14ac:dyDescent="0.25">
      <c r="A11" s="78" t="s">
        <v>9803</v>
      </c>
      <c r="B11" s="79">
        <v>10</v>
      </c>
      <c r="C11" s="80">
        <v>213</v>
      </c>
      <c r="O11" s="12">
        <v>10</v>
      </c>
      <c r="P11" s="35">
        <v>60</v>
      </c>
    </row>
    <row r="12" spans="1:16" x14ac:dyDescent="0.25">
      <c r="A12" s="78" t="s">
        <v>9178</v>
      </c>
      <c r="B12" s="79">
        <v>11</v>
      </c>
      <c r="C12" s="80">
        <v>209</v>
      </c>
      <c r="O12" s="12">
        <v>11</v>
      </c>
      <c r="P12" s="35">
        <v>60</v>
      </c>
    </row>
    <row r="13" spans="1:16" x14ac:dyDescent="0.25">
      <c r="A13" s="78" t="s">
        <v>12177</v>
      </c>
      <c r="B13" s="79">
        <v>12</v>
      </c>
      <c r="C13" s="80">
        <v>197</v>
      </c>
      <c r="O13" s="12">
        <v>12</v>
      </c>
      <c r="P13" s="35">
        <v>63</v>
      </c>
    </row>
    <row r="14" spans="1:16" x14ac:dyDescent="0.25">
      <c r="A14" s="78" t="s">
        <v>7812</v>
      </c>
      <c r="B14" s="79">
        <v>13</v>
      </c>
      <c r="C14" s="80">
        <v>171</v>
      </c>
      <c r="O14" s="12">
        <v>13</v>
      </c>
      <c r="P14" s="35">
        <v>64</v>
      </c>
    </row>
    <row r="15" spans="1:16" x14ac:dyDescent="0.25">
      <c r="A15" s="78" t="s">
        <v>7983</v>
      </c>
      <c r="B15" s="79">
        <v>14</v>
      </c>
      <c r="C15" s="80">
        <v>166</v>
      </c>
      <c r="O15" s="12">
        <v>14</v>
      </c>
      <c r="P15" s="35">
        <v>66</v>
      </c>
    </row>
    <row r="16" spans="1:16" x14ac:dyDescent="0.25">
      <c r="A16" s="78" t="s">
        <v>10181</v>
      </c>
      <c r="B16" s="79">
        <v>15</v>
      </c>
      <c r="C16" s="80">
        <v>131</v>
      </c>
      <c r="O16" s="12">
        <v>15</v>
      </c>
      <c r="P16" s="35">
        <v>68</v>
      </c>
    </row>
    <row r="17" spans="1:16" x14ac:dyDescent="0.25">
      <c r="A17" s="78" t="s">
        <v>11003</v>
      </c>
      <c r="B17" s="79">
        <v>16</v>
      </c>
      <c r="C17" s="80">
        <v>117</v>
      </c>
      <c r="O17" s="12">
        <v>16</v>
      </c>
      <c r="P17" s="35">
        <v>68</v>
      </c>
    </row>
    <row r="18" spans="1:16" x14ac:dyDescent="0.25">
      <c r="A18" s="78" t="s">
        <v>9702</v>
      </c>
      <c r="B18" s="79">
        <v>17</v>
      </c>
      <c r="C18" s="80">
        <v>96</v>
      </c>
      <c r="O18" s="12">
        <v>17</v>
      </c>
      <c r="P18" s="35">
        <v>69</v>
      </c>
    </row>
    <row r="19" spans="1:16" x14ac:dyDescent="0.25">
      <c r="A19" s="78" t="s">
        <v>8599</v>
      </c>
      <c r="B19" s="79">
        <v>18</v>
      </c>
      <c r="C19" s="80">
        <v>90</v>
      </c>
      <c r="O19" s="12">
        <v>18</v>
      </c>
      <c r="P19" s="35">
        <v>70</v>
      </c>
    </row>
    <row r="20" spans="1:16" x14ac:dyDescent="0.25">
      <c r="A20" s="78" t="s">
        <v>10686</v>
      </c>
      <c r="B20" s="79">
        <v>19</v>
      </c>
      <c r="C20" s="80">
        <v>81</v>
      </c>
      <c r="O20" s="12">
        <v>19</v>
      </c>
      <c r="P20" s="35">
        <v>72</v>
      </c>
    </row>
    <row r="21" spans="1:16" x14ac:dyDescent="0.25">
      <c r="A21" s="78" t="s">
        <v>6709</v>
      </c>
      <c r="B21" s="79">
        <v>20</v>
      </c>
      <c r="C21" s="80">
        <v>79</v>
      </c>
      <c r="O21" s="12">
        <v>20</v>
      </c>
      <c r="P21" s="35">
        <v>74</v>
      </c>
    </row>
    <row r="22" spans="1:16" x14ac:dyDescent="0.25">
      <c r="A22" s="78" t="s">
        <v>4364</v>
      </c>
      <c r="B22" s="79">
        <v>21</v>
      </c>
      <c r="C22" s="80">
        <v>74</v>
      </c>
      <c r="O22" s="12">
        <v>21</v>
      </c>
      <c r="P22" s="35">
        <v>79</v>
      </c>
    </row>
    <row r="23" spans="1:16" x14ac:dyDescent="0.25">
      <c r="A23" s="78" t="s">
        <v>11122</v>
      </c>
      <c r="B23" s="79">
        <v>22</v>
      </c>
      <c r="C23" s="80">
        <v>72</v>
      </c>
      <c r="O23" s="12">
        <v>22</v>
      </c>
      <c r="P23" s="35">
        <v>81</v>
      </c>
    </row>
    <row r="24" spans="1:16" x14ac:dyDescent="0.25">
      <c r="A24" s="78" t="s">
        <v>4584</v>
      </c>
      <c r="B24" s="79">
        <v>23</v>
      </c>
      <c r="C24" s="80">
        <v>70</v>
      </c>
      <c r="O24" s="12">
        <v>23</v>
      </c>
      <c r="P24" s="35">
        <v>90</v>
      </c>
    </row>
    <row r="25" spans="1:16" x14ac:dyDescent="0.25">
      <c r="A25" s="78" t="s">
        <v>11299</v>
      </c>
      <c r="B25" s="79">
        <v>24</v>
      </c>
      <c r="C25" s="80">
        <v>69</v>
      </c>
      <c r="O25" s="12">
        <v>24</v>
      </c>
      <c r="P25" s="35">
        <v>96</v>
      </c>
    </row>
    <row r="26" spans="1:16" x14ac:dyDescent="0.25">
      <c r="A26" s="78" t="s">
        <v>8429</v>
      </c>
      <c r="B26" s="79">
        <v>25</v>
      </c>
      <c r="C26" s="80">
        <v>68</v>
      </c>
      <c r="O26" s="12">
        <v>25</v>
      </c>
      <c r="P26" s="35">
        <v>117</v>
      </c>
    </row>
    <row r="27" spans="1:16" x14ac:dyDescent="0.25">
      <c r="A27" s="78" t="s">
        <v>8774</v>
      </c>
      <c r="B27" s="79">
        <v>26</v>
      </c>
      <c r="C27" s="80">
        <v>68</v>
      </c>
      <c r="O27" s="12">
        <v>26</v>
      </c>
      <c r="P27" s="35">
        <v>131</v>
      </c>
    </row>
    <row r="28" spans="1:16" x14ac:dyDescent="0.25">
      <c r="A28" s="78" t="s">
        <v>12316</v>
      </c>
      <c r="B28" s="79">
        <v>27</v>
      </c>
      <c r="C28" s="80">
        <v>66</v>
      </c>
      <c r="O28" s="12">
        <v>27</v>
      </c>
      <c r="P28" s="35">
        <v>166</v>
      </c>
    </row>
    <row r="29" spans="1:16" x14ac:dyDescent="0.25">
      <c r="A29" s="78" t="s">
        <v>9504</v>
      </c>
      <c r="B29" s="79">
        <v>28</v>
      </c>
      <c r="C29" s="80">
        <v>64</v>
      </c>
      <c r="O29" s="12">
        <v>28</v>
      </c>
      <c r="P29" s="35">
        <v>171</v>
      </c>
    </row>
    <row r="30" spans="1:16" x14ac:dyDescent="0.25">
      <c r="A30" s="78" t="s">
        <v>7960</v>
      </c>
      <c r="B30" s="79">
        <v>29</v>
      </c>
      <c r="C30" s="80">
        <v>63</v>
      </c>
      <c r="O30" s="12">
        <v>29</v>
      </c>
      <c r="P30" s="35">
        <v>197</v>
      </c>
    </row>
    <row r="31" spans="1:16" x14ac:dyDescent="0.25">
      <c r="A31" s="78" t="s">
        <v>6878</v>
      </c>
      <c r="B31" s="79">
        <v>30</v>
      </c>
      <c r="C31" s="80">
        <v>60</v>
      </c>
      <c r="O31" s="12">
        <v>30</v>
      </c>
      <c r="P31" s="35">
        <v>209</v>
      </c>
    </row>
    <row r="32" spans="1:16" x14ac:dyDescent="0.25">
      <c r="A32" s="78" t="s">
        <v>11876</v>
      </c>
      <c r="B32" s="79">
        <v>31</v>
      </c>
      <c r="C32" s="80">
        <v>60</v>
      </c>
      <c r="O32" s="12">
        <v>31</v>
      </c>
      <c r="P32" s="35">
        <v>213</v>
      </c>
    </row>
    <row r="33" spans="1:16" x14ac:dyDescent="0.25">
      <c r="A33" s="78" t="s">
        <v>8260</v>
      </c>
      <c r="B33" s="79">
        <v>32</v>
      </c>
      <c r="C33" s="80">
        <v>59</v>
      </c>
      <c r="O33" s="12">
        <v>32</v>
      </c>
      <c r="P33" s="35">
        <v>235</v>
      </c>
    </row>
    <row r="34" spans="1:16" x14ac:dyDescent="0.25">
      <c r="A34" s="78" t="s">
        <v>8788</v>
      </c>
      <c r="B34" s="79">
        <v>33</v>
      </c>
      <c r="C34" s="80">
        <v>57</v>
      </c>
      <c r="O34" s="12">
        <v>33</v>
      </c>
      <c r="P34" s="35">
        <v>238</v>
      </c>
    </row>
    <row r="35" spans="1:16" x14ac:dyDescent="0.25">
      <c r="A35" s="78" t="s">
        <v>10014</v>
      </c>
      <c r="B35" s="79">
        <v>34</v>
      </c>
      <c r="C35" s="80">
        <v>56</v>
      </c>
      <c r="O35" s="12">
        <v>34</v>
      </c>
      <c r="P35" s="35">
        <v>241</v>
      </c>
    </row>
    <row r="36" spans="1:16" x14ac:dyDescent="0.25">
      <c r="A36" s="78" t="s">
        <v>8281</v>
      </c>
      <c r="B36" s="79">
        <v>35</v>
      </c>
      <c r="C36" s="80">
        <v>55</v>
      </c>
      <c r="O36" s="12">
        <v>35</v>
      </c>
      <c r="P36" s="35">
        <v>335</v>
      </c>
    </row>
    <row r="37" spans="1:16" x14ac:dyDescent="0.25">
      <c r="A37" s="78" t="s">
        <v>12337</v>
      </c>
      <c r="B37" s="79">
        <v>36</v>
      </c>
      <c r="C37" s="80">
        <v>55</v>
      </c>
      <c r="O37" s="12">
        <v>36</v>
      </c>
      <c r="P37" s="35">
        <v>349</v>
      </c>
    </row>
    <row r="38" spans="1:16" x14ac:dyDescent="0.25">
      <c r="A38" s="78" t="s">
        <v>10421</v>
      </c>
      <c r="B38" s="79">
        <v>37</v>
      </c>
      <c r="C38" s="80">
        <v>52</v>
      </c>
      <c r="O38" s="12">
        <v>37</v>
      </c>
      <c r="P38" s="35">
        <v>372</v>
      </c>
    </row>
    <row r="39" spans="1:16" x14ac:dyDescent="0.25">
      <c r="A39" s="78" t="s">
        <v>6165</v>
      </c>
      <c r="B39" s="79">
        <v>38</v>
      </c>
      <c r="C39" s="80">
        <v>49</v>
      </c>
      <c r="O39" s="12">
        <v>38</v>
      </c>
      <c r="P39" s="35">
        <v>435</v>
      </c>
    </row>
    <row r="40" spans="1:16" x14ac:dyDescent="0.25">
      <c r="A40" s="78" t="s">
        <v>10392</v>
      </c>
      <c r="B40" s="79">
        <v>39</v>
      </c>
      <c r="C40" s="80">
        <v>47</v>
      </c>
      <c r="O40" s="12">
        <v>39</v>
      </c>
      <c r="P40" s="35">
        <v>1212</v>
      </c>
    </row>
    <row r="41" spans="1:16" x14ac:dyDescent="0.25">
      <c r="A41" s="81" t="s">
        <v>4540</v>
      </c>
      <c r="B41" s="82">
        <v>40</v>
      </c>
      <c r="C41" s="28">
        <v>38</v>
      </c>
      <c r="O41" s="12">
        <v>40</v>
      </c>
      <c r="P41" s="35">
        <v>1231</v>
      </c>
    </row>
    <row r="42" spans="1:16" x14ac:dyDescent="0.25">
      <c r="A42" s="28" t="s">
        <v>4542</v>
      </c>
      <c r="B42" s="79">
        <v>41</v>
      </c>
      <c r="C42" s="28">
        <v>38</v>
      </c>
    </row>
    <row r="43" spans="1:16" x14ac:dyDescent="0.25">
      <c r="A43" s="28" t="s">
        <v>6630</v>
      </c>
      <c r="B43" s="79">
        <v>42</v>
      </c>
      <c r="C43" s="28">
        <v>37</v>
      </c>
    </row>
    <row r="44" spans="1:16" x14ac:dyDescent="0.25">
      <c r="A44" s="28" t="s">
        <v>11706</v>
      </c>
      <c r="B44" s="79">
        <v>43</v>
      </c>
      <c r="C44" s="28">
        <v>37</v>
      </c>
    </row>
    <row r="45" spans="1:16" x14ac:dyDescent="0.25">
      <c r="A45" s="28" t="s">
        <v>12897</v>
      </c>
      <c r="B45" s="79">
        <v>44</v>
      </c>
      <c r="C45" s="28">
        <v>35</v>
      </c>
    </row>
    <row r="46" spans="1:16" x14ac:dyDescent="0.25">
      <c r="A46" s="38" t="s">
        <v>3030</v>
      </c>
      <c r="B46" s="79">
        <v>45</v>
      </c>
      <c r="C46" s="28">
        <v>35</v>
      </c>
    </row>
    <row r="47" spans="1:16" x14ac:dyDescent="0.25">
      <c r="A47" s="38" t="s">
        <v>10756</v>
      </c>
      <c r="B47" s="79">
        <v>46</v>
      </c>
      <c r="C47" s="28">
        <v>34</v>
      </c>
    </row>
    <row r="48" spans="1:16" x14ac:dyDescent="0.25">
      <c r="A48" s="38" t="s">
        <v>5760</v>
      </c>
      <c r="B48" s="79">
        <v>47</v>
      </c>
      <c r="C48" s="28">
        <v>34</v>
      </c>
    </row>
    <row r="49" spans="1:3" x14ac:dyDescent="0.25">
      <c r="A49" s="38" t="s">
        <v>9331</v>
      </c>
      <c r="B49" s="79">
        <v>48</v>
      </c>
      <c r="C49" s="28">
        <v>34</v>
      </c>
    </row>
    <row r="50" spans="1:3" x14ac:dyDescent="0.25">
      <c r="A50" s="38" t="s">
        <v>11406</v>
      </c>
      <c r="B50" s="79">
        <v>49</v>
      </c>
      <c r="C50" s="28">
        <v>33</v>
      </c>
    </row>
    <row r="51" spans="1:3" x14ac:dyDescent="0.25">
      <c r="A51" s="38" t="s">
        <v>8228</v>
      </c>
      <c r="B51" s="79">
        <v>50</v>
      </c>
      <c r="C51" s="28">
        <v>33</v>
      </c>
    </row>
    <row r="52" spans="1:3" x14ac:dyDescent="0.25">
      <c r="B52" s="34">
        <v>51</v>
      </c>
      <c r="C52" s="12">
        <v>33</v>
      </c>
    </row>
    <row r="53" spans="1:3" x14ac:dyDescent="0.25">
      <c r="B53" s="34">
        <v>52</v>
      </c>
      <c r="C53" s="12">
        <v>32</v>
      </c>
    </row>
    <row r="54" spans="1:3" x14ac:dyDescent="0.25">
      <c r="B54" s="34">
        <v>53</v>
      </c>
      <c r="C54" s="12">
        <v>32</v>
      </c>
    </row>
    <row r="55" spans="1:3" x14ac:dyDescent="0.25">
      <c r="B55" s="34">
        <v>54</v>
      </c>
      <c r="C55" s="12">
        <v>31</v>
      </c>
    </row>
    <row r="56" spans="1:3" x14ac:dyDescent="0.25">
      <c r="B56" s="34">
        <v>55</v>
      </c>
      <c r="C56" s="12">
        <v>31</v>
      </c>
    </row>
    <row r="57" spans="1:3" x14ac:dyDescent="0.25">
      <c r="B57" s="34">
        <v>56</v>
      </c>
      <c r="C57" s="12">
        <v>30</v>
      </c>
    </row>
    <row r="58" spans="1:3" x14ac:dyDescent="0.25">
      <c r="B58" s="34">
        <v>57</v>
      </c>
      <c r="C58" s="12">
        <v>30</v>
      </c>
    </row>
    <row r="59" spans="1:3" x14ac:dyDescent="0.25">
      <c r="B59" s="34">
        <v>58</v>
      </c>
      <c r="C59" s="12">
        <v>30</v>
      </c>
    </row>
    <row r="60" spans="1:3" x14ac:dyDescent="0.25">
      <c r="B60" s="34">
        <v>59</v>
      </c>
      <c r="C60" s="12">
        <v>29</v>
      </c>
    </row>
    <row r="61" spans="1:3" x14ac:dyDescent="0.25">
      <c r="B61" s="34">
        <v>60</v>
      </c>
      <c r="C61" s="12">
        <v>28</v>
      </c>
    </row>
    <row r="62" spans="1:3" x14ac:dyDescent="0.25">
      <c r="B62" s="34">
        <v>61</v>
      </c>
      <c r="C62" s="12">
        <v>28</v>
      </c>
    </row>
    <row r="63" spans="1:3" x14ac:dyDescent="0.25">
      <c r="B63" s="34">
        <v>62</v>
      </c>
      <c r="C63" s="12">
        <v>27</v>
      </c>
    </row>
    <row r="64" spans="1:3" x14ac:dyDescent="0.25">
      <c r="B64" s="34">
        <v>63</v>
      </c>
      <c r="C64" s="12">
        <v>27</v>
      </c>
    </row>
    <row r="65" spans="2:3" x14ac:dyDescent="0.25">
      <c r="B65" s="34">
        <v>64</v>
      </c>
      <c r="C65" s="12">
        <v>27</v>
      </c>
    </row>
    <row r="66" spans="2:3" x14ac:dyDescent="0.25">
      <c r="B66" s="34">
        <v>65</v>
      </c>
      <c r="C66" s="12">
        <v>26</v>
      </c>
    </row>
    <row r="67" spans="2:3" x14ac:dyDescent="0.25">
      <c r="B67" s="34">
        <v>66</v>
      </c>
      <c r="C67" s="12">
        <v>26</v>
      </c>
    </row>
    <row r="68" spans="2:3" x14ac:dyDescent="0.25">
      <c r="B68" s="34">
        <v>67</v>
      </c>
      <c r="C68" s="12">
        <v>26</v>
      </c>
    </row>
    <row r="69" spans="2:3" x14ac:dyDescent="0.25">
      <c r="B69" s="34">
        <v>68</v>
      </c>
      <c r="C69" s="12">
        <v>26</v>
      </c>
    </row>
    <row r="70" spans="2:3" x14ac:dyDescent="0.25">
      <c r="B70" s="34">
        <v>69</v>
      </c>
      <c r="C70" s="12">
        <v>26</v>
      </c>
    </row>
    <row r="71" spans="2:3" x14ac:dyDescent="0.25">
      <c r="B71" s="34">
        <v>70</v>
      </c>
      <c r="C71" s="12">
        <v>26</v>
      </c>
    </row>
    <row r="72" spans="2:3" x14ac:dyDescent="0.25">
      <c r="B72" s="34">
        <v>71</v>
      </c>
      <c r="C72" s="12">
        <v>25</v>
      </c>
    </row>
    <row r="73" spans="2:3" x14ac:dyDescent="0.25">
      <c r="B73" s="34">
        <v>72</v>
      </c>
      <c r="C73" s="12">
        <v>25</v>
      </c>
    </row>
    <row r="74" spans="2:3" x14ac:dyDescent="0.25">
      <c r="B74" s="34">
        <v>73</v>
      </c>
      <c r="C74" s="12">
        <v>25</v>
      </c>
    </row>
    <row r="75" spans="2:3" x14ac:dyDescent="0.25">
      <c r="B75" s="34">
        <v>74</v>
      </c>
      <c r="C75" s="12">
        <v>25</v>
      </c>
    </row>
    <row r="76" spans="2:3" x14ac:dyDescent="0.25">
      <c r="B76" s="34">
        <v>75</v>
      </c>
      <c r="C76" s="12">
        <v>25</v>
      </c>
    </row>
    <row r="77" spans="2:3" x14ac:dyDescent="0.25">
      <c r="B77" s="34">
        <v>76</v>
      </c>
      <c r="C77" s="12">
        <v>24</v>
      </c>
    </row>
    <row r="78" spans="2:3" x14ac:dyDescent="0.25">
      <c r="B78" s="34">
        <v>77</v>
      </c>
      <c r="C78" s="12">
        <v>24</v>
      </c>
    </row>
    <row r="79" spans="2:3" x14ac:dyDescent="0.25">
      <c r="B79" s="34">
        <v>78</v>
      </c>
      <c r="C79" s="12">
        <v>23</v>
      </c>
    </row>
    <row r="80" spans="2:3" x14ac:dyDescent="0.25">
      <c r="B80" s="34">
        <v>79</v>
      </c>
      <c r="C80" s="12">
        <v>23</v>
      </c>
    </row>
    <row r="81" spans="2:3" x14ac:dyDescent="0.25">
      <c r="B81" s="34">
        <v>80</v>
      </c>
      <c r="C81" s="12">
        <v>23</v>
      </c>
    </row>
    <row r="82" spans="2:3" x14ac:dyDescent="0.25">
      <c r="B82" s="34">
        <v>81</v>
      </c>
      <c r="C82" s="12">
        <v>22</v>
      </c>
    </row>
    <row r="83" spans="2:3" x14ac:dyDescent="0.25">
      <c r="B83" s="34">
        <v>82</v>
      </c>
      <c r="C83" s="12">
        <v>22</v>
      </c>
    </row>
    <row r="84" spans="2:3" x14ac:dyDescent="0.25">
      <c r="B84" s="34">
        <v>83</v>
      </c>
      <c r="C84" s="12">
        <v>22</v>
      </c>
    </row>
    <row r="85" spans="2:3" x14ac:dyDescent="0.25">
      <c r="B85" s="34">
        <v>84</v>
      </c>
      <c r="C85" s="12">
        <v>21</v>
      </c>
    </row>
    <row r="86" spans="2:3" x14ac:dyDescent="0.25">
      <c r="B86" s="34">
        <v>85</v>
      </c>
      <c r="C86" s="12">
        <v>21</v>
      </c>
    </row>
    <row r="87" spans="2:3" x14ac:dyDescent="0.25">
      <c r="B87" s="34">
        <v>86</v>
      </c>
      <c r="C87" s="12">
        <v>20</v>
      </c>
    </row>
    <row r="88" spans="2:3" x14ac:dyDescent="0.25">
      <c r="B88" s="34">
        <v>87</v>
      </c>
      <c r="C88" s="12">
        <v>20</v>
      </c>
    </row>
    <row r="89" spans="2:3" x14ac:dyDescent="0.25">
      <c r="B89" s="34">
        <v>88</v>
      </c>
      <c r="C89" s="12">
        <v>20</v>
      </c>
    </row>
    <row r="90" spans="2:3" x14ac:dyDescent="0.25">
      <c r="B90" s="34">
        <v>89</v>
      </c>
      <c r="C90" s="12">
        <v>20</v>
      </c>
    </row>
    <row r="91" spans="2:3" x14ac:dyDescent="0.25">
      <c r="B91" s="34">
        <v>90</v>
      </c>
      <c r="C91" s="12">
        <v>19</v>
      </c>
    </row>
    <row r="92" spans="2:3" x14ac:dyDescent="0.25">
      <c r="B92" s="34">
        <v>91</v>
      </c>
      <c r="C92" s="12">
        <v>19</v>
      </c>
    </row>
    <row r="93" spans="2:3" x14ac:dyDescent="0.25">
      <c r="B93" s="34">
        <v>92</v>
      </c>
      <c r="C93" s="12">
        <v>19</v>
      </c>
    </row>
    <row r="94" spans="2:3" x14ac:dyDescent="0.25">
      <c r="B94" s="34">
        <v>93</v>
      </c>
      <c r="C94" s="12">
        <v>19</v>
      </c>
    </row>
    <row r="95" spans="2:3" x14ac:dyDescent="0.25">
      <c r="B95" s="34">
        <v>94</v>
      </c>
      <c r="C95" s="12">
        <v>19</v>
      </c>
    </row>
    <row r="96" spans="2:3" x14ac:dyDescent="0.25">
      <c r="B96" s="34">
        <v>95</v>
      </c>
      <c r="C96" s="12">
        <v>18</v>
      </c>
    </row>
    <row r="97" spans="2:3" x14ac:dyDescent="0.25">
      <c r="B97" s="34">
        <v>96</v>
      </c>
      <c r="C97" s="12">
        <v>18</v>
      </c>
    </row>
    <row r="98" spans="2:3" x14ac:dyDescent="0.25">
      <c r="B98" s="34">
        <v>97</v>
      </c>
      <c r="C98" s="12">
        <v>18</v>
      </c>
    </row>
    <row r="99" spans="2:3" x14ac:dyDescent="0.25">
      <c r="B99" s="34">
        <v>98</v>
      </c>
      <c r="C99" s="12">
        <v>18</v>
      </c>
    </row>
    <row r="100" spans="2:3" x14ac:dyDescent="0.25">
      <c r="B100" s="34">
        <v>99</v>
      </c>
      <c r="C100" s="12">
        <v>18</v>
      </c>
    </row>
    <row r="101" spans="2:3" x14ac:dyDescent="0.25">
      <c r="B101" s="34">
        <v>100</v>
      </c>
      <c r="C101" s="12">
        <v>17</v>
      </c>
    </row>
    <row r="102" spans="2:3" x14ac:dyDescent="0.25">
      <c r="B102" s="34">
        <v>101</v>
      </c>
      <c r="C102" s="12">
        <v>17</v>
      </c>
    </row>
    <row r="103" spans="2:3" x14ac:dyDescent="0.25">
      <c r="B103" s="34">
        <v>102</v>
      </c>
      <c r="C103" s="12">
        <v>17</v>
      </c>
    </row>
    <row r="104" spans="2:3" x14ac:dyDescent="0.25">
      <c r="B104" s="34">
        <v>103</v>
      </c>
      <c r="C104" s="12">
        <v>17</v>
      </c>
    </row>
    <row r="105" spans="2:3" x14ac:dyDescent="0.25">
      <c r="B105" s="34">
        <v>104</v>
      </c>
      <c r="C105" s="12">
        <v>17</v>
      </c>
    </row>
    <row r="106" spans="2:3" x14ac:dyDescent="0.25">
      <c r="B106" s="34">
        <v>105</v>
      </c>
      <c r="C106" s="12">
        <v>17</v>
      </c>
    </row>
    <row r="107" spans="2:3" x14ac:dyDescent="0.25">
      <c r="B107" s="34">
        <v>106</v>
      </c>
      <c r="C107" s="12">
        <v>17</v>
      </c>
    </row>
    <row r="108" spans="2:3" x14ac:dyDescent="0.25">
      <c r="B108" s="34">
        <v>107</v>
      </c>
      <c r="C108" s="12">
        <v>16</v>
      </c>
    </row>
    <row r="109" spans="2:3" x14ac:dyDescent="0.25">
      <c r="B109" s="34">
        <v>108</v>
      </c>
      <c r="C109" s="12">
        <v>16</v>
      </c>
    </row>
    <row r="110" spans="2:3" x14ac:dyDescent="0.25">
      <c r="B110" s="34">
        <v>109</v>
      </c>
      <c r="C110" s="12">
        <v>16</v>
      </c>
    </row>
    <row r="111" spans="2:3" x14ac:dyDescent="0.25">
      <c r="B111" s="34">
        <v>110</v>
      </c>
      <c r="C111" s="12">
        <v>16</v>
      </c>
    </row>
    <row r="112" spans="2:3" x14ac:dyDescent="0.25">
      <c r="B112" s="34">
        <v>111</v>
      </c>
      <c r="C112" s="12">
        <v>16</v>
      </c>
    </row>
    <row r="113" spans="2:3" x14ac:dyDescent="0.25">
      <c r="B113" s="34">
        <v>112</v>
      </c>
      <c r="C113" s="12">
        <v>16</v>
      </c>
    </row>
    <row r="114" spans="2:3" x14ac:dyDescent="0.25">
      <c r="B114" s="34">
        <v>113</v>
      </c>
      <c r="C114" s="12">
        <v>16</v>
      </c>
    </row>
    <row r="115" spans="2:3" x14ac:dyDescent="0.25">
      <c r="B115" s="34">
        <v>114</v>
      </c>
      <c r="C115" s="12">
        <v>16</v>
      </c>
    </row>
    <row r="116" spans="2:3" x14ac:dyDescent="0.25">
      <c r="B116" s="34">
        <v>115</v>
      </c>
      <c r="C116" s="12">
        <v>16</v>
      </c>
    </row>
    <row r="117" spans="2:3" x14ac:dyDescent="0.25">
      <c r="B117" s="34">
        <v>116</v>
      </c>
      <c r="C117" s="12">
        <v>16</v>
      </c>
    </row>
    <row r="118" spans="2:3" x14ac:dyDescent="0.25">
      <c r="B118" s="34">
        <v>117</v>
      </c>
      <c r="C118" s="12">
        <v>16</v>
      </c>
    </row>
    <row r="119" spans="2:3" x14ac:dyDescent="0.25">
      <c r="B119" s="34">
        <v>118</v>
      </c>
      <c r="C119" s="12">
        <v>15</v>
      </c>
    </row>
    <row r="120" spans="2:3" x14ac:dyDescent="0.25">
      <c r="B120" s="34">
        <v>119</v>
      </c>
      <c r="C120" s="12">
        <v>15</v>
      </c>
    </row>
    <row r="121" spans="2:3" x14ac:dyDescent="0.25">
      <c r="B121" s="34">
        <v>120</v>
      </c>
      <c r="C121" s="12">
        <v>15</v>
      </c>
    </row>
    <row r="122" spans="2:3" x14ac:dyDescent="0.25">
      <c r="B122" s="34">
        <v>121</v>
      </c>
      <c r="C122" s="12">
        <v>15</v>
      </c>
    </row>
    <row r="123" spans="2:3" x14ac:dyDescent="0.25">
      <c r="B123" s="34">
        <v>122</v>
      </c>
      <c r="C123" s="12">
        <v>15</v>
      </c>
    </row>
    <row r="124" spans="2:3" x14ac:dyDescent="0.25">
      <c r="B124" s="34">
        <v>123</v>
      </c>
      <c r="C124" s="12">
        <v>15</v>
      </c>
    </row>
    <row r="125" spans="2:3" x14ac:dyDescent="0.25">
      <c r="B125" s="34">
        <v>124</v>
      </c>
      <c r="C125" s="12">
        <v>15</v>
      </c>
    </row>
    <row r="126" spans="2:3" x14ac:dyDescent="0.25">
      <c r="B126" s="34">
        <v>125</v>
      </c>
      <c r="C126" s="12">
        <v>15</v>
      </c>
    </row>
    <row r="127" spans="2:3" x14ac:dyDescent="0.25">
      <c r="B127" s="34">
        <v>126</v>
      </c>
      <c r="C127" s="12">
        <v>15</v>
      </c>
    </row>
    <row r="128" spans="2:3" x14ac:dyDescent="0.25">
      <c r="B128" s="34">
        <v>127</v>
      </c>
      <c r="C128" s="12">
        <v>14</v>
      </c>
    </row>
    <row r="129" spans="2:3" x14ac:dyDescent="0.25">
      <c r="B129" s="34">
        <v>128</v>
      </c>
      <c r="C129" s="12">
        <v>14</v>
      </c>
    </row>
    <row r="130" spans="2:3" x14ac:dyDescent="0.25">
      <c r="B130" s="34">
        <v>129</v>
      </c>
      <c r="C130" s="12">
        <v>14</v>
      </c>
    </row>
    <row r="131" spans="2:3" x14ac:dyDescent="0.25">
      <c r="B131" s="34">
        <v>130</v>
      </c>
      <c r="C131" s="12">
        <v>14</v>
      </c>
    </row>
    <row r="132" spans="2:3" x14ac:dyDescent="0.25">
      <c r="B132" s="34">
        <v>131</v>
      </c>
      <c r="C132" s="12">
        <v>14</v>
      </c>
    </row>
    <row r="133" spans="2:3" x14ac:dyDescent="0.25">
      <c r="B133" s="34">
        <v>132</v>
      </c>
      <c r="C133" s="12">
        <v>14</v>
      </c>
    </row>
    <row r="134" spans="2:3" x14ac:dyDescent="0.25">
      <c r="B134" s="34">
        <v>133</v>
      </c>
      <c r="C134" s="12">
        <v>14</v>
      </c>
    </row>
    <row r="135" spans="2:3" x14ac:dyDescent="0.25">
      <c r="B135" s="34">
        <v>134</v>
      </c>
      <c r="C135" s="12">
        <v>13</v>
      </c>
    </row>
    <row r="136" spans="2:3" x14ac:dyDescent="0.25">
      <c r="B136" s="34">
        <v>135</v>
      </c>
      <c r="C136" s="12">
        <v>13</v>
      </c>
    </row>
    <row r="137" spans="2:3" x14ac:dyDescent="0.25">
      <c r="B137" s="34">
        <v>136</v>
      </c>
      <c r="C137" s="12">
        <v>13</v>
      </c>
    </row>
    <row r="138" spans="2:3" x14ac:dyDescent="0.25">
      <c r="B138" s="34">
        <v>137</v>
      </c>
      <c r="C138" s="12">
        <v>13</v>
      </c>
    </row>
    <row r="139" spans="2:3" x14ac:dyDescent="0.25">
      <c r="B139" s="34">
        <v>138</v>
      </c>
      <c r="C139" s="12">
        <v>13</v>
      </c>
    </row>
    <row r="140" spans="2:3" x14ac:dyDescent="0.25">
      <c r="B140" s="34">
        <v>139</v>
      </c>
      <c r="C140" s="12">
        <v>13</v>
      </c>
    </row>
    <row r="141" spans="2:3" x14ac:dyDescent="0.25">
      <c r="B141" s="34">
        <v>140</v>
      </c>
      <c r="C141" s="12">
        <v>12</v>
      </c>
    </row>
    <row r="142" spans="2:3" x14ac:dyDescent="0.25">
      <c r="B142" s="34">
        <v>141</v>
      </c>
      <c r="C142" s="12">
        <v>12</v>
      </c>
    </row>
    <row r="143" spans="2:3" x14ac:dyDescent="0.25">
      <c r="B143" s="34">
        <v>142</v>
      </c>
      <c r="C143" s="12">
        <v>12</v>
      </c>
    </row>
    <row r="144" spans="2:3" x14ac:dyDescent="0.25">
      <c r="B144" s="34">
        <v>143</v>
      </c>
      <c r="C144" s="12">
        <v>12</v>
      </c>
    </row>
    <row r="145" spans="2:3" x14ac:dyDescent="0.25">
      <c r="B145" s="34">
        <v>144</v>
      </c>
      <c r="C145" s="12">
        <v>12</v>
      </c>
    </row>
    <row r="146" spans="2:3" x14ac:dyDescent="0.25">
      <c r="B146" s="34">
        <v>145</v>
      </c>
      <c r="C146" s="12">
        <v>12</v>
      </c>
    </row>
    <row r="147" spans="2:3" x14ac:dyDescent="0.25">
      <c r="B147" s="34">
        <v>146</v>
      </c>
      <c r="C147" s="12">
        <v>12</v>
      </c>
    </row>
    <row r="148" spans="2:3" x14ac:dyDescent="0.25">
      <c r="B148" s="34">
        <v>147</v>
      </c>
      <c r="C148" s="12">
        <v>12</v>
      </c>
    </row>
    <row r="149" spans="2:3" x14ac:dyDescent="0.25">
      <c r="B149" s="34">
        <v>148</v>
      </c>
      <c r="C149" s="12">
        <v>12</v>
      </c>
    </row>
    <row r="150" spans="2:3" x14ac:dyDescent="0.25">
      <c r="B150" s="34">
        <v>149</v>
      </c>
      <c r="C150" s="12">
        <v>12</v>
      </c>
    </row>
    <row r="151" spans="2:3" x14ac:dyDescent="0.25">
      <c r="B151" s="34">
        <v>150</v>
      </c>
      <c r="C151" s="12">
        <v>12</v>
      </c>
    </row>
    <row r="152" spans="2:3" x14ac:dyDescent="0.25">
      <c r="B152" s="34">
        <v>151</v>
      </c>
      <c r="C152" s="12">
        <v>11</v>
      </c>
    </row>
    <row r="153" spans="2:3" x14ac:dyDescent="0.25">
      <c r="B153" s="34">
        <v>152</v>
      </c>
      <c r="C153" s="12">
        <v>11</v>
      </c>
    </row>
    <row r="154" spans="2:3" x14ac:dyDescent="0.25">
      <c r="B154" s="34">
        <v>153</v>
      </c>
      <c r="C154" s="12">
        <v>11</v>
      </c>
    </row>
    <row r="155" spans="2:3" x14ac:dyDescent="0.25">
      <c r="B155" s="34">
        <v>154</v>
      </c>
      <c r="C155" s="12">
        <v>11</v>
      </c>
    </row>
    <row r="156" spans="2:3" x14ac:dyDescent="0.25">
      <c r="B156" s="34">
        <v>155</v>
      </c>
      <c r="C156" s="12">
        <v>11</v>
      </c>
    </row>
    <row r="157" spans="2:3" x14ac:dyDescent="0.25">
      <c r="B157" s="34">
        <v>156</v>
      </c>
      <c r="C157" s="12">
        <v>11</v>
      </c>
    </row>
    <row r="158" spans="2:3" x14ac:dyDescent="0.25">
      <c r="B158" s="34">
        <v>157</v>
      </c>
      <c r="C158" s="12">
        <v>11</v>
      </c>
    </row>
    <row r="159" spans="2:3" x14ac:dyDescent="0.25">
      <c r="B159" s="34">
        <v>158</v>
      </c>
      <c r="C159" s="12">
        <v>10</v>
      </c>
    </row>
    <row r="160" spans="2:3" x14ac:dyDescent="0.25">
      <c r="B160" s="34">
        <v>159</v>
      </c>
      <c r="C160" s="12">
        <v>10</v>
      </c>
    </row>
    <row r="161" spans="2:3" x14ac:dyDescent="0.25">
      <c r="B161" s="34">
        <v>160</v>
      </c>
      <c r="C161" s="12">
        <v>10</v>
      </c>
    </row>
    <row r="162" spans="2:3" x14ac:dyDescent="0.25">
      <c r="B162" s="34">
        <v>161</v>
      </c>
      <c r="C162" s="12">
        <v>9</v>
      </c>
    </row>
    <row r="163" spans="2:3" x14ac:dyDescent="0.25">
      <c r="B163" s="34">
        <v>162</v>
      </c>
      <c r="C163" s="12">
        <v>9</v>
      </c>
    </row>
    <row r="164" spans="2:3" x14ac:dyDescent="0.25">
      <c r="B164" s="34">
        <v>163</v>
      </c>
      <c r="C164" s="12">
        <v>9</v>
      </c>
    </row>
    <row r="165" spans="2:3" x14ac:dyDescent="0.25">
      <c r="B165" s="34">
        <v>164</v>
      </c>
      <c r="C165" s="12">
        <v>9</v>
      </c>
    </row>
    <row r="166" spans="2:3" x14ac:dyDescent="0.25">
      <c r="B166" s="34">
        <v>165</v>
      </c>
      <c r="C166" s="12">
        <v>9</v>
      </c>
    </row>
    <row r="167" spans="2:3" x14ac:dyDescent="0.25">
      <c r="B167" s="34">
        <v>166</v>
      </c>
      <c r="C167" s="12">
        <v>9</v>
      </c>
    </row>
    <row r="168" spans="2:3" x14ac:dyDescent="0.25">
      <c r="B168" s="34">
        <v>167</v>
      </c>
      <c r="C168" s="12">
        <v>9</v>
      </c>
    </row>
    <row r="169" spans="2:3" x14ac:dyDescent="0.25">
      <c r="B169" s="34">
        <v>168</v>
      </c>
      <c r="C169" s="12">
        <v>9</v>
      </c>
    </row>
    <row r="170" spans="2:3" x14ac:dyDescent="0.25">
      <c r="B170" s="34">
        <v>169</v>
      </c>
      <c r="C170" s="12">
        <v>8</v>
      </c>
    </row>
    <row r="171" spans="2:3" x14ac:dyDescent="0.25">
      <c r="B171" s="34">
        <v>170</v>
      </c>
      <c r="C171" s="12">
        <v>8</v>
      </c>
    </row>
    <row r="172" spans="2:3" x14ac:dyDescent="0.25">
      <c r="B172" s="34">
        <v>171</v>
      </c>
      <c r="C172" s="12">
        <v>8</v>
      </c>
    </row>
    <row r="173" spans="2:3" x14ac:dyDescent="0.25">
      <c r="B173" s="34">
        <v>172</v>
      </c>
      <c r="C173" s="12">
        <v>8</v>
      </c>
    </row>
    <row r="174" spans="2:3" x14ac:dyDescent="0.25">
      <c r="B174" s="34">
        <v>173</v>
      </c>
      <c r="C174" s="12">
        <v>8</v>
      </c>
    </row>
    <row r="175" spans="2:3" x14ac:dyDescent="0.25">
      <c r="B175" s="34">
        <v>174</v>
      </c>
      <c r="C175" s="12">
        <v>8</v>
      </c>
    </row>
    <row r="176" spans="2:3" x14ac:dyDescent="0.25">
      <c r="B176" s="34">
        <v>175</v>
      </c>
      <c r="C176" s="12">
        <v>8</v>
      </c>
    </row>
    <row r="177" spans="2:3" x14ac:dyDescent="0.25">
      <c r="B177" s="34">
        <v>176</v>
      </c>
      <c r="C177" s="12">
        <v>8</v>
      </c>
    </row>
    <row r="178" spans="2:3" x14ac:dyDescent="0.25">
      <c r="B178" s="34">
        <v>177</v>
      </c>
      <c r="C178" s="12">
        <v>8</v>
      </c>
    </row>
    <row r="179" spans="2:3" x14ac:dyDescent="0.25">
      <c r="B179" s="34">
        <v>178</v>
      </c>
      <c r="C179" s="12">
        <v>8</v>
      </c>
    </row>
    <row r="180" spans="2:3" x14ac:dyDescent="0.25">
      <c r="B180" s="34">
        <v>179</v>
      </c>
      <c r="C180" s="12">
        <v>8</v>
      </c>
    </row>
    <row r="181" spans="2:3" x14ac:dyDescent="0.25">
      <c r="B181" s="34">
        <v>180</v>
      </c>
      <c r="C181" s="12">
        <v>8</v>
      </c>
    </row>
    <row r="182" spans="2:3" x14ac:dyDescent="0.25">
      <c r="B182" s="34">
        <v>181</v>
      </c>
      <c r="C182" s="12">
        <v>8</v>
      </c>
    </row>
    <row r="183" spans="2:3" x14ac:dyDescent="0.25">
      <c r="B183" s="34">
        <v>182</v>
      </c>
      <c r="C183" s="12">
        <v>8</v>
      </c>
    </row>
    <row r="184" spans="2:3" x14ac:dyDescent="0.25">
      <c r="B184" s="34">
        <v>183</v>
      </c>
      <c r="C184" s="12">
        <v>8</v>
      </c>
    </row>
    <row r="185" spans="2:3" x14ac:dyDescent="0.25">
      <c r="B185" s="34">
        <v>184</v>
      </c>
      <c r="C185" s="12">
        <v>7</v>
      </c>
    </row>
    <row r="186" spans="2:3" x14ac:dyDescent="0.25">
      <c r="B186" s="34">
        <v>185</v>
      </c>
      <c r="C186" s="12">
        <v>7</v>
      </c>
    </row>
    <row r="187" spans="2:3" x14ac:dyDescent="0.25">
      <c r="B187" s="34">
        <v>186</v>
      </c>
      <c r="C187" s="12">
        <v>7</v>
      </c>
    </row>
    <row r="188" spans="2:3" x14ac:dyDescent="0.25">
      <c r="B188" s="34">
        <v>187</v>
      </c>
      <c r="C188" s="12">
        <v>7</v>
      </c>
    </row>
    <row r="189" spans="2:3" x14ac:dyDescent="0.25">
      <c r="B189" s="34">
        <v>188</v>
      </c>
      <c r="C189" s="12">
        <v>7</v>
      </c>
    </row>
    <row r="190" spans="2:3" x14ac:dyDescent="0.25">
      <c r="B190" s="34">
        <v>189</v>
      </c>
      <c r="C190" s="12">
        <v>7</v>
      </c>
    </row>
    <row r="191" spans="2:3" x14ac:dyDescent="0.25">
      <c r="B191" s="34">
        <v>190</v>
      </c>
      <c r="C191" s="12">
        <v>7</v>
      </c>
    </row>
    <row r="192" spans="2:3" x14ac:dyDescent="0.25">
      <c r="B192" s="34">
        <v>191</v>
      </c>
      <c r="C192" s="12">
        <v>7</v>
      </c>
    </row>
    <row r="193" spans="2:3" x14ac:dyDescent="0.25">
      <c r="B193" s="34">
        <v>192</v>
      </c>
      <c r="C193" s="12">
        <v>7</v>
      </c>
    </row>
    <row r="194" spans="2:3" x14ac:dyDescent="0.25">
      <c r="B194" s="34">
        <v>193</v>
      </c>
      <c r="C194" s="12">
        <v>7</v>
      </c>
    </row>
    <row r="195" spans="2:3" x14ac:dyDescent="0.25">
      <c r="B195" s="34">
        <v>194</v>
      </c>
      <c r="C195" s="12">
        <v>7</v>
      </c>
    </row>
    <row r="196" spans="2:3" x14ac:dyDescent="0.25">
      <c r="B196" s="34">
        <v>195</v>
      </c>
      <c r="C196" s="12">
        <v>7</v>
      </c>
    </row>
    <row r="197" spans="2:3" x14ac:dyDescent="0.25">
      <c r="B197" s="34">
        <v>196</v>
      </c>
      <c r="C197" s="12">
        <v>7</v>
      </c>
    </row>
    <row r="198" spans="2:3" x14ac:dyDescent="0.25">
      <c r="B198" s="34">
        <v>197</v>
      </c>
      <c r="C198" s="12">
        <v>7</v>
      </c>
    </row>
    <row r="199" spans="2:3" x14ac:dyDescent="0.25">
      <c r="B199" s="34">
        <v>198</v>
      </c>
      <c r="C199" s="12">
        <v>7</v>
      </c>
    </row>
    <row r="200" spans="2:3" x14ac:dyDescent="0.25">
      <c r="B200" s="34">
        <v>199</v>
      </c>
      <c r="C200" s="12">
        <v>7</v>
      </c>
    </row>
    <row r="201" spans="2:3" x14ac:dyDescent="0.25">
      <c r="B201" s="34">
        <v>200</v>
      </c>
      <c r="C201" s="12">
        <v>7</v>
      </c>
    </row>
    <row r="202" spans="2:3" x14ac:dyDescent="0.25">
      <c r="B202" s="34">
        <v>201</v>
      </c>
      <c r="C202" s="12">
        <v>7</v>
      </c>
    </row>
    <row r="203" spans="2:3" x14ac:dyDescent="0.25">
      <c r="B203" s="34">
        <v>202</v>
      </c>
      <c r="C203" s="12">
        <v>7</v>
      </c>
    </row>
    <row r="204" spans="2:3" x14ac:dyDescent="0.25">
      <c r="B204" s="34">
        <v>203</v>
      </c>
      <c r="C204" s="12">
        <v>6</v>
      </c>
    </row>
    <row r="205" spans="2:3" x14ac:dyDescent="0.25">
      <c r="B205" s="34">
        <v>204</v>
      </c>
      <c r="C205" s="12">
        <v>6</v>
      </c>
    </row>
    <row r="206" spans="2:3" x14ac:dyDescent="0.25">
      <c r="B206" s="34">
        <v>205</v>
      </c>
      <c r="C206" s="12">
        <v>6</v>
      </c>
    </row>
    <row r="207" spans="2:3" x14ac:dyDescent="0.25">
      <c r="B207" s="34">
        <v>206</v>
      </c>
      <c r="C207" s="12">
        <v>6</v>
      </c>
    </row>
    <row r="208" spans="2:3" x14ac:dyDescent="0.25">
      <c r="B208" s="34">
        <v>207</v>
      </c>
      <c r="C208" s="12">
        <v>6</v>
      </c>
    </row>
    <row r="209" spans="2:3" x14ac:dyDescent="0.25">
      <c r="B209" s="34">
        <v>208</v>
      </c>
      <c r="C209" s="12">
        <v>6</v>
      </c>
    </row>
    <row r="210" spans="2:3" x14ac:dyDescent="0.25">
      <c r="B210" s="34">
        <v>209</v>
      </c>
      <c r="C210" s="12">
        <v>6</v>
      </c>
    </row>
    <row r="211" spans="2:3" x14ac:dyDescent="0.25">
      <c r="B211" s="34">
        <v>210</v>
      </c>
      <c r="C211" s="12">
        <v>6</v>
      </c>
    </row>
    <row r="212" spans="2:3" x14ac:dyDescent="0.25">
      <c r="B212" s="34">
        <v>211</v>
      </c>
      <c r="C212" s="12">
        <v>6</v>
      </c>
    </row>
    <row r="213" spans="2:3" x14ac:dyDescent="0.25">
      <c r="B213" s="34">
        <v>212</v>
      </c>
      <c r="C213" s="12">
        <v>6</v>
      </c>
    </row>
    <row r="214" spans="2:3" x14ac:dyDescent="0.25">
      <c r="B214" s="34">
        <v>213</v>
      </c>
      <c r="C214" s="12">
        <v>6</v>
      </c>
    </row>
    <row r="215" spans="2:3" x14ac:dyDescent="0.25">
      <c r="B215" s="34">
        <v>214</v>
      </c>
      <c r="C215" s="12">
        <v>6</v>
      </c>
    </row>
    <row r="216" spans="2:3" x14ac:dyDescent="0.25">
      <c r="B216" s="34">
        <v>215</v>
      </c>
      <c r="C216" s="12">
        <v>6</v>
      </c>
    </row>
    <row r="217" spans="2:3" x14ac:dyDescent="0.25">
      <c r="B217" s="34">
        <v>216</v>
      </c>
      <c r="C217" s="12">
        <v>6</v>
      </c>
    </row>
    <row r="218" spans="2:3" x14ac:dyDescent="0.25">
      <c r="B218" s="34">
        <v>217</v>
      </c>
      <c r="C218" s="12">
        <v>6</v>
      </c>
    </row>
    <row r="219" spans="2:3" x14ac:dyDescent="0.25">
      <c r="B219" s="34">
        <v>218</v>
      </c>
      <c r="C219" s="12">
        <v>6</v>
      </c>
    </row>
    <row r="220" spans="2:3" x14ac:dyDescent="0.25">
      <c r="B220" s="34">
        <v>219</v>
      </c>
      <c r="C220" s="12">
        <v>6</v>
      </c>
    </row>
    <row r="221" spans="2:3" x14ac:dyDescent="0.25">
      <c r="B221" s="34">
        <v>220</v>
      </c>
      <c r="C221" s="12">
        <v>6</v>
      </c>
    </row>
    <row r="222" spans="2:3" x14ac:dyDescent="0.25">
      <c r="B222" s="34">
        <v>221</v>
      </c>
      <c r="C222" s="12">
        <v>6</v>
      </c>
    </row>
    <row r="223" spans="2:3" x14ac:dyDescent="0.25">
      <c r="B223" s="34">
        <v>222</v>
      </c>
      <c r="C223" s="12">
        <v>6</v>
      </c>
    </row>
    <row r="224" spans="2:3" x14ac:dyDescent="0.25">
      <c r="B224" s="34">
        <v>223</v>
      </c>
      <c r="C224" s="12">
        <v>6</v>
      </c>
    </row>
    <row r="225" spans="2:3" x14ac:dyDescent="0.25">
      <c r="B225" s="34">
        <v>224</v>
      </c>
      <c r="C225" s="12">
        <v>6</v>
      </c>
    </row>
    <row r="226" spans="2:3" x14ac:dyDescent="0.25">
      <c r="B226" s="34">
        <v>225</v>
      </c>
      <c r="C226" s="12">
        <v>6</v>
      </c>
    </row>
    <row r="227" spans="2:3" x14ac:dyDescent="0.25">
      <c r="B227" s="34">
        <v>226</v>
      </c>
      <c r="C227" s="12">
        <v>5</v>
      </c>
    </row>
    <row r="228" spans="2:3" x14ac:dyDescent="0.25">
      <c r="B228" s="34">
        <v>227</v>
      </c>
      <c r="C228" s="12">
        <v>5</v>
      </c>
    </row>
    <row r="229" spans="2:3" x14ac:dyDescent="0.25">
      <c r="B229" s="34">
        <v>228</v>
      </c>
      <c r="C229" s="12">
        <v>5</v>
      </c>
    </row>
    <row r="230" spans="2:3" x14ac:dyDescent="0.25">
      <c r="B230" s="34">
        <v>229</v>
      </c>
      <c r="C230" s="12">
        <v>5</v>
      </c>
    </row>
    <row r="231" spans="2:3" x14ac:dyDescent="0.25">
      <c r="B231" s="34">
        <v>230</v>
      </c>
      <c r="C231" s="12">
        <v>5</v>
      </c>
    </row>
    <row r="232" spans="2:3" x14ac:dyDescent="0.25">
      <c r="B232" s="34">
        <v>231</v>
      </c>
      <c r="C232" s="12">
        <v>5</v>
      </c>
    </row>
    <row r="233" spans="2:3" x14ac:dyDescent="0.25">
      <c r="B233" s="34">
        <v>232</v>
      </c>
      <c r="C233" s="12">
        <v>5</v>
      </c>
    </row>
    <row r="234" spans="2:3" x14ac:dyDescent="0.25">
      <c r="B234" s="34">
        <v>233</v>
      </c>
      <c r="C234" s="12">
        <v>5</v>
      </c>
    </row>
    <row r="235" spans="2:3" x14ac:dyDescent="0.25">
      <c r="B235" s="34">
        <v>234</v>
      </c>
      <c r="C235" s="12">
        <v>5</v>
      </c>
    </row>
    <row r="236" spans="2:3" x14ac:dyDescent="0.25">
      <c r="B236" s="34">
        <v>235</v>
      </c>
      <c r="C236" s="12">
        <v>5</v>
      </c>
    </row>
    <row r="237" spans="2:3" x14ac:dyDescent="0.25">
      <c r="B237" s="34">
        <v>236</v>
      </c>
      <c r="C237" s="12">
        <v>5</v>
      </c>
    </row>
    <row r="238" spans="2:3" x14ac:dyDescent="0.25">
      <c r="B238" s="34">
        <v>237</v>
      </c>
      <c r="C238" s="12">
        <v>5</v>
      </c>
    </row>
    <row r="239" spans="2:3" x14ac:dyDescent="0.25">
      <c r="B239" s="34">
        <v>238</v>
      </c>
      <c r="C239" s="12">
        <v>5</v>
      </c>
    </row>
    <row r="240" spans="2:3" x14ac:dyDescent="0.25">
      <c r="B240" s="34">
        <v>239</v>
      </c>
      <c r="C240" s="12">
        <v>5</v>
      </c>
    </row>
    <row r="241" spans="2:3" x14ac:dyDescent="0.25">
      <c r="B241" s="34">
        <v>240</v>
      </c>
      <c r="C241" s="12">
        <v>5</v>
      </c>
    </row>
    <row r="242" spans="2:3" x14ac:dyDescent="0.25">
      <c r="B242" s="34">
        <v>241</v>
      </c>
      <c r="C242" s="12">
        <v>5</v>
      </c>
    </row>
    <row r="243" spans="2:3" x14ac:dyDescent="0.25">
      <c r="B243" s="34">
        <v>242</v>
      </c>
      <c r="C243" s="12">
        <v>5</v>
      </c>
    </row>
    <row r="244" spans="2:3" x14ac:dyDescent="0.25">
      <c r="B244" s="34">
        <v>243</v>
      </c>
      <c r="C244" s="12">
        <v>5</v>
      </c>
    </row>
    <row r="245" spans="2:3" x14ac:dyDescent="0.25">
      <c r="B245" s="34">
        <v>244</v>
      </c>
      <c r="C245" s="12">
        <v>5</v>
      </c>
    </row>
    <row r="246" spans="2:3" x14ac:dyDescent="0.25">
      <c r="B246" s="34">
        <v>245</v>
      </c>
      <c r="C246" s="12">
        <v>5</v>
      </c>
    </row>
    <row r="247" spans="2:3" x14ac:dyDescent="0.25">
      <c r="B247" s="34">
        <v>246</v>
      </c>
      <c r="C247" s="12">
        <v>5</v>
      </c>
    </row>
    <row r="248" spans="2:3" x14ac:dyDescent="0.25">
      <c r="B248" s="34">
        <v>247</v>
      </c>
      <c r="C248" s="12">
        <v>5</v>
      </c>
    </row>
    <row r="249" spans="2:3" x14ac:dyDescent="0.25">
      <c r="B249" s="34">
        <v>248</v>
      </c>
      <c r="C249" s="12">
        <v>4</v>
      </c>
    </row>
    <row r="250" spans="2:3" x14ac:dyDescent="0.25">
      <c r="B250" s="34">
        <v>249</v>
      </c>
      <c r="C250" s="12">
        <v>4</v>
      </c>
    </row>
    <row r="251" spans="2:3" x14ac:dyDescent="0.25">
      <c r="B251" s="34">
        <v>250</v>
      </c>
      <c r="C251" s="12">
        <v>4</v>
      </c>
    </row>
    <row r="252" spans="2:3" x14ac:dyDescent="0.25">
      <c r="B252" s="34">
        <v>251</v>
      </c>
      <c r="C252" s="12">
        <v>4</v>
      </c>
    </row>
    <row r="253" spans="2:3" x14ac:dyDescent="0.25">
      <c r="B253" s="34">
        <v>252</v>
      </c>
      <c r="C253" s="12">
        <v>4</v>
      </c>
    </row>
    <row r="254" spans="2:3" x14ac:dyDescent="0.25">
      <c r="B254" s="34">
        <v>253</v>
      </c>
      <c r="C254" s="12">
        <v>4</v>
      </c>
    </row>
    <row r="255" spans="2:3" x14ac:dyDescent="0.25">
      <c r="B255" s="34">
        <v>254</v>
      </c>
      <c r="C255" s="12">
        <v>4</v>
      </c>
    </row>
    <row r="256" spans="2:3" x14ac:dyDescent="0.25">
      <c r="B256" s="34">
        <v>255</v>
      </c>
      <c r="C256" s="12">
        <v>4</v>
      </c>
    </row>
    <row r="257" spans="2:3" x14ac:dyDescent="0.25">
      <c r="B257" s="34">
        <v>256</v>
      </c>
      <c r="C257" s="12">
        <v>4</v>
      </c>
    </row>
    <row r="258" spans="2:3" x14ac:dyDescent="0.25">
      <c r="B258" s="34">
        <v>257</v>
      </c>
      <c r="C258" s="12">
        <v>4</v>
      </c>
    </row>
    <row r="259" spans="2:3" x14ac:dyDescent="0.25">
      <c r="B259" s="34">
        <v>258</v>
      </c>
      <c r="C259" s="12">
        <v>4</v>
      </c>
    </row>
    <row r="260" spans="2:3" x14ac:dyDescent="0.25">
      <c r="B260" s="34">
        <v>259</v>
      </c>
      <c r="C260" s="12">
        <v>4</v>
      </c>
    </row>
    <row r="261" spans="2:3" x14ac:dyDescent="0.25">
      <c r="B261" s="34">
        <v>260</v>
      </c>
      <c r="C261" s="12">
        <v>4</v>
      </c>
    </row>
    <row r="262" spans="2:3" x14ac:dyDescent="0.25">
      <c r="B262" s="34">
        <v>261</v>
      </c>
      <c r="C262" s="12">
        <v>4</v>
      </c>
    </row>
    <row r="263" spans="2:3" x14ac:dyDescent="0.25">
      <c r="B263" s="34">
        <v>262</v>
      </c>
      <c r="C263" s="12">
        <v>4</v>
      </c>
    </row>
    <row r="264" spans="2:3" x14ac:dyDescent="0.25">
      <c r="B264" s="34">
        <v>263</v>
      </c>
      <c r="C264" s="12">
        <v>4</v>
      </c>
    </row>
    <row r="265" spans="2:3" x14ac:dyDescent="0.25">
      <c r="B265" s="34">
        <v>264</v>
      </c>
      <c r="C265" s="12">
        <v>4</v>
      </c>
    </row>
    <row r="266" spans="2:3" x14ac:dyDescent="0.25">
      <c r="B266" s="34">
        <v>265</v>
      </c>
      <c r="C266" s="12">
        <v>4</v>
      </c>
    </row>
    <row r="267" spans="2:3" x14ac:dyDescent="0.25">
      <c r="B267" s="34">
        <v>266</v>
      </c>
      <c r="C267" s="12">
        <v>4</v>
      </c>
    </row>
    <row r="268" spans="2:3" x14ac:dyDescent="0.25">
      <c r="B268" s="34">
        <v>267</v>
      </c>
      <c r="C268" s="12">
        <v>4</v>
      </c>
    </row>
    <row r="269" spans="2:3" x14ac:dyDescent="0.25">
      <c r="B269" s="34">
        <v>268</v>
      </c>
      <c r="C269" s="12">
        <v>4</v>
      </c>
    </row>
    <row r="270" spans="2:3" x14ac:dyDescent="0.25">
      <c r="B270" s="34">
        <v>269</v>
      </c>
      <c r="C270" s="12">
        <v>4</v>
      </c>
    </row>
    <row r="271" spans="2:3" x14ac:dyDescent="0.25">
      <c r="B271" s="34">
        <v>270</v>
      </c>
      <c r="C271" s="12">
        <v>4</v>
      </c>
    </row>
    <row r="272" spans="2:3" x14ac:dyDescent="0.25">
      <c r="B272" s="34">
        <v>271</v>
      </c>
      <c r="C272" s="12">
        <v>4</v>
      </c>
    </row>
    <row r="273" spans="2:3" x14ac:dyDescent="0.25">
      <c r="B273" s="34">
        <v>272</v>
      </c>
      <c r="C273" s="12">
        <v>4</v>
      </c>
    </row>
    <row r="274" spans="2:3" x14ac:dyDescent="0.25">
      <c r="B274" s="34">
        <v>273</v>
      </c>
      <c r="C274" s="12">
        <v>4</v>
      </c>
    </row>
    <row r="275" spans="2:3" x14ac:dyDescent="0.25">
      <c r="B275" s="34">
        <v>274</v>
      </c>
      <c r="C275" s="12">
        <v>3</v>
      </c>
    </row>
    <row r="276" spans="2:3" x14ac:dyDescent="0.25">
      <c r="B276" s="34">
        <v>275</v>
      </c>
      <c r="C276" s="12">
        <v>3</v>
      </c>
    </row>
    <row r="277" spans="2:3" x14ac:dyDescent="0.25">
      <c r="B277" s="34">
        <v>276</v>
      </c>
      <c r="C277" s="12">
        <v>3</v>
      </c>
    </row>
    <row r="278" spans="2:3" x14ac:dyDescent="0.25">
      <c r="B278" s="34">
        <v>277</v>
      </c>
      <c r="C278" s="12">
        <v>3</v>
      </c>
    </row>
    <row r="279" spans="2:3" x14ac:dyDescent="0.25">
      <c r="B279" s="34">
        <v>278</v>
      </c>
      <c r="C279" s="12">
        <v>3</v>
      </c>
    </row>
    <row r="280" spans="2:3" x14ac:dyDescent="0.25">
      <c r="B280" s="34">
        <v>279</v>
      </c>
      <c r="C280" s="12">
        <v>3</v>
      </c>
    </row>
    <row r="281" spans="2:3" x14ac:dyDescent="0.25">
      <c r="B281" s="34">
        <v>280</v>
      </c>
      <c r="C281" s="12">
        <v>3</v>
      </c>
    </row>
    <row r="282" spans="2:3" x14ac:dyDescent="0.25">
      <c r="B282" s="34">
        <v>281</v>
      </c>
      <c r="C282" s="12">
        <v>3</v>
      </c>
    </row>
    <row r="283" spans="2:3" x14ac:dyDescent="0.25">
      <c r="B283" s="34">
        <v>282</v>
      </c>
      <c r="C283" s="12">
        <v>3</v>
      </c>
    </row>
    <row r="284" spans="2:3" x14ac:dyDescent="0.25">
      <c r="B284" s="34">
        <v>283</v>
      </c>
      <c r="C284" s="12">
        <v>3</v>
      </c>
    </row>
    <row r="285" spans="2:3" x14ac:dyDescent="0.25">
      <c r="B285" s="34">
        <v>284</v>
      </c>
      <c r="C285" s="12">
        <v>3</v>
      </c>
    </row>
    <row r="286" spans="2:3" x14ac:dyDescent="0.25">
      <c r="B286" s="34">
        <v>285</v>
      </c>
      <c r="C286" s="12">
        <v>3</v>
      </c>
    </row>
    <row r="287" spans="2:3" x14ac:dyDescent="0.25">
      <c r="B287" s="34">
        <v>286</v>
      </c>
      <c r="C287" s="12">
        <v>3</v>
      </c>
    </row>
    <row r="288" spans="2:3" x14ac:dyDescent="0.25">
      <c r="B288" s="34">
        <v>287</v>
      </c>
      <c r="C288" s="12">
        <v>3</v>
      </c>
    </row>
    <row r="289" spans="2:3" x14ac:dyDescent="0.25">
      <c r="B289" s="34">
        <v>288</v>
      </c>
      <c r="C289" s="12">
        <v>3</v>
      </c>
    </row>
    <row r="290" spans="2:3" x14ac:dyDescent="0.25">
      <c r="B290" s="34">
        <v>289</v>
      </c>
      <c r="C290" s="12">
        <v>3</v>
      </c>
    </row>
    <row r="291" spans="2:3" x14ac:dyDescent="0.25">
      <c r="B291" s="34">
        <v>290</v>
      </c>
      <c r="C291" s="12">
        <v>3</v>
      </c>
    </row>
    <row r="292" spans="2:3" x14ac:dyDescent="0.25">
      <c r="B292" s="34">
        <v>291</v>
      </c>
      <c r="C292" s="12">
        <v>3</v>
      </c>
    </row>
    <row r="293" spans="2:3" x14ac:dyDescent="0.25">
      <c r="B293" s="34">
        <v>292</v>
      </c>
      <c r="C293" s="12">
        <v>3</v>
      </c>
    </row>
    <row r="294" spans="2:3" x14ac:dyDescent="0.25">
      <c r="B294" s="34">
        <v>293</v>
      </c>
      <c r="C294" s="12">
        <v>3</v>
      </c>
    </row>
    <row r="295" spans="2:3" x14ac:dyDescent="0.25">
      <c r="B295" s="34">
        <v>294</v>
      </c>
      <c r="C295" s="12">
        <v>3</v>
      </c>
    </row>
    <row r="296" spans="2:3" x14ac:dyDescent="0.25">
      <c r="B296" s="34">
        <v>295</v>
      </c>
      <c r="C296" s="12">
        <v>3</v>
      </c>
    </row>
    <row r="297" spans="2:3" x14ac:dyDescent="0.25">
      <c r="B297" s="34">
        <v>296</v>
      </c>
      <c r="C297" s="12">
        <v>3</v>
      </c>
    </row>
    <row r="298" spans="2:3" x14ac:dyDescent="0.25">
      <c r="B298" s="34">
        <v>297</v>
      </c>
      <c r="C298" s="12">
        <v>3</v>
      </c>
    </row>
    <row r="299" spans="2:3" x14ac:dyDescent="0.25">
      <c r="B299" s="34">
        <v>298</v>
      </c>
      <c r="C299" s="12">
        <v>3</v>
      </c>
    </row>
    <row r="300" spans="2:3" x14ac:dyDescent="0.25">
      <c r="B300" s="34">
        <v>299</v>
      </c>
      <c r="C300" s="12">
        <v>3</v>
      </c>
    </row>
    <row r="301" spans="2:3" x14ac:dyDescent="0.25">
      <c r="B301" s="34">
        <v>300</v>
      </c>
      <c r="C301" s="12">
        <v>3</v>
      </c>
    </row>
    <row r="302" spans="2:3" x14ac:dyDescent="0.25">
      <c r="B302" s="34">
        <v>301</v>
      </c>
      <c r="C302" s="12">
        <v>3</v>
      </c>
    </row>
    <row r="303" spans="2:3" x14ac:dyDescent="0.25">
      <c r="B303" s="34">
        <v>302</v>
      </c>
      <c r="C303" s="12">
        <v>3</v>
      </c>
    </row>
    <row r="304" spans="2:3" x14ac:dyDescent="0.25">
      <c r="B304" s="34">
        <v>303</v>
      </c>
      <c r="C304" s="12">
        <v>3</v>
      </c>
    </row>
    <row r="305" spans="2:3" x14ac:dyDescent="0.25">
      <c r="B305" s="34">
        <v>304</v>
      </c>
      <c r="C305" s="12">
        <v>3</v>
      </c>
    </row>
    <row r="306" spans="2:3" x14ac:dyDescent="0.25">
      <c r="B306" s="34">
        <v>305</v>
      </c>
      <c r="C306" s="12">
        <v>3</v>
      </c>
    </row>
    <row r="307" spans="2:3" x14ac:dyDescent="0.25">
      <c r="B307" s="34">
        <v>306</v>
      </c>
      <c r="C307" s="12">
        <v>3</v>
      </c>
    </row>
    <row r="308" spans="2:3" x14ac:dyDescent="0.25">
      <c r="B308" s="34">
        <v>307</v>
      </c>
      <c r="C308" s="12">
        <v>3</v>
      </c>
    </row>
    <row r="309" spans="2:3" x14ac:dyDescent="0.25">
      <c r="B309" s="34">
        <v>308</v>
      </c>
      <c r="C309" s="12">
        <v>3</v>
      </c>
    </row>
    <row r="310" spans="2:3" x14ac:dyDescent="0.25">
      <c r="B310" s="34">
        <v>309</v>
      </c>
      <c r="C310" s="12">
        <v>3</v>
      </c>
    </row>
    <row r="311" spans="2:3" x14ac:dyDescent="0.25">
      <c r="B311" s="34">
        <v>310</v>
      </c>
      <c r="C311" s="12">
        <v>3</v>
      </c>
    </row>
    <row r="312" spans="2:3" x14ac:dyDescent="0.25">
      <c r="B312" s="34">
        <v>311</v>
      </c>
      <c r="C312" s="12">
        <v>2</v>
      </c>
    </row>
    <row r="313" spans="2:3" x14ac:dyDescent="0.25">
      <c r="B313" s="34">
        <v>312</v>
      </c>
      <c r="C313" s="12">
        <v>2</v>
      </c>
    </row>
    <row r="314" spans="2:3" x14ac:dyDescent="0.25">
      <c r="B314" s="34">
        <v>313</v>
      </c>
      <c r="C314" s="12">
        <v>2</v>
      </c>
    </row>
    <row r="315" spans="2:3" x14ac:dyDescent="0.25">
      <c r="B315" s="34">
        <v>314</v>
      </c>
      <c r="C315" s="12">
        <v>2</v>
      </c>
    </row>
    <row r="316" spans="2:3" x14ac:dyDescent="0.25">
      <c r="B316" s="34">
        <v>315</v>
      </c>
      <c r="C316" s="12">
        <v>2</v>
      </c>
    </row>
    <row r="317" spans="2:3" x14ac:dyDescent="0.25">
      <c r="B317" s="34">
        <v>316</v>
      </c>
      <c r="C317" s="12">
        <v>2</v>
      </c>
    </row>
    <row r="318" spans="2:3" x14ac:dyDescent="0.25">
      <c r="B318" s="34">
        <v>317</v>
      </c>
      <c r="C318" s="12">
        <v>2</v>
      </c>
    </row>
    <row r="319" spans="2:3" x14ac:dyDescent="0.25">
      <c r="B319" s="34">
        <v>318</v>
      </c>
      <c r="C319" s="12">
        <v>2</v>
      </c>
    </row>
    <row r="320" spans="2:3" x14ac:dyDescent="0.25">
      <c r="B320" s="34">
        <v>319</v>
      </c>
      <c r="C320" s="12">
        <v>2</v>
      </c>
    </row>
    <row r="321" spans="2:3" x14ac:dyDescent="0.25">
      <c r="B321" s="34">
        <v>320</v>
      </c>
      <c r="C321" s="12">
        <v>2</v>
      </c>
    </row>
    <row r="322" spans="2:3" x14ac:dyDescent="0.25">
      <c r="B322" s="34">
        <v>321</v>
      </c>
      <c r="C322" s="12">
        <v>2</v>
      </c>
    </row>
    <row r="323" spans="2:3" x14ac:dyDescent="0.25">
      <c r="B323" s="34">
        <v>322</v>
      </c>
      <c r="C323" s="12">
        <v>2</v>
      </c>
    </row>
    <row r="324" spans="2:3" x14ac:dyDescent="0.25">
      <c r="B324" s="34">
        <v>323</v>
      </c>
      <c r="C324" s="12">
        <v>2</v>
      </c>
    </row>
    <row r="325" spans="2:3" x14ac:dyDescent="0.25">
      <c r="B325" s="34">
        <v>324</v>
      </c>
      <c r="C325" s="12">
        <v>2</v>
      </c>
    </row>
    <row r="326" spans="2:3" x14ac:dyDescent="0.25">
      <c r="B326" s="34">
        <v>325</v>
      </c>
      <c r="C326" s="12">
        <v>2</v>
      </c>
    </row>
    <row r="327" spans="2:3" x14ac:dyDescent="0.25">
      <c r="B327" s="34">
        <v>326</v>
      </c>
      <c r="C327" s="12">
        <v>2</v>
      </c>
    </row>
    <row r="328" spans="2:3" x14ac:dyDescent="0.25">
      <c r="B328" s="34">
        <v>327</v>
      </c>
      <c r="C328" s="12">
        <v>2</v>
      </c>
    </row>
    <row r="329" spans="2:3" x14ac:dyDescent="0.25">
      <c r="B329" s="34">
        <v>328</v>
      </c>
      <c r="C329" s="12">
        <v>2</v>
      </c>
    </row>
    <row r="330" spans="2:3" x14ac:dyDescent="0.25">
      <c r="B330" s="34">
        <v>329</v>
      </c>
      <c r="C330" s="12">
        <v>2</v>
      </c>
    </row>
    <row r="331" spans="2:3" x14ac:dyDescent="0.25">
      <c r="B331" s="34">
        <v>330</v>
      </c>
      <c r="C331" s="12">
        <v>2</v>
      </c>
    </row>
    <row r="332" spans="2:3" x14ac:dyDescent="0.25">
      <c r="B332" s="34">
        <v>331</v>
      </c>
      <c r="C332" s="12">
        <v>2</v>
      </c>
    </row>
    <row r="333" spans="2:3" x14ac:dyDescent="0.25">
      <c r="B333" s="34">
        <v>332</v>
      </c>
      <c r="C333" s="12">
        <v>2</v>
      </c>
    </row>
    <row r="334" spans="2:3" x14ac:dyDescent="0.25">
      <c r="B334" s="34">
        <v>333</v>
      </c>
      <c r="C334" s="12">
        <v>2</v>
      </c>
    </row>
    <row r="335" spans="2:3" x14ac:dyDescent="0.25">
      <c r="B335" s="34">
        <v>334</v>
      </c>
      <c r="C335" s="12">
        <v>2</v>
      </c>
    </row>
    <row r="336" spans="2:3" x14ac:dyDescent="0.25">
      <c r="B336" s="34">
        <v>335</v>
      </c>
      <c r="C336" s="12">
        <v>2</v>
      </c>
    </row>
    <row r="337" spans="2:3" x14ac:dyDescent="0.25">
      <c r="B337" s="34">
        <v>336</v>
      </c>
      <c r="C337" s="12">
        <v>2</v>
      </c>
    </row>
    <row r="338" spans="2:3" x14ac:dyDescent="0.25">
      <c r="B338" s="34">
        <v>337</v>
      </c>
      <c r="C338" s="12">
        <v>2</v>
      </c>
    </row>
    <row r="339" spans="2:3" x14ac:dyDescent="0.25">
      <c r="B339" s="34">
        <v>338</v>
      </c>
      <c r="C339" s="12">
        <v>2</v>
      </c>
    </row>
    <row r="340" spans="2:3" x14ac:dyDescent="0.25">
      <c r="B340" s="34">
        <v>339</v>
      </c>
      <c r="C340" s="12">
        <v>2</v>
      </c>
    </row>
    <row r="341" spans="2:3" x14ac:dyDescent="0.25">
      <c r="B341" s="34">
        <v>340</v>
      </c>
      <c r="C341" s="12">
        <v>2</v>
      </c>
    </row>
    <row r="342" spans="2:3" x14ac:dyDescent="0.25">
      <c r="B342" s="34">
        <v>341</v>
      </c>
      <c r="C342" s="12">
        <v>2</v>
      </c>
    </row>
    <row r="343" spans="2:3" x14ac:dyDescent="0.25">
      <c r="B343" s="34">
        <v>342</v>
      </c>
      <c r="C343" s="12">
        <v>2</v>
      </c>
    </row>
    <row r="344" spans="2:3" x14ac:dyDescent="0.25">
      <c r="B344" s="34">
        <v>343</v>
      </c>
      <c r="C344" s="12">
        <v>2</v>
      </c>
    </row>
    <row r="345" spans="2:3" x14ac:dyDescent="0.25">
      <c r="B345" s="34">
        <v>344</v>
      </c>
      <c r="C345" s="12">
        <v>2</v>
      </c>
    </row>
    <row r="346" spans="2:3" x14ac:dyDescent="0.25">
      <c r="B346" s="34">
        <v>345</v>
      </c>
      <c r="C346" s="12">
        <v>2</v>
      </c>
    </row>
    <row r="347" spans="2:3" x14ac:dyDescent="0.25">
      <c r="B347" s="34">
        <v>346</v>
      </c>
      <c r="C347" s="12">
        <v>2</v>
      </c>
    </row>
    <row r="348" spans="2:3" x14ac:dyDescent="0.25">
      <c r="B348" s="34">
        <v>347</v>
      </c>
      <c r="C348" s="12">
        <v>2</v>
      </c>
    </row>
    <row r="349" spans="2:3" x14ac:dyDescent="0.25">
      <c r="B349" s="34">
        <v>348</v>
      </c>
      <c r="C349" s="12">
        <v>2</v>
      </c>
    </row>
    <row r="350" spans="2:3" x14ac:dyDescent="0.25">
      <c r="B350" s="34">
        <v>349</v>
      </c>
      <c r="C350" s="12">
        <v>2</v>
      </c>
    </row>
    <row r="351" spans="2:3" x14ac:dyDescent="0.25">
      <c r="B351" s="34">
        <v>350</v>
      </c>
      <c r="C351" s="12">
        <v>2</v>
      </c>
    </row>
    <row r="352" spans="2:3" x14ac:dyDescent="0.25">
      <c r="B352" s="34">
        <v>351</v>
      </c>
      <c r="C352" s="12">
        <v>2</v>
      </c>
    </row>
    <row r="353" spans="2:3" x14ac:dyDescent="0.25">
      <c r="B353" s="34">
        <v>352</v>
      </c>
      <c r="C353" s="12">
        <v>2</v>
      </c>
    </row>
    <row r="354" spans="2:3" x14ac:dyDescent="0.25">
      <c r="B354" s="34">
        <v>353</v>
      </c>
      <c r="C354" s="12">
        <v>2</v>
      </c>
    </row>
    <row r="355" spans="2:3" x14ac:dyDescent="0.25">
      <c r="B355" s="34">
        <v>354</v>
      </c>
      <c r="C355" s="12">
        <v>2</v>
      </c>
    </row>
    <row r="356" spans="2:3" x14ac:dyDescent="0.25">
      <c r="B356" s="34">
        <v>355</v>
      </c>
      <c r="C356" s="12">
        <v>2</v>
      </c>
    </row>
    <row r="357" spans="2:3" x14ac:dyDescent="0.25">
      <c r="B357" s="34">
        <v>356</v>
      </c>
      <c r="C357" s="12">
        <v>2</v>
      </c>
    </row>
    <row r="358" spans="2:3" x14ac:dyDescent="0.25">
      <c r="B358" s="34">
        <v>357</v>
      </c>
      <c r="C358" s="12">
        <v>2</v>
      </c>
    </row>
    <row r="359" spans="2:3" x14ac:dyDescent="0.25">
      <c r="B359" s="34">
        <v>358</v>
      </c>
      <c r="C359" s="12">
        <v>2</v>
      </c>
    </row>
    <row r="360" spans="2:3" x14ac:dyDescent="0.25">
      <c r="B360" s="34">
        <v>359</v>
      </c>
      <c r="C360" s="12">
        <v>2</v>
      </c>
    </row>
    <row r="361" spans="2:3" x14ac:dyDescent="0.25">
      <c r="B361" s="34">
        <v>360</v>
      </c>
      <c r="C361" s="12">
        <v>2</v>
      </c>
    </row>
    <row r="362" spans="2:3" x14ac:dyDescent="0.25">
      <c r="B362" s="34">
        <v>361</v>
      </c>
      <c r="C362" s="12">
        <v>2</v>
      </c>
    </row>
    <row r="363" spans="2:3" x14ac:dyDescent="0.25">
      <c r="B363" s="34">
        <v>362</v>
      </c>
      <c r="C363" s="12">
        <v>2</v>
      </c>
    </row>
    <row r="364" spans="2:3" x14ac:dyDescent="0.25">
      <c r="B364" s="34">
        <v>363</v>
      </c>
      <c r="C364" s="12">
        <v>2</v>
      </c>
    </row>
    <row r="365" spans="2:3" x14ac:dyDescent="0.25">
      <c r="B365" s="34">
        <v>364</v>
      </c>
      <c r="C365" s="12">
        <v>2</v>
      </c>
    </row>
    <row r="366" spans="2:3" x14ac:dyDescent="0.25">
      <c r="B366" s="34">
        <v>365</v>
      </c>
      <c r="C366" s="12">
        <v>2</v>
      </c>
    </row>
    <row r="367" spans="2:3" x14ac:dyDescent="0.25">
      <c r="B367" s="34">
        <v>366</v>
      </c>
      <c r="C367" s="12">
        <v>2</v>
      </c>
    </row>
    <row r="368" spans="2:3" x14ac:dyDescent="0.25">
      <c r="B368" s="34">
        <v>367</v>
      </c>
      <c r="C368" s="12">
        <v>2</v>
      </c>
    </row>
    <row r="369" spans="2:3" x14ac:dyDescent="0.25">
      <c r="B369" s="34">
        <v>368</v>
      </c>
      <c r="C369" s="12">
        <v>2</v>
      </c>
    </row>
    <row r="370" spans="2:3" x14ac:dyDescent="0.25">
      <c r="B370" s="34">
        <v>369</v>
      </c>
      <c r="C370" s="12">
        <v>2</v>
      </c>
    </row>
    <row r="371" spans="2:3" x14ac:dyDescent="0.25">
      <c r="B371" s="34">
        <v>370</v>
      </c>
      <c r="C371" s="12">
        <v>2</v>
      </c>
    </row>
    <row r="372" spans="2:3" x14ac:dyDescent="0.25">
      <c r="B372" s="34">
        <v>371</v>
      </c>
      <c r="C372" s="12">
        <v>2</v>
      </c>
    </row>
    <row r="373" spans="2:3" x14ac:dyDescent="0.25">
      <c r="B373" s="34">
        <v>372</v>
      </c>
      <c r="C373" s="12">
        <v>2</v>
      </c>
    </row>
    <row r="374" spans="2:3" x14ac:dyDescent="0.25">
      <c r="B374" s="34">
        <v>373</v>
      </c>
      <c r="C374" s="12">
        <v>2</v>
      </c>
    </row>
    <row r="375" spans="2:3" x14ac:dyDescent="0.25">
      <c r="B375" s="34">
        <v>374</v>
      </c>
      <c r="C375" s="12">
        <v>2</v>
      </c>
    </row>
    <row r="376" spans="2:3" x14ac:dyDescent="0.25">
      <c r="B376" s="34">
        <v>375</v>
      </c>
      <c r="C376" s="12">
        <v>2</v>
      </c>
    </row>
    <row r="377" spans="2:3" x14ac:dyDescent="0.25">
      <c r="B377" s="34">
        <v>376</v>
      </c>
      <c r="C377" s="12">
        <v>2</v>
      </c>
    </row>
    <row r="378" spans="2:3" x14ac:dyDescent="0.25">
      <c r="B378" s="34">
        <v>377</v>
      </c>
      <c r="C378" s="12">
        <v>2</v>
      </c>
    </row>
    <row r="379" spans="2:3" x14ac:dyDescent="0.25">
      <c r="B379" s="34">
        <v>378</v>
      </c>
      <c r="C379" s="12">
        <v>2</v>
      </c>
    </row>
    <row r="380" spans="2:3" x14ac:dyDescent="0.25">
      <c r="B380" s="34">
        <v>379</v>
      </c>
      <c r="C380" s="12">
        <v>2</v>
      </c>
    </row>
    <row r="381" spans="2:3" x14ac:dyDescent="0.25">
      <c r="B381" s="34">
        <v>380</v>
      </c>
      <c r="C381" s="12">
        <v>1</v>
      </c>
    </row>
    <row r="382" spans="2:3" x14ac:dyDescent="0.25">
      <c r="B382" s="34">
        <v>381</v>
      </c>
      <c r="C382" s="12">
        <v>1</v>
      </c>
    </row>
    <row r="383" spans="2:3" x14ac:dyDescent="0.25">
      <c r="B383" s="34">
        <v>382</v>
      </c>
      <c r="C383" s="12">
        <v>1</v>
      </c>
    </row>
    <row r="384" spans="2:3" x14ac:dyDescent="0.25">
      <c r="B384" s="34">
        <v>383</v>
      </c>
      <c r="C384" s="12">
        <v>1</v>
      </c>
    </row>
    <row r="385" spans="2:3" x14ac:dyDescent="0.25">
      <c r="B385" s="34">
        <v>384</v>
      </c>
      <c r="C385" s="12">
        <v>1</v>
      </c>
    </row>
    <row r="386" spans="2:3" x14ac:dyDescent="0.25">
      <c r="B386" s="34">
        <v>385</v>
      </c>
      <c r="C386" s="12">
        <v>1</v>
      </c>
    </row>
    <row r="387" spans="2:3" x14ac:dyDescent="0.25">
      <c r="B387" s="34">
        <v>386</v>
      </c>
      <c r="C387" s="12">
        <v>1</v>
      </c>
    </row>
    <row r="388" spans="2:3" x14ac:dyDescent="0.25">
      <c r="B388" s="34">
        <v>387</v>
      </c>
      <c r="C388" s="12">
        <v>1</v>
      </c>
    </row>
    <row r="389" spans="2:3" x14ac:dyDescent="0.25">
      <c r="B389" s="34">
        <v>388</v>
      </c>
      <c r="C389" s="12">
        <v>1</v>
      </c>
    </row>
    <row r="390" spans="2:3" x14ac:dyDescent="0.25">
      <c r="B390" s="34">
        <v>389</v>
      </c>
      <c r="C390" s="12">
        <v>1</v>
      </c>
    </row>
    <row r="391" spans="2:3" x14ac:dyDescent="0.25">
      <c r="B391" s="34">
        <v>390</v>
      </c>
      <c r="C391" s="12">
        <v>1</v>
      </c>
    </row>
    <row r="392" spans="2:3" x14ac:dyDescent="0.25">
      <c r="B392" s="34">
        <v>391</v>
      </c>
      <c r="C392" s="12">
        <v>1</v>
      </c>
    </row>
    <row r="393" spans="2:3" x14ac:dyDescent="0.25">
      <c r="B393" s="34">
        <v>392</v>
      </c>
      <c r="C393" s="12">
        <v>1</v>
      </c>
    </row>
    <row r="394" spans="2:3" x14ac:dyDescent="0.25">
      <c r="B394" s="34">
        <v>393</v>
      </c>
      <c r="C394" s="12">
        <v>1</v>
      </c>
    </row>
    <row r="395" spans="2:3" x14ac:dyDescent="0.25">
      <c r="B395" s="34">
        <v>394</v>
      </c>
      <c r="C395" s="12">
        <v>1</v>
      </c>
    </row>
    <row r="396" spans="2:3" x14ac:dyDescent="0.25">
      <c r="B396" s="34">
        <v>395</v>
      </c>
      <c r="C396" s="12">
        <v>1</v>
      </c>
    </row>
    <row r="397" spans="2:3" x14ac:dyDescent="0.25">
      <c r="B397" s="34">
        <v>396</v>
      </c>
      <c r="C397" s="12">
        <v>1</v>
      </c>
    </row>
    <row r="398" spans="2:3" x14ac:dyDescent="0.25">
      <c r="B398" s="34">
        <v>397</v>
      </c>
      <c r="C398" s="12">
        <v>1</v>
      </c>
    </row>
    <row r="399" spans="2:3" x14ac:dyDescent="0.25">
      <c r="B399" s="34">
        <v>398</v>
      </c>
      <c r="C399" s="12">
        <v>1</v>
      </c>
    </row>
    <row r="400" spans="2:3" x14ac:dyDescent="0.25">
      <c r="B400" s="34">
        <v>399</v>
      </c>
      <c r="C400" s="12">
        <v>1</v>
      </c>
    </row>
    <row r="401" spans="2:3" x14ac:dyDescent="0.25">
      <c r="B401" s="34">
        <v>400</v>
      </c>
      <c r="C401" s="12">
        <v>1</v>
      </c>
    </row>
    <row r="402" spans="2:3" x14ac:dyDescent="0.25">
      <c r="B402" s="34">
        <v>401</v>
      </c>
      <c r="C402" s="12">
        <v>1</v>
      </c>
    </row>
    <row r="403" spans="2:3" x14ac:dyDescent="0.25">
      <c r="B403" s="34">
        <v>402</v>
      </c>
      <c r="C403" s="12">
        <v>1</v>
      </c>
    </row>
    <row r="404" spans="2:3" x14ac:dyDescent="0.25">
      <c r="B404" s="34">
        <v>403</v>
      </c>
      <c r="C404" s="12">
        <v>1</v>
      </c>
    </row>
    <row r="405" spans="2:3" x14ac:dyDescent="0.25">
      <c r="B405" s="34">
        <v>404</v>
      </c>
      <c r="C405" s="12">
        <v>1</v>
      </c>
    </row>
    <row r="406" spans="2:3" x14ac:dyDescent="0.25">
      <c r="B406" s="34">
        <v>405</v>
      </c>
      <c r="C406" s="12">
        <v>1</v>
      </c>
    </row>
    <row r="407" spans="2:3" x14ac:dyDescent="0.25">
      <c r="B407" s="34">
        <v>406</v>
      </c>
      <c r="C407" s="12">
        <v>1</v>
      </c>
    </row>
    <row r="408" spans="2:3" x14ac:dyDescent="0.25">
      <c r="B408" s="34">
        <v>407</v>
      </c>
      <c r="C408" s="12">
        <v>1</v>
      </c>
    </row>
    <row r="409" spans="2:3" x14ac:dyDescent="0.25">
      <c r="B409" s="34">
        <v>408</v>
      </c>
      <c r="C409" s="12">
        <v>1</v>
      </c>
    </row>
    <row r="410" spans="2:3" x14ac:dyDescent="0.25">
      <c r="B410" s="34">
        <v>409</v>
      </c>
      <c r="C410" s="12">
        <v>1</v>
      </c>
    </row>
    <row r="411" spans="2:3" x14ac:dyDescent="0.25">
      <c r="B411" s="34">
        <v>410</v>
      </c>
      <c r="C411" s="12">
        <v>1</v>
      </c>
    </row>
    <row r="412" spans="2:3" x14ac:dyDescent="0.25">
      <c r="B412" s="34">
        <v>411</v>
      </c>
      <c r="C412" s="12">
        <v>1</v>
      </c>
    </row>
    <row r="413" spans="2:3" x14ac:dyDescent="0.25">
      <c r="B413" s="34">
        <v>412</v>
      </c>
      <c r="C413" s="12">
        <v>1</v>
      </c>
    </row>
    <row r="414" spans="2:3" x14ac:dyDescent="0.25">
      <c r="B414" s="34">
        <v>413</v>
      </c>
      <c r="C414" s="12">
        <v>1</v>
      </c>
    </row>
    <row r="415" spans="2:3" x14ac:dyDescent="0.25">
      <c r="B415" s="34">
        <v>414</v>
      </c>
      <c r="C415" s="12">
        <v>1</v>
      </c>
    </row>
    <row r="416" spans="2:3" x14ac:dyDescent="0.25">
      <c r="B416" s="34">
        <v>415</v>
      </c>
      <c r="C416" s="12">
        <v>1</v>
      </c>
    </row>
    <row r="417" spans="2:3" x14ac:dyDescent="0.25">
      <c r="B417" s="34">
        <v>416</v>
      </c>
      <c r="C417" s="12">
        <v>1</v>
      </c>
    </row>
    <row r="418" spans="2:3" x14ac:dyDescent="0.25">
      <c r="B418" s="34">
        <v>417</v>
      </c>
      <c r="C418" s="12">
        <v>1</v>
      </c>
    </row>
    <row r="419" spans="2:3" x14ac:dyDescent="0.25">
      <c r="B419" s="34">
        <v>418</v>
      </c>
      <c r="C419" s="12">
        <v>1</v>
      </c>
    </row>
    <row r="420" spans="2:3" x14ac:dyDescent="0.25">
      <c r="B420" s="34">
        <v>419</v>
      </c>
      <c r="C420" s="12">
        <v>1</v>
      </c>
    </row>
    <row r="421" spans="2:3" x14ac:dyDescent="0.25">
      <c r="B421" s="34">
        <v>420</v>
      </c>
      <c r="C421" s="12">
        <v>1</v>
      </c>
    </row>
    <row r="422" spans="2:3" x14ac:dyDescent="0.25">
      <c r="B422" s="34">
        <v>421</v>
      </c>
      <c r="C422" s="12">
        <v>1</v>
      </c>
    </row>
    <row r="423" spans="2:3" x14ac:dyDescent="0.25">
      <c r="B423" s="34">
        <v>422</v>
      </c>
      <c r="C423" s="12">
        <v>1</v>
      </c>
    </row>
    <row r="424" spans="2:3" x14ac:dyDescent="0.25">
      <c r="B424" s="34">
        <v>423</v>
      </c>
      <c r="C424" s="12">
        <v>1</v>
      </c>
    </row>
    <row r="425" spans="2:3" x14ac:dyDescent="0.25">
      <c r="B425" s="34">
        <v>424</v>
      </c>
      <c r="C425" s="12">
        <v>1</v>
      </c>
    </row>
    <row r="426" spans="2:3" x14ac:dyDescent="0.25">
      <c r="B426" s="34">
        <v>425</v>
      </c>
      <c r="C426" s="12">
        <v>1</v>
      </c>
    </row>
    <row r="427" spans="2:3" x14ac:dyDescent="0.25">
      <c r="B427" s="34">
        <v>426</v>
      </c>
      <c r="C427" s="12">
        <v>1</v>
      </c>
    </row>
    <row r="428" spans="2:3" x14ac:dyDescent="0.25">
      <c r="B428" s="34">
        <v>427</v>
      </c>
      <c r="C428" s="12">
        <v>1</v>
      </c>
    </row>
    <row r="429" spans="2:3" x14ac:dyDescent="0.25">
      <c r="B429" s="34">
        <v>428</v>
      </c>
      <c r="C429" s="12">
        <v>1</v>
      </c>
    </row>
    <row r="430" spans="2:3" x14ac:dyDescent="0.25">
      <c r="B430" s="34">
        <v>429</v>
      </c>
      <c r="C430" s="12">
        <v>1</v>
      </c>
    </row>
    <row r="431" spans="2:3" x14ac:dyDescent="0.25">
      <c r="B431" s="34">
        <v>430</v>
      </c>
      <c r="C431" s="12">
        <v>1</v>
      </c>
    </row>
    <row r="432" spans="2:3" x14ac:dyDescent="0.25">
      <c r="B432" s="34">
        <v>431</v>
      </c>
      <c r="C432" s="12">
        <v>1</v>
      </c>
    </row>
    <row r="433" spans="2:3" x14ac:dyDescent="0.25">
      <c r="B433" s="34">
        <v>432</v>
      </c>
      <c r="C433" s="12">
        <v>1</v>
      </c>
    </row>
    <row r="434" spans="2:3" x14ac:dyDescent="0.25">
      <c r="B434" s="34">
        <v>433</v>
      </c>
      <c r="C434" s="12">
        <v>1</v>
      </c>
    </row>
    <row r="435" spans="2:3" x14ac:dyDescent="0.25">
      <c r="B435" s="34">
        <v>434</v>
      </c>
      <c r="C435" s="12">
        <v>1</v>
      </c>
    </row>
    <row r="436" spans="2:3" x14ac:dyDescent="0.25">
      <c r="B436" s="34">
        <v>435</v>
      </c>
      <c r="C436" s="12">
        <v>1</v>
      </c>
    </row>
    <row r="437" spans="2:3" x14ac:dyDescent="0.25">
      <c r="B437" s="34">
        <v>436</v>
      </c>
      <c r="C437" s="12">
        <v>1</v>
      </c>
    </row>
    <row r="438" spans="2:3" x14ac:dyDescent="0.25">
      <c r="B438" s="34">
        <v>437</v>
      </c>
      <c r="C438" s="12">
        <v>1</v>
      </c>
    </row>
    <row r="439" spans="2:3" x14ac:dyDescent="0.25">
      <c r="B439" s="34">
        <v>438</v>
      </c>
      <c r="C439" s="12">
        <v>1</v>
      </c>
    </row>
    <row r="440" spans="2:3" x14ac:dyDescent="0.25">
      <c r="B440" s="34">
        <v>439</v>
      </c>
      <c r="C440" s="12">
        <v>1</v>
      </c>
    </row>
    <row r="441" spans="2:3" x14ac:dyDescent="0.25">
      <c r="B441" s="34">
        <v>440</v>
      </c>
      <c r="C441" s="12">
        <v>1</v>
      </c>
    </row>
    <row r="442" spans="2:3" x14ac:dyDescent="0.25">
      <c r="B442" s="34">
        <v>441</v>
      </c>
      <c r="C442" s="12">
        <v>1</v>
      </c>
    </row>
    <row r="443" spans="2:3" x14ac:dyDescent="0.25">
      <c r="B443" s="34">
        <v>442</v>
      </c>
      <c r="C443" s="12">
        <v>1</v>
      </c>
    </row>
    <row r="444" spans="2:3" x14ac:dyDescent="0.25">
      <c r="B444" s="34">
        <v>443</v>
      </c>
      <c r="C444" s="12">
        <v>1</v>
      </c>
    </row>
    <row r="445" spans="2:3" x14ac:dyDescent="0.25">
      <c r="B445" s="34">
        <v>444</v>
      </c>
      <c r="C445" s="12">
        <v>1</v>
      </c>
    </row>
    <row r="446" spans="2:3" x14ac:dyDescent="0.25">
      <c r="B446" s="34">
        <v>445</v>
      </c>
      <c r="C446" s="12">
        <v>1</v>
      </c>
    </row>
    <row r="447" spans="2:3" x14ac:dyDescent="0.25">
      <c r="B447" s="34">
        <v>446</v>
      </c>
      <c r="C447" s="12">
        <v>1</v>
      </c>
    </row>
    <row r="448" spans="2:3" x14ac:dyDescent="0.25">
      <c r="B448" s="34">
        <v>447</v>
      </c>
      <c r="C448" s="12">
        <v>1</v>
      </c>
    </row>
    <row r="449" spans="2:3" x14ac:dyDescent="0.25">
      <c r="B449" s="34">
        <v>448</v>
      </c>
      <c r="C449" s="12">
        <v>1</v>
      </c>
    </row>
    <row r="450" spans="2:3" x14ac:dyDescent="0.25">
      <c r="B450" s="34">
        <v>449</v>
      </c>
      <c r="C450" s="12">
        <v>1</v>
      </c>
    </row>
    <row r="451" spans="2:3" x14ac:dyDescent="0.25">
      <c r="B451" s="34">
        <v>450</v>
      </c>
      <c r="C451" s="12">
        <v>1</v>
      </c>
    </row>
    <row r="452" spans="2:3" x14ac:dyDescent="0.25">
      <c r="B452" s="34">
        <v>451</v>
      </c>
      <c r="C452" s="12">
        <v>1</v>
      </c>
    </row>
    <row r="453" spans="2:3" x14ac:dyDescent="0.25">
      <c r="B453" s="34">
        <v>452</v>
      </c>
      <c r="C453" s="12">
        <v>1</v>
      </c>
    </row>
    <row r="454" spans="2:3" x14ac:dyDescent="0.25">
      <c r="B454" s="34">
        <v>453</v>
      </c>
      <c r="C454" s="12">
        <v>1</v>
      </c>
    </row>
    <row r="455" spans="2:3" x14ac:dyDescent="0.25">
      <c r="B455" s="34">
        <v>454</v>
      </c>
      <c r="C455" s="12">
        <v>1</v>
      </c>
    </row>
    <row r="456" spans="2:3" x14ac:dyDescent="0.25">
      <c r="B456" s="34">
        <v>455</v>
      </c>
      <c r="C456" s="12">
        <v>1</v>
      </c>
    </row>
    <row r="457" spans="2:3" x14ac:dyDescent="0.25">
      <c r="B457" s="34">
        <v>456</v>
      </c>
      <c r="C457" s="12">
        <v>1</v>
      </c>
    </row>
    <row r="458" spans="2:3" x14ac:dyDescent="0.25">
      <c r="B458" s="34">
        <v>457</v>
      </c>
      <c r="C458" s="12">
        <v>1</v>
      </c>
    </row>
    <row r="459" spans="2:3" x14ac:dyDescent="0.25">
      <c r="B459" s="34">
        <v>458</v>
      </c>
      <c r="C459" s="12">
        <v>1</v>
      </c>
    </row>
    <row r="460" spans="2:3" x14ac:dyDescent="0.25">
      <c r="B460" s="34">
        <v>459</v>
      </c>
      <c r="C460" s="12">
        <v>1</v>
      </c>
    </row>
    <row r="461" spans="2:3" x14ac:dyDescent="0.25">
      <c r="B461" s="34">
        <v>460</v>
      </c>
      <c r="C461" s="12">
        <v>1</v>
      </c>
    </row>
    <row r="462" spans="2:3" x14ac:dyDescent="0.25">
      <c r="B462" s="34">
        <v>461</v>
      </c>
      <c r="C462" s="12">
        <v>1</v>
      </c>
    </row>
    <row r="463" spans="2:3" x14ac:dyDescent="0.25">
      <c r="B463" s="34">
        <v>462</v>
      </c>
      <c r="C463" s="12">
        <v>1</v>
      </c>
    </row>
    <row r="464" spans="2:3" x14ac:dyDescent="0.25">
      <c r="B464" s="34">
        <v>463</v>
      </c>
      <c r="C464" s="12">
        <v>1</v>
      </c>
    </row>
    <row r="465" spans="2:3" x14ac:dyDescent="0.25">
      <c r="B465" s="34">
        <v>464</v>
      </c>
      <c r="C465" s="12">
        <v>1</v>
      </c>
    </row>
    <row r="466" spans="2:3" x14ac:dyDescent="0.25">
      <c r="B466" s="34">
        <v>465</v>
      </c>
      <c r="C466" s="12">
        <v>1</v>
      </c>
    </row>
    <row r="467" spans="2:3" x14ac:dyDescent="0.25">
      <c r="B467" s="34">
        <v>466</v>
      </c>
      <c r="C467" s="12">
        <v>1</v>
      </c>
    </row>
    <row r="468" spans="2:3" x14ac:dyDescent="0.25">
      <c r="B468" s="34">
        <v>467</v>
      </c>
      <c r="C468" s="12">
        <v>1</v>
      </c>
    </row>
    <row r="469" spans="2:3" x14ac:dyDescent="0.25">
      <c r="B469" s="34">
        <v>468</v>
      </c>
      <c r="C469" s="12">
        <v>0</v>
      </c>
    </row>
    <row r="470" spans="2:3" x14ac:dyDescent="0.25">
      <c r="B470" s="34">
        <v>469</v>
      </c>
      <c r="C470" s="12">
        <v>0</v>
      </c>
    </row>
    <row r="471" spans="2:3" x14ac:dyDescent="0.25">
      <c r="B471" s="34">
        <v>470</v>
      </c>
      <c r="C471" s="12">
        <v>0</v>
      </c>
    </row>
    <row r="472" spans="2:3" x14ac:dyDescent="0.25">
      <c r="B472" s="34">
        <v>471</v>
      </c>
      <c r="C472" s="12">
        <v>0</v>
      </c>
    </row>
    <row r="473" spans="2:3" x14ac:dyDescent="0.25">
      <c r="B473" s="34">
        <v>472</v>
      </c>
      <c r="C473" s="12">
        <v>0</v>
      </c>
    </row>
    <row r="474" spans="2:3" x14ac:dyDescent="0.25">
      <c r="B474" s="34">
        <v>473</v>
      </c>
      <c r="C474" s="12">
        <v>0</v>
      </c>
    </row>
    <row r="475" spans="2:3" x14ac:dyDescent="0.25">
      <c r="B475" s="34">
        <v>474</v>
      </c>
      <c r="C475" s="12">
        <v>0</v>
      </c>
    </row>
    <row r="476" spans="2:3" x14ac:dyDescent="0.25">
      <c r="B476" s="34">
        <v>475</v>
      </c>
      <c r="C476" s="12">
        <v>0</v>
      </c>
    </row>
    <row r="477" spans="2:3" x14ac:dyDescent="0.25">
      <c r="B477" s="34">
        <v>476</v>
      </c>
      <c r="C477" s="12">
        <v>0</v>
      </c>
    </row>
    <row r="478" spans="2:3" x14ac:dyDescent="0.25">
      <c r="B478" s="34">
        <v>477</v>
      </c>
      <c r="C478" s="12">
        <v>0</v>
      </c>
    </row>
    <row r="479" spans="2:3" x14ac:dyDescent="0.25">
      <c r="B479" s="34">
        <v>478</v>
      </c>
      <c r="C479" s="12">
        <v>0</v>
      </c>
    </row>
    <row r="480" spans="2:3" x14ac:dyDescent="0.25">
      <c r="B480" s="34">
        <v>479</v>
      </c>
      <c r="C480" s="12">
        <v>0</v>
      </c>
    </row>
    <row r="481" spans="2:3" x14ac:dyDescent="0.25">
      <c r="B481" s="34">
        <v>480</v>
      </c>
      <c r="C481" s="12">
        <v>0</v>
      </c>
    </row>
    <row r="482" spans="2:3" x14ac:dyDescent="0.25">
      <c r="B482" s="34">
        <v>481</v>
      </c>
      <c r="C482" s="12">
        <v>0</v>
      </c>
    </row>
    <row r="483" spans="2:3" x14ac:dyDescent="0.25">
      <c r="B483" s="34">
        <v>482</v>
      </c>
      <c r="C483" s="12">
        <v>0</v>
      </c>
    </row>
    <row r="484" spans="2:3" x14ac:dyDescent="0.25">
      <c r="B484" s="34">
        <v>483</v>
      </c>
      <c r="C484" s="12">
        <v>0</v>
      </c>
    </row>
    <row r="485" spans="2:3" x14ac:dyDescent="0.25">
      <c r="B485" s="34">
        <v>484</v>
      </c>
      <c r="C485" s="12">
        <v>0</v>
      </c>
    </row>
    <row r="486" spans="2:3" x14ac:dyDescent="0.25">
      <c r="B486" s="34">
        <v>485</v>
      </c>
      <c r="C486" s="12">
        <v>0</v>
      </c>
    </row>
    <row r="487" spans="2:3" x14ac:dyDescent="0.25">
      <c r="B487" s="34">
        <v>486</v>
      </c>
      <c r="C487" s="12">
        <v>0</v>
      </c>
    </row>
    <row r="488" spans="2:3" x14ac:dyDescent="0.25">
      <c r="B488" s="34">
        <v>487</v>
      </c>
      <c r="C488" s="12">
        <v>0</v>
      </c>
    </row>
    <row r="489" spans="2:3" x14ac:dyDescent="0.25">
      <c r="B489" s="34">
        <v>488</v>
      </c>
      <c r="C489" s="12">
        <v>0</v>
      </c>
    </row>
    <row r="490" spans="2:3" x14ac:dyDescent="0.25">
      <c r="B490" s="34">
        <v>489</v>
      </c>
      <c r="C490" s="12">
        <v>0</v>
      </c>
    </row>
    <row r="491" spans="2:3" x14ac:dyDescent="0.25">
      <c r="B491" s="34">
        <v>490</v>
      </c>
      <c r="C491" s="12">
        <v>0</v>
      </c>
    </row>
    <row r="492" spans="2:3" x14ac:dyDescent="0.25">
      <c r="B492" s="34">
        <v>491</v>
      </c>
      <c r="C492" s="12">
        <v>0</v>
      </c>
    </row>
    <row r="493" spans="2:3" x14ac:dyDescent="0.25">
      <c r="B493" s="34">
        <v>492</v>
      </c>
      <c r="C493" s="12">
        <v>0</v>
      </c>
    </row>
    <row r="494" spans="2:3" x14ac:dyDescent="0.25">
      <c r="B494" s="34">
        <v>493</v>
      </c>
      <c r="C494" s="12">
        <v>0</v>
      </c>
    </row>
    <row r="495" spans="2:3" x14ac:dyDescent="0.25">
      <c r="B495" s="34">
        <v>494</v>
      </c>
      <c r="C495" s="12">
        <v>0</v>
      </c>
    </row>
    <row r="496" spans="2:3" x14ac:dyDescent="0.25">
      <c r="B496" s="34">
        <v>495</v>
      </c>
      <c r="C496" s="12">
        <v>0</v>
      </c>
    </row>
    <row r="497" spans="2:3" x14ac:dyDescent="0.25">
      <c r="B497" s="34">
        <v>496</v>
      </c>
      <c r="C497" s="12">
        <v>0</v>
      </c>
    </row>
    <row r="498" spans="2:3" x14ac:dyDescent="0.25">
      <c r="B498" s="34">
        <v>497</v>
      </c>
      <c r="C498" s="12">
        <v>0</v>
      </c>
    </row>
    <row r="499" spans="2:3" x14ac:dyDescent="0.25">
      <c r="B499" s="34">
        <v>498</v>
      </c>
      <c r="C499" s="12">
        <v>0</v>
      </c>
    </row>
    <row r="500" spans="2:3" x14ac:dyDescent="0.25">
      <c r="B500" s="34">
        <v>499</v>
      </c>
      <c r="C500" s="12">
        <v>0</v>
      </c>
    </row>
    <row r="501" spans="2:3" x14ac:dyDescent="0.25">
      <c r="B501" s="34">
        <v>500</v>
      </c>
      <c r="C501" s="12">
        <v>0</v>
      </c>
    </row>
    <row r="502" spans="2:3" x14ac:dyDescent="0.25">
      <c r="B502" s="34">
        <v>501</v>
      </c>
      <c r="C502" s="12">
        <v>0</v>
      </c>
    </row>
    <row r="503" spans="2:3" x14ac:dyDescent="0.25">
      <c r="B503" s="34">
        <v>502</v>
      </c>
      <c r="C503" s="12">
        <v>0</v>
      </c>
    </row>
    <row r="504" spans="2:3" x14ac:dyDescent="0.25">
      <c r="B504" s="34">
        <v>503</v>
      </c>
      <c r="C504" s="12">
        <v>0</v>
      </c>
    </row>
    <row r="505" spans="2:3" x14ac:dyDescent="0.25">
      <c r="B505" s="34">
        <v>504</v>
      </c>
      <c r="C505" s="12">
        <v>0</v>
      </c>
    </row>
    <row r="506" spans="2:3" x14ac:dyDescent="0.25">
      <c r="B506" s="34">
        <v>505</v>
      </c>
      <c r="C506" s="12">
        <v>0</v>
      </c>
    </row>
    <row r="507" spans="2:3" x14ac:dyDescent="0.25">
      <c r="B507" s="34">
        <v>506</v>
      </c>
      <c r="C507" s="12">
        <v>0</v>
      </c>
    </row>
    <row r="508" spans="2:3" x14ac:dyDescent="0.25">
      <c r="B508" s="34">
        <v>507</v>
      </c>
      <c r="C508" s="12">
        <v>0</v>
      </c>
    </row>
    <row r="509" spans="2:3" x14ac:dyDescent="0.25">
      <c r="B509" s="34">
        <v>508</v>
      </c>
      <c r="C509" s="12">
        <v>0</v>
      </c>
    </row>
    <row r="510" spans="2:3" x14ac:dyDescent="0.25">
      <c r="B510" s="34">
        <v>509</v>
      </c>
      <c r="C510" s="12">
        <v>0</v>
      </c>
    </row>
    <row r="511" spans="2:3" x14ac:dyDescent="0.25">
      <c r="B511" s="34">
        <v>510</v>
      </c>
      <c r="C511" s="12">
        <v>0</v>
      </c>
    </row>
    <row r="512" spans="2:3" x14ac:dyDescent="0.25">
      <c r="B512" s="34">
        <v>511</v>
      </c>
      <c r="C512" s="12">
        <v>0</v>
      </c>
    </row>
    <row r="513" spans="2:3" x14ac:dyDescent="0.25">
      <c r="B513" s="34">
        <v>512</v>
      </c>
      <c r="C513" s="12">
        <v>0</v>
      </c>
    </row>
    <row r="514" spans="2:3" x14ac:dyDescent="0.25">
      <c r="B514" s="34">
        <v>513</v>
      </c>
      <c r="C514" s="12">
        <v>0</v>
      </c>
    </row>
    <row r="515" spans="2:3" x14ac:dyDescent="0.25">
      <c r="B515" s="34">
        <v>514</v>
      </c>
      <c r="C515" s="12">
        <v>0</v>
      </c>
    </row>
    <row r="516" spans="2:3" x14ac:dyDescent="0.25">
      <c r="B516" s="34">
        <v>515</v>
      </c>
      <c r="C516" s="12">
        <v>0</v>
      </c>
    </row>
    <row r="517" spans="2:3" x14ac:dyDescent="0.25">
      <c r="B517" s="34">
        <v>516</v>
      </c>
      <c r="C517" s="12">
        <v>0</v>
      </c>
    </row>
    <row r="518" spans="2:3" x14ac:dyDescent="0.25">
      <c r="B518" s="34">
        <v>517</v>
      </c>
      <c r="C518" s="12">
        <v>0</v>
      </c>
    </row>
    <row r="519" spans="2:3" x14ac:dyDescent="0.25">
      <c r="B519" s="34">
        <v>518</v>
      </c>
      <c r="C519" s="12">
        <v>0</v>
      </c>
    </row>
    <row r="520" spans="2:3" x14ac:dyDescent="0.25">
      <c r="B520" s="34">
        <v>519</v>
      </c>
      <c r="C520" s="12">
        <v>0</v>
      </c>
    </row>
    <row r="521" spans="2:3" x14ac:dyDescent="0.25">
      <c r="B521" s="34">
        <v>520</v>
      </c>
      <c r="C521" s="12">
        <v>0</v>
      </c>
    </row>
    <row r="522" spans="2:3" x14ac:dyDescent="0.25">
      <c r="B522" s="34">
        <v>521</v>
      </c>
      <c r="C522" s="12">
        <v>0</v>
      </c>
    </row>
    <row r="523" spans="2:3" x14ac:dyDescent="0.25">
      <c r="B523" s="34">
        <v>522</v>
      </c>
      <c r="C523" s="12">
        <v>0</v>
      </c>
    </row>
    <row r="524" spans="2:3" x14ac:dyDescent="0.25">
      <c r="B524" s="34">
        <v>523</v>
      </c>
      <c r="C524" s="12">
        <v>0</v>
      </c>
    </row>
    <row r="525" spans="2:3" x14ac:dyDescent="0.25">
      <c r="B525" s="34">
        <v>524</v>
      </c>
      <c r="C525" s="12">
        <v>0</v>
      </c>
    </row>
    <row r="526" spans="2:3" x14ac:dyDescent="0.25">
      <c r="B526" s="34">
        <v>525</v>
      </c>
      <c r="C526" s="12">
        <v>0</v>
      </c>
    </row>
    <row r="527" spans="2:3" x14ac:dyDescent="0.25">
      <c r="B527" s="34">
        <v>526</v>
      </c>
      <c r="C527" s="12">
        <v>0</v>
      </c>
    </row>
    <row r="528" spans="2:3" x14ac:dyDescent="0.25">
      <c r="B528" s="34">
        <v>527</v>
      </c>
      <c r="C528" s="12">
        <v>0</v>
      </c>
    </row>
    <row r="529" spans="2:3" x14ac:dyDescent="0.25">
      <c r="B529" s="34">
        <v>528</v>
      </c>
      <c r="C529" s="12">
        <v>0</v>
      </c>
    </row>
    <row r="530" spans="2:3" x14ac:dyDescent="0.25">
      <c r="B530" s="34">
        <v>529</v>
      </c>
      <c r="C530" s="12">
        <v>0</v>
      </c>
    </row>
    <row r="531" spans="2:3" x14ac:dyDescent="0.25">
      <c r="B531" s="34">
        <v>530</v>
      </c>
      <c r="C531" s="12">
        <v>0</v>
      </c>
    </row>
    <row r="532" spans="2:3" x14ac:dyDescent="0.25">
      <c r="B532" s="34">
        <v>531</v>
      </c>
      <c r="C532" s="12">
        <v>0</v>
      </c>
    </row>
    <row r="533" spans="2:3" x14ac:dyDescent="0.25">
      <c r="B533" s="34">
        <v>532</v>
      </c>
      <c r="C533" s="12">
        <v>0</v>
      </c>
    </row>
    <row r="534" spans="2:3" x14ac:dyDescent="0.25">
      <c r="B534" s="34">
        <v>533</v>
      </c>
      <c r="C534" s="12">
        <v>0</v>
      </c>
    </row>
    <row r="535" spans="2:3" x14ac:dyDescent="0.25">
      <c r="B535" s="34">
        <v>534</v>
      </c>
      <c r="C535" s="12">
        <v>0</v>
      </c>
    </row>
    <row r="536" spans="2:3" x14ac:dyDescent="0.25">
      <c r="B536" s="34">
        <v>535</v>
      </c>
      <c r="C536" s="12">
        <v>0</v>
      </c>
    </row>
    <row r="537" spans="2:3" x14ac:dyDescent="0.25">
      <c r="B537" s="34">
        <v>536</v>
      </c>
      <c r="C537" s="12">
        <v>0</v>
      </c>
    </row>
    <row r="538" spans="2:3" x14ac:dyDescent="0.25">
      <c r="B538" s="34">
        <v>537</v>
      </c>
      <c r="C538" s="12">
        <v>0</v>
      </c>
    </row>
    <row r="539" spans="2:3" x14ac:dyDescent="0.25">
      <c r="B539" s="34">
        <v>538</v>
      </c>
      <c r="C539" s="12">
        <v>0</v>
      </c>
    </row>
    <row r="540" spans="2:3" x14ac:dyDescent="0.25">
      <c r="B540" s="34">
        <v>539</v>
      </c>
      <c r="C540" s="12">
        <v>0</v>
      </c>
    </row>
    <row r="541" spans="2:3" x14ac:dyDescent="0.25">
      <c r="B541" s="34">
        <v>540</v>
      </c>
      <c r="C541" s="12">
        <v>0</v>
      </c>
    </row>
    <row r="542" spans="2:3" x14ac:dyDescent="0.25">
      <c r="B542" s="34">
        <v>541</v>
      </c>
      <c r="C542" s="12">
        <v>0</v>
      </c>
    </row>
    <row r="543" spans="2:3" x14ac:dyDescent="0.25">
      <c r="B543" s="34">
        <v>542</v>
      </c>
      <c r="C543" s="12">
        <v>0</v>
      </c>
    </row>
    <row r="544" spans="2:3" x14ac:dyDescent="0.25">
      <c r="B544" s="34">
        <v>543</v>
      </c>
      <c r="C544" s="12">
        <v>0</v>
      </c>
    </row>
    <row r="545" spans="2:3" x14ac:dyDescent="0.25">
      <c r="B545" s="34">
        <v>544</v>
      </c>
      <c r="C545" s="12">
        <v>0</v>
      </c>
    </row>
    <row r="546" spans="2:3" x14ac:dyDescent="0.25">
      <c r="B546" s="34">
        <v>545</v>
      </c>
      <c r="C546" s="12">
        <v>0</v>
      </c>
    </row>
    <row r="547" spans="2:3" x14ac:dyDescent="0.25">
      <c r="B547" s="34">
        <v>546</v>
      </c>
      <c r="C547" s="12">
        <v>0</v>
      </c>
    </row>
    <row r="548" spans="2:3" x14ac:dyDescent="0.25">
      <c r="B548" s="34">
        <v>547</v>
      </c>
      <c r="C548" s="12">
        <v>0</v>
      </c>
    </row>
    <row r="549" spans="2:3" x14ac:dyDescent="0.25">
      <c r="B549" s="34">
        <v>548</v>
      </c>
      <c r="C549" s="12">
        <v>0</v>
      </c>
    </row>
    <row r="550" spans="2:3" x14ac:dyDescent="0.25">
      <c r="B550" s="34">
        <v>549</v>
      </c>
      <c r="C550" s="12">
        <v>0</v>
      </c>
    </row>
    <row r="551" spans="2:3" x14ac:dyDescent="0.25">
      <c r="B551" s="34">
        <v>550</v>
      </c>
      <c r="C551" s="12">
        <v>0</v>
      </c>
    </row>
    <row r="552" spans="2:3" x14ac:dyDescent="0.25">
      <c r="B552" s="34">
        <v>551</v>
      </c>
      <c r="C552" s="12">
        <v>0</v>
      </c>
    </row>
    <row r="553" spans="2:3" x14ac:dyDescent="0.25">
      <c r="B553" s="34">
        <v>552</v>
      </c>
      <c r="C553" s="12">
        <v>0</v>
      </c>
    </row>
    <row r="554" spans="2:3" x14ac:dyDescent="0.25">
      <c r="B554" s="34">
        <v>553</v>
      </c>
      <c r="C554" s="12">
        <v>0</v>
      </c>
    </row>
    <row r="555" spans="2:3" x14ac:dyDescent="0.25">
      <c r="B555" s="34">
        <v>554</v>
      </c>
      <c r="C555" s="12">
        <v>0</v>
      </c>
    </row>
    <row r="556" spans="2:3" x14ac:dyDescent="0.25">
      <c r="B556" s="34">
        <v>555</v>
      </c>
      <c r="C556" s="12">
        <v>0</v>
      </c>
    </row>
    <row r="557" spans="2:3" x14ac:dyDescent="0.25">
      <c r="B557" s="34">
        <v>556</v>
      </c>
      <c r="C557" s="12">
        <v>0</v>
      </c>
    </row>
    <row r="558" spans="2:3" x14ac:dyDescent="0.25">
      <c r="B558" s="34">
        <v>557</v>
      </c>
      <c r="C558" s="12">
        <v>0</v>
      </c>
    </row>
    <row r="559" spans="2:3" x14ac:dyDescent="0.25">
      <c r="B559" s="34">
        <v>558</v>
      </c>
      <c r="C559" s="12">
        <v>0</v>
      </c>
    </row>
    <row r="560" spans="2:3" x14ac:dyDescent="0.25">
      <c r="B560" s="34">
        <v>559</v>
      </c>
      <c r="C560" s="12">
        <v>0</v>
      </c>
    </row>
    <row r="561" spans="2:3" x14ac:dyDescent="0.25">
      <c r="B561" s="34">
        <v>560</v>
      </c>
      <c r="C561" s="12">
        <v>0</v>
      </c>
    </row>
    <row r="562" spans="2:3" x14ac:dyDescent="0.25">
      <c r="B562" s="34">
        <v>561</v>
      </c>
      <c r="C562" s="12">
        <v>0</v>
      </c>
    </row>
    <row r="563" spans="2:3" x14ac:dyDescent="0.25">
      <c r="B563" s="34">
        <v>562</v>
      </c>
      <c r="C563" s="12">
        <v>0</v>
      </c>
    </row>
    <row r="564" spans="2:3" x14ac:dyDescent="0.25">
      <c r="B564" s="34">
        <v>563</v>
      </c>
      <c r="C564" s="12">
        <v>0</v>
      </c>
    </row>
    <row r="565" spans="2:3" x14ac:dyDescent="0.25">
      <c r="B565" s="34">
        <v>564</v>
      </c>
      <c r="C565" s="12">
        <v>0</v>
      </c>
    </row>
    <row r="566" spans="2:3" x14ac:dyDescent="0.25">
      <c r="B566" s="34">
        <v>565</v>
      </c>
      <c r="C566" s="12">
        <v>0</v>
      </c>
    </row>
    <row r="567" spans="2:3" x14ac:dyDescent="0.25">
      <c r="B567" s="34">
        <v>566</v>
      </c>
      <c r="C567" s="12">
        <v>0</v>
      </c>
    </row>
    <row r="568" spans="2:3" x14ac:dyDescent="0.25">
      <c r="B568" s="34">
        <v>567</v>
      </c>
      <c r="C568" s="12">
        <v>0</v>
      </c>
    </row>
    <row r="569" spans="2:3" x14ac:dyDescent="0.25">
      <c r="B569" s="34">
        <v>568</v>
      </c>
      <c r="C569" s="12">
        <v>0</v>
      </c>
    </row>
    <row r="570" spans="2:3" x14ac:dyDescent="0.25">
      <c r="B570" s="34">
        <v>569</v>
      </c>
      <c r="C570" s="12">
        <v>0</v>
      </c>
    </row>
    <row r="571" spans="2:3" x14ac:dyDescent="0.25">
      <c r="B571" s="34">
        <v>570</v>
      </c>
      <c r="C571" s="12">
        <v>0</v>
      </c>
    </row>
    <row r="572" spans="2:3" x14ac:dyDescent="0.25">
      <c r="B572" s="34">
        <v>571</v>
      </c>
      <c r="C572" s="12">
        <v>0</v>
      </c>
    </row>
    <row r="573" spans="2:3" x14ac:dyDescent="0.25">
      <c r="B573" s="34">
        <v>572</v>
      </c>
      <c r="C573" s="12">
        <v>0</v>
      </c>
    </row>
    <row r="574" spans="2:3" x14ac:dyDescent="0.25">
      <c r="B574" s="34">
        <v>573</v>
      </c>
      <c r="C574" s="12">
        <v>0</v>
      </c>
    </row>
    <row r="575" spans="2:3" x14ac:dyDescent="0.25">
      <c r="B575" s="34">
        <v>574</v>
      </c>
      <c r="C575" s="12">
        <v>0</v>
      </c>
    </row>
    <row r="576" spans="2:3" x14ac:dyDescent="0.25">
      <c r="B576" s="34">
        <v>575</v>
      </c>
      <c r="C576" s="12">
        <v>0</v>
      </c>
    </row>
    <row r="577" spans="2:3" x14ac:dyDescent="0.25">
      <c r="B577" s="34">
        <v>576</v>
      </c>
      <c r="C577" s="12">
        <v>0</v>
      </c>
    </row>
    <row r="578" spans="2:3" x14ac:dyDescent="0.25">
      <c r="B578" s="34">
        <v>577</v>
      </c>
      <c r="C578" s="12">
        <v>0</v>
      </c>
    </row>
    <row r="579" spans="2:3" x14ac:dyDescent="0.25">
      <c r="B579" s="34">
        <v>578</v>
      </c>
      <c r="C579" s="12">
        <v>0</v>
      </c>
    </row>
    <row r="580" spans="2:3" x14ac:dyDescent="0.25">
      <c r="B580" s="34">
        <v>579</v>
      </c>
      <c r="C580" s="12">
        <v>0</v>
      </c>
    </row>
    <row r="581" spans="2:3" x14ac:dyDescent="0.25">
      <c r="B581" s="34">
        <v>580</v>
      </c>
      <c r="C581" s="12">
        <v>0</v>
      </c>
    </row>
    <row r="582" spans="2:3" x14ac:dyDescent="0.25">
      <c r="B582" s="34">
        <v>581</v>
      </c>
      <c r="C582" s="12">
        <v>0</v>
      </c>
    </row>
    <row r="583" spans="2:3" x14ac:dyDescent="0.25">
      <c r="B583" s="34">
        <v>582</v>
      </c>
      <c r="C583" s="12">
        <v>0</v>
      </c>
    </row>
    <row r="584" spans="2:3" x14ac:dyDescent="0.25">
      <c r="B584" s="34">
        <v>583</v>
      </c>
      <c r="C584" s="12">
        <v>0</v>
      </c>
    </row>
    <row r="585" spans="2:3" x14ac:dyDescent="0.25">
      <c r="B585" s="34">
        <v>584</v>
      </c>
      <c r="C585" s="12">
        <v>0</v>
      </c>
    </row>
    <row r="586" spans="2:3" x14ac:dyDescent="0.25">
      <c r="B586" s="34">
        <v>585</v>
      </c>
      <c r="C586" s="12">
        <v>0</v>
      </c>
    </row>
    <row r="587" spans="2:3" x14ac:dyDescent="0.25">
      <c r="B587" s="34">
        <v>586</v>
      </c>
      <c r="C587" s="12">
        <v>0</v>
      </c>
    </row>
    <row r="588" spans="2:3" x14ac:dyDescent="0.25">
      <c r="B588" s="34">
        <v>587</v>
      </c>
      <c r="C588" s="12">
        <v>0</v>
      </c>
    </row>
    <row r="589" spans="2:3" x14ac:dyDescent="0.25">
      <c r="B589" s="34">
        <v>588</v>
      </c>
      <c r="C589" s="12">
        <v>0</v>
      </c>
    </row>
    <row r="590" spans="2:3" x14ac:dyDescent="0.25">
      <c r="B590" s="34">
        <v>589</v>
      </c>
      <c r="C590" s="12">
        <v>0</v>
      </c>
    </row>
    <row r="591" spans="2:3" x14ac:dyDescent="0.25">
      <c r="B591" s="34">
        <v>590</v>
      </c>
      <c r="C591" s="12">
        <v>0</v>
      </c>
    </row>
    <row r="592" spans="2:3" x14ac:dyDescent="0.25">
      <c r="B592" s="34">
        <v>591</v>
      </c>
      <c r="C592" s="12">
        <v>0</v>
      </c>
    </row>
    <row r="593" spans="2:3" x14ac:dyDescent="0.25">
      <c r="B593" s="34">
        <v>592</v>
      </c>
      <c r="C593" s="12">
        <v>0</v>
      </c>
    </row>
    <row r="594" spans="2:3" x14ac:dyDescent="0.25">
      <c r="B594" s="34">
        <v>593</v>
      </c>
      <c r="C594" s="12">
        <v>0</v>
      </c>
    </row>
    <row r="595" spans="2:3" x14ac:dyDescent="0.25">
      <c r="B595" s="34">
        <v>594</v>
      </c>
      <c r="C595" s="12">
        <v>0</v>
      </c>
    </row>
    <row r="596" spans="2:3" x14ac:dyDescent="0.25">
      <c r="B596" s="34">
        <v>595</v>
      </c>
      <c r="C596" s="12">
        <v>0</v>
      </c>
    </row>
    <row r="597" spans="2:3" x14ac:dyDescent="0.25">
      <c r="B597" s="34">
        <v>596</v>
      </c>
      <c r="C597" s="12">
        <v>0</v>
      </c>
    </row>
    <row r="598" spans="2:3" x14ac:dyDescent="0.25">
      <c r="B598" s="34">
        <v>597</v>
      </c>
      <c r="C598" s="12">
        <v>0</v>
      </c>
    </row>
    <row r="599" spans="2:3" x14ac:dyDescent="0.25">
      <c r="B599" s="34">
        <v>598</v>
      </c>
      <c r="C599" s="12">
        <v>0</v>
      </c>
    </row>
    <row r="600" spans="2:3" x14ac:dyDescent="0.25">
      <c r="B600" s="34">
        <v>599</v>
      </c>
      <c r="C600" s="12">
        <v>0</v>
      </c>
    </row>
    <row r="601" spans="2:3" x14ac:dyDescent="0.25">
      <c r="B601" s="34">
        <v>600</v>
      </c>
      <c r="C601" s="12">
        <v>0</v>
      </c>
    </row>
    <row r="602" spans="2:3" x14ac:dyDescent="0.25">
      <c r="B602" s="34">
        <v>601</v>
      </c>
      <c r="C602" s="12">
        <v>0</v>
      </c>
    </row>
    <row r="603" spans="2:3" x14ac:dyDescent="0.25">
      <c r="B603" s="34">
        <v>602</v>
      </c>
      <c r="C603" s="12">
        <v>0</v>
      </c>
    </row>
    <row r="604" spans="2:3" x14ac:dyDescent="0.25">
      <c r="B604" s="34">
        <v>603</v>
      </c>
      <c r="C604" s="12">
        <v>0</v>
      </c>
    </row>
    <row r="605" spans="2:3" x14ac:dyDescent="0.25">
      <c r="B605" s="34">
        <v>604</v>
      </c>
      <c r="C605" s="12">
        <v>0</v>
      </c>
    </row>
    <row r="606" spans="2:3" x14ac:dyDescent="0.25">
      <c r="B606" s="34">
        <v>605</v>
      </c>
      <c r="C606" s="12">
        <v>0</v>
      </c>
    </row>
    <row r="607" spans="2:3" x14ac:dyDescent="0.25">
      <c r="B607" s="34">
        <v>606</v>
      </c>
      <c r="C607" s="12">
        <v>0</v>
      </c>
    </row>
    <row r="608" spans="2:3" x14ac:dyDescent="0.25">
      <c r="B608" s="34">
        <v>607</v>
      </c>
      <c r="C608" s="12">
        <v>0</v>
      </c>
    </row>
    <row r="609" spans="2:3" x14ac:dyDescent="0.25">
      <c r="B609" s="34">
        <v>608</v>
      </c>
      <c r="C609" s="12">
        <v>0</v>
      </c>
    </row>
    <row r="610" spans="2:3" x14ac:dyDescent="0.25">
      <c r="B610" s="34">
        <v>609</v>
      </c>
      <c r="C610" s="12">
        <v>0</v>
      </c>
    </row>
    <row r="611" spans="2:3" x14ac:dyDescent="0.25">
      <c r="B611" s="34">
        <v>610</v>
      </c>
      <c r="C611" s="12">
        <v>0</v>
      </c>
    </row>
    <row r="612" spans="2:3" x14ac:dyDescent="0.25">
      <c r="B612" s="34">
        <v>611</v>
      </c>
      <c r="C612" s="12">
        <v>0</v>
      </c>
    </row>
    <row r="613" spans="2:3" x14ac:dyDescent="0.25">
      <c r="B613" s="34">
        <v>612</v>
      </c>
      <c r="C613" s="12">
        <v>0</v>
      </c>
    </row>
    <row r="614" spans="2:3" x14ac:dyDescent="0.25">
      <c r="B614" s="34">
        <v>613</v>
      </c>
      <c r="C614" s="12">
        <v>0</v>
      </c>
    </row>
    <row r="615" spans="2:3" x14ac:dyDescent="0.25">
      <c r="B615" s="34">
        <v>614</v>
      </c>
      <c r="C615" s="12">
        <v>0</v>
      </c>
    </row>
    <row r="616" spans="2:3" x14ac:dyDescent="0.25">
      <c r="B616" s="34">
        <v>615</v>
      </c>
      <c r="C616" s="12">
        <v>0</v>
      </c>
    </row>
    <row r="617" spans="2:3" x14ac:dyDescent="0.25">
      <c r="B617" s="34">
        <v>616</v>
      </c>
      <c r="C617" s="12">
        <v>0</v>
      </c>
    </row>
    <row r="618" spans="2:3" x14ac:dyDescent="0.25">
      <c r="B618" s="34">
        <v>617</v>
      </c>
      <c r="C618" s="12">
        <v>0</v>
      </c>
    </row>
    <row r="619" spans="2:3" x14ac:dyDescent="0.25">
      <c r="B619" s="34">
        <v>618</v>
      </c>
      <c r="C619" s="12">
        <v>0</v>
      </c>
    </row>
    <row r="620" spans="2:3" x14ac:dyDescent="0.25">
      <c r="B620" s="34">
        <v>619</v>
      </c>
      <c r="C620" s="12">
        <v>0</v>
      </c>
    </row>
    <row r="621" spans="2:3" x14ac:dyDescent="0.25">
      <c r="B621" s="34">
        <v>620</v>
      </c>
      <c r="C621" s="12">
        <v>0</v>
      </c>
    </row>
    <row r="622" spans="2:3" x14ac:dyDescent="0.25">
      <c r="B622" s="34">
        <v>621</v>
      </c>
      <c r="C622" s="12">
        <v>0</v>
      </c>
    </row>
    <row r="623" spans="2:3" x14ac:dyDescent="0.25">
      <c r="B623" s="34">
        <v>622</v>
      </c>
      <c r="C623" s="12">
        <v>0</v>
      </c>
    </row>
    <row r="624" spans="2:3" x14ac:dyDescent="0.25">
      <c r="B624" s="34">
        <v>623</v>
      </c>
      <c r="C624" s="12">
        <v>0</v>
      </c>
    </row>
    <row r="625" spans="2:3" x14ac:dyDescent="0.25">
      <c r="B625" s="34">
        <v>624</v>
      </c>
      <c r="C625" s="12">
        <v>0</v>
      </c>
    </row>
    <row r="626" spans="2:3" x14ac:dyDescent="0.25">
      <c r="B626" s="34">
        <v>625</v>
      </c>
      <c r="C626" s="12">
        <v>0</v>
      </c>
    </row>
    <row r="627" spans="2:3" x14ac:dyDescent="0.25">
      <c r="B627" s="34">
        <v>626</v>
      </c>
      <c r="C627" s="12">
        <v>0</v>
      </c>
    </row>
    <row r="628" spans="2:3" x14ac:dyDescent="0.25">
      <c r="B628" s="34">
        <v>627</v>
      </c>
      <c r="C628" s="12">
        <v>0</v>
      </c>
    </row>
    <row r="629" spans="2:3" x14ac:dyDescent="0.25">
      <c r="B629" s="34">
        <v>628</v>
      </c>
      <c r="C629" s="12">
        <v>0</v>
      </c>
    </row>
    <row r="630" spans="2:3" x14ac:dyDescent="0.25">
      <c r="B630" s="34">
        <v>629</v>
      </c>
      <c r="C630" s="12">
        <v>0</v>
      </c>
    </row>
    <row r="631" spans="2:3" x14ac:dyDescent="0.25">
      <c r="B631" s="34">
        <v>630</v>
      </c>
      <c r="C631" s="12">
        <v>0</v>
      </c>
    </row>
    <row r="632" spans="2:3" x14ac:dyDescent="0.25">
      <c r="B632" s="34">
        <v>631</v>
      </c>
      <c r="C632" s="12">
        <v>0</v>
      </c>
    </row>
    <row r="633" spans="2:3" x14ac:dyDescent="0.25">
      <c r="B633" s="34">
        <v>632</v>
      </c>
      <c r="C633" s="12">
        <v>0</v>
      </c>
    </row>
    <row r="634" spans="2:3" x14ac:dyDescent="0.25">
      <c r="B634" s="34">
        <v>633</v>
      </c>
      <c r="C634" s="12">
        <v>0</v>
      </c>
    </row>
    <row r="635" spans="2:3" x14ac:dyDescent="0.25">
      <c r="B635" s="34">
        <v>634</v>
      </c>
      <c r="C635" s="12">
        <v>0</v>
      </c>
    </row>
    <row r="636" spans="2:3" x14ac:dyDescent="0.25">
      <c r="B636" s="34">
        <v>635</v>
      </c>
      <c r="C636" s="12">
        <v>0</v>
      </c>
    </row>
    <row r="637" spans="2:3" x14ac:dyDescent="0.25">
      <c r="B637" s="34">
        <v>636</v>
      </c>
      <c r="C637" s="12">
        <v>0</v>
      </c>
    </row>
    <row r="638" spans="2:3" x14ac:dyDescent="0.25">
      <c r="B638" s="34">
        <v>637</v>
      </c>
      <c r="C638" s="12">
        <v>0</v>
      </c>
    </row>
    <row r="639" spans="2:3" x14ac:dyDescent="0.25">
      <c r="B639" s="34">
        <v>638</v>
      </c>
      <c r="C639" s="12">
        <v>0</v>
      </c>
    </row>
    <row r="640" spans="2:3" x14ac:dyDescent="0.25">
      <c r="B640" s="34">
        <v>639</v>
      </c>
      <c r="C640" s="12">
        <v>0</v>
      </c>
    </row>
    <row r="641" spans="2:3" x14ac:dyDescent="0.25">
      <c r="B641" s="34">
        <v>640</v>
      </c>
      <c r="C641" s="12">
        <v>0</v>
      </c>
    </row>
    <row r="642" spans="2:3" x14ac:dyDescent="0.25">
      <c r="B642" s="34">
        <v>641</v>
      </c>
      <c r="C642" s="12">
        <v>0</v>
      </c>
    </row>
    <row r="643" spans="2:3" x14ac:dyDescent="0.25">
      <c r="B643" s="34">
        <v>642</v>
      </c>
      <c r="C643" s="12">
        <v>0</v>
      </c>
    </row>
    <row r="644" spans="2:3" x14ac:dyDescent="0.25">
      <c r="B644" s="34">
        <v>643</v>
      </c>
      <c r="C644" s="12">
        <v>0</v>
      </c>
    </row>
    <row r="645" spans="2:3" x14ac:dyDescent="0.25">
      <c r="B645" s="34">
        <v>644</v>
      </c>
      <c r="C645" s="12">
        <v>0</v>
      </c>
    </row>
    <row r="646" spans="2:3" x14ac:dyDescent="0.25">
      <c r="B646" s="34">
        <v>645</v>
      </c>
      <c r="C646" s="12">
        <v>0</v>
      </c>
    </row>
    <row r="647" spans="2:3" x14ac:dyDescent="0.25">
      <c r="B647" s="34">
        <v>646</v>
      </c>
      <c r="C647" s="12">
        <v>0</v>
      </c>
    </row>
    <row r="648" spans="2:3" x14ac:dyDescent="0.25">
      <c r="B648" s="34">
        <v>647</v>
      </c>
      <c r="C648" s="12">
        <v>0</v>
      </c>
    </row>
    <row r="649" spans="2:3" x14ac:dyDescent="0.25">
      <c r="B649" s="34">
        <v>648</v>
      </c>
      <c r="C649" s="12">
        <v>0</v>
      </c>
    </row>
    <row r="650" spans="2:3" x14ac:dyDescent="0.25">
      <c r="B650" s="34">
        <v>649</v>
      </c>
      <c r="C650" s="12">
        <v>0</v>
      </c>
    </row>
    <row r="651" spans="2:3" x14ac:dyDescent="0.25">
      <c r="B651" s="34">
        <v>650</v>
      </c>
      <c r="C651" s="12">
        <v>0</v>
      </c>
    </row>
    <row r="652" spans="2:3" x14ac:dyDescent="0.25">
      <c r="B652" s="34">
        <v>651</v>
      </c>
      <c r="C652" s="12">
        <v>0</v>
      </c>
    </row>
    <row r="653" spans="2:3" x14ac:dyDescent="0.25">
      <c r="B653" s="34">
        <v>652</v>
      </c>
      <c r="C653" s="12">
        <v>0</v>
      </c>
    </row>
    <row r="654" spans="2:3" x14ac:dyDescent="0.25">
      <c r="B654" s="34">
        <v>653</v>
      </c>
      <c r="C654" s="12">
        <v>0</v>
      </c>
    </row>
    <row r="655" spans="2:3" x14ac:dyDescent="0.25">
      <c r="B655" s="34">
        <v>654</v>
      </c>
      <c r="C655" s="12">
        <v>0</v>
      </c>
    </row>
    <row r="656" spans="2:3" x14ac:dyDescent="0.25">
      <c r="B656" s="34">
        <v>655</v>
      </c>
      <c r="C656" s="12">
        <v>0</v>
      </c>
    </row>
    <row r="657" spans="2:3" x14ac:dyDescent="0.25">
      <c r="B657" s="34">
        <v>656</v>
      </c>
      <c r="C657" s="12">
        <v>0</v>
      </c>
    </row>
    <row r="658" spans="2:3" x14ac:dyDescent="0.25">
      <c r="B658" s="34">
        <v>657</v>
      </c>
      <c r="C658" s="12">
        <v>0</v>
      </c>
    </row>
    <row r="659" spans="2:3" x14ac:dyDescent="0.25">
      <c r="B659" s="34">
        <v>658</v>
      </c>
      <c r="C659" s="12">
        <v>0</v>
      </c>
    </row>
    <row r="660" spans="2:3" x14ac:dyDescent="0.25">
      <c r="B660" s="34">
        <v>659</v>
      </c>
      <c r="C660" s="12">
        <v>0</v>
      </c>
    </row>
    <row r="661" spans="2:3" x14ac:dyDescent="0.25">
      <c r="B661" s="34">
        <v>660</v>
      </c>
      <c r="C661" s="12">
        <v>0</v>
      </c>
    </row>
    <row r="662" spans="2:3" x14ac:dyDescent="0.25">
      <c r="B662" s="34">
        <v>661</v>
      </c>
      <c r="C662" s="12">
        <v>0</v>
      </c>
    </row>
    <row r="663" spans="2:3" x14ac:dyDescent="0.25">
      <c r="B663" s="34">
        <v>662</v>
      </c>
      <c r="C663" s="12">
        <v>0</v>
      </c>
    </row>
    <row r="664" spans="2:3" x14ac:dyDescent="0.25">
      <c r="B664" s="34">
        <v>663</v>
      </c>
      <c r="C664" s="12">
        <v>0</v>
      </c>
    </row>
    <row r="665" spans="2:3" x14ac:dyDescent="0.25">
      <c r="B665" s="34">
        <v>664</v>
      </c>
      <c r="C665" s="12">
        <v>0</v>
      </c>
    </row>
    <row r="666" spans="2:3" x14ac:dyDescent="0.25">
      <c r="B666" s="34">
        <v>665</v>
      </c>
      <c r="C666" s="12">
        <v>0</v>
      </c>
    </row>
    <row r="667" spans="2:3" x14ac:dyDescent="0.25">
      <c r="B667" s="34">
        <v>666</v>
      </c>
      <c r="C667" s="12">
        <v>0</v>
      </c>
    </row>
    <row r="668" spans="2:3" x14ac:dyDescent="0.25">
      <c r="B668" s="34">
        <v>667</v>
      </c>
      <c r="C668" s="12">
        <v>0</v>
      </c>
    </row>
    <row r="669" spans="2:3" x14ac:dyDescent="0.25">
      <c r="B669" s="34">
        <v>668</v>
      </c>
      <c r="C669" s="12">
        <v>0</v>
      </c>
    </row>
    <row r="670" spans="2:3" x14ac:dyDescent="0.25">
      <c r="B670" s="34">
        <v>669</v>
      </c>
      <c r="C670" s="12">
        <v>0</v>
      </c>
    </row>
    <row r="671" spans="2:3" x14ac:dyDescent="0.25">
      <c r="B671" s="34">
        <v>670</v>
      </c>
      <c r="C671" s="12">
        <v>0</v>
      </c>
    </row>
    <row r="672" spans="2:3" x14ac:dyDescent="0.25">
      <c r="B672" s="34">
        <v>671</v>
      </c>
      <c r="C672" s="12">
        <v>0</v>
      </c>
    </row>
    <row r="673" spans="2:3" x14ac:dyDescent="0.25">
      <c r="B673" s="34">
        <v>672</v>
      </c>
      <c r="C673" s="12">
        <v>0</v>
      </c>
    </row>
    <row r="674" spans="2:3" x14ac:dyDescent="0.25">
      <c r="B674" s="34">
        <v>673</v>
      </c>
      <c r="C674" s="12">
        <v>0</v>
      </c>
    </row>
    <row r="675" spans="2:3" x14ac:dyDescent="0.25">
      <c r="B675" s="34">
        <v>674</v>
      </c>
      <c r="C675" s="12">
        <v>0</v>
      </c>
    </row>
  </sheetData>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855"/>
  <sheetViews>
    <sheetView topLeftCell="S1" zoomScale="80" zoomScaleNormal="80" workbookViewId="0">
      <selection activeCell="AC26" sqref="AC26"/>
    </sheetView>
  </sheetViews>
  <sheetFormatPr baseColWidth="10" defaultRowHeight="12.5" x14ac:dyDescent="0.25"/>
  <cols>
    <col min="1" max="1" width="75.6328125" style="12" customWidth="1"/>
    <col min="2" max="2" width="19.1796875" style="12" hidden="1" customWidth="1"/>
    <col min="3" max="4" width="10.90625" style="12"/>
    <col min="5" max="5" width="21" style="12" customWidth="1"/>
    <col min="6" max="6" width="75.7265625" style="12" customWidth="1"/>
    <col min="7" max="7" width="13.7265625" style="34" bestFit="1" customWidth="1"/>
    <col min="8" max="8" width="10.90625" style="12"/>
    <col min="9" max="9" width="41.54296875" style="12" customWidth="1"/>
    <col min="10" max="10" width="20.54296875" style="12" bestFit="1" customWidth="1"/>
    <col min="11" max="11" width="10.90625" style="12"/>
    <col min="12" max="12" width="49.54296875" style="12" bestFit="1" customWidth="1"/>
    <col min="13" max="13" width="6.08984375" style="12" bestFit="1" customWidth="1"/>
    <col min="14" max="14" width="84" style="12" bestFit="1" customWidth="1"/>
    <col min="15" max="15" width="10.7265625" style="12" customWidth="1"/>
    <col min="16" max="16" width="8.6328125" style="12" customWidth="1"/>
    <col min="17" max="17" width="16.453125" style="12" customWidth="1"/>
    <col min="18" max="18" width="103.08984375" style="12" bestFit="1" customWidth="1"/>
    <col min="19" max="19" width="10.90625" style="12"/>
    <col min="20" max="20" width="53.81640625" style="12" bestFit="1" customWidth="1"/>
    <col min="21" max="21" width="7.6328125" style="12" bestFit="1" customWidth="1"/>
    <col min="22" max="22" width="19.90625" style="12" bestFit="1" customWidth="1"/>
    <col min="23" max="23" width="15.90625" style="12" bestFit="1" customWidth="1"/>
    <col min="24" max="24" width="20.81640625" style="12" bestFit="1" customWidth="1"/>
    <col min="25" max="16384" width="10.90625" style="12"/>
  </cols>
  <sheetData>
    <row r="1" spans="1:24" ht="13" x14ac:dyDescent="0.3">
      <c r="A1" s="36" t="s">
        <v>13434</v>
      </c>
      <c r="B1" s="36" t="s">
        <v>15348</v>
      </c>
      <c r="C1" s="36" t="s">
        <v>15349</v>
      </c>
      <c r="I1" s="31" t="s">
        <v>13434</v>
      </c>
      <c r="J1" s="31" t="s">
        <v>15348</v>
      </c>
      <c r="L1" s="102" t="s">
        <v>15442</v>
      </c>
      <c r="M1" s="102" t="s">
        <v>79</v>
      </c>
      <c r="N1" s="102" t="s">
        <v>15443</v>
      </c>
      <c r="O1" s="103" t="s">
        <v>33</v>
      </c>
      <c r="P1" s="103" t="s">
        <v>15352</v>
      </c>
      <c r="Q1" s="103" t="s">
        <v>15353</v>
      </c>
      <c r="R1" s="100" t="s">
        <v>15444</v>
      </c>
      <c r="T1" s="36" t="s">
        <v>15354</v>
      </c>
      <c r="U1" s="36" t="s">
        <v>15355</v>
      </c>
      <c r="V1" s="36" t="s">
        <v>33</v>
      </c>
      <c r="W1" s="36" t="s">
        <v>15356</v>
      </c>
      <c r="X1" s="36" t="s">
        <v>15357</v>
      </c>
    </row>
    <row r="2" spans="1:24" ht="13" customHeight="1" x14ac:dyDescent="0.25">
      <c r="A2" s="37" t="s">
        <v>1326</v>
      </c>
      <c r="B2" s="38">
        <v>45</v>
      </c>
      <c r="C2" s="39">
        <f>+B2/$D$13</f>
        <v>6.6765578635014838E-2</v>
      </c>
      <c r="I2" s="30" t="s">
        <v>191</v>
      </c>
      <c r="J2" s="28">
        <v>23</v>
      </c>
      <c r="L2" s="102"/>
      <c r="M2" s="102"/>
      <c r="N2" s="102"/>
      <c r="O2" s="103"/>
      <c r="P2" s="103"/>
      <c r="Q2" s="103"/>
      <c r="R2" s="101"/>
      <c r="T2" s="28" t="s">
        <v>2587</v>
      </c>
      <c r="U2" s="28">
        <v>3</v>
      </c>
      <c r="V2" s="28">
        <v>1409</v>
      </c>
      <c r="W2" s="28">
        <f>+V2</f>
        <v>1409</v>
      </c>
      <c r="X2" s="40">
        <f>+W2/10785</f>
        <v>0.13064441353732034</v>
      </c>
    </row>
    <row r="3" spans="1:24" ht="14" x14ac:dyDescent="0.25">
      <c r="A3" s="37" t="s">
        <v>2218</v>
      </c>
      <c r="B3" s="38">
        <v>44</v>
      </c>
      <c r="C3" s="39">
        <f t="shared" ref="C3:C14" si="0">+B3/$D$13</f>
        <v>6.5281899109792291E-2</v>
      </c>
      <c r="I3" s="30" t="s">
        <v>321</v>
      </c>
      <c r="J3" s="28">
        <v>9</v>
      </c>
      <c r="L3" s="88" t="s">
        <v>15445</v>
      </c>
      <c r="M3" s="88">
        <v>9</v>
      </c>
      <c r="N3" s="87" t="s">
        <v>339</v>
      </c>
      <c r="O3" s="88">
        <v>574</v>
      </c>
      <c r="P3" s="88">
        <v>12</v>
      </c>
      <c r="Q3" s="88">
        <v>21.3</v>
      </c>
      <c r="R3" s="87" t="s">
        <v>15446</v>
      </c>
      <c r="T3" s="28" t="s">
        <v>4849</v>
      </c>
      <c r="U3" s="28">
        <v>3</v>
      </c>
      <c r="V3" s="28">
        <v>1348</v>
      </c>
      <c r="W3" s="28">
        <f>+V3+W2</f>
        <v>2757</v>
      </c>
      <c r="X3" s="40">
        <f t="shared" ref="X3:X18" si="1">+W3/10785</f>
        <v>0.2556328233657858</v>
      </c>
    </row>
    <row r="4" spans="1:24" ht="12.5" customHeight="1" x14ac:dyDescent="0.25">
      <c r="A4" s="37" t="s">
        <v>315</v>
      </c>
      <c r="B4" s="38">
        <v>40</v>
      </c>
      <c r="C4" s="39">
        <f t="shared" si="0"/>
        <v>5.9347181008902079E-2</v>
      </c>
      <c r="I4" s="30" t="s">
        <v>7999</v>
      </c>
      <c r="J4" s="28">
        <v>5</v>
      </c>
      <c r="L4" s="88" t="s">
        <v>15447</v>
      </c>
      <c r="M4" s="88">
        <v>5</v>
      </c>
      <c r="N4" s="87" t="s">
        <v>1023</v>
      </c>
      <c r="O4" s="88">
        <v>337</v>
      </c>
      <c r="P4" s="88">
        <v>11.3</v>
      </c>
      <c r="Q4" s="88">
        <v>20.3</v>
      </c>
      <c r="R4" s="87" t="s">
        <v>15448</v>
      </c>
      <c r="T4" s="28" t="s">
        <v>321</v>
      </c>
      <c r="U4" s="28">
        <v>9</v>
      </c>
      <c r="V4" s="28">
        <v>574</v>
      </c>
      <c r="W4" s="28">
        <f t="shared" ref="W4:W18" si="2">+V4+W3</f>
        <v>3331</v>
      </c>
      <c r="X4" s="40">
        <f t="shared" si="1"/>
        <v>0.30885489105238756</v>
      </c>
    </row>
    <row r="5" spans="1:24" ht="14" x14ac:dyDescent="0.25">
      <c r="A5" s="37" t="s">
        <v>1023</v>
      </c>
      <c r="B5" s="38">
        <v>35</v>
      </c>
      <c r="C5" s="39">
        <f t="shared" si="0"/>
        <v>5.192878338278932E-2</v>
      </c>
      <c r="I5" s="30" t="s">
        <v>820</v>
      </c>
      <c r="J5" s="28">
        <v>4</v>
      </c>
      <c r="L5" s="88" t="s">
        <v>15449</v>
      </c>
      <c r="M5" s="88">
        <v>5</v>
      </c>
      <c r="N5" s="87" t="s">
        <v>239</v>
      </c>
      <c r="O5" s="88">
        <v>361</v>
      </c>
      <c r="P5" s="88">
        <v>12</v>
      </c>
      <c r="Q5" s="88">
        <v>21.4</v>
      </c>
      <c r="R5" s="87" t="s">
        <v>15450</v>
      </c>
      <c r="T5" s="28" t="s">
        <v>5994</v>
      </c>
      <c r="U5" s="28">
        <v>4</v>
      </c>
      <c r="V5" s="28">
        <v>473</v>
      </c>
      <c r="W5" s="28">
        <f t="shared" si="2"/>
        <v>3804</v>
      </c>
      <c r="X5" s="40">
        <f t="shared" si="1"/>
        <v>0.35271210013908205</v>
      </c>
    </row>
    <row r="6" spans="1:24" ht="14" x14ac:dyDescent="0.25">
      <c r="A6" s="37" t="s">
        <v>3050</v>
      </c>
      <c r="B6" s="38">
        <v>31</v>
      </c>
      <c r="C6" s="39">
        <f t="shared" si="0"/>
        <v>4.5994065281899109E-2</v>
      </c>
      <c r="I6" s="30" t="s">
        <v>1649</v>
      </c>
      <c r="J6" s="28">
        <v>4</v>
      </c>
      <c r="L6" s="88" t="s">
        <v>2157</v>
      </c>
      <c r="M6" s="88">
        <v>5</v>
      </c>
      <c r="N6" s="87" t="s">
        <v>2159</v>
      </c>
      <c r="O6" s="88">
        <v>245</v>
      </c>
      <c r="P6" s="88">
        <v>3.9</v>
      </c>
      <c r="Q6" s="88">
        <v>9.8000000000000007</v>
      </c>
      <c r="R6" s="87" t="s">
        <v>15451</v>
      </c>
      <c r="T6" s="28" t="s">
        <v>4541</v>
      </c>
      <c r="U6" s="28">
        <v>3</v>
      </c>
      <c r="V6" s="28">
        <v>432</v>
      </c>
      <c r="W6" s="28">
        <f t="shared" si="2"/>
        <v>4236</v>
      </c>
      <c r="X6" s="40">
        <f t="shared" si="1"/>
        <v>0.39276773296244782</v>
      </c>
    </row>
    <row r="7" spans="1:24" ht="14" x14ac:dyDescent="0.25">
      <c r="A7" s="37" t="s">
        <v>264</v>
      </c>
      <c r="B7" s="38">
        <v>29</v>
      </c>
      <c r="C7" s="39">
        <f t="shared" si="0"/>
        <v>4.3026706231454007E-2</v>
      </c>
      <c r="I7" s="30" t="s">
        <v>866</v>
      </c>
      <c r="J7" s="28">
        <v>4</v>
      </c>
      <c r="L7" s="88" t="s">
        <v>207</v>
      </c>
      <c r="M7" s="88">
        <v>23</v>
      </c>
      <c r="N7" s="87" t="s">
        <v>210</v>
      </c>
      <c r="O7" s="88">
        <v>111</v>
      </c>
      <c r="P7" s="88">
        <v>3.9</v>
      </c>
      <c r="Q7" s="88">
        <v>6.8</v>
      </c>
      <c r="R7" s="87" t="s">
        <v>15452</v>
      </c>
      <c r="T7" s="28" t="s">
        <v>9843</v>
      </c>
      <c r="U7" s="28">
        <v>3</v>
      </c>
      <c r="V7" s="28">
        <v>420</v>
      </c>
      <c r="W7" s="28">
        <f t="shared" si="2"/>
        <v>4656</v>
      </c>
      <c r="X7" s="40">
        <f t="shared" si="1"/>
        <v>0.43171070931849792</v>
      </c>
    </row>
    <row r="8" spans="1:24" ht="14" x14ac:dyDescent="0.25">
      <c r="A8" s="37" t="s">
        <v>210</v>
      </c>
      <c r="B8" s="38">
        <v>23</v>
      </c>
      <c r="C8" s="39">
        <f t="shared" si="0"/>
        <v>3.4124629080118693E-2</v>
      </c>
      <c r="I8" s="30" t="s">
        <v>5994</v>
      </c>
      <c r="J8" s="28">
        <v>4</v>
      </c>
      <c r="L8" s="88" t="s">
        <v>15453</v>
      </c>
      <c r="M8" s="88">
        <v>5</v>
      </c>
      <c r="N8" s="87" t="s">
        <v>315</v>
      </c>
      <c r="O8" s="88">
        <v>30</v>
      </c>
      <c r="P8" s="88">
        <v>2.1</v>
      </c>
      <c r="Q8" s="88">
        <v>3.7</v>
      </c>
      <c r="R8" s="87" t="s">
        <v>15454</v>
      </c>
      <c r="T8" s="28" t="s">
        <v>218</v>
      </c>
      <c r="U8" s="28">
        <v>5</v>
      </c>
      <c r="V8" s="28">
        <v>361</v>
      </c>
      <c r="W8" s="28">
        <f t="shared" si="2"/>
        <v>5017</v>
      </c>
      <c r="X8" s="40">
        <f t="shared" si="1"/>
        <v>0.4651831247102457</v>
      </c>
    </row>
    <row r="9" spans="1:24" ht="14" x14ac:dyDescent="0.25">
      <c r="A9" s="41" t="s">
        <v>942</v>
      </c>
      <c r="B9" s="42">
        <v>22</v>
      </c>
      <c r="C9" s="39">
        <f t="shared" si="0"/>
        <v>3.2640949554896145E-2</v>
      </c>
      <c r="I9" s="30" t="s">
        <v>2713</v>
      </c>
      <c r="J9" s="28">
        <v>3</v>
      </c>
      <c r="L9" s="88" t="s">
        <v>15455</v>
      </c>
      <c r="M9" s="88">
        <v>5</v>
      </c>
      <c r="N9" s="87" t="s">
        <v>264</v>
      </c>
      <c r="O9" s="88">
        <v>76</v>
      </c>
      <c r="P9" s="88">
        <v>6.8</v>
      </c>
      <c r="Q9" s="88">
        <v>1.4</v>
      </c>
      <c r="R9" s="87" t="s">
        <v>15456</v>
      </c>
      <c r="T9" s="28" t="s">
        <v>3751</v>
      </c>
      <c r="U9" s="28">
        <v>5</v>
      </c>
      <c r="V9" s="28">
        <v>337</v>
      </c>
      <c r="W9" s="28">
        <f t="shared" si="2"/>
        <v>5354</v>
      </c>
      <c r="X9" s="40">
        <f t="shared" si="1"/>
        <v>0.49643022716736207</v>
      </c>
    </row>
    <row r="10" spans="1:24" ht="14" x14ac:dyDescent="0.25">
      <c r="A10" s="41" t="s">
        <v>2192</v>
      </c>
      <c r="B10" s="42">
        <v>15</v>
      </c>
      <c r="C10" s="39">
        <f t="shared" si="0"/>
        <v>2.2255192878338281E-2</v>
      </c>
      <c r="I10" s="30" t="s">
        <v>8407</v>
      </c>
      <c r="J10" s="28">
        <v>3</v>
      </c>
      <c r="L10" s="88" t="s">
        <v>15457</v>
      </c>
      <c r="M10" s="88">
        <v>5</v>
      </c>
      <c r="N10" s="87" t="s">
        <v>589</v>
      </c>
      <c r="O10" s="88">
        <v>58</v>
      </c>
      <c r="P10" s="88">
        <v>4.2</v>
      </c>
      <c r="Q10" s="88">
        <v>10.199999999999999</v>
      </c>
      <c r="R10" s="87" t="s">
        <v>15458</v>
      </c>
      <c r="T10" s="28" t="s">
        <v>3029</v>
      </c>
      <c r="U10" s="28">
        <v>3</v>
      </c>
      <c r="V10" s="28">
        <v>301</v>
      </c>
      <c r="W10" s="28">
        <f t="shared" si="2"/>
        <v>5655</v>
      </c>
      <c r="X10" s="40">
        <f t="shared" si="1"/>
        <v>0.52433936022253125</v>
      </c>
    </row>
    <row r="11" spans="1:24" ht="14" x14ac:dyDescent="0.25">
      <c r="A11" s="41" t="s">
        <v>840</v>
      </c>
      <c r="B11" s="42">
        <v>13</v>
      </c>
      <c r="C11" s="39">
        <f t="shared" si="0"/>
        <v>1.9287833827893175E-2</v>
      </c>
      <c r="I11" s="30" t="s">
        <v>6645</v>
      </c>
      <c r="J11" s="28">
        <v>3</v>
      </c>
      <c r="L11" s="88" t="s">
        <v>15459</v>
      </c>
      <c r="M11" s="88">
        <v>4</v>
      </c>
      <c r="N11" s="87" t="s">
        <v>2581</v>
      </c>
      <c r="O11" s="88">
        <v>473</v>
      </c>
      <c r="P11" s="88">
        <v>7</v>
      </c>
      <c r="Q11" s="88">
        <v>17.399999999999999</v>
      </c>
      <c r="R11" s="87" t="s">
        <v>15460</v>
      </c>
      <c r="T11" s="28" t="s">
        <v>2140</v>
      </c>
      <c r="U11" s="28">
        <v>5</v>
      </c>
      <c r="V11" s="28">
        <v>245</v>
      </c>
      <c r="W11" s="28">
        <f t="shared" si="2"/>
        <v>5900</v>
      </c>
      <c r="X11" s="40">
        <f t="shared" si="1"/>
        <v>0.54705609643022712</v>
      </c>
    </row>
    <row r="12" spans="1:24" ht="14" x14ac:dyDescent="0.25">
      <c r="A12" s="41" t="s">
        <v>521</v>
      </c>
      <c r="B12" s="42">
        <v>12</v>
      </c>
      <c r="C12" s="39">
        <f t="shared" si="0"/>
        <v>1.7804154302670624E-2</v>
      </c>
      <c r="I12" s="30" t="s">
        <v>2969</v>
      </c>
      <c r="J12" s="28">
        <v>3</v>
      </c>
      <c r="L12" s="88" t="s">
        <v>15461</v>
      </c>
      <c r="M12" s="88">
        <v>4</v>
      </c>
      <c r="N12" s="87" t="s">
        <v>840</v>
      </c>
      <c r="O12" s="88">
        <v>9</v>
      </c>
      <c r="P12" s="88">
        <v>2.9</v>
      </c>
      <c r="Q12" s="88">
        <v>3.4</v>
      </c>
      <c r="R12" s="87" t="s">
        <v>15462</v>
      </c>
      <c r="T12" s="28" t="s">
        <v>9804</v>
      </c>
      <c r="U12" s="28">
        <v>1</v>
      </c>
      <c r="V12" s="28">
        <v>213</v>
      </c>
      <c r="W12" s="28">
        <f t="shared" si="2"/>
        <v>6113</v>
      </c>
      <c r="X12" s="40">
        <f t="shared" si="1"/>
        <v>0.56680574872508116</v>
      </c>
    </row>
    <row r="13" spans="1:24" ht="14" x14ac:dyDescent="0.25">
      <c r="A13" s="41" t="s">
        <v>479</v>
      </c>
      <c r="B13" s="42">
        <v>10</v>
      </c>
      <c r="C13" s="39">
        <f t="shared" si="0"/>
        <v>1.483679525222552E-2</v>
      </c>
      <c r="D13" s="43">
        <v>674</v>
      </c>
      <c r="I13" s="30" t="s">
        <v>3029</v>
      </c>
      <c r="J13" s="28">
        <v>3</v>
      </c>
      <c r="L13" s="88" t="s">
        <v>15463</v>
      </c>
      <c r="M13" s="88">
        <v>4</v>
      </c>
      <c r="N13" s="87" t="s">
        <v>1664</v>
      </c>
      <c r="O13" s="88">
        <v>6</v>
      </c>
      <c r="P13" s="88">
        <v>3.8</v>
      </c>
      <c r="Q13" s="88">
        <v>5.3</v>
      </c>
      <c r="R13" s="87" t="s">
        <v>15464</v>
      </c>
      <c r="T13" s="28" t="s">
        <v>7813</v>
      </c>
      <c r="U13" s="28">
        <v>1</v>
      </c>
      <c r="V13" s="28">
        <v>171</v>
      </c>
      <c r="W13" s="28">
        <f t="shared" si="2"/>
        <v>6284</v>
      </c>
      <c r="X13" s="40">
        <f t="shared" si="1"/>
        <v>0.58266110338433008</v>
      </c>
    </row>
    <row r="14" spans="1:24" ht="14" x14ac:dyDescent="0.25">
      <c r="A14" s="44" t="s">
        <v>15358</v>
      </c>
      <c r="B14" s="45">
        <v>355</v>
      </c>
      <c r="C14" s="39">
        <f t="shared" si="0"/>
        <v>0.52670623145400597</v>
      </c>
      <c r="I14" s="30" t="s">
        <v>12534</v>
      </c>
      <c r="J14" s="28">
        <v>3</v>
      </c>
      <c r="L14" s="88" t="s">
        <v>15466</v>
      </c>
      <c r="M14" s="88">
        <v>4</v>
      </c>
      <c r="N14" s="87" t="s">
        <v>700</v>
      </c>
      <c r="O14" s="88">
        <v>6</v>
      </c>
      <c r="P14" s="88">
        <v>4</v>
      </c>
      <c r="Q14" s="88">
        <v>4.5</v>
      </c>
      <c r="R14" s="87" t="s">
        <v>15465</v>
      </c>
      <c r="T14" s="28" t="s">
        <v>10182</v>
      </c>
      <c r="U14" s="28">
        <v>1</v>
      </c>
      <c r="V14" s="28">
        <v>131</v>
      </c>
      <c r="W14" s="28">
        <f t="shared" si="2"/>
        <v>6415</v>
      </c>
      <c r="X14" s="40">
        <f t="shared" si="1"/>
        <v>0.59480760315252668</v>
      </c>
    </row>
    <row r="15" spans="1:24" ht="14" x14ac:dyDescent="0.25">
      <c r="A15" s="27" t="s">
        <v>1217</v>
      </c>
      <c r="B15" s="12">
        <v>9</v>
      </c>
      <c r="I15" s="30" t="s">
        <v>4022</v>
      </c>
      <c r="J15" s="28">
        <v>3</v>
      </c>
      <c r="L15" s="84"/>
      <c r="M15" s="86"/>
      <c r="N15" s="86"/>
      <c r="O15" s="86"/>
      <c r="P15" s="86"/>
      <c r="Q15" s="86"/>
      <c r="R15" s="86"/>
      <c r="T15" s="28" t="s">
        <v>191</v>
      </c>
      <c r="U15" s="28">
        <v>23</v>
      </c>
      <c r="V15" s="28">
        <v>111</v>
      </c>
      <c r="W15" s="28">
        <f t="shared" si="2"/>
        <v>6526</v>
      </c>
      <c r="X15" s="40">
        <f t="shared" si="1"/>
        <v>0.60509967547519705</v>
      </c>
    </row>
    <row r="16" spans="1:24" ht="14.5" x14ac:dyDescent="0.25">
      <c r="A16" s="27" t="s">
        <v>1584</v>
      </c>
      <c r="B16" s="12">
        <v>9</v>
      </c>
      <c r="I16" s="30" t="s">
        <v>1609</v>
      </c>
      <c r="J16" s="28">
        <v>3</v>
      </c>
      <c r="L16" s="83"/>
      <c r="M16" s="86"/>
      <c r="N16" s="86"/>
      <c r="O16" s="86"/>
      <c r="P16" s="86"/>
      <c r="Q16" s="86"/>
      <c r="R16" s="86"/>
      <c r="T16" s="28" t="s">
        <v>9703</v>
      </c>
      <c r="U16" s="28">
        <v>1</v>
      </c>
      <c r="V16" s="28">
        <v>96</v>
      </c>
      <c r="W16" s="28">
        <f>+V16+W15</f>
        <v>6622</v>
      </c>
      <c r="X16" s="40">
        <f t="shared" si="1"/>
        <v>0.61400092721372279</v>
      </c>
    </row>
    <row r="17" spans="1:24" ht="14.5" x14ac:dyDescent="0.25">
      <c r="A17" s="27" t="s">
        <v>2581</v>
      </c>
      <c r="B17" s="12">
        <v>8</v>
      </c>
      <c r="I17" s="30" t="s">
        <v>633</v>
      </c>
      <c r="J17" s="28">
        <v>2</v>
      </c>
      <c r="L17" s="83"/>
      <c r="M17" s="86"/>
      <c r="N17" s="86"/>
      <c r="O17" s="86"/>
      <c r="P17" s="86"/>
      <c r="Q17" s="86"/>
      <c r="R17" s="86"/>
      <c r="T17" s="28" t="s">
        <v>8600</v>
      </c>
      <c r="U17" s="28">
        <v>1</v>
      </c>
      <c r="V17" s="28">
        <v>90</v>
      </c>
      <c r="W17" s="28">
        <f t="shared" si="2"/>
        <v>6712</v>
      </c>
      <c r="X17" s="40">
        <f t="shared" si="1"/>
        <v>0.62234585071859061</v>
      </c>
    </row>
    <row r="18" spans="1:24" ht="14.5" x14ac:dyDescent="0.25">
      <c r="A18" s="27" t="s">
        <v>4630</v>
      </c>
      <c r="B18" s="12">
        <v>8</v>
      </c>
      <c r="I18" s="30" t="s">
        <v>9531</v>
      </c>
      <c r="J18" s="28">
        <v>2</v>
      </c>
      <c r="L18" s="85"/>
      <c r="M18" s="86"/>
      <c r="N18" s="86"/>
      <c r="O18" s="86"/>
      <c r="P18" s="86"/>
      <c r="Q18" s="86"/>
      <c r="R18" s="86"/>
      <c r="T18" s="28" t="s">
        <v>1609</v>
      </c>
      <c r="U18" s="28">
        <v>3</v>
      </c>
      <c r="V18" s="28">
        <v>89</v>
      </c>
      <c r="W18" s="28">
        <f t="shared" si="2"/>
        <v>6801</v>
      </c>
      <c r="X18" s="40">
        <f t="shared" si="1"/>
        <v>0.6305980528511822</v>
      </c>
    </row>
    <row r="19" spans="1:24" x14ac:dyDescent="0.25">
      <c r="A19" s="27" t="s">
        <v>700</v>
      </c>
      <c r="B19" s="12">
        <v>8</v>
      </c>
      <c r="I19" s="30" t="s">
        <v>10144</v>
      </c>
      <c r="J19" s="28">
        <v>2</v>
      </c>
    </row>
    <row r="20" spans="1:24" x14ac:dyDescent="0.25">
      <c r="A20" s="27" t="s">
        <v>1082</v>
      </c>
      <c r="B20" s="12">
        <v>8</v>
      </c>
      <c r="I20" s="30" t="s">
        <v>2398</v>
      </c>
      <c r="J20" s="28">
        <v>2</v>
      </c>
    </row>
    <row r="21" spans="1:24" x14ac:dyDescent="0.25">
      <c r="A21" s="27" t="s">
        <v>589</v>
      </c>
      <c r="B21" s="12">
        <v>7</v>
      </c>
      <c r="I21" s="30" t="s">
        <v>7883</v>
      </c>
      <c r="J21" s="28">
        <v>2</v>
      </c>
    </row>
    <row r="22" spans="1:24" x14ac:dyDescent="0.25">
      <c r="A22" s="27" t="s">
        <v>3601</v>
      </c>
      <c r="B22" s="12">
        <v>7</v>
      </c>
      <c r="I22" s="30" t="s">
        <v>5427</v>
      </c>
      <c r="J22" s="28">
        <v>2</v>
      </c>
    </row>
    <row r="23" spans="1:24" x14ac:dyDescent="0.25">
      <c r="A23" s="27" t="s">
        <v>2621</v>
      </c>
      <c r="B23" s="12">
        <v>7</v>
      </c>
      <c r="I23" s="30" t="s">
        <v>4043</v>
      </c>
      <c r="J23" s="28">
        <v>2</v>
      </c>
    </row>
    <row r="24" spans="1:24" x14ac:dyDescent="0.25">
      <c r="A24" s="27" t="s">
        <v>1664</v>
      </c>
      <c r="B24" s="12">
        <v>6</v>
      </c>
      <c r="I24" s="30" t="s">
        <v>1567</v>
      </c>
      <c r="J24" s="28">
        <v>2</v>
      </c>
    </row>
    <row r="25" spans="1:24" x14ac:dyDescent="0.25">
      <c r="A25" s="27" t="s">
        <v>2159</v>
      </c>
      <c r="B25" s="12">
        <v>5</v>
      </c>
      <c r="I25" s="30" t="s">
        <v>1691</v>
      </c>
      <c r="J25" s="28">
        <v>2</v>
      </c>
    </row>
    <row r="26" spans="1:24" x14ac:dyDescent="0.25">
      <c r="A26" s="27" t="s">
        <v>239</v>
      </c>
      <c r="B26" s="12">
        <v>5</v>
      </c>
      <c r="I26" s="30" t="s">
        <v>9633</v>
      </c>
      <c r="J26" s="28">
        <v>2</v>
      </c>
    </row>
    <row r="27" spans="1:24" x14ac:dyDescent="0.25">
      <c r="A27" s="27" t="s">
        <v>1390</v>
      </c>
      <c r="B27" s="12">
        <v>5</v>
      </c>
      <c r="I27" s="30" t="s">
        <v>847</v>
      </c>
      <c r="J27" s="28">
        <v>2</v>
      </c>
    </row>
    <row r="28" spans="1:24" x14ac:dyDescent="0.25">
      <c r="A28" s="27" t="s">
        <v>977</v>
      </c>
      <c r="B28" s="12">
        <v>5</v>
      </c>
      <c r="I28" s="30" t="s">
        <v>2244</v>
      </c>
      <c r="J28" s="28">
        <v>2</v>
      </c>
    </row>
    <row r="29" spans="1:24" x14ac:dyDescent="0.25">
      <c r="A29" s="27" t="s">
        <v>182</v>
      </c>
      <c r="B29" s="12">
        <v>5</v>
      </c>
      <c r="I29" s="30" t="s">
        <v>2675</v>
      </c>
      <c r="J29" s="28">
        <v>2</v>
      </c>
    </row>
    <row r="30" spans="1:24" x14ac:dyDescent="0.25">
      <c r="A30" s="27" t="s">
        <v>5263</v>
      </c>
      <c r="B30" s="12">
        <v>5</v>
      </c>
      <c r="I30" s="30" t="s">
        <v>6551</v>
      </c>
      <c r="J30" s="28">
        <v>2</v>
      </c>
    </row>
    <row r="31" spans="1:24" x14ac:dyDescent="0.25">
      <c r="A31" s="27" t="s">
        <v>3958</v>
      </c>
      <c r="B31" s="12">
        <v>4</v>
      </c>
      <c r="I31" s="30" t="s">
        <v>1523</v>
      </c>
      <c r="J31" s="28">
        <v>2</v>
      </c>
    </row>
    <row r="32" spans="1:24" x14ac:dyDescent="0.25">
      <c r="A32" s="27" t="s">
        <v>7483</v>
      </c>
      <c r="B32" s="12">
        <v>4</v>
      </c>
      <c r="I32" s="30" t="s">
        <v>2987</v>
      </c>
      <c r="J32" s="28">
        <v>2</v>
      </c>
    </row>
    <row r="33" spans="1:10" x14ac:dyDescent="0.25">
      <c r="A33" s="27" t="s">
        <v>2113</v>
      </c>
      <c r="B33" s="12">
        <v>4</v>
      </c>
      <c r="I33" s="30" t="s">
        <v>3245</v>
      </c>
      <c r="J33" s="28">
        <v>2</v>
      </c>
    </row>
    <row r="34" spans="1:10" x14ac:dyDescent="0.25">
      <c r="A34" s="27" t="s">
        <v>545</v>
      </c>
      <c r="B34" s="12">
        <v>4</v>
      </c>
      <c r="I34" s="30" t="s">
        <v>1416</v>
      </c>
      <c r="J34" s="28">
        <v>2</v>
      </c>
    </row>
    <row r="35" spans="1:10" x14ac:dyDescent="0.25">
      <c r="A35" s="27" t="s">
        <v>2070</v>
      </c>
      <c r="B35" s="12">
        <v>4</v>
      </c>
      <c r="I35" s="30" t="s">
        <v>3390</v>
      </c>
      <c r="J35" s="28">
        <v>2</v>
      </c>
    </row>
    <row r="36" spans="1:10" x14ac:dyDescent="0.25">
      <c r="A36" s="27" t="s">
        <v>378</v>
      </c>
      <c r="B36" s="12">
        <v>4</v>
      </c>
      <c r="I36" s="30" t="s">
        <v>9769</v>
      </c>
      <c r="J36" s="28">
        <v>2</v>
      </c>
    </row>
    <row r="37" spans="1:10" x14ac:dyDescent="0.25">
      <c r="A37" s="27" t="s">
        <v>6503</v>
      </c>
      <c r="B37" s="12">
        <v>4</v>
      </c>
      <c r="I37" s="30" t="s">
        <v>6347</v>
      </c>
      <c r="J37" s="28">
        <v>1</v>
      </c>
    </row>
    <row r="38" spans="1:10" x14ac:dyDescent="0.25">
      <c r="A38" s="27" t="s">
        <v>4060</v>
      </c>
      <c r="B38" s="12">
        <v>4</v>
      </c>
      <c r="I38" s="30" t="s">
        <v>2095</v>
      </c>
      <c r="J38" s="28">
        <v>1</v>
      </c>
    </row>
    <row r="39" spans="1:10" x14ac:dyDescent="0.25">
      <c r="A39" s="27" t="s">
        <v>8769</v>
      </c>
      <c r="B39" s="12">
        <v>3</v>
      </c>
      <c r="I39" s="30" t="s">
        <v>7223</v>
      </c>
      <c r="J39" s="28">
        <v>1</v>
      </c>
    </row>
    <row r="40" spans="1:10" x14ac:dyDescent="0.25">
      <c r="A40" s="27" t="s">
        <v>5288</v>
      </c>
      <c r="B40" s="12">
        <v>3</v>
      </c>
      <c r="I40" s="30" t="s">
        <v>1888</v>
      </c>
      <c r="J40" s="28">
        <v>1</v>
      </c>
    </row>
    <row r="41" spans="1:10" x14ac:dyDescent="0.25">
      <c r="A41" s="27" t="s">
        <v>4000</v>
      </c>
      <c r="B41" s="12">
        <v>3</v>
      </c>
      <c r="I41" s="30" t="s">
        <v>12109</v>
      </c>
      <c r="J41" s="28">
        <v>1</v>
      </c>
    </row>
    <row r="42" spans="1:10" ht="12.5" customHeight="1" x14ac:dyDescent="0.25">
      <c r="A42" s="27" t="s">
        <v>10116</v>
      </c>
      <c r="B42" s="12">
        <v>3</v>
      </c>
      <c r="I42" s="30" t="s">
        <v>6710</v>
      </c>
      <c r="J42" s="28">
        <v>1</v>
      </c>
    </row>
    <row r="43" spans="1:10" ht="12.5" customHeight="1" x14ac:dyDescent="0.25">
      <c r="A43" s="27" t="s">
        <v>101</v>
      </c>
      <c r="B43" s="12">
        <v>3</v>
      </c>
      <c r="I43" s="30" t="s">
        <v>3005</v>
      </c>
      <c r="J43" s="28">
        <v>1</v>
      </c>
    </row>
    <row r="44" spans="1:10" ht="12.5" customHeight="1" x14ac:dyDescent="0.25">
      <c r="A44" s="27" t="s">
        <v>2849</v>
      </c>
      <c r="B44" s="12">
        <v>3</v>
      </c>
      <c r="I44" s="30" t="s">
        <v>3293</v>
      </c>
      <c r="J44" s="28">
        <v>1</v>
      </c>
    </row>
    <row r="45" spans="1:10" ht="12.5" customHeight="1" x14ac:dyDescent="0.25">
      <c r="A45" s="27" t="s">
        <v>3624</v>
      </c>
      <c r="B45" s="12">
        <v>3</v>
      </c>
      <c r="I45" s="30" t="s">
        <v>552</v>
      </c>
      <c r="J45" s="28">
        <v>1</v>
      </c>
    </row>
    <row r="46" spans="1:10" ht="12.5" customHeight="1" x14ac:dyDescent="0.25">
      <c r="A46" s="27" t="s">
        <v>420</v>
      </c>
      <c r="B46" s="12">
        <v>3</v>
      </c>
      <c r="I46" s="30" t="s">
        <v>6930</v>
      </c>
      <c r="J46" s="28">
        <v>1</v>
      </c>
    </row>
    <row r="47" spans="1:10" ht="12.5" customHeight="1" x14ac:dyDescent="0.25">
      <c r="A47" s="27" t="s">
        <v>4091</v>
      </c>
      <c r="B47" s="12">
        <v>3</v>
      </c>
      <c r="I47" s="30" t="s">
        <v>8915</v>
      </c>
      <c r="J47" s="28">
        <v>1</v>
      </c>
    </row>
    <row r="48" spans="1:10" ht="12.5" customHeight="1" x14ac:dyDescent="0.25">
      <c r="A48" s="27" t="s">
        <v>9837</v>
      </c>
      <c r="B48" s="12">
        <v>3</v>
      </c>
      <c r="I48" s="30" t="s">
        <v>6607</v>
      </c>
      <c r="J48" s="28">
        <v>1</v>
      </c>
    </row>
    <row r="49" spans="1:10" ht="12.5" customHeight="1" x14ac:dyDescent="0.25">
      <c r="A49" s="27" t="s">
        <v>3023</v>
      </c>
      <c r="B49" s="12">
        <v>2</v>
      </c>
      <c r="I49" s="30" t="s">
        <v>11590</v>
      </c>
      <c r="J49" s="28">
        <v>1</v>
      </c>
    </row>
    <row r="50" spans="1:10" ht="12.5" customHeight="1" x14ac:dyDescent="0.25">
      <c r="A50" s="27" t="s">
        <v>9422</v>
      </c>
      <c r="B50" s="12">
        <v>2</v>
      </c>
      <c r="I50" s="30" t="s">
        <v>1066</v>
      </c>
      <c r="J50" s="28">
        <v>1</v>
      </c>
    </row>
    <row r="51" spans="1:10" ht="12.5" customHeight="1" x14ac:dyDescent="0.25">
      <c r="A51" s="27" t="s">
        <v>5662</v>
      </c>
      <c r="B51" s="12">
        <v>2</v>
      </c>
      <c r="I51" s="30" t="s">
        <v>3470</v>
      </c>
      <c r="J51" s="28">
        <v>1</v>
      </c>
    </row>
    <row r="52" spans="1:10" ht="12.5" customHeight="1" x14ac:dyDescent="0.25">
      <c r="A52" s="27" t="s">
        <v>1643</v>
      </c>
      <c r="B52" s="12">
        <v>2</v>
      </c>
      <c r="I52" s="30" t="s">
        <v>6744</v>
      </c>
      <c r="J52" s="28">
        <v>1</v>
      </c>
    </row>
    <row r="53" spans="1:10" ht="12.5" customHeight="1" x14ac:dyDescent="0.25">
      <c r="A53" s="27" t="s">
        <v>2489</v>
      </c>
      <c r="B53" s="12">
        <v>2</v>
      </c>
      <c r="I53" s="30" t="s">
        <v>1167</v>
      </c>
      <c r="J53" s="28">
        <v>1</v>
      </c>
    </row>
    <row r="54" spans="1:10" ht="12.5" customHeight="1" x14ac:dyDescent="0.25">
      <c r="A54" s="27" t="s">
        <v>4842</v>
      </c>
      <c r="B54" s="12">
        <v>2</v>
      </c>
      <c r="I54" s="30" t="s">
        <v>5226</v>
      </c>
      <c r="J54" s="28">
        <v>1</v>
      </c>
    </row>
    <row r="55" spans="1:10" ht="12.5" customHeight="1" x14ac:dyDescent="0.25">
      <c r="A55" s="27" t="s">
        <v>3404</v>
      </c>
      <c r="B55" s="12">
        <v>2</v>
      </c>
      <c r="I55" s="30" t="s">
        <v>8444</v>
      </c>
      <c r="J55" s="28">
        <v>1</v>
      </c>
    </row>
    <row r="56" spans="1:10" ht="12.5" customHeight="1" x14ac:dyDescent="0.25">
      <c r="A56" s="27" t="s">
        <v>9324</v>
      </c>
      <c r="B56" s="12">
        <v>2</v>
      </c>
      <c r="I56" s="30" t="s">
        <v>1288</v>
      </c>
      <c r="J56" s="28">
        <v>1</v>
      </c>
    </row>
    <row r="57" spans="1:10" ht="12.5" customHeight="1" x14ac:dyDescent="0.25">
      <c r="A57" s="27" t="s">
        <v>10199</v>
      </c>
      <c r="B57" s="12">
        <v>2</v>
      </c>
      <c r="I57" s="30" t="s">
        <v>5856</v>
      </c>
      <c r="J57" s="28">
        <v>1</v>
      </c>
    </row>
    <row r="58" spans="1:10" ht="12.5" customHeight="1" x14ac:dyDescent="0.25">
      <c r="A58" s="27" t="s">
        <v>567</v>
      </c>
      <c r="B58" s="12">
        <v>2</v>
      </c>
      <c r="I58" s="30" t="s">
        <v>6122</v>
      </c>
      <c r="J58" s="28">
        <v>1</v>
      </c>
    </row>
    <row r="59" spans="1:10" ht="12.5" customHeight="1" x14ac:dyDescent="0.25">
      <c r="A59" s="27" t="s">
        <v>12849</v>
      </c>
      <c r="B59" s="12">
        <v>2</v>
      </c>
      <c r="I59" s="30" t="s">
        <v>8577</v>
      </c>
      <c r="J59" s="28">
        <v>1</v>
      </c>
    </row>
    <row r="60" spans="1:10" ht="12.5" customHeight="1" x14ac:dyDescent="0.25">
      <c r="A60" s="27" t="s">
        <v>766</v>
      </c>
      <c r="B60" s="12">
        <v>2</v>
      </c>
      <c r="I60" s="30" t="s">
        <v>11506</v>
      </c>
      <c r="J60" s="28">
        <v>1</v>
      </c>
    </row>
    <row r="61" spans="1:10" ht="12.5" customHeight="1" x14ac:dyDescent="0.25">
      <c r="A61" s="27" t="s">
        <v>743</v>
      </c>
      <c r="B61" s="12">
        <v>2</v>
      </c>
      <c r="I61" s="30" t="s">
        <v>1982</v>
      </c>
      <c r="J61" s="28">
        <v>1</v>
      </c>
    </row>
    <row r="62" spans="1:10" ht="12.5" customHeight="1" x14ac:dyDescent="0.25">
      <c r="A62" s="27" t="s">
        <v>4321</v>
      </c>
      <c r="B62" s="12">
        <v>2</v>
      </c>
      <c r="I62" s="30" t="s">
        <v>2543</v>
      </c>
      <c r="J62" s="28">
        <v>1</v>
      </c>
    </row>
    <row r="63" spans="1:10" ht="12.5" customHeight="1" x14ac:dyDescent="0.25">
      <c r="A63" s="27" t="s">
        <v>7539</v>
      </c>
      <c r="B63" s="12">
        <v>2</v>
      </c>
      <c r="I63" s="30" t="s">
        <v>7273</v>
      </c>
      <c r="J63" s="28">
        <v>1</v>
      </c>
    </row>
    <row r="64" spans="1:10" ht="13" customHeight="1" x14ac:dyDescent="0.25">
      <c r="A64" s="27" t="s">
        <v>5443</v>
      </c>
      <c r="B64" s="12">
        <v>2</v>
      </c>
      <c r="I64" s="30" t="s">
        <v>3664</v>
      </c>
      <c r="J64" s="28">
        <v>1</v>
      </c>
    </row>
    <row r="65" spans="1:10" x14ac:dyDescent="0.25">
      <c r="A65" s="27" t="s">
        <v>1684</v>
      </c>
      <c r="B65" s="12">
        <v>2</v>
      </c>
      <c r="I65" s="30" t="s">
        <v>10465</v>
      </c>
      <c r="J65" s="28">
        <v>1</v>
      </c>
    </row>
    <row r="66" spans="1:10" hidden="1" x14ac:dyDescent="0.25">
      <c r="A66" s="27" t="s">
        <v>12732</v>
      </c>
      <c r="B66" s="12">
        <v>2</v>
      </c>
      <c r="I66" s="30" t="s">
        <v>5467</v>
      </c>
      <c r="J66" s="28">
        <v>1</v>
      </c>
    </row>
    <row r="67" spans="1:10" hidden="1" x14ac:dyDescent="0.25">
      <c r="A67" s="27" t="s">
        <v>2449</v>
      </c>
      <c r="B67" s="12">
        <v>2</v>
      </c>
      <c r="I67" s="30" t="s">
        <v>7372</v>
      </c>
      <c r="J67" s="28">
        <v>1</v>
      </c>
    </row>
    <row r="68" spans="1:10" hidden="1" x14ac:dyDescent="0.25">
      <c r="A68" s="27" t="s">
        <v>5808</v>
      </c>
      <c r="B68" s="12">
        <v>2</v>
      </c>
      <c r="I68" s="30" t="s">
        <v>12697</v>
      </c>
      <c r="J68" s="28">
        <v>1</v>
      </c>
    </row>
    <row r="69" spans="1:10" hidden="1" x14ac:dyDescent="0.25">
      <c r="A69" s="27" t="s">
        <v>1838</v>
      </c>
      <c r="B69" s="12">
        <v>2</v>
      </c>
      <c r="I69" s="30" t="s">
        <v>6684</v>
      </c>
      <c r="J69" s="28">
        <v>1</v>
      </c>
    </row>
    <row r="70" spans="1:10" hidden="1" x14ac:dyDescent="0.25">
      <c r="A70" s="27" t="s">
        <v>612</v>
      </c>
      <c r="B70" s="12">
        <v>2</v>
      </c>
      <c r="I70" s="30" t="s">
        <v>4066</v>
      </c>
      <c r="J70" s="28">
        <v>2</v>
      </c>
    </row>
    <row r="71" spans="1:10" hidden="1" x14ac:dyDescent="0.25">
      <c r="A71" s="27" t="s">
        <v>859</v>
      </c>
      <c r="B71" s="12">
        <v>2</v>
      </c>
      <c r="I71" s="30" t="s">
        <v>12088</v>
      </c>
      <c r="J71" s="28">
        <v>1</v>
      </c>
    </row>
    <row r="72" spans="1:10" hidden="1" x14ac:dyDescent="0.25">
      <c r="A72" s="27" t="s">
        <v>4435</v>
      </c>
      <c r="B72" s="12">
        <v>2</v>
      </c>
      <c r="I72" s="30" t="s">
        <v>12067</v>
      </c>
      <c r="J72" s="28">
        <v>1</v>
      </c>
    </row>
    <row r="73" spans="1:10" hidden="1" x14ac:dyDescent="0.25">
      <c r="A73" s="27" t="s">
        <v>651</v>
      </c>
      <c r="B73" s="12">
        <v>2</v>
      </c>
      <c r="I73" s="30" t="s">
        <v>8474</v>
      </c>
      <c r="J73" s="28">
        <v>1</v>
      </c>
    </row>
    <row r="74" spans="1:10" hidden="1" x14ac:dyDescent="0.25">
      <c r="A74" s="27" t="s">
        <v>6703</v>
      </c>
      <c r="B74" s="12">
        <v>2</v>
      </c>
      <c r="I74" s="30" t="s">
        <v>12467</v>
      </c>
      <c r="J74" s="28">
        <v>1</v>
      </c>
    </row>
    <row r="75" spans="1:10" hidden="1" x14ac:dyDescent="0.25">
      <c r="A75" s="27" t="s">
        <v>9210</v>
      </c>
      <c r="B75" s="12">
        <v>2</v>
      </c>
      <c r="I75" s="30" t="s">
        <v>10794</v>
      </c>
      <c r="J75" s="28">
        <v>1</v>
      </c>
    </row>
    <row r="76" spans="1:10" hidden="1" x14ac:dyDescent="0.25">
      <c r="A76" s="27" t="s">
        <v>1477</v>
      </c>
      <c r="B76" s="12">
        <v>2</v>
      </c>
      <c r="I76" s="30" t="s">
        <v>7781</v>
      </c>
      <c r="J76" s="28">
        <v>1</v>
      </c>
    </row>
    <row r="77" spans="1:10" hidden="1" x14ac:dyDescent="0.25">
      <c r="A77" s="27" t="s">
        <v>11077</v>
      </c>
      <c r="B77" s="12">
        <v>2</v>
      </c>
      <c r="I77" s="30" t="s">
        <v>12873</v>
      </c>
      <c r="J77" s="28">
        <v>1</v>
      </c>
    </row>
    <row r="78" spans="1:10" hidden="1" x14ac:dyDescent="0.25">
      <c r="A78" s="27" t="s">
        <v>10859</v>
      </c>
      <c r="B78" s="12">
        <v>1</v>
      </c>
      <c r="I78" s="30" t="s">
        <v>2077</v>
      </c>
      <c r="J78" s="28">
        <v>1</v>
      </c>
    </row>
    <row r="79" spans="1:10" hidden="1" x14ac:dyDescent="0.25">
      <c r="A79" s="27" t="s">
        <v>3308</v>
      </c>
      <c r="B79" s="12">
        <v>1</v>
      </c>
      <c r="I79" s="30" t="s">
        <v>12497</v>
      </c>
      <c r="J79" s="28">
        <v>1</v>
      </c>
    </row>
    <row r="80" spans="1:10" hidden="1" x14ac:dyDescent="0.25">
      <c r="A80" s="27" t="s">
        <v>3483</v>
      </c>
      <c r="B80" s="12">
        <v>1</v>
      </c>
      <c r="I80" s="30" t="s">
        <v>8261</v>
      </c>
      <c r="J80" s="28">
        <v>1</v>
      </c>
    </row>
    <row r="81" spans="1:10" hidden="1" x14ac:dyDescent="0.25">
      <c r="A81" s="27" t="s">
        <v>8924</v>
      </c>
      <c r="B81" s="12">
        <v>1</v>
      </c>
      <c r="I81" s="30" t="s">
        <v>77</v>
      </c>
      <c r="J81" s="28">
        <v>3</v>
      </c>
    </row>
    <row r="82" spans="1:10" hidden="1" x14ac:dyDescent="0.25">
      <c r="A82" s="27" t="s">
        <v>7405</v>
      </c>
      <c r="B82" s="12">
        <v>1</v>
      </c>
      <c r="I82" s="30" t="s">
        <v>9610</v>
      </c>
      <c r="J82" s="28">
        <v>1</v>
      </c>
    </row>
    <row r="83" spans="1:10" hidden="1" x14ac:dyDescent="0.25">
      <c r="A83" s="27" t="s">
        <v>3132</v>
      </c>
      <c r="B83" s="12">
        <v>1</v>
      </c>
      <c r="I83" s="30" t="s">
        <v>11901</v>
      </c>
      <c r="J83" s="28">
        <v>1</v>
      </c>
    </row>
    <row r="84" spans="1:10" hidden="1" x14ac:dyDescent="0.25">
      <c r="A84" s="27" t="s">
        <v>9051</v>
      </c>
      <c r="B84" s="12">
        <v>1</v>
      </c>
      <c r="I84" s="30" t="s">
        <v>8998</v>
      </c>
      <c r="J84" s="28">
        <v>1</v>
      </c>
    </row>
    <row r="85" spans="1:10" hidden="1" x14ac:dyDescent="0.25">
      <c r="A85" s="27" t="s">
        <v>10095</v>
      </c>
      <c r="B85" s="12">
        <v>1</v>
      </c>
      <c r="I85" s="30" t="s">
        <v>4680</v>
      </c>
      <c r="J85" s="28">
        <v>1</v>
      </c>
    </row>
    <row r="86" spans="1:10" hidden="1" x14ac:dyDescent="0.25">
      <c r="A86" s="27" t="s">
        <v>10269</v>
      </c>
      <c r="B86" s="12">
        <v>1</v>
      </c>
      <c r="I86" s="30" t="s">
        <v>12159</v>
      </c>
      <c r="J86" s="28">
        <v>1</v>
      </c>
    </row>
    <row r="87" spans="1:10" hidden="1" x14ac:dyDescent="0.25">
      <c r="A87" s="27" t="s">
        <v>7559</v>
      </c>
      <c r="B87" s="12">
        <v>1</v>
      </c>
      <c r="I87" s="30" t="s">
        <v>10771</v>
      </c>
      <c r="J87" s="28">
        <v>1</v>
      </c>
    </row>
    <row r="88" spans="1:10" hidden="1" x14ac:dyDescent="0.25">
      <c r="A88" s="27" t="s">
        <v>12172</v>
      </c>
      <c r="B88" s="12">
        <v>1</v>
      </c>
      <c r="I88" s="30" t="s">
        <v>6509</v>
      </c>
      <c r="J88" s="28">
        <v>1</v>
      </c>
    </row>
    <row r="89" spans="1:10" hidden="1" x14ac:dyDescent="0.25">
      <c r="A89" s="27" t="s">
        <v>12402</v>
      </c>
      <c r="B89" s="12">
        <v>1</v>
      </c>
      <c r="I89" s="30" t="s">
        <v>8335</v>
      </c>
      <c r="J89" s="28">
        <v>1</v>
      </c>
    </row>
    <row r="90" spans="1:10" hidden="1" x14ac:dyDescent="0.25">
      <c r="A90" s="27" t="s">
        <v>11806</v>
      </c>
      <c r="B90" s="12">
        <v>1</v>
      </c>
      <c r="I90" s="30" t="s">
        <v>5449</v>
      </c>
      <c r="J90" s="28">
        <v>1</v>
      </c>
    </row>
    <row r="91" spans="1:10" hidden="1" x14ac:dyDescent="0.25">
      <c r="A91" s="27" t="s">
        <v>292</v>
      </c>
      <c r="B91" s="12">
        <v>1</v>
      </c>
      <c r="I91" s="30" t="s">
        <v>9131</v>
      </c>
      <c r="J91" s="28">
        <v>1</v>
      </c>
    </row>
    <row r="92" spans="1:10" hidden="1" x14ac:dyDescent="0.25">
      <c r="A92" s="27" t="s">
        <v>8894</v>
      </c>
      <c r="B92" s="12">
        <v>1</v>
      </c>
      <c r="I92" s="30" t="s">
        <v>2374</v>
      </c>
      <c r="J92" s="28">
        <v>1</v>
      </c>
    </row>
    <row r="93" spans="1:10" hidden="1" x14ac:dyDescent="0.25">
      <c r="A93" s="27" t="s">
        <v>7702</v>
      </c>
      <c r="B93" s="12">
        <v>1</v>
      </c>
      <c r="I93" s="30" t="s">
        <v>11159</v>
      </c>
      <c r="J93" s="28">
        <v>1</v>
      </c>
    </row>
    <row r="94" spans="1:10" hidden="1" x14ac:dyDescent="0.25">
      <c r="A94" s="27" t="s">
        <v>5310</v>
      </c>
      <c r="B94" s="12">
        <v>1</v>
      </c>
      <c r="I94" s="30" t="s">
        <v>9919</v>
      </c>
      <c r="J94" s="28">
        <v>1</v>
      </c>
    </row>
    <row r="95" spans="1:10" hidden="1" x14ac:dyDescent="0.25">
      <c r="A95" s="27" t="s">
        <v>10347</v>
      </c>
      <c r="B95" s="12">
        <v>1</v>
      </c>
      <c r="I95" s="30" t="s">
        <v>10739</v>
      </c>
      <c r="J95" s="28">
        <v>1</v>
      </c>
    </row>
    <row r="96" spans="1:10" hidden="1" x14ac:dyDescent="0.25">
      <c r="A96" s="27" t="s">
        <v>1264</v>
      </c>
      <c r="B96" s="12">
        <v>1</v>
      </c>
      <c r="I96" s="30" t="s">
        <v>9091</v>
      </c>
      <c r="J96" s="28">
        <v>1</v>
      </c>
    </row>
    <row r="97" spans="1:10" hidden="1" x14ac:dyDescent="0.25">
      <c r="A97" s="27" t="s">
        <v>676</v>
      </c>
      <c r="B97" s="12">
        <v>1</v>
      </c>
      <c r="I97" s="30" t="s">
        <v>12289</v>
      </c>
      <c r="J97" s="28">
        <v>1</v>
      </c>
    </row>
    <row r="98" spans="1:10" hidden="1" x14ac:dyDescent="0.25">
      <c r="A98" s="27" t="s">
        <v>5083</v>
      </c>
      <c r="B98" s="12">
        <v>1</v>
      </c>
      <c r="I98" s="30" t="s">
        <v>5669</v>
      </c>
      <c r="J98" s="28">
        <v>1</v>
      </c>
    </row>
    <row r="99" spans="1:10" hidden="1" x14ac:dyDescent="0.25">
      <c r="A99" s="27" t="s">
        <v>788</v>
      </c>
      <c r="B99" s="12">
        <v>1</v>
      </c>
      <c r="I99" s="30" t="s">
        <v>10667</v>
      </c>
      <c r="J99" s="28">
        <v>1</v>
      </c>
    </row>
    <row r="100" spans="1:10" hidden="1" x14ac:dyDescent="0.25">
      <c r="A100" s="27" t="s">
        <v>6423</v>
      </c>
      <c r="B100" s="12">
        <v>1</v>
      </c>
      <c r="I100" s="30" t="s">
        <v>4173</v>
      </c>
      <c r="J100" s="28">
        <v>1</v>
      </c>
    </row>
    <row r="101" spans="1:10" hidden="1" x14ac:dyDescent="0.25">
      <c r="A101" s="27" t="s">
        <v>155</v>
      </c>
      <c r="B101" s="12">
        <v>1</v>
      </c>
      <c r="I101" s="30" t="s">
        <v>9038</v>
      </c>
      <c r="J101" s="28">
        <v>1</v>
      </c>
    </row>
    <row r="102" spans="1:10" x14ac:dyDescent="0.25">
      <c r="A102" s="27" t="s">
        <v>11135</v>
      </c>
      <c r="B102" s="12">
        <v>1</v>
      </c>
      <c r="I102" s="30" t="s">
        <v>7411</v>
      </c>
      <c r="J102" s="28">
        <v>1</v>
      </c>
    </row>
    <row r="103" spans="1:10" ht="12.5" customHeight="1" x14ac:dyDescent="0.25">
      <c r="A103" s="27" t="s">
        <v>5753</v>
      </c>
      <c r="B103" s="12">
        <v>1</v>
      </c>
      <c r="I103" s="30" t="s">
        <v>7694</v>
      </c>
      <c r="J103" s="28">
        <v>1</v>
      </c>
    </row>
    <row r="104" spans="1:10" ht="12.5" customHeight="1" x14ac:dyDescent="0.25">
      <c r="A104" s="27" t="s">
        <v>7876</v>
      </c>
      <c r="B104" s="12">
        <v>1</v>
      </c>
      <c r="I104" s="30" t="s">
        <v>5505</v>
      </c>
      <c r="J104" s="28">
        <v>1</v>
      </c>
    </row>
    <row r="105" spans="1:10" ht="12.5" customHeight="1" x14ac:dyDescent="0.25">
      <c r="A105" s="27" t="s">
        <v>12081</v>
      </c>
      <c r="B105" s="12">
        <v>1</v>
      </c>
      <c r="I105" s="30" t="s">
        <v>595</v>
      </c>
      <c r="J105" s="28">
        <v>1</v>
      </c>
    </row>
    <row r="106" spans="1:10" ht="12.5" customHeight="1" x14ac:dyDescent="0.25">
      <c r="A106" s="27" t="s">
        <v>11916</v>
      </c>
      <c r="B106" s="12">
        <v>1</v>
      </c>
      <c r="I106" s="30" t="s">
        <v>2855</v>
      </c>
      <c r="J106" s="28">
        <v>1</v>
      </c>
    </row>
    <row r="107" spans="1:10" ht="12.5" customHeight="1" x14ac:dyDescent="0.25">
      <c r="A107" s="27" t="s">
        <v>6873</v>
      </c>
      <c r="B107" s="12">
        <v>1</v>
      </c>
      <c r="I107" s="30" t="s">
        <v>908</v>
      </c>
      <c r="J107" s="28">
        <v>1</v>
      </c>
    </row>
    <row r="108" spans="1:10" ht="12.5" customHeight="1" x14ac:dyDescent="0.25">
      <c r="A108" s="27" t="s">
        <v>7365</v>
      </c>
      <c r="B108" s="12">
        <v>1</v>
      </c>
      <c r="I108" s="30" t="s">
        <v>1590</v>
      </c>
      <c r="J108" s="28">
        <v>1</v>
      </c>
    </row>
    <row r="109" spans="1:10" ht="12.5" customHeight="1" x14ac:dyDescent="0.25">
      <c r="A109" s="27" t="s">
        <v>8150</v>
      </c>
      <c r="B109" s="12">
        <v>1</v>
      </c>
      <c r="I109" s="30" t="s">
        <v>7246</v>
      </c>
      <c r="J109" s="28">
        <v>1</v>
      </c>
    </row>
    <row r="110" spans="1:10" ht="12.5" customHeight="1" x14ac:dyDescent="0.25">
      <c r="A110" s="27" t="s">
        <v>6818</v>
      </c>
      <c r="B110" s="12">
        <v>1</v>
      </c>
      <c r="I110" s="30" t="s">
        <v>10844</v>
      </c>
      <c r="J110" s="28">
        <v>1</v>
      </c>
    </row>
    <row r="111" spans="1:10" ht="12.5" customHeight="1" x14ac:dyDescent="0.25">
      <c r="A111" s="27" t="s">
        <v>398</v>
      </c>
      <c r="B111" s="12">
        <v>1</v>
      </c>
      <c r="I111" s="30" t="s">
        <v>10949</v>
      </c>
      <c r="J111" s="28">
        <v>1</v>
      </c>
    </row>
    <row r="112" spans="1:10" ht="12.5" customHeight="1" x14ac:dyDescent="0.25">
      <c r="A112" s="27" t="s">
        <v>9936</v>
      </c>
      <c r="B112" s="12">
        <v>1</v>
      </c>
      <c r="I112" s="30" t="s">
        <v>10330</v>
      </c>
      <c r="J112" s="28">
        <v>1</v>
      </c>
    </row>
    <row r="113" spans="1:10" ht="12.5" customHeight="1" x14ac:dyDescent="0.25">
      <c r="A113" s="27" t="s">
        <v>12042</v>
      </c>
      <c r="B113" s="12">
        <v>1</v>
      </c>
      <c r="I113" s="30" t="s">
        <v>773</v>
      </c>
      <c r="J113" s="28">
        <v>1</v>
      </c>
    </row>
    <row r="114" spans="1:10" ht="12.5" customHeight="1" x14ac:dyDescent="0.25">
      <c r="A114" s="27" t="s">
        <v>9697</v>
      </c>
      <c r="B114" s="12">
        <v>1</v>
      </c>
      <c r="I114" s="30" t="s">
        <v>11546</v>
      </c>
      <c r="J114" s="28">
        <v>1</v>
      </c>
    </row>
    <row r="115" spans="1:10" ht="12.5" customHeight="1" x14ac:dyDescent="0.25">
      <c r="A115" s="27" t="s">
        <v>12909</v>
      </c>
      <c r="B115" s="12">
        <v>1</v>
      </c>
      <c r="I115" s="30" t="s">
        <v>7813</v>
      </c>
      <c r="J115" s="28">
        <v>1</v>
      </c>
    </row>
    <row r="116" spans="1:10" ht="12.5" customHeight="1" x14ac:dyDescent="0.25">
      <c r="A116" s="27" t="s">
        <v>723</v>
      </c>
      <c r="B116" s="12">
        <v>1</v>
      </c>
      <c r="I116" s="30" t="s">
        <v>5248</v>
      </c>
      <c r="J116" s="28">
        <v>1</v>
      </c>
    </row>
    <row r="117" spans="1:10" ht="12.5" customHeight="1" x14ac:dyDescent="0.25">
      <c r="A117" s="27" t="s">
        <v>12883</v>
      </c>
      <c r="B117" s="12">
        <v>1</v>
      </c>
      <c r="I117" s="30" t="s">
        <v>6997</v>
      </c>
      <c r="J117" s="28">
        <v>1</v>
      </c>
    </row>
    <row r="118" spans="1:10" ht="12.5" customHeight="1" x14ac:dyDescent="0.25">
      <c r="A118" s="27" t="s">
        <v>12300</v>
      </c>
      <c r="B118" s="12">
        <v>1</v>
      </c>
      <c r="I118" s="30" t="s">
        <v>4930</v>
      </c>
      <c r="J118" s="28">
        <v>1</v>
      </c>
    </row>
    <row r="119" spans="1:10" ht="12.5" customHeight="1" x14ac:dyDescent="0.25">
      <c r="A119" s="27" t="s">
        <v>5850</v>
      </c>
      <c r="B119" s="12">
        <v>1</v>
      </c>
      <c r="I119" s="30" t="s">
        <v>4704</v>
      </c>
      <c r="J119" s="28">
        <v>1</v>
      </c>
    </row>
    <row r="120" spans="1:10" ht="13" customHeight="1" x14ac:dyDescent="0.25">
      <c r="A120" s="27" t="s">
        <v>4742</v>
      </c>
      <c r="B120" s="12">
        <v>1</v>
      </c>
      <c r="I120" s="30" t="s">
        <v>12854</v>
      </c>
      <c r="J120" s="28">
        <v>1</v>
      </c>
    </row>
    <row r="121" spans="1:10" hidden="1" x14ac:dyDescent="0.25">
      <c r="A121" s="27" t="s">
        <v>12510</v>
      </c>
      <c r="B121" s="12">
        <v>1</v>
      </c>
      <c r="I121" s="30" t="s">
        <v>527</v>
      </c>
      <c r="J121" s="28">
        <v>2</v>
      </c>
    </row>
    <row r="122" spans="1:10" hidden="1" x14ac:dyDescent="0.25">
      <c r="A122" s="27" t="s">
        <v>3154</v>
      </c>
      <c r="B122" s="12">
        <v>1</v>
      </c>
      <c r="I122" s="30" t="s">
        <v>7449</v>
      </c>
      <c r="J122" s="28">
        <v>1</v>
      </c>
    </row>
    <row r="123" spans="1:10" hidden="1" x14ac:dyDescent="0.25">
      <c r="A123" s="27" t="s">
        <v>5987</v>
      </c>
      <c r="B123" s="12">
        <v>1</v>
      </c>
      <c r="I123" s="30" t="s">
        <v>2181</v>
      </c>
      <c r="J123" s="28">
        <v>1</v>
      </c>
    </row>
    <row r="124" spans="1:10" hidden="1" x14ac:dyDescent="0.25">
      <c r="A124" s="27" t="s">
        <v>3876</v>
      </c>
      <c r="B124" s="12">
        <v>1</v>
      </c>
      <c r="I124" s="30" t="s">
        <v>5485</v>
      </c>
      <c r="J124" s="28">
        <v>1</v>
      </c>
    </row>
    <row r="125" spans="1:10" hidden="1" x14ac:dyDescent="0.25">
      <c r="A125" s="27" t="s">
        <v>12260</v>
      </c>
      <c r="B125" s="12">
        <v>1</v>
      </c>
      <c r="I125" s="30" t="s">
        <v>5689</v>
      </c>
      <c r="J125" s="28">
        <v>1</v>
      </c>
    </row>
    <row r="126" spans="1:10" hidden="1" x14ac:dyDescent="0.25">
      <c r="A126" s="27" t="s">
        <v>4231</v>
      </c>
      <c r="B126" s="12">
        <v>1</v>
      </c>
      <c r="I126" s="30" t="s">
        <v>2455</v>
      </c>
      <c r="J126" s="28">
        <v>2</v>
      </c>
    </row>
    <row r="127" spans="1:10" hidden="1" x14ac:dyDescent="0.25">
      <c r="A127" s="27" t="s">
        <v>2000</v>
      </c>
      <c r="B127" s="12">
        <v>1</v>
      </c>
      <c r="I127" s="30" t="s">
        <v>3922</v>
      </c>
      <c r="J127" s="28">
        <v>1</v>
      </c>
    </row>
    <row r="128" spans="1:10" hidden="1" x14ac:dyDescent="0.25">
      <c r="A128" s="27" t="s">
        <v>5704</v>
      </c>
      <c r="B128" s="12">
        <v>1</v>
      </c>
      <c r="I128" s="30" t="s">
        <v>8708</v>
      </c>
      <c r="J128" s="28">
        <v>1</v>
      </c>
    </row>
    <row r="129" spans="1:10" hidden="1" x14ac:dyDescent="0.25">
      <c r="A129" s="27" t="s">
        <v>8746</v>
      </c>
      <c r="B129" s="12">
        <v>1</v>
      </c>
      <c r="I129" s="30" t="s">
        <v>5366</v>
      </c>
      <c r="J129" s="28">
        <v>1</v>
      </c>
    </row>
    <row r="130" spans="1:10" hidden="1" x14ac:dyDescent="0.25">
      <c r="A130" s="27" t="s">
        <v>2525</v>
      </c>
      <c r="B130" s="12">
        <v>1</v>
      </c>
      <c r="I130" s="30" t="s">
        <v>9679</v>
      </c>
      <c r="J130" s="28">
        <v>1</v>
      </c>
    </row>
    <row r="131" spans="1:10" hidden="1" x14ac:dyDescent="0.25">
      <c r="A131" s="27" t="s">
        <v>10749</v>
      </c>
      <c r="B131" s="12">
        <v>1</v>
      </c>
      <c r="I131" s="30" t="s">
        <v>3224</v>
      </c>
      <c r="J131" s="28">
        <v>1</v>
      </c>
    </row>
    <row r="132" spans="1:10" hidden="1" x14ac:dyDescent="0.25">
      <c r="A132" s="27" t="s">
        <v>12224</v>
      </c>
      <c r="B132" s="12">
        <v>1</v>
      </c>
      <c r="I132" s="30" t="s">
        <v>6803</v>
      </c>
      <c r="J132" s="28">
        <v>1</v>
      </c>
    </row>
    <row r="133" spans="1:10" hidden="1" x14ac:dyDescent="0.25">
      <c r="A133" s="27" t="s">
        <v>11981</v>
      </c>
      <c r="B133" s="12">
        <v>1</v>
      </c>
      <c r="I133" s="30" t="s">
        <v>461</v>
      </c>
      <c r="J133" s="28">
        <v>1</v>
      </c>
    </row>
    <row r="134" spans="1:10" hidden="1" x14ac:dyDescent="0.25">
      <c r="A134" s="27" t="s">
        <v>10602</v>
      </c>
      <c r="B134" s="12">
        <v>1</v>
      </c>
      <c r="I134" s="30" t="s">
        <v>8556</v>
      </c>
      <c r="J134" s="28">
        <v>1</v>
      </c>
    </row>
    <row r="135" spans="1:10" hidden="1" x14ac:dyDescent="0.25">
      <c r="A135" s="27" t="s">
        <v>12783</v>
      </c>
      <c r="B135" s="12">
        <v>1</v>
      </c>
      <c r="I135" s="30" t="s">
        <v>1776</v>
      </c>
      <c r="J135" s="28">
        <v>1</v>
      </c>
    </row>
    <row r="136" spans="1:10" hidden="1" x14ac:dyDescent="0.25">
      <c r="A136" s="27" t="s">
        <v>11765</v>
      </c>
      <c r="B136" s="12">
        <v>1</v>
      </c>
      <c r="I136" s="30" t="s">
        <v>8880</v>
      </c>
      <c r="J136" s="28">
        <v>1</v>
      </c>
    </row>
    <row r="137" spans="1:10" x14ac:dyDescent="0.25">
      <c r="A137" s="27" t="s">
        <v>7954</v>
      </c>
      <c r="B137" s="12">
        <v>1</v>
      </c>
      <c r="I137" s="30" t="s">
        <v>11477</v>
      </c>
      <c r="J137" s="28">
        <v>1</v>
      </c>
    </row>
    <row r="138" spans="1:10" ht="12.5" customHeight="1" x14ac:dyDescent="0.25">
      <c r="A138" s="27" t="s">
        <v>11218</v>
      </c>
      <c r="B138" s="12">
        <v>1</v>
      </c>
      <c r="I138" s="30" t="s">
        <v>6571</v>
      </c>
      <c r="J138" s="28">
        <v>1</v>
      </c>
    </row>
    <row r="139" spans="1:10" ht="12.5" customHeight="1" x14ac:dyDescent="0.25">
      <c r="A139" s="27" t="s">
        <v>1450</v>
      </c>
      <c r="B139" s="12">
        <v>1</v>
      </c>
      <c r="I139" s="30" t="s">
        <v>11790</v>
      </c>
      <c r="J139" s="28">
        <v>1</v>
      </c>
    </row>
    <row r="140" spans="1:10" ht="12.5" customHeight="1" x14ac:dyDescent="0.25">
      <c r="A140" s="27" t="s">
        <v>7851</v>
      </c>
      <c r="B140" s="12">
        <v>1</v>
      </c>
      <c r="I140" s="30" t="s">
        <v>6329</v>
      </c>
      <c r="J140" s="28">
        <v>1</v>
      </c>
    </row>
    <row r="141" spans="1:10" ht="12.5" customHeight="1" x14ac:dyDescent="0.25">
      <c r="A141" s="27" t="s">
        <v>5479</v>
      </c>
      <c r="B141" s="12">
        <v>1</v>
      </c>
      <c r="I141" s="30" t="s">
        <v>11772</v>
      </c>
      <c r="J141" s="28">
        <v>1</v>
      </c>
    </row>
    <row r="142" spans="1:10" ht="12.5" customHeight="1" x14ac:dyDescent="0.25">
      <c r="A142" s="27" t="s">
        <v>8649</v>
      </c>
      <c r="B142" s="12">
        <v>1</v>
      </c>
      <c r="I142" s="30" t="s">
        <v>4950</v>
      </c>
      <c r="J142" s="28">
        <v>1</v>
      </c>
    </row>
    <row r="143" spans="1:10" ht="12.5" customHeight="1" x14ac:dyDescent="0.25">
      <c r="A143" s="27" t="s">
        <v>10704</v>
      </c>
      <c r="B143" s="12">
        <v>1</v>
      </c>
      <c r="I143" s="30" t="s">
        <v>11123</v>
      </c>
      <c r="J143" s="28">
        <v>1</v>
      </c>
    </row>
    <row r="144" spans="1:10" ht="12.5" customHeight="1" x14ac:dyDescent="0.25">
      <c r="A144" s="27" t="s">
        <v>7687</v>
      </c>
      <c r="B144" s="12">
        <v>1</v>
      </c>
      <c r="I144" s="30" t="s">
        <v>6665</v>
      </c>
      <c r="J144" s="28">
        <v>1</v>
      </c>
    </row>
    <row r="145" spans="1:10" ht="12.5" customHeight="1" x14ac:dyDescent="0.25">
      <c r="A145" s="27" t="s">
        <v>5199</v>
      </c>
      <c r="B145" s="12">
        <v>1</v>
      </c>
      <c r="I145" s="30" t="s">
        <v>8688</v>
      </c>
      <c r="J145" s="28">
        <v>1</v>
      </c>
    </row>
    <row r="146" spans="1:10" ht="12.5" customHeight="1" x14ac:dyDescent="0.25">
      <c r="A146" s="27" t="s">
        <v>5162</v>
      </c>
      <c r="B146" s="12">
        <v>1</v>
      </c>
      <c r="I146" s="30" t="s">
        <v>427</v>
      </c>
      <c r="J146" s="28">
        <v>1</v>
      </c>
    </row>
    <row r="147" spans="1:10" ht="12.5" customHeight="1" x14ac:dyDescent="0.25">
      <c r="A147" s="27" t="s">
        <v>11315</v>
      </c>
      <c r="B147" s="12">
        <v>1</v>
      </c>
      <c r="I147" s="30" t="s">
        <v>12551</v>
      </c>
      <c r="J147" s="28">
        <v>1</v>
      </c>
    </row>
    <row r="148" spans="1:10" ht="12.5" customHeight="1" x14ac:dyDescent="0.25">
      <c r="A148" s="27" t="s">
        <v>3528</v>
      </c>
      <c r="B148" s="12">
        <v>1</v>
      </c>
      <c r="I148" s="30" t="s">
        <v>1088</v>
      </c>
      <c r="J148" s="28">
        <v>1</v>
      </c>
    </row>
    <row r="149" spans="1:10" ht="12.5" customHeight="1" x14ac:dyDescent="0.25">
      <c r="A149" s="27" t="s">
        <v>11605</v>
      </c>
      <c r="B149" s="12">
        <v>1</v>
      </c>
      <c r="I149" s="30" t="s">
        <v>12249</v>
      </c>
      <c r="J149" s="28">
        <v>1</v>
      </c>
    </row>
    <row r="150" spans="1:10" ht="12.5" customHeight="1" x14ac:dyDescent="0.25">
      <c r="A150" s="27" t="s">
        <v>921</v>
      </c>
      <c r="B150" s="12">
        <v>1</v>
      </c>
      <c r="I150" s="30" t="s">
        <v>8157</v>
      </c>
      <c r="J150" s="28">
        <v>1</v>
      </c>
    </row>
    <row r="151" spans="1:10" ht="12.5" customHeight="1" x14ac:dyDescent="0.25">
      <c r="A151" s="27" t="s">
        <v>12564</v>
      </c>
      <c r="B151" s="12">
        <v>1</v>
      </c>
      <c r="I151" s="30" t="s">
        <v>6366</v>
      </c>
      <c r="J151" s="28">
        <v>1</v>
      </c>
    </row>
    <row r="152" spans="1:10" ht="12.5" customHeight="1" x14ac:dyDescent="0.25">
      <c r="A152" s="27" t="s">
        <v>5543</v>
      </c>
      <c r="B152" s="12">
        <v>1</v>
      </c>
      <c r="I152" s="30" t="s">
        <v>4728</v>
      </c>
      <c r="J152" s="28">
        <v>1</v>
      </c>
    </row>
    <row r="153" spans="1:10" ht="12.5" customHeight="1" x14ac:dyDescent="0.25">
      <c r="A153" s="27" t="s">
        <v>1238</v>
      </c>
      <c r="B153" s="12">
        <v>1</v>
      </c>
      <c r="I153" s="30" t="s">
        <v>7471</v>
      </c>
      <c r="J153" s="28">
        <v>1</v>
      </c>
    </row>
    <row r="154" spans="1:10" ht="12.5" customHeight="1" x14ac:dyDescent="0.25">
      <c r="A154" s="27" t="s">
        <v>3576</v>
      </c>
      <c r="B154" s="12">
        <v>1</v>
      </c>
      <c r="I154" s="30" t="s">
        <v>4465</v>
      </c>
      <c r="J154" s="28">
        <v>1</v>
      </c>
    </row>
    <row r="155" spans="1:10" ht="12.5" customHeight="1" x14ac:dyDescent="0.25">
      <c r="A155" s="27" t="s">
        <v>4942</v>
      </c>
      <c r="B155" s="12">
        <v>1</v>
      </c>
      <c r="I155" s="30" t="s">
        <v>9592</v>
      </c>
      <c r="J155" s="28">
        <v>1</v>
      </c>
    </row>
    <row r="156" spans="1:10" ht="12.5" customHeight="1" x14ac:dyDescent="0.25">
      <c r="A156" s="27" t="s">
        <v>6523</v>
      </c>
      <c r="B156" s="12">
        <v>1</v>
      </c>
      <c r="I156" s="30" t="s">
        <v>12896</v>
      </c>
      <c r="J156" s="28">
        <v>1</v>
      </c>
    </row>
    <row r="157" spans="1:10" ht="12.5" customHeight="1" x14ac:dyDescent="0.25">
      <c r="A157" s="27" t="s">
        <v>12450</v>
      </c>
      <c r="B157" s="12">
        <v>1</v>
      </c>
      <c r="I157" s="30" t="s">
        <v>3861</v>
      </c>
      <c r="J157" s="28">
        <v>1</v>
      </c>
    </row>
    <row r="158" spans="1:10" ht="12.5" customHeight="1" x14ac:dyDescent="0.25">
      <c r="A158" s="27" t="s">
        <v>5397</v>
      </c>
      <c r="B158" s="12">
        <v>1</v>
      </c>
      <c r="I158" s="30" t="s">
        <v>1245</v>
      </c>
      <c r="J158" s="28">
        <v>1</v>
      </c>
    </row>
    <row r="159" spans="1:10" ht="12.5" customHeight="1" x14ac:dyDescent="0.25">
      <c r="A159" s="27" t="s">
        <v>3854</v>
      </c>
      <c r="B159" s="12">
        <v>1</v>
      </c>
      <c r="I159" s="30" t="s">
        <v>3315</v>
      </c>
      <c r="J159" s="28">
        <v>1</v>
      </c>
    </row>
    <row r="160" spans="1:10" ht="12.5" customHeight="1" x14ac:dyDescent="0.25">
      <c r="A160" s="27" t="s">
        <v>1729</v>
      </c>
      <c r="B160" s="12">
        <v>1</v>
      </c>
      <c r="I160" s="30" t="s">
        <v>2652</v>
      </c>
      <c r="J160" s="28">
        <v>1</v>
      </c>
    </row>
    <row r="161" spans="1:10" ht="12.5" customHeight="1" x14ac:dyDescent="0.25">
      <c r="A161" s="27" t="s">
        <v>3507</v>
      </c>
      <c r="B161" s="12">
        <v>1</v>
      </c>
      <c r="I161" s="30" t="s">
        <v>1374</v>
      </c>
      <c r="J161" s="28">
        <v>1</v>
      </c>
    </row>
    <row r="162" spans="1:10" ht="12.5" customHeight="1" x14ac:dyDescent="0.25">
      <c r="A162" s="27" t="s">
        <v>11741</v>
      </c>
      <c r="B162" s="12">
        <v>1</v>
      </c>
      <c r="I162" s="30" t="s">
        <v>1755</v>
      </c>
      <c r="J162" s="28">
        <v>1</v>
      </c>
    </row>
    <row r="163" spans="1:10" ht="12.5" customHeight="1" x14ac:dyDescent="0.25">
      <c r="A163" s="27" t="s">
        <v>8197</v>
      </c>
      <c r="B163" s="12">
        <v>1</v>
      </c>
      <c r="I163" s="30" t="s">
        <v>7858</v>
      </c>
      <c r="J163" s="28">
        <v>1</v>
      </c>
    </row>
    <row r="164" spans="1:10" ht="12.5" customHeight="1" x14ac:dyDescent="0.25">
      <c r="A164" s="27" t="s">
        <v>11281</v>
      </c>
      <c r="B164" s="12">
        <v>1</v>
      </c>
      <c r="I164" s="30" t="s">
        <v>3631</v>
      </c>
      <c r="J164" s="28">
        <v>1</v>
      </c>
    </row>
    <row r="165" spans="1:10" ht="12.5" customHeight="1" x14ac:dyDescent="0.25">
      <c r="A165" s="27" t="s">
        <v>4784</v>
      </c>
      <c r="B165" s="12">
        <v>1</v>
      </c>
      <c r="I165" s="30" t="s">
        <v>2432</v>
      </c>
      <c r="J165" s="28">
        <v>1</v>
      </c>
    </row>
    <row r="166" spans="1:10" ht="12.5" customHeight="1" x14ac:dyDescent="0.25">
      <c r="A166" s="27" t="s">
        <v>10962</v>
      </c>
      <c r="B166" s="12">
        <v>1</v>
      </c>
      <c r="I166" s="30" t="s">
        <v>6768</v>
      </c>
      <c r="J166" s="28">
        <v>1</v>
      </c>
    </row>
    <row r="167" spans="1:10" ht="13" customHeight="1" x14ac:dyDescent="0.25">
      <c r="A167" s="27" t="s">
        <v>9303</v>
      </c>
      <c r="B167" s="12">
        <v>1</v>
      </c>
      <c r="I167" s="30" t="s">
        <v>10255</v>
      </c>
      <c r="J167" s="28">
        <v>1</v>
      </c>
    </row>
    <row r="168" spans="1:10" hidden="1" x14ac:dyDescent="0.25">
      <c r="A168" s="27" t="s">
        <v>5522</v>
      </c>
      <c r="B168" s="12">
        <v>1</v>
      </c>
      <c r="I168" s="30" t="s">
        <v>11688</v>
      </c>
      <c r="J168" s="28">
        <v>1</v>
      </c>
    </row>
    <row r="169" spans="1:10" hidden="1" x14ac:dyDescent="0.25">
      <c r="A169" s="27" t="s">
        <v>2556</v>
      </c>
      <c r="B169" s="12">
        <v>1</v>
      </c>
      <c r="I169" s="30" t="s">
        <v>12606</v>
      </c>
      <c r="J169" s="28">
        <v>1</v>
      </c>
    </row>
    <row r="170" spans="1:10" hidden="1" x14ac:dyDescent="0.25">
      <c r="A170" s="27" t="s">
        <v>4188</v>
      </c>
      <c r="B170" s="12">
        <v>1</v>
      </c>
      <c r="I170" s="30" t="s">
        <v>8298</v>
      </c>
      <c r="J170" s="28">
        <v>1</v>
      </c>
    </row>
    <row r="171" spans="1:10" hidden="1" x14ac:dyDescent="0.25">
      <c r="A171" s="27" t="s">
        <v>4697</v>
      </c>
      <c r="B171" s="12">
        <v>1</v>
      </c>
      <c r="I171" s="30" t="s">
        <v>4420</v>
      </c>
      <c r="J171" s="28">
        <v>2</v>
      </c>
    </row>
    <row r="172" spans="1:10" hidden="1" x14ac:dyDescent="0.25">
      <c r="A172" s="27" t="s">
        <v>10416</v>
      </c>
      <c r="B172" s="12">
        <v>1</v>
      </c>
      <c r="I172" s="30" t="s">
        <v>2140</v>
      </c>
      <c r="J172" s="28">
        <v>5</v>
      </c>
    </row>
    <row r="173" spans="1:10" hidden="1" x14ac:dyDescent="0.25">
      <c r="A173" s="27" t="s">
        <v>6761</v>
      </c>
      <c r="B173" s="12">
        <v>1</v>
      </c>
      <c r="I173" s="30" t="s">
        <v>12838</v>
      </c>
      <c r="J173" s="28">
        <v>1</v>
      </c>
    </row>
    <row r="174" spans="1:10" hidden="1" x14ac:dyDescent="0.25">
      <c r="A174" s="27" t="s">
        <v>9955</v>
      </c>
      <c r="B174" s="12">
        <v>1</v>
      </c>
      <c r="I174" s="30" t="s">
        <v>12483</v>
      </c>
      <c r="J174" s="28">
        <v>1</v>
      </c>
    </row>
    <row r="175" spans="1:10" hidden="1" x14ac:dyDescent="0.25">
      <c r="A175" s="27" t="s">
        <v>131</v>
      </c>
      <c r="B175" s="12">
        <v>1</v>
      </c>
      <c r="I175" s="30" t="s">
        <v>11201</v>
      </c>
      <c r="J175" s="28">
        <v>1</v>
      </c>
    </row>
    <row r="176" spans="1:10" hidden="1" x14ac:dyDescent="0.25">
      <c r="A176" s="27" t="s">
        <v>8827</v>
      </c>
      <c r="B176" s="12">
        <v>1</v>
      </c>
      <c r="I176" s="30" t="s">
        <v>4825</v>
      </c>
      <c r="J176" s="28">
        <v>2</v>
      </c>
    </row>
    <row r="177" spans="1:10" hidden="1" x14ac:dyDescent="0.25">
      <c r="A177" s="27" t="s">
        <v>1042</v>
      </c>
      <c r="B177" s="12">
        <v>1</v>
      </c>
      <c r="I177" s="30" t="s">
        <v>12384</v>
      </c>
      <c r="J177" s="28">
        <v>1</v>
      </c>
    </row>
    <row r="178" spans="1:10" hidden="1" x14ac:dyDescent="0.25">
      <c r="A178" s="27" t="s">
        <v>6601</v>
      </c>
      <c r="B178" s="12">
        <v>1</v>
      </c>
      <c r="I178" s="30" t="s">
        <v>10586</v>
      </c>
      <c r="J178" s="28">
        <v>1</v>
      </c>
    </row>
    <row r="179" spans="1:10" hidden="1" x14ac:dyDescent="0.25">
      <c r="A179" s="27" t="s">
        <v>12932</v>
      </c>
      <c r="B179" s="12">
        <v>1</v>
      </c>
      <c r="I179" s="30" t="s">
        <v>2832</v>
      </c>
      <c r="J179" s="28">
        <v>1</v>
      </c>
    </row>
    <row r="180" spans="1:10" hidden="1" x14ac:dyDescent="0.25">
      <c r="A180" s="27" t="s">
        <v>8488</v>
      </c>
      <c r="B180" s="12">
        <v>1</v>
      </c>
      <c r="I180" s="30" t="s">
        <v>4365</v>
      </c>
      <c r="J180" s="28">
        <v>1</v>
      </c>
    </row>
    <row r="181" spans="1:10" hidden="1" x14ac:dyDescent="0.25">
      <c r="A181" s="27" t="s">
        <v>1602</v>
      </c>
      <c r="B181" s="12">
        <v>1</v>
      </c>
      <c r="I181" s="30" t="s">
        <v>8090</v>
      </c>
      <c r="J181" s="28">
        <v>1</v>
      </c>
    </row>
    <row r="182" spans="1:10" hidden="1" x14ac:dyDescent="0.25">
      <c r="A182" s="27" t="s">
        <v>6197</v>
      </c>
      <c r="B182" s="12">
        <v>1</v>
      </c>
      <c r="I182" s="30" t="s">
        <v>12668</v>
      </c>
      <c r="J182" s="28">
        <v>1</v>
      </c>
    </row>
    <row r="183" spans="1:10" hidden="1" x14ac:dyDescent="0.25">
      <c r="A183" s="27" t="s">
        <v>2392</v>
      </c>
      <c r="B183" s="12">
        <v>1</v>
      </c>
      <c r="I183" s="30" t="s">
        <v>323</v>
      </c>
      <c r="J183" s="28">
        <v>2</v>
      </c>
    </row>
    <row r="184" spans="1:10" hidden="1" x14ac:dyDescent="0.25">
      <c r="A184" s="27" t="s">
        <v>814</v>
      </c>
      <c r="B184" s="12">
        <v>1</v>
      </c>
      <c r="I184" s="30" t="s">
        <v>10710</v>
      </c>
      <c r="J184" s="28">
        <v>1</v>
      </c>
    </row>
    <row r="185" spans="1:10" hidden="1" x14ac:dyDescent="0.25">
      <c r="A185" s="27" t="s">
        <v>8851</v>
      </c>
      <c r="B185" s="12">
        <v>1</v>
      </c>
      <c r="I185" s="30" t="s">
        <v>573</v>
      </c>
      <c r="J185" s="28">
        <v>5</v>
      </c>
    </row>
    <row r="186" spans="1:10" hidden="1" x14ac:dyDescent="0.25">
      <c r="A186" s="27" t="s">
        <v>11895</v>
      </c>
      <c r="B186" s="12">
        <v>1</v>
      </c>
      <c r="I186" s="30" t="s">
        <v>9548</v>
      </c>
      <c r="J186" s="28">
        <v>2</v>
      </c>
    </row>
    <row r="187" spans="1:10" hidden="1" x14ac:dyDescent="0.25">
      <c r="A187" s="27" t="s">
        <v>3644</v>
      </c>
      <c r="B187" s="12">
        <v>1</v>
      </c>
      <c r="I187" s="30" t="s">
        <v>246</v>
      </c>
      <c r="J187" s="28">
        <v>1</v>
      </c>
    </row>
    <row r="188" spans="1:10" hidden="1" x14ac:dyDescent="0.25">
      <c r="A188" s="27" t="s">
        <v>442</v>
      </c>
      <c r="B188" s="12">
        <v>1</v>
      </c>
      <c r="I188" s="30" t="s">
        <v>4849</v>
      </c>
      <c r="J188" s="28">
        <v>3</v>
      </c>
    </row>
    <row r="189" spans="1:10" hidden="1" x14ac:dyDescent="0.25">
      <c r="A189" s="27" t="s">
        <v>7762</v>
      </c>
      <c r="B189" s="12">
        <v>1</v>
      </c>
      <c r="I189" s="30" t="s">
        <v>11022</v>
      </c>
      <c r="J189" s="28">
        <v>1</v>
      </c>
    </row>
    <row r="190" spans="1:10" hidden="1" x14ac:dyDescent="0.25">
      <c r="A190" s="27" t="s">
        <v>7725</v>
      </c>
      <c r="B190" s="12">
        <v>1</v>
      </c>
      <c r="I190" s="30" t="s">
        <v>10503</v>
      </c>
      <c r="J190" s="28">
        <v>1</v>
      </c>
    </row>
    <row r="191" spans="1:10" hidden="1" x14ac:dyDescent="0.25">
      <c r="A191" s="27" t="s">
        <v>12708</v>
      </c>
      <c r="B191" s="12">
        <v>1</v>
      </c>
      <c r="I191" s="30" t="s">
        <v>10723</v>
      </c>
      <c r="J191" s="28">
        <v>1</v>
      </c>
    </row>
    <row r="192" spans="1:10" hidden="1" x14ac:dyDescent="0.25">
      <c r="A192" s="27" t="s">
        <v>7124</v>
      </c>
      <c r="B192" s="12">
        <v>1</v>
      </c>
      <c r="I192" s="30" t="s">
        <v>9256</v>
      </c>
      <c r="J192" s="28">
        <v>2</v>
      </c>
    </row>
    <row r="193" spans="1:10" hidden="1" x14ac:dyDescent="0.25">
      <c r="A193" s="27" t="s">
        <v>1517</v>
      </c>
      <c r="B193" s="12">
        <v>1</v>
      </c>
      <c r="I193" s="30" t="s">
        <v>9431</v>
      </c>
      <c r="J193" s="28">
        <v>1</v>
      </c>
    </row>
    <row r="194" spans="1:10" hidden="1" x14ac:dyDescent="0.25">
      <c r="A194" s="27" t="s">
        <v>6581</v>
      </c>
      <c r="B194" s="12">
        <v>1</v>
      </c>
      <c r="I194" s="30" t="s">
        <v>7202</v>
      </c>
      <c r="J194" s="28">
        <v>1</v>
      </c>
    </row>
    <row r="195" spans="1:10" hidden="1" x14ac:dyDescent="0.25">
      <c r="A195" s="27" t="s">
        <v>5726</v>
      </c>
      <c r="B195" s="12">
        <v>1</v>
      </c>
      <c r="I195" s="30" t="s">
        <v>4217</v>
      </c>
      <c r="J195" s="28">
        <v>1</v>
      </c>
    </row>
    <row r="196" spans="1:10" hidden="1" x14ac:dyDescent="0.25">
      <c r="A196" s="27" t="s">
        <v>12124</v>
      </c>
      <c r="B196" s="12">
        <v>1</v>
      </c>
      <c r="I196" s="30" t="s">
        <v>7545</v>
      </c>
      <c r="J196" s="28">
        <v>1</v>
      </c>
    </row>
    <row r="197" spans="1:10" hidden="1" x14ac:dyDescent="0.25">
      <c r="A197" s="27" t="s">
        <v>15337</v>
      </c>
      <c r="I197" s="30" t="s">
        <v>5384</v>
      </c>
      <c r="J197" s="28">
        <v>1</v>
      </c>
    </row>
    <row r="198" spans="1:10" hidden="1" x14ac:dyDescent="0.25">
      <c r="I198" s="30" t="s">
        <v>5647</v>
      </c>
      <c r="J198" s="28">
        <v>1</v>
      </c>
    </row>
    <row r="199" spans="1:10" hidden="1" x14ac:dyDescent="0.25">
      <c r="I199" s="30" t="s">
        <v>4969</v>
      </c>
      <c r="J199" s="28">
        <v>3</v>
      </c>
    </row>
    <row r="200" spans="1:10" hidden="1" x14ac:dyDescent="0.25">
      <c r="I200" s="30" t="s">
        <v>5969</v>
      </c>
      <c r="J200" s="28">
        <v>1</v>
      </c>
    </row>
    <row r="201" spans="1:10" hidden="1" x14ac:dyDescent="0.25">
      <c r="I201" s="30" t="s">
        <v>10275</v>
      </c>
      <c r="J201" s="28">
        <v>1</v>
      </c>
    </row>
    <row r="202" spans="1:10" hidden="1" x14ac:dyDescent="0.25">
      <c r="I202" s="30" t="s">
        <v>8134</v>
      </c>
      <c r="J202" s="28">
        <v>1</v>
      </c>
    </row>
    <row r="203" spans="1:10" hidden="1" x14ac:dyDescent="0.25">
      <c r="I203" s="30" t="s">
        <v>3446</v>
      </c>
      <c r="J203" s="28">
        <v>1</v>
      </c>
    </row>
    <row r="204" spans="1:10" hidden="1" x14ac:dyDescent="0.25">
      <c r="I204" s="30" t="s">
        <v>3945</v>
      </c>
      <c r="J204" s="28">
        <v>4</v>
      </c>
    </row>
    <row r="205" spans="1:10" hidden="1" x14ac:dyDescent="0.25">
      <c r="I205" s="30" t="s">
        <v>10373</v>
      </c>
      <c r="J205" s="28">
        <v>1</v>
      </c>
    </row>
    <row r="206" spans="1:10" hidden="1" x14ac:dyDescent="0.25">
      <c r="I206" s="30" t="s">
        <v>9961</v>
      </c>
      <c r="J206" s="28">
        <v>1</v>
      </c>
    </row>
    <row r="207" spans="1:10" hidden="1" x14ac:dyDescent="0.25">
      <c r="I207" s="30" t="s">
        <v>2474</v>
      </c>
      <c r="J207" s="28">
        <v>1</v>
      </c>
    </row>
    <row r="208" spans="1:10" hidden="1" x14ac:dyDescent="0.25">
      <c r="I208" s="30" t="s">
        <v>3701</v>
      </c>
      <c r="J208" s="28">
        <v>2</v>
      </c>
    </row>
    <row r="209" spans="9:10" hidden="1" x14ac:dyDescent="0.25">
      <c r="I209" s="30" t="s">
        <v>2052</v>
      </c>
      <c r="J209" s="28">
        <v>4</v>
      </c>
    </row>
    <row r="210" spans="9:10" hidden="1" x14ac:dyDescent="0.25">
      <c r="I210" s="30" t="s">
        <v>11063</v>
      </c>
      <c r="J210" s="28">
        <v>1</v>
      </c>
    </row>
    <row r="211" spans="9:10" hidden="1" x14ac:dyDescent="0.25">
      <c r="I211" s="30" t="s">
        <v>6409</v>
      </c>
      <c r="J211" s="28">
        <v>1</v>
      </c>
    </row>
    <row r="212" spans="9:10" hidden="1" x14ac:dyDescent="0.25">
      <c r="I212" s="30" t="s">
        <v>4541</v>
      </c>
      <c r="J212" s="28">
        <v>3</v>
      </c>
    </row>
    <row r="213" spans="9:10" hidden="1" x14ac:dyDescent="0.25">
      <c r="I213" s="30" t="s">
        <v>1911</v>
      </c>
      <c r="J213" s="28">
        <v>5</v>
      </c>
    </row>
    <row r="214" spans="9:10" hidden="1" x14ac:dyDescent="0.25">
      <c r="I214" s="30" t="s">
        <v>6204</v>
      </c>
      <c r="J214" s="28">
        <v>2</v>
      </c>
    </row>
    <row r="215" spans="9:10" hidden="1" x14ac:dyDescent="0.25">
      <c r="I215" s="30" t="s">
        <v>11353</v>
      </c>
      <c r="J215" s="28">
        <v>2</v>
      </c>
    </row>
    <row r="216" spans="9:10" hidden="1" x14ac:dyDescent="0.25">
      <c r="I216" s="30" t="s">
        <v>10015</v>
      </c>
      <c r="J216" s="28">
        <v>1</v>
      </c>
    </row>
    <row r="217" spans="9:10" hidden="1" x14ac:dyDescent="0.25">
      <c r="I217" s="30" t="s">
        <v>10549</v>
      </c>
      <c r="J217" s="28">
        <v>1</v>
      </c>
    </row>
    <row r="218" spans="9:10" hidden="1" x14ac:dyDescent="0.25">
      <c r="I218" s="30" t="s">
        <v>5206</v>
      </c>
      <c r="J218" s="28">
        <v>1</v>
      </c>
    </row>
    <row r="219" spans="9:10" hidden="1" x14ac:dyDescent="0.25">
      <c r="I219" s="30" t="s">
        <v>4115</v>
      </c>
      <c r="J219" s="28">
        <v>1</v>
      </c>
    </row>
    <row r="220" spans="9:10" hidden="1" x14ac:dyDescent="0.25">
      <c r="I220" s="30" t="s">
        <v>11083</v>
      </c>
      <c r="J220" s="28">
        <v>1</v>
      </c>
    </row>
    <row r="221" spans="9:10" hidden="1" x14ac:dyDescent="0.25">
      <c r="I221" s="30" t="s">
        <v>218</v>
      </c>
      <c r="J221" s="28">
        <v>5</v>
      </c>
    </row>
    <row r="222" spans="9:10" hidden="1" x14ac:dyDescent="0.25">
      <c r="I222" s="30" t="s">
        <v>7033</v>
      </c>
      <c r="J222" s="28">
        <v>1</v>
      </c>
    </row>
    <row r="223" spans="9:10" hidden="1" x14ac:dyDescent="0.25">
      <c r="I223" s="30" t="s">
        <v>6530</v>
      </c>
      <c r="J223" s="28">
        <v>1</v>
      </c>
    </row>
    <row r="224" spans="9:10" hidden="1" x14ac:dyDescent="0.25">
      <c r="I224" s="30" t="s">
        <v>11321</v>
      </c>
      <c r="J224" s="28">
        <v>1</v>
      </c>
    </row>
    <row r="225" spans="9:10" hidden="1" x14ac:dyDescent="0.25">
      <c r="I225" s="30" t="s">
        <v>983</v>
      </c>
      <c r="J225" s="28">
        <v>1</v>
      </c>
    </row>
    <row r="226" spans="9:10" hidden="1" x14ac:dyDescent="0.25">
      <c r="I226" s="30" t="s">
        <v>8858</v>
      </c>
      <c r="J226" s="28">
        <v>1</v>
      </c>
    </row>
    <row r="227" spans="9:10" hidden="1" x14ac:dyDescent="0.25">
      <c r="I227" s="30" t="s">
        <v>6227</v>
      </c>
      <c r="J227" s="28">
        <v>1</v>
      </c>
    </row>
    <row r="228" spans="9:10" hidden="1" x14ac:dyDescent="0.25">
      <c r="I228" s="30" t="s">
        <v>7429</v>
      </c>
      <c r="J228" s="28">
        <v>1</v>
      </c>
    </row>
    <row r="229" spans="9:10" hidden="1" x14ac:dyDescent="0.25">
      <c r="I229" s="30" t="s">
        <v>2326</v>
      </c>
      <c r="J229" s="28">
        <v>1</v>
      </c>
    </row>
    <row r="230" spans="9:10" hidden="1" x14ac:dyDescent="0.25">
      <c r="I230" s="30" t="s">
        <v>4988</v>
      </c>
      <c r="J230" s="28">
        <v>1</v>
      </c>
    </row>
    <row r="231" spans="9:10" hidden="1" x14ac:dyDescent="0.25">
      <c r="I231" s="30" t="s">
        <v>1457</v>
      </c>
      <c r="J231" s="28">
        <v>1</v>
      </c>
    </row>
    <row r="232" spans="9:10" hidden="1" x14ac:dyDescent="0.25">
      <c r="I232" s="30" t="s">
        <v>8182</v>
      </c>
      <c r="J232" s="28">
        <v>1</v>
      </c>
    </row>
    <row r="233" spans="9:10" hidden="1" x14ac:dyDescent="0.25">
      <c r="I233" s="30" t="s">
        <v>6963</v>
      </c>
      <c r="J233" s="28">
        <v>1</v>
      </c>
    </row>
    <row r="234" spans="9:10" hidden="1" x14ac:dyDescent="0.25">
      <c r="I234" s="30" t="s">
        <v>9310</v>
      </c>
      <c r="J234" s="28">
        <v>2</v>
      </c>
    </row>
    <row r="235" spans="9:10" hidden="1" x14ac:dyDescent="0.25">
      <c r="I235" s="30" t="s">
        <v>6447</v>
      </c>
      <c r="J235" s="28">
        <v>2</v>
      </c>
    </row>
    <row r="236" spans="9:10" hidden="1" x14ac:dyDescent="0.25">
      <c r="I236" s="30" t="s">
        <v>5835</v>
      </c>
      <c r="J236" s="28">
        <v>1</v>
      </c>
    </row>
    <row r="237" spans="9:10" hidden="1" x14ac:dyDescent="0.25">
      <c r="I237" s="30" t="s">
        <v>3833</v>
      </c>
      <c r="J237" s="28">
        <v>1</v>
      </c>
    </row>
    <row r="238" spans="9:10" hidden="1" x14ac:dyDescent="0.25">
      <c r="I238" s="30" t="s">
        <v>12740</v>
      </c>
      <c r="J238" s="28">
        <v>1</v>
      </c>
    </row>
    <row r="239" spans="9:10" hidden="1" x14ac:dyDescent="0.25">
      <c r="I239" s="30" t="s">
        <v>10310</v>
      </c>
      <c r="J239" s="28">
        <v>1</v>
      </c>
    </row>
    <row r="240" spans="9:10" hidden="1" x14ac:dyDescent="0.25">
      <c r="I240" s="30" t="s">
        <v>7565</v>
      </c>
      <c r="J240" s="28">
        <v>1</v>
      </c>
    </row>
    <row r="241" spans="9:10" hidden="1" x14ac:dyDescent="0.25">
      <c r="I241" s="30" t="s">
        <v>2119</v>
      </c>
      <c r="J241" s="28">
        <v>2</v>
      </c>
    </row>
    <row r="242" spans="9:10" hidden="1" x14ac:dyDescent="0.25">
      <c r="I242" s="30" t="s">
        <v>6587</v>
      </c>
      <c r="J242" s="28">
        <v>1</v>
      </c>
    </row>
    <row r="243" spans="9:10" hidden="1" x14ac:dyDescent="0.25">
      <c r="I243" s="30" t="s">
        <v>6290</v>
      </c>
      <c r="J243" s="28">
        <v>1</v>
      </c>
    </row>
    <row r="244" spans="9:10" hidden="1" x14ac:dyDescent="0.25">
      <c r="I244" s="30" t="s">
        <v>3964</v>
      </c>
      <c r="J244" s="28">
        <v>1</v>
      </c>
    </row>
    <row r="245" spans="9:10" hidden="1" x14ac:dyDescent="0.25">
      <c r="I245" s="30" t="s">
        <v>5934</v>
      </c>
      <c r="J245" s="28">
        <v>1</v>
      </c>
    </row>
    <row r="246" spans="9:10" hidden="1" x14ac:dyDescent="0.25">
      <c r="I246" s="30" t="s">
        <v>5711</v>
      </c>
      <c r="J246" s="28">
        <v>1</v>
      </c>
    </row>
    <row r="247" spans="9:10" hidden="1" x14ac:dyDescent="0.25">
      <c r="I247" s="30" t="s">
        <v>12914</v>
      </c>
      <c r="J247" s="28">
        <v>1</v>
      </c>
    </row>
    <row r="248" spans="9:10" hidden="1" x14ac:dyDescent="0.25">
      <c r="I248" s="30" t="s">
        <v>6066</v>
      </c>
      <c r="J248" s="28">
        <v>1</v>
      </c>
    </row>
    <row r="249" spans="9:10" hidden="1" x14ac:dyDescent="0.25">
      <c r="I249" s="30" t="s">
        <v>1798</v>
      </c>
      <c r="J249" s="28">
        <v>3</v>
      </c>
    </row>
    <row r="250" spans="9:10" hidden="1" x14ac:dyDescent="0.25">
      <c r="I250" s="30" t="s">
        <v>7181</v>
      </c>
      <c r="J250" s="28">
        <v>1</v>
      </c>
    </row>
    <row r="251" spans="9:10" hidden="1" x14ac:dyDescent="0.25">
      <c r="I251" s="30" t="s">
        <v>3751</v>
      </c>
      <c r="J251" s="28">
        <v>5</v>
      </c>
    </row>
    <row r="252" spans="9:10" hidden="1" x14ac:dyDescent="0.25">
      <c r="I252" s="30" t="s">
        <v>8034</v>
      </c>
      <c r="J252" s="28">
        <v>1</v>
      </c>
    </row>
    <row r="253" spans="9:10" hidden="1" x14ac:dyDescent="0.25">
      <c r="I253" s="30" t="s">
        <v>111</v>
      </c>
      <c r="J253" s="28">
        <v>1</v>
      </c>
    </row>
    <row r="254" spans="9:10" hidden="1" x14ac:dyDescent="0.25">
      <c r="I254" s="30" t="s">
        <v>5732</v>
      </c>
      <c r="J254" s="28">
        <v>1</v>
      </c>
    </row>
    <row r="255" spans="9:10" hidden="1" x14ac:dyDescent="0.25">
      <c r="I255" s="30" t="s">
        <v>1819</v>
      </c>
      <c r="J255" s="28">
        <v>2</v>
      </c>
    </row>
    <row r="256" spans="9:10" hidden="1" x14ac:dyDescent="0.25">
      <c r="I256" s="30" t="s">
        <v>3422</v>
      </c>
      <c r="J256" s="28">
        <v>2</v>
      </c>
    </row>
    <row r="257" spans="9:10" hidden="1" x14ac:dyDescent="0.25">
      <c r="I257" s="30" t="s">
        <v>1204</v>
      </c>
      <c r="J257" s="28">
        <v>1</v>
      </c>
    </row>
    <row r="258" spans="9:10" hidden="1" x14ac:dyDescent="0.25">
      <c r="I258" s="30" t="s">
        <v>3180</v>
      </c>
      <c r="J258" s="28">
        <v>2</v>
      </c>
    </row>
    <row r="259" spans="9:10" hidden="1" x14ac:dyDescent="0.25">
      <c r="I259" s="30" t="s">
        <v>11142</v>
      </c>
      <c r="J259" s="28">
        <v>1</v>
      </c>
    </row>
    <row r="260" spans="9:10" hidden="1" x14ac:dyDescent="0.25">
      <c r="I260" s="30" t="s">
        <v>6857</v>
      </c>
      <c r="J260" s="28">
        <v>1</v>
      </c>
    </row>
    <row r="261" spans="9:10" hidden="1" x14ac:dyDescent="0.25">
      <c r="I261" s="30" t="s">
        <v>3114</v>
      </c>
      <c r="J261" s="28">
        <v>1</v>
      </c>
    </row>
    <row r="262" spans="9:10" hidden="1" x14ac:dyDescent="0.25">
      <c r="I262" s="30" t="s">
        <v>3513</v>
      </c>
      <c r="J262" s="28">
        <v>1</v>
      </c>
    </row>
    <row r="263" spans="9:10" hidden="1" x14ac:dyDescent="0.25">
      <c r="I263" s="30" t="s">
        <v>10050</v>
      </c>
      <c r="J263" s="28">
        <v>1</v>
      </c>
    </row>
    <row r="264" spans="9:10" hidden="1" x14ac:dyDescent="0.25">
      <c r="I264" s="30" t="s">
        <v>6489</v>
      </c>
      <c r="J264" s="28">
        <v>1</v>
      </c>
    </row>
    <row r="265" spans="9:10" hidden="1" x14ac:dyDescent="0.25">
      <c r="I265" s="30" t="s">
        <v>8731</v>
      </c>
      <c r="J265" s="28">
        <v>1</v>
      </c>
    </row>
    <row r="266" spans="9:10" hidden="1" x14ac:dyDescent="0.25">
      <c r="I266" s="30" t="s">
        <v>6183</v>
      </c>
      <c r="J266" s="28">
        <v>1</v>
      </c>
    </row>
    <row r="267" spans="9:10" hidden="1" x14ac:dyDescent="0.25">
      <c r="I267" s="30" t="s">
        <v>2224</v>
      </c>
      <c r="J267" s="28">
        <v>1</v>
      </c>
    </row>
    <row r="268" spans="9:10" hidden="1" x14ac:dyDescent="0.25">
      <c r="I268" s="30" t="s">
        <v>749</v>
      </c>
      <c r="J268" s="28">
        <v>2</v>
      </c>
    </row>
    <row r="269" spans="9:10" hidden="1" x14ac:dyDescent="0.25">
      <c r="I269" s="30" t="s">
        <v>729</v>
      </c>
      <c r="J269" s="28">
        <v>1</v>
      </c>
    </row>
    <row r="270" spans="9:10" hidden="1" x14ac:dyDescent="0.25">
      <c r="I270" s="30" t="s">
        <v>6389</v>
      </c>
      <c r="J270" s="28">
        <v>1</v>
      </c>
    </row>
    <row r="271" spans="9:10" hidden="1" x14ac:dyDescent="0.25">
      <c r="I271" s="30" t="s">
        <v>4381</v>
      </c>
      <c r="J271" s="28">
        <v>3</v>
      </c>
    </row>
    <row r="272" spans="9:10" hidden="1" x14ac:dyDescent="0.25">
      <c r="I272" s="30" t="s">
        <v>1004</v>
      </c>
      <c r="J272" s="28">
        <v>3</v>
      </c>
    </row>
    <row r="273" spans="9:10" hidden="1" x14ac:dyDescent="0.25">
      <c r="I273" s="30" t="s">
        <v>3559</v>
      </c>
      <c r="J273" s="28">
        <v>1</v>
      </c>
    </row>
    <row r="274" spans="9:10" hidden="1" x14ac:dyDescent="0.25">
      <c r="I274" s="30" t="s">
        <v>10205</v>
      </c>
      <c r="J274" s="28">
        <v>1</v>
      </c>
    </row>
    <row r="275" spans="9:10" ht="12.5" customHeight="1" x14ac:dyDescent="0.25">
      <c r="I275" s="30" t="s">
        <v>1671</v>
      </c>
      <c r="J275" s="28">
        <v>1</v>
      </c>
    </row>
    <row r="276" spans="9:10" ht="12.5" customHeight="1" x14ac:dyDescent="0.25">
      <c r="I276" s="30" t="s">
        <v>10067</v>
      </c>
      <c r="J276" s="28">
        <v>1</v>
      </c>
    </row>
    <row r="277" spans="9:10" ht="12.5" customHeight="1" x14ac:dyDescent="0.25">
      <c r="I277" s="30" t="s">
        <v>5815</v>
      </c>
      <c r="J277" s="28">
        <v>1</v>
      </c>
    </row>
    <row r="278" spans="9:10" ht="12.5" customHeight="1" x14ac:dyDescent="0.25">
      <c r="I278" s="30" t="s">
        <v>8204</v>
      </c>
      <c r="J278" s="28">
        <v>1</v>
      </c>
    </row>
    <row r="279" spans="9:10" ht="12.5" customHeight="1" x14ac:dyDescent="0.25">
      <c r="I279" s="30" t="s">
        <v>12004</v>
      </c>
      <c r="J279" s="28">
        <v>1</v>
      </c>
    </row>
    <row r="280" spans="9:10" ht="12.5" customHeight="1" x14ac:dyDescent="0.25">
      <c r="I280" s="30" t="s">
        <v>6466</v>
      </c>
      <c r="J280" s="28">
        <v>1</v>
      </c>
    </row>
    <row r="281" spans="9:10" ht="12.5" customHeight="1" x14ac:dyDescent="0.25">
      <c r="I281" s="30" t="s">
        <v>962</v>
      </c>
      <c r="J281" s="28">
        <v>1</v>
      </c>
    </row>
    <row r="282" spans="9:10" ht="12.5" customHeight="1" x14ac:dyDescent="0.25">
      <c r="I282" s="30" t="s">
        <v>1501</v>
      </c>
      <c r="J282" s="28">
        <v>1</v>
      </c>
    </row>
    <row r="283" spans="9:10" ht="12.5" customHeight="1" x14ac:dyDescent="0.25">
      <c r="I283" s="30" t="s">
        <v>7526</v>
      </c>
      <c r="J283" s="28">
        <v>1</v>
      </c>
    </row>
    <row r="284" spans="9:10" ht="12.5" customHeight="1" x14ac:dyDescent="0.25">
      <c r="I284" s="30" t="s">
        <v>9897</v>
      </c>
      <c r="J284" s="28">
        <v>1</v>
      </c>
    </row>
    <row r="285" spans="9:10" ht="12.5" customHeight="1" x14ac:dyDescent="0.25">
      <c r="I285" s="30" t="s">
        <v>4343</v>
      </c>
      <c r="J285" s="28">
        <v>1</v>
      </c>
    </row>
    <row r="286" spans="9:10" ht="12.5" customHeight="1" x14ac:dyDescent="0.25">
      <c r="I286" s="30" t="s">
        <v>5529</v>
      </c>
      <c r="J286" s="28">
        <v>1</v>
      </c>
    </row>
    <row r="287" spans="9:10" ht="12.5" customHeight="1" x14ac:dyDescent="0.25">
      <c r="I287" s="30" t="s">
        <v>5043</v>
      </c>
      <c r="J287" s="28">
        <v>1</v>
      </c>
    </row>
    <row r="288" spans="9:10" ht="12.5" customHeight="1" x14ac:dyDescent="0.25">
      <c r="I288" s="30" t="s">
        <v>5182</v>
      </c>
      <c r="J288" s="28">
        <v>1</v>
      </c>
    </row>
    <row r="289" spans="9:10" ht="12.5" customHeight="1" x14ac:dyDescent="0.25">
      <c r="I289" s="30" t="s">
        <v>1224</v>
      </c>
      <c r="J289" s="28">
        <v>1</v>
      </c>
    </row>
    <row r="290" spans="9:10" ht="12.5" customHeight="1" x14ac:dyDescent="0.25">
      <c r="I290" s="30" t="s">
        <v>7108</v>
      </c>
      <c r="J290" s="28">
        <v>1</v>
      </c>
    </row>
    <row r="291" spans="9:10" ht="12.5" customHeight="1" x14ac:dyDescent="0.25">
      <c r="I291" s="30" t="s">
        <v>8014</v>
      </c>
      <c r="J291" s="28">
        <v>1</v>
      </c>
    </row>
    <row r="292" spans="9:10" ht="12.5" customHeight="1" x14ac:dyDescent="0.25">
      <c r="I292" s="30" t="s">
        <v>8227</v>
      </c>
      <c r="J292" s="28">
        <v>1</v>
      </c>
    </row>
    <row r="293" spans="9:10" ht="12.5" customHeight="1" x14ac:dyDescent="0.25">
      <c r="I293" s="30" t="s">
        <v>4565</v>
      </c>
      <c r="J293" s="28">
        <v>1</v>
      </c>
    </row>
    <row r="294" spans="9:10" ht="12.5" customHeight="1" x14ac:dyDescent="0.25">
      <c r="I294" s="30" t="s">
        <v>3583</v>
      </c>
      <c r="J294" s="28">
        <v>1</v>
      </c>
    </row>
    <row r="295" spans="9:10" ht="12.5" customHeight="1" x14ac:dyDescent="0.25">
      <c r="I295" s="30" t="s">
        <v>8354</v>
      </c>
      <c r="J295" s="28">
        <v>1</v>
      </c>
    </row>
    <row r="296" spans="9:10" ht="12.5" customHeight="1" x14ac:dyDescent="0.25">
      <c r="I296" s="30" t="s">
        <v>11225</v>
      </c>
      <c r="J296" s="28">
        <v>1</v>
      </c>
    </row>
    <row r="297" spans="9:10" ht="12.5" customHeight="1" x14ac:dyDescent="0.25">
      <c r="I297" s="30" t="s">
        <v>6430</v>
      </c>
      <c r="J297" s="28">
        <v>1</v>
      </c>
    </row>
    <row r="298" spans="9:10" ht="12.5" customHeight="1" x14ac:dyDescent="0.25">
      <c r="I298" s="30" t="s">
        <v>7832</v>
      </c>
      <c r="J298" s="28">
        <v>1</v>
      </c>
    </row>
    <row r="299" spans="9:10" ht="12.5" customHeight="1" x14ac:dyDescent="0.25">
      <c r="I299" s="30" t="s">
        <v>657</v>
      </c>
      <c r="J299" s="28">
        <v>1</v>
      </c>
    </row>
    <row r="300" spans="9:10" ht="12.5" customHeight="1" x14ac:dyDescent="0.25">
      <c r="I300" s="30" t="s">
        <v>4806</v>
      </c>
      <c r="J300" s="28">
        <v>1</v>
      </c>
    </row>
    <row r="301" spans="9:10" ht="12.5" customHeight="1" x14ac:dyDescent="0.25">
      <c r="I301" s="30" t="s">
        <v>5610</v>
      </c>
      <c r="J301" s="28">
        <v>1</v>
      </c>
    </row>
    <row r="302" spans="9:10" ht="12.5" customHeight="1" x14ac:dyDescent="0.25">
      <c r="I302" s="30" t="s">
        <v>9943</v>
      </c>
      <c r="J302" s="28">
        <v>1</v>
      </c>
    </row>
    <row r="303" spans="9:10" ht="12.5" customHeight="1" x14ac:dyDescent="0.25">
      <c r="I303" s="30" t="s">
        <v>4889</v>
      </c>
      <c r="J303" s="28">
        <v>1</v>
      </c>
    </row>
    <row r="304" spans="9:10" ht="12.5" customHeight="1" x14ac:dyDescent="0.25">
      <c r="I304" s="30" t="s">
        <v>2563</v>
      </c>
      <c r="J304" s="28">
        <v>1</v>
      </c>
    </row>
    <row r="305" spans="9:10" ht="12.5" customHeight="1" x14ac:dyDescent="0.25">
      <c r="I305" s="30" t="s">
        <v>12634</v>
      </c>
      <c r="J305" s="28">
        <v>1</v>
      </c>
    </row>
    <row r="306" spans="9:10" ht="12.5" customHeight="1" x14ac:dyDescent="0.25">
      <c r="I306" s="30" t="s">
        <v>4615</v>
      </c>
      <c r="J306" s="28">
        <v>1</v>
      </c>
    </row>
    <row r="307" spans="9:10" ht="12.5" customHeight="1" x14ac:dyDescent="0.25">
      <c r="I307" s="30" t="s">
        <v>11705</v>
      </c>
      <c r="J307" s="28">
        <v>1</v>
      </c>
    </row>
    <row r="308" spans="9:10" ht="12.5" customHeight="1" x14ac:dyDescent="0.25">
      <c r="I308" s="30" t="s">
        <v>11444</v>
      </c>
      <c r="J308" s="28">
        <v>1</v>
      </c>
    </row>
    <row r="309" spans="9:10" ht="13" customHeight="1" x14ac:dyDescent="0.25">
      <c r="I309" s="30" t="s">
        <v>4152</v>
      </c>
      <c r="J309" s="28">
        <v>1</v>
      </c>
    </row>
    <row r="310" spans="9:10" hidden="1" x14ac:dyDescent="0.25">
      <c r="I310" s="30" t="s">
        <v>11748</v>
      </c>
      <c r="J310" s="28">
        <v>1</v>
      </c>
    </row>
    <row r="311" spans="9:10" hidden="1" x14ac:dyDescent="0.25">
      <c r="I311" s="30" t="s">
        <v>7054</v>
      </c>
      <c r="J311" s="28">
        <v>1</v>
      </c>
    </row>
    <row r="312" spans="9:10" hidden="1" x14ac:dyDescent="0.25">
      <c r="I312" s="30" t="s">
        <v>2607</v>
      </c>
      <c r="J312" s="28">
        <v>2</v>
      </c>
    </row>
    <row r="313" spans="9:10" hidden="1" x14ac:dyDescent="0.25">
      <c r="I313" s="30" t="s">
        <v>10647</v>
      </c>
      <c r="J313" s="28">
        <v>2</v>
      </c>
    </row>
    <row r="314" spans="9:10" hidden="1" x14ac:dyDescent="0.25">
      <c r="I314" s="30" t="s">
        <v>2513</v>
      </c>
      <c r="J314" s="28">
        <v>1</v>
      </c>
    </row>
    <row r="315" spans="9:10" hidden="1" x14ac:dyDescent="0.25">
      <c r="I315" s="30" t="s">
        <v>8458</v>
      </c>
      <c r="J315" s="28">
        <v>2</v>
      </c>
    </row>
    <row r="316" spans="9:10" hidden="1" x14ac:dyDescent="0.25">
      <c r="I316" s="30" t="s">
        <v>9804</v>
      </c>
      <c r="J316" s="28">
        <v>1</v>
      </c>
    </row>
    <row r="317" spans="9:10" hidden="1" x14ac:dyDescent="0.25">
      <c r="I317" s="30" t="s">
        <v>9155</v>
      </c>
      <c r="J317" s="28">
        <v>1</v>
      </c>
    </row>
    <row r="318" spans="9:10" hidden="1" x14ac:dyDescent="0.25">
      <c r="I318" s="30" t="s">
        <v>298</v>
      </c>
      <c r="J318" s="28">
        <v>1</v>
      </c>
    </row>
    <row r="319" spans="9:10" hidden="1" x14ac:dyDescent="0.25">
      <c r="I319" s="30" t="s">
        <v>707</v>
      </c>
      <c r="J319" s="28">
        <v>1</v>
      </c>
    </row>
    <row r="320" spans="9:10" hidden="1" x14ac:dyDescent="0.25">
      <c r="I320" s="30" t="s">
        <v>3490</v>
      </c>
      <c r="J320" s="28">
        <v>1</v>
      </c>
    </row>
    <row r="321" spans="9:10" hidden="1" x14ac:dyDescent="0.25">
      <c r="I321" s="30" t="s">
        <v>889</v>
      </c>
      <c r="J321" s="28">
        <v>1</v>
      </c>
    </row>
    <row r="322" spans="9:10" hidden="1" x14ac:dyDescent="0.25">
      <c r="I322" s="30" t="s">
        <v>405</v>
      </c>
      <c r="J322" s="28">
        <v>1</v>
      </c>
    </row>
    <row r="323" spans="9:10" hidden="1" x14ac:dyDescent="0.25">
      <c r="I323" s="30" t="s">
        <v>11266</v>
      </c>
      <c r="J323" s="28">
        <v>1</v>
      </c>
    </row>
    <row r="324" spans="9:10" hidden="1" x14ac:dyDescent="0.25">
      <c r="I324" s="30" t="s">
        <v>1483</v>
      </c>
      <c r="J324" s="28">
        <v>1</v>
      </c>
    </row>
    <row r="325" spans="9:10" hidden="1" x14ac:dyDescent="0.25">
      <c r="I325" s="30" t="s">
        <v>9194</v>
      </c>
      <c r="J325" s="28">
        <v>2</v>
      </c>
    </row>
    <row r="326" spans="9:10" hidden="1" x14ac:dyDescent="0.25">
      <c r="I326" s="30" t="s">
        <v>10403</v>
      </c>
      <c r="J326" s="28">
        <v>1</v>
      </c>
    </row>
    <row r="327" spans="9:10" hidden="1" x14ac:dyDescent="0.25">
      <c r="I327" s="30" t="s">
        <v>10866</v>
      </c>
      <c r="J327" s="28">
        <v>1</v>
      </c>
    </row>
    <row r="328" spans="9:10" hidden="1" x14ac:dyDescent="0.25">
      <c r="I328" s="30" t="s">
        <v>12230</v>
      </c>
      <c r="J328" s="28">
        <v>1</v>
      </c>
    </row>
    <row r="329" spans="9:10" hidden="1" x14ac:dyDescent="0.25">
      <c r="I329" s="30" t="s">
        <v>12803</v>
      </c>
      <c r="J329" s="28">
        <v>1</v>
      </c>
    </row>
    <row r="330" spans="9:10" hidden="1" x14ac:dyDescent="0.25">
      <c r="I330" s="30" t="s">
        <v>11101</v>
      </c>
      <c r="J330" s="28">
        <v>1</v>
      </c>
    </row>
    <row r="331" spans="9:10" hidden="1" x14ac:dyDescent="0.25">
      <c r="I331" s="30" t="s">
        <v>4657</v>
      </c>
      <c r="J331" s="28">
        <v>1</v>
      </c>
    </row>
    <row r="332" spans="9:10" hidden="1" x14ac:dyDescent="0.25">
      <c r="I332" s="30" t="s">
        <v>10827</v>
      </c>
      <c r="J332" s="28">
        <v>3</v>
      </c>
    </row>
    <row r="333" spans="9:10" hidden="1" x14ac:dyDescent="0.25">
      <c r="I333" s="30" t="s">
        <v>1628</v>
      </c>
      <c r="J333" s="28">
        <v>2</v>
      </c>
    </row>
    <row r="334" spans="9:10" hidden="1" x14ac:dyDescent="0.25">
      <c r="I334" s="30" t="s">
        <v>4766</v>
      </c>
      <c r="J334" s="28">
        <v>1</v>
      </c>
    </row>
    <row r="335" spans="9:10" hidden="1" x14ac:dyDescent="0.25">
      <c r="I335" s="30" t="s">
        <v>5404</v>
      </c>
      <c r="J335" s="28">
        <v>1</v>
      </c>
    </row>
    <row r="336" spans="9:10" hidden="1" x14ac:dyDescent="0.25">
      <c r="I336" s="30" t="s">
        <v>5775</v>
      </c>
      <c r="J336" s="28">
        <v>1</v>
      </c>
    </row>
    <row r="337" spans="9:10" hidden="1" x14ac:dyDescent="0.25">
      <c r="I337" s="30" t="s">
        <v>5075</v>
      </c>
      <c r="J337" s="28">
        <v>1</v>
      </c>
    </row>
    <row r="338" spans="9:10" hidden="1" x14ac:dyDescent="0.25">
      <c r="I338" s="30" t="s">
        <v>7074</v>
      </c>
      <c r="J338" s="28">
        <v>1</v>
      </c>
    </row>
    <row r="339" spans="9:10" hidden="1" x14ac:dyDescent="0.25">
      <c r="I339" s="30" t="s">
        <v>1145</v>
      </c>
      <c r="J339" s="28">
        <v>2</v>
      </c>
    </row>
    <row r="340" spans="9:10" hidden="1" x14ac:dyDescent="0.25">
      <c r="I340" s="30" t="s">
        <v>2353</v>
      </c>
      <c r="J340" s="28">
        <v>1</v>
      </c>
    </row>
    <row r="341" spans="9:10" hidden="1" x14ac:dyDescent="0.25">
      <c r="I341" s="30" t="s">
        <v>9290</v>
      </c>
      <c r="J341" s="28">
        <v>1</v>
      </c>
    </row>
    <row r="342" spans="9:10" hidden="1" x14ac:dyDescent="0.25">
      <c r="I342" s="30" t="s">
        <v>9111</v>
      </c>
      <c r="J342" s="28">
        <v>1</v>
      </c>
    </row>
    <row r="343" spans="9:10" hidden="1" x14ac:dyDescent="0.25">
      <c r="I343" s="30" t="s">
        <v>12048</v>
      </c>
      <c r="J343" s="28">
        <v>1</v>
      </c>
    </row>
    <row r="344" spans="9:10" hidden="1" x14ac:dyDescent="0.25">
      <c r="I344" s="30" t="s">
        <v>11288</v>
      </c>
      <c r="J344" s="28">
        <v>1</v>
      </c>
    </row>
    <row r="345" spans="9:10" hidden="1" x14ac:dyDescent="0.25">
      <c r="I345" s="30" t="s">
        <v>3608</v>
      </c>
      <c r="J345" s="28">
        <v>3</v>
      </c>
    </row>
    <row r="346" spans="9:10" hidden="1" x14ac:dyDescent="0.25">
      <c r="I346" s="30" t="s">
        <v>2199</v>
      </c>
      <c r="J346" s="28">
        <v>2</v>
      </c>
    </row>
    <row r="347" spans="9:10" hidden="1" x14ac:dyDescent="0.25">
      <c r="I347" s="30" t="s">
        <v>10887</v>
      </c>
      <c r="J347" s="28">
        <v>1</v>
      </c>
    </row>
    <row r="348" spans="9:10" hidden="1" x14ac:dyDescent="0.25">
      <c r="I348" s="30" t="s">
        <v>11611</v>
      </c>
      <c r="J348" s="28">
        <v>2</v>
      </c>
    </row>
    <row r="349" spans="9:10" hidden="1" x14ac:dyDescent="0.25">
      <c r="I349" s="30" t="s">
        <v>10484</v>
      </c>
      <c r="J349" s="28">
        <v>2</v>
      </c>
    </row>
    <row r="350" spans="9:10" hidden="1" x14ac:dyDescent="0.25">
      <c r="I350" s="30" t="s">
        <v>3883</v>
      </c>
      <c r="J350" s="28">
        <v>1</v>
      </c>
    </row>
    <row r="351" spans="9:10" hidden="1" x14ac:dyDescent="0.25">
      <c r="I351" s="30" t="s">
        <v>2307</v>
      </c>
      <c r="J351" s="28">
        <v>1</v>
      </c>
    </row>
    <row r="352" spans="9:10" hidden="1" x14ac:dyDescent="0.25">
      <c r="I352" s="30" t="s">
        <v>271</v>
      </c>
      <c r="J352" s="28">
        <v>1</v>
      </c>
    </row>
    <row r="353" spans="9:10" hidden="1" x14ac:dyDescent="0.25">
      <c r="I353" s="30" t="s">
        <v>12714</v>
      </c>
      <c r="J353" s="28">
        <v>2</v>
      </c>
    </row>
    <row r="354" spans="9:10" hidden="1" x14ac:dyDescent="0.25">
      <c r="I354" s="30" t="s">
        <v>2750</v>
      </c>
      <c r="J354" s="28">
        <v>1</v>
      </c>
    </row>
    <row r="355" spans="9:10" hidden="1" x14ac:dyDescent="0.25">
      <c r="I355" s="30" t="s">
        <v>2587</v>
      </c>
      <c r="J355" s="28">
        <v>3</v>
      </c>
    </row>
    <row r="356" spans="9:10" hidden="1" x14ac:dyDescent="0.25">
      <c r="I356" s="30" t="s">
        <v>9843</v>
      </c>
      <c r="J356" s="28">
        <v>3</v>
      </c>
    </row>
    <row r="357" spans="9:10" hidden="1" x14ac:dyDescent="0.25">
      <c r="I357" s="30" t="s">
        <v>10422</v>
      </c>
      <c r="J357" s="28">
        <v>1</v>
      </c>
    </row>
    <row r="358" spans="9:10" hidden="1" x14ac:dyDescent="0.25">
      <c r="I358" s="30" t="s">
        <v>3140</v>
      </c>
      <c r="J358" s="28">
        <v>1</v>
      </c>
    </row>
    <row r="359" spans="9:10" hidden="1" x14ac:dyDescent="0.25">
      <c r="I359" s="30" t="s">
        <v>385</v>
      </c>
      <c r="J359" s="28">
        <v>1</v>
      </c>
    </row>
    <row r="360" spans="9:10" hidden="1" x14ac:dyDescent="0.25">
      <c r="I360" s="30" t="s">
        <v>3535</v>
      </c>
      <c r="J360" s="28">
        <v>1</v>
      </c>
    </row>
    <row r="361" spans="9:10" hidden="1" x14ac:dyDescent="0.25">
      <c r="I361" s="30" t="s">
        <v>9405</v>
      </c>
      <c r="J361" s="28">
        <v>2</v>
      </c>
    </row>
    <row r="362" spans="9:10" hidden="1" x14ac:dyDescent="0.25">
      <c r="I362" s="30" t="s">
        <v>5294</v>
      </c>
      <c r="J362" s="28">
        <v>1</v>
      </c>
    </row>
    <row r="363" spans="9:10" hidden="1" x14ac:dyDescent="0.25">
      <c r="I363" s="30" t="s">
        <v>11936</v>
      </c>
      <c r="J363" s="28">
        <v>1</v>
      </c>
    </row>
    <row r="364" spans="9:10" hidden="1" x14ac:dyDescent="0.25">
      <c r="I364" s="30" t="s">
        <v>12191</v>
      </c>
      <c r="J364" s="28">
        <v>1</v>
      </c>
    </row>
    <row r="365" spans="9:10" hidden="1" x14ac:dyDescent="0.25">
      <c r="I365" s="30" t="s">
        <v>11724</v>
      </c>
      <c r="J365" s="28">
        <v>1</v>
      </c>
    </row>
    <row r="366" spans="9:10" hidden="1" x14ac:dyDescent="0.25">
      <c r="I366" s="30" t="s">
        <v>9017</v>
      </c>
      <c r="J366" s="28">
        <v>1</v>
      </c>
    </row>
    <row r="367" spans="9:10" hidden="1" x14ac:dyDescent="0.25">
      <c r="I367" s="30" t="s">
        <v>9481</v>
      </c>
      <c r="J367" s="28">
        <v>1</v>
      </c>
    </row>
    <row r="368" spans="9:10" hidden="1" x14ac:dyDescent="0.25">
      <c r="I368" s="30" t="s">
        <v>10968</v>
      </c>
      <c r="J368" s="28">
        <v>1</v>
      </c>
    </row>
    <row r="369" spans="9:10" hidden="1" x14ac:dyDescent="0.25">
      <c r="I369" s="30" t="s">
        <v>10101</v>
      </c>
      <c r="J369" s="28">
        <v>1</v>
      </c>
    </row>
    <row r="370" spans="9:10" hidden="1" x14ac:dyDescent="0.25">
      <c r="I370" s="30" t="s">
        <v>8753</v>
      </c>
      <c r="J370" s="28">
        <v>1</v>
      </c>
    </row>
    <row r="371" spans="9:10" hidden="1" x14ac:dyDescent="0.25">
      <c r="I371" s="30" t="s">
        <v>6825</v>
      </c>
      <c r="J371" s="28">
        <v>1</v>
      </c>
    </row>
    <row r="372" spans="9:10" hidden="1" x14ac:dyDescent="0.25">
      <c r="I372" s="30" t="s">
        <v>12365</v>
      </c>
      <c r="J372" s="28">
        <v>1</v>
      </c>
    </row>
    <row r="373" spans="9:10" hidden="1" x14ac:dyDescent="0.25">
      <c r="I373" s="30" t="s">
        <v>1544</v>
      </c>
      <c r="J373" s="28">
        <v>1</v>
      </c>
    </row>
    <row r="374" spans="9:10" hidden="1" x14ac:dyDescent="0.25">
      <c r="I374" s="30" t="s">
        <v>8809</v>
      </c>
      <c r="J374" s="28">
        <v>1</v>
      </c>
    </row>
    <row r="375" spans="9:10" hidden="1" x14ac:dyDescent="0.25">
      <c r="I375" s="30" t="s">
        <v>1029</v>
      </c>
      <c r="J375" s="28">
        <v>1</v>
      </c>
    </row>
    <row r="376" spans="9:10" hidden="1" x14ac:dyDescent="0.25">
      <c r="I376" s="30" t="s">
        <v>6097</v>
      </c>
      <c r="J376" s="28">
        <v>1</v>
      </c>
    </row>
    <row r="377" spans="9:10" hidden="1" x14ac:dyDescent="0.25">
      <c r="I377" s="30" t="s">
        <v>9747</v>
      </c>
      <c r="J377" s="28">
        <v>1</v>
      </c>
    </row>
    <row r="378" spans="9:10" hidden="1" x14ac:dyDescent="0.25">
      <c r="I378" s="30" t="s">
        <v>8980</v>
      </c>
      <c r="J378" s="28">
        <v>1</v>
      </c>
    </row>
    <row r="379" spans="9:10" hidden="1" x14ac:dyDescent="0.25">
      <c r="I379" s="30" t="s">
        <v>1736</v>
      </c>
      <c r="J379" s="28">
        <v>1</v>
      </c>
    </row>
    <row r="380" spans="9:10" hidden="1" x14ac:dyDescent="0.25">
      <c r="I380" s="30" t="s">
        <v>163</v>
      </c>
      <c r="J380" s="28">
        <v>2</v>
      </c>
    </row>
    <row r="381" spans="9:10" hidden="1" x14ac:dyDescent="0.25">
      <c r="I381" s="30" t="s">
        <v>1308</v>
      </c>
      <c r="J381" s="28">
        <v>2</v>
      </c>
    </row>
    <row r="382" spans="9:10" hidden="1" x14ac:dyDescent="0.25">
      <c r="I382" s="30" t="s">
        <v>2628</v>
      </c>
      <c r="J382" s="28">
        <v>1</v>
      </c>
    </row>
    <row r="383" spans="9:10" hidden="1" x14ac:dyDescent="0.25">
      <c r="I383" s="30" t="s">
        <v>9825</v>
      </c>
      <c r="J383" s="28">
        <v>1</v>
      </c>
    </row>
    <row r="384" spans="9:10" hidden="1" x14ac:dyDescent="0.25">
      <c r="I384" s="30" t="s">
        <v>7331</v>
      </c>
      <c r="J384" s="28">
        <v>1</v>
      </c>
    </row>
    <row r="385" spans="9:10" hidden="1" x14ac:dyDescent="0.25">
      <c r="I385" s="30" t="s">
        <v>10984</v>
      </c>
      <c r="J385" s="28">
        <v>1</v>
      </c>
    </row>
    <row r="386" spans="9:10" hidden="1" x14ac:dyDescent="0.25">
      <c r="I386" s="30" t="s">
        <v>10182</v>
      </c>
      <c r="J386" s="28">
        <v>1</v>
      </c>
    </row>
    <row r="387" spans="9:10" x14ac:dyDescent="0.25">
      <c r="I387" s="30" t="s">
        <v>12439</v>
      </c>
      <c r="J387" s="28">
        <v>1</v>
      </c>
    </row>
    <row r="388" spans="9:10" hidden="1" x14ac:dyDescent="0.25">
      <c r="I388" s="30" t="s">
        <v>12570</v>
      </c>
      <c r="J388" s="28">
        <v>1</v>
      </c>
    </row>
    <row r="389" spans="9:10" hidden="1" x14ac:dyDescent="0.25">
      <c r="I389" s="30" t="s">
        <v>12517</v>
      </c>
      <c r="J389" s="28">
        <v>1</v>
      </c>
    </row>
    <row r="390" spans="9:10" hidden="1" x14ac:dyDescent="0.25">
      <c r="I390" s="30" t="s">
        <v>138</v>
      </c>
      <c r="J390" s="28">
        <v>1</v>
      </c>
    </row>
    <row r="391" spans="9:10" hidden="1" x14ac:dyDescent="0.25">
      <c r="I391" s="30" t="s">
        <v>4195</v>
      </c>
      <c r="J391" s="28">
        <v>2</v>
      </c>
    </row>
    <row r="392" spans="9:10" hidden="1" x14ac:dyDescent="0.25">
      <c r="I392" s="30" t="s">
        <v>11988</v>
      </c>
      <c r="J392" s="28">
        <v>2</v>
      </c>
    </row>
    <row r="393" spans="9:10" hidden="1" x14ac:dyDescent="0.25">
      <c r="I393" s="30" t="s">
        <v>5146</v>
      </c>
      <c r="J393" s="28">
        <v>1</v>
      </c>
    </row>
    <row r="394" spans="9:10" hidden="1" x14ac:dyDescent="0.25">
      <c r="I394" s="30" t="s">
        <v>10907</v>
      </c>
      <c r="J394" s="28">
        <v>1</v>
      </c>
    </row>
    <row r="395" spans="9:10" hidden="1" x14ac:dyDescent="0.25">
      <c r="I395" s="30" t="s">
        <v>8619</v>
      </c>
      <c r="J395" s="28">
        <v>1</v>
      </c>
    </row>
    <row r="396" spans="9:10" hidden="1" x14ac:dyDescent="0.25">
      <c r="I396" s="30" t="s">
        <v>4443</v>
      </c>
      <c r="J396" s="28">
        <v>1</v>
      </c>
    </row>
    <row r="397" spans="9:10" hidden="1" x14ac:dyDescent="0.25">
      <c r="I397" s="30" t="s">
        <v>10623</v>
      </c>
      <c r="J397" s="28">
        <v>2</v>
      </c>
    </row>
    <row r="398" spans="9:10" hidden="1" x14ac:dyDescent="0.25">
      <c r="I398" s="30" t="s">
        <v>4504</v>
      </c>
      <c r="J398" s="28">
        <v>1</v>
      </c>
    </row>
    <row r="399" spans="9:10" hidden="1" x14ac:dyDescent="0.25">
      <c r="I399" s="30" t="s">
        <v>7357</v>
      </c>
      <c r="J399" s="28">
        <v>1</v>
      </c>
    </row>
    <row r="400" spans="9:10" hidden="1" x14ac:dyDescent="0.25">
      <c r="I400" s="30" t="s">
        <v>7489</v>
      </c>
      <c r="J400" s="28">
        <v>2</v>
      </c>
    </row>
    <row r="401" spans="9:10" hidden="1" x14ac:dyDescent="0.25">
      <c r="I401" s="30" t="s">
        <v>6897</v>
      </c>
      <c r="J401" s="28">
        <v>1</v>
      </c>
    </row>
    <row r="402" spans="9:10" hidden="1" x14ac:dyDescent="0.25">
      <c r="I402" s="30" t="s">
        <v>6040</v>
      </c>
      <c r="J402" s="28">
        <v>1</v>
      </c>
    </row>
    <row r="403" spans="9:10" hidden="1" x14ac:dyDescent="0.25">
      <c r="I403" s="30" t="s">
        <v>12348</v>
      </c>
      <c r="J403" s="28">
        <v>1</v>
      </c>
    </row>
    <row r="404" spans="9:10" hidden="1" x14ac:dyDescent="0.25">
      <c r="I404" s="30" t="s">
        <v>7312</v>
      </c>
      <c r="J404" s="28">
        <v>1</v>
      </c>
    </row>
    <row r="405" spans="9:10" hidden="1" x14ac:dyDescent="0.25">
      <c r="I405" s="30" t="s">
        <v>4309</v>
      </c>
      <c r="J405" s="28">
        <v>2</v>
      </c>
    </row>
    <row r="406" spans="9:10" hidden="1" x14ac:dyDescent="0.25">
      <c r="I406" s="30" t="s">
        <v>8668</v>
      </c>
      <c r="J406" s="28">
        <v>1</v>
      </c>
    </row>
    <row r="407" spans="9:10" hidden="1" x14ac:dyDescent="0.25">
      <c r="I407" s="30" t="s">
        <v>9874</v>
      </c>
      <c r="J407" s="28">
        <v>1</v>
      </c>
    </row>
    <row r="408" spans="9:10" hidden="1" x14ac:dyDescent="0.25">
      <c r="I408" s="30" t="s">
        <v>9977</v>
      </c>
      <c r="J408" s="28">
        <v>2</v>
      </c>
    </row>
    <row r="409" spans="9:10" hidden="1" x14ac:dyDescent="0.25">
      <c r="I409" s="30" t="s">
        <v>8373</v>
      </c>
      <c r="J409" s="28">
        <v>1</v>
      </c>
    </row>
    <row r="410" spans="9:10" hidden="1" x14ac:dyDescent="0.25">
      <c r="I410" s="30" t="s">
        <v>7708</v>
      </c>
      <c r="J410" s="28">
        <v>1</v>
      </c>
    </row>
    <row r="411" spans="9:10" hidden="1" x14ac:dyDescent="0.25">
      <c r="I411" s="30" t="s">
        <v>363</v>
      </c>
      <c r="J411" s="28">
        <v>1</v>
      </c>
    </row>
    <row r="412" spans="9:10" hidden="1" x14ac:dyDescent="0.25">
      <c r="I412" s="30" t="s">
        <v>2270</v>
      </c>
      <c r="J412" s="28">
        <v>2</v>
      </c>
    </row>
    <row r="413" spans="9:10" hidden="1" x14ac:dyDescent="0.25">
      <c r="I413" s="30" t="s">
        <v>1332</v>
      </c>
      <c r="J413" s="28">
        <v>3</v>
      </c>
    </row>
    <row r="414" spans="9:10" hidden="1" x14ac:dyDescent="0.25">
      <c r="I414" s="30" t="s">
        <v>3339</v>
      </c>
      <c r="J414" s="28">
        <v>1</v>
      </c>
    </row>
    <row r="415" spans="9:10" hidden="1" x14ac:dyDescent="0.25">
      <c r="I415" s="30" t="s">
        <v>9726</v>
      </c>
      <c r="J415" s="28">
        <v>1</v>
      </c>
    </row>
    <row r="416" spans="9:10" hidden="1" x14ac:dyDescent="0.25">
      <c r="I416" s="30" t="s">
        <v>8111</v>
      </c>
      <c r="J416" s="28">
        <v>3</v>
      </c>
    </row>
    <row r="417" spans="9:10" hidden="1" x14ac:dyDescent="0.25">
      <c r="I417" s="30" t="s">
        <v>7015</v>
      </c>
      <c r="J417" s="28">
        <v>1</v>
      </c>
    </row>
    <row r="418" spans="9:10" hidden="1" x14ac:dyDescent="0.25">
      <c r="I418" s="30" t="s">
        <v>11660</v>
      </c>
      <c r="J418" s="28">
        <v>1</v>
      </c>
    </row>
    <row r="419" spans="9:10" hidden="1" x14ac:dyDescent="0.25">
      <c r="I419" s="30" t="s">
        <v>7601</v>
      </c>
      <c r="J419" s="28">
        <v>1</v>
      </c>
    </row>
    <row r="420" spans="9:10" hidden="1" x14ac:dyDescent="0.25">
      <c r="I420" s="30" t="s">
        <v>5008</v>
      </c>
      <c r="J420" s="28">
        <v>2</v>
      </c>
    </row>
    <row r="421" spans="9:10" hidden="1" x14ac:dyDescent="0.25">
      <c r="I421" s="30" t="s">
        <v>10123</v>
      </c>
      <c r="J421" s="28">
        <v>2</v>
      </c>
    </row>
    <row r="422" spans="9:10" hidden="1" x14ac:dyDescent="0.25">
      <c r="I422" s="30" t="s">
        <v>7087</v>
      </c>
      <c r="J422" s="28">
        <v>2</v>
      </c>
    </row>
    <row r="423" spans="9:10" hidden="1" x14ac:dyDescent="0.25">
      <c r="I423" s="30" t="s">
        <v>11642</v>
      </c>
      <c r="J423" s="28">
        <v>1</v>
      </c>
    </row>
    <row r="424" spans="9:10" hidden="1" x14ac:dyDescent="0.25">
      <c r="I424" s="30" t="s">
        <v>9384</v>
      </c>
      <c r="J424" s="28">
        <v>1</v>
      </c>
    </row>
    <row r="425" spans="9:10" hidden="1" x14ac:dyDescent="0.25">
      <c r="I425" s="30" t="s">
        <v>2895</v>
      </c>
      <c r="J425" s="28">
        <v>2</v>
      </c>
    </row>
    <row r="426" spans="9:10" hidden="1" x14ac:dyDescent="0.25">
      <c r="I426" s="30" t="s">
        <v>928</v>
      </c>
      <c r="J426" s="28">
        <v>5</v>
      </c>
    </row>
    <row r="427" spans="9:10" hidden="1" x14ac:dyDescent="0.25">
      <c r="I427" s="30" t="s">
        <v>1128</v>
      </c>
      <c r="J427" s="28">
        <v>1</v>
      </c>
    </row>
    <row r="428" spans="9:10" hidden="1" x14ac:dyDescent="0.25">
      <c r="I428" s="30" t="s">
        <v>5629</v>
      </c>
      <c r="J428" s="28">
        <v>1</v>
      </c>
    </row>
    <row r="429" spans="9:10" hidden="1" x14ac:dyDescent="0.25">
      <c r="I429" s="30" t="s">
        <v>7633</v>
      </c>
      <c r="J429" s="28">
        <v>1</v>
      </c>
    </row>
    <row r="430" spans="9:10" hidden="1" x14ac:dyDescent="0.25">
      <c r="I430" s="30" t="s">
        <v>11953</v>
      </c>
      <c r="J430" s="28">
        <v>1</v>
      </c>
    </row>
    <row r="431" spans="9:10" hidden="1" x14ac:dyDescent="0.25">
      <c r="I431" s="30" t="s">
        <v>11246</v>
      </c>
      <c r="J431" s="28">
        <v>1</v>
      </c>
    </row>
    <row r="432" spans="9:10" hidden="1" x14ac:dyDescent="0.25">
      <c r="I432" s="30" t="s">
        <v>3073</v>
      </c>
      <c r="J432" s="28">
        <v>1</v>
      </c>
    </row>
    <row r="433" spans="9:10" hidden="1" x14ac:dyDescent="0.25">
      <c r="I433" s="30" t="s">
        <v>4636</v>
      </c>
      <c r="J433" s="28">
        <v>1</v>
      </c>
    </row>
    <row r="434" spans="9:10" hidden="1" x14ac:dyDescent="0.25">
      <c r="I434" s="30" t="s">
        <v>9703</v>
      </c>
      <c r="J434" s="28">
        <v>1</v>
      </c>
    </row>
    <row r="435" spans="9:10" hidden="1" x14ac:dyDescent="0.25">
      <c r="I435" s="30" t="s">
        <v>12211</v>
      </c>
      <c r="J435" s="28">
        <v>1</v>
      </c>
    </row>
    <row r="436" spans="9:10" hidden="1" x14ac:dyDescent="0.25">
      <c r="I436" s="30" t="s">
        <v>683</v>
      </c>
      <c r="J436" s="28">
        <v>2</v>
      </c>
    </row>
    <row r="437" spans="9:10" hidden="1" x14ac:dyDescent="0.25">
      <c r="I437" s="30" t="s">
        <v>7164</v>
      </c>
      <c r="J437" s="28">
        <v>1</v>
      </c>
    </row>
    <row r="438" spans="9:10" hidden="1" x14ac:dyDescent="0.25">
      <c r="I438" s="30" t="s">
        <v>11463</v>
      </c>
      <c r="J438" s="28">
        <v>1</v>
      </c>
    </row>
    <row r="439" spans="9:10" hidden="1" x14ac:dyDescent="0.25">
      <c r="I439" s="30" t="s">
        <v>10355</v>
      </c>
      <c r="J439" s="28">
        <v>1</v>
      </c>
    </row>
    <row r="440" spans="9:10" hidden="1" x14ac:dyDescent="0.25">
      <c r="I440" s="30" t="s">
        <v>3986</v>
      </c>
      <c r="J440" s="28">
        <v>3</v>
      </c>
    </row>
    <row r="441" spans="9:10" hidden="1" x14ac:dyDescent="0.25">
      <c r="I441" s="30" t="s">
        <v>1868</v>
      </c>
      <c r="J441" s="28">
        <v>1</v>
      </c>
    </row>
    <row r="442" spans="9:10" hidden="1" x14ac:dyDescent="0.25">
      <c r="I442" s="30" t="s">
        <v>796</v>
      </c>
      <c r="J442" s="28">
        <v>1</v>
      </c>
    </row>
    <row r="443" spans="9:10" hidden="1" x14ac:dyDescent="0.25">
      <c r="I443" s="30" t="s">
        <v>11974</v>
      </c>
      <c r="J443" s="28">
        <v>1</v>
      </c>
    </row>
    <row r="444" spans="9:10" hidden="1" x14ac:dyDescent="0.25">
      <c r="I444" s="30" t="s">
        <v>7961</v>
      </c>
      <c r="J444" s="28">
        <v>1</v>
      </c>
    </row>
    <row r="445" spans="9:10" hidden="1" x14ac:dyDescent="0.25">
      <c r="I445" s="30" t="s">
        <v>1437</v>
      </c>
      <c r="J445" s="28">
        <v>1</v>
      </c>
    </row>
    <row r="446" spans="9:10" hidden="1" x14ac:dyDescent="0.25">
      <c r="I446" s="30" t="s">
        <v>11877</v>
      </c>
      <c r="J446" s="28">
        <v>1</v>
      </c>
    </row>
    <row r="447" spans="9:10" hidden="1" x14ac:dyDescent="0.25">
      <c r="I447" s="30" t="s">
        <v>10568</v>
      </c>
      <c r="J447" s="28">
        <v>1</v>
      </c>
    </row>
    <row r="448" spans="9:10" hidden="1" x14ac:dyDescent="0.25">
      <c r="I448" s="30" t="s">
        <v>7390</v>
      </c>
      <c r="J448" s="28">
        <v>1</v>
      </c>
    </row>
    <row r="449" spans="9:10" hidden="1" x14ac:dyDescent="0.25">
      <c r="I449" s="30" t="s">
        <v>8833</v>
      </c>
      <c r="J449" s="28">
        <v>1</v>
      </c>
    </row>
    <row r="450" spans="9:10" hidden="1" x14ac:dyDescent="0.25">
      <c r="I450" s="30" t="s">
        <v>12024</v>
      </c>
      <c r="J450" s="28">
        <v>1</v>
      </c>
    </row>
    <row r="451" spans="9:10" hidden="1" x14ac:dyDescent="0.25">
      <c r="I451" s="30" t="s">
        <v>9057</v>
      </c>
      <c r="J451" s="28">
        <v>1</v>
      </c>
    </row>
    <row r="452" spans="9:10" hidden="1" x14ac:dyDescent="0.25">
      <c r="I452" s="30" t="s">
        <v>9461</v>
      </c>
      <c r="J452" s="28">
        <v>1</v>
      </c>
    </row>
    <row r="453" spans="9:10" hidden="1" x14ac:dyDescent="0.25">
      <c r="I453" s="30" t="s">
        <v>10088</v>
      </c>
      <c r="J453" s="28">
        <v>1</v>
      </c>
    </row>
    <row r="454" spans="9:10" hidden="1" x14ac:dyDescent="0.25">
      <c r="I454" s="30" t="s">
        <v>2810</v>
      </c>
      <c r="J454" s="28">
        <v>2</v>
      </c>
    </row>
    <row r="455" spans="9:10" ht="12.5" customHeight="1" x14ac:dyDescent="0.25">
      <c r="I455" s="30" t="s">
        <v>8519</v>
      </c>
      <c r="J455" s="28">
        <v>1</v>
      </c>
    </row>
    <row r="456" spans="9:10" ht="12.5" customHeight="1" x14ac:dyDescent="0.25">
      <c r="I456" s="30" t="s">
        <v>6019</v>
      </c>
      <c r="J456" s="28">
        <v>1</v>
      </c>
    </row>
    <row r="457" spans="9:10" ht="12.5" customHeight="1" x14ac:dyDescent="0.25">
      <c r="I457" s="30" t="s">
        <v>6786</v>
      </c>
      <c r="J457" s="28">
        <v>1</v>
      </c>
    </row>
    <row r="458" spans="9:10" ht="12.5" customHeight="1" x14ac:dyDescent="0.25">
      <c r="I458" s="30" t="s">
        <v>8789</v>
      </c>
      <c r="J458" s="28">
        <v>1</v>
      </c>
    </row>
    <row r="459" spans="9:10" ht="12.5" customHeight="1" x14ac:dyDescent="0.25">
      <c r="I459" s="30" t="s">
        <v>12767</v>
      </c>
      <c r="J459" s="28">
        <v>1</v>
      </c>
    </row>
    <row r="460" spans="9:10" ht="12.5" customHeight="1" x14ac:dyDescent="0.25">
      <c r="I460" s="30" t="s">
        <v>507</v>
      </c>
      <c r="J460" s="28">
        <v>1</v>
      </c>
    </row>
    <row r="461" spans="9:10" ht="12.5" customHeight="1" x14ac:dyDescent="0.25">
      <c r="I461" s="30" t="s">
        <v>10162</v>
      </c>
      <c r="J461" s="28">
        <v>1</v>
      </c>
    </row>
    <row r="462" spans="9:10" ht="12.5" customHeight="1" x14ac:dyDescent="0.25">
      <c r="I462" s="30" t="s">
        <v>8600</v>
      </c>
      <c r="J462" s="28">
        <v>1</v>
      </c>
    </row>
    <row r="463" spans="9:10" ht="12.5" customHeight="1" x14ac:dyDescent="0.25">
      <c r="I463" s="30" t="s">
        <v>1108</v>
      </c>
      <c r="J463" s="28">
        <v>1</v>
      </c>
    </row>
    <row r="464" spans="9:10" ht="12.5" customHeight="1" x14ac:dyDescent="0.25">
      <c r="I464" s="30" t="s">
        <v>5795</v>
      </c>
      <c r="J464" s="28">
        <v>1</v>
      </c>
    </row>
    <row r="465" spans="9:10" ht="12.5" customHeight="1" x14ac:dyDescent="0.25">
      <c r="I465" s="30" t="s">
        <v>1845</v>
      </c>
      <c r="J465" s="28">
        <v>1</v>
      </c>
    </row>
    <row r="466" spans="9:10" ht="12.5" customHeight="1" x14ac:dyDescent="0.25">
      <c r="I466" s="30" t="s">
        <v>6145</v>
      </c>
      <c r="J466" s="28">
        <v>1</v>
      </c>
    </row>
    <row r="467" spans="9:10" ht="12.5" customHeight="1" x14ac:dyDescent="0.25">
      <c r="I467" s="30" t="s">
        <v>12790</v>
      </c>
      <c r="J467" s="28">
        <v>1</v>
      </c>
    </row>
    <row r="468" spans="9:10" ht="12.5" customHeight="1" x14ac:dyDescent="0.25">
      <c r="I468" s="30" t="s">
        <v>1946</v>
      </c>
      <c r="J468" s="28">
        <v>1</v>
      </c>
    </row>
    <row r="469" spans="9:10" ht="12.5" customHeight="1" x14ac:dyDescent="0.25">
      <c r="I469" s="30" t="s">
        <v>9344</v>
      </c>
      <c r="J469" s="28">
        <v>1</v>
      </c>
    </row>
    <row r="470" spans="9:10" ht="12.5" customHeight="1" x14ac:dyDescent="0.25">
      <c r="I470" s="30" t="s">
        <v>11390</v>
      </c>
      <c r="J470" s="28">
        <v>1</v>
      </c>
    </row>
    <row r="471" spans="9:10" ht="12.5" customHeight="1" x14ac:dyDescent="0.25">
      <c r="I471" s="30" t="s">
        <v>7669</v>
      </c>
      <c r="J471" s="28">
        <v>1</v>
      </c>
    </row>
    <row r="472" spans="9:10" ht="12.5" customHeight="1" x14ac:dyDescent="0.25">
      <c r="I472" s="30" t="s">
        <v>5269</v>
      </c>
      <c r="J472" s="28">
        <v>1</v>
      </c>
    </row>
    <row r="473" spans="9:10" ht="12.5" customHeight="1" x14ac:dyDescent="0.25">
      <c r="I473" s="30" t="s">
        <v>7938</v>
      </c>
      <c r="J473" s="28">
        <v>1</v>
      </c>
    </row>
    <row r="474" spans="9:10" ht="12.5" customHeight="1" x14ac:dyDescent="0.25"/>
    <row r="475" spans="9:10" ht="13" customHeight="1" x14ac:dyDescent="0.25"/>
    <row r="476" spans="9:10" hidden="1" x14ac:dyDescent="0.25"/>
    <row r="477" spans="9:10" hidden="1" x14ac:dyDescent="0.25"/>
    <row r="478" spans="9:10" hidden="1" x14ac:dyDescent="0.25"/>
    <row r="479" spans="9:10" hidden="1" x14ac:dyDescent="0.25"/>
    <row r="480" spans="9:1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t="12.5" customHeight="1" x14ac:dyDescent="0.25"/>
    <row r="501" ht="12.5" customHeight="1" x14ac:dyDescent="0.25"/>
    <row r="502" ht="12.5" customHeight="1" x14ac:dyDescent="0.25"/>
    <row r="503" ht="12.5" customHeight="1" x14ac:dyDescent="0.25"/>
    <row r="504" ht="12.5" customHeight="1" x14ac:dyDescent="0.25"/>
    <row r="505" ht="12.5" customHeight="1" x14ac:dyDescent="0.25"/>
    <row r="506" ht="12.5" customHeight="1" x14ac:dyDescent="0.25"/>
    <row r="507" ht="12.5" customHeight="1" x14ac:dyDescent="0.25"/>
    <row r="508" ht="12.5" customHeight="1" x14ac:dyDescent="0.25"/>
    <row r="509" ht="12.5" customHeight="1" x14ac:dyDescent="0.25"/>
    <row r="510" ht="12.5" customHeight="1" x14ac:dyDescent="0.25"/>
    <row r="511" ht="12.5" customHeight="1" x14ac:dyDescent="0.25"/>
    <row r="512" ht="12.5" customHeight="1" x14ac:dyDescent="0.25"/>
    <row r="513" ht="12.5" customHeight="1" x14ac:dyDescent="0.25"/>
    <row r="514" ht="12.5" customHeight="1" x14ac:dyDescent="0.25"/>
    <row r="515" ht="12.5" customHeight="1" x14ac:dyDescent="0.25"/>
    <row r="516" ht="12.5" customHeight="1" x14ac:dyDescent="0.25"/>
    <row r="517" ht="12.5" customHeight="1" x14ac:dyDescent="0.25"/>
    <row r="518" ht="12.5" customHeight="1" x14ac:dyDescent="0.25"/>
    <row r="519" ht="12.5" customHeight="1" x14ac:dyDescent="0.25"/>
    <row r="520" ht="12.5" customHeight="1" x14ac:dyDescent="0.25"/>
    <row r="521" ht="12.5" customHeight="1" x14ac:dyDescent="0.25"/>
    <row r="522" ht="12.5" customHeight="1" x14ac:dyDescent="0.25"/>
    <row r="523" ht="12.5" customHeight="1" x14ac:dyDescent="0.25"/>
    <row r="524" ht="12.5" customHeight="1" x14ac:dyDescent="0.25"/>
    <row r="525" ht="12.5" customHeight="1" x14ac:dyDescent="0.25"/>
    <row r="526" ht="13" customHeight="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99" spans="5:7" ht="13" thickBot="1" x14ac:dyDescent="0.3"/>
    <row r="700" spans="5:7" ht="13.5" thickBot="1" x14ac:dyDescent="0.3">
      <c r="E700" s="46" t="s">
        <v>15351</v>
      </c>
      <c r="F700" s="47" t="s">
        <v>15350</v>
      </c>
      <c r="G700" s="47" t="s">
        <v>15342</v>
      </c>
    </row>
    <row r="701" spans="5:7" ht="12.5" customHeight="1" x14ac:dyDescent="0.25">
      <c r="E701" s="92" t="s">
        <v>1023</v>
      </c>
      <c r="F701" s="48" t="s">
        <v>6122</v>
      </c>
      <c r="G701" s="49">
        <v>1</v>
      </c>
    </row>
    <row r="702" spans="5:7" ht="12.5" customHeight="1" x14ac:dyDescent="0.25">
      <c r="E702" s="93"/>
      <c r="F702" s="50" t="s">
        <v>8261</v>
      </c>
      <c r="G702" s="51">
        <v>1</v>
      </c>
    </row>
    <row r="703" spans="5:7" ht="12.5" customHeight="1" x14ac:dyDescent="0.25">
      <c r="E703" s="93"/>
      <c r="F703" s="50" t="s">
        <v>3315</v>
      </c>
      <c r="G703" s="51">
        <v>1</v>
      </c>
    </row>
    <row r="704" spans="5:7" ht="12.5" customHeight="1" x14ac:dyDescent="0.25">
      <c r="E704" s="93"/>
      <c r="F704" s="50" t="s">
        <v>8708</v>
      </c>
      <c r="G704" s="51">
        <v>1</v>
      </c>
    </row>
    <row r="705" spans="5:7" ht="12.5" customHeight="1" x14ac:dyDescent="0.25">
      <c r="E705" s="93"/>
      <c r="F705" s="50" t="s">
        <v>1691</v>
      </c>
      <c r="G705" s="51">
        <v>2</v>
      </c>
    </row>
    <row r="706" spans="5:7" ht="12.5" customHeight="1" x14ac:dyDescent="0.25">
      <c r="E706" s="93"/>
      <c r="F706" s="50" t="s">
        <v>5815</v>
      </c>
      <c r="G706" s="51">
        <v>1</v>
      </c>
    </row>
    <row r="707" spans="5:7" ht="12.5" customHeight="1" x14ac:dyDescent="0.25">
      <c r="E707" s="93"/>
      <c r="F707" s="50" t="s">
        <v>6466</v>
      </c>
      <c r="G707" s="51">
        <v>1</v>
      </c>
    </row>
    <row r="708" spans="5:7" ht="12.5" customHeight="1" x14ac:dyDescent="0.25">
      <c r="E708" s="93"/>
      <c r="F708" s="50" t="s">
        <v>6204</v>
      </c>
      <c r="G708" s="51">
        <v>2</v>
      </c>
    </row>
    <row r="709" spans="5:7" ht="12.5" customHeight="1" x14ac:dyDescent="0.25">
      <c r="E709" s="93"/>
      <c r="F709" s="50" t="s">
        <v>1798</v>
      </c>
      <c r="G709" s="51">
        <v>3</v>
      </c>
    </row>
    <row r="710" spans="5:7" ht="12.5" customHeight="1" x14ac:dyDescent="0.25">
      <c r="E710" s="93"/>
      <c r="F710" s="50" t="s">
        <v>3751</v>
      </c>
      <c r="G710" s="52">
        <v>5</v>
      </c>
    </row>
    <row r="711" spans="5:7" ht="12.5" customHeight="1" x14ac:dyDescent="0.25">
      <c r="E711" s="93"/>
      <c r="F711" s="50" t="s">
        <v>8034</v>
      </c>
      <c r="G711" s="51">
        <v>1</v>
      </c>
    </row>
    <row r="712" spans="5:7" ht="12.5" customHeight="1" x14ac:dyDescent="0.25">
      <c r="E712" s="93"/>
      <c r="F712" s="50" t="s">
        <v>1004</v>
      </c>
      <c r="G712" s="51">
        <v>3</v>
      </c>
    </row>
    <row r="713" spans="5:7" ht="12.5" customHeight="1" x14ac:dyDescent="0.25">
      <c r="E713" s="93"/>
      <c r="F713" s="50" t="s">
        <v>8227</v>
      </c>
      <c r="G713" s="51">
        <v>1</v>
      </c>
    </row>
    <row r="714" spans="5:7" ht="12.5" customHeight="1" x14ac:dyDescent="0.25">
      <c r="E714" s="93"/>
      <c r="F714" s="50" t="s">
        <v>12534</v>
      </c>
      <c r="G714" s="51">
        <v>3</v>
      </c>
    </row>
    <row r="715" spans="5:7" ht="12.5" customHeight="1" x14ac:dyDescent="0.25">
      <c r="E715" s="93"/>
      <c r="F715" s="50" t="s">
        <v>11705</v>
      </c>
      <c r="G715" s="51">
        <v>1</v>
      </c>
    </row>
    <row r="716" spans="5:7" ht="12.5" customHeight="1" x14ac:dyDescent="0.25">
      <c r="E716" s="93"/>
      <c r="F716" s="50" t="s">
        <v>4152</v>
      </c>
      <c r="G716" s="51">
        <v>1</v>
      </c>
    </row>
    <row r="717" spans="5:7" ht="12.5" customHeight="1" x14ac:dyDescent="0.25">
      <c r="E717" s="93"/>
      <c r="F717" s="50" t="s">
        <v>6019</v>
      </c>
      <c r="G717" s="51">
        <v>1</v>
      </c>
    </row>
    <row r="718" spans="5:7" ht="12.5" customHeight="1" x14ac:dyDescent="0.25">
      <c r="E718" s="93"/>
      <c r="F718" s="50" t="s">
        <v>8789</v>
      </c>
      <c r="G718" s="51">
        <v>1</v>
      </c>
    </row>
    <row r="719" spans="5:7" ht="12.5" customHeight="1" x14ac:dyDescent="0.25">
      <c r="E719" s="93"/>
      <c r="F719" s="50" t="s">
        <v>7054</v>
      </c>
      <c r="G719" s="51">
        <v>1</v>
      </c>
    </row>
    <row r="720" spans="5:7" ht="12.5" customHeight="1" x14ac:dyDescent="0.25">
      <c r="E720" s="93"/>
      <c r="F720" s="50" t="s">
        <v>9111</v>
      </c>
      <c r="G720" s="51">
        <v>1</v>
      </c>
    </row>
    <row r="721" spans="5:7" ht="12.5" customHeight="1" x14ac:dyDescent="0.25">
      <c r="E721" s="93"/>
      <c r="F721" s="50" t="s">
        <v>12048</v>
      </c>
      <c r="G721" s="51">
        <v>1</v>
      </c>
    </row>
    <row r="722" spans="5:7" ht="12.5" customHeight="1" x14ac:dyDescent="0.25">
      <c r="E722" s="93"/>
      <c r="F722" s="50" t="s">
        <v>12348</v>
      </c>
      <c r="G722" s="51">
        <v>1</v>
      </c>
    </row>
    <row r="723" spans="5:7" ht="13" customHeight="1" thickBot="1" x14ac:dyDescent="0.3">
      <c r="E723" s="94"/>
      <c r="F723" s="53" t="s">
        <v>8373</v>
      </c>
      <c r="G723" s="54">
        <v>1</v>
      </c>
    </row>
    <row r="724" spans="5:7" ht="12.5" customHeight="1" x14ac:dyDescent="0.25">
      <c r="E724" s="95" t="s">
        <v>264</v>
      </c>
      <c r="F724" s="55" t="s">
        <v>7883</v>
      </c>
      <c r="G724" s="49">
        <v>2</v>
      </c>
    </row>
    <row r="725" spans="5:7" ht="12.5" customHeight="1" x14ac:dyDescent="0.25">
      <c r="E725" s="96"/>
      <c r="F725" s="56" t="s">
        <v>7813</v>
      </c>
      <c r="G725" s="51">
        <v>1</v>
      </c>
    </row>
    <row r="726" spans="5:7" ht="12.5" customHeight="1" x14ac:dyDescent="0.25">
      <c r="E726" s="96"/>
      <c r="F726" s="56" t="s">
        <v>6366</v>
      </c>
      <c r="G726" s="51">
        <v>1</v>
      </c>
    </row>
    <row r="727" spans="5:7" ht="12.5" customHeight="1" x14ac:dyDescent="0.25">
      <c r="E727" s="96"/>
      <c r="F727" s="56" t="s">
        <v>2455</v>
      </c>
      <c r="G727" s="51">
        <v>2</v>
      </c>
    </row>
    <row r="728" spans="5:7" ht="12.5" customHeight="1" x14ac:dyDescent="0.25">
      <c r="E728" s="96"/>
      <c r="F728" s="56" t="s">
        <v>7999</v>
      </c>
      <c r="G728" s="52">
        <v>5</v>
      </c>
    </row>
    <row r="729" spans="5:7" ht="12.5" customHeight="1" x14ac:dyDescent="0.25">
      <c r="E729" s="96"/>
      <c r="F729" s="56" t="s">
        <v>4365</v>
      </c>
      <c r="G729" s="51">
        <v>1</v>
      </c>
    </row>
    <row r="730" spans="5:7" ht="12.5" customHeight="1" x14ac:dyDescent="0.25">
      <c r="E730" s="96"/>
      <c r="F730" s="56" t="s">
        <v>246</v>
      </c>
      <c r="G730" s="51">
        <v>1</v>
      </c>
    </row>
    <row r="731" spans="5:7" ht="12.5" customHeight="1" x14ac:dyDescent="0.25">
      <c r="E731" s="96"/>
      <c r="F731" s="56" t="s">
        <v>3701</v>
      </c>
      <c r="G731" s="51">
        <v>2</v>
      </c>
    </row>
    <row r="732" spans="5:7" ht="12.5" customHeight="1" x14ac:dyDescent="0.25">
      <c r="E732" s="96"/>
      <c r="F732" s="56" t="s">
        <v>983</v>
      </c>
      <c r="G732" s="51">
        <v>1</v>
      </c>
    </row>
    <row r="733" spans="5:7" ht="12.5" customHeight="1" x14ac:dyDescent="0.25">
      <c r="E733" s="96"/>
      <c r="F733" s="56" t="s">
        <v>4381</v>
      </c>
      <c r="G733" s="51">
        <v>3</v>
      </c>
    </row>
    <row r="734" spans="5:7" ht="12.5" customHeight="1" x14ac:dyDescent="0.25">
      <c r="E734" s="96"/>
      <c r="F734" s="56" t="s">
        <v>8014</v>
      </c>
      <c r="G734" s="51">
        <v>1</v>
      </c>
    </row>
    <row r="735" spans="5:7" ht="12.5" customHeight="1" x14ac:dyDescent="0.25">
      <c r="E735" s="96"/>
      <c r="F735" s="56" t="s">
        <v>6430</v>
      </c>
      <c r="G735" s="51">
        <v>1</v>
      </c>
    </row>
    <row r="736" spans="5:7" ht="12.5" customHeight="1" x14ac:dyDescent="0.25">
      <c r="E736" s="96"/>
      <c r="F736" s="56" t="s">
        <v>1523</v>
      </c>
      <c r="G736" s="51">
        <v>2</v>
      </c>
    </row>
    <row r="737" spans="5:7" ht="12.5" customHeight="1" x14ac:dyDescent="0.25">
      <c r="E737" s="96"/>
      <c r="F737" s="56" t="s">
        <v>5775</v>
      </c>
      <c r="G737" s="51">
        <v>1</v>
      </c>
    </row>
    <row r="738" spans="5:7" ht="12.5" customHeight="1" x14ac:dyDescent="0.25">
      <c r="E738" s="96"/>
      <c r="F738" s="56" t="s">
        <v>7074</v>
      </c>
      <c r="G738" s="51">
        <v>1</v>
      </c>
    </row>
    <row r="739" spans="5:7" ht="12.5" customHeight="1" x14ac:dyDescent="0.25">
      <c r="E739" s="96"/>
      <c r="F739" s="56" t="s">
        <v>10422</v>
      </c>
      <c r="G739" s="51">
        <v>1</v>
      </c>
    </row>
    <row r="740" spans="5:7" ht="12.5" customHeight="1" x14ac:dyDescent="0.25">
      <c r="E740" s="96"/>
      <c r="F740" s="56" t="s">
        <v>1868</v>
      </c>
      <c r="G740" s="51">
        <v>1</v>
      </c>
    </row>
    <row r="741" spans="5:7" ht="13" customHeight="1" thickBot="1" x14ac:dyDescent="0.3">
      <c r="E741" s="97"/>
      <c r="F741" s="57" t="s">
        <v>3245</v>
      </c>
      <c r="G741" s="54">
        <v>2</v>
      </c>
    </row>
    <row r="742" spans="5:7" ht="12.5" customHeight="1" x14ac:dyDescent="0.25">
      <c r="E742" s="89" t="s">
        <v>2218</v>
      </c>
      <c r="F742" s="55" t="s">
        <v>2713</v>
      </c>
      <c r="G742" s="49">
        <v>3</v>
      </c>
    </row>
    <row r="743" spans="5:7" ht="12.5" customHeight="1" x14ac:dyDescent="0.25">
      <c r="E743" s="90"/>
      <c r="F743" s="56" t="s">
        <v>8407</v>
      </c>
      <c r="G743" s="51">
        <v>3</v>
      </c>
    </row>
    <row r="744" spans="5:7" ht="12.5" customHeight="1" x14ac:dyDescent="0.25">
      <c r="E744" s="90"/>
      <c r="F744" s="56" t="s">
        <v>11772</v>
      </c>
      <c r="G744" s="51">
        <v>1</v>
      </c>
    </row>
    <row r="745" spans="5:7" ht="12.5" customHeight="1" x14ac:dyDescent="0.25">
      <c r="E745" s="90"/>
      <c r="F745" s="56" t="s">
        <v>10794</v>
      </c>
      <c r="G745" s="51">
        <v>1</v>
      </c>
    </row>
    <row r="746" spans="5:7" ht="12.5" customHeight="1" x14ac:dyDescent="0.25">
      <c r="E746" s="90"/>
      <c r="F746" s="56" t="s">
        <v>7781</v>
      </c>
      <c r="G746" s="51">
        <v>1</v>
      </c>
    </row>
    <row r="747" spans="5:7" ht="12.5" customHeight="1" x14ac:dyDescent="0.25">
      <c r="E747" s="90"/>
      <c r="F747" s="56" t="s">
        <v>9610</v>
      </c>
      <c r="G747" s="51">
        <v>1</v>
      </c>
    </row>
    <row r="748" spans="5:7" ht="12.5" customHeight="1" x14ac:dyDescent="0.25">
      <c r="E748" s="90"/>
      <c r="F748" s="56" t="s">
        <v>8998</v>
      </c>
      <c r="G748" s="51">
        <v>1</v>
      </c>
    </row>
    <row r="749" spans="5:7" ht="12.5" customHeight="1" x14ac:dyDescent="0.25">
      <c r="E749" s="90"/>
      <c r="F749" s="56" t="s">
        <v>5669</v>
      </c>
      <c r="G749" s="51">
        <v>1</v>
      </c>
    </row>
    <row r="750" spans="5:7" ht="12.5" customHeight="1" x14ac:dyDescent="0.25">
      <c r="E750" s="90"/>
      <c r="F750" s="56" t="s">
        <v>5485</v>
      </c>
      <c r="G750" s="51">
        <v>1</v>
      </c>
    </row>
    <row r="751" spans="5:7" ht="12.5" customHeight="1" x14ac:dyDescent="0.25">
      <c r="E751" s="90"/>
      <c r="F751" s="56" t="s">
        <v>8556</v>
      </c>
      <c r="G751" s="51">
        <v>1</v>
      </c>
    </row>
    <row r="752" spans="5:7" ht="12.5" customHeight="1" x14ac:dyDescent="0.25">
      <c r="E752" s="90"/>
      <c r="F752" s="56" t="s">
        <v>4969</v>
      </c>
      <c r="G752" s="51">
        <v>3</v>
      </c>
    </row>
    <row r="753" spans="5:7" ht="12.5" customHeight="1" x14ac:dyDescent="0.25">
      <c r="E753" s="90"/>
      <c r="F753" s="56" t="s">
        <v>5206</v>
      </c>
      <c r="G753" s="51">
        <v>1</v>
      </c>
    </row>
    <row r="754" spans="5:7" ht="12.5" customHeight="1" x14ac:dyDescent="0.25">
      <c r="E754" s="90"/>
      <c r="F754" s="56" t="s">
        <v>12740</v>
      </c>
      <c r="G754" s="51">
        <v>1</v>
      </c>
    </row>
    <row r="755" spans="5:7" ht="12.5" customHeight="1" x14ac:dyDescent="0.25">
      <c r="E755" s="90"/>
      <c r="F755" s="56" t="s">
        <v>5934</v>
      </c>
      <c r="G755" s="51">
        <v>1</v>
      </c>
    </row>
    <row r="756" spans="5:7" ht="12.5" customHeight="1" x14ac:dyDescent="0.25">
      <c r="E756" s="90"/>
      <c r="F756" s="56" t="s">
        <v>8458</v>
      </c>
      <c r="G756" s="51">
        <v>2</v>
      </c>
    </row>
    <row r="757" spans="5:7" ht="12.5" customHeight="1" x14ac:dyDescent="0.25">
      <c r="E757" s="90"/>
      <c r="F757" s="56" t="s">
        <v>9804</v>
      </c>
      <c r="G757" s="51">
        <v>1</v>
      </c>
    </row>
    <row r="758" spans="5:7" ht="12.5" customHeight="1" x14ac:dyDescent="0.25">
      <c r="E758" s="90"/>
      <c r="F758" s="56" t="s">
        <v>9155</v>
      </c>
      <c r="G758" s="51">
        <v>1</v>
      </c>
    </row>
    <row r="759" spans="5:7" ht="12.5" customHeight="1" x14ac:dyDescent="0.25">
      <c r="E759" s="90"/>
      <c r="F759" s="56" t="s">
        <v>2199</v>
      </c>
      <c r="G759" s="51">
        <v>2</v>
      </c>
    </row>
    <row r="760" spans="5:7" ht="12.5" customHeight="1" x14ac:dyDescent="0.25">
      <c r="E760" s="90"/>
      <c r="F760" s="56" t="s">
        <v>10887</v>
      </c>
      <c r="G760" s="51">
        <v>1</v>
      </c>
    </row>
    <row r="761" spans="5:7" ht="12.5" customHeight="1" x14ac:dyDescent="0.25">
      <c r="E761" s="90"/>
      <c r="F761" s="56" t="s">
        <v>10484</v>
      </c>
      <c r="G761" s="51">
        <v>2</v>
      </c>
    </row>
    <row r="762" spans="5:7" ht="12.5" customHeight="1" x14ac:dyDescent="0.25">
      <c r="E762" s="90"/>
      <c r="F762" s="56" t="s">
        <v>3883</v>
      </c>
      <c r="G762" s="51">
        <v>1</v>
      </c>
    </row>
    <row r="763" spans="5:7" ht="12.5" customHeight="1" x14ac:dyDescent="0.25">
      <c r="E763" s="90"/>
      <c r="F763" s="56" t="s">
        <v>9747</v>
      </c>
      <c r="G763" s="51">
        <v>1</v>
      </c>
    </row>
    <row r="764" spans="5:7" ht="12.5" customHeight="1" x14ac:dyDescent="0.25">
      <c r="E764" s="90"/>
      <c r="F764" s="56" t="s">
        <v>4443</v>
      </c>
      <c r="G764" s="51">
        <v>1</v>
      </c>
    </row>
    <row r="765" spans="5:7" ht="12.5" customHeight="1" x14ac:dyDescent="0.25">
      <c r="E765" s="90"/>
      <c r="F765" s="56" t="s">
        <v>9977</v>
      </c>
      <c r="G765" s="51">
        <v>2</v>
      </c>
    </row>
    <row r="766" spans="5:7" ht="12.5" customHeight="1" x14ac:dyDescent="0.25">
      <c r="E766" s="90"/>
      <c r="F766" s="56" t="s">
        <v>11660</v>
      </c>
      <c r="G766" s="51">
        <v>1</v>
      </c>
    </row>
    <row r="767" spans="5:7" ht="12.5" customHeight="1" x14ac:dyDescent="0.25">
      <c r="E767" s="90"/>
      <c r="F767" s="56" t="s">
        <v>5008</v>
      </c>
      <c r="G767" s="51">
        <v>2</v>
      </c>
    </row>
    <row r="768" spans="5:7" ht="12.5" customHeight="1" x14ac:dyDescent="0.25">
      <c r="E768" s="90"/>
      <c r="F768" s="56" t="s">
        <v>10123</v>
      </c>
      <c r="G768" s="51">
        <v>2</v>
      </c>
    </row>
    <row r="769" spans="5:7" ht="12.5" customHeight="1" x14ac:dyDescent="0.25">
      <c r="E769" s="90"/>
      <c r="F769" s="56" t="s">
        <v>10568</v>
      </c>
      <c r="G769" s="51">
        <v>1</v>
      </c>
    </row>
    <row r="770" spans="5:7" ht="12.5" customHeight="1" x14ac:dyDescent="0.25">
      <c r="E770" s="90"/>
      <c r="F770" s="56" t="s">
        <v>10928</v>
      </c>
      <c r="G770" s="51">
        <v>1</v>
      </c>
    </row>
    <row r="771" spans="5:7" ht="13" customHeight="1" thickBot="1" x14ac:dyDescent="0.3">
      <c r="E771" s="91"/>
      <c r="F771" s="57" t="s">
        <v>7146</v>
      </c>
      <c r="G771" s="54">
        <v>3</v>
      </c>
    </row>
    <row r="772" spans="5:7" ht="12.5" customHeight="1" x14ac:dyDescent="0.25">
      <c r="E772" s="89" t="s">
        <v>1326</v>
      </c>
      <c r="F772" s="58" t="s">
        <v>6347</v>
      </c>
      <c r="G772" s="59">
        <v>1</v>
      </c>
    </row>
    <row r="773" spans="5:7" ht="12.5" customHeight="1" x14ac:dyDescent="0.25">
      <c r="E773" s="90"/>
      <c r="F773" s="60" t="s">
        <v>6930</v>
      </c>
      <c r="G773" s="61">
        <v>1</v>
      </c>
    </row>
    <row r="774" spans="5:7" ht="12.5" customHeight="1" x14ac:dyDescent="0.25">
      <c r="E774" s="90"/>
      <c r="F774" s="60" t="s">
        <v>2398</v>
      </c>
      <c r="G774" s="61">
        <v>2</v>
      </c>
    </row>
    <row r="775" spans="5:7" ht="12.5" customHeight="1" x14ac:dyDescent="0.25">
      <c r="E775" s="90"/>
      <c r="F775" s="60" t="s">
        <v>6997</v>
      </c>
      <c r="G775" s="61">
        <v>1</v>
      </c>
    </row>
    <row r="776" spans="5:7" ht="12.5" customHeight="1" x14ac:dyDescent="0.25">
      <c r="E776" s="90"/>
      <c r="F776" s="60" t="s">
        <v>8688</v>
      </c>
      <c r="G776" s="61">
        <v>1</v>
      </c>
    </row>
    <row r="777" spans="5:7" ht="12.5" customHeight="1" x14ac:dyDescent="0.25">
      <c r="E777" s="90"/>
      <c r="F777" s="60" t="s">
        <v>6645</v>
      </c>
      <c r="G777" s="61">
        <v>3</v>
      </c>
    </row>
    <row r="778" spans="5:7" ht="12.5" customHeight="1" x14ac:dyDescent="0.25">
      <c r="E778" s="90"/>
      <c r="F778" s="60" t="s">
        <v>2969</v>
      </c>
      <c r="G778" s="61">
        <v>3</v>
      </c>
    </row>
    <row r="779" spans="5:7" ht="12.5" customHeight="1" x14ac:dyDescent="0.25">
      <c r="E779" s="90"/>
      <c r="F779" s="60" t="s">
        <v>12004</v>
      </c>
      <c r="G779" s="61">
        <v>1</v>
      </c>
    </row>
    <row r="780" spans="5:7" ht="12.5" customHeight="1" x14ac:dyDescent="0.25">
      <c r="E780" s="90"/>
      <c r="F780" s="60" t="s">
        <v>10503</v>
      </c>
      <c r="G780" s="61">
        <v>1</v>
      </c>
    </row>
    <row r="781" spans="5:7" ht="12.5" customHeight="1" x14ac:dyDescent="0.25">
      <c r="E781" s="90"/>
      <c r="F781" s="60" t="s">
        <v>9431</v>
      </c>
      <c r="G781" s="61">
        <v>1</v>
      </c>
    </row>
    <row r="782" spans="5:7" ht="12.5" customHeight="1" x14ac:dyDescent="0.25">
      <c r="E782" s="90"/>
      <c r="F782" s="60" t="s">
        <v>9961</v>
      </c>
      <c r="G782" s="61">
        <v>1</v>
      </c>
    </row>
    <row r="783" spans="5:7" ht="12.5" customHeight="1" x14ac:dyDescent="0.25">
      <c r="E783" s="90"/>
      <c r="F783" s="60" t="s">
        <v>7429</v>
      </c>
      <c r="G783" s="61">
        <v>1</v>
      </c>
    </row>
    <row r="784" spans="5:7" ht="12.5" customHeight="1" x14ac:dyDescent="0.25">
      <c r="E784" s="90"/>
      <c r="F784" s="60" t="s">
        <v>4988</v>
      </c>
      <c r="G784" s="61">
        <v>1</v>
      </c>
    </row>
    <row r="785" spans="5:7" ht="12.5" customHeight="1" x14ac:dyDescent="0.25">
      <c r="E785" s="90"/>
      <c r="F785" s="60" t="s">
        <v>6447</v>
      </c>
      <c r="G785" s="61">
        <v>2</v>
      </c>
    </row>
    <row r="786" spans="5:7" ht="12.5" customHeight="1" x14ac:dyDescent="0.25">
      <c r="E786" s="90"/>
      <c r="F786" s="60" t="s">
        <v>8354</v>
      </c>
      <c r="G786" s="61">
        <v>1</v>
      </c>
    </row>
    <row r="787" spans="5:7" ht="12.5" customHeight="1" x14ac:dyDescent="0.25">
      <c r="E787" s="90"/>
      <c r="F787" s="60" t="s">
        <v>5610</v>
      </c>
      <c r="G787" s="61">
        <v>1</v>
      </c>
    </row>
    <row r="788" spans="5:7" ht="12.5" customHeight="1" x14ac:dyDescent="0.25">
      <c r="E788" s="90"/>
      <c r="F788" s="60" t="s">
        <v>11444</v>
      </c>
      <c r="G788" s="61">
        <v>1</v>
      </c>
    </row>
    <row r="789" spans="5:7" ht="12.5" customHeight="1" x14ac:dyDescent="0.25">
      <c r="E789" s="90"/>
      <c r="F789" s="60" t="s">
        <v>1483</v>
      </c>
      <c r="G789" s="61">
        <v>1</v>
      </c>
    </row>
    <row r="790" spans="5:7" ht="12.5" customHeight="1" x14ac:dyDescent="0.25">
      <c r="E790" s="90"/>
      <c r="F790" s="60" t="s">
        <v>2307</v>
      </c>
      <c r="G790" s="61">
        <v>1</v>
      </c>
    </row>
    <row r="791" spans="5:7" ht="12.5" customHeight="1" x14ac:dyDescent="0.25">
      <c r="E791" s="90"/>
      <c r="F791" s="60" t="s">
        <v>12191</v>
      </c>
      <c r="G791" s="61">
        <v>1</v>
      </c>
    </row>
    <row r="792" spans="5:7" ht="12.5" customHeight="1" x14ac:dyDescent="0.25">
      <c r="E792" s="90"/>
      <c r="F792" s="60" t="s">
        <v>9481</v>
      </c>
      <c r="G792" s="61">
        <v>1</v>
      </c>
    </row>
    <row r="793" spans="5:7" ht="12.5" customHeight="1" x14ac:dyDescent="0.25">
      <c r="E793" s="90"/>
      <c r="F793" s="60" t="s">
        <v>10968</v>
      </c>
      <c r="G793" s="61">
        <v>1</v>
      </c>
    </row>
    <row r="794" spans="5:7" ht="12.5" customHeight="1" x14ac:dyDescent="0.25">
      <c r="E794" s="90"/>
      <c r="F794" s="60" t="s">
        <v>1736</v>
      </c>
      <c r="G794" s="61">
        <v>1</v>
      </c>
    </row>
    <row r="795" spans="5:7" ht="12.5" customHeight="1" x14ac:dyDescent="0.25">
      <c r="E795" s="90"/>
      <c r="F795" s="60" t="s">
        <v>1308</v>
      </c>
      <c r="G795" s="61">
        <v>2</v>
      </c>
    </row>
    <row r="796" spans="5:7" ht="12.5" customHeight="1" x14ac:dyDescent="0.25">
      <c r="E796" s="90"/>
      <c r="F796" s="60" t="s">
        <v>10623</v>
      </c>
      <c r="G796" s="61">
        <v>2</v>
      </c>
    </row>
    <row r="797" spans="5:7" ht="12.5" customHeight="1" x14ac:dyDescent="0.25">
      <c r="E797" s="90"/>
      <c r="F797" s="60" t="s">
        <v>4504</v>
      </c>
      <c r="G797" s="61">
        <v>1</v>
      </c>
    </row>
    <row r="798" spans="5:7" ht="12.5" customHeight="1" x14ac:dyDescent="0.25">
      <c r="E798" s="90"/>
      <c r="F798" s="60" t="s">
        <v>7489</v>
      </c>
      <c r="G798" s="61">
        <v>2</v>
      </c>
    </row>
    <row r="799" spans="5:7" ht="12.5" customHeight="1" x14ac:dyDescent="0.25">
      <c r="E799" s="90"/>
      <c r="F799" s="60" t="s">
        <v>6897</v>
      </c>
      <c r="G799" s="61">
        <v>1</v>
      </c>
    </row>
    <row r="800" spans="5:7" ht="12.5" customHeight="1" x14ac:dyDescent="0.25">
      <c r="E800" s="90"/>
      <c r="F800" s="60" t="s">
        <v>7312</v>
      </c>
      <c r="G800" s="61">
        <v>1</v>
      </c>
    </row>
    <row r="801" spans="5:7" ht="12.5" customHeight="1" x14ac:dyDescent="0.25">
      <c r="E801" s="90"/>
      <c r="F801" s="60" t="s">
        <v>3339</v>
      </c>
      <c r="G801" s="61">
        <v>1</v>
      </c>
    </row>
    <row r="802" spans="5:7" ht="12.5" customHeight="1" x14ac:dyDescent="0.25">
      <c r="E802" s="90"/>
      <c r="F802" s="60" t="s">
        <v>7015</v>
      </c>
      <c r="G802" s="61">
        <v>1</v>
      </c>
    </row>
    <row r="803" spans="5:7" ht="12.5" customHeight="1" x14ac:dyDescent="0.25">
      <c r="E803" s="90"/>
      <c r="F803" s="60" t="s">
        <v>7601</v>
      </c>
      <c r="G803" s="61">
        <v>1</v>
      </c>
    </row>
    <row r="804" spans="5:7" ht="12.5" customHeight="1" x14ac:dyDescent="0.25">
      <c r="E804" s="90"/>
      <c r="F804" s="60" t="s">
        <v>7087</v>
      </c>
      <c r="G804" s="61">
        <v>2</v>
      </c>
    </row>
    <row r="805" spans="5:7" ht="12.5" customHeight="1" x14ac:dyDescent="0.25">
      <c r="E805" s="90"/>
      <c r="F805" s="60" t="s">
        <v>9384</v>
      </c>
      <c r="G805" s="61">
        <v>1</v>
      </c>
    </row>
    <row r="806" spans="5:7" ht="13" customHeight="1" thickBot="1" x14ac:dyDescent="0.3">
      <c r="E806" s="91"/>
      <c r="F806" s="62" t="s">
        <v>10355</v>
      </c>
      <c r="G806" s="63">
        <v>1</v>
      </c>
    </row>
    <row r="807" spans="5:7" ht="65.5" thickBot="1" x14ac:dyDescent="0.35">
      <c r="E807" s="64" t="s">
        <v>210</v>
      </c>
      <c r="F807" s="65" t="s">
        <v>191</v>
      </c>
      <c r="G807" s="66">
        <v>23</v>
      </c>
    </row>
    <row r="808" spans="5:7" ht="12.5" customHeight="1" x14ac:dyDescent="0.25">
      <c r="E808" s="98" t="s">
        <v>3050</v>
      </c>
      <c r="F808" s="67" t="s">
        <v>10144</v>
      </c>
      <c r="G808" s="49">
        <v>2</v>
      </c>
    </row>
    <row r="809" spans="5:7" ht="12.5" customHeight="1" x14ac:dyDescent="0.25">
      <c r="E809" s="99"/>
      <c r="F809" s="68" t="s">
        <v>4465</v>
      </c>
      <c r="G809" s="51">
        <v>1</v>
      </c>
    </row>
    <row r="810" spans="5:7" ht="12.5" customHeight="1" x14ac:dyDescent="0.25">
      <c r="E810" s="99"/>
      <c r="F810" s="68" t="s">
        <v>3029</v>
      </c>
      <c r="G810" s="51">
        <v>3</v>
      </c>
    </row>
    <row r="811" spans="5:7" ht="12.5" customHeight="1" x14ac:dyDescent="0.25">
      <c r="E811" s="99"/>
      <c r="F811" s="68" t="s">
        <v>8090</v>
      </c>
      <c r="G811" s="51">
        <v>1</v>
      </c>
    </row>
    <row r="812" spans="5:7" ht="12.5" customHeight="1" x14ac:dyDescent="0.25">
      <c r="E812" s="99"/>
      <c r="F812" s="68" t="s">
        <v>12668</v>
      </c>
      <c r="G812" s="51">
        <v>1</v>
      </c>
    </row>
    <row r="813" spans="5:7" ht="12.5" customHeight="1" x14ac:dyDescent="0.25">
      <c r="E813" s="99"/>
      <c r="F813" s="68" t="s">
        <v>10710</v>
      </c>
      <c r="G813" s="51">
        <v>1</v>
      </c>
    </row>
    <row r="814" spans="5:7" ht="12.5" customHeight="1" x14ac:dyDescent="0.25">
      <c r="E814" s="99"/>
      <c r="F814" s="68" t="s">
        <v>9548</v>
      </c>
      <c r="G814" s="51">
        <v>2</v>
      </c>
    </row>
    <row r="815" spans="5:7" ht="12.5" customHeight="1" x14ac:dyDescent="0.25">
      <c r="E815" s="99"/>
      <c r="F815" s="68" t="s">
        <v>10723</v>
      </c>
      <c r="G815" s="51">
        <v>1</v>
      </c>
    </row>
    <row r="816" spans="5:7" ht="12.5" customHeight="1" x14ac:dyDescent="0.25">
      <c r="E816" s="99"/>
      <c r="F816" s="68" t="s">
        <v>9256</v>
      </c>
      <c r="G816" s="51">
        <v>2</v>
      </c>
    </row>
    <row r="817" spans="5:7" ht="12.5" customHeight="1" x14ac:dyDescent="0.25">
      <c r="E817" s="99"/>
      <c r="F817" s="68" t="s">
        <v>4541</v>
      </c>
      <c r="G817" s="51">
        <v>3</v>
      </c>
    </row>
    <row r="818" spans="5:7" ht="12.5" customHeight="1" x14ac:dyDescent="0.25">
      <c r="E818" s="99"/>
      <c r="F818" s="68" t="s">
        <v>10310</v>
      </c>
      <c r="G818" s="51">
        <v>1</v>
      </c>
    </row>
    <row r="819" spans="5:7" ht="12.5" customHeight="1" x14ac:dyDescent="0.25">
      <c r="E819" s="99"/>
      <c r="F819" s="68" t="s">
        <v>11225</v>
      </c>
      <c r="G819" s="51">
        <v>1</v>
      </c>
    </row>
    <row r="820" spans="5:7" ht="12.5" customHeight="1" x14ac:dyDescent="0.25">
      <c r="E820" s="99"/>
      <c r="F820" s="68" t="s">
        <v>12230</v>
      </c>
      <c r="G820" s="51">
        <v>1</v>
      </c>
    </row>
    <row r="821" spans="5:7" ht="12.5" customHeight="1" x14ac:dyDescent="0.25">
      <c r="E821" s="99"/>
      <c r="F821" s="68" t="s">
        <v>12803</v>
      </c>
      <c r="G821" s="51">
        <v>1</v>
      </c>
    </row>
    <row r="822" spans="5:7" ht="12.5" customHeight="1" x14ac:dyDescent="0.25">
      <c r="E822" s="99"/>
      <c r="F822" s="68" t="s">
        <v>11101</v>
      </c>
      <c r="G822" s="51">
        <v>1</v>
      </c>
    </row>
    <row r="823" spans="5:7" ht="12.5" customHeight="1" x14ac:dyDescent="0.25">
      <c r="E823" s="99"/>
      <c r="F823" s="68" t="s">
        <v>11936</v>
      </c>
      <c r="G823" s="51">
        <v>1</v>
      </c>
    </row>
    <row r="824" spans="5:7" ht="12.5" customHeight="1" x14ac:dyDescent="0.25">
      <c r="E824" s="99"/>
      <c r="F824" s="68" t="s">
        <v>4195</v>
      </c>
      <c r="G824" s="51">
        <v>2</v>
      </c>
    </row>
    <row r="825" spans="5:7" ht="12.5" customHeight="1" x14ac:dyDescent="0.25">
      <c r="E825" s="99"/>
      <c r="F825" s="68" t="s">
        <v>11988</v>
      </c>
      <c r="G825" s="51">
        <v>2</v>
      </c>
    </row>
    <row r="826" spans="5:7" ht="12.5" customHeight="1" x14ac:dyDescent="0.25">
      <c r="E826" s="99"/>
      <c r="F826" s="68" t="s">
        <v>9057</v>
      </c>
      <c r="G826" s="51">
        <v>1</v>
      </c>
    </row>
    <row r="827" spans="5:7" ht="12.5" customHeight="1" x14ac:dyDescent="0.25">
      <c r="E827" s="99"/>
      <c r="F827" s="68" t="s">
        <v>9769</v>
      </c>
      <c r="G827" s="51">
        <v>2</v>
      </c>
    </row>
    <row r="828" spans="5:7" ht="13" customHeight="1" thickBot="1" x14ac:dyDescent="0.3">
      <c r="E828" s="97"/>
      <c r="F828" s="69" t="s">
        <v>11842</v>
      </c>
      <c r="G828" s="54">
        <v>1</v>
      </c>
    </row>
    <row r="829" spans="5:7" ht="12.5" customHeight="1" x14ac:dyDescent="0.25">
      <c r="E829" s="89" t="s">
        <v>315</v>
      </c>
      <c r="F829" s="55" t="s">
        <v>7223</v>
      </c>
      <c r="G829" s="49">
        <v>1</v>
      </c>
    </row>
    <row r="830" spans="5:7" ht="12.5" customHeight="1" x14ac:dyDescent="0.25">
      <c r="E830" s="90"/>
      <c r="F830" s="56" t="s">
        <v>1888</v>
      </c>
      <c r="G830" s="51">
        <v>1</v>
      </c>
    </row>
    <row r="831" spans="5:7" ht="12.5" customHeight="1" x14ac:dyDescent="0.25">
      <c r="E831" s="90"/>
      <c r="F831" s="56" t="s">
        <v>3664</v>
      </c>
      <c r="G831" s="51">
        <v>1</v>
      </c>
    </row>
    <row r="832" spans="5:7" ht="12.5" customHeight="1" x14ac:dyDescent="0.25">
      <c r="E832" s="90"/>
      <c r="F832" s="56" t="s">
        <v>6329</v>
      </c>
      <c r="G832" s="51">
        <v>1</v>
      </c>
    </row>
    <row r="833" spans="5:7" ht="12.5" customHeight="1" x14ac:dyDescent="0.25">
      <c r="E833" s="90"/>
      <c r="F833" s="56" t="s">
        <v>12606</v>
      </c>
      <c r="G833" s="51">
        <v>1</v>
      </c>
    </row>
    <row r="834" spans="5:7" ht="12.5" customHeight="1" x14ac:dyDescent="0.25">
      <c r="E834" s="90"/>
      <c r="F834" s="56" t="s">
        <v>3446</v>
      </c>
      <c r="G834" s="51">
        <v>1</v>
      </c>
    </row>
    <row r="835" spans="5:7" ht="12.5" customHeight="1" x14ac:dyDescent="0.25">
      <c r="E835" s="90"/>
      <c r="F835" s="56" t="s">
        <v>10373</v>
      </c>
      <c r="G835" s="51">
        <v>1</v>
      </c>
    </row>
    <row r="836" spans="5:7" ht="12.5" customHeight="1" x14ac:dyDescent="0.25">
      <c r="E836" s="90"/>
      <c r="F836" s="56" t="s">
        <v>1911</v>
      </c>
      <c r="G836" s="52">
        <v>5</v>
      </c>
    </row>
    <row r="837" spans="5:7" ht="12.5" customHeight="1" x14ac:dyDescent="0.25">
      <c r="E837" s="90"/>
      <c r="F837" s="56" t="s">
        <v>10015</v>
      </c>
      <c r="G837" s="51">
        <v>1</v>
      </c>
    </row>
    <row r="838" spans="5:7" ht="12.5" customHeight="1" x14ac:dyDescent="0.25">
      <c r="E838" s="90"/>
      <c r="F838" s="56" t="s">
        <v>4115</v>
      </c>
      <c r="G838" s="51">
        <v>1</v>
      </c>
    </row>
    <row r="839" spans="5:7" ht="12.5" customHeight="1" x14ac:dyDescent="0.25">
      <c r="E839" s="90"/>
      <c r="F839" s="56" t="s">
        <v>6530</v>
      </c>
      <c r="G839" s="51">
        <v>1</v>
      </c>
    </row>
    <row r="840" spans="5:7" ht="12.5" customHeight="1" x14ac:dyDescent="0.25">
      <c r="E840" s="90"/>
      <c r="F840" s="56" t="s">
        <v>6389</v>
      </c>
      <c r="G840" s="51">
        <v>1</v>
      </c>
    </row>
    <row r="841" spans="5:7" ht="12.5" customHeight="1" x14ac:dyDescent="0.25">
      <c r="E841" s="90"/>
      <c r="F841" s="56" t="s">
        <v>2244</v>
      </c>
      <c r="G841" s="51">
        <v>2</v>
      </c>
    </row>
    <row r="842" spans="5:7" ht="12.5" customHeight="1" x14ac:dyDescent="0.25">
      <c r="E842" s="90"/>
      <c r="F842" s="56" t="s">
        <v>4565</v>
      </c>
      <c r="G842" s="51">
        <v>1</v>
      </c>
    </row>
    <row r="843" spans="5:7" ht="12.5" customHeight="1" x14ac:dyDescent="0.25">
      <c r="E843" s="90"/>
      <c r="F843" s="56" t="s">
        <v>4022</v>
      </c>
      <c r="G843" s="51">
        <v>3</v>
      </c>
    </row>
    <row r="844" spans="5:7" ht="12.5" customHeight="1" x14ac:dyDescent="0.25">
      <c r="E844" s="90"/>
      <c r="F844" s="56" t="s">
        <v>1609</v>
      </c>
      <c r="G844" s="51">
        <v>3</v>
      </c>
    </row>
    <row r="845" spans="5:7" ht="12.5" customHeight="1" x14ac:dyDescent="0.25">
      <c r="E845" s="90"/>
      <c r="F845" s="56" t="s">
        <v>298</v>
      </c>
      <c r="G845" s="51">
        <v>1</v>
      </c>
    </row>
    <row r="846" spans="5:7" ht="12.5" customHeight="1" x14ac:dyDescent="0.25">
      <c r="E846" s="90"/>
      <c r="F846" s="56" t="s">
        <v>1145</v>
      </c>
      <c r="G846" s="51">
        <v>2</v>
      </c>
    </row>
    <row r="847" spans="5:7" ht="12.5" customHeight="1" x14ac:dyDescent="0.25">
      <c r="E847" s="90"/>
      <c r="F847" s="56" t="s">
        <v>1544</v>
      </c>
      <c r="G847" s="51">
        <v>1</v>
      </c>
    </row>
    <row r="848" spans="5:7" ht="12.5" customHeight="1" x14ac:dyDescent="0.25">
      <c r="E848" s="90"/>
      <c r="F848" s="56" t="s">
        <v>7331</v>
      </c>
      <c r="G848" s="51">
        <v>1</v>
      </c>
    </row>
    <row r="849" spans="5:7" ht="12.5" customHeight="1" x14ac:dyDescent="0.25">
      <c r="E849" s="90"/>
      <c r="F849" s="56" t="s">
        <v>2270</v>
      </c>
      <c r="G849" s="51">
        <v>2</v>
      </c>
    </row>
    <row r="850" spans="5:7" ht="12.5" customHeight="1" x14ac:dyDescent="0.25">
      <c r="E850" s="90"/>
      <c r="F850" s="56" t="s">
        <v>9726</v>
      </c>
      <c r="G850" s="51">
        <v>1</v>
      </c>
    </row>
    <row r="851" spans="5:7" ht="12.5" customHeight="1" x14ac:dyDescent="0.25">
      <c r="E851" s="90"/>
      <c r="F851" s="56" t="s">
        <v>8111</v>
      </c>
      <c r="G851" s="51">
        <v>3</v>
      </c>
    </row>
    <row r="852" spans="5:7" ht="12.5" customHeight="1" x14ac:dyDescent="0.25">
      <c r="E852" s="90"/>
      <c r="F852" s="56" t="s">
        <v>5629</v>
      </c>
      <c r="G852" s="51">
        <v>1</v>
      </c>
    </row>
    <row r="853" spans="5:7" ht="12.5" customHeight="1" x14ac:dyDescent="0.25">
      <c r="E853" s="90"/>
      <c r="F853" s="56" t="s">
        <v>3073</v>
      </c>
      <c r="G853" s="51">
        <v>1</v>
      </c>
    </row>
    <row r="854" spans="5:7" ht="12.5" customHeight="1" x14ac:dyDescent="0.25">
      <c r="E854" s="90"/>
      <c r="F854" s="56" t="s">
        <v>10162</v>
      </c>
      <c r="G854" s="51">
        <v>1</v>
      </c>
    </row>
    <row r="855" spans="5:7" ht="13" customHeight="1" thickBot="1" x14ac:dyDescent="0.3">
      <c r="E855" s="91"/>
      <c r="F855" s="57" t="s">
        <v>8600</v>
      </c>
      <c r="G855" s="54">
        <v>1</v>
      </c>
    </row>
  </sheetData>
  <mergeCells count="13">
    <mergeCell ref="R1:R2"/>
    <mergeCell ref="L1:L2"/>
    <mergeCell ref="M1:M2"/>
    <mergeCell ref="N1:N2"/>
    <mergeCell ref="O1:O2"/>
    <mergeCell ref="P1:P2"/>
    <mergeCell ref="Q1:Q2"/>
    <mergeCell ref="E829:E855"/>
    <mergeCell ref="E701:E723"/>
    <mergeCell ref="E724:E741"/>
    <mergeCell ref="E742:E771"/>
    <mergeCell ref="E772:E806"/>
    <mergeCell ref="E808:E8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74"/>
  <sheetViews>
    <sheetView tabSelected="1" topLeftCell="A4" zoomScale="62" zoomScaleNormal="400" workbookViewId="0">
      <selection activeCell="G34" sqref="G34"/>
    </sheetView>
  </sheetViews>
  <sheetFormatPr baseColWidth="10" defaultColWidth="8.7265625" defaultRowHeight="12.5" x14ac:dyDescent="0.25"/>
  <cols>
    <col min="1" max="1" width="22" bestFit="1" customWidth="1"/>
  </cols>
  <sheetData>
    <row r="1" spans="1:6" x14ac:dyDescent="0.25">
      <c r="A1" t="s">
        <v>12435</v>
      </c>
      <c r="B1" t="s">
        <v>12940</v>
      </c>
      <c r="D1" t="str">
        <f>_xlfn.CONCAT(A1:B674)</f>
        <v>WOS:000285383200006 OR WOS:000329754600009 OR WOS:000499922800012 OR WOS:000579529600028 OR WOS:000525321800016 OR WOS:000409101300005 OR WOS:000262030400012 OR WOS:000430518300004 OR WOS:000450369800001 OR WOS:000434026200008 OR WOS:000463302600003 OR WOS:000329754600011 OR WOS:000547612800001 OR WOS:000527393100011 OR WOS:000427902200001 OR WOS:000391015200003 OR WOS:000443003600020 OR WOS:000503426500002 OR WOS:000398033600003 OR WOS:000621451400001 OR WOS:000794305800001 OR WOS:000382286800001 OR WOS:000799198500009 OR WOS:000379762300006 OR WOS:000503324600011 OR WOS:000483414000084 OR WOS:000298165600001 OR WOS:000490465000006 OR WOS:000532604200001 OR WOS:000605608800052 OR WOS:000343584800004 OR WOS:000511429500001 OR WOS:000495345700007 OR WOS:000433898900005 OR WOS:000511392100001 OR WOS:000296302800031 OR WOS:000389869600001 OR WOS:000681245200014 OR WOS:000424578800007 OR WOS:000791289200008 OR WOS:000629423000001 OR WOS:000358051200003 OR WOS:A1995RE97000004 OR WOS:000888846500001 OR WOS:000396827700009 OR WOS:000697394700001 OR WOS:000470286400006 OR WOS:000381439200003 OR WOS:000514221500001 OR WOS:000492996000068 OR WOS:000461926700001 OR WOS:000615625200001 OR WOS:000321464300010 OR WOS:000522233700001 OR WOS:000344995400008 OR WOS:000433014800004 OR WOS:000431178300006 OR WOS:000293832600026 OR WOS:000550153800021 OR WOS:000460458100005 OR WOS:000346823000002 OR WOS:000620168400008 OR WOS:000428964500001 OR WOS:000180333500009 OR WOS:000802601300002 OR WOS:000711948900002 OR WOS:000675728900001 OR WOS:000570387200001 OR WOS:000546076100001 OR WOS:000496860100001 OR WOS:000742775400016 OR WOS:000706477200009 OR WOS:000705493100004 OR WOS:000369874500005 OR WOS:000409703200005 OR WOS:000437441200004 OR WOS:000281941800013 OR WOS:000489792800003 OR WOS:000464985500007 OR WOS:000458695800009 OR WOS:000707584600002 OR WOS:000507397300001 OR WOS:000413649100021 OR WOS:000506329200006 OR WOS:000497446800006 OR WOS:000735449200001 OR WOS:000603421000001 OR WOS:000494903000001 OR WOS:000383390200004 OR WOS:000838907100011 OR WOS:000659845500001 OR WOS:000487036200009 OR WOS:000435505500001 OR WOS:000417379200003 OR WOS:000597406700008 OR WOS:000526902200001 OR WOS:000467547400001 OR WOS:000430105100004 OR WOS:000299221300019 OR WOS:000793116100001 OR WOS:000778515400001 OR WOS:000640580200001 OR WOS:000464985500004 OR WOS:000436284200007 OR WOS:000403920100004 OR WOS:000407688700003 OR WOS:000966229300001 OR WOS:000837844200003 OR WOS:000663140300001 OR WOS:000770688600001 OR WOS:000536451200003 OR WOS:000546087300001 OR WOS:000501095100001 OR WOS:000476871600006 OR WOS:000455220200001 OR WOS:000437533900005 OR WOS:000416122000002 OR WOS:000748655300001 OR WOS:000750226100001 OR WOS:000686398500001 OR WOS:000696790200004 OR WOS:000660009100002 OR WOS:000626820200001 OR WOS:000329135100022 OR WOS:000322929300021 OR WOS:000409701800003 OR WOS:000751085600001 OR WOS:000692505100003 OR WOS:000622556300001 OR WOS:000536436600014 OR WOS:000448224100005 OR WOS:000443460300022 OR WOS:000437435200002 OR WOS:000644497600020 OR WOS:000519135105002 OR WOS:000506236000005 OR WOS:000354277800005 OR WOS:000338822900011 OR WOS:000436010000003 OR WOS:000900054200001 OR WOS:000756024500001 OR WOS:000719370700002 OR WOS:000694471200001 OR WOS:000591504700004 OR WOS:000602684700006 OR WOS:000438480500002 OR WOS:000428659700004 OR WOS:000426785000001 OR WOS:000283640400001 OR WOS:000448336500002 OR WOS:000722706200004 OR WOS:000651880300001 OR WOS:000646325900001 OR WOS:000564547600007 OR WOS:000430192200012 OR WOS:000359698500002 OR WOS:000325305900003 OR WOS:000865512800035 OR WOS:000732678400001 OR WOS:000327001400010 OR WOS:000906531700003 OR WOS:000680740800001 OR WOS:000686474100001 OR WOS:000738510300001 OR WOS:000404844900003 OR WOS:000413154900002 OR WOS:000325822900017 OR WOS:000208874100003 OR WOS:000873527800001 OR WOS:000740319900002 OR WOS:000696595900001 OR WOS:000699530300001 OR WOS:000639710300001 OR WOS:000630910500004 OR WOS:000627100200001 OR WOS:000542965300004 OR WOS:000535316400025 OR WOS:000509764900019 OR WOS:000558680500004 OR WOS:000415351600001 OR WOS:000385474200012 OR WOS:000259048400004 OR WOS:000247843900003 OR WOS:000905154500001 OR WOS:000900342400001 OR WOS:000836281300001 OR WOS:000848605600004 OR WOS:000663118500001 OR WOS:000532587300005 OR WOS:000533889600029 OR WOS:000525770900008 OR WOS:000463608100008 OR WOS:000484819400006 OR WOS:000446560700001 OR WOS:000449823600001 OR WOS:000391437000004 OR WOS:000343233500003 OR WOS:000379776700005 OR WOS:000347994200011 OR WOS:000363526500010 OR WOS:000347994200010 OR WOS:000372917200006 OR WOS:000863209400005 OR WOS:000800518200001 OR WOS:000796257700010 OR WOS:000793338200001 OR WOS:000803320500001 OR WOS:000723010600001 OR WOS:000721112900004 OR WOS:000750851200076 OR WOS:000750345500017 OR WOS:000699218500001 OR WOS:000670396600001 OR WOS:000611636700001 OR WOS:000642306200001 OR WOS:000598233900001 OR WOS:000484391200044 OR WOS:000469498300008 OR WOS:000461557100008 OR WOS:000460387200001 OR WOS:000442235500010 OR WOS:000418142900006 OR WOS:000419717800008 OR WOS:000417175400009 OR WOS:000210360600012 OR WOS:000873494300001 OR WOS:000808897100001 OR WOS:000802415300001 OR WOS:000780937900001 OR WOS:000759655500001 OR WOS:000814535000001 OR WOS:000710036400001 OR WOS:000669598200001 OR WOS:000646830900001 OR WOS:000667730000001 OR WOS:000675335100005 OR WOS:000565999400001 OR WOS:000461645400001 OR WOS:000473144200015 OR WOS:000453695600005 OR WOS:000415048600005 OR WOS:000424584200004 OR WOS:000413820800007 OR WOS:000210836700005 OR WOS:000409741900002 OR WOS:000174357300013 OR WOS:000090116100009 OR WOS:000988138700001 OR WOS:001015848200001 OR WOS:000960688500001 OR WOS:000882132400001 OR WOS:000863599900001 OR WOS:000843141000001 OR WOS:000848691400001 OR WOS:000797442100003 OR WOS:001027264700001 OR WOS:000656931900006 OR WOS:000748389200012 OR WOS:000725287500010 OR WOS:000773615100036 OR WOS:000656229300013 OR WOS:000753848000018 OR WOS:000598503500008 OR WOS:000535448500001 OR WOS:000514015200023 OR WOS:000483812900001 OR WOS:000472758300005 OR WOS:000569532000011 OR WOS:000490251500055 OR WOS:000418001500004 OR WOS:000417308900008 OR WOS:000343338800033 OR WOS:000212701800007 OR WOS:000943788300001 OR WOS:000937852500001 OR WOS:000865342400001 OR WOS:000867262000001 OR WOS:000852342500013 OR WOS:000890397700001 OR WOS:000844955300001 OR WOS:000828200900002 OR WOS:000749915700004 OR WOS:000741378600001 OR WOS:000838651500004 OR WOS:000675891000025 OR WOS:000665659700001 OR WOS:000658314900001 OR WOS:000672677100002 OR WOS:000651362200001 OR WOS:000780483300002 OR WOS:000637323400065 OR WOS:000628917400001 OR WOS:000611710900001 OR WOS:000609438900001 OR WOS:000596816000001 OR WOS:000581935000020 OR WOS:000578438100031 OR WOS:000513524100001 OR WOS:000504932100007 OR WOS:000461191900003 OR WOS:000503372300008 OR WOS:000454902600008 OR WOS:000457220600005 OR WOS:000406907300006 OR WOS:000350965300014 OR WOS:000213442500007 OR WOS:000247570500004 OR WOS:000246892000068 OR WOS:000241838700005 OR WOS:A1991FL73200238 OR WOS:000955110100001 OR WOS:000909928200001 OR WOS:000919042800001 OR WOS:000914677400001 OR WOS:000902960000001 OR WOS:000913180200002 OR WOS:000887695400001 OR WOS:000881846600004 OR WOS:000849427700001 OR WOS:000856165100001 OR WOS:000858213600001 OR WOS:000850147000001 OR WOS:000838967000001 OR WOS:000796257700007 OR WOS:000803715500001 OR WOS:000803373100001 OR WOS:000804163100015 OR WOS:000786521800001 OR WOS:000786938000001 OR WOS:000756065300001 OR WOS:000892035000001 OR WOS:000788987300001 OR WOS:000836414000014 OR WOS:000886192900001 OR WOS:000753404200001 OR WOS:000737627800001 OR WOS:000716511200001 OR WOS:000685837400001 OR WOS:000751371200003 OR WOS:000684090700001 OR WOS:000637705700001 OR WOS:000647515900001 OR WOS:000636471400008 OR WOS:000613165800001 OR WOS:000678715200001 OR WOS:000668658800006 OR WOS:000669866800010 OR WOS:000574279000006 OR WOS:000603589000001 OR WOS:000534511100005 OR WOS:000539041000001 OR WOS:000571148100001 OR WOS:000537971600005 OR WOS:000621639500002 OR WOS:000505237400001 OR WOS:000688300900007 OR WOS:000468084700001 OR WOS:000486078600024 OR WOS:000477812800003 OR WOS:000473144200013 OR WOS:000468549900010 OR WOS:000445155400002 OR WOS:000444547800006 OR WOS:000403413700110 OR WOS:000404154600007 OR WOS:000427176100008 OR WOS:000387079500011 OR WOS:000393583300013 OR WOS:000375960500006 OR WOS:000410376500004 OR WOS:000374870700004 OR WOS:000469777800020 OR WOS:000363796300011 OR WOS:000326251100004 OR WOS:000278535900010 OR WOS:000267877500016 OR WOS:000269478900002 OR WOS:000260442900009 OR WOS:000168469700012 OR WOS:001045747500001 OR WOS:001027659400001 OR WOS:001031861600001 OR WOS:001004384200001 OR WOS:001012928700001 OR WOS:000989176900001 OR WOS:000979815600001 OR WOS:000968128200001 OR WOS:000966637800001 OR WOS:000957037500001 OR WOS:000955918500001 OR WOS:000954592100001 OR WOS:000968604400001 OR WOS:000939818500001 OR WOS:000925587300002 OR WOS:000939037200001 OR WOS:001005815900001 OR WOS:001042680500008 OR WOS:000842370200001 OR WOS:000899226200001 OR WOS:000897847600001 OR WOS:000948679800010 OR WOS:000895823100006 OR WOS:000897909700002 OR WOS:000917668300005 OR WOS:000869789100001 OR WOS:000873375900001 OR WOS:000871496100001 OR WOS:000891411200001 OR WOS:000850816900003 OR WOS:000929053500004 OR WOS:000852177800001 OR WOS:001006612900001 OR WOS:000848604400002 OR WOS:000848604700001 OR WOS:000811019600001 OR WOS:000854080300016 OR WOS:000790136000001 OR WOS:000761017800008 OR WOS:000797875600004 OR WOS:000767649100001 OR WOS:000820252100006 OR WOS:001079739800002 OR WOS:000748501500002 OR WOS:000700037800001 OR WOS:000728112300006 OR WOS:000706829300013 OR WOS:000673014800001 OR WOS:000690456000038 OR WOS:000898268600004 OR WOS:000645176800001 OR WOS:000625361900025 OR WOS:000614413700002 OR WOS:000609636000009 OR WOS:000707502900005 OR WOS:000652354900005 OR WOS:000670430900006 OR WOS:000544324900015 OR WOS:000544927600014 OR WOS:000577136000001 OR WOS:000496582700003 OR WOS:000481740200010 OR WOS:000462912100009 OR WOS:000606978100005 OR WOS:000513890800009 OR WOS:000442375300008 OR WOS:000446591800010 OR WOS:000435558000001 OR WOS:000411797600013 OR WOS:000404288800003 OR WOS:000437730000011 OR WOS:000440134800003 OR WOS:000407594600008 OR WOS:000388440900006 OR WOS:000369078300001 OR WOS:000378142900007 OR WOS:000388576900012 OR WOS:000454015100012 OR WOS:000337787700026 OR WOS:000340103000020 OR WOS:000448354600002 OR WOS:000321155600007 OR WOS:000398771300018 OR WOS:000318760900001 OR WOS:000281964400026 OR WOS:000409716500003 OR WOS:000243832300026 OR WOS:000213048700007 OR WOS:001087097800001 OR WOS:001087960200001 OR WOS:001086060300001 OR WOS:001090408300001 OR WOS:001085854500001 OR WOS:001049479700001 OR WOS:001074928700001 OR WOS:001086006300001 OR WOS:001071980700001 OR WOS:001081454800001 OR WOS:001072299000001 OR WOS:001051855000002 OR WOS:001072589100001 OR WOS:001058121000001 OR WOS:001074507600001 OR WOS:001072309400001 OR WOS:001070782700001 OR WOS:001060341700001 OR WOS:001079400900002 OR WOS:001052843500011 OR WOS:001052011900001 OR WOS:001049136200001 OR WOS:001048669500004 OR WOS:001045004800002 OR WOS:001033165800001 OR WOS:001034811000017 OR WOS:001030720600001 OR WOS:001024625500001 OR WOS:001029603200001 OR WOS:001024279200001 OR WOS:001042144500003 OR WOS:001036130900001 OR WOS:001048302300001 OR WOS:001061736100001 OR WOS:001045112600001 OR WOS:001089011500007 OR WOS:001020547500001 OR WOS:001019862400001 OR WOS:001016606200001 OR WOS:001019315200001 OR WOS:001018461900002 OR WOS:001009298700001 OR WOS:000998454700001 OR WOS:001015841000001 OR WOS:001022810800005 OR WOS:000995965500001 OR WOS:000997861200001 OR WOS:001026288200001 OR WOS:001011477000016 OR WOS:000996513000007 OR WOS:000994774100027 OR WOS:001030154600001 OR WOS:000988904900009 OR WOS:000978051100001 OR WOS:000953654700001 OR WOS:000962912100001 OR WOS:000965482500001 OR WOS:000948811100001 OR WOS:001029367800004 OR WOS:001089672500006 OR WOS:001059716100008 OR WOS:000937324900001 OR WOS:000988262300001 OR WOS:001058807900009 OR WOS:000932583400001 OR WOS:000930794500001 OR WOS:000917967300001 OR WOS:001023953500001 OR WOS:001032499800004 OR WOS:000998561100003 OR WOS:000908926400001 OR WOS:000993327600006 OR WOS:001001117700007 OR WOS:001084643300010 OR WOS:001083543000001 OR WOS:000954928500001 OR WOS:000908721400001 OR WOS:000906718400002 OR WOS:000904990200001 OR WOS:000903702100001 OR WOS:000896893300001 OR WOS:000910902100003 OR WOS:001001054900050 OR WOS:000892083000015 OR WOS:000926013600043 OR WOS:000923079900008 OR WOS:000884214300001 OR WOS:000891091400006 OR WOS:000869686100001 OR WOS:000929883700018 OR WOS:000873808300001 OR WOS:000874188300001 OR WOS:000892219400003 OR WOS:000865306200009 OR WOS:000868492000003 OR WOS:000850937400001 OR WOS:000857038300001 OR WOS:000892587000004 OR WOS:000919673400003 OR WOS:000897825500026 OR WOS:000899334400026 OR WOS:000860362800001 OR WOS:000843680000001 OR WOS:000848407800003 OR WOS:000866223200014 OR WOS:000835773700001 OR WOS:000860750100013 OR WOS:000811055100017 OR WOS:000815732000001 OR WOS:000858719700008 OR WOS:000787994800006 OR WOS:000973635700047 OR WOS:000969490800003 OR WOS:000804816900001 OR WOS:000923257700004 OR WOS:000835090900001 OR WOS:000822762700055 OR WOS:000993888800009 OR WOS:000783066900001 OR WOS:000778117600004 OR WOS:000825334300002 OR WOS:000777672700001 OR WOS:000905494300017 OR WOS:000748953200001 OR WOS:000825226800011 OR WOS:000813078300006 OR WOS:000826896000009 OR WOS:001023353200001 OR WOS:000806241600015 OR WOS:000838665700003 OR WOS:000806030700037 OR WOS:000826879200029 OR WOS:000799191100001 OR WOS:000801931300015 OR WOS:000752414800001 OR WOS:000961307000005 OR WOS:000927592100004 OR WOS:000712668000001 OR WOS:000744182400004 OR WOS:000695454600001 OR WOS:000657259400005 OR WOS:000642009300004 OR WOS:000626291900003 OR WOS:000744952700005 OR WOS:000652490100007 OR WOS:000877485500008 OR WOS:000681302800001 OR WOS:000733894900003 OR WOS:000758146600013 OR WOS:000735247500012 OR WOS:000950030900013 OR WOS:000983107100026 OR WOS:000683183100024 OR WOS:000657220600024 OR WOS:000598578000001 OR WOS:000608600400018 OR WOS:000609928200006 OR WOS:000981661400013 OR WOS:000523565400002 OR WOS:000519562400005 OR WOS:000512737100024 OR WOS:000596092700004 OR WOS:000752492600003 OR WOS:000601789600005 OR WOS:000599990000003 OR WOS:000528233200004 OR WOS:000511377300001 OR WOS:000505934500014 OR WOS:000600114800002 OR WOS:000751943600021 OR WOS:000469498300010 OR WOS:000562934000004 OR WOS:000505268200010 OR WOS:000454342500003 OR WOS:000486078600026 OR WOS:000451872100004 OR WOS:000511300100006 OR WOS:000437784000016 OR WOS:000445782200012 OR WOS:000416826400023 OR WOS:000433407900001 OR WOS:000461199400013 OR WOS:000411455400003 OR WOS:000411618500009 OR WOS:000400026600028 OR WOS:000396461500002 OR WOS:000384622100007 OR WOS:000384000800020 OR WOS:000403250800006 OR WOS:000398354600004 OR WOS:000367847100005 OR WOS:000366144800006 OR WOS:000489991200080 OR WOS:000338690700018 OR WOS:000336886300002 OR WOS:000450054100006 OR WOS:000436259300014 OR WOS:000213138200003 OR WOS:000217877300003 OR WOS:000428175800079 OR WOS:000217879200006 OR WOS:000215545600021 OR WOS:000219830900007 OR WOS:000415426800001 OR WOS:000210456200003 OR WOS:000260275100007 OR WOS:000233454000016</v>
      </c>
    </row>
    <row r="2" spans="1:6" x14ac:dyDescent="0.25">
      <c r="A2" t="s">
        <v>12155</v>
      </c>
      <c r="B2" t="s">
        <v>12940</v>
      </c>
    </row>
    <row r="3" spans="1:6" x14ac:dyDescent="0.25">
      <c r="A3" t="s">
        <v>8943</v>
      </c>
      <c r="B3" t="s">
        <v>12940</v>
      </c>
      <c r="D3" t="s">
        <v>12941</v>
      </c>
    </row>
    <row r="4" spans="1:6" x14ac:dyDescent="0.25">
      <c r="A4" t="s">
        <v>7629</v>
      </c>
      <c r="B4" t="s">
        <v>12940</v>
      </c>
    </row>
    <row r="5" spans="1:6" x14ac:dyDescent="0.25">
      <c r="A5" t="s">
        <v>7934</v>
      </c>
      <c r="B5" t="s">
        <v>12940</v>
      </c>
      <c r="D5" s="8" t="s">
        <v>12942</v>
      </c>
      <c r="E5" s="8" t="s">
        <v>13418</v>
      </c>
      <c r="F5">
        <v>166</v>
      </c>
    </row>
    <row r="6" spans="1:6" x14ac:dyDescent="0.25">
      <c r="A6" t="s">
        <v>10526</v>
      </c>
      <c r="B6" t="s">
        <v>12940</v>
      </c>
      <c r="D6" s="8" t="s">
        <v>12943</v>
      </c>
      <c r="E6" s="8" t="s">
        <v>13419</v>
      </c>
      <c r="F6">
        <v>101</v>
      </c>
    </row>
    <row r="7" spans="1:6" x14ac:dyDescent="0.25">
      <c r="A7" t="s">
        <v>12602</v>
      </c>
      <c r="B7" t="s">
        <v>12940</v>
      </c>
      <c r="D7" s="8" t="s">
        <v>12944</v>
      </c>
      <c r="E7" s="8" t="s">
        <v>13420</v>
      </c>
      <c r="F7">
        <v>86</v>
      </c>
    </row>
    <row r="8" spans="1:6" x14ac:dyDescent="0.25">
      <c r="A8" t="s">
        <v>10011</v>
      </c>
      <c r="B8" t="s">
        <v>12940</v>
      </c>
      <c r="D8" t="s">
        <v>13406</v>
      </c>
      <c r="E8" s="8" t="s">
        <v>13421</v>
      </c>
      <c r="F8">
        <v>42</v>
      </c>
    </row>
    <row r="9" spans="1:6" x14ac:dyDescent="0.25">
      <c r="A9" t="s">
        <v>10237</v>
      </c>
      <c r="B9" t="s">
        <v>12940</v>
      </c>
      <c r="D9" t="s">
        <v>13407</v>
      </c>
      <c r="E9" s="8" t="s">
        <v>13422</v>
      </c>
      <c r="F9">
        <v>38</v>
      </c>
    </row>
    <row r="10" spans="1:6" x14ac:dyDescent="0.25">
      <c r="A10" t="s">
        <v>9821</v>
      </c>
      <c r="B10" t="s">
        <v>12940</v>
      </c>
      <c r="D10" t="s">
        <v>13408</v>
      </c>
      <c r="E10" s="8" t="s">
        <v>13423</v>
      </c>
      <c r="F10">
        <v>13</v>
      </c>
    </row>
    <row r="11" spans="1:6" x14ac:dyDescent="0.25">
      <c r="A11" t="s">
        <v>9190</v>
      </c>
      <c r="B11" t="s">
        <v>12940</v>
      </c>
      <c r="D11" t="s">
        <v>13409</v>
      </c>
      <c r="E11" s="8" t="s">
        <v>13424</v>
      </c>
      <c r="F11">
        <v>10</v>
      </c>
    </row>
    <row r="12" spans="1:6" x14ac:dyDescent="0.25">
      <c r="A12" t="s">
        <v>12187</v>
      </c>
      <c r="B12" t="s">
        <v>12940</v>
      </c>
      <c r="D12" t="s">
        <v>13410</v>
      </c>
      <c r="E12" s="8" t="s">
        <v>13425</v>
      </c>
      <c r="F12">
        <v>9</v>
      </c>
    </row>
    <row r="13" spans="1:6" x14ac:dyDescent="0.25">
      <c r="A13" t="s">
        <v>7828</v>
      </c>
      <c r="B13" t="s">
        <v>12940</v>
      </c>
      <c r="D13" t="s">
        <v>13411</v>
      </c>
      <c r="E13" s="8" t="s">
        <v>13426</v>
      </c>
      <c r="F13">
        <v>6</v>
      </c>
    </row>
    <row r="14" spans="1:6" x14ac:dyDescent="0.25">
      <c r="A14" t="s">
        <v>7995</v>
      </c>
      <c r="B14" t="s">
        <v>12940</v>
      </c>
      <c r="D14" t="s">
        <v>13412</v>
      </c>
      <c r="E14" s="8" t="s">
        <v>13427</v>
      </c>
      <c r="F14">
        <v>6</v>
      </c>
    </row>
    <row r="15" spans="1:6" x14ac:dyDescent="0.25">
      <c r="A15" t="s">
        <v>10201</v>
      </c>
      <c r="B15" t="s">
        <v>12940</v>
      </c>
      <c r="D15" t="s">
        <v>13413</v>
      </c>
      <c r="E15" s="8" t="s">
        <v>13428</v>
      </c>
      <c r="F15">
        <v>5</v>
      </c>
    </row>
    <row r="16" spans="1:6" x14ac:dyDescent="0.25">
      <c r="A16" t="s">
        <v>11018</v>
      </c>
      <c r="B16" t="s">
        <v>12940</v>
      </c>
      <c r="D16" t="s">
        <v>13414</v>
      </c>
      <c r="E16" s="8" t="s">
        <v>13429</v>
      </c>
      <c r="F16">
        <v>5</v>
      </c>
    </row>
    <row r="17" spans="1:6" x14ac:dyDescent="0.25">
      <c r="A17" t="s">
        <v>9722</v>
      </c>
      <c r="B17" t="s">
        <v>12940</v>
      </c>
      <c r="D17" t="s">
        <v>13415</v>
      </c>
      <c r="E17" s="8" t="s">
        <v>13430</v>
      </c>
      <c r="F17">
        <v>4</v>
      </c>
    </row>
    <row r="18" spans="1:6" x14ac:dyDescent="0.25">
      <c r="A18" t="s">
        <v>8615</v>
      </c>
      <c r="B18" t="s">
        <v>12940</v>
      </c>
      <c r="D18" t="s">
        <v>13416</v>
      </c>
      <c r="E18" s="8" t="s">
        <v>13431</v>
      </c>
      <c r="F18">
        <v>3</v>
      </c>
    </row>
    <row r="19" spans="1:6" x14ac:dyDescent="0.25">
      <c r="A19" t="s">
        <v>10706</v>
      </c>
      <c r="B19" t="s">
        <v>12940</v>
      </c>
      <c r="D19" t="s">
        <v>13417</v>
      </c>
      <c r="E19" s="8" t="s">
        <v>13432</v>
      </c>
      <c r="F19">
        <v>2</v>
      </c>
    </row>
    <row r="20" spans="1:6" x14ac:dyDescent="0.25">
      <c r="A20" t="s">
        <v>6724</v>
      </c>
      <c r="B20" t="s">
        <v>12940</v>
      </c>
    </row>
    <row r="21" spans="1:6" x14ac:dyDescent="0.25">
      <c r="A21" t="s">
        <v>4377</v>
      </c>
      <c r="B21" t="s">
        <v>12940</v>
      </c>
    </row>
    <row r="22" spans="1:6" x14ac:dyDescent="0.25">
      <c r="A22" t="s">
        <v>11138</v>
      </c>
      <c r="B22" t="s">
        <v>12940</v>
      </c>
    </row>
    <row r="23" spans="1:6" x14ac:dyDescent="0.25">
      <c r="A23" t="s">
        <v>4596</v>
      </c>
      <c r="B23" t="s">
        <v>12940</v>
      </c>
    </row>
    <row r="24" spans="1:6" x14ac:dyDescent="0.25">
      <c r="A24" t="s">
        <v>11317</v>
      </c>
      <c r="B24" t="s">
        <v>12940</v>
      </c>
    </row>
    <row r="25" spans="1:6" x14ac:dyDescent="0.25">
      <c r="A25" t="s">
        <v>8440</v>
      </c>
      <c r="B25" t="s">
        <v>12940</v>
      </c>
    </row>
    <row r="26" spans="1:6" x14ac:dyDescent="0.25">
      <c r="A26" t="s">
        <v>8785</v>
      </c>
      <c r="B26" t="s">
        <v>12940</v>
      </c>
    </row>
    <row r="27" spans="1:6" x14ac:dyDescent="0.25">
      <c r="A27" t="s">
        <v>12323</v>
      </c>
      <c r="B27" t="s">
        <v>12940</v>
      </c>
    </row>
    <row r="28" spans="1:6" x14ac:dyDescent="0.25">
      <c r="A28" t="s">
        <v>9515</v>
      </c>
      <c r="B28" t="s">
        <v>12940</v>
      </c>
    </row>
    <row r="29" spans="1:6" x14ac:dyDescent="0.25">
      <c r="A29" t="s">
        <v>7980</v>
      </c>
      <c r="B29" t="s">
        <v>12940</v>
      </c>
    </row>
    <row r="30" spans="1:6" x14ac:dyDescent="0.25">
      <c r="A30" t="s">
        <v>6893</v>
      </c>
      <c r="B30" t="s">
        <v>12940</v>
      </c>
    </row>
    <row r="31" spans="1:6" x14ac:dyDescent="0.25">
      <c r="A31" t="s">
        <v>11897</v>
      </c>
      <c r="B31" t="s">
        <v>12940</v>
      </c>
    </row>
    <row r="32" spans="1:6" x14ac:dyDescent="0.25">
      <c r="A32" t="s">
        <v>8278</v>
      </c>
      <c r="B32" t="s">
        <v>12940</v>
      </c>
    </row>
    <row r="33" spans="1:2" x14ac:dyDescent="0.25">
      <c r="A33" t="s">
        <v>8805</v>
      </c>
      <c r="B33" t="s">
        <v>12940</v>
      </c>
    </row>
    <row r="34" spans="1:2" x14ac:dyDescent="0.25">
      <c r="A34" t="s">
        <v>10031</v>
      </c>
      <c r="B34" t="s">
        <v>12940</v>
      </c>
    </row>
    <row r="35" spans="1:2" x14ac:dyDescent="0.25">
      <c r="A35" t="s">
        <v>8294</v>
      </c>
      <c r="B35" t="s">
        <v>12940</v>
      </c>
    </row>
    <row r="36" spans="1:2" x14ac:dyDescent="0.25">
      <c r="A36" t="s">
        <v>12344</v>
      </c>
      <c r="B36" t="s">
        <v>12940</v>
      </c>
    </row>
    <row r="37" spans="1:2" x14ac:dyDescent="0.25">
      <c r="A37" t="s">
        <v>10434</v>
      </c>
      <c r="B37" t="s">
        <v>12940</v>
      </c>
    </row>
    <row r="38" spans="1:2" x14ac:dyDescent="0.25">
      <c r="A38" t="s">
        <v>6179</v>
      </c>
      <c r="B38" t="s">
        <v>12940</v>
      </c>
    </row>
    <row r="39" spans="1:2" x14ac:dyDescent="0.25">
      <c r="A39" t="s">
        <v>10399</v>
      </c>
      <c r="B39" t="s">
        <v>12940</v>
      </c>
    </row>
    <row r="40" spans="1:2" x14ac:dyDescent="0.25">
      <c r="A40" t="s">
        <v>4561</v>
      </c>
      <c r="B40" t="s">
        <v>12940</v>
      </c>
    </row>
    <row r="41" spans="1:2" x14ac:dyDescent="0.25">
      <c r="A41" t="s">
        <v>6641</v>
      </c>
      <c r="B41" t="s">
        <v>12940</v>
      </c>
    </row>
    <row r="42" spans="1:2" x14ac:dyDescent="0.25">
      <c r="A42" t="s">
        <v>11720</v>
      </c>
      <c r="B42" t="s">
        <v>12940</v>
      </c>
    </row>
    <row r="43" spans="1:2" x14ac:dyDescent="0.25">
      <c r="A43" t="s">
        <v>12911</v>
      </c>
      <c r="B43" t="s">
        <v>12940</v>
      </c>
    </row>
    <row r="44" spans="1:2" x14ac:dyDescent="0.25">
      <c r="A44" t="s">
        <v>3052</v>
      </c>
      <c r="B44" t="s">
        <v>12940</v>
      </c>
    </row>
    <row r="45" spans="1:2" x14ac:dyDescent="0.25">
      <c r="A45" t="s">
        <v>10767</v>
      </c>
      <c r="B45" t="s">
        <v>12940</v>
      </c>
    </row>
    <row r="46" spans="1:2" x14ac:dyDescent="0.25">
      <c r="A46" t="s">
        <v>5771</v>
      </c>
      <c r="B46" t="s">
        <v>12940</v>
      </c>
    </row>
    <row r="47" spans="1:2" x14ac:dyDescent="0.25">
      <c r="A47" t="s">
        <v>9340</v>
      </c>
      <c r="B47" t="s">
        <v>12940</v>
      </c>
    </row>
    <row r="48" spans="1:2" x14ac:dyDescent="0.25">
      <c r="A48" t="s">
        <v>11417</v>
      </c>
      <c r="B48" t="s">
        <v>12940</v>
      </c>
    </row>
    <row r="49" spans="1:2" x14ac:dyDescent="0.25">
      <c r="A49" t="s">
        <v>8242</v>
      </c>
      <c r="B49" t="s">
        <v>12940</v>
      </c>
    </row>
    <row r="50" spans="1:2" x14ac:dyDescent="0.25">
      <c r="A50" t="s">
        <v>8829</v>
      </c>
      <c r="B50" t="s">
        <v>12940</v>
      </c>
    </row>
    <row r="51" spans="1:2" x14ac:dyDescent="0.25">
      <c r="A51" t="s">
        <v>9151</v>
      </c>
      <c r="B51" t="s">
        <v>12940</v>
      </c>
    </row>
    <row r="52" spans="1:2" x14ac:dyDescent="0.25">
      <c r="A52" t="s">
        <v>6740</v>
      </c>
      <c r="B52" t="s">
        <v>12940</v>
      </c>
    </row>
    <row r="53" spans="1:2" x14ac:dyDescent="0.25">
      <c r="A53" t="s">
        <v>12126</v>
      </c>
      <c r="B53" t="s">
        <v>12940</v>
      </c>
    </row>
    <row r="54" spans="1:2" x14ac:dyDescent="0.25">
      <c r="A54" t="s">
        <v>8153</v>
      </c>
      <c r="B54" t="s">
        <v>12940</v>
      </c>
    </row>
    <row r="55" spans="1:2" x14ac:dyDescent="0.25">
      <c r="A55" t="s">
        <v>11744</v>
      </c>
      <c r="B55" t="s">
        <v>12940</v>
      </c>
    </row>
    <row r="56" spans="1:2" x14ac:dyDescent="0.25">
      <c r="A56" t="s">
        <v>9939</v>
      </c>
      <c r="B56" t="s">
        <v>12940</v>
      </c>
    </row>
    <row r="57" spans="1:2" x14ac:dyDescent="0.25">
      <c r="A57" t="s">
        <v>9957</v>
      </c>
      <c r="B57" t="s">
        <v>12940</v>
      </c>
    </row>
    <row r="58" spans="1:2" x14ac:dyDescent="0.25">
      <c r="A58" t="s">
        <v>12405</v>
      </c>
      <c r="B58" t="s">
        <v>12940</v>
      </c>
    </row>
    <row r="59" spans="1:2" x14ac:dyDescent="0.25">
      <c r="A59" t="s">
        <v>7690</v>
      </c>
      <c r="B59" t="s">
        <v>12940</v>
      </c>
    </row>
    <row r="60" spans="1:2" x14ac:dyDescent="0.25">
      <c r="A60" t="s">
        <v>9175</v>
      </c>
      <c r="B60" t="s">
        <v>12940</v>
      </c>
    </row>
    <row r="61" spans="1:2" x14ac:dyDescent="0.25">
      <c r="A61" t="s">
        <v>11638</v>
      </c>
      <c r="B61" t="s">
        <v>12940</v>
      </c>
    </row>
    <row r="62" spans="1:2" x14ac:dyDescent="0.25">
      <c r="A62" t="s">
        <v>6706</v>
      </c>
      <c r="B62" t="s">
        <v>12940</v>
      </c>
    </row>
    <row r="63" spans="1:2" x14ac:dyDescent="0.25">
      <c r="A63" t="s">
        <v>9973</v>
      </c>
      <c r="B63" t="s">
        <v>12940</v>
      </c>
    </row>
    <row r="64" spans="1:2" x14ac:dyDescent="0.25">
      <c r="A64" t="s">
        <v>12851</v>
      </c>
      <c r="B64" t="s">
        <v>12940</v>
      </c>
    </row>
    <row r="65" spans="1:2" x14ac:dyDescent="0.25">
      <c r="A65" t="s">
        <v>4169</v>
      </c>
      <c r="B65" t="s">
        <v>12940</v>
      </c>
    </row>
    <row r="66" spans="1:2" x14ac:dyDescent="0.25">
      <c r="A66" t="s">
        <v>5728</v>
      </c>
      <c r="B66" t="s">
        <v>12940</v>
      </c>
    </row>
    <row r="67" spans="1:2" x14ac:dyDescent="0.25">
      <c r="A67" t="s">
        <v>6062</v>
      </c>
      <c r="B67" t="s">
        <v>12940</v>
      </c>
    </row>
    <row r="68" spans="1:2" x14ac:dyDescent="0.25">
      <c r="A68" t="s">
        <v>7777</v>
      </c>
      <c r="B68" t="s">
        <v>12940</v>
      </c>
    </row>
    <row r="69" spans="1:2" x14ac:dyDescent="0.25">
      <c r="A69" t="s">
        <v>7854</v>
      </c>
      <c r="B69" t="s">
        <v>12940</v>
      </c>
    </row>
    <row r="70" spans="1:2" x14ac:dyDescent="0.25">
      <c r="A70" t="s">
        <v>8704</v>
      </c>
      <c r="B70" t="s">
        <v>12940</v>
      </c>
    </row>
    <row r="71" spans="1:2" x14ac:dyDescent="0.25">
      <c r="A71" t="s">
        <v>4885</v>
      </c>
      <c r="B71" t="s">
        <v>12940</v>
      </c>
    </row>
    <row r="72" spans="1:2" x14ac:dyDescent="0.25">
      <c r="A72" t="s">
        <v>5606</v>
      </c>
      <c r="B72" t="s">
        <v>12940</v>
      </c>
    </row>
    <row r="73" spans="1:2" x14ac:dyDescent="0.25">
      <c r="A73" t="s">
        <v>5965</v>
      </c>
      <c r="B73" t="s">
        <v>12940</v>
      </c>
    </row>
    <row r="74" spans="1:2" x14ac:dyDescent="0.25">
      <c r="A74" t="s">
        <v>11284</v>
      </c>
      <c r="B74" t="s">
        <v>12940</v>
      </c>
    </row>
    <row r="75" spans="1:2" x14ac:dyDescent="0.25">
      <c r="A75" t="s">
        <v>11932</v>
      </c>
      <c r="B75" t="s">
        <v>12940</v>
      </c>
    </row>
    <row r="76" spans="1:2" x14ac:dyDescent="0.25">
      <c r="A76" t="s">
        <v>11372</v>
      </c>
      <c r="B76" t="s">
        <v>12940</v>
      </c>
    </row>
    <row r="77" spans="1:2" x14ac:dyDescent="0.25">
      <c r="A77" t="s">
        <v>12479</v>
      </c>
      <c r="B77" t="s">
        <v>12940</v>
      </c>
    </row>
    <row r="78" spans="1:2" x14ac:dyDescent="0.25">
      <c r="A78" t="s">
        <v>8854</v>
      </c>
      <c r="B78" t="s">
        <v>12940</v>
      </c>
    </row>
    <row r="79" spans="1:2" x14ac:dyDescent="0.25">
      <c r="A79" t="s">
        <v>9675</v>
      </c>
      <c r="B79" t="s">
        <v>12940</v>
      </c>
    </row>
    <row r="80" spans="1:2" x14ac:dyDescent="0.25">
      <c r="A80" t="s">
        <v>10140</v>
      </c>
      <c r="B80" t="s">
        <v>12940</v>
      </c>
    </row>
    <row r="81" spans="1:2" x14ac:dyDescent="0.25">
      <c r="A81" t="s">
        <v>5593</v>
      </c>
      <c r="B81" t="s">
        <v>12940</v>
      </c>
    </row>
    <row r="82" spans="1:2" x14ac:dyDescent="0.25">
      <c r="A82" t="s">
        <v>8911</v>
      </c>
      <c r="B82" t="s">
        <v>12940</v>
      </c>
    </row>
    <row r="83" spans="1:2" x14ac:dyDescent="0.25">
      <c r="A83" t="s">
        <v>10461</v>
      </c>
      <c r="B83" t="s">
        <v>12940</v>
      </c>
    </row>
    <row r="84" spans="1:2" x14ac:dyDescent="0.25">
      <c r="A84" t="s">
        <v>8664</v>
      </c>
      <c r="B84" t="s">
        <v>12940</v>
      </c>
    </row>
    <row r="85" spans="1:2" x14ac:dyDescent="0.25">
      <c r="A85" t="s">
        <v>8876</v>
      </c>
      <c r="B85" t="s">
        <v>12940</v>
      </c>
    </row>
    <row r="86" spans="1:2" x14ac:dyDescent="0.25">
      <c r="A86" t="s">
        <v>5445</v>
      </c>
      <c r="B86" t="s">
        <v>12940</v>
      </c>
    </row>
    <row r="87" spans="1:2" x14ac:dyDescent="0.25">
      <c r="A87" t="s">
        <v>7522</v>
      </c>
      <c r="B87" t="s">
        <v>12940</v>
      </c>
    </row>
    <row r="88" spans="1:2" x14ac:dyDescent="0.25">
      <c r="A88" t="s">
        <v>8749</v>
      </c>
      <c r="B88" t="s">
        <v>12940</v>
      </c>
    </row>
    <row r="89" spans="1:2" x14ac:dyDescent="0.25">
      <c r="A89" t="s">
        <v>11097</v>
      </c>
      <c r="B89" t="s">
        <v>12940</v>
      </c>
    </row>
    <row r="90" spans="1:2" x14ac:dyDescent="0.25">
      <c r="A90" t="s">
        <v>3797</v>
      </c>
      <c r="B90" t="s">
        <v>12940</v>
      </c>
    </row>
    <row r="91" spans="1:2" x14ac:dyDescent="0.25">
      <c r="A91" t="s">
        <v>6325</v>
      </c>
      <c r="B91" t="s">
        <v>12940</v>
      </c>
    </row>
    <row r="92" spans="1:2" x14ac:dyDescent="0.25">
      <c r="A92" t="s">
        <v>8727</v>
      </c>
      <c r="B92" t="s">
        <v>12940</v>
      </c>
    </row>
    <row r="93" spans="1:2" x14ac:dyDescent="0.25">
      <c r="A93" t="s">
        <v>9858</v>
      </c>
      <c r="B93" t="s">
        <v>12940</v>
      </c>
    </row>
    <row r="94" spans="1:2" x14ac:dyDescent="0.25">
      <c r="A94" t="s">
        <v>10683</v>
      </c>
      <c r="B94" t="s">
        <v>12940</v>
      </c>
    </row>
    <row r="95" spans="1:2" x14ac:dyDescent="0.25">
      <c r="A95" t="s">
        <v>7386</v>
      </c>
      <c r="B95" t="s">
        <v>12940</v>
      </c>
    </row>
    <row r="96" spans="1:2" x14ac:dyDescent="0.25">
      <c r="A96" t="s">
        <v>8030</v>
      </c>
      <c r="B96" t="s">
        <v>12940</v>
      </c>
    </row>
    <row r="97" spans="1:2" x14ac:dyDescent="0.25">
      <c r="A97" t="s">
        <v>9074</v>
      </c>
      <c r="B97" t="s">
        <v>12940</v>
      </c>
    </row>
    <row r="98" spans="1:2" x14ac:dyDescent="0.25">
      <c r="A98" t="s">
        <v>10178</v>
      </c>
      <c r="B98" t="s">
        <v>12940</v>
      </c>
    </row>
    <row r="99" spans="1:2" x14ac:dyDescent="0.25">
      <c r="A99" t="s">
        <v>12416</v>
      </c>
      <c r="B99" t="s">
        <v>12940</v>
      </c>
    </row>
    <row r="100" spans="1:2" x14ac:dyDescent="0.25">
      <c r="A100" t="s">
        <v>4581</v>
      </c>
      <c r="B100" t="s">
        <v>12940</v>
      </c>
    </row>
    <row r="101" spans="1:2" x14ac:dyDescent="0.25">
      <c r="A101" t="s">
        <v>4611</v>
      </c>
      <c r="B101" t="s">
        <v>12940</v>
      </c>
    </row>
    <row r="102" spans="1:2" x14ac:dyDescent="0.25">
      <c r="A102" t="s">
        <v>6505</v>
      </c>
      <c r="B102" t="s">
        <v>12940</v>
      </c>
    </row>
    <row r="103" spans="1:2" x14ac:dyDescent="0.25">
      <c r="A103" t="s">
        <v>9655</v>
      </c>
      <c r="B103" t="s">
        <v>12940</v>
      </c>
    </row>
    <row r="104" spans="1:2" x14ac:dyDescent="0.25">
      <c r="A104" t="s">
        <v>9766</v>
      </c>
      <c r="B104" t="s">
        <v>12940</v>
      </c>
    </row>
    <row r="105" spans="1:2" x14ac:dyDescent="0.25">
      <c r="A105" t="s">
        <v>10924</v>
      </c>
      <c r="B105" t="s">
        <v>12940</v>
      </c>
    </row>
    <row r="106" spans="1:2" x14ac:dyDescent="0.25">
      <c r="A106" t="s">
        <v>11459</v>
      </c>
      <c r="B106" t="s">
        <v>12940</v>
      </c>
    </row>
    <row r="107" spans="1:2" x14ac:dyDescent="0.25">
      <c r="A107" t="s">
        <v>1841</v>
      </c>
      <c r="B107" t="s">
        <v>12940</v>
      </c>
    </row>
    <row r="108" spans="1:2" x14ac:dyDescent="0.25">
      <c r="A108" t="s">
        <v>3767</v>
      </c>
      <c r="B108" t="s">
        <v>12940</v>
      </c>
    </row>
    <row r="109" spans="1:2" x14ac:dyDescent="0.25">
      <c r="A109" t="s">
        <v>6223</v>
      </c>
      <c r="B109" t="s">
        <v>12940</v>
      </c>
    </row>
    <row r="110" spans="1:2" x14ac:dyDescent="0.25">
      <c r="A110" t="s">
        <v>6926</v>
      </c>
      <c r="B110" t="s">
        <v>12940</v>
      </c>
    </row>
    <row r="111" spans="1:2" x14ac:dyDescent="0.25">
      <c r="A111" t="s">
        <v>7069</v>
      </c>
      <c r="B111" t="s">
        <v>12940</v>
      </c>
    </row>
    <row r="112" spans="1:2" x14ac:dyDescent="0.25">
      <c r="A112" t="s">
        <v>7879</v>
      </c>
      <c r="B112" t="s">
        <v>12940</v>
      </c>
    </row>
    <row r="113" spans="1:2" x14ac:dyDescent="0.25">
      <c r="A113" t="s">
        <v>8596</v>
      </c>
      <c r="B113" t="s">
        <v>12940</v>
      </c>
    </row>
    <row r="114" spans="1:2" x14ac:dyDescent="0.25">
      <c r="A114" t="s">
        <v>9364</v>
      </c>
      <c r="B114" t="s">
        <v>12940</v>
      </c>
    </row>
    <row r="115" spans="1:2" x14ac:dyDescent="0.25">
      <c r="A115" t="s">
        <v>9380</v>
      </c>
      <c r="B115" t="s">
        <v>12940</v>
      </c>
    </row>
    <row r="116" spans="1:2" x14ac:dyDescent="0.25">
      <c r="A116" t="s">
        <v>9870</v>
      </c>
      <c r="B116" t="s">
        <v>12940</v>
      </c>
    </row>
    <row r="117" spans="1:2" x14ac:dyDescent="0.25">
      <c r="A117" t="s">
        <v>10862</v>
      </c>
      <c r="B117" t="s">
        <v>12940</v>
      </c>
    </row>
    <row r="118" spans="1:2" x14ac:dyDescent="0.25">
      <c r="A118" t="s">
        <v>4787</v>
      </c>
      <c r="B118" t="s">
        <v>12940</v>
      </c>
    </row>
    <row r="119" spans="1:2" x14ac:dyDescent="0.25">
      <c r="A119" t="s">
        <v>4845</v>
      </c>
      <c r="B119" t="s">
        <v>12940</v>
      </c>
    </row>
    <row r="120" spans="1:2" x14ac:dyDescent="0.25">
      <c r="A120" t="s">
        <v>5930</v>
      </c>
      <c r="B120" t="s">
        <v>12940</v>
      </c>
    </row>
    <row r="121" spans="1:2" x14ac:dyDescent="0.25">
      <c r="A121" t="s">
        <v>6015</v>
      </c>
      <c r="B121" t="s">
        <v>12940</v>
      </c>
    </row>
    <row r="122" spans="1:2" x14ac:dyDescent="0.25">
      <c r="A122" t="s">
        <v>6270</v>
      </c>
      <c r="B122" t="s">
        <v>12940</v>
      </c>
    </row>
    <row r="123" spans="1:2" x14ac:dyDescent="0.25">
      <c r="A123" t="s">
        <v>6661</v>
      </c>
      <c r="B123" t="s">
        <v>12940</v>
      </c>
    </row>
    <row r="124" spans="1:2" x14ac:dyDescent="0.25">
      <c r="A124" t="s">
        <v>11919</v>
      </c>
      <c r="B124" t="s">
        <v>12940</v>
      </c>
    </row>
    <row r="125" spans="1:2" x14ac:dyDescent="0.25">
      <c r="A125" t="s">
        <v>12084</v>
      </c>
      <c r="B125" t="s">
        <v>12940</v>
      </c>
    </row>
    <row r="126" spans="1:2" x14ac:dyDescent="0.25">
      <c r="A126" t="s">
        <v>12827</v>
      </c>
      <c r="B126" t="s">
        <v>12940</v>
      </c>
    </row>
    <row r="127" spans="1:2" x14ac:dyDescent="0.25">
      <c r="A127" t="s">
        <v>4802</v>
      </c>
      <c r="B127" t="s">
        <v>12940</v>
      </c>
    </row>
    <row r="128" spans="1:2" x14ac:dyDescent="0.25">
      <c r="A128" t="s">
        <v>5883</v>
      </c>
      <c r="B128" t="s">
        <v>12940</v>
      </c>
    </row>
    <row r="129" spans="1:2" x14ac:dyDescent="0.25">
      <c r="A129" t="s">
        <v>6782</v>
      </c>
      <c r="B129" t="s">
        <v>12940</v>
      </c>
    </row>
    <row r="130" spans="1:2" x14ac:dyDescent="0.25">
      <c r="A130" t="s">
        <v>8200</v>
      </c>
      <c r="B130" t="s">
        <v>12940</v>
      </c>
    </row>
    <row r="131" spans="1:2" x14ac:dyDescent="0.25">
      <c r="A131" t="s">
        <v>10291</v>
      </c>
      <c r="B131" t="s">
        <v>12940</v>
      </c>
    </row>
    <row r="132" spans="1:2" x14ac:dyDescent="0.25">
      <c r="A132" t="s">
        <v>10582</v>
      </c>
      <c r="B132" t="s">
        <v>12940</v>
      </c>
    </row>
    <row r="133" spans="1:2" x14ac:dyDescent="0.25">
      <c r="A133" t="s">
        <v>11542</v>
      </c>
      <c r="B133" t="s">
        <v>12940</v>
      </c>
    </row>
    <row r="134" spans="1:2" x14ac:dyDescent="0.25">
      <c r="A134" t="s">
        <v>6626</v>
      </c>
      <c r="B134" t="s">
        <v>12940</v>
      </c>
    </row>
    <row r="135" spans="1:2" x14ac:dyDescent="0.25">
      <c r="A135" t="s">
        <v>8257</v>
      </c>
      <c r="B135" t="s">
        <v>12940</v>
      </c>
    </row>
    <row r="136" spans="1:2" x14ac:dyDescent="0.25">
      <c r="A136" t="s">
        <v>8470</v>
      </c>
      <c r="B136" t="s">
        <v>12940</v>
      </c>
    </row>
    <row r="137" spans="1:2" x14ac:dyDescent="0.25">
      <c r="A137" t="s">
        <v>11520</v>
      </c>
      <c r="B137" t="s">
        <v>12940</v>
      </c>
    </row>
    <row r="138" spans="1:2" x14ac:dyDescent="0.25">
      <c r="A138" t="s">
        <v>11826</v>
      </c>
      <c r="B138" t="s">
        <v>12940</v>
      </c>
    </row>
    <row r="139" spans="1:2" x14ac:dyDescent="0.25">
      <c r="A139" t="s">
        <v>12206</v>
      </c>
      <c r="B139" t="s">
        <v>12940</v>
      </c>
    </row>
    <row r="140" spans="1:2" x14ac:dyDescent="0.25">
      <c r="A140" t="s">
        <v>2451</v>
      </c>
      <c r="B140" t="s">
        <v>12940</v>
      </c>
    </row>
    <row r="141" spans="1:2" x14ac:dyDescent="0.25">
      <c r="A141" t="s">
        <v>4745</v>
      </c>
      <c r="B141" t="s">
        <v>12940</v>
      </c>
    </row>
    <row r="142" spans="1:2" x14ac:dyDescent="0.25">
      <c r="A142" t="s">
        <v>5576</v>
      </c>
      <c r="B142" t="s">
        <v>12940</v>
      </c>
    </row>
    <row r="143" spans="1:2" x14ac:dyDescent="0.25">
      <c r="A143" t="s">
        <v>5911</v>
      </c>
      <c r="B143" t="s">
        <v>12940</v>
      </c>
    </row>
    <row r="144" spans="1:2" x14ac:dyDescent="0.25">
      <c r="A144" t="s">
        <v>7407</v>
      </c>
      <c r="B144" t="s">
        <v>12940</v>
      </c>
    </row>
    <row r="145" spans="1:2" x14ac:dyDescent="0.25">
      <c r="A145" t="s">
        <v>7665</v>
      </c>
      <c r="B145" t="s">
        <v>12940</v>
      </c>
    </row>
    <row r="146" spans="1:2" x14ac:dyDescent="0.25">
      <c r="A146" t="s">
        <v>9786</v>
      </c>
      <c r="B146" t="s">
        <v>12940</v>
      </c>
    </row>
    <row r="147" spans="1:2" x14ac:dyDescent="0.25">
      <c r="A147" t="s">
        <v>9915</v>
      </c>
      <c r="B147" t="s">
        <v>12940</v>
      </c>
    </row>
    <row r="148" spans="1:2" x14ac:dyDescent="0.25">
      <c r="A148" t="s">
        <v>10306</v>
      </c>
      <c r="B148" t="s">
        <v>12940</v>
      </c>
    </row>
    <row r="149" spans="1:2" x14ac:dyDescent="0.25">
      <c r="A149" t="s">
        <v>12453</v>
      </c>
      <c r="B149" t="s">
        <v>12940</v>
      </c>
    </row>
    <row r="150" spans="1:2" x14ac:dyDescent="0.25">
      <c r="A150" t="s">
        <v>12463</v>
      </c>
      <c r="B150" t="s">
        <v>12940</v>
      </c>
    </row>
    <row r="151" spans="1:2" x14ac:dyDescent="0.25">
      <c r="A151" t="s">
        <v>5380</v>
      </c>
      <c r="B151" t="s">
        <v>12940</v>
      </c>
    </row>
    <row r="152" spans="1:2" x14ac:dyDescent="0.25">
      <c r="A152" t="s">
        <v>6405</v>
      </c>
      <c r="B152" t="s">
        <v>12940</v>
      </c>
    </row>
    <row r="153" spans="1:2" x14ac:dyDescent="0.25">
      <c r="A153" t="s">
        <v>6443</v>
      </c>
      <c r="B153" t="s">
        <v>12940</v>
      </c>
    </row>
    <row r="154" spans="1:2" x14ac:dyDescent="0.25">
      <c r="A154" t="s">
        <v>7919</v>
      </c>
      <c r="B154" t="s">
        <v>12940</v>
      </c>
    </row>
    <row r="155" spans="1:2" x14ac:dyDescent="0.25">
      <c r="A155" t="s">
        <v>10391</v>
      </c>
      <c r="B155" t="s">
        <v>12940</v>
      </c>
    </row>
    <row r="156" spans="1:2" x14ac:dyDescent="0.25">
      <c r="A156" t="s">
        <v>11504</v>
      </c>
      <c r="B156" t="s">
        <v>12940</v>
      </c>
    </row>
    <row r="157" spans="1:2" x14ac:dyDescent="0.25">
      <c r="A157" t="s">
        <v>12063</v>
      </c>
      <c r="B157" t="s">
        <v>12940</v>
      </c>
    </row>
    <row r="158" spans="1:2" x14ac:dyDescent="0.25">
      <c r="A158" t="s">
        <v>3372</v>
      </c>
      <c r="B158" t="s">
        <v>12940</v>
      </c>
    </row>
    <row r="159" spans="1:2" x14ac:dyDescent="0.25">
      <c r="A159" t="s">
        <v>6257</v>
      </c>
      <c r="B159" t="s">
        <v>12940</v>
      </c>
    </row>
    <row r="160" spans="1:2" x14ac:dyDescent="0.25">
      <c r="A160" t="s">
        <v>11872</v>
      </c>
      <c r="B160" t="s">
        <v>12940</v>
      </c>
    </row>
    <row r="161" spans="1:2" x14ac:dyDescent="0.25">
      <c r="A161" t="s">
        <v>5312</v>
      </c>
      <c r="B161" t="s">
        <v>12940</v>
      </c>
    </row>
    <row r="162" spans="1:2" x14ac:dyDescent="0.25">
      <c r="A162" t="s">
        <v>5990</v>
      </c>
      <c r="B162" t="s">
        <v>12940</v>
      </c>
    </row>
    <row r="163" spans="1:2" x14ac:dyDescent="0.25">
      <c r="A163" t="s">
        <v>6036</v>
      </c>
      <c r="B163" t="s">
        <v>12940</v>
      </c>
    </row>
    <row r="164" spans="1:2" x14ac:dyDescent="0.25">
      <c r="A164" t="s">
        <v>6307</v>
      </c>
      <c r="B164" t="s">
        <v>12940</v>
      </c>
    </row>
    <row r="165" spans="1:2" x14ac:dyDescent="0.25">
      <c r="A165" t="s">
        <v>10663</v>
      </c>
      <c r="B165" t="s">
        <v>12940</v>
      </c>
    </row>
    <row r="166" spans="1:2" x14ac:dyDescent="0.25">
      <c r="A166" t="s">
        <v>11079</v>
      </c>
      <c r="B166" t="s">
        <v>12940</v>
      </c>
    </row>
    <row r="167" spans="1:2" x14ac:dyDescent="0.25">
      <c r="A167" t="s">
        <v>12044</v>
      </c>
      <c r="B167" t="s">
        <v>12940</v>
      </c>
    </row>
    <row r="168" spans="1:2" x14ac:dyDescent="0.25">
      <c r="A168" t="s">
        <v>12380</v>
      </c>
      <c r="B168" t="s">
        <v>12940</v>
      </c>
    </row>
    <row r="169" spans="1:2" x14ac:dyDescent="0.25">
      <c r="A169" t="s">
        <v>3001</v>
      </c>
      <c r="B169" t="s">
        <v>12940</v>
      </c>
    </row>
    <row r="170" spans="1:2" x14ac:dyDescent="0.25">
      <c r="A170" t="s">
        <v>5331</v>
      </c>
      <c r="B170" t="s">
        <v>12940</v>
      </c>
    </row>
    <row r="171" spans="1:2" x14ac:dyDescent="0.25">
      <c r="A171" t="s">
        <v>5791</v>
      </c>
      <c r="B171" t="s">
        <v>12940</v>
      </c>
    </row>
    <row r="172" spans="1:2" x14ac:dyDescent="0.25">
      <c r="A172" t="s">
        <v>5898</v>
      </c>
      <c r="B172" t="s">
        <v>12940</v>
      </c>
    </row>
    <row r="173" spans="1:2" x14ac:dyDescent="0.25">
      <c r="A173" t="s">
        <v>6526</v>
      </c>
      <c r="B173" t="s">
        <v>12940</v>
      </c>
    </row>
    <row r="174" spans="1:2" x14ac:dyDescent="0.25">
      <c r="A174" t="s">
        <v>6764</v>
      </c>
      <c r="B174" t="s">
        <v>12940</v>
      </c>
    </row>
    <row r="175" spans="1:2" x14ac:dyDescent="0.25">
      <c r="A175" t="s">
        <v>7541</v>
      </c>
      <c r="B175" t="s">
        <v>12940</v>
      </c>
    </row>
    <row r="176" spans="1:2" x14ac:dyDescent="0.25">
      <c r="A176" t="s">
        <v>7903</v>
      </c>
      <c r="B176" t="s">
        <v>12940</v>
      </c>
    </row>
    <row r="177" spans="1:2" x14ac:dyDescent="0.25">
      <c r="A177" t="s">
        <v>8010</v>
      </c>
      <c r="B177" t="s">
        <v>12940</v>
      </c>
    </row>
    <row r="178" spans="1:2" x14ac:dyDescent="0.25">
      <c r="A178" t="s">
        <v>9327</v>
      </c>
      <c r="B178" t="s">
        <v>12940</v>
      </c>
    </row>
    <row r="179" spans="1:2" x14ac:dyDescent="0.25">
      <c r="A179" t="s">
        <v>10063</v>
      </c>
      <c r="B179" t="s">
        <v>12940</v>
      </c>
    </row>
    <row r="180" spans="1:2" x14ac:dyDescent="0.25">
      <c r="A180" t="s">
        <v>10480</v>
      </c>
      <c r="B180" t="s">
        <v>12940</v>
      </c>
    </row>
    <row r="181" spans="1:2" x14ac:dyDescent="0.25">
      <c r="A181" t="s">
        <v>11059</v>
      </c>
      <c r="B181" t="s">
        <v>12940</v>
      </c>
    </row>
    <row r="182" spans="1:2" x14ac:dyDescent="0.25">
      <c r="A182" t="s">
        <v>12710</v>
      </c>
      <c r="B182" t="s">
        <v>12940</v>
      </c>
    </row>
    <row r="183" spans="1:2" x14ac:dyDescent="0.25">
      <c r="A183" t="s">
        <v>12753</v>
      </c>
      <c r="B183" t="s">
        <v>12940</v>
      </c>
    </row>
    <row r="184" spans="1:2" x14ac:dyDescent="0.25">
      <c r="A184" t="s">
        <v>2509</v>
      </c>
      <c r="B184" t="s">
        <v>12940</v>
      </c>
    </row>
    <row r="185" spans="1:2" x14ac:dyDescent="0.25">
      <c r="A185" t="s">
        <v>2559</v>
      </c>
      <c r="B185" t="s">
        <v>12940</v>
      </c>
    </row>
    <row r="186" spans="1:2" x14ac:dyDescent="0.25">
      <c r="A186" t="s">
        <v>3681</v>
      </c>
      <c r="B186" t="s">
        <v>12940</v>
      </c>
    </row>
    <row r="187" spans="1:2" x14ac:dyDescent="0.25">
      <c r="A187" t="s">
        <v>3747</v>
      </c>
      <c r="B187" t="s">
        <v>12940</v>
      </c>
    </row>
    <row r="188" spans="1:2" x14ac:dyDescent="0.25">
      <c r="A188" t="s">
        <v>6241</v>
      </c>
      <c r="B188" t="s">
        <v>12940</v>
      </c>
    </row>
    <row r="189" spans="1:2" x14ac:dyDescent="0.25">
      <c r="A189" t="s">
        <v>8050</v>
      </c>
      <c r="B189" t="s">
        <v>12940</v>
      </c>
    </row>
    <row r="190" spans="1:2" x14ac:dyDescent="0.25">
      <c r="A190" t="s">
        <v>8086</v>
      </c>
      <c r="B190" t="s">
        <v>12940</v>
      </c>
    </row>
    <row r="191" spans="1:2" x14ac:dyDescent="0.25">
      <c r="A191" t="s">
        <v>8403</v>
      </c>
      <c r="B191" t="s">
        <v>12940</v>
      </c>
    </row>
    <row r="192" spans="1:2" x14ac:dyDescent="0.25">
      <c r="A192" t="s">
        <v>9107</v>
      </c>
      <c r="B192" t="s">
        <v>12940</v>
      </c>
    </row>
    <row r="193" spans="1:2" x14ac:dyDescent="0.25">
      <c r="A193" t="s">
        <v>9566</v>
      </c>
      <c r="B193" t="s">
        <v>12940</v>
      </c>
    </row>
    <row r="194" spans="1:2" x14ac:dyDescent="0.25">
      <c r="A194" t="s">
        <v>9699</v>
      </c>
      <c r="B194" t="s">
        <v>12940</v>
      </c>
    </row>
    <row r="195" spans="1:2" x14ac:dyDescent="0.25">
      <c r="A195" t="s">
        <v>10223</v>
      </c>
      <c r="B195" t="s">
        <v>12940</v>
      </c>
    </row>
    <row r="196" spans="1:2" x14ac:dyDescent="0.25">
      <c r="A196" t="s">
        <v>11177</v>
      </c>
      <c r="B196" t="s">
        <v>12940</v>
      </c>
    </row>
    <row r="197" spans="1:2" x14ac:dyDescent="0.25">
      <c r="A197" t="s">
        <v>11533</v>
      </c>
      <c r="B197" t="s">
        <v>12940</v>
      </c>
    </row>
    <row r="198" spans="1:2" x14ac:dyDescent="0.25">
      <c r="A198" t="s">
        <v>11586</v>
      </c>
      <c r="B198" t="s">
        <v>12940</v>
      </c>
    </row>
    <row r="199" spans="1:2" x14ac:dyDescent="0.25">
      <c r="A199" t="s">
        <v>11624</v>
      </c>
      <c r="B199" t="s">
        <v>12940</v>
      </c>
    </row>
    <row r="200" spans="1:2" x14ac:dyDescent="0.25">
      <c r="A200" t="s">
        <v>11656</v>
      </c>
      <c r="B200" t="s">
        <v>12940</v>
      </c>
    </row>
    <row r="201" spans="1:2" x14ac:dyDescent="0.25">
      <c r="A201" t="s">
        <v>11683</v>
      </c>
      <c r="B201" t="s">
        <v>12940</v>
      </c>
    </row>
    <row r="202" spans="1:2" x14ac:dyDescent="0.25">
      <c r="A202" t="s">
        <v>12226</v>
      </c>
      <c r="B202" t="s">
        <v>12940</v>
      </c>
    </row>
    <row r="203" spans="1:2" x14ac:dyDescent="0.25">
      <c r="A203" t="s">
        <v>3069</v>
      </c>
      <c r="B203" t="s">
        <v>12940</v>
      </c>
    </row>
    <row r="204" spans="1:2" x14ac:dyDescent="0.25">
      <c r="A204" t="s">
        <v>4039</v>
      </c>
      <c r="B204" t="s">
        <v>12940</v>
      </c>
    </row>
    <row r="205" spans="1:2" x14ac:dyDescent="0.25">
      <c r="A205" t="s">
        <v>4111</v>
      </c>
      <c r="B205" t="s">
        <v>12940</v>
      </c>
    </row>
    <row r="206" spans="1:2" x14ac:dyDescent="0.25">
      <c r="A206" t="s">
        <v>4132</v>
      </c>
      <c r="B206" t="s">
        <v>12940</v>
      </c>
    </row>
    <row r="207" spans="1:2" x14ac:dyDescent="0.25">
      <c r="A207" t="s">
        <v>4255</v>
      </c>
      <c r="B207" t="s">
        <v>12940</v>
      </c>
    </row>
    <row r="208" spans="1:2" x14ac:dyDescent="0.25">
      <c r="A208" t="s">
        <v>5463</v>
      </c>
      <c r="B208" t="s">
        <v>12940</v>
      </c>
    </row>
    <row r="209" spans="1:2" x14ac:dyDescent="0.25">
      <c r="A209" t="s">
        <v>5481</v>
      </c>
      <c r="B209" t="s">
        <v>12940</v>
      </c>
    </row>
    <row r="210" spans="1:2" x14ac:dyDescent="0.25">
      <c r="A210" t="s">
        <v>5525</v>
      </c>
      <c r="B210" t="s">
        <v>12940</v>
      </c>
    </row>
    <row r="211" spans="1:2" x14ac:dyDescent="0.25">
      <c r="A211" t="s">
        <v>5546</v>
      </c>
      <c r="B211" t="s">
        <v>12940</v>
      </c>
    </row>
    <row r="212" spans="1:2" x14ac:dyDescent="0.25">
      <c r="A212" t="s">
        <v>5868</v>
      </c>
      <c r="B212" t="s">
        <v>12940</v>
      </c>
    </row>
    <row r="213" spans="1:2" x14ac:dyDescent="0.25">
      <c r="A213" t="s">
        <v>6093</v>
      </c>
      <c r="B213" t="s">
        <v>12940</v>
      </c>
    </row>
    <row r="214" spans="1:2" x14ac:dyDescent="0.25">
      <c r="A214" t="s">
        <v>6820</v>
      </c>
      <c r="B214" t="s">
        <v>12940</v>
      </c>
    </row>
    <row r="215" spans="1:2" x14ac:dyDescent="0.25">
      <c r="A215" t="s">
        <v>6875</v>
      </c>
      <c r="B215" t="s">
        <v>12940</v>
      </c>
    </row>
    <row r="216" spans="1:2" x14ac:dyDescent="0.25">
      <c r="A216" t="s">
        <v>7597</v>
      </c>
      <c r="B216" t="s">
        <v>12940</v>
      </c>
    </row>
    <row r="217" spans="1:2" x14ac:dyDescent="0.25">
      <c r="A217" t="s">
        <v>8959</v>
      </c>
      <c r="B217" t="s">
        <v>12940</v>
      </c>
    </row>
    <row r="218" spans="1:2" x14ac:dyDescent="0.25">
      <c r="A218" t="s">
        <v>9212</v>
      </c>
      <c r="B218" t="s">
        <v>12940</v>
      </c>
    </row>
    <row r="219" spans="1:2" x14ac:dyDescent="0.25">
      <c r="A219" t="s">
        <v>9252</v>
      </c>
      <c r="B219" t="s">
        <v>12940</v>
      </c>
    </row>
    <row r="220" spans="1:2" x14ac:dyDescent="0.25">
      <c r="A220" t="s">
        <v>10083</v>
      </c>
      <c r="B220" t="s">
        <v>12940</v>
      </c>
    </row>
    <row r="221" spans="1:2" x14ac:dyDescent="0.25">
      <c r="A221" t="s">
        <v>10119</v>
      </c>
      <c r="B221" t="s">
        <v>12940</v>
      </c>
    </row>
    <row r="222" spans="1:2" x14ac:dyDescent="0.25">
      <c r="A222" t="s">
        <v>10811</v>
      </c>
      <c r="B222" t="s">
        <v>12940</v>
      </c>
    </row>
    <row r="223" spans="1:2" x14ac:dyDescent="0.25">
      <c r="A223" t="s">
        <v>10823</v>
      </c>
      <c r="B223" t="s">
        <v>12940</v>
      </c>
    </row>
    <row r="224" spans="1:2" x14ac:dyDescent="0.25">
      <c r="A224" t="s">
        <v>11000</v>
      </c>
      <c r="B224" t="s">
        <v>12940</v>
      </c>
    </row>
    <row r="225" spans="1:2" x14ac:dyDescent="0.25">
      <c r="A225" t="s">
        <v>12020</v>
      </c>
      <c r="B225" t="s">
        <v>12940</v>
      </c>
    </row>
    <row r="226" spans="1:2" x14ac:dyDescent="0.25">
      <c r="A226" t="s">
        <v>2891</v>
      </c>
      <c r="B226" t="s">
        <v>12940</v>
      </c>
    </row>
    <row r="227" spans="1:2" x14ac:dyDescent="0.25">
      <c r="A227" t="s">
        <v>4003</v>
      </c>
      <c r="B227" t="s">
        <v>12940</v>
      </c>
    </row>
    <row r="228" spans="1:2" x14ac:dyDescent="0.25">
      <c r="A228" t="s">
        <v>4305</v>
      </c>
      <c r="B228" t="s">
        <v>12940</v>
      </c>
    </row>
    <row r="229" spans="1:2" x14ac:dyDescent="0.25">
      <c r="A229" t="s">
        <v>4416</v>
      </c>
      <c r="B229" t="s">
        <v>12940</v>
      </c>
    </row>
    <row r="230" spans="1:2" x14ac:dyDescent="0.25">
      <c r="A230" t="s">
        <v>4676</v>
      </c>
      <c r="B230" t="s">
        <v>12940</v>
      </c>
    </row>
    <row r="231" spans="1:2" x14ac:dyDescent="0.25">
      <c r="A231" t="s">
        <v>5178</v>
      </c>
      <c r="B231" t="s">
        <v>12940</v>
      </c>
    </row>
    <row r="232" spans="1:2" x14ac:dyDescent="0.25">
      <c r="A232" t="s">
        <v>5685</v>
      </c>
      <c r="B232" t="s">
        <v>12940</v>
      </c>
    </row>
    <row r="233" spans="1:2" x14ac:dyDescent="0.25">
      <c r="A233" t="s">
        <v>6141</v>
      </c>
      <c r="B233" t="s">
        <v>12940</v>
      </c>
    </row>
    <row r="234" spans="1:2" x14ac:dyDescent="0.25">
      <c r="A234" t="s">
        <v>6462</v>
      </c>
      <c r="B234" t="s">
        <v>12940</v>
      </c>
    </row>
    <row r="235" spans="1:2" x14ac:dyDescent="0.25">
      <c r="A235" t="s">
        <v>7104</v>
      </c>
      <c r="B235" t="s">
        <v>12940</v>
      </c>
    </row>
    <row r="236" spans="1:2" x14ac:dyDescent="0.25">
      <c r="A236" t="s">
        <v>7269</v>
      </c>
      <c r="B236" t="s">
        <v>12940</v>
      </c>
    </row>
    <row r="237" spans="1:2" x14ac:dyDescent="0.25">
      <c r="A237" t="s">
        <v>7797</v>
      </c>
      <c r="B237" t="s">
        <v>12940</v>
      </c>
    </row>
    <row r="238" spans="1:2" x14ac:dyDescent="0.25">
      <c r="A238" t="s">
        <v>9127</v>
      </c>
      <c r="B238" t="s">
        <v>12940</v>
      </c>
    </row>
    <row r="239" spans="1:2" x14ac:dyDescent="0.25">
      <c r="A239" t="s">
        <v>9578</v>
      </c>
      <c r="B239" t="s">
        <v>12940</v>
      </c>
    </row>
    <row r="240" spans="1:2" x14ac:dyDescent="0.25">
      <c r="A240" t="s">
        <v>9606</v>
      </c>
      <c r="B240" t="s">
        <v>12940</v>
      </c>
    </row>
    <row r="241" spans="1:2" x14ac:dyDescent="0.25">
      <c r="A241" t="s">
        <v>10499</v>
      </c>
      <c r="B241" t="s">
        <v>12940</v>
      </c>
    </row>
    <row r="242" spans="1:2" x14ac:dyDescent="0.25">
      <c r="A242" t="s">
        <v>10564</v>
      </c>
      <c r="B242" t="s">
        <v>12940</v>
      </c>
    </row>
    <row r="243" spans="1:2" x14ac:dyDescent="0.25">
      <c r="A243" t="s">
        <v>11038</v>
      </c>
      <c r="B243" t="s">
        <v>12940</v>
      </c>
    </row>
    <row r="244" spans="1:2" x14ac:dyDescent="0.25">
      <c r="A244" t="s">
        <v>12530</v>
      </c>
      <c r="B244" t="s">
        <v>12940</v>
      </c>
    </row>
    <row r="245" spans="1:2" x14ac:dyDescent="0.25">
      <c r="A245" t="s">
        <v>12547</v>
      </c>
      <c r="B245" t="s">
        <v>12940</v>
      </c>
    </row>
    <row r="246" spans="1:2" x14ac:dyDescent="0.25">
      <c r="A246" t="s">
        <v>12870</v>
      </c>
      <c r="B246" t="s">
        <v>12940</v>
      </c>
    </row>
    <row r="247" spans="1:2" x14ac:dyDescent="0.25">
      <c r="A247" t="s">
        <v>12893</v>
      </c>
      <c r="B247" t="s">
        <v>12940</v>
      </c>
    </row>
    <row r="248" spans="1:2" x14ac:dyDescent="0.25">
      <c r="A248" t="s">
        <v>1370</v>
      </c>
      <c r="B248" t="s">
        <v>12940</v>
      </c>
    </row>
    <row r="249" spans="1:2" x14ac:dyDescent="0.25">
      <c r="A249" t="s">
        <v>1540</v>
      </c>
      <c r="B249" t="s">
        <v>12940</v>
      </c>
    </row>
    <row r="250" spans="1:2" x14ac:dyDescent="0.25">
      <c r="A250" t="s">
        <v>2004</v>
      </c>
      <c r="B250" t="s">
        <v>12940</v>
      </c>
    </row>
    <row r="251" spans="1:2" x14ac:dyDescent="0.25">
      <c r="A251" t="s">
        <v>2790</v>
      </c>
      <c r="B251" t="s">
        <v>12940</v>
      </c>
    </row>
    <row r="252" spans="1:2" x14ac:dyDescent="0.25">
      <c r="A252" t="s">
        <v>3442</v>
      </c>
      <c r="B252" t="s">
        <v>12940</v>
      </c>
    </row>
    <row r="253" spans="1:2" x14ac:dyDescent="0.25">
      <c r="A253" t="s">
        <v>3555</v>
      </c>
      <c r="B253" t="s">
        <v>12940</v>
      </c>
    </row>
    <row r="254" spans="1:2" x14ac:dyDescent="0.25">
      <c r="A254" t="s">
        <v>3604</v>
      </c>
      <c r="B254" t="s">
        <v>12940</v>
      </c>
    </row>
    <row r="255" spans="1:2" x14ac:dyDescent="0.25">
      <c r="A255" t="s">
        <v>4191</v>
      </c>
      <c r="B255" t="s">
        <v>12940</v>
      </c>
    </row>
    <row r="256" spans="1:2" x14ac:dyDescent="0.25">
      <c r="A256" t="s">
        <v>5348</v>
      </c>
      <c r="B256" t="s">
        <v>12940</v>
      </c>
    </row>
    <row r="257" spans="1:2" x14ac:dyDescent="0.25">
      <c r="A257" t="s">
        <v>5400</v>
      </c>
      <c r="B257" t="s">
        <v>12940</v>
      </c>
    </row>
    <row r="258" spans="1:2" x14ac:dyDescent="0.25">
      <c r="A258" t="s">
        <v>5423</v>
      </c>
      <c r="B258" t="s">
        <v>12940</v>
      </c>
    </row>
    <row r="259" spans="1:2" x14ac:dyDescent="0.25">
      <c r="A259" t="s">
        <v>5625</v>
      </c>
      <c r="B259" t="s">
        <v>12940</v>
      </c>
    </row>
    <row r="260" spans="1:2" x14ac:dyDescent="0.25">
      <c r="A260" t="s">
        <v>7142</v>
      </c>
      <c r="B260" t="s">
        <v>12940</v>
      </c>
    </row>
    <row r="261" spans="1:2" x14ac:dyDescent="0.25">
      <c r="A261" t="s">
        <v>7160</v>
      </c>
      <c r="B261" t="s">
        <v>12940</v>
      </c>
    </row>
    <row r="262" spans="1:2" x14ac:dyDescent="0.25">
      <c r="A262" t="s">
        <v>7352</v>
      </c>
      <c r="B262" t="s">
        <v>12940</v>
      </c>
    </row>
    <row r="263" spans="1:2" x14ac:dyDescent="0.25">
      <c r="A263" t="s">
        <v>7764</v>
      </c>
      <c r="B263" t="s">
        <v>12940</v>
      </c>
    </row>
    <row r="264" spans="1:2" x14ac:dyDescent="0.25">
      <c r="A264" t="s">
        <v>7957</v>
      </c>
      <c r="B264" t="s">
        <v>12940</v>
      </c>
    </row>
    <row r="265" spans="1:2" x14ac:dyDescent="0.25">
      <c r="A265" t="s">
        <v>8178</v>
      </c>
      <c r="B265" t="s">
        <v>12940</v>
      </c>
    </row>
    <row r="266" spans="1:2" x14ac:dyDescent="0.25">
      <c r="A266" t="s">
        <v>8897</v>
      </c>
      <c r="B266" t="s">
        <v>12940</v>
      </c>
    </row>
    <row r="267" spans="1:2" x14ac:dyDescent="0.25">
      <c r="A267" t="s">
        <v>9457</v>
      </c>
      <c r="B267" t="s">
        <v>12940</v>
      </c>
    </row>
    <row r="268" spans="1:2" x14ac:dyDescent="0.25">
      <c r="A268" t="s">
        <v>10271</v>
      </c>
      <c r="B268" t="s">
        <v>12940</v>
      </c>
    </row>
    <row r="269" spans="1:2" x14ac:dyDescent="0.25">
      <c r="A269" t="s">
        <v>10369</v>
      </c>
      <c r="B269" t="s">
        <v>12940</v>
      </c>
    </row>
    <row r="270" spans="1:2" x14ac:dyDescent="0.25">
      <c r="A270" t="s">
        <v>10448</v>
      </c>
      <c r="B270" t="s">
        <v>12940</v>
      </c>
    </row>
    <row r="271" spans="1:2" x14ac:dyDescent="0.25">
      <c r="A271" t="s">
        <v>10643</v>
      </c>
      <c r="B271" t="s">
        <v>12940</v>
      </c>
    </row>
    <row r="272" spans="1:2" x14ac:dyDescent="0.25">
      <c r="A272" t="s">
        <v>11768</v>
      </c>
      <c r="B272" t="s">
        <v>12940</v>
      </c>
    </row>
    <row r="273" spans="1:2" x14ac:dyDescent="0.25">
      <c r="A273" t="s">
        <v>12619</v>
      </c>
      <c r="B273" t="s">
        <v>12940</v>
      </c>
    </row>
    <row r="274" spans="1:2" x14ac:dyDescent="0.25">
      <c r="A274" t="s">
        <v>1772</v>
      </c>
      <c r="B274" t="s">
        <v>12940</v>
      </c>
    </row>
    <row r="275" spans="1:2" x14ac:dyDescent="0.25">
      <c r="A275" t="s">
        <v>1907</v>
      </c>
      <c r="B275" t="s">
        <v>12940</v>
      </c>
    </row>
    <row r="276" spans="1:2" x14ac:dyDescent="0.25">
      <c r="A276" t="s">
        <v>2875</v>
      </c>
      <c r="B276" t="s">
        <v>12940</v>
      </c>
    </row>
    <row r="277" spans="1:2" x14ac:dyDescent="0.25">
      <c r="A277" t="s">
        <v>2931</v>
      </c>
      <c r="B277" t="s">
        <v>12940</v>
      </c>
    </row>
    <row r="278" spans="1:2" x14ac:dyDescent="0.25">
      <c r="A278" t="s">
        <v>3176</v>
      </c>
      <c r="B278" t="s">
        <v>12940</v>
      </c>
    </row>
    <row r="279" spans="1:2" x14ac:dyDescent="0.25">
      <c r="A279" t="s">
        <v>3335</v>
      </c>
      <c r="B279" t="s">
        <v>12940</v>
      </c>
    </row>
    <row r="280" spans="1:2" x14ac:dyDescent="0.25">
      <c r="A280" t="s">
        <v>3509</v>
      </c>
      <c r="B280" t="s">
        <v>12940</v>
      </c>
    </row>
    <row r="281" spans="1:2" x14ac:dyDescent="0.25">
      <c r="A281" t="s">
        <v>3829</v>
      </c>
      <c r="B281" t="s">
        <v>12940</v>
      </c>
    </row>
    <row r="282" spans="1:2" x14ac:dyDescent="0.25">
      <c r="A282" t="s">
        <v>4724</v>
      </c>
      <c r="B282" t="s">
        <v>12940</v>
      </c>
    </row>
    <row r="283" spans="1:2" x14ac:dyDescent="0.25">
      <c r="A283" t="s">
        <v>5039</v>
      </c>
      <c r="B283" t="s">
        <v>12940</v>
      </c>
    </row>
    <row r="284" spans="1:2" x14ac:dyDescent="0.25">
      <c r="A284" t="s">
        <v>5142</v>
      </c>
      <c r="B284" t="s">
        <v>12940</v>
      </c>
    </row>
    <row r="285" spans="1:2" x14ac:dyDescent="0.25">
      <c r="A285" t="s">
        <v>6162</v>
      </c>
      <c r="B285" t="s">
        <v>12940</v>
      </c>
    </row>
    <row r="286" spans="1:2" x14ac:dyDescent="0.25">
      <c r="A286" t="s">
        <v>6200</v>
      </c>
      <c r="B286" t="s">
        <v>12940</v>
      </c>
    </row>
    <row r="287" spans="1:2" x14ac:dyDescent="0.25">
      <c r="A287" t="s">
        <v>6286</v>
      </c>
      <c r="B287" t="s">
        <v>12940</v>
      </c>
    </row>
    <row r="288" spans="1:2" x14ac:dyDescent="0.25">
      <c r="A288" t="s">
        <v>6343</v>
      </c>
      <c r="B288" t="s">
        <v>12940</v>
      </c>
    </row>
    <row r="289" spans="1:2" x14ac:dyDescent="0.25">
      <c r="A289" t="s">
        <v>6385</v>
      </c>
      <c r="B289" t="s">
        <v>12940</v>
      </c>
    </row>
    <row r="290" spans="1:2" x14ac:dyDescent="0.25">
      <c r="A290" t="s">
        <v>6603</v>
      </c>
      <c r="B290" t="s">
        <v>12940</v>
      </c>
    </row>
    <row r="291" spans="1:2" x14ac:dyDescent="0.25">
      <c r="A291" t="s">
        <v>6840</v>
      </c>
      <c r="B291" t="s">
        <v>12940</v>
      </c>
    </row>
    <row r="292" spans="1:2" x14ac:dyDescent="0.25">
      <c r="A292" t="s">
        <v>6853</v>
      </c>
      <c r="B292" t="s">
        <v>12940</v>
      </c>
    </row>
    <row r="293" spans="1:2" x14ac:dyDescent="0.25">
      <c r="A293" t="s">
        <v>6959</v>
      </c>
      <c r="B293" t="s">
        <v>12940</v>
      </c>
    </row>
    <row r="294" spans="1:2" x14ac:dyDescent="0.25">
      <c r="A294" t="s">
        <v>7507</v>
      </c>
      <c r="B294" t="s">
        <v>12940</v>
      </c>
    </row>
    <row r="295" spans="1:2" x14ac:dyDescent="0.25">
      <c r="A295" t="s">
        <v>7561</v>
      </c>
      <c r="B295" t="s">
        <v>12940</v>
      </c>
    </row>
    <row r="296" spans="1:2" x14ac:dyDescent="0.25">
      <c r="A296" t="s">
        <v>7809</v>
      </c>
      <c r="B296" t="s">
        <v>12940</v>
      </c>
    </row>
    <row r="297" spans="1:2" x14ac:dyDescent="0.25">
      <c r="A297" t="s">
        <v>8331</v>
      </c>
      <c r="B297" t="s">
        <v>12940</v>
      </c>
    </row>
    <row r="298" spans="1:2" x14ac:dyDescent="0.25">
      <c r="A298" t="s">
        <v>8552</v>
      </c>
      <c r="B298" t="s">
        <v>12940</v>
      </c>
    </row>
    <row r="299" spans="1:2" x14ac:dyDescent="0.25">
      <c r="A299" t="s">
        <v>9034</v>
      </c>
      <c r="B299" t="s">
        <v>12940</v>
      </c>
    </row>
    <row r="300" spans="1:2" x14ac:dyDescent="0.25">
      <c r="A300" t="s">
        <v>9227</v>
      </c>
      <c r="B300" t="s">
        <v>12940</v>
      </c>
    </row>
    <row r="301" spans="1:2" x14ac:dyDescent="0.25">
      <c r="A301" t="s">
        <v>9401</v>
      </c>
      <c r="B301" t="s">
        <v>12940</v>
      </c>
    </row>
    <row r="302" spans="1:2" x14ac:dyDescent="0.25">
      <c r="A302" t="s">
        <v>9996</v>
      </c>
      <c r="B302" t="s">
        <v>12940</v>
      </c>
    </row>
    <row r="303" spans="1:2" x14ac:dyDescent="0.25">
      <c r="A303" t="s">
        <v>10046</v>
      </c>
      <c r="B303" t="s">
        <v>12940</v>
      </c>
    </row>
    <row r="304" spans="1:2" x14ac:dyDescent="0.25">
      <c r="A304" t="s">
        <v>10790</v>
      </c>
      <c r="B304" t="s">
        <v>12940</v>
      </c>
    </row>
    <row r="305" spans="1:2" x14ac:dyDescent="0.25">
      <c r="A305" t="s">
        <v>11607</v>
      </c>
      <c r="B305" t="s">
        <v>12940</v>
      </c>
    </row>
    <row r="306" spans="1:2" x14ac:dyDescent="0.25">
      <c r="A306" t="s">
        <v>11949</v>
      </c>
      <c r="B306" t="s">
        <v>12940</v>
      </c>
    </row>
    <row r="307" spans="1:2" x14ac:dyDescent="0.25">
      <c r="A307" t="s">
        <v>12736</v>
      </c>
      <c r="B307" t="s">
        <v>12940</v>
      </c>
    </row>
    <row r="308" spans="1:2" x14ac:dyDescent="0.25">
      <c r="A308" t="s">
        <v>12786</v>
      </c>
      <c r="B308" t="s">
        <v>12940</v>
      </c>
    </row>
    <row r="309" spans="1:2" x14ac:dyDescent="0.25">
      <c r="A309" t="s">
        <v>12799</v>
      </c>
      <c r="B309" t="s">
        <v>12940</v>
      </c>
    </row>
    <row r="310" spans="1:2" x14ac:dyDescent="0.25">
      <c r="A310" t="s">
        <v>12936</v>
      </c>
      <c r="B310" t="s">
        <v>12940</v>
      </c>
    </row>
    <row r="311" spans="1:2" x14ac:dyDescent="0.25">
      <c r="A311" t="s">
        <v>1563</v>
      </c>
      <c r="B311" t="s">
        <v>12940</v>
      </c>
    </row>
    <row r="312" spans="1:2" x14ac:dyDescent="0.25">
      <c r="A312" t="s">
        <v>2019</v>
      </c>
      <c r="B312" t="s">
        <v>12940</v>
      </c>
    </row>
    <row r="313" spans="1:2" x14ac:dyDescent="0.25">
      <c r="A313" t="s">
        <v>2034</v>
      </c>
      <c r="B313" t="s">
        <v>12940</v>
      </c>
    </row>
    <row r="314" spans="1:2" x14ac:dyDescent="0.25">
      <c r="A314" t="s">
        <v>2048</v>
      </c>
      <c r="B314" t="s">
        <v>12940</v>
      </c>
    </row>
    <row r="315" spans="1:2" x14ac:dyDescent="0.25">
      <c r="A315" t="s">
        <v>2370</v>
      </c>
      <c r="B315" t="s">
        <v>12940</v>
      </c>
    </row>
    <row r="316" spans="1:2" x14ac:dyDescent="0.25">
      <c r="A316" t="s">
        <v>2671</v>
      </c>
      <c r="B316" t="s">
        <v>12940</v>
      </c>
    </row>
    <row r="317" spans="1:2" x14ac:dyDescent="0.25">
      <c r="A317" t="s">
        <v>2709</v>
      </c>
      <c r="B317" t="s">
        <v>12940</v>
      </c>
    </row>
    <row r="318" spans="1:2" x14ac:dyDescent="0.25">
      <c r="A318" t="s">
        <v>3241</v>
      </c>
      <c r="B318" t="s">
        <v>12940</v>
      </c>
    </row>
    <row r="319" spans="1:2" x14ac:dyDescent="0.25">
      <c r="A319" t="s">
        <v>3261</v>
      </c>
      <c r="B319" t="s">
        <v>12940</v>
      </c>
    </row>
    <row r="320" spans="1:2" x14ac:dyDescent="0.25">
      <c r="A320" t="s">
        <v>3311</v>
      </c>
      <c r="B320" t="s">
        <v>12940</v>
      </c>
    </row>
    <row r="321" spans="1:2" x14ac:dyDescent="0.25">
      <c r="A321" t="s">
        <v>3386</v>
      </c>
      <c r="B321" t="s">
        <v>12940</v>
      </c>
    </row>
    <row r="322" spans="1:2" x14ac:dyDescent="0.25">
      <c r="A322" t="s">
        <v>3579</v>
      </c>
      <c r="B322" t="s">
        <v>12940</v>
      </c>
    </row>
    <row r="323" spans="1:2" x14ac:dyDescent="0.25">
      <c r="A323" t="s">
        <v>3732</v>
      </c>
      <c r="B323" t="s">
        <v>12940</v>
      </c>
    </row>
    <row r="324" spans="1:2" x14ac:dyDescent="0.25">
      <c r="A324" t="s">
        <v>4093</v>
      </c>
      <c r="B324" t="s">
        <v>12940</v>
      </c>
    </row>
    <row r="325" spans="1:2" x14ac:dyDescent="0.25">
      <c r="A325" t="s">
        <v>4148</v>
      </c>
      <c r="B325" t="s">
        <v>12940</v>
      </c>
    </row>
    <row r="326" spans="1:2" x14ac:dyDescent="0.25">
      <c r="A326" t="s">
        <v>4272</v>
      </c>
      <c r="B326" t="s">
        <v>12940</v>
      </c>
    </row>
    <row r="327" spans="1:2" x14ac:dyDescent="0.25">
      <c r="A327" t="s">
        <v>4290</v>
      </c>
      <c r="B327" t="s">
        <v>12940</v>
      </c>
    </row>
    <row r="328" spans="1:2" x14ac:dyDescent="0.25">
      <c r="A328" t="s">
        <v>4361</v>
      </c>
      <c r="B328" t="s">
        <v>12940</v>
      </c>
    </row>
    <row r="329" spans="1:2" x14ac:dyDescent="0.25">
      <c r="A329" t="s">
        <v>4537</v>
      </c>
      <c r="B329" t="s">
        <v>12940</v>
      </c>
    </row>
    <row r="330" spans="1:2" x14ac:dyDescent="0.25">
      <c r="A330" t="s">
        <v>4762</v>
      </c>
      <c r="B330" t="s">
        <v>12940</v>
      </c>
    </row>
    <row r="331" spans="1:2" x14ac:dyDescent="0.25">
      <c r="A331" t="s">
        <v>4821</v>
      </c>
      <c r="B331" t="s">
        <v>12940</v>
      </c>
    </row>
    <row r="332" spans="1:2" x14ac:dyDescent="0.25">
      <c r="A332" t="s">
        <v>4925</v>
      </c>
      <c r="B332" t="s">
        <v>12940</v>
      </c>
    </row>
    <row r="333" spans="1:2" x14ac:dyDescent="0.25">
      <c r="A333" t="s">
        <v>4946</v>
      </c>
      <c r="B333" t="s">
        <v>12940</v>
      </c>
    </row>
    <row r="334" spans="1:2" x14ac:dyDescent="0.25">
      <c r="A334" t="s">
        <v>5004</v>
      </c>
      <c r="B334" t="s">
        <v>12940</v>
      </c>
    </row>
    <row r="335" spans="1:2" x14ac:dyDescent="0.25">
      <c r="A335" t="s">
        <v>5103</v>
      </c>
      <c r="B335" t="s">
        <v>12940</v>
      </c>
    </row>
    <row r="336" spans="1:2" x14ac:dyDescent="0.25">
      <c r="A336" t="s">
        <v>5362</v>
      </c>
      <c r="B336" t="s">
        <v>12940</v>
      </c>
    </row>
    <row r="337" spans="1:2" x14ac:dyDescent="0.25">
      <c r="A337" t="s">
        <v>5501</v>
      </c>
      <c r="B337" t="s">
        <v>12940</v>
      </c>
    </row>
    <row r="338" spans="1:2" x14ac:dyDescent="0.25">
      <c r="A338" t="s">
        <v>5665</v>
      </c>
      <c r="B338" t="s">
        <v>12940</v>
      </c>
    </row>
    <row r="339" spans="1:2" x14ac:dyDescent="0.25">
      <c r="A339" t="s">
        <v>5756</v>
      </c>
      <c r="B339" t="s">
        <v>12940</v>
      </c>
    </row>
    <row r="340" spans="1:2" x14ac:dyDescent="0.25">
      <c r="A340" t="s">
        <v>5949</v>
      </c>
      <c r="B340" t="s">
        <v>12940</v>
      </c>
    </row>
    <row r="341" spans="1:2" x14ac:dyDescent="0.25">
      <c r="A341" t="s">
        <v>6548</v>
      </c>
      <c r="B341" t="s">
        <v>12940</v>
      </c>
    </row>
    <row r="342" spans="1:2" x14ac:dyDescent="0.25">
      <c r="A342" t="s">
        <v>6567</v>
      </c>
      <c r="B342" t="s">
        <v>12940</v>
      </c>
    </row>
    <row r="343" spans="1:2" x14ac:dyDescent="0.25">
      <c r="A343" t="s">
        <v>6680</v>
      </c>
      <c r="B343" t="s">
        <v>12940</v>
      </c>
    </row>
    <row r="344" spans="1:2" x14ac:dyDescent="0.25">
      <c r="A344" t="s">
        <v>6799</v>
      </c>
      <c r="B344" t="s">
        <v>12940</v>
      </c>
    </row>
    <row r="345" spans="1:2" x14ac:dyDescent="0.25">
      <c r="A345" t="s">
        <v>7050</v>
      </c>
      <c r="B345" t="s">
        <v>12940</v>
      </c>
    </row>
    <row r="346" spans="1:2" x14ac:dyDescent="0.25">
      <c r="A346" t="s">
        <v>7219</v>
      </c>
      <c r="B346" t="s">
        <v>12940</v>
      </c>
    </row>
    <row r="347" spans="1:2" x14ac:dyDescent="0.25">
      <c r="A347" t="s">
        <v>7485</v>
      </c>
      <c r="B347" t="s">
        <v>12940</v>
      </c>
    </row>
    <row r="348" spans="1:2" x14ac:dyDescent="0.25">
      <c r="A348" t="s">
        <v>7728</v>
      </c>
      <c r="B348" t="s">
        <v>12940</v>
      </c>
    </row>
    <row r="349" spans="1:2" x14ac:dyDescent="0.25">
      <c r="A349" t="s">
        <v>7743</v>
      </c>
      <c r="B349" t="s">
        <v>12940</v>
      </c>
    </row>
    <row r="350" spans="1:2" x14ac:dyDescent="0.25">
      <c r="A350" t="s">
        <v>8130</v>
      </c>
      <c r="B350" t="s">
        <v>12940</v>
      </c>
    </row>
    <row r="351" spans="1:2" x14ac:dyDescent="0.25">
      <c r="A351" t="s">
        <v>8490</v>
      </c>
      <c r="B351" t="s">
        <v>12940</v>
      </c>
    </row>
    <row r="352" spans="1:2" x14ac:dyDescent="0.25">
      <c r="A352" t="s">
        <v>8505</v>
      </c>
      <c r="B352" t="s">
        <v>12940</v>
      </c>
    </row>
    <row r="353" spans="1:2" x14ac:dyDescent="0.25">
      <c r="A353" t="s">
        <v>8573</v>
      </c>
      <c r="B353" t="s">
        <v>12940</v>
      </c>
    </row>
    <row r="354" spans="1:2" x14ac:dyDescent="0.25">
      <c r="A354" t="s">
        <v>8652</v>
      </c>
      <c r="B354" t="s">
        <v>12940</v>
      </c>
    </row>
    <row r="355" spans="1:2" x14ac:dyDescent="0.25">
      <c r="A355" t="s">
        <v>8771</v>
      </c>
      <c r="B355" t="s">
        <v>12940</v>
      </c>
    </row>
    <row r="356" spans="1:2" x14ac:dyDescent="0.25">
      <c r="A356" t="s">
        <v>8976</v>
      </c>
      <c r="B356" t="s">
        <v>12940</v>
      </c>
    </row>
    <row r="357" spans="1:2" x14ac:dyDescent="0.25">
      <c r="A357" t="s">
        <v>9270</v>
      </c>
      <c r="B357" t="s">
        <v>12940</v>
      </c>
    </row>
    <row r="358" spans="1:2" x14ac:dyDescent="0.25">
      <c r="A358" t="s">
        <v>9426</v>
      </c>
      <c r="B358" t="s">
        <v>12940</v>
      </c>
    </row>
    <row r="359" spans="1:2" x14ac:dyDescent="0.25">
      <c r="A359" t="s">
        <v>9501</v>
      </c>
      <c r="B359" t="s">
        <v>12940</v>
      </c>
    </row>
    <row r="360" spans="1:2" x14ac:dyDescent="0.25">
      <c r="A360" t="s">
        <v>9527</v>
      </c>
      <c r="B360" t="s">
        <v>12940</v>
      </c>
    </row>
    <row r="361" spans="1:2" x14ac:dyDescent="0.25">
      <c r="A361" t="s">
        <v>9743</v>
      </c>
      <c r="B361" t="s">
        <v>12940</v>
      </c>
    </row>
    <row r="362" spans="1:2" x14ac:dyDescent="0.25">
      <c r="A362" t="s">
        <v>9800</v>
      </c>
      <c r="B362" t="s">
        <v>12940</v>
      </c>
    </row>
    <row r="363" spans="1:2" x14ac:dyDescent="0.25">
      <c r="A363" t="s">
        <v>10325</v>
      </c>
      <c r="B363" t="s">
        <v>12940</v>
      </c>
    </row>
    <row r="364" spans="1:2" x14ac:dyDescent="0.25">
      <c r="A364" t="s">
        <v>10545</v>
      </c>
      <c r="B364" t="s">
        <v>12940</v>
      </c>
    </row>
    <row r="365" spans="1:2" x14ac:dyDescent="0.25">
      <c r="A365" t="s">
        <v>10605</v>
      </c>
      <c r="B365" t="s">
        <v>12940</v>
      </c>
    </row>
    <row r="366" spans="1:2" x14ac:dyDescent="0.25">
      <c r="A366" t="s">
        <v>10720</v>
      </c>
      <c r="B366" t="s">
        <v>12940</v>
      </c>
    </row>
    <row r="367" spans="1:2" x14ac:dyDescent="0.25">
      <c r="A367" t="s">
        <v>11155</v>
      </c>
      <c r="B367" t="s">
        <v>12940</v>
      </c>
    </row>
    <row r="368" spans="1:2" x14ac:dyDescent="0.25">
      <c r="A368" t="s">
        <v>11262</v>
      </c>
      <c r="B368" t="s">
        <v>12940</v>
      </c>
    </row>
    <row r="369" spans="1:2" x14ac:dyDescent="0.25">
      <c r="A369" t="s">
        <v>11349</v>
      </c>
      <c r="B369" t="s">
        <v>12940</v>
      </c>
    </row>
    <row r="370" spans="1:2" x14ac:dyDescent="0.25">
      <c r="A370" t="s">
        <v>11385</v>
      </c>
      <c r="B370" t="s">
        <v>12940</v>
      </c>
    </row>
    <row r="371" spans="1:2" x14ac:dyDescent="0.25">
      <c r="A371" t="s">
        <v>11559</v>
      </c>
      <c r="B371" t="s">
        <v>12940</v>
      </c>
    </row>
    <row r="372" spans="1:2" x14ac:dyDescent="0.25">
      <c r="A372" t="s">
        <v>11569</v>
      </c>
      <c r="B372" t="s">
        <v>12940</v>
      </c>
    </row>
    <row r="373" spans="1:2" x14ac:dyDescent="0.25">
      <c r="A373" t="s">
        <v>11673</v>
      </c>
      <c r="B373" t="s">
        <v>12940</v>
      </c>
    </row>
    <row r="374" spans="1:2" x14ac:dyDescent="0.25">
      <c r="A374" t="s">
        <v>12105</v>
      </c>
      <c r="B374" t="s">
        <v>12940</v>
      </c>
    </row>
    <row r="375" spans="1:2" x14ac:dyDescent="0.25">
      <c r="A375" t="s">
        <v>12492</v>
      </c>
      <c r="B375" t="s">
        <v>12940</v>
      </c>
    </row>
    <row r="376" spans="1:2" x14ac:dyDescent="0.25">
      <c r="A376" t="s">
        <v>12566</v>
      </c>
      <c r="B376" t="s">
        <v>12940</v>
      </c>
    </row>
    <row r="377" spans="1:2" x14ac:dyDescent="0.25">
      <c r="A377" t="s">
        <v>12587</v>
      </c>
      <c r="B377" t="s">
        <v>12940</v>
      </c>
    </row>
    <row r="378" spans="1:2" x14ac:dyDescent="0.25">
      <c r="A378" t="s">
        <v>12651</v>
      </c>
      <c r="B378" t="s">
        <v>12940</v>
      </c>
    </row>
    <row r="379" spans="1:2" x14ac:dyDescent="0.25">
      <c r="A379" t="s">
        <v>12885</v>
      </c>
      <c r="B379" t="s">
        <v>12940</v>
      </c>
    </row>
    <row r="380" spans="1:2" x14ac:dyDescent="0.25">
      <c r="A380" t="s">
        <v>629</v>
      </c>
      <c r="B380" t="s">
        <v>12940</v>
      </c>
    </row>
    <row r="381" spans="1:2" x14ac:dyDescent="0.25">
      <c r="A381" t="s">
        <v>745</v>
      </c>
      <c r="B381" t="s">
        <v>12940</v>
      </c>
    </row>
    <row r="382" spans="1:2" x14ac:dyDescent="0.25">
      <c r="A382" t="s">
        <v>958</v>
      </c>
      <c r="B382" t="s">
        <v>12940</v>
      </c>
    </row>
    <row r="383" spans="1:2" x14ac:dyDescent="0.25">
      <c r="A383" t="s">
        <v>1104</v>
      </c>
      <c r="B383" t="s">
        <v>12940</v>
      </c>
    </row>
    <row r="384" spans="1:2" x14ac:dyDescent="0.25">
      <c r="A384" t="s">
        <v>1200</v>
      </c>
      <c r="B384" t="s">
        <v>12940</v>
      </c>
    </row>
    <row r="385" spans="1:2" x14ac:dyDescent="0.25">
      <c r="A385" t="s">
        <v>1220</v>
      </c>
      <c r="B385" t="s">
        <v>12940</v>
      </c>
    </row>
    <row r="386" spans="1:2" x14ac:dyDescent="0.25">
      <c r="A386" t="s">
        <v>1267</v>
      </c>
      <c r="B386" t="s">
        <v>12940</v>
      </c>
    </row>
    <row r="387" spans="1:2" x14ac:dyDescent="0.25">
      <c r="A387" t="s">
        <v>1412</v>
      </c>
      <c r="B387" t="s">
        <v>12940</v>
      </c>
    </row>
    <row r="388" spans="1:2" x14ac:dyDescent="0.25">
      <c r="A388" t="s">
        <v>1479</v>
      </c>
      <c r="B388" t="s">
        <v>12940</v>
      </c>
    </row>
    <row r="389" spans="1:2" x14ac:dyDescent="0.25">
      <c r="A389" t="s">
        <v>1519</v>
      </c>
      <c r="B389" t="s">
        <v>12940</v>
      </c>
    </row>
    <row r="390" spans="1:2" x14ac:dyDescent="0.25">
      <c r="A390" t="s">
        <v>1645</v>
      </c>
      <c r="B390" t="s">
        <v>12940</v>
      </c>
    </row>
    <row r="391" spans="1:2" x14ac:dyDescent="0.25">
      <c r="A391" t="s">
        <v>1667</v>
      </c>
      <c r="B391" t="s">
        <v>12940</v>
      </c>
    </row>
    <row r="392" spans="1:2" x14ac:dyDescent="0.25">
      <c r="A392" t="s">
        <v>1732</v>
      </c>
      <c r="B392" t="s">
        <v>12940</v>
      </c>
    </row>
    <row r="393" spans="1:2" x14ac:dyDescent="0.25">
      <c r="A393" t="s">
        <v>1794</v>
      </c>
      <c r="B393" t="s">
        <v>12940</v>
      </c>
    </row>
    <row r="394" spans="1:2" x14ac:dyDescent="0.25">
      <c r="A394" t="s">
        <v>1884</v>
      </c>
      <c r="B394" t="s">
        <v>12940</v>
      </c>
    </row>
    <row r="395" spans="1:2" x14ac:dyDescent="0.25">
      <c r="A395" t="s">
        <v>1978</v>
      </c>
      <c r="B395" t="s">
        <v>12940</v>
      </c>
    </row>
    <row r="396" spans="1:2" x14ac:dyDescent="0.25">
      <c r="A396" t="s">
        <v>2163</v>
      </c>
      <c r="B396" t="s">
        <v>12940</v>
      </c>
    </row>
    <row r="397" spans="1:2" x14ac:dyDescent="0.25">
      <c r="A397" t="s">
        <v>2220</v>
      </c>
      <c r="B397" t="s">
        <v>12940</v>
      </c>
    </row>
    <row r="398" spans="1:2" x14ac:dyDescent="0.25">
      <c r="A398" t="s">
        <v>2322</v>
      </c>
      <c r="B398" t="s">
        <v>12940</v>
      </c>
    </row>
    <row r="399" spans="1:2" x14ac:dyDescent="0.25">
      <c r="A399" t="s">
        <v>2428</v>
      </c>
      <c r="B399" t="s">
        <v>12940</v>
      </c>
    </row>
    <row r="400" spans="1:2" x14ac:dyDescent="0.25">
      <c r="A400" t="s">
        <v>2470</v>
      </c>
      <c r="B400" t="s">
        <v>12940</v>
      </c>
    </row>
    <row r="401" spans="1:2" x14ac:dyDescent="0.25">
      <c r="A401" t="s">
        <v>2583</v>
      </c>
      <c r="B401" t="s">
        <v>12940</v>
      </c>
    </row>
    <row r="402" spans="1:2" x14ac:dyDescent="0.25">
      <c r="A402" t="s">
        <v>2624</v>
      </c>
      <c r="B402" t="s">
        <v>12940</v>
      </c>
    </row>
    <row r="403" spans="1:2" x14ac:dyDescent="0.25">
      <c r="A403" t="s">
        <v>2731</v>
      </c>
      <c r="B403" t="s">
        <v>12940</v>
      </c>
    </row>
    <row r="404" spans="1:2" x14ac:dyDescent="0.25">
      <c r="A404" t="s">
        <v>2806</v>
      </c>
      <c r="B404" t="s">
        <v>12940</v>
      </c>
    </row>
    <row r="405" spans="1:2" x14ac:dyDescent="0.25">
      <c r="A405" t="s">
        <v>2828</v>
      </c>
      <c r="B405" t="s">
        <v>12940</v>
      </c>
    </row>
    <row r="406" spans="1:2" x14ac:dyDescent="0.25">
      <c r="A406" t="s">
        <v>2947</v>
      </c>
      <c r="B406" t="s">
        <v>12940</v>
      </c>
    </row>
    <row r="407" spans="1:2" x14ac:dyDescent="0.25">
      <c r="A407" t="s">
        <v>3094</v>
      </c>
      <c r="B407" t="s">
        <v>12940</v>
      </c>
    </row>
    <row r="408" spans="1:2" x14ac:dyDescent="0.25">
      <c r="A408" t="s">
        <v>3110</v>
      </c>
      <c r="B408" t="s">
        <v>12940</v>
      </c>
    </row>
    <row r="409" spans="1:2" x14ac:dyDescent="0.25">
      <c r="A409" t="s">
        <v>3220</v>
      </c>
      <c r="B409" t="s">
        <v>12940</v>
      </c>
    </row>
    <row r="410" spans="1:2" x14ac:dyDescent="0.25">
      <c r="A410" t="s">
        <v>3406</v>
      </c>
      <c r="B410" t="s">
        <v>12940</v>
      </c>
    </row>
    <row r="411" spans="1:2" x14ac:dyDescent="0.25">
      <c r="A411" t="s">
        <v>3466</v>
      </c>
      <c r="B411" t="s">
        <v>12940</v>
      </c>
    </row>
    <row r="412" spans="1:2" x14ac:dyDescent="0.25">
      <c r="A412" t="s">
        <v>3646</v>
      </c>
      <c r="B412" t="s">
        <v>12940</v>
      </c>
    </row>
    <row r="413" spans="1:2" x14ac:dyDescent="0.25">
      <c r="A413" t="s">
        <v>3660</v>
      </c>
      <c r="B413" t="s">
        <v>12940</v>
      </c>
    </row>
    <row r="414" spans="1:2" x14ac:dyDescent="0.25">
      <c r="A414" t="s">
        <v>3779</v>
      </c>
      <c r="B414" t="s">
        <v>12940</v>
      </c>
    </row>
    <row r="415" spans="1:2" x14ac:dyDescent="0.25">
      <c r="A415" t="s">
        <v>3899</v>
      </c>
      <c r="B415" t="s">
        <v>12940</v>
      </c>
    </row>
    <row r="416" spans="1:2" x14ac:dyDescent="0.25">
      <c r="A416" t="s">
        <v>3918</v>
      </c>
      <c r="B416" t="s">
        <v>12940</v>
      </c>
    </row>
    <row r="417" spans="1:2" x14ac:dyDescent="0.25">
      <c r="A417" t="s">
        <v>4339</v>
      </c>
      <c r="B417" t="s">
        <v>12940</v>
      </c>
    </row>
    <row r="418" spans="1:2" x14ac:dyDescent="0.25">
      <c r="A418" t="s">
        <v>4481</v>
      </c>
      <c r="B418" t="s">
        <v>12940</v>
      </c>
    </row>
    <row r="419" spans="1:2" x14ac:dyDescent="0.25">
      <c r="A419" t="s">
        <v>4522</v>
      </c>
      <c r="B419" t="s">
        <v>12940</v>
      </c>
    </row>
    <row r="420" spans="1:2" x14ac:dyDescent="0.25">
      <c r="A420" t="s">
        <v>4632</v>
      </c>
      <c r="B420" t="s">
        <v>12940</v>
      </c>
    </row>
    <row r="421" spans="1:2" x14ac:dyDescent="0.25">
      <c r="A421" t="s">
        <v>4700</v>
      </c>
      <c r="B421" t="s">
        <v>12940</v>
      </c>
    </row>
    <row r="422" spans="1:2" x14ac:dyDescent="0.25">
      <c r="A422" t="s">
        <v>4984</v>
      </c>
      <c r="B422" t="s">
        <v>12940</v>
      </c>
    </row>
    <row r="423" spans="1:2" x14ac:dyDescent="0.25">
      <c r="A423" t="s">
        <v>5244</v>
      </c>
      <c r="B423" t="s">
        <v>12940</v>
      </c>
    </row>
    <row r="424" spans="1:2" x14ac:dyDescent="0.25">
      <c r="A424" t="s">
        <v>5707</v>
      </c>
      <c r="B424" t="s">
        <v>12940</v>
      </c>
    </row>
    <row r="425" spans="1:2" x14ac:dyDescent="0.25">
      <c r="A425" t="s">
        <v>5831</v>
      </c>
      <c r="B425" t="s">
        <v>12940</v>
      </c>
    </row>
    <row r="426" spans="1:2" x14ac:dyDescent="0.25">
      <c r="A426" t="s">
        <v>5852</v>
      </c>
      <c r="B426" t="s">
        <v>12940</v>
      </c>
    </row>
    <row r="427" spans="1:2" x14ac:dyDescent="0.25">
      <c r="A427" t="s">
        <v>6079</v>
      </c>
      <c r="B427" t="s">
        <v>12940</v>
      </c>
    </row>
    <row r="428" spans="1:2" x14ac:dyDescent="0.25">
      <c r="A428" t="s">
        <v>6118</v>
      </c>
      <c r="B428" t="s">
        <v>12940</v>
      </c>
    </row>
    <row r="429" spans="1:2" x14ac:dyDescent="0.25">
      <c r="A429" t="s">
        <v>6426</v>
      </c>
      <c r="B429" t="s">
        <v>12940</v>
      </c>
    </row>
    <row r="430" spans="1:2" x14ac:dyDescent="0.25">
      <c r="A430" t="s">
        <v>6485</v>
      </c>
      <c r="B430" t="s">
        <v>12940</v>
      </c>
    </row>
    <row r="431" spans="1:2" x14ac:dyDescent="0.25">
      <c r="A431" t="s">
        <v>6993</v>
      </c>
      <c r="B431" t="s">
        <v>12940</v>
      </c>
    </row>
    <row r="432" spans="1:2" x14ac:dyDescent="0.25">
      <c r="A432" t="s">
        <v>7011</v>
      </c>
      <c r="B432" t="s">
        <v>12940</v>
      </c>
    </row>
    <row r="433" spans="1:2" x14ac:dyDescent="0.25">
      <c r="A433" t="s">
        <v>7029</v>
      </c>
      <c r="B433" t="s">
        <v>12940</v>
      </c>
    </row>
    <row r="434" spans="1:2" x14ac:dyDescent="0.25">
      <c r="A434" t="s">
        <v>7198</v>
      </c>
      <c r="B434" t="s">
        <v>12940</v>
      </c>
    </row>
    <row r="435" spans="1:2" x14ac:dyDescent="0.25">
      <c r="A435" t="s">
        <v>7242</v>
      </c>
      <c r="B435" t="s">
        <v>12940</v>
      </c>
    </row>
    <row r="436" spans="1:2" x14ac:dyDescent="0.25">
      <c r="A436" t="s">
        <v>7308</v>
      </c>
      <c r="B436" t="s">
        <v>12940</v>
      </c>
    </row>
    <row r="437" spans="1:2" x14ac:dyDescent="0.25">
      <c r="A437" t="s">
        <v>8107</v>
      </c>
      <c r="B437" t="s">
        <v>12940</v>
      </c>
    </row>
    <row r="438" spans="1:2" x14ac:dyDescent="0.25">
      <c r="A438" t="s">
        <v>8426</v>
      </c>
      <c r="B438" t="s">
        <v>12940</v>
      </c>
    </row>
    <row r="439" spans="1:2" x14ac:dyDescent="0.25">
      <c r="A439" t="s">
        <v>8538</v>
      </c>
      <c r="B439" t="s">
        <v>12940</v>
      </c>
    </row>
    <row r="440" spans="1:2" x14ac:dyDescent="0.25">
      <c r="A440" t="s">
        <v>8635</v>
      </c>
      <c r="B440" t="s">
        <v>12940</v>
      </c>
    </row>
    <row r="441" spans="1:2" x14ac:dyDescent="0.25">
      <c r="A441" t="s">
        <v>8926</v>
      </c>
      <c r="B441" t="s">
        <v>12940</v>
      </c>
    </row>
    <row r="442" spans="1:2" x14ac:dyDescent="0.25">
      <c r="A442" t="s">
        <v>9087</v>
      </c>
      <c r="B442" t="s">
        <v>12940</v>
      </c>
    </row>
    <row r="443" spans="1:2" x14ac:dyDescent="0.25">
      <c r="A443" t="s">
        <v>9306</v>
      </c>
      <c r="B443" t="s">
        <v>12940</v>
      </c>
    </row>
    <row r="444" spans="1:2" x14ac:dyDescent="0.25">
      <c r="A444" t="s">
        <v>9544</v>
      </c>
      <c r="B444" t="s">
        <v>12940</v>
      </c>
    </row>
    <row r="445" spans="1:2" x14ac:dyDescent="0.25">
      <c r="A445" t="s">
        <v>9839</v>
      </c>
      <c r="B445" t="s">
        <v>12940</v>
      </c>
    </row>
    <row r="446" spans="1:2" x14ac:dyDescent="0.25">
      <c r="A446" t="s">
        <v>9893</v>
      </c>
      <c r="B446" t="s">
        <v>12940</v>
      </c>
    </row>
    <row r="447" spans="1:2" x14ac:dyDescent="0.25">
      <c r="A447" t="s">
        <v>10158</v>
      </c>
      <c r="B447" t="s">
        <v>12940</v>
      </c>
    </row>
    <row r="448" spans="1:2" x14ac:dyDescent="0.25">
      <c r="A448" t="s">
        <v>10734</v>
      </c>
      <c r="B448" t="s">
        <v>12940</v>
      </c>
    </row>
    <row r="449" spans="1:2" x14ac:dyDescent="0.25">
      <c r="A449" t="s">
        <v>10752</v>
      </c>
      <c r="B449" t="s">
        <v>12940</v>
      </c>
    </row>
    <row r="450" spans="1:2" x14ac:dyDescent="0.25">
      <c r="A450" t="s">
        <v>10944</v>
      </c>
      <c r="B450" t="s">
        <v>12940</v>
      </c>
    </row>
    <row r="451" spans="1:2" x14ac:dyDescent="0.25">
      <c r="A451" t="s">
        <v>10964</v>
      </c>
      <c r="B451" t="s">
        <v>12940</v>
      </c>
    </row>
    <row r="452" spans="1:2" x14ac:dyDescent="0.25">
      <c r="A452" t="s">
        <v>10980</v>
      </c>
      <c r="B452" t="s">
        <v>12940</v>
      </c>
    </row>
    <row r="453" spans="1:2" x14ac:dyDescent="0.25">
      <c r="A453" t="s">
        <v>11118</v>
      </c>
      <c r="B453" t="s">
        <v>12940</v>
      </c>
    </row>
    <row r="454" spans="1:2" x14ac:dyDescent="0.25">
      <c r="A454" t="s">
        <v>11221</v>
      </c>
      <c r="B454" t="s">
        <v>12940</v>
      </c>
    </row>
    <row r="455" spans="1:2" x14ac:dyDescent="0.25">
      <c r="A455" t="s">
        <v>11242</v>
      </c>
      <c r="B455" t="s">
        <v>12940</v>
      </c>
    </row>
    <row r="456" spans="1:2" x14ac:dyDescent="0.25">
      <c r="A456" t="s">
        <v>11335</v>
      </c>
      <c r="B456" t="s">
        <v>12940</v>
      </c>
    </row>
    <row r="457" spans="1:2" x14ac:dyDescent="0.25">
      <c r="A457" t="s">
        <v>11786</v>
      </c>
      <c r="B457" t="s">
        <v>12940</v>
      </c>
    </row>
    <row r="458" spans="1:2" x14ac:dyDescent="0.25">
      <c r="A458" t="s">
        <v>11808</v>
      </c>
      <c r="B458" t="s">
        <v>12940</v>
      </c>
    </row>
    <row r="459" spans="1:2" x14ac:dyDescent="0.25">
      <c r="A459" t="s">
        <v>11984</v>
      </c>
      <c r="B459" t="s">
        <v>12940</v>
      </c>
    </row>
    <row r="460" spans="1:2" x14ac:dyDescent="0.25">
      <c r="A460" t="s">
        <v>12000</v>
      </c>
      <c r="B460" t="s">
        <v>12940</v>
      </c>
    </row>
    <row r="461" spans="1:2" x14ac:dyDescent="0.25">
      <c r="A461" t="s">
        <v>12174</v>
      </c>
      <c r="B461" t="s">
        <v>12940</v>
      </c>
    </row>
    <row r="462" spans="1:2" x14ac:dyDescent="0.25">
      <c r="A462" t="s">
        <v>12263</v>
      </c>
      <c r="B462" t="s">
        <v>12940</v>
      </c>
    </row>
    <row r="463" spans="1:2" x14ac:dyDescent="0.25">
      <c r="A463" t="s">
        <v>12278</v>
      </c>
      <c r="B463" t="s">
        <v>12940</v>
      </c>
    </row>
    <row r="464" spans="1:2" x14ac:dyDescent="0.25">
      <c r="A464" t="s">
        <v>12513</v>
      </c>
      <c r="B464" t="s">
        <v>12940</v>
      </c>
    </row>
    <row r="465" spans="1:2" x14ac:dyDescent="0.25">
      <c r="A465" t="s">
        <v>12693</v>
      </c>
      <c r="B465" t="s">
        <v>12940</v>
      </c>
    </row>
    <row r="466" spans="1:2" x14ac:dyDescent="0.25">
      <c r="A466" t="s">
        <v>12763</v>
      </c>
      <c r="B466" t="s">
        <v>12940</v>
      </c>
    </row>
    <row r="467" spans="1:2" x14ac:dyDescent="0.25">
      <c r="A467" t="s">
        <v>12817</v>
      </c>
      <c r="B467" t="s">
        <v>12940</v>
      </c>
    </row>
    <row r="468" spans="1:2" x14ac:dyDescent="0.25">
      <c r="A468" t="s">
        <v>107</v>
      </c>
      <c r="B468" t="s">
        <v>12940</v>
      </c>
    </row>
    <row r="469" spans="1:2" x14ac:dyDescent="0.25">
      <c r="A469" t="s">
        <v>134</v>
      </c>
      <c r="B469" t="s">
        <v>12940</v>
      </c>
    </row>
    <row r="470" spans="1:2" x14ac:dyDescent="0.25">
      <c r="A470" t="s">
        <v>159</v>
      </c>
      <c r="B470" t="s">
        <v>12940</v>
      </c>
    </row>
    <row r="471" spans="1:2" x14ac:dyDescent="0.25">
      <c r="A471" t="s">
        <v>187</v>
      </c>
      <c r="B471" t="s">
        <v>12940</v>
      </c>
    </row>
    <row r="472" spans="1:2" x14ac:dyDescent="0.25">
      <c r="A472" t="s">
        <v>214</v>
      </c>
      <c r="B472" t="s">
        <v>12940</v>
      </c>
    </row>
    <row r="473" spans="1:2" x14ac:dyDescent="0.25">
      <c r="A473" t="s">
        <v>242</v>
      </c>
      <c r="B473" t="s">
        <v>12940</v>
      </c>
    </row>
    <row r="474" spans="1:2" x14ac:dyDescent="0.25">
      <c r="A474" t="s">
        <v>267</v>
      </c>
      <c r="B474" t="s">
        <v>12940</v>
      </c>
    </row>
    <row r="475" spans="1:2" x14ac:dyDescent="0.25">
      <c r="A475" t="s">
        <v>294</v>
      </c>
      <c r="B475" t="s">
        <v>12940</v>
      </c>
    </row>
    <row r="476" spans="1:2" x14ac:dyDescent="0.25">
      <c r="A476" t="s">
        <v>317</v>
      </c>
      <c r="B476" t="s">
        <v>12940</v>
      </c>
    </row>
    <row r="477" spans="1:2" x14ac:dyDescent="0.25">
      <c r="A477" t="s">
        <v>342</v>
      </c>
      <c r="B477" t="s">
        <v>12940</v>
      </c>
    </row>
    <row r="478" spans="1:2" x14ac:dyDescent="0.25">
      <c r="A478" t="s">
        <v>359</v>
      </c>
      <c r="B478" t="s">
        <v>12940</v>
      </c>
    </row>
    <row r="479" spans="1:2" x14ac:dyDescent="0.25">
      <c r="A479" t="s">
        <v>381</v>
      </c>
      <c r="B479" t="s">
        <v>12940</v>
      </c>
    </row>
    <row r="480" spans="1:2" x14ac:dyDescent="0.25">
      <c r="A480" t="s">
        <v>401</v>
      </c>
      <c r="B480" t="s">
        <v>12940</v>
      </c>
    </row>
    <row r="481" spans="1:2" x14ac:dyDescent="0.25">
      <c r="A481" t="s">
        <v>423</v>
      </c>
      <c r="B481" t="s">
        <v>12940</v>
      </c>
    </row>
    <row r="482" spans="1:2" x14ac:dyDescent="0.25">
      <c r="A482" t="s">
        <v>444</v>
      </c>
      <c r="B482" t="s">
        <v>12940</v>
      </c>
    </row>
    <row r="483" spans="1:2" x14ac:dyDescent="0.25">
      <c r="A483" t="s">
        <v>457</v>
      </c>
      <c r="B483" t="s">
        <v>12940</v>
      </c>
    </row>
    <row r="484" spans="1:2" x14ac:dyDescent="0.25">
      <c r="A484" t="s">
        <v>481</v>
      </c>
      <c r="B484" t="s">
        <v>12940</v>
      </c>
    </row>
    <row r="485" spans="1:2" x14ac:dyDescent="0.25">
      <c r="A485" t="s">
        <v>503</v>
      </c>
      <c r="B485" t="s">
        <v>12940</v>
      </c>
    </row>
    <row r="486" spans="1:2" x14ac:dyDescent="0.25">
      <c r="A486" t="s">
        <v>523</v>
      </c>
      <c r="B486" t="s">
        <v>12940</v>
      </c>
    </row>
    <row r="487" spans="1:2" x14ac:dyDescent="0.25">
      <c r="A487" t="s">
        <v>548</v>
      </c>
      <c r="B487" t="s">
        <v>12940</v>
      </c>
    </row>
    <row r="488" spans="1:2" x14ac:dyDescent="0.25">
      <c r="A488" t="s">
        <v>569</v>
      </c>
      <c r="B488" t="s">
        <v>12940</v>
      </c>
    </row>
    <row r="489" spans="1:2" x14ac:dyDescent="0.25">
      <c r="A489" t="s">
        <v>591</v>
      </c>
      <c r="B489" t="s">
        <v>12940</v>
      </c>
    </row>
    <row r="490" spans="1:2" x14ac:dyDescent="0.25">
      <c r="A490" t="s">
        <v>615</v>
      </c>
      <c r="B490" t="s">
        <v>12940</v>
      </c>
    </row>
    <row r="491" spans="1:2" x14ac:dyDescent="0.25">
      <c r="A491" t="s">
        <v>653</v>
      </c>
      <c r="B491" t="s">
        <v>12940</v>
      </c>
    </row>
    <row r="492" spans="1:2" x14ac:dyDescent="0.25">
      <c r="A492" t="s">
        <v>679</v>
      </c>
      <c r="B492" t="s">
        <v>12940</v>
      </c>
    </row>
    <row r="493" spans="1:2" x14ac:dyDescent="0.25">
      <c r="A493" t="s">
        <v>703</v>
      </c>
      <c r="B493" t="s">
        <v>12940</v>
      </c>
    </row>
    <row r="494" spans="1:2" x14ac:dyDescent="0.25">
      <c r="A494" t="s">
        <v>725</v>
      </c>
      <c r="B494" t="s">
        <v>12940</v>
      </c>
    </row>
    <row r="495" spans="1:2" x14ac:dyDescent="0.25">
      <c r="A495" t="s">
        <v>769</v>
      </c>
      <c r="B495" t="s">
        <v>12940</v>
      </c>
    </row>
    <row r="496" spans="1:2" x14ac:dyDescent="0.25">
      <c r="A496" t="s">
        <v>792</v>
      </c>
      <c r="B496" t="s">
        <v>12940</v>
      </c>
    </row>
    <row r="497" spans="1:2" x14ac:dyDescent="0.25">
      <c r="A497" t="s">
        <v>816</v>
      </c>
      <c r="B497" t="s">
        <v>12940</v>
      </c>
    </row>
    <row r="498" spans="1:2" x14ac:dyDescent="0.25">
      <c r="A498" t="s">
        <v>843</v>
      </c>
      <c r="B498" t="s">
        <v>12940</v>
      </c>
    </row>
    <row r="499" spans="1:2" x14ac:dyDescent="0.25">
      <c r="A499" t="s">
        <v>862</v>
      </c>
      <c r="B499" t="s">
        <v>12940</v>
      </c>
    </row>
    <row r="500" spans="1:2" x14ac:dyDescent="0.25">
      <c r="A500" t="s">
        <v>885</v>
      </c>
      <c r="B500" t="s">
        <v>12940</v>
      </c>
    </row>
    <row r="501" spans="1:2" x14ac:dyDescent="0.25">
      <c r="A501" t="s">
        <v>904</v>
      </c>
      <c r="B501" t="s">
        <v>12940</v>
      </c>
    </row>
    <row r="502" spans="1:2" x14ac:dyDescent="0.25">
      <c r="A502" t="s">
        <v>924</v>
      </c>
      <c r="B502" t="s">
        <v>12940</v>
      </c>
    </row>
    <row r="503" spans="1:2" x14ac:dyDescent="0.25">
      <c r="A503" t="s">
        <v>945</v>
      </c>
      <c r="B503" t="s">
        <v>12940</v>
      </c>
    </row>
    <row r="504" spans="1:2" x14ac:dyDescent="0.25">
      <c r="A504" t="s">
        <v>979</v>
      </c>
      <c r="B504" t="s">
        <v>12940</v>
      </c>
    </row>
    <row r="505" spans="1:2" x14ac:dyDescent="0.25">
      <c r="A505" t="s">
        <v>1000</v>
      </c>
      <c r="B505" t="s">
        <v>12940</v>
      </c>
    </row>
    <row r="506" spans="1:2" x14ac:dyDescent="0.25">
      <c r="A506" t="s">
        <v>1025</v>
      </c>
      <c r="B506" t="s">
        <v>12940</v>
      </c>
    </row>
    <row r="507" spans="1:2" x14ac:dyDescent="0.25">
      <c r="A507" t="s">
        <v>1044</v>
      </c>
      <c r="B507" t="s">
        <v>12940</v>
      </c>
    </row>
    <row r="508" spans="1:2" x14ac:dyDescent="0.25">
      <c r="A508" t="s">
        <v>1062</v>
      </c>
      <c r="B508" t="s">
        <v>12940</v>
      </c>
    </row>
    <row r="509" spans="1:2" x14ac:dyDescent="0.25">
      <c r="A509" t="s">
        <v>1084</v>
      </c>
      <c r="B509" t="s">
        <v>12940</v>
      </c>
    </row>
    <row r="510" spans="1:2" x14ac:dyDescent="0.25">
      <c r="A510" t="s">
        <v>1124</v>
      </c>
      <c r="B510" t="s">
        <v>12940</v>
      </c>
    </row>
    <row r="511" spans="1:2" x14ac:dyDescent="0.25">
      <c r="A511" t="s">
        <v>1141</v>
      </c>
      <c r="B511" t="s">
        <v>12940</v>
      </c>
    </row>
    <row r="512" spans="1:2" x14ac:dyDescent="0.25">
      <c r="A512" t="s">
        <v>1163</v>
      </c>
      <c r="B512" t="s">
        <v>12940</v>
      </c>
    </row>
    <row r="513" spans="1:2" x14ac:dyDescent="0.25">
      <c r="A513" t="s">
        <v>1183</v>
      </c>
      <c r="B513" t="s">
        <v>12940</v>
      </c>
    </row>
    <row r="514" spans="1:2" x14ac:dyDescent="0.25">
      <c r="A514" t="s">
        <v>1241</v>
      </c>
      <c r="B514" t="s">
        <v>12940</v>
      </c>
    </row>
    <row r="515" spans="1:2" x14ac:dyDescent="0.25">
      <c r="A515" t="s">
        <v>1284</v>
      </c>
      <c r="B515" t="s">
        <v>12940</v>
      </c>
    </row>
    <row r="516" spans="1:2" x14ac:dyDescent="0.25">
      <c r="A516" t="s">
        <v>1304</v>
      </c>
      <c r="B516" t="s">
        <v>12940</v>
      </c>
    </row>
    <row r="517" spans="1:2" x14ac:dyDescent="0.25">
      <c r="A517" t="s">
        <v>1328</v>
      </c>
      <c r="B517" t="s">
        <v>12940</v>
      </c>
    </row>
    <row r="518" spans="1:2" x14ac:dyDescent="0.25">
      <c r="A518" t="s">
        <v>1352</v>
      </c>
      <c r="B518" t="s">
        <v>12940</v>
      </c>
    </row>
    <row r="519" spans="1:2" x14ac:dyDescent="0.25">
      <c r="A519" t="s">
        <v>1392</v>
      </c>
      <c r="B519" t="s">
        <v>12940</v>
      </c>
    </row>
    <row r="520" spans="1:2" x14ac:dyDescent="0.25">
      <c r="A520" t="s">
        <v>1433</v>
      </c>
      <c r="B520" t="s">
        <v>12940</v>
      </c>
    </row>
    <row r="521" spans="1:2" x14ac:dyDescent="0.25">
      <c r="A521" t="s">
        <v>1453</v>
      </c>
      <c r="B521" t="s">
        <v>12940</v>
      </c>
    </row>
    <row r="522" spans="1:2" x14ac:dyDescent="0.25">
      <c r="A522" t="s">
        <v>1497</v>
      </c>
      <c r="B522" t="s">
        <v>12940</v>
      </c>
    </row>
    <row r="523" spans="1:2" x14ac:dyDescent="0.25">
      <c r="A523" t="s">
        <v>1586</v>
      </c>
      <c r="B523" t="s">
        <v>12940</v>
      </c>
    </row>
    <row r="524" spans="1:2" x14ac:dyDescent="0.25">
      <c r="A524" t="s">
        <v>1605</v>
      </c>
      <c r="B524" t="s">
        <v>12940</v>
      </c>
    </row>
    <row r="525" spans="1:2" x14ac:dyDescent="0.25">
      <c r="A525" t="s">
        <v>1624</v>
      </c>
      <c r="B525" t="s">
        <v>12940</v>
      </c>
    </row>
    <row r="526" spans="1:2" x14ac:dyDescent="0.25">
      <c r="A526" t="s">
        <v>1687</v>
      </c>
      <c r="B526" t="s">
        <v>12940</v>
      </c>
    </row>
    <row r="527" spans="1:2" x14ac:dyDescent="0.25">
      <c r="A527" t="s">
        <v>1710</v>
      </c>
      <c r="B527" t="s">
        <v>12940</v>
      </c>
    </row>
    <row r="528" spans="1:2" x14ac:dyDescent="0.25">
      <c r="A528" t="s">
        <v>1751</v>
      </c>
      <c r="B528" t="s">
        <v>12940</v>
      </c>
    </row>
    <row r="529" spans="1:2" x14ac:dyDescent="0.25">
      <c r="A529" t="s">
        <v>1815</v>
      </c>
      <c r="B529" t="s">
        <v>12940</v>
      </c>
    </row>
    <row r="530" spans="1:2" x14ac:dyDescent="0.25">
      <c r="A530" t="s">
        <v>1864</v>
      </c>
      <c r="B530" t="s">
        <v>12940</v>
      </c>
    </row>
    <row r="531" spans="1:2" x14ac:dyDescent="0.25">
      <c r="A531" t="s">
        <v>1929</v>
      </c>
      <c r="B531" t="s">
        <v>12940</v>
      </c>
    </row>
    <row r="532" spans="1:2" x14ac:dyDescent="0.25">
      <c r="A532" t="s">
        <v>1942</v>
      </c>
      <c r="B532" t="s">
        <v>12940</v>
      </c>
    </row>
    <row r="533" spans="1:2" x14ac:dyDescent="0.25">
      <c r="A533" t="s">
        <v>1963</v>
      </c>
      <c r="B533" t="s">
        <v>12940</v>
      </c>
    </row>
    <row r="534" spans="1:2" x14ac:dyDescent="0.25">
      <c r="A534" t="s">
        <v>2073</v>
      </c>
      <c r="B534" t="s">
        <v>12940</v>
      </c>
    </row>
    <row r="535" spans="1:2" x14ac:dyDescent="0.25">
      <c r="A535" t="s">
        <v>2091</v>
      </c>
      <c r="B535" t="s">
        <v>12940</v>
      </c>
    </row>
    <row r="536" spans="1:2" x14ac:dyDescent="0.25">
      <c r="A536" t="s">
        <v>2115</v>
      </c>
      <c r="B536" t="s">
        <v>12940</v>
      </c>
    </row>
    <row r="537" spans="1:2" x14ac:dyDescent="0.25">
      <c r="A537" t="s">
        <v>2136</v>
      </c>
      <c r="B537" t="s">
        <v>12940</v>
      </c>
    </row>
    <row r="538" spans="1:2" x14ac:dyDescent="0.25">
      <c r="A538" t="s">
        <v>2177</v>
      </c>
      <c r="B538" t="s">
        <v>12940</v>
      </c>
    </row>
    <row r="539" spans="1:2" x14ac:dyDescent="0.25">
      <c r="A539" t="s">
        <v>2195</v>
      </c>
      <c r="B539" t="s">
        <v>12940</v>
      </c>
    </row>
    <row r="540" spans="1:2" x14ac:dyDescent="0.25">
      <c r="A540" t="s">
        <v>2240</v>
      </c>
      <c r="B540" t="s">
        <v>12940</v>
      </c>
    </row>
    <row r="541" spans="1:2" x14ac:dyDescent="0.25">
      <c r="A541" t="s">
        <v>2261</v>
      </c>
      <c r="B541" t="s">
        <v>12940</v>
      </c>
    </row>
    <row r="542" spans="1:2" x14ac:dyDescent="0.25">
      <c r="A542" t="s">
        <v>2266</v>
      </c>
      <c r="B542" t="s">
        <v>12940</v>
      </c>
    </row>
    <row r="543" spans="1:2" x14ac:dyDescent="0.25">
      <c r="A543" t="s">
        <v>2288</v>
      </c>
      <c r="B543" t="s">
        <v>12940</v>
      </c>
    </row>
    <row r="544" spans="1:2" x14ac:dyDescent="0.25">
      <c r="A544" t="s">
        <v>2303</v>
      </c>
      <c r="B544" t="s">
        <v>12940</v>
      </c>
    </row>
    <row r="545" spans="1:2" x14ac:dyDescent="0.25">
      <c r="A545" t="s">
        <v>2349</v>
      </c>
      <c r="B545" t="s">
        <v>12940</v>
      </c>
    </row>
    <row r="546" spans="1:2" x14ac:dyDescent="0.25">
      <c r="A546" t="s">
        <v>2394</v>
      </c>
      <c r="B546" t="s">
        <v>12940</v>
      </c>
    </row>
    <row r="547" spans="1:2" x14ac:dyDescent="0.25">
      <c r="A547" t="s">
        <v>2412</v>
      </c>
      <c r="B547" t="s">
        <v>12940</v>
      </c>
    </row>
    <row r="548" spans="1:2" x14ac:dyDescent="0.25">
      <c r="A548" t="s">
        <v>2491</v>
      </c>
      <c r="B548" t="s">
        <v>12940</v>
      </c>
    </row>
    <row r="549" spans="1:2" x14ac:dyDescent="0.25">
      <c r="A549" t="s">
        <v>2528</v>
      </c>
      <c r="B549" t="s">
        <v>12940</v>
      </c>
    </row>
    <row r="550" spans="1:2" x14ac:dyDescent="0.25">
      <c r="A550" t="s">
        <v>2539</v>
      </c>
      <c r="B550" t="s">
        <v>12940</v>
      </c>
    </row>
    <row r="551" spans="1:2" x14ac:dyDescent="0.25">
      <c r="A551" t="s">
        <v>2603</v>
      </c>
      <c r="B551" t="s">
        <v>12940</v>
      </c>
    </row>
    <row r="552" spans="1:2" x14ac:dyDescent="0.25">
      <c r="A552" t="s">
        <v>2648</v>
      </c>
      <c r="B552" t="s">
        <v>12940</v>
      </c>
    </row>
    <row r="553" spans="1:2" x14ac:dyDescent="0.25">
      <c r="A553" t="s">
        <v>2695</v>
      </c>
      <c r="B553" t="s">
        <v>12940</v>
      </c>
    </row>
    <row r="554" spans="1:2" x14ac:dyDescent="0.25">
      <c r="A554" t="s">
        <v>2746</v>
      </c>
      <c r="B554" t="s">
        <v>12940</v>
      </c>
    </row>
    <row r="555" spans="1:2" x14ac:dyDescent="0.25">
      <c r="A555" t="s">
        <v>2771</v>
      </c>
      <c r="B555" t="s">
        <v>12940</v>
      </c>
    </row>
    <row r="556" spans="1:2" x14ac:dyDescent="0.25">
      <c r="A556" t="s">
        <v>2851</v>
      </c>
      <c r="B556" t="s">
        <v>12940</v>
      </c>
    </row>
    <row r="557" spans="1:2" x14ac:dyDescent="0.25">
      <c r="A557" t="s">
        <v>2914</v>
      </c>
      <c r="B557" t="s">
        <v>12940</v>
      </c>
    </row>
    <row r="558" spans="1:2" x14ac:dyDescent="0.25">
      <c r="A558" t="s">
        <v>2965</v>
      </c>
      <c r="B558" t="s">
        <v>12940</v>
      </c>
    </row>
    <row r="559" spans="1:2" x14ac:dyDescent="0.25">
      <c r="A559" t="s">
        <v>2983</v>
      </c>
      <c r="B559" t="s">
        <v>12940</v>
      </c>
    </row>
    <row r="560" spans="1:2" x14ac:dyDescent="0.25">
      <c r="A560" t="s">
        <v>3025</v>
      </c>
      <c r="B560" t="s">
        <v>12940</v>
      </c>
    </row>
    <row r="561" spans="1:2" x14ac:dyDescent="0.25">
      <c r="A561" t="s">
        <v>3136</v>
      </c>
      <c r="B561" t="s">
        <v>12940</v>
      </c>
    </row>
    <row r="562" spans="1:2" x14ac:dyDescent="0.25">
      <c r="A562" t="s">
        <v>3157</v>
      </c>
      <c r="B562" t="s">
        <v>12940</v>
      </c>
    </row>
    <row r="563" spans="1:2" x14ac:dyDescent="0.25">
      <c r="A563" t="s">
        <v>3198</v>
      </c>
      <c r="B563" t="s">
        <v>12940</v>
      </c>
    </row>
    <row r="564" spans="1:2" x14ac:dyDescent="0.25">
      <c r="A564" t="s">
        <v>3276</v>
      </c>
      <c r="B564" t="s">
        <v>12940</v>
      </c>
    </row>
    <row r="565" spans="1:2" x14ac:dyDescent="0.25">
      <c r="A565" t="s">
        <v>3289</v>
      </c>
      <c r="B565" t="s">
        <v>12940</v>
      </c>
    </row>
    <row r="566" spans="1:2" x14ac:dyDescent="0.25">
      <c r="A566" t="s">
        <v>3356</v>
      </c>
      <c r="B566" t="s">
        <v>12940</v>
      </c>
    </row>
    <row r="567" spans="1:2" x14ac:dyDescent="0.25">
      <c r="A567" t="s">
        <v>3416</v>
      </c>
      <c r="B567" t="s">
        <v>12940</v>
      </c>
    </row>
    <row r="568" spans="1:2" x14ac:dyDescent="0.25">
      <c r="A568" t="s">
        <v>3418</v>
      </c>
      <c r="B568" t="s">
        <v>12940</v>
      </c>
    </row>
    <row r="569" spans="1:2" x14ac:dyDescent="0.25">
      <c r="A569" t="s">
        <v>3486</v>
      </c>
      <c r="B569" t="s">
        <v>12940</v>
      </c>
    </row>
    <row r="570" spans="1:2" x14ac:dyDescent="0.25">
      <c r="A570" t="s">
        <v>3531</v>
      </c>
      <c r="B570" t="s">
        <v>12940</v>
      </c>
    </row>
    <row r="571" spans="1:2" x14ac:dyDescent="0.25">
      <c r="A571" t="s">
        <v>3627</v>
      </c>
      <c r="B571" t="s">
        <v>12940</v>
      </c>
    </row>
    <row r="572" spans="1:2" x14ac:dyDescent="0.25">
      <c r="A572" t="s">
        <v>3697</v>
      </c>
      <c r="B572" t="s">
        <v>12940</v>
      </c>
    </row>
    <row r="573" spans="1:2" x14ac:dyDescent="0.25">
      <c r="A573" t="s">
        <v>3718</v>
      </c>
      <c r="B573" t="s">
        <v>12940</v>
      </c>
    </row>
    <row r="574" spans="1:2" x14ac:dyDescent="0.25">
      <c r="A574" t="s">
        <v>3808</v>
      </c>
      <c r="B574" t="s">
        <v>12940</v>
      </c>
    </row>
    <row r="575" spans="1:2" x14ac:dyDescent="0.25">
      <c r="A575" t="s">
        <v>3857</v>
      </c>
      <c r="B575" t="s">
        <v>12940</v>
      </c>
    </row>
    <row r="576" spans="1:2" x14ac:dyDescent="0.25">
      <c r="A576" t="s">
        <v>3879</v>
      </c>
      <c r="B576" t="s">
        <v>12940</v>
      </c>
    </row>
    <row r="577" spans="1:2" x14ac:dyDescent="0.25">
      <c r="A577" t="s">
        <v>3941</v>
      </c>
      <c r="B577" t="s">
        <v>12940</v>
      </c>
    </row>
    <row r="578" spans="1:2" x14ac:dyDescent="0.25">
      <c r="A578" t="s">
        <v>3960</v>
      </c>
      <c r="B578" t="s">
        <v>12940</v>
      </c>
    </row>
    <row r="579" spans="1:2" x14ac:dyDescent="0.25">
      <c r="A579" t="s">
        <v>3982</v>
      </c>
      <c r="B579" t="s">
        <v>12940</v>
      </c>
    </row>
    <row r="580" spans="1:2" x14ac:dyDescent="0.25">
      <c r="A580" t="s">
        <v>4018</v>
      </c>
      <c r="B580" t="s">
        <v>12940</v>
      </c>
    </row>
    <row r="581" spans="1:2" x14ac:dyDescent="0.25">
      <c r="A581" t="s">
        <v>4062</v>
      </c>
      <c r="B581" t="s">
        <v>12940</v>
      </c>
    </row>
    <row r="582" spans="1:2" x14ac:dyDescent="0.25">
      <c r="A582" t="s">
        <v>4213</v>
      </c>
      <c r="B582" t="s">
        <v>12940</v>
      </c>
    </row>
    <row r="583" spans="1:2" x14ac:dyDescent="0.25">
      <c r="A583" t="s">
        <v>4233</v>
      </c>
      <c r="B583" t="s">
        <v>12940</v>
      </c>
    </row>
    <row r="584" spans="1:2" x14ac:dyDescent="0.25">
      <c r="A584" t="s">
        <v>4243</v>
      </c>
      <c r="B584" t="s">
        <v>12940</v>
      </c>
    </row>
    <row r="585" spans="1:2" x14ac:dyDescent="0.25">
      <c r="A585" t="s">
        <v>4323</v>
      </c>
      <c r="B585" t="s">
        <v>12940</v>
      </c>
    </row>
    <row r="586" spans="1:2" x14ac:dyDescent="0.25">
      <c r="A586" t="s">
        <v>4399</v>
      </c>
      <c r="B586" t="s">
        <v>12940</v>
      </c>
    </row>
    <row r="587" spans="1:2" x14ac:dyDescent="0.25">
      <c r="A587" t="s">
        <v>4439</v>
      </c>
      <c r="B587" t="s">
        <v>12940</v>
      </c>
    </row>
    <row r="588" spans="1:2" x14ac:dyDescent="0.25">
      <c r="A588" t="s">
        <v>4461</v>
      </c>
      <c r="B588" t="s">
        <v>12940</v>
      </c>
    </row>
    <row r="589" spans="1:2" x14ac:dyDescent="0.25">
      <c r="A589" t="s">
        <v>4500</v>
      </c>
      <c r="B589" t="s">
        <v>12940</v>
      </c>
    </row>
    <row r="590" spans="1:2" x14ac:dyDescent="0.25">
      <c r="A590" t="s">
        <v>4653</v>
      </c>
      <c r="B590" t="s">
        <v>12940</v>
      </c>
    </row>
    <row r="591" spans="1:2" x14ac:dyDescent="0.25">
      <c r="A591" t="s">
        <v>4869</v>
      </c>
      <c r="B591" t="s">
        <v>12940</v>
      </c>
    </row>
    <row r="592" spans="1:2" x14ac:dyDescent="0.25">
      <c r="A592" t="s">
        <v>4908</v>
      </c>
      <c r="B592" t="s">
        <v>12940</v>
      </c>
    </row>
    <row r="593" spans="1:2" x14ac:dyDescent="0.25">
      <c r="A593" t="s">
        <v>4965</v>
      </c>
      <c r="B593" t="s">
        <v>12940</v>
      </c>
    </row>
    <row r="594" spans="1:2" x14ac:dyDescent="0.25">
      <c r="A594" t="s">
        <v>5024</v>
      </c>
      <c r="B594" t="s">
        <v>12940</v>
      </c>
    </row>
    <row r="595" spans="1:2" x14ac:dyDescent="0.25">
      <c r="A595" t="s">
        <v>5057</v>
      </c>
      <c r="B595" t="s">
        <v>12940</v>
      </c>
    </row>
    <row r="596" spans="1:2" x14ac:dyDescent="0.25">
      <c r="A596" t="s">
        <v>5070</v>
      </c>
      <c r="B596" t="s">
        <v>12940</v>
      </c>
    </row>
    <row r="597" spans="1:2" x14ac:dyDescent="0.25">
      <c r="A597" t="s">
        <v>5085</v>
      </c>
      <c r="B597" t="s">
        <v>12940</v>
      </c>
    </row>
    <row r="598" spans="1:2" x14ac:dyDescent="0.25">
      <c r="A598" t="s">
        <v>5116</v>
      </c>
      <c r="B598" t="s">
        <v>12940</v>
      </c>
    </row>
    <row r="599" spans="1:2" x14ac:dyDescent="0.25">
      <c r="A599" t="s">
        <v>5127</v>
      </c>
      <c r="B599" t="s">
        <v>12940</v>
      </c>
    </row>
    <row r="600" spans="1:2" x14ac:dyDescent="0.25">
      <c r="A600" t="s">
        <v>5164</v>
      </c>
      <c r="B600" t="s">
        <v>12940</v>
      </c>
    </row>
    <row r="601" spans="1:2" x14ac:dyDescent="0.25">
      <c r="A601" t="s">
        <v>5202</v>
      </c>
      <c r="B601" t="s">
        <v>12940</v>
      </c>
    </row>
    <row r="602" spans="1:2" x14ac:dyDescent="0.25">
      <c r="A602" t="s">
        <v>5222</v>
      </c>
      <c r="B602" t="s">
        <v>12940</v>
      </c>
    </row>
    <row r="603" spans="1:2" x14ac:dyDescent="0.25">
      <c r="A603" t="s">
        <v>5265</v>
      </c>
      <c r="B603" t="s">
        <v>12940</v>
      </c>
    </row>
    <row r="604" spans="1:2" x14ac:dyDescent="0.25">
      <c r="A604" t="s">
        <v>5290</v>
      </c>
      <c r="B604" t="s">
        <v>12940</v>
      </c>
    </row>
    <row r="605" spans="1:2" x14ac:dyDescent="0.25">
      <c r="A605" t="s">
        <v>5561</v>
      </c>
      <c r="B605" t="s">
        <v>12940</v>
      </c>
    </row>
    <row r="606" spans="1:2" x14ac:dyDescent="0.25">
      <c r="A606" t="s">
        <v>5643</v>
      </c>
      <c r="B606" t="s">
        <v>12940</v>
      </c>
    </row>
    <row r="607" spans="1:2" x14ac:dyDescent="0.25">
      <c r="A607" t="s">
        <v>5811</v>
      </c>
      <c r="B607" t="s">
        <v>12940</v>
      </c>
    </row>
    <row r="608" spans="1:2" x14ac:dyDescent="0.25">
      <c r="A608" t="s">
        <v>6362</v>
      </c>
      <c r="B608" t="s">
        <v>12940</v>
      </c>
    </row>
    <row r="609" spans="1:2" x14ac:dyDescent="0.25">
      <c r="A609" t="s">
        <v>6583</v>
      </c>
      <c r="B609" t="s">
        <v>12940</v>
      </c>
    </row>
    <row r="610" spans="1:2" x14ac:dyDescent="0.25">
      <c r="A610" t="s">
        <v>6910</v>
      </c>
      <c r="B610" t="s">
        <v>12940</v>
      </c>
    </row>
    <row r="611" spans="1:2" x14ac:dyDescent="0.25">
      <c r="A611" t="s">
        <v>6945</v>
      </c>
      <c r="B611" t="s">
        <v>12940</v>
      </c>
    </row>
    <row r="612" spans="1:2" x14ac:dyDescent="0.25">
      <c r="A612" t="s">
        <v>6981</v>
      </c>
      <c r="B612" t="s">
        <v>12940</v>
      </c>
    </row>
    <row r="613" spans="1:2" x14ac:dyDescent="0.25">
      <c r="A613" t="s">
        <v>7083</v>
      </c>
      <c r="B613" t="s">
        <v>12940</v>
      </c>
    </row>
    <row r="614" spans="1:2" x14ac:dyDescent="0.25">
      <c r="A614" t="s">
        <v>7126</v>
      </c>
      <c r="B614" t="s">
        <v>12940</v>
      </c>
    </row>
    <row r="615" spans="1:2" x14ac:dyDescent="0.25">
      <c r="A615" t="s">
        <v>7177</v>
      </c>
      <c r="B615" t="s">
        <v>12940</v>
      </c>
    </row>
    <row r="616" spans="1:2" x14ac:dyDescent="0.25">
      <c r="A616" t="s">
        <v>7289</v>
      </c>
      <c r="B616" t="s">
        <v>12940</v>
      </c>
    </row>
    <row r="617" spans="1:2" x14ac:dyDescent="0.25">
      <c r="A617" t="s">
        <v>7327</v>
      </c>
      <c r="B617" t="s">
        <v>12940</v>
      </c>
    </row>
    <row r="618" spans="1:2" x14ac:dyDescent="0.25">
      <c r="A618" t="s">
        <v>7368</v>
      </c>
      <c r="B618" t="s">
        <v>12940</v>
      </c>
    </row>
    <row r="619" spans="1:2" x14ac:dyDescent="0.25">
      <c r="A619" t="s">
        <v>7425</v>
      </c>
      <c r="B619" t="s">
        <v>12940</v>
      </c>
    </row>
    <row r="620" spans="1:2" x14ac:dyDescent="0.25">
      <c r="A620" t="s">
        <v>7445</v>
      </c>
      <c r="B620" t="s">
        <v>12940</v>
      </c>
    </row>
    <row r="621" spans="1:2" x14ac:dyDescent="0.25">
      <c r="A621" t="s">
        <v>7467</v>
      </c>
      <c r="B621" t="s">
        <v>12940</v>
      </c>
    </row>
    <row r="622" spans="1:2" x14ac:dyDescent="0.25">
      <c r="A622" t="s">
        <v>7583</v>
      </c>
      <c r="B622" t="s">
        <v>12940</v>
      </c>
    </row>
    <row r="623" spans="1:2" x14ac:dyDescent="0.25">
      <c r="A623" t="s">
        <v>7613</v>
      </c>
      <c r="B623" t="s">
        <v>12940</v>
      </c>
    </row>
    <row r="624" spans="1:2" x14ac:dyDescent="0.25">
      <c r="A624" t="s">
        <v>7650</v>
      </c>
      <c r="B624" t="s">
        <v>12940</v>
      </c>
    </row>
    <row r="625" spans="1:2" x14ac:dyDescent="0.25">
      <c r="A625" t="s">
        <v>7704</v>
      </c>
      <c r="B625" t="s">
        <v>12940</v>
      </c>
    </row>
    <row r="626" spans="1:2" x14ac:dyDescent="0.25">
      <c r="A626" t="s">
        <v>8069</v>
      </c>
      <c r="B626" t="s">
        <v>12940</v>
      </c>
    </row>
    <row r="627" spans="1:2" x14ac:dyDescent="0.25">
      <c r="A627" t="s">
        <v>8223</v>
      </c>
      <c r="B627" t="s">
        <v>12940</v>
      </c>
    </row>
    <row r="628" spans="1:2" x14ac:dyDescent="0.25">
      <c r="A628" t="s">
        <v>8312</v>
      </c>
      <c r="B628" t="s">
        <v>12940</v>
      </c>
    </row>
    <row r="629" spans="1:2" x14ac:dyDescent="0.25">
      <c r="A629" t="s">
        <v>8350</v>
      </c>
      <c r="B629" t="s">
        <v>12940</v>
      </c>
    </row>
    <row r="630" spans="1:2" x14ac:dyDescent="0.25">
      <c r="A630" t="s">
        <v>8369</v>
      </c>
      <c r="B630" t="s">
        <v>12940</v>
      </c>
    </row>
    <row r="631" spans="1:2" x14ac:dyDescent="0.25">
      <c r="A631" t="s">
        <v>8392</v>
      </c>
      <c r="B631" t="s">
        <v>12940</v>
      </c>
    </row>
    <row r="632" spans="1:2" x14ac:dyDescent="0.25">
      <c r="A632" t="s">
        <v>8454</v>
      </c>
      <c r="B632" t="s">
        <v>12940</v>
      </c>
    </row>
    <row r="633" spans="1:2" x14ac:dyDescent="0.25">
      <c r="A633" t="s">
        <v>8515</v>
      </c>
      <c r="B633" t="s">
        <v>12940</v>
      </c>
    </row>
    <row r="634" spans="1:2" x14ac:dyDescent="0.25">
      <c r="A634" t="s">
        <v>8684</v>
      </c>
      <c r="B634" t="s">
        <v>12940</v>
      </c>
    </row>
    <row r="635" spans="1:2" x14ac:dyDescent="0.25">
      <c r="A635" t="s">
        <v>8994</v>
      </c>
      <c r="B635" t="s">
        <v>12940</v>
      </c>
    </row>
    <row r="636" spans="1:2" x14ac:dyDescent="0.25">
      <c r="A636" t="s">
        <v>9013</v>
      </c>
      <c r="B636" t="s">
        <v>12940</v>
      </c>
    </row>
    <row r="637" spans="1:2" x14ac:dyDescent="0.25">
      <c r="A637" t="s">
        <v>9053</v>
      </c>
      <c r="B637" t="s">
        <v>12940</v>
      </c>
    </row>
    <row r="638" spans="1:2" x14ac:dyDescent="0.25">
      <c r="A638" t="s">
        <v>9239</v>
      </c>
      <c r="B638" t="s">
        <v>12940</v>
      </c>
    </row>
    <row r="639" spans="1:2" x14ac:dyDescent="0.25">
      <c r="A639" t="s">
        <v>9287</v>
      </c>
      <c r="B639" t="s">
        <v>12940</v>
      </c>
    </row>
    <row r="640" spans="1:2" x14ac:dyDescent="0.25">
      <c r="A640" t="s">
        <v>9444</v>
      </c>
      <c r="B640" t="s">
        <v>12940</v>
      </c>
    </row>
    <row r="641" spans="1:2" x14ac:dyDescent="0.25">
      <c r="A641" t="s">
        <v>9477</v>
      </c>
      <c r="B641" t="s">
        <v>12940</v>
      </c>
    </row>
    <row r="642" spans="1:2" x14ac:dyDescent="0.25">
      <c r="A642" t="s">
        <v>9588</v>
      </c>
      <c r="B642" t="s">
        <v>12940</v>
      </c>
    </row>
    <row r="643" spans="1:2" x14ac:dyDescent="0.25">
      <c r="A643" t="s">
        <v>9629</v>
      </c>
      <c r="B643" t="s">
        <v>12940</v>
      </c>
    </row>
    <row r="644" spans="1:2" x14ac:dyDescent="0.25">
      <c r="A644" t="s">
        <v>10097</v>
      </c>
      <c r="B644" t="s">
        <v>12940</v>
      </c>
    </row>
    <row r="645" spans="1:2" x14ac:dyDescent="0.25">
      <c r="A645" t="s">
        <v>10250</v>
      </c>
      <c r="B645" t="s">
        <v>12940</v>
      </c>
    </row>
    <row r="646" spans="1:2" x14ac:dyDescent="0.25">
      <c r="A646" t="s">
        <v>10350</v>
      </c>
      <c r="B646" t="s">
        <v>12940</v>
      </c>
    </row>
    <row r="647" spans="1:2" x14ac:dyDescent="0.25">
      <c r="A647" t="s">
        <v>10418</v>
      </c>
      <c r="B647" t="s">
        <v>12940</v>
      </c>
    </row>
    <row r="648" spans="1:2" x14ac:dyDescent="0.25">
      <c r="A648" t="s">
        <v>10516</v>
      </c>
      <c r="B648" t="s">
        <v>12940</v>
      </c>
    </row>
    <row r="649" spans="1:2" x14ac:dyDescent="0.25">
      <c r="A649" t="s">
        <v>10619</v>
      </c>
      <c r="B649" t="s">
        <v>12940</v>
      </c>
    </row>
    <row r="650" spans="1:2" x14ac:dyDescent="0.25">
      <c r="A650" t="s">
        <v>10840</v>
      </c>
      <c r="B650" t="s">
        <v>12940</v>
      </c>
    </row>
    <row r="651" spans="1:2" x14ac:dyDescent="0.25">
      <c r="A651" t="s">
        <v>10882</v>
      </c>
      <c r="B651" t="s">
        <v>12940</v>
      </c>
    </row>
    <row r="652" spans="1:2" x14ac:dyDescent="0.25">
      <c r="A652" t="s">
        <v>10903</v>
      </c>
      <c r="B652" t="s">
        <v>12940</v>
      </c>
    </row>
    <row r="653" spans="1:2" x14ac:dyDescent="0.25">
      <c r="A653" t="s">
        <v>11050</v>
      </c>
      <c r="B653" t="s">
        <v>12940</v>
      </c>
    </row>
    <row r="654" spans="1:2" x14ac:dyDescent="0.25">
      <c r="A654" t="s">
        <v>11197</v>
      </c>
      <c r="B654" t="s">
        <v>12940</v>
      </c>
    </row>
    <row r="655" spans="1:2" x14ac:dyDescent="0.25">
      <c r="A655" t="s">
        <v>11296</v>
      </c>
      <c r="B655" t="s">
        <v>12940</v>
      </c>
    </row>
    <row r="656" spans="1:2" x14ac:dyDescent="0.25">
      <c r="A656" t="s">
        <v>11402</v>
      </c>
      <c r="B656" t="s">
        <v>12940</v>
      </c>
    </row>
    <row r="657" spans="1:2" x14ac:dyDescent="0.25">
      <c r="A657" t="s">
        <v>11440</v>
      </c>
      <c r="B657" t="s">
        <v>12940</v>
      </c>
    </row>
    <row r="658" spans="1:2" x14ac:dyDescent="0.25">
      <c r="A658" t="s">
        <v>11473</v>
      </c>
      <c r="B658" t="s">
        <v>12940</v>
      </c>
    </row>
    <row r="659" spans="1:2" x14ac:dyDescent="0.25">
      <c r="A659" t="s">
        <v>11490</v>
      </c>
      <c r="B659" t="s">
        <v>12940</v>
      </c>
    </row>
    <row r="660" spans="1:2" x14ac:dyDescent="0.25">
      <c r="A660" t="s">
        <v>11701</v>
      </c>
      <c r="B660" t="s">
        <v>12940</v>
      </c>
    </row>
    <row r="661" spans="1:2" x14ac:dyDescent="0.25">
      <c r="A661" t="s">
        <v>11838</v>
      </c>
      <c r="B661" t="s">
        <v>12940</v>
      </c>
    </row>
    <row r="662" spans="1:2" x14ac:dyDescent="0.25">
      <c r="A662" t="s">
        <v>11857</v>
      </c>
      <c r="B662" t="s">
        <v>12940</v>
      </c>
    </row>
    <row r="663" spans="1:2" x14ac:dyDescent="0.25">
      <c r="A663" t="s">
        <v>11969</v>
      </c>
      <c r="B663" t="s">
        <v>12940</v>
      </c>
    </row>
    <row r="664" spans="1:2" x14ac:dyDescent="0.25">
      <c r="A664" t="s">
        <v>12140</v>
      </c>
      <c r="B664" t="s">
        <v>12940</v>
      </c>
    </row>
    <row r="665" spans="1:2" x14ac:dyDescent="0.25">
      <c r="A665" t="s">
        <v>12244</v>
      </c>
      <c r="B665" t="s">
        <v>12940</v>
      </c>
    </row>
    <row r="666" spans="1:2" x14ac:dyDescent="0.25">
      <c r="A666" t="s">
        <v>12285</v>
      </c>
      <c r="B666" t="s">
        <v>12940</v>
      </c>
    </row>
    <row r="667" spans="1:2" x14ac:dyDescent="0.25">
      <c r="A667" t="s">
        <v>12302</v>
      </c>
      <c r="B667" t="s">
        <v>12940</v>
      </c>
    </row>
    <row r="668" spans="1:2" x14ac:dyDescent="0.25">
      <c r="A668" t="s">
        <v>12313</v>
      </c>
      <c r="B668" t="s">
        <v>12940</v>
      </c>
    </row>
    <row r="669" spans="1:2" x14ac:dyDescent="0.25">
      <c r="A669" t="s">
        <v>12334</v>
      </c>
      <c r="B669" t="s">
        <v>12940</v>
      </c>
    </row>
    <row r="670" spans="1:2" x14ac:dyDescent="0.25">
      <c r="A670" t="s">
        <v>12361</v>
      </c>
      <c r="B670" t="s">
        <v>12940</v>
      </c>
    </row>
    <row r="671" spans="1:2" x14ac:dyDescent="0.25">
      <c r="A671" t="s">
        <v>12630</v>
      </c>
      <c r="B671" t="s">
        <v>12940</v>
      </c>
    </row>
    <row r="672" spans="1:2" x14ac:dyDescent="0.25">
      <c r="A672" t="s">
        <v>12664</v>
      </c>
      <c r="B672" t="s">
        <v>12940</v>
      </c>
    </row>
    <row r="673" spans="1:2" x14ac:dyDescent="0.25">
      <c r="A673" t="s">
        <v>12680</v>
      </c>
      <c r="B673" t="s">
        <v>12940</v>
      </c>
    </row>
    <row r="674" spans="1:2" x14ac:dyDescent="0.25">
      <c r="A674" t="s">
        <v>12835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167"/>
  <sheetViews>
    <sheetView workbookViewId="0">
      <selection activeCell="A2" sqref="A2:A167"/>
    </sheetView>
  </sheetViews>
  <sheetFormatPr baseColWidth="10" defaultColWidth="8.7265625" defaultRowHeight="12.5" x14ac:dyDescent="0.25"/>
  <sheetData>
    <row r="1" spans="1:72" x14ac:dyDescent="0.25">
      <c r="A1" s="9" t="s">
        <v>0</v>
      </c>
      <c r="B1" s="9" t="s">
        <v>1</v>
      </c>
      <c r="C1" s="9" t="s">
        <v>2</v>
      </c>
      <c r="D1" s="9" t="s">
        <v>3</v>
      </c>
      <c r="E1" s="9" t="s">
        <v>4</v>
      </c>
      <c r="F1" s="9" t="s">
        <v>5</v>
      </c>
      <c r="G1" s="9" t="s">
        <v>6</v>
      </c>
      <c r="H1" s="9" t="s">
        <v>7</v>
      </c>
      <c r="I1" s="9" t="s">
        <v>8</v>
      </c>
      <c r="J1" s="9" t="s">
        <v>9</v>
      </c>
      <c r="K1" s="9" t="s">
        <v>10</v>
      </c>
      <c r="L1" s="9" t="s">
        <v>11</v>
      </c>
      <c r="M1" s="9" t="s">
        <v>12</v>
      </c>
      <c r="N1" s="9"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28</v>
      </c>
      <c r="AD1" s="9" t="s">
        <v>29</v>
      </c>
      <c r="AE1" s="9" t="s">
        <v>30</v>
      </c>
      <c r="AF1" s="9" t="s">
        <v>31</v>
      </c>
      <c r="AG1" s="9" t="s">
        <v>32</v>
      </c>
      <c r="AH1" s="9" t="s">
        <v>33</v>
      </c>
      <c r="AI1" s="9" t="s">
        <v>34</v>
      </c>
      <c r="AJ1" s="9" t="s">
        <v>35</v>
      </c>
      <c r="AK1" s="9" t="s">
        <v>36</v>
      </c>
      <c r="AL1" s="9" t="s">
        <v>37</v>
      </c>
      <c r="AM1" s="9" t="s">
        <v>38</v>
      </c>
      <c r="AN1" s="9" t="s">
        <v>39</v>
      </c>
      <c r="AO1" s="9" t="s">
        <v>40</v>
      </c>
      <c r="AP1" s="9" t="s">
        <v>41</v>
      </c>
      <c r="AQ1" s="9" t="s">
        <v>42</v>
      </c>
      <c r="AR1" s="9" t="s">
        <v>43</v>
      </c>
      <c r="AS1" s="9" t="s">
        <v>44</v>
      </c>
      <c r="AT1" s="9" t="s">
        <v>45</v>
      </c>
      <c r="AU1" s="9" t="s">
        <v>46</v>
      </c>
      <c r="AV1" s="9" t="s">
        <v>47</v>
      </c>
      <c r="AW1" s="9" t="s">
        <v>48</v>
      </c>
      <c r="AX1" s="9" t="s">
        <v>49</v>
      </c>
      <c r="AY1" s="9" t="s">
        <v>50</v>
      </c>
      <c r="AZ1" s="9" t="s">
        <v>51</v>
      </c>
      <c r="BA1" s="9" t="s">
        <v>52</v>
      </c>
      <c r="BB1" s="9" t="s">
        <v>53</v>
      </c>
      <c r="BC1" s="9" t="s">
        <v>54</v>
      </c>
      <c r="BD1" s="9" t="s">
        <v>55</v>
      </c>
      <c r="BE1" s="9" t="s">
        <v>56</v>
      </c>
      <c r="BF1" s="9" t="s">
        <v>57</v>
      </c>
      <c r="BG1" s="9" t="s">
        <v>58</v>
      </c>
      <c r="BH1" s="9" t="s">
        <v>59</v>
      </c>
      <c r="BI1" s="9" t="s">
        <v>60</v>
      </c>
      <c r="BJ1" s="9" t="s">
        <v>61</v>
      </c>
      <c r="BK1" s="9" t="s">
        <v>62</v>
      </c>
      <c r="BL1" s="9" t="s">
        <v>63</v>
      </c>
      <c r="BM1" s="9" t="s">
        <v>64</v>
      </c>
      <c r="BN1" s="9" t="s">
        <v>65</v>
      </c>
      <c r="BO1" s="9" t="s">
        <v>66</v>
      </c>
      <c r="BP1" s="9" t="s">
        <v>67</v>
      </c>
      <c r="BQ1" s="9" t="s">
        <v>68</v>
      </c>
      <c r="BR1" s="9" t="s">
        <v>69</v>
      </c>
      <c r="BS1" s="9" t="s">
        <v>70</v>
      </c>
      <c r="BT1" s="9" t="s">
        <v>71</v>
      </c>
    </row>
    <row r="2" spans="1:72" x14ac:dyDescent="0.25">
      <c r="A2" s="9" t="s">
        <v>72</v>
      </c>
      <c r="B2" s="9" t="s">
        <v>12141</v>
      </c>
      <c r="C2" s="9" t="s">
        <v>74</v>
      </c>
      <c r="D2" s="9" t="s">
        <v>74</v>
      </c>
      <c r="E2" s="9" t="s">
        <v>74</v>
      </c>
      <c r="F2" s="9" t="s">
        <v>12142</v>
      </c>
      <c r="G2" s="9" t="s">
        <v>74</v>
      </c>
      <c r="H2" s="9" t="s">
        <v>74</v>
      </c>
      <c r="I2" s="9" t="s">
        <v>12143</v>
      </c>
      <c r="J2" s="9" t="s">
        <v>2587</v>
      </c>
      <c r="K2" s="9" t="s">
        <v>74</v>
      </c>
      <c r="L2" s="9" t="s">
        <v>74</v>
      </c>
      <c r="M2" s="9" t="s">
        <v>78</v>
      </c>
      <c r="N2" s="9" t="s">
        <v>79</v>
      </c>
      <c r="O2" s="9" t="s">
        <v>74</v>
      </c>
      <c r="P2" s="9" t="s">
        <v>74</v>
      </c>
      <c r="Q2" s="9" t="s">
        <v>74</v>
      </c>
      <c r="R2" s="9" t="s">
        <v>74</v>
      </c>
      <c r="S2" s="9" t="s">
        <v>74</v>
      </c>
      <c r="T2" s="9" t="s">
        <v>12144</v>
      </c>
      <c r="U2" s="9" t="s">
        <v>12145</v>
      </c>
      <c r="V2" s="9" t="s">
        <v>12146</v>
      </c>
      <c r="W2" s="9" t="s">
        <v>12147</v>
      </c>
      <c r="X2" s="9" t="s">
        <v>12148</v>
      </c>
      <c r="Y2" s="9" t="s">
        <v>12149</v>
      </c>
      <c r="Z2" s="9" t="s">
        <v>12150</v>
      </c>
      <c r="AA2" s="9" t="s">
        <v>12945</v>
      </c>
      <c r="AB2" s="9" t="s">
        <v>12152</v>
      </c>
      <c r="AC2" s="9" t="s">
        <v>74</v>
      </c>
      <c r="AD2" s="9" t="s">
        <v>74</v>
      </c>
      <c r="AE2" s="9" t="s">
        <v>74</v>
      </c>
      <c r="AF2" s="9" t="s">
        <v>74</v>
      </c>
      <c r="AG2" s="9">
        <v>55</v>
      </c>
      <c r="AH2" s="9">
        <v>1505</v>
      </c>
      <c r="AI2" s="9">
        <v>1719</v>
      </c>
      <c r="AJ2" s="9">
        <v>165</v>
      </c>
      <c r="AK2" s="9">
        <v>1667</v>
      </c>
      <c r="AL2" s="9" t="s">
        <v>2595</v>
      </c>
      <c r="AM2" s="9" t="s">
        <v>2596</v>
      </c>
      <c r="AN2" s="9" t="s">
        <v>2597</v>
      </c>
      <c r="AO2" s="9" t="s">
        <v>2598</v>
      </c>
      <c r="AP2" s="9" t="s">
        <v>74</v>
      </c>
      <c r="AQ2" s="9" t="s">
        <v>74</v>
      </c>
      <c r="AR2" s="9" t="s">
        <v>2599</v>
      </c>
      <c r="AS2" s="9" t="s">
        <v>2600</v>
      </c>
      <c r="AT2" s="9" t="s">
        <v>1138</v>
      </c>
      <c r="AU2" s="9">
        <v>2013</v>
      </c>
      <c r="AV2" s="9">
        <v>37</v>
      </c>
      <c r="AW2" s="9">
        <v>2</v>
      </c>
      <c r="AX2" s="9" t="s">
        <v>74</v>
      </c>
      <c r="AY2" s="9" t="s">
        <v>74</v>
      </c>
      <c r="AZ2" s="9" t="s">
        <v>74</v>
      </c>
      <c r="BA2" s="9" t="s">
        <v>74</v>
      </c>
      <c r="BB2" s="9">
        <v>471</v>
      </c>
      <c r="BC2" s="9">
        <v>482</v>
      </c>
      <c r="BD2" s="9" t="s">
        <v>74</v>
      </c>
      <c r="BE2" s="9" t="s">
        <v>12153</v>
      </c>
      <c r="BF2" s="9">
        <v>0</v>
      </c>
      <c r="BG2" s="9" t="s">
        <v>74</v>
      </c>
      <c r="BH2" s="9" t="s">
        <v>74</v>
      </c>
      <c r="BI2" s="9">
        <v>12</v>
      </c>
      <c r="BJ2" s="9" t="s">
        <v>2581</v>
      </c>
      <c r="BK2" s="9" t="s">
        <v>211</v>
      </c>
      <c r="BL2" s="9" t="s">
        <v>767</v>
      </c>
      <c r="BM2" s="9" t="s">
        <v>12154</v>
      </c>
      <c r="BN2" s="9" t="s">
        <v>74</v>
      </c>
      <c r="BO2" s="9" t="s">
        <v>791</v>
      </c>
      <c r="BP2" s="9" t="s">
        <v>74</v>
      </c>
      <c r="BQ2" s="9" t="s">
        <v>74</v>
      </c>
      <c r="BR2" s="9" t="s">
        <v>12946</v>
      </c>
      <c r="BS2" s="9" t="s">
        <v>12155</v>
      </c>
      <c r="BT2" s="9">
        <v>0</v>
      </c>
    </row>
    <row r="3" spans="1:72" x14ac:dyDescent="0.25">
      <c r="A3" s="9" t="s">
        <v>72</v>
      </c>
      <c r="B3" s="9" t="s">
        <v>12417</v>
      </c>
      <c r="C3" s="9" t="s">
        <v>74</v>
      </c>
      <c r="D3" s="9" t="s">
        <v>74</v>
      </c>
      <c r="E3" s="9" t="s">
        <v>74</v>
      </c>
      <c r="F3" s="9" t="s">
        <v>12418</v>
      </c>
      <c r="G3" s="9" t="s">
        <v>74</v>
      </c>
      <c r="H3" s="9" t="s">
        <v>74</v>
      </c>
      <c r="I3" s="9" t="s">
        <v>12419</v>
      </c>
      <c r="J3" s="9" t="s">
        <v>4849</v>
      </c>
      <c r="K3" s="9" t="s">
        <v>74</v>
      </c>
      <c r="L3" s="9" t="s">
        <v>74</v>
      </c>
      <c r="M3" s="9" t="s">
        <v>78</v>
      </c>
      <c r="N3" s="9" t="s">
        <v>79</v>
      </c>
      <c r="O3" s="9" t="s">
        <v>74</v>
      </c>
      <c r="P3" s="9" t="s">
        <v>74</v>
      </c>
      <c r="Q3" s="9" t="s">
        <v>74</v>
      </c>
      <c r="R3" s="9" t="s">
        <v>74</v>
      </c>
      <c r="S3" s="9" t="s">
        <v>74</v>
      </c>
      <c r="T3" s="9" t="s">
        <v>12420</v>
      </c>
      <c r="U3" s="9" t="s">
        <v>12421</v>
      </c>
      <c r="V3" s="9" t="s">
        <v>12422</v>
      </c>
      <c r="W3" s="9" t="s">
        <v>12423</v>
      </c>
      <c r="X3" s="9" t="s">
        <v>12947</v>
      </c>
      <c r="Y3" s="9" t="s">
        <v>12425</v>
      </c>
      <c r="Z3" s="9" t="s">
        <v>12426</v>
      </c>
      <c r="AA3" s="9" t="s">
        <v>12948</v>
      </c>
      <c r="AB3" s="9" t="s">
        <v>12949</v>
      </c>
      <c r="AC3" s="9" t="s">
        <v>12950</v>
      </c>
      <c r="AD3" s="9" t="s">
        <v>12951</v>
      </c>
      <c r="AE3" s="9" t="s">
        <v>74</v>
      </c>
      <c r="AF3" s="9" t="s">
        <v>74</v>
      </c>
      <c r="AG3" s="9">
        <v>39</v>
      </c>
      <c r="AH3" s="9">
        <v>1455</v>
      </c>
      <c r="AI3" s="9">
        <v>1603</v>
      </c>
      <c r="AJ3" s="9">
        <v>116</v>
      </c>
      <c r="AK3" s="9">
        <v>1113</v>
      </c>
      <c r="AL3" s="9" t="s">
        <v>4775</v>
      </c>
      <c r="AM3" s="9" t="s">
        <v>12431</v>
      </c>
      <c r="AN3" s="9" t="s">
        <v>12432</v>
      </c>
      <c r="AO3" s="9" t="s">
        <v>4862</v>
      </c>
      <c r="AP3" s="9" t="s">
        <v>74</v>
      </c>
      <c r="AQ3" s="9" t="s">
        <v>74</v>
      </c>
      <c r="AR3" s="9" t="s">
        <v>4864</v>
      </c>
      <c r="AS3" s="9" t="s">
        <v>4865</v>
      </c>
      <c r="AT3" s="9" t="s">
        <v>476</v>
      </c>
      <c r="AU3" s="9">
        <v>2010</v>
      </c>
      <c r="AV3" s="9">
        <v>21</v>
      </c>
      <c r="AW3" s="9">
        <v>4</v>
      </c>
      <c r="AX3" s="9" t="s">
        <v>74</v>
      </c>
      <c r="AY3" s="9" t="s">
        <v>74</v>
      </c>
      <c r="AZ3" s="9" t="s">
        <v>74</v>
      </c>
      <c r="BA3" s="9" t="s">
        <v>74</v>
      </c>
      <c r="BB3" s="9">
        <v>724</v>
      </c>
      <c r="BC3" s="9">
        <v>735</v>
      </c>
      <c r="BD3" s="9" t="s">
        <v>74</v>
      </c>
      <c r="BE3" s="9" t="s">
        <v>12433</v>
      </c>
      <c r="BF3" s="9">
        <v>0</v>
      </c>
      <c r="BG3" s="9" t="s">
        <v>74</v>
      </c>
      <c r="BH3" s="9" t="s">
        <v>74</v>
      </c>
      <c r="BI3" s="9">
        <v>12</v>
      </c>
      <c r="BJ3" s="9" t="s">
        <v>3601</v>
      </c>
      <c r="BK3" s="9" t="s">
        <v>156</v>
      </c>
      <c r="BL3" s="9" t="s">
        <v>3602</v>
      </c>
      <c r="BM3" s="9" t="s">
        <v>12434</v>
      </c>
      <c r="BN3" s="9" t="s">
        <v>74</v>
      </c>
      <c r="BO3" s="9" t="s">
        <v>74</v>
      </c>
      <c r="BP3" s="9" t="s">
        <v>74</v>
      </c>
      <c r="BQ3" s="9" t="s">
        <v>74</v>
      </c>
      <c r="BR3" s="9" t="s">
        <v>12946</v>
      </c>
      <c r="BS3" s="9" t="s">
        <v>12435</v>
      </c>
      <c r="BT3" s="9">
        <v>0</v>
      </c>
    </row>
    <row r="4" spans="1:72" x14ac:dyDescent="0.25">
      <c r="A4" s="9" t="s">
        <v>72</v>
      </c>
      <c r="B4" s="9" t="s">
        <v>8927</v>
      </c>
      <c r="C4" s="9" t="s">
        <v>74</v>
      </c>
      <c r="D4" s="9" t="s">
        <v>74</v>
      </c>
      <c r="E4" s="9" t="s">
        <v>74</v>
      </c>
      <c r="F4" s="9" t="s">
        <v>8928</v>
      </c>
      <c r="G4" s="9" t="s">
        <v>74</v>
      </c>
      <c r="H4" s="9" t="s">
        <v>74</v>
      </c>
      <c r="I4" s="9" t="s">
        <v>8929</v>
      </c>
      <c r="J4" s="9" t="s">
        <v>321</v>
      </c>
      <c r="K4" s="9" t="s">
        <v>74</v>
      </c>
      <c r="L4" s="9" t="s">
        <v>74</v>
      </c>
      <c r="M4" s="9" t="s">
        <v>78</v>
      </c>
      <c r="N4" s="9" t="s">
        <v>79</v>
      </c>
      <c r="O4" s="9" t="s">
        <v>74</v>
      </c>
      <c r="P4" s="9" t="s">
        <v>74</v>
      </c>
      <c r="Q4" s="9" t="s">
        <v>74</v>
      </c>
      <c r="R4" s="9" t="s">
        <v>74</v>
      </c>
      <c r="S4" s="9" t="s">
        <v>74</v>
      </c>
      <c r="T4" s="9" t="s">
        <v>8930</v>
      </c>
      <c r="U4" s="9" t="s">
        <v>8931</v>
      </c>
      <c r="V4" s="9" t="s">
        <v>8932</v>
      </c>
      <c r="W4" s="9" t="s">
        <v>8933</v>
      </c>
      <c r="X4" s="9" t="s">
        <v>74</v>
      </c>
      <c r="Y4" s="9" t="s">
        <v>8934</v>
      </c>
      <c r="Z4" s="9" t="s">
        <v>8935</v>
      </c>
      <c r="AA4" s="9" t="s">
        <v>12952</v>
      </c>
      <c r="AB4" s="9" t="s">
        <v>12953</v>
      </c>
      <c r="AC4" s="9" t="s">
        <v>8938</v>
      </c>
      <c r="AD4" s="9" t="s">
        <v>605</v>
      </c>
      <c r="AE4" s="9" t="s">
        <v>8939</v>
      </c>
      <c r="AF4" s="9" t="s">
        <v>74</v>
      </c>
      <c r="AG4" s="9">
        <v>119</v>
      </c>
      <c r="AH4" s="9">
        <v>579</v>
      </c>
      <c r="AI4" s="9">
        <v>604</v>
      </c>
      <c r="AJ4" s="9">
        <v>67</v>
      </c>
      <c r="AK4" s="9">
        <v>602</v>
      </c>
      <c r="AL4" s="9" t="s">
        <v>332</v>
      </c>
      <c r="AM4" s="9" t="s">
        <v>122</v>
      </c>
      <c r="AN4" s="9" t="s">
        <v>333</v>
      </c>
      <c r="AO4" s="9" t="s">
        <v>334</v>
      </c>
      <c r="AP4" s="9" t="s">
        <v>335</v>
      </c>
      <c r="AQ4" s="9" t="s">
        <v>74</v>
      </c>
      <c r="AR4" s="9" t="s">
        <v>336</v>
      </c>
      <c r="AS4" s="9" t="s">
        <v>337</v>
      </c>
      <c r="AT4" s="9" t="s">
        <v>356</v>
      </c>
      <c r="AU4" s="9">
        <v>2019</v>
      </c>
      <c r="AV4" s="9">
        <v>146</v>
      </c>
      <c r="AW4" s="9" t="s">
        <v>74</v>
      </c>
      <c r="AX4" s="9" t="s">
        <v>74</v>
      </c>
      <c r="AY4" s="9" t="s">
        <v>74</v>
      </c>
      <c r="AZ4" s="9" t="s">
        <v>74</v>
      </c>
      <c r="BA4" s="9" t="s">
        <v>74</v>
      </c>
      <c r="BB4" s="9">
        <v>119</v>
      </c>
      <c r="BC4" s="9">
        <v>132</v>
      </c>
      <c r="BD4" s="9" t="s">
        <v>74</v>
      </c>
      <c r="BE4" s="9" t="s">
        <v>8940</v>
      </c>
      <c r="BF4" s="9">
        <v>0</v>
      </c>
      <c r="BG4" s="9" t="s">
        <v>74</v>
      </c>
      <c r="BH4" s="9" t="s">
        <v>74</v>
      </c>
      <c r="BI4" s="9">
        <v>14</v>
      </c>
      <c r="BJ4" s="9" t="s">
        <v>339</v>
      </c>
      <c r="BK4" s="9" t="s">
        <v>156</v>
      </c>
      <c r="BL4" s="9" t="s">
        <v>340</v>
      </c>
      <c r="BM4" s="9" t="s">
        <v>8941</v>
      </c>
      <c r="BN4" s="9" t="s">
        <v>74</v>
      </c>
      <c r="BO4" s="9" t="s">
        <v>8942</v>
      </c>
      <c r="BP4" s="9" t="s">
        <v>12954</v>
      </c>
      <c r="BQ4" s="9" t="s">
        <v>12955</v>
      </c>
      <c r="BR4" s="9" t="s">
        <v>12946</v>
      </c>
      <c r="BS4" s="9" t="s">
        <v>8943</v>
      </c>
      <c r="BT4" s="9">
        <v>0</v>
      </c>
    </row>
    <row r="5" spans="1:72" x14ac:dyDescent="0.25">
      <c r="A5" s="9" t="s">
        <v>72</v>
      </c>
      <c r="B5" s="9" t="s">
        <v>7920</v>
      </c>
      <c r="C5" s="9" t="s">
        <v>74</v>
      </c>
      <c r="D5" s="9" t="s">
        <v>74</v>
      </c>
      <c r="E5" s="9" t="s">
        <v>74</v>
      </c>
      <c r="F5" s="9" t="s">
        <v>7921</v>
      </c>
      <c r="G5" s="9" t="s">
        <v>74</v>
      </c>
      <c r="H5" s="9" t="s">
        <v>74</v>
      </c>
      <c r="I5" s="9" t="s">
        <v>7922</v>
      </c>
      <c r="J5" s="9" t="s">
        <v>218</v>
      </c>
      <c r="K5" s="9" t="s">
        <v>74</v>
      </c>
      <c r="L5" s="9" t="s">
        <v>74</v>
      </c>
      <c r="M5" s="9" t="s">
        <v>78</v>
      </c>
      <c r="N5" s="9" t="s">
        <v>79</v>
      </c>
      <c r="O5" s="9" t="s">
        <v>74</v>
      </c>
      <c r="P5" s="9" t="s">
        <v>74</v>
      </c>
      <c r="Q5" s="9" t="s">
        <v>74</v>
      </c>
      <c r="R5" s="9" t="s">
        <v>74</v>
      </c>
      <c r="S5" s="9" t="s">
        <v>74</v>
      </c>
      <c r="T5" s="9" t="s">
        <v>7923</v>
      </c>
      <c r="U5" s="9" t="s">
        <v>7924</v>
      </c>
      <c r="V5" s="9" t="s">
        <v>7925</v>
      </c>
      <c r="W5" s="9" t="s">
        <v>7926</v>
      </c>
      <c r="X5" s="9" t="s">
        <v>7927</v>
      </c>
      <c r="Y5" s="9" t="s">
        <v>7928</v>
      </c>
      <c r="Z5" s="9" t="s">
        <v>7929</v>
      </c>
      <c r="AA5" s="9" t="s">
        <v>12956</v>
      </c>
      <c r="AB5" s="9" t="s">
        <v>12957</v>
      </c>
      <c r="AC5" s="9" t="s">
        <v>74</v>
      </c>
      <c r="AD5" s="9" t="s">
        <v>74</v>
      </c>
      <c r="AE5" s="9" t="s">
        <v>74</v>
      </c>
      <c r="AF5" s="9" t="s">
        <v>74</v>
      </c>
      <c r="AG5" s="9">
        <v>66</v>
      </c>
      <c r="AH5" s="9">
        <v>468</v>
      </c>
      <c r="AI5" s="9">
        <v>494</v>
      </c>
      <c r="AJ5" s="9">
        <v>27</v>
      </c>
      <c r="AK5" s="9">
        <v>348</v>
      </c>
      <c r="AL5" s="9" t="s">
        <v>231</v>
      </c>
      <c r="AM5" s="9" t="s">
        <v>232</v>
      </c>
      <c r="AN5" s="9" t="s">
        <v>233</v>
      </c>
      <c r="AO5" s="9" t="s">
        <v>234</v>
      </c>
      <c r="AP5" s="9" t="s">
        <v>235</v>
      </c>
      <c r="AQ5" s="9" t="s">
        <v>74</v>
      </c>
      <c r="AR5" s="9" t="s">
        <v>236</v>
      </c>
      <c r="AS5" s="9" t="s">
        <v>237</v>
      </c>
      <c r="AT5" s="9" t="s">
        <v>1138</v>
      </c>
      <c r="AU5" s="9">
        <v>2020</v>
      </c>
      <c r="AV5" s="9">
        <v>224</v>
      </c>
      <c r="AW5" s="9" t="s">
        <v>74</v>
      </c>
      <c r="AX5" s="9" t="s">
        <v>74</v>
      </c>
      <c r="AY5" s="9" t="s">
        <v>74</v>
      </c>
      <c r="AZ5" s="9" t="s">
        <v>74</v>
      </c>
      <c r="BA5" s="9" t="s">
        <v>74</v>
      </c>
      <c r="BB5" s="9" t="s">
        <v>74</v>
      </c>
      <c r="BC5" s="9" t="s">
        <v>74</v>
      </c>
      <c r="BD5" s="9">
        <v>107546</v>
      </c>
      <c r="BE5" s="9" t="s">
        <v>7932</v>
      </c>
      <c r="BF5" s="9">
        <v>0</v>
      </c>
      <c r="BG5" s="9" t="s">
        <v>74</v>
      </c>
      <c r="BH5" s="9" t="s">
        <v>74</v>
      </c>
      <c r="BI5" s="9">
        <v>17</v>
      </c>
      <c r="BJ5" s="9" t="s">
        <v>239</v>
      </c>
      <c r="BK5" s="9" t="s">
        <v>211</v>
      </c>
      <c r="BL5" s="9" t="s">
        <v>240</v>
      </c>
      <c r="BM5" s="9" t="s">
        <v>7933</v>
      </c>
      <c r="BN5" s="9" t="s">
        <v>74</v>
      </c>
      <c r="BO5" s="9" t="s">
        <v>74</v>
      </c>
      <c r="BP5" s="9" t="s">
        <v>12954</v>
      </c>
      <c r="BQ5" s="9" t="s">
        <v>12955</v>
      </c>
      <c r="BR5" s="9" t="s">
        <v>12946</v>
      </c>
      <c r="BS5" s="9" t="s">
        <v>7934</v>
      </c>
      <c r="BT5" s="9">
        <v>0</v>
      </c>
    </row>
    <row r="6" spans="1:72" x14ac:dyDescent="0.25">
      <c r="A6" s="9" t="s">
        <v>72</v>
      </c>
      <c r="B6" s="9" t="s">
        <v>10517</v>
      </c>
      <c r="C6" s="9" t="s">
        <v>74</v>
      </c>
      <c r="D6" s="9" t="s">
        <v>74</v>
      </c>
      <c r="E6" s="9" t="s">
        <v>74</v>
      </c>
      <c r="F6" s="9" t="s">
        <v>10518</v>
      </c>
      <c r="G6" s="9" t="s">
        <v>74</v>
      </c>
      <c r="H6" s="9" t="s">
        <v>74</v>
      </c>
      <c r="I6" s="9" t="s">
        <v>10519</v>
      </c>
      <c r="J6" s="9" t="s">
        <v>9843</v>
      </c>
      <c r="K6" s="9" t="s">
        <v>74</v>
      </c>
      <c r="L6" s="9" t="s">
        <v>74</v>
      </c>
      <c r="M6" s="9" t="s">
        <v>78</v>
      </c>
      <c r="N6" s="9" t="s">
        <v>79</v>
      </c>
      <c r="O6" s="9" t="s">
        <v>74</v>
      </c>
      <c r="P6" s="9" t="s">
        <v>74</v>
      </c>
      <c r="Q6" s="9" t="s">
        <v>74</v>
      </c>
      <c r="R6" s="9" t="s">
        <v>74</v>
      </c>
      <c r="S6" s="9" t="s">
        <v>74</v>
      </c>
      <c r="T6" s="9" t="s">
        <v>74</v>
      </c>
      <c r="U6" s="9" t="s">
        <v>12958</v>
      </c>
      <c r="V6" s="9" t="s">
        <v>10521</v>
      </c>
      <c r="W6" s="9" t="s">
        <v>10522</v>
      </c>
      <c r="X6" s="9" t="s">
        <v>10424</v>
      </c>
      <c r="Y6" s="9" t="s">
        <v>10523</v>
      </c>
      <c r="Z6" s="9" t="s">
        <v>10524</v>
      </c>
      <c r="AA6" s="9" t="s">
        <v>74</v>
      </c>
      <c r="AB6" s="9" t="s">
        <v>74</v>
      </c>
      <c r="AC6" s="9" t="s">
        <v>74</v>
      </c>
      <c r="AD6" s="9" t="s">
        <v>74</v>
      </c>
      <c r="AE6" s="9" t="s">
        <v>74</v>
      </c>
      <c r="AF6" s="9" t="s">
        <v>74</v>
      </c>
      <c r="AG6" s="9">
        <v>17</v>
      </c>
      <c r="AH6" s="9">
        <v>455</v>
      </c>
      <c r="AI6" s="9">
        <v>517</v>
      </c>
      <c r="AJ6" s="9">
        <v>4</v>
      </c>
      <c r="AK6" s="9">
        <v>4</v>
      </c>
      <c r="AL6" s="9" t="s">
        <v>9850</v>
      </c>
      <c r="AM6" s="9" t="s">
        <v>9851</v>
      </c>
      <c r="AN6" s="9" t="s">
        <v>9852</v>
      </c>
      <c r="AO6" s="9" t="s">
        <v>9853</v>
      </c>
      <c r="AP6" s="9" t="s">
        <v>9854</v>
      </c>
      <c r="AQ6" s="9" t="s">
        <v>74</v>
      </c>
      <c r="AR6" s="9" t="s">
        <v>9855</v>
      </c>
      <c r="AS6" s="9" t="s">
        <v>9856</v>
      </c>
      <c r="AT6" s="9" t="s">
        <v>356</v>
      </c>
      <c r="AU6" s="9">
        <v>2017</v>
      </c>
      <c r="AV6" s="9">
        <v>16</v>
      </c>
      <c r="AW6" s="9">
        <v>3</v>
      </c>
      <c r="AX6" s="9" t="s">
        <v>74</v>
      </c>
      <c r="AY6" s="9" t="s">
        <v>74</v>
      </c>
      <c r="AZ6" s="9" t="s">
        <v>74</v>
      </c>
      <c r="BA6" s="9" t="s">
        <v>74</v>
      </c>
      <c r="BB6" s="9">
        <v>197</v>
      </c>
      <c r="BC6" s="9">
        <v>213</v>
      </c>
      <c r="BD6" s="9" t="s">
        <v>74</v>
      </c>
      <c r="BE6" s="9" t="s">
        <v>74</v>
      </c>
      <c r="BF6" s="9" t="s">
        <v>74</v>
      </c>
      <c r="BG6" s="9" t="s">
        <v>74</v>
      </c>
      <c r="BH6" s="9" t="s">
        <v>74</v>
      </c>
      <c r="BI6" s="9">
        <v>17</v>
      </c>
      <c r="BJ6" s="9" t="s">
        <v>3601</v>
      </c>
      <c r="BK6" s="9" t="s">
        <v>156</v>
      </c>
      <c r="BL6" s="9" t="s">
        <v>3602</v>
      </c>
      <c r="BM6" s="9" t="s">
        <v>10525</v>
      </c>
      <c r="BN6" s="9" t="s">
        <v>74</v>
      </c>
      <c r="BO6" s="9" t="s">
        <v>74</v>
      </c>
      <c r="BP6" s="9" t="s">
        <v>12954</v>
      </c>
      <c r="BQ6" s="9" t="s">
        <v>12955</v>
      </c>
      <c r="BR6" s="9" t="s">
        <v>12946</v>
      </c>
      <c r="BS6" s="9" t="s">
        <v>10526</v>
      </c>
      <c r="BT6" s="9">
        <v>0</v>
      </c>
    </row>
    <row r="7" spans="1:72" x14ac:dyDescent="0.25">
      <c r="A7" s="9" t="s">
        <v>72</v>
      </c>
      <c r="B7" s="9" t="s">
        <v>9997</v>
      </c>
      <c r="C7" s="9" t="s">
        <v>74</v>
      </c>
      <c r="D7" s="9" t="s">
        <v>74</v>
      </c>
      <c r="E7" s="9" t="s">
        <v>74</v>
      </c>
      <c r="F7" s="9" t="s">
        <v>9998</v>
      </c>
      <c r="G7" s="9" t="s">
        <v>74</v>
      </c>
      <c r="H7" s="9" t="s">
        <v>74</v>
      </c>
      <c r="I7" s="9" t="s">
        <v>9999</v>
      </c>
      <c r="J7" s="9" t="s">
        <v>5994</v>
      </c>
      <c r="K7" s="9" t="s">
        <v>74</v>
      </c>
      <c r="L7" s="9" t="s">
        <v>74</v>
      </c>
      <c r="M7" s="9" t="s">
        <v>78</v>
      </c>
      <c r="N7" s="9" t="s">
        <v>79</v>
      </c>
      <c r="O7" s="9" t="s">
        <v>74</v>
      </c>
      <c r="P7" s="9" t="s">
        <v>74</v>
      </c>
      <c r="Q7" s="9" t="s">
        <v>74</v>
      </c>
      <c r="R7" s="9" t="s">
        <v>74</v>
      </c>
      <c r="S7" s="9" t="s">
        <v>74</v>
      </c>
      <c r="T7" s="9" t="s">
        <v>10000</v>
      </c>
      <c r="U7" s="9" t="s">
        <v>10001</v>
      </c>
      <c r="V7" s="9" t="s">
        <v>10002</v>
      </c>
      <c r="W7" s="9" t="s">
        <v>10003</v>
      </c>
      <c r="X7" s="9" t="s">
        <v>12959</v>
      </c>
      <c r="Y7" s="9" t="s">
        <v>10005</v>
      </c>
      <c r="Z7" s="9" t="s">
        <v>10006</v>
      </c>
      <c r="AA7" s="9" t="s">
        <v>10007</v>
      </c>
      <c r="AB7" s="9" t="s">
        <v>10008</v>
      </c>
      <c r="AC7" s="9" t="s">
        <v>74</v>
      </c>
      <c r="AD7" s="9" t="s">
        <v>74</v>
      </c>
      <c r="AE7" s="9" t="s">
        <v>74</v>
      </c>
      <c r="AF7" s="9" t="s">
        <v>74</v>
      </c>
      <c r="AG7" s="9">
        <v>71</v>
      </c>
      <c r="AH7" s="9">
        <v>322</v>
      </c>
      <c r="AI7" s="9">
        <v>361</v>
      </c>
      <c r="AJ7" s="9">
        <v>50</v>
      </c>
      <c r="AK7" s="9">
        <v>512</v>
      </c>
      <c r="AL7" s="9" t="s">
        <v>231</v>
      </c>
      <c r="AM7" s="9" t="s">
        <v>232</v>
      </c>
      <c r="AN7" s="9" t="s">
        <v>233</v>
      </c>
      <c r="AO7" s="9" t="s">
        <v>6007</v>
      </c>
      <c r="AP7" s="9" t="s">
        <v>6008</v>
      </c>
      <c r="AQ7" s="9" t="s">
        <v>74</v>
      </c>
      <c r="AR7" s="9" t="s">
        <v>6009</v>
      </c>
      <c r="AS7" s="9" t="s">
        <v>6010</v>
      </c>
      <c r="AT7" s="9" t="s">
        <v>1683</v>
      </c>
      <c r="AU7" s="9">
        <v>2018</v>
      </c>
      <c r="AV7" s="9">
        <v>27</v>
      </c>
      <c r="AW7" s="9">
        <v>1</v>
      </c>
      <c r="AX7" s="9" t="s">
        <v>74</v>
      </c>
      <c r="AY7" s="9" t="s">
        <v>74</v>
      </c>
      <c r="AZ7" s="9" t="s">
        <v>74</v>
      </c>
      <c r="BA7" s="9" t="s">
        <v>74</v>
      </c>
      <c r="BB7" s="9">
        <v>43</v>
      </c>
      <c r="BC7" s="9">
        <v>58</v>
      </c>
      <c r="BD7" s="9" t="s">
        <v>74</v>
      </c>
      <c r="BE7" s="9" t="s">
        <v>10009</v>
      </c>
      <c r="BF7" s="9">
        <v>0</v>
      </c>
      <c r="BG7" s="9" t="s">
        <v>74</v>
      </c>
      <c r="BH7" s="9" t="s">
        <v>74</v>
      </c>
      <c r="BI7" s="9">
        <v>16</v>
      </c>
      <c r="BJ7" s="9" t="s">
        <v>2581</v>
      </c>
      <c r="BK7" s="9" t="s">
        <v>211</v>
      </c>
      <c r="BL7" s="9" t="s">
        <v>767</v>
      </c>
      <c r="BM7" s="9" t="s">
        <v>10010</v>
      </c>
      <c r="BN7" s="9" t="s">
        <v>74</v>
      </c>
      <c r="BO7" s="9" t="s">
        <v>74</v>
      </c>
      <c r="BP7" s="9" t="s">
        <v>12954</v>
      </c>
      <c r="BQ7" s="9" t="s">
        <v>12955</v>
      </c>
      <c r="BR7" s="9" t="s">
        <v>12946</v>
      </c>
      <c r="BS7" s="9" t="s">
        <v>10011</v>
      </c>
      <c r="BT7" s="9">
        <v>0</v>
      </c>
    </row>
    <row r="8" spans="1:72" x14ac:dyDescent="0.25">
      <c r="A8" s="9" t="s">
        <v>72</v>
      </c>
      <c r="B8" s="9" t="s">
        <v>9176</v>
      </c>
      <c r="C8" s="9" t="s">
        <v>74</v>
      </c>
      <c r="D8" s="9" t="s">
        <v>74</v>
      </c>
      <c r="E8" s="9" t="s">
        <v>74</v>
      </c>
      <c r="F8" s="9" t="s">
        <v>9177</v>
      </c>
      <c r="G8" s="9" t="s">
        <v>74</v>
      </c>
      <c r="H8" s="9" t="s">
        <v>74</v>
      </c>
      <c r="I8" s="9" t="s">
        <v>9178</v>
      </c>
      <c r="J8" s="9" t="s">
        <v>5994</v>
      </c>
      <c r="K8" s="9" t="s">
        <v>74</v>
      </c>
      <c r="L8" s="9" t="s">
        <v>74</v>
      </c>
      <c r="M8" s="9" t="s">
        <v>78</v>
      </c>
      <c r="N8" s="9" t="s">
        <v>79</v>
      </c>
      <c r="O8" s="9" t="s">
        <v>74</v>
      </c>
      <c r="P8" s="9" t="s">
        <v>74</v>
      </c>
      <c r="Q8" s="9" t="s">
        <v>74</v>
      </c>
      <c r="R8" s="9" t="s">
        <v>74</v>
      </c>
      <c r="S8" s="9" t="s">
        <v>74</v>
      </c>
      <c r="T8" s="9" t="s">
        <v>9179</v>
      </c>
      <c r="U8" s="9" t="s">
        <v>12960</v>
      </c>
      <c r="V8" s="9" t="s">
        <v>9181</v>
      </c>
      <c r="W8" s="9" t="s">
        <v>9182</v>
      </c>
      <c r="X8" s="9" t="s">
        <v>9183</v>
      </c>
      <c r="Y8" s="9" t="s">
        <v>9184</v>
      </c>
      <c r="Z8" s="9" t="s">
        <v>9185</v>
      </c>
      <c r="AA8" s="9" t="s">
        <v>12961</v>
      </c>
      <c r="AB8" s="9" t="s">
        <v>12962</v>
      </c>
      <c r="AC8" s="9" t="s">
        <v>74</v>
      </c>
      <c r="AD8" s="9" t="s">
        <v>74</v>
      </c>
      <c r="AE8" s="9" t="s">
        <v>74</v>
      </c>
      <c r="AF8" s="9" t="s">
        <v>74</v>
      </c>
      <c r="AG8" s="9">
        <v>74</v>
      </c>
      <c r="AH8" s="9">
        <v>306</v>
      </c>
      <c r="AI8" s="9">
        <v>343</v>
      </c>
      <c r="AJ8" s="9">
        <v>76</v>
      </c>
      <c r="AK8" s="9">
        <v>650</v>
      </c>
      <c r="AL8" s="9" t="s">
        <v>231</v>
      </c>
      <c r="AM8" s="9" t="s">
        <v>232</v>
      </c>
      <c r="AN8" s="9" t="s">
        <v>233</v>
      </c>
      <c r="AO8" s="9" t="s">
        <v>6007</v>
      </c>
      <c r="AP8" s="9" t="s">
        <v>6008</v>
      </c>
      <c r="AQ8" s="9" t="s">
        <v>74</v>
      </c>
      <c r="AR8" s="9" t="s">
        <v>6009</v>
      </c>
      <c r="AS8" s="9" t="s">
        <v>6010</v>
      </c>
      <c r="AT8" s="9" t="s">
        <v>1683</v>
      </c>
      <c r="AU8" s="9">
        <v>2019</v>
      </c>
      <c r="AV8" s="9">
        <v>28</v>
      </c>
      <c r="AW8" s="9">
        <v>1</v>
      </c>
      <c r="AX8" s="9" t="s">
        <v>74</v>
      </c>
      <c r="AY8" s="9" t="s">
        <v>74</v>
      </c>
      <c r="AZ8" s="9" t="s">
        <v>74</v>
      </c>
      <c r="BA8" s="9" t="s">
        <v>74</v>
      </c>
      <c r="BB8" s="9">
        <v>17</v>
      </c>
      <c r="BC8" s="9">
        <v>33</v>
      </c>
      <c r="BD8" s="9" t="s">
        <v>74</v>
      </c>
      <c r="BE8" s="9" t="s">
        <v>9188</v>
      </c>
      <c r="BF8" s="9">
        <v>0</v>
      </c>
      <c r="BG8" s="9" t="s">
        <v>74</v>
      </c>
      <c r="BH8" s="9" t="s">
        <v>74</v>
      </c>
      <c r="BI8" s="9">
        <v>17</v>
      </c>
      <c r="BJ8" s="9" t="s">
        <v>2581</v>
      </c>
      <c r="BK8" s="9" t="s">
        <v>211</v>
      </c>
      <c r="BL8" s="9" t="s">
        <v>767</v>
      </c>
      <c r="BM8" s="9" t="s">
        <v>9189</v>
      </c>
      <c r="BN8" s="9" t="s">
        <v>74</v>
      </c>
      <c r="BO8" s="9" t="s">
        <v>74</v>
      </c>
      <c r="BP8" s="9" t="s">
        <v>12954</v>
      </c>
      <c r="BQ8" s="9" t="s">
        <v>12955</v>
      </c>
      <c r="BR8" s="9" t="s">
        <v>12946</v>
      </c>
      <c r="BS8" s="9" t="s">
        <v>9190</v>
      </c>
      <c r="BT8" s="9">
        <v>0</v>
      </c>
    </row>
    <row r="9" spans="1:72" x14ac:dyDescent="0.25">
      <c r="A9" s="9" t="s">
        <v>72</v>
      </c>
      <c r="B9" s="9" t="s">
        <v>7981</v>
      </c>
      <c r="C9" s="9" t="s">
        <v>74</v>
      </c>
      <c r="D9" s="9" t="s">
        <v>74</v>
      </c>
      <c r="E9" s="9" t="s">
        <v>74</v>
      </c>
      <c r="F9" s="9" t="s">
        <v>7982</v>
      </c>
      <c r="G9" s="9" t="s">
        <v>74</v>
      </c>
      <c r="H9" s="9" t="s">
        <v>74</v>
      </c>
      <c r="I9" s="9" t="s">
        <v>7983</v>
      </c>
      <c r="J9" s="9" t="s">
        <v>3751</v>
      </c>
      <c r="K9" s="9" t="s">
        <v>74</v>
      </c>
      <c r="L9" s="9" t="s">
        <v>74</v>
      </c>
      <c r="M9" s="9" t="s">
        <v>78</v>
      </c>
      <c r="N9" s="9" t="s">
        <v>79</v>
      </c>
      <c r="O9" s="9" t="s">
        <v>74</v>
      </c>
      <c r="P9" s="9" t="s">
        <v>74</v>
      </c>
      <c r="Q9" s="9" t="s">
        <v>74</v>
      </c>
      <c r="R9" s="9" t="s">
        <v>74</v>
      </c>
      <c r="S9" s="9" t="s">
        <v>74</v>
      </c>
      <c r="T9" s="9" t="s">
        <v>7984</v>
      </c>
      <c r="U9" s="9" t="s">
        <v>7985</v>
      </c>
      <c r="V9" s="9" t="s">
        <v>7986</v>
      </c>
      <c r="W9" s="9" t="s">
        <v>7987</v>
      </c>
      <c r="X9" s="9" t="s">
        <v>12963</v>
      </c>
      <c r="Y9" s="9" t="s">
        <v>7989</v>
      </c>
      <c r="Z9" s="9" t="s">
        <v>7990</v>
      </c>
      <c r="AA9" s="9" t="s">
        <v>12964</v>
      </c>
      <c r="AB9" s="9" t="s">
        <v>7992</v>
      </c>
      <c r="AC9" s="9" t="s">
        <v>74</v>
      </c>
      <c r="AD9" s="9" t="s">
        <v>74</v>
      </c>
      <c r="AE9" s="9" t="s">
        <v>74</v>
      </c>
      <c r="AF9" s="9" t="s">
        <v>74</v>
      </c>
      <c r="AG9" s="9">
        <v>87</v>
      </c>
      <c r="AH9" s="9">
        <v>295</v>
      </c>
      <c r="AI9" s="9">
        <v>309</v>
      </c>
      <c r="AJ9" s="9">
        <v>179</v>
      </c>
      <c r="AK9" s="9">
        <v>1070</v>
      </c>
      <c r="AL9" s="9" t="s">
        <v>332</v>
      </c>
      <c r="AM9" s="9" t="s">
        <v>122</v>
      </c>
      <c r="AN9" s="9" t="s">
        <v>333</v>
      </c>
      <c r="AO9" s="9" t="s">
        <v>3761</v>
      </c>
      <c r="AP9" s="9" t="s">
        <v>3762</v>
      </c>
      <c r="AQ9" s="9" t="s">
        <v>74</v>
      </c>
      <c r="AR9" s="9" t="s">
        <v>3763</v>
      </c>
      <c r="AS9" s="9" t="s">
        <v>3764</v>
      </c>
      <c r="AT9" s="9" t="s">
        <v>1280</v>
      </c>
      <c r="AU9" s="9">
        <v>2020</v>
      </c>
      <c r="AV9" s="9">
        <v>112</v>
      </c>
      <c r="AW9" s="9" t="s">
        <v>74</v>
      </c>
      <c r="AX9" s="9" t="s">
        <v>74</v>
      </c>
      <c r="AY9" s="9" t="s">
        <v>74</v>
      </c>
      <c r="AZ9" s="9" t="s">
        <v>74</v>
      </c>
      <c r="BA9" s="9" t="s">
        <v>74</v>
      </c>
      <c r="BB9" s="9">
        <v>119</v>
      </c>
      <c r="BC9" s="9">
        <v>127</v>
      </c>
      <c r="BD9" s="9" t="s">
        <v>74</v>
      </c>
      <c r="BE9" s="9" t="s">
        <v>7993</v>
      </c>
      <c r="BF9" s="9">
        <v>0</v>
      </c>
      <c r="BG9" s="9" t="s">
        <v>74</v>
      </c>
      <c r="BH9" s="9" t="s">
        <v>74</v>
      </c>
      <c r="BI9" s="9">
        <v>9</v>
      </c>
      <c r="BJ9" s="9" t="s">
        <v>1023</v>
      </c>
      <c r="BK9" s="9" t="s">
        <v>156</v>
      </c>
      <c r="BL9" s="9" t="s">
        <v>265</v>
      </c>
      <c r="BM9" s="9" t="s">
        <v>7994</v>
      </c>
      <c r="BN9" s="9" t="s">
        <v>74</v>
      </c>
      <c r="BO9" s="9" t="s">
        <v>2805</v>
      </c>
      <c r="BP9" s="9" t="s">
        <v>12954</v>
      </c>
      <c r="BQ9" s="9" t="s">
        <v>12955</v>
      </c>
      <c r="BR9" s="9" t="s">
        <v>12946</v>
      </c>
      <c r="BS9" s="9" t="s">
        <v>7995</v>
      </c>
      <c r="BT9" s="9">
        <v>0</v>
      </c>
    </row>
    <row r="10" spans="1:72" x14ac:dyDescent="0.25">
      <c r="A10" s="9" t="s">
        <v>72</v>
      </c>
      <c r="B10" s="9" t="s">
        <v>7810</v>
      </c>
      <c r="C10" s="9" t="s">
        <v>74</v>
      </c>
      <c r="D10" s="9" t="s">
        <v>74</v>
      </c>
      <c r="E10" s="9" t="s">
        <v>74</v>
      </c>
      <c r="F10" s="9" t="s">
        <v>7811</v>
      </c>
      <c r="G10" s="9" t="s">
        <v>74</v>
      </c>
      <c r="H10" s="9" t="s">
        <v>74</v>
      </c>
      <c r="I10" s="9" t="s">
        <v>7812</v>
      </c>
      <c r="J10" s="9" t="s">
        <v>7813</v>
      </c>
      <c r="K10" s="9" t="s">
        <v>74</v>
      </c>
      <c r="L10" s="9" t="s">
        <v>74</v>
      </c>
      <c r="M10" s="9" t="s">
        <v>78</v>
      </c>
      <c r="N10" s="9" t="s">
        <v>79</v>
      </c>
      <c r="O10" s="9" t="s">
        <v>74</v>
      </c>
      <c r="P10" s="9" t="s">
        <v>74</v>
      </c>
      <c r="Q10" s="9" t="s">
        <v>74</v>
      </c>
      <c r="R10" s="9" t="s">
        <v>74</v>
      </c>
      <c r="S10" s="9" t="s">
        <v>74</v>
      </c>
      <c r="T10" s="9" t="s">
        <v>7814</v>
      </c>
      <c r="U10" s="9" t="s">
        <v>7815</v>
      </c>
      <c r="V10" s="9" t="s">
        <v>7816</v>
      </c>
      <c r="W10" s="9" t="s">
        <v>7817</v>
      </c>
      <c r="X10" s="9" t="s">
        <v>7818</v>
      </c>
      <c r="Y10" s="9" t="s">
        <v>7819</v>
      </c>
      <c r="Z10" s="9" t="s">
        <v>74</v>
      </c>
      <c r="AA10" s="9" t="s">
        <v>12965</v>
      </c>
      <c r="AB10" s="9" t="s">
        <v>7820</v>
      </c>
      <c r="AC10" s="9" t="s">
        <v>74</v>
      </c>
      <c r="AD10" s="9" t="s">
        <v>74</v>
      </c>
      <c r="AE10" s="9" t="s">
        <v>74</v>
      </c>
      <c r="AF10" s="9" t="s">
        <v>74</v>
      </c>
      <c r="AG10" s="9">
        <v>60</v>
      </c>
      <c r="AH10" s="9">
        <v>276</v>
      </c>
      <c r="AI10" s="9">
        <v>298</v>
      </c>
      <c r="AJ10" s="9">
        <v>104</v>
      </c>
      <c r="AK10" s="9">
        <v>930</v>
      </c>
      <c r="AL10" s="9" t="s">
        <v>1074</v>
      </c>
      <c r="AM10" s="9" t="s">
        <v>1075</v>
      </c>
      <c r="AN10" s="9" t="s">
        <v>1076</v>
      </c>
      <c r="AO10" s="9" t="s">
        <v>7821</v>
      </c>
      <c r="AP10" s="9" t="s">
        <v>7822</v>
      </c>
      <c r="AQ10" s="9" t="s">
        <v>74</v>
      </c>
      <c r="AR10" s="9" t="s">
        <v>7823</v>
      </c>
      <c r="AS10" s="9" t="s">
        <v>7824</v>
      </c>
      <c r="AT10" s="9" t="s">
        <v>626</v>
      </c>
      <c r="AU10" s="9">
        <v>2020</v>
      </c>
      <c r="AV10" s="9">
        <v>62</v>
      </c>
      <c r="AW10" s="9">
        <v>4</v>
      </c>
      <c r="AX10" s="9" t="s">
        <v>74</v>
      </c>
      <c r="AY10" s="9" t="s">
        <v>74</v>
      </c>
      <c r="AZ10" s="9" t="s">
        <v>1020</v>
      </c>
      <c r="BA10" s="9" t="s">
        <v>74</v>
      </c>
      <c r="BB10" s="9">
        <v>37</v>
      </c>
      <c r="BC10" s="9">
        <v>56</v>
      </c>
      <c r="BD10" s="9">
        <v>8125620934864</v>
      </c>
      <c r="BE10" s="9" t="s">
        <v>7825</v>
      </c>
      <c r="BF10" s="9">
        <v>0</v>
      </c>
      <c r="BG10" s="9" t="s">
        <v>74</v>
      </c>
      <c r="BH10" s="9" t="s">
        <v>7826</v>
      </c>
      <c r="BI10" s="9">
        <v>20</v>
      </c>
      <c r="BJ10" s="9" t="s">
        <v>264</v>
      </c>
      <c r="BK10" s="9" t="s">
        <v>156</v>
      </c>
      <c r="BL10" s="9" t="s">
        <v>265</v>
      </c>
      <c r="BM10" s="9" t="s">
        <v>7827</v>
      </c>
      <c r="BN10" s="9" t="s">
        <v>74</v>
      </c>
      <c r="BO10" s="9" t="s">
        <v>3530</v>
      </c>
      <c r="BP10" s="9" t="s">
        <v>12954</v>
      </c>
      <c r="BQ10" s="9" t="s">
        <v>12955</v>
      </c>
      <c r="BR10" s="9" t="s">
        <v>12946</v>
      </c>
      <c r="BS10" s="9" t="s">
        <v>7828</v>
      </c>
      <c r="BT10" s="9">
        <v>0</v>
      </c>
    </row>
    <row r="11" spans="1:72" x14ac:dyDescent="0.25">
      <c r="A11" s="9" t="s">
        <v>72</v>
      </c>
      <c r="B11" s="9" t="s">
        <v>12175</v>
      </c>
      <c r="C11" s="9" t="s">
        <v>74</v>
      </c>
      <c r="D11" s="9" t="s">
        <v>74</v>
      </c>
      <c r="E11" s="9" t="s">
        <v>74</v>
      </c>
      <c r="F11" s="9" t="s">
        <v>12176</v>
      </c>
      <c r="G11" s="9" t="s">
        <v>74</v>
      </c>
      <c r="H11" s="9" t="s">
        <v>74</v>
      </c>
      <c r="I11" s="9" t="s">
        <v>12177</v>
      </c>
      <c r="J11" s="9" t="s">
        <v>2587</v>
      </c>
      <c r="K11" s="9" t="s">
        <v>74</v>
      </c>
      <c r="L11" s="9" t="s">
        <v>74</v>
      </c>
      <c r="M11" s="9" t="s">
        <v>78</v>
      </c>
      <c r="N11" s="9" t="s">
        <v>79</v>
      </c>
      <c r="O11" s="9" t="s">
        <v>74</v>
      </c>
      <c r="P11" s="9" t="s">
        <v>74</v>
      </c>
      <c r="Q11" s="9" t="s">
        <v>74</v>
      </c>
      <c r="R11" s="9" t="s">
        <v>74</v>
      </c>
      <c r="S11" s="9" t="s">
        <v>74</v>
      </c>
      <c r="T11" s="9" t="s">
        <v>12178</v>
      </c>
      <c r="U11" s="9" t="s">
        <v>12179</v>
      </c>
      <c r="V11" s="9" t="s">
        <v>12180</v>
      </c>
      <c r="W11" s="9" t="s">
        <v>12181</v>
      </c>
      <c r="X11" s="9" t="s">
        <v>12182</v>
      </c>
      <c r="Y11" s="9" t="s">
        <v>12183</v>
      </c>
      <c r="Z11" s="9" t="s">
        <v>12184</v>
      </c>
      <c r="AA11" s="9" t="s">
        <v>74</v>
      </c>
      <c r="AB11" s="9" t="s">
        <v>12185</v>
      </c>
      <c r="AC11" s="9" t="s">
        <v>74</v>
      </c>
      <c r="AD11" s="9" t="s">
        <v>74</v>
      </c>
      <c r="AE11" s="9" t="s">
        <v>74</v>
      </c>
      <c r="AF11" s="9" t="s">
        <v>74</v>
      </c>
      <c r="AG11" s="9">
        <v>99</v>
      </c>
      <c r="AH11" s="9">
        <v>245</v>
      </c>
      <c r="AI11" s="9">
        <v>288</v>
      </c>
      <c r="AJ11" s="9">
        <v>32</v>
      </c>
      <c r="AK11" s="9">
        <v>447</v>
      </c>
      <c r="AL11" s="9" t="s">
        <v>2595</v>
      </c>
      <c r="AM11" s="9" t="s">
        <v>2596</v>
      </c>
      <c r="AN11" s="9" t="s">
        <v>2597</v>
      </c>
      <c r="AO11" s="9" t="s">
        <v>2598</v>
      </c>
      <c r="AP11" s="9" t="s">
        <v>74</v>
      </c>
      <c r="AQ11" s="9" t="s">
        <v>74</v>
      </c>
      <c r="AR11" s="9" t="s">
        <v>2599</v>
      </c>
      <c r="AS11" s="9" t="s">
        <v>2600</v>
      </c>
      <c r="AT11" s="9" t="s">
        <v>1138</v>
      </c>
      <c r="AU11" s="9">
        <v>2013</v>
      </c>
      <c r="AV11" s="9">
        <v>37</v>
      </c>
      <c r="AW11" s="9">
        <v>2</v>
      </c>
      <c r="AX11" s="9" t="s">
        <v>74</v>
      </c>
      <c r="AY11" s="9" t="s">
        <v>74</v>
      </c>
      <c r="AZ11" s="9" t="s">
        <v>74</v>
      </c>
      <c r="BA11" s="9" t="s">
        <v>74</v>
      </c>
      <c r="BB11" s="9">
        <v>511</v>
      </c>
      <c r="BC11" s="9">
        <v>536</v>
      </c>
      <c r="BD11" s="9" t="s">
        <v>74</v>
      </c>
      <c r="BE11" s="9" t="s">
        <v>12186</v>
      </c>
      <c r="BF11" s="9">
        <v>0</v>
      </c>
      <c r="BG11" s="9" t="s">
        <v>74</v>
      </c>
      <c r="BH11" s="9" t="s">
        <v>74</v>
      </c>
      <c r="BI11" s="9">
        <v>26</v>
      </c>
      <c r="BJ11" s="9" t="s">
        <v>2581</v>
      </c>
      <c r="BK11" s="9" t="s">
        <v>211</v>
      </c>
      <c r="BL11" s="9" t="s">
        <v>767</v>
      </c>
      <c r="BM11" s="9" t="s">
        <v>12154</v>
      </c>
      <c r="BN11" s="9" t="s">
        <v>74</v>
      </c>
      <c r="BO11" s="9" t="s">
        <v>74</v>
      </c>
      <c r="BP11" s="9" t="s">
        <v>74</v>
      </c>
      <c r="BQ11" s="9" t="s">
        <v>74</v>
      </c>
      <c r="BR11" s="9" t="s">
        <v>12946</v>
      </c>
      <c r="BS11" s="9" t="s">
        <v>12187</v>
      </c>
      <c r="BT11" s="9">
        <v>0</v>
      </c>
    </row>
    <row r="12" spans="1:72" x14ac:dyDescent="0.25">
      <c r="A12" s="9" t="s">
        <v>72</v>
      </c>
      <c r="B12" s="9" t="s">
        <v>4582</v>
      </c>
      <c r="C12" s="9" t="s">
        <v>74</v>
      </c>
      <c r="D12" s="9" t="s">
        <v>74</v>
      </c>
      <c r="E12" s="9" t="s">
        <v>74</v>
      </c>
      <c r="F12" s="9" t="s">
        <v>4583</v>
      </c>
      <c r="G12" s="9" t="s">
        <v>74</v>
      </c>
      <c r="H12" s="9" t="s">
        <v>74</v>
      </c>
      <c r="I12" s="9" t="s">
        <v>4584</v>
      </c>
      <c r="J12" s="9" t="s">
        <v>3751</v>
      </c>
      <c r="K12" s="9" t="s">
        <v>74</v>
      </c>
      <c r="L12" s="9" t="s">
        <v>74</v>
      </c>
      <c r="M12" s="9" t="s">
        <v>78</v>
      </c>
      <c r="N12" s="9" t="s">
        <v>79</v>
      </c>
      <c r="O12" s="9" t="s">
        <v>74</v>
      </c>
      <c r="P12" s="9" t="s">
        <v>74</v>
      </c>
      <c r="Q12" s="9" t="s">
        <v>74</v>
      </c>
      <c r="R12" s="9" t="s">
        <v>74</v>
      </c>
      <c r="S12" s="9" t="s">
        <v>74</v>
      </c>
      <c r="T12" s="9" t="s">
        <v>4585</v>
      </c>
      <c r="U12" s="9" t="s">
        <v>4586</v>
      </c>
      <c r="V12" s="9" t="s">
        <v>4587</v>
      </c>
      <c r="W12" s="9" t="s">
        <v>4588</v>
      </c>
      <c r="X12" s="9" t="s">
        <v>12966</v>
      </c>
      <c r="Y12" s="9" t="s">
        <v>4590</v>
      </c>
      <c r="Z12" s="9" t="s">
        <v>4591</v>
      </c>
      <c r="AA12" s="9" t="s">
        <v>12967</v>
      </c>
      <c r="AB12" s="9" t="s">
        <v>12968</v>
      </c>
      <c r="AC12" s="9" t="s">
        <v>74</v>
      </c>
      <c r="AD12" s="9" t="s">
        <v>74</v>
      </c>
      <c r="AE12" s="9" t="s">
        <v>74</v>
      </c>
      <c r="AF12" s="9" t="s">
        <v>74</v>
      </c>
      <c r="AG12" s="9">
        <v>157</v>
      </c>
      <c r="AH12" s="9">
        <v>188</v>
      </c>
      <c r="AI12" s="9">
        <v>198</v>
      </c>
      <c r="AJ12" s="9">
        <v>591</v>
      </c>
      <c r="AK12" s="9">
        <v>2654</v>
      </c>
      <c r="AL12" s="9" t="s">
        <v>332</v>
      </c>
      <c r="AM12" s="9" t="s">
        <v>122</v>
      </c>
      <c r="AN12" s="9" t="s">
        <v>333</v>
      </c>
      <c r="AO12" s="9" t="s">
        <v>3761</v>
      </c>
      <c r="AP12" s="9" t="s">
        <v>3762</v>
      </c>
      <c r="AQ12" s="9" t="s">
        <v>74</v>
      </c>
      <c r="AR12" s="9" t="s">
        <v>3763</v>
      </c>
      <c r="AS12" s="9" t="s">
        <v>3764</v>
      </c>
      <c r="AT12" s="9" t="s">
        <v>1138</v>
      </c>
      <c r="AU12" s="9">
        <v>2022</v>
      </c>
      <c r="AV12" s="9">
        <v>145</v>
      </c>
      <c r="AW12" s="9" t="s">
        <v>74</v>
      </c>
      <c r="AX12" s="9" t="s">
        <v>74</v>
      </c>
      <c r="AY12" s="9" t="s">
        <v>74</v>
      </c>
      <c r="AZ12" s="9" t="s">
        <v>74</v>
      </c>
      <c r="BA12" s="9" t="s">
        <v>74</v>
      </c>
      <c r="BB12" s="9">
        <v>636</v>
      </c>
      <c r="BC12" s="9">
        <v>648</v>
      </c>
      <c r="BD12" s="9" t="s">
        <v>74</v>
      </c>
      <c r="BE12" s="9" t="s">
        <v>4594</v>
      </c>
      <c r="BF12" s="9">
        <v>0</v>
      </c>
      <c r="BG12" s="9" t="s">
        <v>74</v>
      </c>
      <c r="BH12" s="9" t="s">
        <v>4559</v>
      </c>
      <c r="BI12" s="9">
        <v>13</v>
      </c>
      <c r="BJ12" s="9" t="s">
        <v>1023</v>
      </c>
      <c r="BK12" s="9" t="s">
        <v>156</v>
      </c>
      <c r="BL12" s="9" t="s">
        <v>265</v>
      </c>
      <c r="BM12" s="9" t="s">
        <v>4595</v>
      </c>
      <c r="BN12" s="9" t="s">
        <v>74</v>
      </c>
      <c r="BO12" s="9" t="s">
        <v>1539</v>
      </c>
      <c r="BP12" s="9" t="s">
        <v>12954</v>
      </c>
      <c r="BQ12" s="9" t="s">
        <v>12955</v>
      </c>
      <c r="BR12" s="9" t="s">
        <v>12946</v>
      </c>
      <c r="BS12" s="9" t="s">
        <v>4596</v>
      </c>
      <c r="BT12" s="9">
        <v>0</v>
      </c>
    </row>
    <row r="13" spans="1:72" x14ac:dyDescent="0.25">
      <c r="A13" s="9" t="s">
        <v>72</v>
      </c>
      <c r="B13" s="9" t="s">
        <v>4362</v>
      </c>
      <c r="C13" s="9" t="s">
        <v>74</v>
      </c>
      <c r="D13" s="9" t="s">
        <v>74</v>
      </c>
      <c r="E13" s="9" t="s">
        <v>74</v>
      </c>
      <c r="F13" s="9" t="s">
        <v>4363</v>
      </c>
      <c r="G13" s="9" t="s">
        <v>74</v>
      </c>
      <c r="H13" s="9" t="s">
        <v>74</v>
      </c>
      <c r="I13" s="9" t="s">
        <v>4364</v>
      </c>
      <c r="J13" s="9" t="s">
        <v>4365</v>
      </c>
      <c r="K13" s="9" t="s">
        <v>74</v>
      </c>
      <c r="L13" s="9" t="s">
        <v>74</v>
      </c>
      <c r="M13" s="9" t="s">
        <v>78</v>
      </c>
      <c r="N13" s="9" t="s">
        <v>79</v>
      </c>
      <c r="O13" s="9" t="s">
        <v>74</v>
      </c>
      <c r="P13" s="9" t="s">
        <v>74</v>
      </c>
      <c r="Q13" s="9" t="s">
        <v>74</v>
      </c>
      <c r="R13" s="9" t="s">
        <v>74</v>
      </c>
      <c r="S13" s="9" t="s">
        <v>74</v>
      </c>
      <c r="T13" s="9" t="s">
        <v>4366</v>
      </c>
      <c r="U13" s="9" t="s">
        <v>4367</v>
      </c>
      <c r="V13" s="9" t="s">
        <v>4368</v>
      </c>
      <c r="W13" s="9" t="s">
        <v>4369</v>
      </c>
      <c r="X13" s="9" t="s">
        <v>4370</v>
      </c>
      <c r="Y13" s="9" t="s">
        <v>2438</v>
      </c>
      <c r="Z13" s="9" t="s">
        <v>2439</v>
      </c>
      <c r="AA13" s="9" t="s">
        <v>74</v>
      </c>
      <c r="AB13" s="9" t="s">
        <v>2440</v>
      </c>
      <c r="AC13" s="9" t="s">
        <v>74</v>
      </c>
      <c r="AD13" s="9" t="s">
        <v>74</v>
      </c>
      <c r="AE13" s="9" t="s">
        <v>74</v>
      </c>
      <c r="AF13" s="9" t="s">
        <v>74</v>
      </c>
      <c r="AG13" s="9">
        <v>74</v>
      </c>
      <c r="AH13" s="9">
        <v>160</v>
      </c>
      <c r="AI13" s="9">
        <v>163</v>
      </c>
      <c r="AJ13" s="9">
        <v>259</v>
      </c>
      <c r="AK13" s="9">
        <v>1423</v>
      </c>
      <c r="AL13" s="9" t="s">
        <v>332</v>
      </c>
      <c r="AM13" s="9" t="s">
        <v>122</v>
      </c>
      <c r="AN13" s="9" t="s">
        <v>333</v>
      </c>
      <c r="AO13" s="9" t="s">
        <v>4371</v>
      </c>
      <c r="AP13" s="9" t="s">
        <v>4372</v>
      </c>
      <c r="AQ13" s="9" t="s">
        <v>74</v>
      </c>
      <c r="AR13" s="9" t="s">
        <v>4373</v>
      </c>
      <c r="AS13" s="9" t="s">
        <v>4374</v>
      </c>
      <c r="AT13" s="9" t="s">
        <v>837</v>
      </c>
      <c r="AU13" s="9">
        <v>2022</v>
      </c>
      <c r="AV13" s="9">
        <v>104</v>
      </c>
      <c r="AW13" s="9" t="s">
        <v>74</v>
      </c>
      <c r="AX13" s="9" t="s">
        <v>74</v>
      </c>
      <c r="AY13" s="9" t="s">
        <v>74</v>
      </c>
      <c r="AZ13" s="9" t="s">
        <v>74</v>
      </c>
      <c r="BA13" s="9" t="s">
        <v>74</v>
      </c>
      <c r="BB13" s="9">
        <v>28</v>
      </c>
      <c r="BC13" s="9">
        <v>37</v>
      </c>
      <c r="BD13" s="9" t="s">
        <v>74</v>
      </c>
      <c r="BE13" s="9" t="s">
        <v>4375</v>
      </c>
      <c r="BF13" s="9">
        <v>0</v>
      </c>
      <c r="BG13" s="9" t="s">
        <v>74</v>
      </c>
      <c r="BH13" s="9" t="s">
        <v>4337</v>
      </c>
      <c r="BI13" s="9">
        <v>10</v>
      </c>
      <c r="BJ13" s="9" t="s">
        <v>264</v>
      </c>
      <c r="BK13" s="9" t="s">
        <v>156</v>
      </c>
      <c r="BL13" s="9" t="s">
        <v>265</v>
      </c>
      <c r="BM13" s="9" t="s">
        <v>4376</v>
      </c>
      <c r="BN13" s="9" t="s">
        <v>74</v>
      </c>
      <c r="BO13" s="9" t="s">
        <v>74</v>
      </c>
      <c r="BP13" s="9" t="s">
        <v>12954</v>
      </c>
      <c r="BQ13" s="9" t="s">
        <v>12955</v>
      </c>
      <c r="BR13" s="9" t="s">
        <v>12946</v>
      </c>
      <c r="BS13" s="9" t="s">
        <v>4377</v>
      </c>
      <c r="BT13" s="9">
        <v>0</v>
      </c>
    </row>
    <row r="14" spans="1:72" x14ac:dyDescent="0.25">
      <c r="A14" s="9" t="s">
        <v>72</v>
      </c>
      <c r="B14" s="9" t="s">
        <v>8597</v>
      </c>
      <c r="C14" s="9" t="s">
        <v>74</v>
      </c>
      <c r="D14" s="9" t="s">
        <v>74</v>
      </c>
      <c r="E14" s="9" t="s">
        <v>74</v>
      </c>
      <c r="F14" s="9" t="s">
        <v>8598</v>
      </c>
      <c r="G14" s="9" t="s">
        <v>74</v>
      </c>
      <c r="H14" s="9" t="s">
        <v>74</v>
      </c>
      <c r="I14" s="9" t="s">
        <v>8599</v>
      </c>
      <c r="J14" s="9" t="s">
        <v>8600</v>
      </c>
      <c r="K14" s="9" t="s">
        <v>74</v>
      </c>
      <c r="L14" s="9" t="s">
        <v>74</v>
      </c>
      <c r="M14" s="9" t="s">
        <v>78</v>
      </c>
      <c r="N14" s="9" t="s">
        <v>79</v>
      </c>
      <c r="O14" s="9" t="s">
        <v>74</v>
      </c>
      <c r="P14" s="9" t="s">
        <v>74</v>
      </c>
      <c r="Q14" s="9" t="s">
        <v>74</v>
      </c>
      <c r="R14" s="9" t="s">
        <v>74</v>
      </c>
      <c r="S14" s="9" t="s">
        <v>74</v>
      </c>
      <c r="T14" s="9" t="s">
        <v>8601</v>
      </c>
      <c r="U14" s="9" t="s">
        <v>8602</v>
      </c>
      <c r="V14" s="9" t="s">
        <v>8603</v>
      </c>
      <c r="W14" s="9" t="s">
        <v>8604</v>
      </c>
      <c r="X14" s="9" t="s">
        <v>8605</v>
      </c>
      <c r="Y14" s="9" t="s">
        <v>8606</v>
      </c>
      <c r="Z14" s="9" t="s">
        <v>8607</v>
      </c>
      <c r="AA14" s="9" t="s">
        <v>74</v>
      </c>
      <c r="AB14" s="9" t="s">
        <v>12969</v>
      </c>
      <c r="AC14" s="9" t="s">
        <v>74</v>
      </c>
      <c r="AD14" s="9" t="s">
        <v>74</v>
      </c>
      <c r="AE14" s="9" t="s">
        <v>74</v>
      </c>
      <c r="AF14" s="9" t="s">
        <v>74</v>
      </c>
      <c r="AG14" s="9">
        <v>63</v>
      </c>
      <c r="AH14" s="9">
        <v>144</v>
      </c>
      <c r="AI14" s="9">
        <v>159</v>
      </c>
      <c r="AJ14" s="9">
        <v>24</v>
      </c>
      <c r="AK14" s="9">
        <v>182</v>
      </c>
      <c r="AL14" s="9" t="s">
        <v>4775</v>
      </c>
      <c r="AM14" s="9" t="s">
        <v>4776</v>
      </c>
      <c r="AN14" s="9" t="s">
        <v>4777</v>
      </c>
      <c r="AO14" s="9" t="s">
        <v>8609</v>
      </c>
      <c r="AP14" s="9" t="s">
        <v>8610</v>
      </c>
      <c r="AQ14" s="9" t="s">
        <v>74</v>
      </c>
      <c r="AR14" s="9" t="s">
        <v>8611</v>
      </c>
      <c r="AS14" s="9" t="s">
        <v>8612</v>
      </c>
      <c r="AT14" s="9" t="s">
        <v>476</v>
      </c>
      <c r="AU14" s="9">
        <v>2019</v>
      </c>
      <c r="AV14" s="9">
        <v>4</v>
      </c>
      <c r="AW14" s="9">
        <v>4</v>
      </c>
      <c r="AX14" s="9" t="s">
        <v>74</v>
      </c>
      <c r="AY14" s="9" t="s">
        <v>74</v>
      </c>
      <c r="AZ14" s="9" t="s">
        <v>1020</v>
      </c>
      <c r="BA14" s="9" t="s">
        <v>74</v>
      </c>
      <c r="BB14" s="9">
        <v>253</v>
      </c>
      <c r="BC14" s="9">
        <v>261</v>
      </c>
      <c r="BD14" s="9" t="s">
        <v>74</v>
      </c>
      <c r="BE14" s="9" t="s">
        <v>8613</v>
      </c>
      <c r="BF14" s="9">
        <v>0</v>
      </c>
      <c r="BG14" s="9" t="s">
        <v>74</v>
      </c>
      <c r="BH14" s="9" t="s">
        <v>74</v>
      </c>
      <c r="BI14" s="9">
        <v>9</v>
      </c>
      <c r="BJ14" s="9" t="s">
        <v>315</v>
      </c>
      <c r="BK14" s="9" t="s">
        <v>183</v>
      </c>
      <c r="BL14" s="9" t="s">
        <v>265</v>
      </c>
      <c r="BM14" s="9" t="s">
        <v>8614</v>
      </c>
      <c r="BN14" s="9" t="s">
        <v>74</v>
      </c>
      <c r="BO14" s="9" t="s">
        <v>791</v>
      </c>
      <c r="BP14" s="9" t="s">
        <v>74</v>
      </c>
      <c r="BQ14" s="9" t="s">
        <v>74</v>
      </c>
      <c r="BR14" s="9" t="s">
        <v>12946</v>
      </c>
      <c r="BS14" s="9" t="s">
        <v>8615</v>
      </c>
      <c r="BT14" s="9">
        <v>0</v>
      </c>
    </row>
    <row r="15" spans="1:72" x14ac:dyDescent="0.25">
      <c r="A15" s="9" t="s">
        <v>72</v>
      </c>
      <c r="B15" s="9" t="s">
        <v>11001</v>
      </c>
      <c r="C15" s="9" t="s">
        <v>74</v>
      </c>
      <c r="D15" s="9" t="s">
        <v>74</v>
      </c>
      <c r="E15" s="9" t="s">
        <v>74</v>
      </c>
      <c r="F15" s="9" t="s">
        <v>11002</v>
      </c>
      <c r="G15" s="9" t="s">
        <v>74</v>
      </c>
      <c r="H15" s="9" t="s">
        <v>74</v>
      </c>
      <c r="I15" s="9" t="s">
        <v>11003</v>
      </c>
      <c r="J15" s="9" t="s">
        <v>4849</v>
      </c>
      <c r="K15" s="9" t="s">
        <v>74</v>
      </c>
      <c r="L15" s="9" t="s">
        <v>74</v>
      </c>
      <c r="M15" s="9" t="s">
        <v>78</v>
      </c>
      <c r="N15" s="9" t="s">
        <v>79</v>
      </c>
      <c r="O15" s="9" t="s">
        <v>74</v>
      </c>
      <c r="P15" s="9" t="s">
        <v>74</v>
      </c>
      <c r="Q15" s="9" t="s">
        <v>74</v>
      </c>
      <c r="R15" s="9" t="s">
        <v>74</v>
      </c>
      <c r="S15" s="9" t="s">
        <v>74</v>
      </c>
      <c r="T15" s="9" t="s">
        <v>11004</v>
      </c>
      <c r="U15" s="9" t="s">
        <v>11005</v>
      </c>
      <c r="V15" s="9" t="s">
        <v>11006</v>
      </c>
      <c r="W15" s="9" t="s">
        <v>11007</v>
      </c>
      <c r="X15" s="9" t="s">
        <v>11008</v>
      </c>
      <c r="Y15" s="9" t="s">
        <v>11009</v>
      </c>
      <c r="Z15" s="9" t="s">
        <v>11010</v>
      </c>
      <c r="AA15" s="9" t="s">
        <v>74</v>
      </c>
      <c r="AB15" s="9" t="s">
        <v>74</v>
      </c>
      <c r="AC15" s="9" t="s">
        <v>11012</v>
      </c>
      <c r="AD15" s="9" t="s">
        <v>11013</v>
      </c>
      <c r="AE15" s="9" t="s">
        <v>11014</v>
      </c>
      <c r="AF15" s="9" t="s">
        <v>74</v>
      </c>
      <c r="AG15" s="9">
        <v>79</v>
      </c>
      <c r="AH15" s="9">
        <v>136</v>
      </c>
      <c r="AI15" s="9">
        <v>153</v>
      </c>
      <c r="AJ15" s="9">
        <v>16</v>
      </c>
      <c r="AK15" s="9">
        <v>427</v>
      </c>
      <c r="AL15" s="9" t="s">
        <v>4775</v>
      </c>
      <c r="AM15" s="9" t="s">
        <v>4776</v>
      </c>
      <c r="AN15" s="9" t="s">
        <v>4777</v>
      </c>
      <c r="AO15" s="9" t="s">
        <v>4862</v>
      </c>
      <c r="AP15" s="9" t="s">
        <v>4863</v>
      </c>
      <c r="AQ15" s="9" t="s">
        <v>74</v>
      </c>
      <c r="AR15" s="9" t="s">
        <v>4864</v>
      </c>
      <c r="AS15" s="9" t="s">
        <v>4865</v>
      </c>
      <c r="AT15" s="9" t="s">
        <v>476</v>
      </c>
      <c r="AU15" s="9">
        <v>2016</v>
      </c>
      <c r="AV15" s="9">
        <v>27</v>
      </c>
      <c r="AW15" s="9">
        <v>4</v>
      </c>
      <c r="AX15" s="9" t="s">
        <v>74</v>
      </c>
      <c r="AY15" s="9" t="s">
        <v>74</v>
      </c>
      <c r="AZ15" s="9" t="s">
        <v>74</v>
      </c>
      <c r="BA15" s="9" t="s">
        <v>74</v>
      </c>
      <c r="BB15" s="9">
        <v>704</v>
      </c>
      <c r="BC15" s="9">
        <v>723</v>
      </c>
      <c r="BD15" s="9" t="s">
        <v>74</v>
      </c>
      <c r="BE15" s="9" t="s">
        <v>11015</v>
      </c>
      <c r="BF15" s="9">
        <v>0</v>
      </c>
      <c r="BG15" s="9" t="s">
        <v>74</v>
      </c>
      <c r="BH15" s="9" t="s">
        <v>74</v>
      </c>
      <c r="BI15" s="9">
        <v>20</v>
      </c>
      <c r="BJ15" s="9" t="s">
        <v>3601</v>
      </c>
      <c r="BK15" s="9" t="s">
        <v>156</v>
      </c>
      <c r="BL15" s="9" t="s">
        <v>3602</v>
      </c>
      <c r="BM15" s="9" t="s">
        <v>11016</v>
      </c>
      <c r="BN15" s="9" t="s">
        <v>74</v>
      </c>
      <c r="BO15" s="9" t="s">
        <v>11017</v>
      </c>
      <c r="BP15" s="9" t="s">
        <v>74</v>
      </c>
      <c r="BQ15" s="9" t="s">
        <v>74</v>
      </c>
      <c r="BR15" s="9" t="s">
        <v>12946</v>
      </c>
      <c r="BS15" s="9" t="s">
        <v>11018</v>
      </c>
      <c r="BT15" s="9">
        <v>0</v>
      </c>
    </row>
    <row r="16" spans="1:72" x14ac:dyDescent="0.25">
      <c r="A16" s="9" t="s">
        <v>72</v>
      </c>
      <c r="B16" s="9" t="s">
        <v>6876</v>
      </c>
      <c r="C16" s="9" t="s">
        <v>74</v>
      </c>
      <c r="D16" s="9" t="s">
        <v>74</v>
      </c>
      <c r="E16" s="9" t="s">
        <v>74</v>
      </c>
      <c r="F16" s="9" t="s">
        <v>6877</v>
      </c>
      <c r="G16" s="9" t="s">
        <v>74</v>
      </c>
      <c r="H16" s="9" t="s">
        <v>74</v>
      </c>
      <c r="I16" s="9" t="s">
        <v>6878</v>
      </c>
      <c r="J16" s="9" t="s">
        <v>3751</v>
      </c>
      <c r="K16" s="9" t="s">
        <v>74</v>
      </c>
      <c r="L16" s="9" t="s">
        <v>74</v>
      </c>
      <c r="M16" s="9" t="s">
        <v>78</v>
      </c>
      <c r="N16" s="9" t="s">
        <v>79</v>
      </c>
      <c r="O16" s="9" t="s">
        <v>74</v>
      </c>
      <c r="P16" s="9" t="s">
        <v>74</v>
      </c>
      <c r="Q16" s="9" t="s">
        <v>74</v>
      </c>
      <c r="R16" s="9" t="s">
        <v>74</v>
      </c>
      <c r="S16" s="9" t="s">
        <v>74</v>
      </c>
      <c r="T16" s="9" t="s">
        <v>6879</v>
      </c>
      <c r="U16" s="9" t="s">
        <v>6880</v>
      </c>
      <c r="V16" s="9" t="s">
        <v>6881</v>
      </c>
      <c r="W16" s="9" t="s">
        <v>6882</v>
      </c>
      <c r="X16" s="9" t="s">
        <v>6883</v>
      </c>
      <c r="Y16" s="9" t="s">
        <v>6884</v>
      </c>
      <c r="Z16" s="9" t="s">
        <v>6885</v>
      </c>
      <c r="AA16" s="9" t="s">
        <v>12970</v>
      </c>
      <c r="AB16" s="9" t="s">
        <v>12971</v>
      </c>
      <c r="AC16" s="9" t="s">
        <v>6888</v>
      </c>
      <c r="AD16" s="9" t="s">
        <v>6889</v>
      </c>
      <c r="AE16" s="9" t="s">
        <v>6890</v>
      </c>
      <c r="AF16" s="9" t="s">
        <v>74</v>
      </c>
      <c r="AG16" s="9">
        <v>50</v>
      </c>
      <c r="AH16" s="9">
        <v>120</v>
      </c>
      <c r="AI16" s="9">
        <v>134</v>
      </c>
      <c r="AJ16" s="9">
        <v>70</v>
      </c>
      <c r="AK16" s="9">
        <v>738</v>
      </c>
      <c r="AL16" s="9" t="s">
        <v>332</v>
      </c>
      <c r="AM16" s="9" t="s">
        <v>122</v>
      </c>
      <c r="AN16" s="9" t="s">
        <v>333</v>
      </c>
      <c r="AO16" s="9" t="s">
        <v>3761</v>
      </c>
      <c r="AP16" s="9" t="s">
        <v>3762</v>
      </c>
      <c r="AQ16" s="9" t="s">
        <v>74</v>
      </c>
      <c r="AR16" s="9" t="s">
        <v>3763</v>
      </c>
      <c r="AS16" s="9" t="s">
        <v>3764</v>
      </c>
      <c r="AT16" s="9" t="s">
        <v>2068</v>
      </c>
      <c r="AU16" s="9">
        <v>2021</v>
      </c>
      <c r="AV16" s="9">
        <v>124</v>
      </c>
      <c r="AW16" s="9" t="s">
        <v>74</v>
      </c>
      <c r="AX16" s="9" t="s">
        <v>74</v>
      </c>
      <c r="AY16" s="9" t="s">
        <v>74</v>
      </c>
      <c r="AZ16" s="9" t="s">
        <v>74</v>
      </c>
      <c r="BA16" s="9" t="s">
        <v>74</v>
      </c>
      <c r="BB16" s="9">
        <v>610</v>
      </c>
      <c r="BC16" s="9">
        <v>619</v>
      </c>
      <c r="BD16" s="9" t="s">
        <v>74</v>
      </c>
      <c r="BE16" s="9" t="s">
        <v>6891</v>
      </c>
      <c r="BF16" s="9">
        <v>0</v>
      </c>
      <c r="BG16" s="9" t="s">
        <v>74</v>
      </c>
      <c r="BH16" s="9" t="s">
        <v>6817</v>
      </c>
      <c r="BI16" s="9">
        <v>10</v>
      </c>
      <c r="BJ16" s="9" t="s">
        <v>1023</v>
      </c>
      <c r="BK16" s="9" t="s">
        <v>156</v>
      </c>
      <c r="BL16" s="9" t="s">
        <v>265</v>
      </c>
      <c r="BM16" s="9" t="s">
        <v>6892</v>
      </c>
      <c r="BN16" s="9" t="s">
        <v>74</v>
      </c>
      <c r="BO16" s="9" t="s">
        <v>2623</v>
      </c>
      <c r="BP16" s="9" t="s">
        <v>74</v>
      </c>
      <c r="BQ16" s="9" t="s">
        <v>74</v>
      </c>
      <c r="BR16" s="9" t="s">
        <v>12946</v>
      </c>
      <c r="BS16" s="9" t="s">
        <v>6893</v>
      </c>
      <c r="BT16" s="9">
        <v>0</v>
      </c>
    </row>
    <row r="17" spans="1:72" x14ac:dyDescent="0.25">
      <c r="A17" s="9" t="s">
        <v>72</v>
      </c>
      <c r="B17" s="9" t="s">
        <v>8258</v>
      </c>
      <c r="C17" s="9" t="s">
        <v>74</v>
      </c>
      <c r="D17" s="9" t="s">
        <v>74</v>
      </c>
      <c r="E17" s="9" t="s">
        <v>74</v>
      </c>
      <c r="F17" s="9" t="s">
        <v>8259</v>
      </c>
      <c r="G17" s="9" t="s">
        <v>74</v>
      </c>
      <c r="H17" s="9" t="s">
        <v>74</v>
      </c>
      <c r="I17" s="9" t="s">
        <v>8260</v>
      </c>
      <c r="J17" s="9" t="s">
        <v>8261</v>
      </c>
      <c r="K17" s="9" t="s">
        <v>74</v>
      </c>
      <c r="L17" s="9" t="s">
        <v>74</v>
      </c>
      <c r="M17" s="9" t="s">
        <v>78</v>
      </c>
      <c r="N17" s="9" t="s">
        <v>79</v>
      </c>
      <c r="O17" s="9" t="s">
        <v>74</v>
      </c>
      <c r="P17" s="9" t="s">
        <v>74</v>
      </c>
      <c r="Q17" s="9" t="s">
        <v>74</v>
      </c>
      <c r="R17" s="9" t="s">
        <v>74</v>
      </c>
      <c r="S17" s="9" t="s">
        <v>74</v>
      </c>
      <c r="T17" s="9" t="s">
        <v>8262</v>
      </c>
      <c r="U17" s="9" t="s">
        <v>8263</v>
      </c>
      <c r="V17" s="9" t="s">
        <v>8264</v>
      </c>
      <c r="W17" s="9" t="s">
        <v>8265</v>
      </c>
      <c r="X17" s="9" t="s">
        <v>8266</v>
      </c>
      <c r="Y17" s="9" t="s">
        <v>8267</v>
      </c>
      <c r="Z17" s="9" t="s">
        <v>8268</v>
      </c>
      <c r="AA17" s="9" t="s">
        <v>12972</v>
      </c>
      <c r="AB17" s="9" t="s">
        <v>12973</v>
      </c>
      <c r="AC17" s="9" t="s">
        <v>74</v>
      </c>
      <c r="AD17" s="9" t="s">
        <v>74</v>
      </c>
      <c r="AE17" s="9" t="s">
        <v>74</v>
      </c>
      <c r="AF17" s="9" t="s">
        <v>74</v>
      </c>
      <c r="AG17" s="9">
        <v>47</v>
      </c>
      <c r="AH17" s="9">
        <v>95</v>
      </c>
      <c r="AI17" s="9">
        <v>98</v>
      </c>
      <c r="AJ17" s="9">
        <v>15</v>
      </c>
      <c r="AK17" s="9">
        <v>160</v>
      </c>
      <c r="AL17" s="9" t="s">
        <v>715</v>
      </c>
      <c r="AM17" s="9" t="s">
        <v>716</v>
      </c>
      <c r="AN17" s="9" t="s">
        <v>717</v>
      </c>
      <c r="AO17" s="9" t="s">
        <v>8271</v>
      </c>
      <c r="AP17" s="9" t="s">
        <v>8272</v>
      </c>
      <c r="AQ17" s="9" t="s">
        <v>74</v>
      </c>
      <c r="AR17" s="9" t="s">
        <v>8273</v>
      </c>
      <c r="AS17" s="9" t="s">
        <v>8274</v>
      </c>
      <c r="AT17" s="9" t="s">
        <v>4129</v>
      </c>
      <c r="AU17" s="9">
        <v>2020</v>
      </c>
      <c r="AV17" s="9">
        <v>30</v>
      </c>
      <c r="AW17" s="9">
        <v>3</v>
      </c>
      <c r="AX17" s="9" t="s">
        <v>74</v>
      </c>
      <c r="AY17" s="9" t="s">
        <v>74</v>
      </c>
      <c r="AZ17" s="9" t="s">
        <v>74</v>
      </c>
      <c r="BA17" s="9" t="s">
        <v>74</v>
      </c>
      <c r="BB17" s="9">
        <v>289</v>
      </c>
      <c r="BC17" s="9">
        <v>314</v>
      </c>
      <c r="BD17" s="9" t="s">
        <v>74</v>
      </c>
      <c r="BE17" s="9" t="s">
        <v>8275</v>
      </c>
      <c r="BF17" s="9">
        <v>0</v>
      </c>
      <c r="BG17" s="9" t="s">
        <v>74</v>
      </c>
      <c r="BH17" s="9" t="s">
        <v>8276</v>
      </c>
      <c r="BI17" s="9">
        <v>26</v>
      </c>
      <c r="BJ17" s="9" t="s">
        <v>1023</v>
      </c>
      <c r="BK17" s="9" t="s">
        <v>183</v>
      </c>
      <c r="BL17" s="9" t="s">
        <v>265</v>
      </c>
      <c r="BM17" s="9" t="s">
        <v>8277</v>
      </c>
      <c r="BN17" s="9" t="s">
        <v>74</v>
      </c>
      <c r="BO17" s="9" t="s">
        <v>74</v>
      </c>
      <c r="BP17" s="9" t="s">
        <v>74</v>
      </c>
      <c r="BQ17" s="9" t="s">
        <v>74</v>
      </c>
      <c r="BR17" s="9" t="s">
        <v>12946</v>
      </c>
      <c r="BS17" s="9" t="s">
        <v>8278</v>
      </c>
      <c r="BT17" s="9">
        <v>0</v>
      </c>
    </row>
    <row r="18" spans="1:72" x14ac:dyDescent="0.25">
      <c r="A18" s="9" t="s">
        <v>72</v>
      </c>
      <c r="B18" s="9" t="s">
        <v>6627</v>
      </c>
      <c r="C18" s="9" t="s">
        <v>74</v>
      </c>
      <c r="D18" s="9" t="s">
        <v>74</v>
      </c>
      <c r="E18" s="9" t="s">
        <v>74</v>
      </c>
      <c r="F18" s="9" t="s">
        <v>6628</v>
      </c>
      <c r="G18" s="9" t="s">
        <v>74</v>
      </c>
      <c r="H18" s="9" t="s">
        <v>74</v>
      </c>
      <c r="I18" s="9" t="s">
        <v>6629</v>
      </c>
      <c r="J18" s="9" t="s">
        <v>4022</v>
      </c>
      <c r="K18" s="9" t="s">
        <v>74</v>
      </c>
      <c r="L18" s="9" t="s">
        <v>74</v>
      </c>
      <c r="M18" s="9" t="s">
        <v>78</v>
      </c>
      <c r="N18" s="9" t="s">
        <v>79</v>
      </c>
      <c r="O18" s="9" t="s">
        <v>74</v>
      </c>
      <c r="P18" s="9" t="s">
        <v>74</v>
      </c>
      <c r="Q18" s="9" t="s">
        <v>74</v>
      </c>
      <c r="R18" s="9" t="s">
        <v>74</v>
      </c>
      <c r="S18" s="9" t="s">
        <v>74</v>
      </c>
      <c r="T18" s="9" t="s">
        <v>6630</v>
      </c>
      <c r="U18" s="9" t="s">
        <v>74</v>
      </c>
      <c r="V18" s="9" t="s">
        <v>6631</v>
      </c>
      <c r="W18" s="9" t="s">
        <v>6632</v>
      </c>
      <c r="X18" s="9" t="s">
        <v>6633</v>
      </c>
      <c r="Y18" s="9" t="s">
        <v>6634</v>
      </c>
      <c r="Z18" s="9" t="s">
        <v>6635</v>
      </c>
      <c r="AA18" s="9" t="s">
        <v>74</v>
      </c>
      <c r="AB18" s="9" t="s">
        <v>6636</v>
      </c>
      <c r="AC18" s="9" t="s">
        <v>74</v>
      </c>
      <c r="AD18" s="9" t="s">
        <v>74</v>
      </c>
      <c r="AE18" s="9" t="s">
        <v>74</v>
      </c>
      <c r="AF18" s="9" t="s">
        <v>74</v>
      </c>
      <c r="AG18" s="9">
        <v>110</v>
      </c>
      <c r="AH18" s="9">
        <v>91</v>
      </c>
      <c r="AI18" s="9">
        <v>94</v>
      </c>
      <c r="AJ18" s="9">
        <v>46</v>
      </c>
      <c r="AK18" s="9">
        <v>495</v>
      </c>
      <c r="AL18" s="9" t="s">
        <v>3188</v>
      </c>
      <c r="AM18" s="9" t="s">
        <v>3189</v>
      </c>
      <c r="AN18" s="9" t="s">
        <v>3190</v>
      </c>
      <c r="AO18" s="9" t="s">
        <v>4031</v>
      </c>
      <c r="AP18" s="9" t="s">
        <v>4032</v>
      </c>
      <c r="AQ18" s="9" t="s">
        <v>74</v>
      </c>
      <c r="AR18" s="9" t="s">
        <v>4033</v>
      </c>
      <c r="AS18" s="9" t="s">
        <v>4034</v>
      </c>
      <c r="AT18" s="9" t="s">
        <v>3505</v>
      </c>
      <c r="AU18" s="9">
        <v>2024</v>
      </c>
      <c r="AV18" s="9">
        <v>62</v>
      </c>
      <c r="AW18" s="9">
        <v>1</v>
      </c>
      <c r="AX18" s="9" t="s">
        <v>74</v>
      </c>
      <c r="AY18" s="9" t="s">
        <v>74</v>
      </c>
      <c r="AZ18" s="9" t="s">
        <v>74</v>
      </c>
      <c r="BA18" s="9" t="s">
        <v>74</v>
      </c>
      <c r="BB18" s="9">
        <v>1</v>
      </c>
      <c r="BC18" s="9">
        <v>29</v>
      </c>
      <c r="BD18" s="9" t="s">
        <v>74</v>
      </c>
      <c r="BE18" s="9" t="s">
        <v>6638</v>
      </c>
      <c r="BF18" s="9">
        <v>0</v>
      </c>
      <c r="BG18" s="9" t="s">
        <v>74</v>
      </c>
      <c r="BH18" s="9" t="s">
        <v>6639</v>
      </c>
      <c r="BI18" s="9">
        <v>29</v>
      </c>
      <c r="BJ18" s="9" t="s">
        <v>315</v>
      </c>
      <c r="BK18" s="9" t="s">
        <v>156</v>
      </c>
      <c r="BL18" s="9" t="s">
        <v>265</v>
      </c>
      <c r="BM18" s="9" t="s">
        <v>12974</v>
      </c>
      <c r="BN18" s="9" t="s">
        <v>74</v>
      </c>
      <c r="BO18" s="9" t="s">
        <v>2623</v>
      </c>
      <c r="BP18" s="9" t="s">
        <v>74</v>
      </c>
      <c r="BQ18" s="9" t="s">
        <v>74</v>
      </c>
      <c r="BR18" s="9" t="s">
        <v>12946</v>
      </c>
      <c r="BS18" s="9" t="s">
        <v>6641</v>
      </c>
      <c r="BT18" s="9">
        <v>0</v>
      </c>
    </row>
    <row r="19" spans="1:72" x14ac:dyDescent="0.25">
      <c r="A19" s="9" t="s">
        <v>72</v>
      </c>
      <c r="B19" s="9" t="s">
        <v>6163</v>
      </c>
      <c r="C19" s="9" t="s">
        <v>74</v>
      </c>
      <c r="D19" s="9" t="s">
        <v>74</v>
      </c>
      <c r="E19" s="9" t="s">
        <v>74</v>
      </c>
      <c r="F19" s="9" t="s">
        <v>6164</v>
      </c>
      <c r="G19" s="9" t="s">
        <v>74</v>
      </c>
      <c r="H19" s="9" t="s">
        <v>74</v>
      </c>
      <c r="I19" s="9" t="s">
        <v>6165</v>
      </c>
      <c r="J19" s="9" t="s">
        <v>321</v>
      </c>
      <c r="K19" s="9" t="s">
        <v>74</v>
      </c>
      <c r="L19" s="9" t="s">
        <v>74</v>
      </c>
      <c r="M19" s="9" t="s">
        <v>78</v>
      </c>
      <c r="N19" s="9" t="s">
        <v>79</v>
      </c>
      <c r="O19" s="9" t="s">
        <v>74</v>
      </c>
      <c r="P19" s="9" t="s">
        <v>74</v>
      </c>
      <c r="Q19" s="9" t="s">
        <v>74</v>
      </c>
      <c r="R19" s="9" t="s">
        <v>74</v>
      </c>
      <c r="S19" s="9" t="s">
        <v>74</v>
      </c>
      <c r="T19" s="9" t="s">
        <v>6166</v>
      </c>
      <c r="U19" s="9" t="s">
        <v>6167</v>
      </c>
      <c r="V19" s="9" t="s">
        <v>6168</v>
      </c>
      <c r="W19" s="9" t="s">
        <v>6169</v>
      </c>
      <c r="X19" s="9" t="s">
        <v>6170</v>
      </c>
      <c r="Y19" s="9" t="s">
        <v>6171</v>
      </c>
      <c r="Z19" s="9" t="s">
        <v>6172</v>
      </c>
      <c r="AA19" s="9" t="s">
        <v>12975</v>
      </c>
      <c r="AB19" s="9" t="s">
        <v>12976</v>
      </c>
      <c r="AC19" s="9" t="s">
        <v>6174</v>
      </c>
      <c r="AD19" s="9" t="s">
        <v>6174</v>
      </c>
      <c r="AE19" s="9" t="s">
        <v>6175</v>
      </c>
      <c r="AF19" s="9" t="s">
        <v>74</v>
      </c>
      <c r="AG19" s="9">
        <v>146</v>
      </c>
      <c r="AH19" s="9">
        <v>82</v>
      </c>
      <c r="AI19" s="9">
        <v>85</v>
      </c>
      <c r="AJ19" s="9">
        <v>32</v>
      </c>
      <c r="AK19" s="9">
        <v>308</v>
      </c>
      <c r="AL19" s="9" t="s">
        <v>332</v>
      </c>
      <c r="AM19" s="9" t="s">
        <v>122</v>
      </c>
      <c r="AN19" s="9" t="s">
        <v>333</v>
      </c>
      <c r="AO19" s="9" t="s">
        <v>334</v>
      </c>
      <c r="AP19" s="9" t="s">
        <v>335</v>
      </c>
      <c r="AQ19" s="9" t="s">
        <v>74</v>
      </c>
      <c r="AR19" s="9" t="s">
        <v>336</v>
      </c>
      <c r="AS19" s="9" t="s">
        <v>337</v>
      </c>
      <c r="AT19" s="9" t="s">
        <v>208</v>
      </c>
      <c r="AU19" s="9">
        <v>2021</v>
      </c>
      <c r="AV19" s="9">
        <v>171</v>
      </c>
      <c r="AW19" s="9" t="s">
        <v>74</v>
      </c>
      <c r="AX19" s="9" t="s">
        <v>74</v>
      </c>
      <c r="AY19" s="9" t="s">
        <v>74</v>
      </c>
      <c r="AZ19" s="9" t="s">
        <v>74</v>
      </c>
      <c r="BA19" s="9" t="s">
        <v>74</v>
      </c>
      <c r="BB19" s="9" t="s">
        <v>74</v>
      </c>
      <c r="BC19" s="9" t="s">
        <v>74</v>
      </c>
      <c r="BD19" s="9">
        <v>120961</v>
      </c>
      <c r="BE19" s="9" t="s">
        <v>6176</v>
      </c>
      <c r="BF19" s="9">
        <v>0</v>
      </c>
      <c r="BG19" s="9" t="s">
        <v>74</v>
      </c>
      <c r="BH19" s="9" t="s">
        <v>6177</v>
      </c>
      <c r="BI19" s="9">
        <v>15</v>
      </c>
      <c r="BJ19" s="9" t="s">
        <v>339</v>
      </c>
      <c r="BK19" s="9" t="s">
        <v>156</v>
      </c>
      <c r="BL19" s="9" t="s">
        <v>340</v>
      </c>
      <c r="BM19" s="9" t="s">
        <v>6178</v>
      </c>
      <c r="BN19" s="9" t="s">
        <v>74</v>
      </c>
      <c r="BO19" s="9" t="s">
        <v>1539</v>
      </c>
      <c r="BP19" s="9" t="s">
        <v>12954</v>
      </c>
      <c r="BQ19" s="9" t="s">
        <v>12955</v>
      </c>
      <c r="BR19" s="9" t="s">
        <v>12946</v>
      </c>
      <c r="BS19" s="9" t="s">
        <v>6179</v>
      </c>
      <c r="BT19" s="9">
        <v>0</v>
      </c>
    </row>
    <row r="20" spans="1:72" x14ac:dyDescent="0.25">
      <c r="A20" s="9" t="s">
        <v>72</v>
      </c>
      <c r="B20" s="9" t="s">
        <v>8279</v>
      </c>
      <c r="C20" s="9" t="s">
        <v>74</v>
      </c>
      <c r="D20" s="9" t="s">
        <v>74</v>
      </c>
      <c r="E20" s="9" t="s">
        <v>74</v>
      </c>
      <c r="F20" s="9" t="s">
        <v>8280</v>
      </c>
      <c r="G20" s="9" t="s">
        <v>74</v>
      </c>
      <c r="H20" s="9" t="s">
        <v>74</v>
      </c>
      <c r="I20" s="9" t="s">
        <v>8281</v>
      </c>
      <c r="J20" s="9" t="s">
        <v>1609</v>
      </c>
      <c r="K20" s="9" t="s">
        <v>74</v>
      </c>
      <c r="L20" s="9" t="s">
        <v>74</v>
      </c>
      <c r="M20" s="9" t="s">
        <v>78</v>
      </c>
      <c r="N20" s="9" t="s">
        <v>79</v>
      </c>
      <c r="O20" s="9" t="s">
        <v>74</v>
      </c>
      <c r="P20" s="9" t="s">
        <v>74</v>
      </c>
      <c r="Q20" s="9" t="s">
        <v>74</v>
      </c>
      <c r="R20" s="9" t="s">
        <v>74</v>
      </c>
      <c r="S20" s="9" t="s">
        <v>74</v>
      </c>
      <c r="T20" s="9" t="s">
        <v>8282</v>
      </c>
      <c r="U20" s="9" t="s">
        <v>8283</v>
      </c>
      <c r="V20" s="9" t="s">
        <v>8284</v>
      </c>
      <c r="W20" s="9" t="s">
        <v>8285</v>
      </c>
      <c r="X20" s="9" t="s">
        <v>8286</v>
      </c>
      <c r="Y20" s="9" t="s">
        <v>8287</v>
      </c>
      <c r="Z20" s="9" t="s">
        <v>8288</v>
      </c>
      <c r="AA20" s="9" t="s">
        <v>12977</v>
      </c>
      <c r="AB20" s="9" t="s">
        <v>12978</v>
      </c>
      <c r="AC20" s="9" t="s">
        <v>74</v>
      </c>
      <c r="AD20" s="9" t="s">
        <v>74</v>
      </c>
      <c r="AE20" s="9" t="s">
        <v>74</v>
      </c>
      <c r="AF20" s="9" t="s">
        <v>74</v>
      </c>
      <c r="AG20" s="9">
        <v>84</v>
      </c>
      <c r="AH20" s="9">
        <v>81</v>
      </c>
      <c r="AI20" s="9">
        <v>85</v>
      </c>
      <c r="AJ20" s="9">
        <v>4</v>
      </c>
      <c r="AK20" s="9">
        <v>113</v>
      </c>
      <c r="AL20" s="9" t="s">
        <v>715</v>
      </c>
      <c r="AM20" s="9" t="s">
        <v>716</v>
      </c>
      <c r="AN20" s="9" t="s">
        <v>717</v>
      </c>
      <c r="AO20" s="9" t="s">
        <v>1618</v>
      </c>
      <c r="AP20" s="9" t="s">
        <v>74</v>
      </c>
      <c r="AQ20" s="9" t="s">
        <v>74</v>
      </c>
      <c r="AR20" s="9" t="s">
        <v>1619</v>
      </c>
      <c r="AS20" s="9" t="s">
        <v>1620</v>
      </c>
      <c r="AT20" s="9" t="s">
        <v>8291</v>
      </c>
      <c r="AU20" s="9">
        <v>2020</v>
      </c>
      <c r="AV20" s="9">
        <v>13</v>
      </c>
      <c r="AW20" s="9">
        <v>1</v>
      </c>
      <c r="AX20" s="9" t="s">
        <v>74</v>
      </c>
      <c r="AY20" s="9" t="s">
        <v>74</v>
      </c>
      <c r="AZ20" s="9" t="s">
        <v>74</v>
      </c>
      <c r="BA20" s="9" t="s">
        <v>74</v>
      </c>
      <c r="BB20" s="9">
        <v>160</v>
      </c>
      <c r="BC20" s="9">
        <v>180</v>
      </c>
      <c r="BD20" s="9" t="s">
        <v>74</v>
      </c>
      <c r="BE20" s="9" t="s">
        <v>8292</v>
      </c>
      <c r="BF20" s="9">
        <v>0</v>
      </c>
      <c r="BG20" s="9" t="s">
        <v>74</v>
      </c>
      <c r="BH20" s="9" t="s">
        <v>8276</v>
      </c>
      <c r="BI20" s="9">
        <v>21</v>
      </c>
      <c r="BJ20" s="9" t="s">
        <v>315</v>
      </c>
      <c r="BK20" s="9" t="s">
        <v>183</v>
      </c>
      <c r="BL20" s="9" t="s">
        <v>265</v>
      </c>
      <c r="BM20" s="9" t="s">
        <v>8293</v>
      </c>
      <c r="BN20" s="9" t="s">
        <v>74</v>
      </c>
      <c r="BO20" s="9" t="s">
        <v>105</v>
      </c>
      <c r="BP20" s="9" t="s">
        <v>74</v>
      </c>
      <c r="BQ20" s="9" t="s">
        <v>74</v>
      </c>
      <c r="BR20" s="9" t="s">
        <v>12946</v>
      </c>
      <c r="BS20" s="9" t="s">
        <v>8294</v>
      </c>
      <c r="BT20" s="9">
        <v>0</v>
      </c>
    </row>
    <row r="21" spans="1:72" x14ac:dyDescent="0.25">
      <c r="A21" s="9" t="s">
        <v>72</v>
      </c>
      <c r="B21" s="9" t="s">
        <v>12314</v>
      </c>
      <c r="C21" s="9" t="s">
        <v>74</v>
      </c>
      <c r="D21" s="9" t="s">
        <v>74</v>
      </c>
      <c r="E21" s="9" t="s">
        <v>74</v>
      </c>
      <c r="F21" s="9" t="s">
        <v>12315</v>
      </c>
      <c r="G21" s="9" t="s">
        <v>74</v>
      </c>
      <c r="H21" s="9" t="s">
        <v>74</v>
      </c>
      <c r="I21" s="9" t="s">
        <v>12316</v>
      </c>
      <c r="J21" s="9" t="s">
        <v>9843</v>
      </c>
      <c r="K21" s="9" t="s">
        <v>74</v>
      </c>
      <c r="L21" s="9" t="s">
        <v>74</v>
      </c>
      <c r="M21" s="9" t="s">
        <v>78</v>
      </c>
      <c r="N21" s="9" t="s">
        <v>79</v>
      </c>
      <c r="O21" s="9" t="s">
        <v>74</v>
      </c>
      <c r="P21" s="9" t="s">
        <v>74</v>
      </c>
      <c r="Q21" s="9" t="s">
        <v>74</v>
      </c>
      <c r="R21" s="9" t="s">
        <v>74</v>
      </c>
      <c r="S21" s="9" t="s">
        <v>74</v>
      </c>
      <c r="T21" s="9" t="s">
        <v>74</v>
      </c>
      <c r="U21" s="9" t="s">
        <v>74</v>
      </c>
      <c r="V21" s="9" t="s">
        <v>12317</v>
      </c>
      <c r="W21" s="9" t="s">
        <v>12318</v>
      </c>
      <c r="X21" s="9" t="s">
        <v>12319</v>
      </c>
      <c r="Y21" s="9" t="s">
        <v>12320</v>
      </c>
      <c r="Z21" s="9" t="s">
        <v>12321</v>
      </c>
      <c r="AA21" s="9" t="s">
        <v>74</v>
      </c>
      <c r="AB21" s="9" t="s">
        <v>74</v>
      </c>
      <c r="AC21" s="9" t="s">
        <v>74</v>
      </c>
      <c r="AD21" s="9" t="s">
        <v>74</v>
      </c>
      <c r="AE21" s="9" t="s">
        <v>74</v>
      </c>
      <c r="AF21" s="9" t="s">
        <v>74</v>
      </c>
      <c r="AG21" s="9">
        <v>15</v>
      </c>
      <c r="AH21" s="9">
        <v>78</v>
      </c>
      <c r="AI21" s="9">
        <v>86</v>
      </c>
      <c r="AJ21" s="9">
        <v>4</v>
      </c>
      <c r="AK21" s="9">
        <v>208</v>
      </c>
      <c r="AL21" s="9" t="s">
        <v>9850</v>
      </c>
      <c r="AM21" s="9" t="s">
        <v>9851</v>
      </c>
      <c r="AN21" s="9" t="s">
        <v>9852</v>
      </c>
      <c r="AO21" s="9" t="s">
        <v>9853</v>
      </c>
      <c r="AP21" s="9" t="s">
        <v>74</v>
      </c>
      <c r="AQ21" s="9" t="s">
        <v>74</v>
      </c>
      <c r="AR21" s="9" t="s">
        <v>9855</v>
      </c>
      <c r="AS21" s="9" t="s">
        <v>9856</v>
      </c>
      <c r="AT21" s="9" t="s">
        <v>476</v>
      </c>
      <c r="AU21" s="9">
        <v>2011</v>
      </c>
      <c r="AV21" s="9">
        <v>10</v>
      </c>
      <c r="AW21" s="9">
        <v>4</v>
      </c>
      <c r="AX21" s="9" t="s">
        <v>74</v>
      </c>
      <c r="AY21" s="9" t="s">
        <v>74</v>
      </c>
      <c r="AZ21" s="9" t="s">
        <v>74</v>
      </c>
      <c r="BA21" s="9" t="s">
        <v>74</v>
      </c>
      <c r="BB21" s="9">
        <v>141</v>
      </c>
      <c r="BC21" s="9">
        <v>156</v>
      </c>
      <c r="BD21" s="9" t="s">
        <v>74</v>
      </c>
      <c r="BE21" s="9" t="s">
        <v>74</v>
      </c>
      <c r="BF21" s="9" t="s">
        <v>74</v>
      </c>
      <c r="BG21" s="9" t="s">
        <v>74</v>
      </c>
      <c r="BH21" s="9" t="s">
        <v>74</v>
      </c>
      <c r="BI21" s="9">
        <v>16</v>
      </c>
      <c r="BJ21" s="9" t="s">
        <v>3601</v>
      </c>
      <c r="BK21" s="9" t="s">
        <v>156</v>
      </c>
      <c r="BL21" s="9" t="s">
        <v>3602</v>
      </c>
      <c r="BM21" s="9" t="s">
        <v>12322</v>
      </c>
      <c r="BN21" s="9" t="s">
        <v>74</v>
      </c>
      <c r="BO21" s="9" t="s">
        <v>74</v>
      </c>
      <c r="BP21" s="9" t="s">
        <v>74</v>
      </c>
      <c r="BQ21" s="9" t="s">
        <v>74</v>
      </c>
      <c r="BR21" s="9" t="s">
        <v>12946</v>
      </c>
      <c r="BS21" s="9" t="s">
        <v>12323</v>
      </c>
      <c r="BT21" s="9">
        <v>0</v>
      </c>
    </row>
    <row r="22" spans="1:72" x14ac:dyDescent="0.25">
      <c r="A22" s="9" t="s">
        <v>72</v>
      </c>
      <c r="B22" s="9" t="s">
        <v>5757</v>
      </c>
      <c r="C22" s="9" t="s">
        <v>74</v>
      </c>
      <c r="D22" s="9" t="s">
        <v>74</v>
      </c>
      <c r="E22" s="9" t="s">
        <v>74</v>
      </c>
      <c r="F22" s="9" t="s">
        <v>5758</v>
      </c>
      <c r="G22" s="9" t="s">
        <v>74</v>
      </c>
      <c r="H22" s="9" t="s">
        <v>74</v>
      </c>
      <c r="I22" s="9" t="s">
        <v>5759</v>
      </c>
      <c r="J22" s="9" t="s">
        <v>1609</v>
      </c>
      <c r="K22" s="9" t="s">
        <v>74</v>
      </c>
      <c r="L22" s="9" t="s">
        <v>74</v>
      </c>
      <c r="M22" s="9" t="s">
        <v>78</v>
      </c>
      <c r="N22" s="9" t="s">
        <v>79</v>
      </c>
      <c r="O22" s="9" t="s">
        <v>74</v>
      </c>
      <c r="P22" s="9" t="s">
        <v>74</v>
      </c>
      <c r="Q22" s="9" t="s">
        <v>74</v>
      </c>
      <c r="R22" s="9" t="s">
        <v>74</v>
      </c>
      <c r="S22" s="9" t="s">
        <v>74</v>
      </c>
      <c r="T22" s="9" t="s">
        <v>5760</v>
      </c>
      <c r="U22" s="9" t="s">
        <v>5761</v>
      </c>
      <c r="V22" s="9" t="s">
        <v>5762</v>
      </c>
      <c r="W22" s="9" t="s">
        <v>5763</v>
      </c>
      <c r="X22" s="9" t="s">
        <v>5764</v>
      </c>
      <c r="Y22" s="9" t="s">
        <v>5765</v>
      </c>
      <c r="Z22" s="9" t="s">
        <v>5766</v>
      </c>
      <c r="AA22" s="9" t="s">
        <v>74</v>
      </c>
      <c r="AB22" s="9" t="s">
        <v>74</v>
      </c>
      <c r="AC22" s="9" t="s">
        <v>74</v>
      </c>
      <c r="AD22" s="9" t="s">
        <v>74</v>
      </c>
      <c r="AE22" s="9" t="s">
        <v>74</v>
      </c>
      <c r="AF22" s="9" t="s">
        <v>74</v>
      </c>
      <c r="AG22" s="9">
        <v>55</v>
      </c>
      <c r="AH22" s="9">
        <v>70</v>
      </c>
      <c r="AI22" s="9">
        <v>71</v>
      </c>
      <c r="AJ22" s="9">
        <v>95</v>
      </c>
      <c r="AK22" s="9">
        <v>696</v>
      </c>
      <c r="AL22" s="9" t="s">
        <v>715</v>
      </c>
      <c r="AM22" s="9" t="s">
        <v>716</v>
      </c>
      <c r="AN22" s="9" t="s">
        <v>717</v>
      </c>
      <c r="AO22" s="9" t="s">
        <v>1618</v>
      </c>
      <c r="AP22" s="9" t="s">
        <v>74</v>
      </c>
      <c r="AQ22" s="9" t="s">
        <v>74</v>
      </c>
      <c r="AR22" s="9" t="s">
        <v>1619</v>
      </c>
      <c r="AS22" s="9" t="s">
        <v>1620</v>
      </c>
      <c r="AT22" s="9" t="s">
        <v>5768</v>
      </c>
      <c r="AU22" s="9">
        <v>2022</v>
      </c>
      <c r="AV22" s="9">
        <v>15</v>
      </c>
      <c r="AW22" s="9">
        <v>2</v>
      </c>
      <c r="AX22" s="9" t="s">
        <v>74</v>
      </c>
      <c r="AY22" s="9" t="s">
        <v>74</v>
      </c>
      <c r="AZ22" s="9" t="s">
        <v>74</v>
      </c>
      <c r="BA22" s="9" t="s">
        <v>74</v>
      </c>
      <c r="BB22" s="9">
        <v>272</v>
      </c>
      <c r="BC22" s="9">
        <v>286</v>
      </c>
      <c r="BD22" s="9" t="s">
        <v>74</v>
      </c>
      <c r="BE22" s="9" t="s">
        <v>5769</v>
      </c>
      <c r="BF22" s="9">
        <v>0</v>
      </c>
      <c r="BG22" s="9" t="s">
        <v>74</v>
      </c>
      <c r="BH22" s="9" t="s">
        <v>5683</v>
      </c>
      <c r="BI22" s="9">
        <v>15</v>
      </c>
      <c r="BJ22" s="9" t="s">
        <v>315</v>
      </c>
      <c r="BK22" s="9" t="s">
        <v>183</v>
      </c>
      <c r="BL22" s="9" t="s">
        <v>265</v>
      </c>
      <c r="BM22" s="9" t="s">
        <v>5770</v>
      </c>
      <c r="BN22" s="9" t="s">
        <v>74</v>
      </c>
      <c r="BO22" s="9" t="s">
        <v>105</v>
      </c>
      <c r="BP22" s="9" t="s">
        <v>74</v>
      </c>
      <c r="BQ22" s="9" t="s">
        <v>74</v>
      </c>
      <c r="BR22" s="9" t="s">
        <v>12946</v>
      </c>
      <c r="BS22" s="9" t="s">
        <v>5771</v>
      </c>
      <c r="BT22" s="9">
        <v>0</v>
      </c>
    </row>
    <row r="23" spans="1:72" x14ac:dyDescent="0.25">
      <c r="A23" s="9" t="s">
        <v>72</v>
      </c>
      <c r="B23" s="9" t="s">
        <v>10419</v>
      </c>
      <c r="C23" s="9" t="s">
        <v>74</v>
      </c>
      <c r="D23" s="9" t="s">
        <v>74</v>
      </c>
      <c r="E23" s="9" t="s">
        <v>74</v>
      </c>
      <c r="F23" s="9" t="s">
        <v>10420</v>
      </c>
      <c r="G23" s="9" t="s">
        <v>74</v>
      </c>
      <c r="H23" s="9" t="s">
        <v>74</v>
      </c>
      <c r="I23" s="9" t="s">
        <v>10421</v>
      </c>
      <c r="J23" s="9" t="s">
        <v>10422</v>
      </c>
      <c r="K23" s="9" t="s">
        <v>74</v>
      </c>
      <c r="L23" s="9" t="s">
        <v>74</v>
      </c>
      <c r="M23" s="9" t="s">
        <v>78</v>
      </c>
      <c r="N23" s="9" t="s">
        <v>79</v>
      </c>
      <c r="O23" s="9" t="s">
        <v>74</v>
      </c>
      <c r="P23" s="9" t="s">
        <v>74</v>
      </c>
      <c r="Q23" s="9" t="s">
        <v>74</v>
      </c>
      <c r="R23" s="9" t="s">
        <v>74</v>
      </c>
      <c r="S23" s="9" t="s">
        <v>74</v>
      </c>
      <c r="T23" s="9" t="s">
        <v>74</v>
      </c>
      <c r="U23" s="9" t="s">
        <v>74</v>
      </c>
      <c r="V23" s="9" t="s">
        <v>74</v>
      </c>
      <c r="W23" s="9" t="s">
        <v>10423</v>
      </c>
      <c r="X23" s="9" t="s">
        <v>10424</v>
      </c>
      <c r="Y23" s="9" t="s">
        <v>10425</v>
      </c>
      <c r="Z23" s="9" t="s">
        <v>10426</v>
      </c>
      <c r="AA23" s="9" t="s">
        <v>74</v>
      </c>
      <c r="AB23" s="9" t="s">
        <v>74</v>
      </c>
      <c r="AC23" s="9" t="s">
        <v>74</v>
      </c>
      <c r="AD23" s="9" t="s">
        <v>74</v>
      </c>
      <c r="AE23" s="9" t="s">
        <v>74</v>
      </c>
      <c r="AF23" s="9" t="s">
        <v>74</v>
      </c>
      <c r="AG23" s="9">
        <v>0</v>
      </c>
      <c r="AH23" s="9">
        <v>68</v>
      </c>
      <c r="AI23" s="9">
        <v>80</v>
      </c>
      <c r="AJ23" s="9">
        <v>11</v>
      </c>
      <c r="AK23" s="9">
        <v>140</v>
      </c>
      <c r="AL23" s="9" t="s">
        <v>10428</v>
      </c>
      <c r="AM23" s="9" t="s">
        <v>878</v>
      </c>
      <c r="AN23" s="9" t="s">
        <v>10429</v>
      </c>
      <c r="AO23" s="9" t="s">
        <v>10430</v>
      </c>
      <c r="AP23" s="9" t="s">
        <v>74</v>
      </c>
      <c r="AQ23" s="9" t="s">
        <v>74</v>
      </c>
      <c r="AR23" s="9" t="s">
        <v>10431</v>
      </c>
      <c r="AS23" s="9" t="s">
        <v>10432</v>
      </c>
      <c r="AT23" s="9" t="s">
        <v>5396</v>
      </c>
      <c r="AU23" s="9">
        <v>2017</v>
      </c>
      <c r="AV23" s="9">
        <v>58</v>
      </c>
      <c r="AW23" s="9">
        <v>2</v>
      </c>
      <c r="AX23" s="9" t="s">
        <v>74</v>
      </c>
      <c r="AY23" s="9" t="s">
        <v>74</v>
      </c>
      <c r="AZ23" s="9" t="s">
        <v>74</v>
      </c>
      <c r="BA23" s="9" t="s">
        <v>74</v>
      </c>
      <c r="BB23" s="9">
        <v>7</v>
      </c>
      <c r="BC23" s="9">
        <v>9</v>
      </c>
      <c r="BD23" s="9" t="s">
        <v>74</v>
      </c>
      <c r="BE23" s="9" t="s">
        <v>74</v>
      </c>
      <c r="BF23" s="9" t="s">
        <v>74</v>
      </c>
      <c r="BG23" s="9" t="s">
        <v>74</v>
      </c>
      <c r="BH23" s="9" t="s">
        <v>74</v>
      </c>
      <c r="BI23" s="9">
        <v>3</v>
      </c>
      <c r="BJ23" s="9" t="s">
        <v>264</v>
      </c>
      <c r="BK23" s="9" t="s">
        <v>156</v>
      </c>
      <c r="BL23" s="9" t="s">
        <v>265</v>
      </c>
      <c r="BM23" s="9" t="s">
        <v>10433</v>
      </c>
      <c r="BN23" s="9" t="s">
        <v>74</v>
      </c>
      <c r="BO23" s="9" t="s">
        <v>74</v>
      </c>
      <c r="BP23" s="9" t="s">
        <v>74</v>
      </c>
      <c r="BQ23" s="9" t="s">
        <v>74</v>
      </c>
      <c r="BR23" s="9" t="s">
        <v>12946</v>
      </c>
      <c r="BS23" s="9" t="s">
        <v>10434</v>
      </c>
      <c r="BT23" s="9">
        <v>0</v>
      </c>
    </row>
    <row r="24" spans="1:72" x14ac:dyDescent="0.25">
      <c r="A24" s="9" t="s">
        <v>72</v>
      </c>
      <c r="B24" s="9" t="s">
        <v>4538</v>
      </c>
      <c r="C24" s="9" t="s">
        <v>74</v>
      </c>
      <c r="D24" s="9" t="s">
        <v>74</v>
      </c>
      <c r="E24" s="9" t="s">
        <v>74</v>
      </c>
      <c r="F24" s="9" t="s">
        <v>4539</v>
      </c>
      <c r="G24" s="9" t="s">
        <v>74</v>
      </c>
      <c r="H24" s="9" t="s">
        <v>74</v>
      </c>
      <c r="I24" s="9" t="s">
        <v>4540</v>
      </c>
      <c r="J24" s="9" t="s">
        <v>4541</v>
      </c>
      <c r="K24" s="9" t="s">
        <v>74</v>
      </c>
      <c r="L24" s="9" t="s">
        <v>74</v>
      </c>
      <c r="M24" s="9" t="s">
        <v>78</v>
      </c>
      <c r="N24" s="9" t="s">
        <v>79</v>
      </c>
      <c r="O24" s="9" t="s">
        <v>74</v>
      </c>
      <c r="P24" s="9" t="s">
        <v>74</v>
      </c>
      <c r="Q24" s="9" t="s">
        <v>74</v>
      </c>
      <c r="R24" s="9" t="s">
        <v>74</v>
      </c>
      <c r="S24" s="9" t="s">
        <v>74</v>
      </c>
      <c r="T24" s="9" t="s">
        <v>4542</v>
      </c>
      <c r="U24" s="9" t="s">
        <v>4543</v>
      </c>
      <c r="V24" s="9" t="s">
        <v>4544</v>
      </c>
      <c r="W24" s="9" t="s">
        <v>4545</v>
      </c>
      <c r="X24" s="9" t="s">
        <v>4546</v>
      </c>
      <c r="Y24" s="9" t="s">
        <v>4547</v>
      </c>
      <c r="Z24" s="9" t="s">
        <v>4548</v>
      </c>
      <c r="AA24" s="9" t="s">
        <v>12979</v>
      </c>
      <c r="AB24" s="9" t="s">
        <v>12980</v>
      </c>
      <c r="AC24" s="9" t="s">
        <v>4551</v>
      </c>
      <c r="AD24" s="9" t="s">
        <v>4552</v>
      </c>
      <c r="AE24" s="9" t="s">
        <v>4553</v>
      </c>
      <c r="AF24" s="9" t="s">
        <v>74</v>
      </c>
      <c r="AG24" s="9">
        <v>107</v>
      </c>
      <c r="AH24" s="9">
        <v>66</v>
      </c>
      <c r="AI24" s="9">
        <v>67</v>
      </c>
      <c r="AJ24" s="9">
        <v>148</v>
      </c>
      <c r="AK24" s="9">
        <v>893</v>
      </c>
      <c r="AL24" s="9" t="s">
        <v>1636</v>
      </c>
      <c r="AM24" s="9" t="s">
        <v>93</v>
      </c>
      <c r="AN24" s="9" t="s">
        <v>1637</v>
      </c>
      <c r="AO24" s="9" t="s">
        <v>4554</v>
      </c>
      <c r="AP24" s="9" t="s">
        <v>4555</v>
      </c>
      <c r="AQ24" s="9" t="s">
        <v>74</v>
      </c>
      <c r="AR24" s="9" t="s">
        <v>4556</v>
      </c>
      <c r="AS24" s="9" t="s">
        <v>4557</v>
      </c>
      <c r="AT24" s="9" t="s">
        <v>626</v>
      </c>
      <c r="AU24" s="9">
        <v>2022</v>
      </c>
      <c r="AV24" s="9">
        <v>65</v>
      </c>
      <c r="AW24" s="9" t="s">
        <v>74</v>
      </c>
      <c r="AX24" s="9" t="s">
        <v>74</v>
      </c>
      <c r="AY24" s="9" t="s">
        <v>74</v>
      </c>
      <c r="AZ24" s="9" t="s">
        <v>74</v>
      </c>
      <c r="BA24" s="9" t="s">
        <v>74</v>
      </c>
      <c r="BB24" s="9" t="s">
        <v>74</v>
      </c>
      <c r="BC24" s="9" t="s">
        <v>74</v>
      </c>
      <c r="BD24" s="9">
        <v>102513</v>
      </c>
      <c r="BE24" s="9" t="s">
        <v>4558</v>
      </c>
      <c r="BF24" s="9">
        <v>0</v>
      </c>
      <c r="BG24" s="9" t="s">
        <v>74</v>
      </c>
      <c r="BH24" s="9" t="s">
        <v>4559</v>
      </c>
      <c r="BI24" s="9">
        <v>13</v>
      </c>
      <c r="BJ24" s="9" t="s">
        <v>3050</v>
      </c>
      <c r="BK24" s="9" t="s">
        <v>156</v>
      </c>
      <c r="BL24" s="9" t="s">
        <v>3050</v>
      </c>
      <c r="BM24" s="9" t="s">
        <v>4560</v>
      </c>
      <c r="BN24" s="9" t="s">
        <v>74</v>
      </c>
      <c r="BO24" s="9" t="s">
        <v>74</v>
      </c>
      <c r="BP24" s="9" t="s">
        <v>12954</v>
      </c>
      <c r="BQ24" s="9" t="s">
        <v>12955</v>
      </c>
      <c r="BR24" s="9" t="s">
        <v>12946</v>
      </c>
      <c r="BS24" s="9" t="s">
        <v>4561</v>
      </c>
      <c r="BT24" s="9">
        <v>0</v>
      </c>
    </row>
    <row r="25" spans="1:72" x14ac:dyDescent="0.25">
      <c r="A25" s="9" t="s">
        <v>72</v>
      </c>
      <c r="B25" s="9" t="s">
        <v>10012</v>
      </c>
      <c r="C25" s="9" t="s">
        <v>74</v>
      </c>
      <c r="D25" s="9" t="s">
        <v>74</v>
      </c>
      <c r="E25" s="9" t="s">
        <v>74</v>
      </c>
      <c r="F25" s="9" t="s">
        <v>10013</v>
      </c>
      <c r="G25" s="9" t="s">
        <v>74</v>
      </c>
      <c r="H25" s="9" t="s">
        <v>74</v>
      </c>
      <c r="I25" s="9" t="s">
        <v>10014</v>
      </c>
      <c r="J25" s="9" t="s">
        <v>10015</v>
      </c>
      <c r="K25" s="9" t="s">
        <v>74</v>
      </c>
      <c r="L25" s="9" t="s">
        <v>74</v>
      </c>
      <c r="M25" s="9" t="s">
        <v>78</v>
      </c>
      <c r="N25" s="9" t="s">
        <v>79</v>
      </c>
      <c r="O25" s="9" t="s">
        <v>74</v>
      </c>
      <c r="P25" s="9" t="s">
        <v>74</v>
      </c>
      <c r="Q25" s="9" t="s">
        <v>74</v>
      </c>
      <c r="R25" s="9" t="s">
        <v>74</v>
      </c>
      <c r="S25" s="9" t="s">
        <v>74</v>
      </c>
      <c r="T25" s="9" t="s">
        <v>10016</v>
      </c>
      <c r="U25" s="9" t="s">
        <v>10017</v>
      </c>
      <c r="V25" s="9" t="s">
        <v>10018</v>
      </c>
      <c r="W25" s="9" t="s">
        <v>10019</v>
      </c>
      <c r="X25" s="9" t="s">
        <v>10020</v>
      </c>
      <c r="Y25" s="9" t="s">
        <v>10021</v>
      </c>
      <c r="Z25" s="9" t="s">
        <v>10022</v>
      </c>
      <c r="AA25" s="9" t="s">
        <v>10023</v>
      </c>
      <c r="AB25" s="9" t="s">
        <v>10024</v>
      </c>
      <c r="AC25" s="9" t="s">
        <v>74</v>
      </c>
      <c r="AD25" s="9" t="s">
        <v>74</v>
      </c>
      <c r="AE25" s="9" t="s">
        <v>74</v>
      </c>
      <c r="AF25" s="9" t="s">
        <v>74</v>
      </c>
      <c r="AG25" s="9">
        <v>78</v>
      </c>
      <c r="AH25" s="9">
        <v>60</v>
      </c>
      <c r="AI25" s="9">
        <v>66</v>
      </c>
      <c r="AJ25" s="9">
        <v>4</v>
      </c>
      <c r="AK25" s="9">
        <v>110</v>
      </c>
      <c r="AL25" s="9" t="s">
        <v>715</v>
      </c>
      <c r="AM25" s="9" t="s">
        <v>716</v>
      </c>
      <c r="AN25" s="9" t="s">
        <v>717</v>
      </c>
      <c r="AO25" s="9" t="s">
        <v>10025</v>
      </c>
      <c r="AP25" s="9" t="s">
        <v>10026</v>
      </c>
      <c r="AQ25" s="9" t="s">
        <v>74</v>
      </c>
      <c r="AR25" s="9" t="s">
        <v>10027</v>
      </c>
      <c r="AS25" s="9" t="s">
        <v>10028</v>
      </c>
      <c r="AT25" s="9" t="s">
        <v>74</v>
      </c>
      <c r="AU25" s="9">
        <v>2018</v>
      </c>
      <c r="AV25" s="9">
        <v>29</v>
      </c>
      <c r="AW25" s="9">
        <v>2</v>
      </c>
      <c r="AX25" s="9" t="s">
        <v>74</v>
      </c>
      <c r="AY25" s="9" t="s">
        <v>74</v>
      </c>
      <c r="AZ25" s="9" t="s">
        <v>1020</v>
      </c>
      <c r="BA25" s="9" t="s">
        <v>74</v>
      </c>
      <c r="BB25" s="9">
        <v>555</v>
      </c>
      <c r="BC25" s="9">
        <v>574</v>
      </c>
      <c r="BD25" s="9" t="s">
        <v>74</v>
      </c>
      <c r="BE25" s="9" t="s">
        <v>10029</v>
      </c>
      <c r="BF25" s="9">
        <v>0</v>
      </c>
      <c r="BG25" s="9" t="s">
        <v>74</v>
      </c>
      <c r="BH25" s="9" t="s">
        <v>74</v>
      </c>
      <c r="BI25" s="9">
        <v>20</v>
      </c>
      <c r="BJ25" s="9" t="s">
        <v>315</v>
      </c>
      <c r="BK25" s="9" t="s">
        <v>156</v>
      </c>
      <c r="BL25" s="9" t="s">
        <v>265</v>
      </c>
      <c r="BM25" s="9" t="s">
        <v>10030</v>
      </c>
      <c r="BN25" s="9" t="s">
        <v>74</v>
      </c>
      <c r="BO25" s="9" t="s">
        <v>4521</v>
      </c>
      <c r="BP25" s="9" t="s">
        <v>74</v>
      </c>
      <c r="BQ25" s="9" t="s">
        <v>74</v>
      </c>
      <c r="BR25" s="9" t="s">
        <v>12946</v>
      </c>
      <c r="BS25" s="9" t="s">
        <v>10031</v>
      </c>
      <c r="BT25" s="9">
        <v>0</v>
      </c>
    </row>
    <row r="26" spans="1:72" x14ac:dyDescent="0.25">
      <c r="A26" s="9" t="s">
        <v>72</v>
      </c>
      <c r="B26" s="9" t="s">
        <v>3748</v>
      </c>
      <c r="C26" s="9" t="s">
        <v>74</v>
      </c>
      <c r="D26" s="9" t="s">
        <v>74</v>
      </c>
      <c r="E26" s="9" t="s">
        <v>74</v>
      </c>
      <c r="F26" s="9" t="s">
        <v>3749</v>
      </c>
      <c r="G26" s="9" t="s">
        <v>74</v>
      </c>
      <c r="H26" s="9" t="s">
        <v>74</v>
      </c>
      <c r="I26" s="9" t="s">
        <v>3750</v>
      </c>
      <c r="J26" s="9" t="s">
        <v>3751</v>
      </c>
      <c r="K26" s="9" t="s">
        <v>74</v>
      </c>
      <c r="L26" s="9" t="s">
        <v>74</v>
      </c>
      <c r="M26" s="9" t="s">
        <v>78</v>
      </c>
      <c r="N26" s="9" t="s">
        <v>79</v>
      </c>
      <c r="O26" s="9" t="s">
        <v>74</v>
      </c>
      <c r="P26" s="9" t="s">
        <v>74</v>
      </c>
      <c r="Q26" s="9" t="s">
        <v>74</v>
      </c>
      <c r="R26" s="9" t="s">
        <v>74</v>
      </c>
      <c r="S26" s="9" t="s">
        <v>74</v>
      </c>
      <c r="T26" s="9" t="s">
        <v>3752</v>
      </c>
      <c r="U26" s="9" t="s">
        <v>3753</v>
      </c>
      <c r="V26" s="9" t="s">
        <v>3754</v>
      </c>
      <c r="W26" s="9" t="s">
        <v>3755</v>
      </c>
      <c r="X26" s="9" t="s">
        <v>3756</v>
      </c>
      <c r="Y26" s="9" t="s">
        <v>3757</v>
      </c>
      <c r="Z26" s="9" t="s">
        <v>3758</v>
      </c>
      <c r="AA26" s="9" t="s">
        <v>12981</v>
      </c>
      <c r="AB26" s="9" t="s">
        <v>12982</v>
      </c>
      <c r="AC26" s="9" t="s">
        <v>74</v>
      </c>
      <c r="AD26" s="9" t="s">
        <v>74</v>
      </c>
      <c r="AE26" s="9" t="s">
        <v>74</v>
      </c>
      <c r="AF26" s="9" t="s">
        <v>74</v>
      </c>
      <c r="AG26" s="9">
        <v>120</v>
      </c>
      <c r="AH26" s="9">
        <v>55</v>
      </c>
      <c r="AI26" s="9">
        <v>57</v>
      </c>
      <c r="AJ26" s="9">
        <v>41</v>
      </c>
      <c r="AK26" s="9">
        <v>336</v>
      </c>
      <c r="AL26" s="9" t="s">
        <v>332</v>
      </c>
      <c r="AM26" s="9" t="s">
        <v>122</v>
      </c>
      <c r="AN26" s="9" t="s">
        <v>333</v>
      </c>
      <c r="AO26" s="9" t="s">
        <v>3761</v>
      </c>
      <c r="AP26" s="9" t="s">
        <v>3762</v>
      </c>
      <c r="AQ26" s="9" t="s">
        <v>74</v>
      </c>
      <c r="AR26" s="9" t="s">
        <v>3763</v>
      </c>
      <c r="AS26" s="9" t="s">
        <v>3764</v>
      </c>
      <c r="AT26" s="9" t="s">
        <v>99</v>
      </c>
      <c r="AU26" s="9">
        <v>2022</v>
      </c>
      <c r="AV26" s="9">
        <v>152</v>
      </c>
      <c r="AW26" s="9" t="s">
        <v>74</v>
      </c>
      <c r="AX26" s="9" t="s">
        <v>74</v>
      </c>
      <c r="AY26" s="9" t="s">
        <v>74</v>
      </c>
      <c r="AZ26" s="9" t="s">
        <v>74</v>
      </c>
      <c r="BA26" s="9" t="s">
        <v>74</v>
      </c>
      <c r="BB26" s="9">
        <v>29</v>
      </c>
      <c r="BC26" s="9">
        <v>41</v>
      </c>
      <c r="BD26" s="9" t="s">
        <v>74</v>
      </c>
      <c r="BE26" s="9" t="s">
        <v>3765</v>
      </c>
      <c r="BF26" s="9">
        <v>0</v>
      </c>
      <c r="BG26" s="9" t="s">
        <v>74</v>
      </c>
      <c r="BH26" s="9" t="s">
        <v>3746</v>
      </c>
      <c r="BI26" s="9">
        <v>13</v>
      </c>
      <c r="BJ26" s="9" t="s">
        <v>1023</v>
      </c>
      <c r="BK26" s="9" t="s">
        <v>156</v>
      </c>
      <c r="BL26" s="9" t="s">
        <v>265</v>
      </c>
      <c r="BM26" s="9" t="s">
        <v>3766</v>
      </c>
      <c r="BN26" s="9" t="s">
        <v>74</v>
      </c>
      <c r="BO26" s="9" t="s">
        <v>1539</v>
      </c>
      <c r="BP26" s="9" t="s">
        <v>74</v>
      </c>
      <c r="BQ26" s="9" t="s">
        <v>74</v>
      </c>
      <c r="BR26" s="9" t="s">
        <v>12946</v>
      </c>
      <c r="BS26" s="9" t="s">
        <v>3767</v>
      </c>
      <c r="BT26" s="9">
        <v>0</v>
      </c>
    </row>
    <row r="27" spans="1:72" x14ac:dyDescent="0.25">
      <c r="A27" s="9" t="s">
        <v>72</v>
      </c>
      <c r="B27" s="9" t="s">
        <v>2492</v>
      </c>
      <c r="C27" s="9" t="s">
        <v>74</v>
      </c>
      <c r="D27" s="9" t="s">
        <v>74</v>
      </c>
      <c r="E27" s="9" t="s">
        <v>74</v>
      </c>
      <c r="F27" s="9" t="s">
        <v>2493</v>
      </c>
      <c r="G27" s="9" t="s">
        <v>74</v>
      </c>
      <c r="H27" s="9" t="s">
        <v>74</v>
      </c>
      <c r="I27" s="9" t="s">
        <v>2494</v>
      </c>
      <c r="J27" s="9" t="s">
        <v>218</v>
      </c>
      <c r="K27" s="9" t="s">
        <v>74</v>
      </c>
      <c r="L27" s="9" t="s">
        <v>74</v>
      </c>
      <c r="M27" s="9" t="s">
        <v>78</v>
      </c>
      <c r="N27" s="9" t="s">
        <v>79</v>
      </c>
      <c r="O27" s="9" t="s">
        <v>74</v>
      </c>
      <c r="P27" s="9" t="s">
        <v>74</v>
      </c>
      <c r="Q27" s="9" t="s">
        <v>74</v>
      </c>
      <c r="R27" s="9" t="s">
        <v>74</v>
      </c>
      <c r="S27" s="9" t="s">
        <v>74</v>
      </c>
      <c r="T27" s="9" t="s">
        <v>2495</v>
      </c>
      <c r="U27" s="9" t="s">
        <v>2496</v>
      </c>
      <c r="V27" s="9" t="s">
        <v>2497</v>
      </c>
      <c r="W27" s="9" t="s">
        <v>2498</v>
      </c>
      <c r="X27" s="9" t="s">
        <v>2499</v>
      </c>
      <c r="Y27" s="9" t="s">
        <v>2500</v>
      </c>
      <c r="Z27" s="9" t="s">
        <v>2501</v>
      </c>
      <c r="AA27" s="9" t="s">
        <v>12983</v>
      </c>
      <c r="AB27" s="9" t="s">
        <v>12984</v>
      </c>
      <c r="AC27" s="9" t="s">
        <v>2504</v>
      </c>
      <c r="AD27" s="9" t="s">
        <v>2505</v>
      </c>
      <c r="AE27" s="9" t="s">
        <v>2506</v>
      </c>
      <c r="AF27" s="9" t="s">
        <v>74</v>
      </c>
      <c r="AG27" s="9">
        <v>137</v>
      </c>
      <c r="AH27" s="9">
        <v>52</v>
      </c>
      <c r="AI27" s="9">
        <v>52</v>
      </c>
      <c r="AJ27" s="9">
        <v>56</v>
      </c>
      <c r="AK27" s="9">
        <v>272</v>
      </c>
      <c r="AL27" s="9" t="s">
        <v>231</v>
      </c>
      <c r="AM27" s="9" t="s">
        <v>232</v>
      </c>
      <c r="AN27" s="9" t="s">
        <v>233</v>
      </c>
      <c r="AO27" s="9" t="s">
        <v>234</v>
      </c>
      <c r="AP27" s="9" t="s">
        <v>235</v>
      </c>
      <c r="AQ27" s="9" t="s">
        <v>74</v>
      </c>
      <c r="AR27" s="9" t="s">
        <v>236</v>
      </c>
      <c r="AS27" s="9" t="s">
        <v>237</v>
      </c>
      <c r="AT27" s="9" t="s">
        <v>626</v>
      </c>
      <c r="AU27" s="9">
        <v>2022</v>
      </c>
      <c r="AV27" s="9">
        <v>250</v>
      </c>
      <c r="AW27" s="9" t="s">
        <v>74</v>
      </c>
      <c r="AX27" s="9" t="s">
        <v>74</v>
      </c>
      <c r="AY27" s="9" t="s">
        <v>74</v>
      </c>
      <c r="AZ27" s="9" t="s">
        <v>1020</v>
      </c>
      <c r="BA27" s="9" t="s">
        <v>74</v>
      </c>
      <c r="BB27" s="9" t="s">
        <v>74</v>
      </c>
      <c r="BC27" s="9" t="s">
        <v>74</v>
      </c>
      <c r="BD27" s="9">
        <v>108668</v>
      </c>
      <c r="BE27" s="9" t="s">
        <v>2507</v>
      </c>
      <c r="BF27" s="9">
        <v>0</v>
      </c>
      <c r="BG27" s="9" t="s">
        <v>74</v>
      </c>
      <c r="BH27" s="9" t="s">
        <v>2368</v>
      </c>
      <c r="BI27" s="9">
        <v>18</v>
      </c>
      <c r="BJ27" s="9" t="s">
        <v>239</v>
      </c>
      <c r="BK27" s="9" t="s">
        <v>102</v>
      </c>
      <c r="BL27" s="9" t="s">
        <v>240</v>
      </c>
      <c r="BM27" s="9" t="s">
        <v>2508</v>
      </c>
      <c r="BN27" s="9" t="s">
        <v>74</v>
      </c>
      <c r="BO27" s="9" t="s">
        <v>74</v>
      </c>
      <c r="BP27" s="9" t="s">
        <v>74</v>
      </c>
      <c r="BQ27" s="9" t="s">
        <v>74</v>
      </c>
      <c r="BR27" s="9" t="s">
        <v>12946</v>
      </c>
      <c r="BS27" s="9" t="s">
        <v>2509</v>
      </c>
      <c r="BT27" s="9">
        <v>0</v>
      </c>
    </row>
    <row r="28" spans="1:72" x14ac:dyDescent="0.25">
      <c r="A28" s="9" t="s">
        <v>72</v>
      </c>
      <c r="B28" s="9" t="s">
        <v>8131</v>
      </c>
      <c r="C28" s="9" t="s">
        <v>74</v>
      </c>
      <c r="D28" s="9" t="s">
        <v>74</v>
      </c>
      <c r="E28" s="9" t="s">
        <v>74</v>
      </c>
      <c r="F28" s="9" t="s">
        <v>8132</v>
      </c>
      <c r="G28" s="9" t="s">
        <v>74</v>
      </c>
      <c r="H28" s="9" t="s">
        <v>74</v>
      </c>
      <c r="I28" s="9" t="s">
        <v>8133</v>
      </c>
      <c r="J28" s="9" t="s">
        <v>8134</v>
      </c>
      <c r="K28" s="9" t="s">
        <v>74</v>
      </c>
      <c r="L28" s="9" t="s">
        <v>74</v>
      </c>
      <c r="M28" s="9" t="s">
        <v>78</v>
      </c>
      <c r="N28" s="9" t="s">
        <v>79</v>
      </c>
      <c r="O28" s="9" t="s">
        <v>74</v>
      </c>
      <c r="P28" s="9" t="s">
        <v>74</v>
      </c>
      <c r="Q28" s="9" t="s">
        <v>74</v>
      </c>
      <c r="R28" s="9" t="s">
        <v>74</v>
      </c>
      <c r="S28" s="9" t="s">
        <v>74</v>
      </c>
      <c r="T28" s="9" t="s">
        <v>8135</v>
      </c>
      <c r="U28" s="9" t="s">
        <v>8136</v>
      </c>
      <c r="V28" s="9" t="s">
        <v>8137</v>
      </c>
      <c r="W28" s="9" t="s">
        <v>8138</v>
      </c>
      <c r="X28" s="9" t="s">
        <v>8139</v>
      </c>
      <c r="Y28" s="9" t="s">
        <v>8140</v>
      </c>
      <c r="Z28" s="9" t="s">
        <v>8141</v>
      </c>
      <c r="AA28" s="9" t="s">
        <v>74</v>
      </c>
      <c r="AB28" s="9" t="s">
        <v>74</v>
      </c>
      <c r="AC28" s="9" t="s">
        <v>8142</v>
      </c>
      <c r="AD28" s="9" t="s">
        <v>8143</v>
      </c>
      <c r="AE28" s="9" t="s">
        <v>8144</v>
      </c>
      <c r="AF28" s="9" t="s">
        <v>74</v>
      </c>
      <c r="AG28" s="9">
        <v>96</v>
      </c>
      <c r="AH28" s="9">
        <v>52</v>
      </c>
      <c r="AI28" s="9">
        <v>57</v>
      </c>
      <c r="AJ28" s="9">
        <v>14</v>
      </c>
      <c r="AK28" s="9">
        <v>407</v>
      </c>
      <c r="AL28" s="9" t="s">
        <v>715</v>
      </c>
      <c r="AM28" s="9" t="s">
        <v>4411</v>
      </c>
      <c r="AN28" s="9" t="s">
        <v>12985</v>
      </c>
      <c r="AO28" s="9" t="s">
        <v>8145</v>
      </c>
      <c r="AP28" s="9" t="s">
        <v>8146</v>
      </c>
      <c r="AQ28" s="9" t="s">
        <v>74</v>
      </c>
      <c r="AR28" s="9" t="s">
        <v>8147</v>
      </c>
      <c r="AS28" s="9" t="s">
        <v>8148</v>
      </c>
      <c r="AT28" s="9" t="s">
        <v>1430</v>
      </c>
      <c r="AU28" s="9">
        <v>2020</v>
      </c>
      <c r="AV28" s="9">
        <v>31</v>
      </c>
      <c r="AW28" s="9">
        <v>3</v>
      </c>
      <c r="AX28" s="9" t="s">
        <v>74</v>
      </c>
      <c r="AY28" s="9" t="s">
        <v>74</v>
      </c>
      <c r="AZ28" s="9" t="s">
        <v>1020</v>
      </c>
      <c r="BA28" s="9" t="s">
        <v>74</v>
      </c>
      <c r="BB28" s="9">
        <v>441</v>
      </c>
      <c r="BC28" s="9">
        <v>462</v>
      </c>
      <c r="BD28" s="9" t="s">
        <v>74</v>
      </c>
      <c r="BE28" s="9" t="s">
        <v>8149</v>
      </c>
      <c r="BF28" s="9">
        <v>0</v>
      </c>
      <c r="BG28" s="9" t="s">
        <v>74</v>
      </c>
      <c r="BH28" s="9" t="s">
        <v>8028</v>
      </c>
      <c r="BI28" s="9">
        <v>22</v>
      </c>
      <c r="BJ28" s="9" t="s">
        <v>8150</v>
      </c>
      <c r="BK28" s="9" t="s">
        <v>156</v>
      </c>
      <c r="BL28" s="9" t="s">
        <v>8151</v>
      </c>
      <c r="BM28" s="9" t="s">
        <v>8152</v>
      </c>
      <c r="BN28" s="9" t="s">
        <v>74</v>
      </c>
      <c r="BO28" s="9" t="s">
        <v>74</v>
      </c>
      <c r="BP28" s="9" t="s">
        <v>74</v>
      </c>
      <c r="BQ28" s="9" t="s">
        <v>74</v>
      </c>
      <c r="BR28" s="9" t="s">
        <v>12946</v>
      </c>
      <c r="BS28" s="9" t="s">
        <v>8153</v>
      </c>
      <c r="BT28" s="9">
        <v>0</v>
      </c>
    </row>
    <row r="29" spans="1:72" x14ac:dyDescent="0.25">
      <c r="A29" s="9" t="s">
        <v>72</v>
      </c>
      <c r="B29" s="9" t="s">
        <v>5991</v>
      </c>
      <c r="C29" s="9" t="s">
        <v>74</v>
      </c>
      <c r="D29" s="9" t="s">
        <v>74</v>
      </c>
      <c r="E29" s="9" t="s">
        <v>74</v>
      </c>
      <c r="F29" s="9" t="s">
        <v>5992</v>
      </c>
      <c r="G29" s="9" t="s">
        <v>74</v>
      </c>
      <c r="H29" s="9" t="s">
        <v>74</v>
      </c>
      <c r="I29" s="9" t="s">
        <v>5993</v>
      </c>
      <c r="J29" s="9" t="s">
        <v>5994</v>
      </c>
      <c r="K29" s="9" t="s">
        <v>74</v>
      </c>
      <c r="L29" s="9" t="s">
        <v>74</v>
      </c>
      <c r="M29" s="9" t="s">
        <v>78</v>
      </c>
      <c r="N29" s="9" t="s">
        <v>79</v>
      </c>
      <c r="O29" s="9" t="s">
        <v>74</v>
      </c>
      <c r="P29" s="9" t="s">
        <v>74</v>
      </c>
      <c r="Q29" s="9" t="s">
        <v>74</v>
      </c>
      <c r="R29" s="9" t="s">
        <v>74</v>
      </c>
      <c r="S29" s="9" t="s">
        <v>74</v>
      </c>
      <c r="T29" s="9" t="s">
        <v>5995</v>
      </c>
      <c r="U29" s="9" t="s">
        <v>5996</v>
      </c>
      <c r="V29" s="9" t="s">
        <v>5997</v>
      </c>
      <c r="W29" s="9" t="s">
        <v>5998</v>
      </c>
      <c r="X29" s="9" t="s">
        <v>5999</v>
      </c>
      <c r="Y29" s="9" t="s">
        <v>6000</v>
      </c>
      <c r="Z29" s="9" t="s">
        <v>6001</v>
      </c>
      <c r="AA29" s="9" t="s">
        <v>12986</v>
      </c>
      <c r="AB29" s="9" t="s">
        <v>12987</v>
      </c>
      <c r="AC29" s="9" t="s">
        <v>6004</v>
      </c>
      <c r="AD29" s="9" t="s">
        <v>6005</v>
      </c>
      <c r="AE29" s="9" t="s">
        <v>6006</v>
      </c>
      <c r="AF29" s="9" t="s">
        <v>74</v>
      </c>
      <c r="AG29" s="9">
        <v>101</v>
      </c>
      <c r="AH29" s="9">
        <v>50</v>
      </c>
      <c r="AI29" s="9">
        <v>52</v>
      </c>
      <c r="AJ29" s="9">
        <v>29</v>
      </c>
      <c r="AK29" s="9">
        <v>315</v>
      </c>
      <c r="AL29" s="9" t="s">
        <v>231</v>
      </c>
      <c r="AM29" s="9" t="s">
        <v>232</v>
      </c>
      <c r="AN29" s="9" t="s">
        <v>233</v>
      </c>
      <c r="AO29" s="9" t="s">
        <v>6007</v>
      </c>
      <c r="AP29" s="9" t="s">
        <v>6008</v>
      </c>
      <c r="AQ29" s="9" t="s">
        <v>74</v>
      </c>
      <c r="AR29" s="9" t="s">
        <v>6009</v>
      </c>
      <c r="AS29" s="9" t="s">
        <v>6010</v>
      </c>
      <c r="AT29" s="9" t="s">
        <v>356</v>
      </c>
      <c r="AU29" s="9">
        <v>2021</v>
      </c>
      <c r="AV29" s="9">
        <v>30</v>
      </c>
      <c r="AW29" s="9">
        <v>3</v>
      </c>
      <c r="AX29" s="9" t="s">
        <v>74</v>
      </c>
      <c r="AY29" s="9" t="s">
        <v>74</v>
      </c>
      <c r="AZ29" s="9" t="s">
        <v>74</v>
      </c>
      <c r="BA29" s="9" t="s">
        <v>74</v>
      </c>
      <c r="BB29" s="9" t="s">
        <v>74</v>
      </c>
      <c r="BC29" s="9" t="s">
        <v>74</v>
      </c>
      <c r="BD29" s="9">
        <v>101682</v>
      </c>
      <c r="BE29" s="9" t="s">
        <v>6011</v>
      </c>
      <c r="BF29" s="9">
        <v>0</v>
      </c>
      <c r="BG29" s="9" t="s">
        <v>74</v>
      </c>
      <c r="BH29" s="9" t="s">
        <v>6012</v>
      </c>
      <c r="BI29" s="9">
        <v>17</v>
      </c>
      <c r="BJ29" s="9" t="s">
        <v>2581</v>
      </c>
      <c r="BK29" s="9" t="s">
        <v>211</v>
      </c>
      <c r="BL29" s="9" t="s">
        <v>767</v>
      </c>
      <c r="BM29" s="9" t="s">
        <v>6013</v>
      </c>
      <c r="BN29" s="9" t="s">
        <v>74</v>
      </c>
      <c r="BO29" s="9" t="s">
        <v>12988</v>
      </c>
      <c r="BP29" s="9" t="s">
        <v>74</v>
      </c>
      <c r="BQ29" s="9" t="s">
        <v>74</v>
      </c>
      <c r="BR29" s="9" t="s">
        <v>12946</v>
      </c>
      <c r="BS29" s="9" t="s">
        <v>6015</v>
      </c>
      <c r="BT29" s="9">
        <v>0</v>
      </c>
    </row>
    <row r="30" spans="1:72" x14ac:dyDescent="0.25">
      <c r="A30" s="9" t="s">
        <v>72</v>
      </c>
      <c r="B30" s="9" t="s">
        <v>3780</v>
      </c>
      <c r="C30" s="9" t="s">
        <v>74</v>
      </c>
      <c r="D30" s="9" t="s">
        <v>74</v>
      </c>
      <c r="E30" s="9" t="s">
        <v>74</v>
      </c>
      <c r="F30" s="9" t="s">
        <v>3781</v>
      </c>
      <c r="G30" s="9" t="s">
        <v>74</v>
      </c>
      <c r="H30" s="9" t="s">
        <v>74</v>
      </c>
      <c r="I30" s="9" t="s">
        <v>3782</v>
      </c>
      <c r="J30" s="9" t="s">
        <v>77</v>
      </c>
      <c r="K30" s="9" t="s">
        <v>74</v>
      </c>
      <c r="L30" s="9" t="s">
        <v>74</v>
      </c>
      <c r="M30" s="9" t="s">
        <v>78</v>
      </c>
      <c r="N30" s="9" t="s">
        <v>79</v>
      </c>
      <c r="O30" s="9" t="s">
        <v>74</v>
      </c>
      <c r="P30" s="9" t="s">
        <v>74</v>
      </c>
      <c r="Q30" s="9" t="s">
        <v>74</v>
      </c>
      <c r="R30" s="9" t="s">
        <v>74</v>
      </c>
      <c r="S30" s="9" t="s">
        <v>74</v>
      </c>
      <c r="T30" s="9" t="s">
        <v>3783</v>
      </c>
      <c r="U30" s="9" t="s">
        <v>3784</v>
      </c>
      <c r="V30" s="9" t="s">
        <v>3785</v>
      </c>
      <c r="W30" s="9" t="s">
        <v>3786</v>
      </c>
      <c r="X30" s="9" t="s">
        <v>12989</v>
      </c>
      <c r="Y30" s="9" t="s">
        <v>3788</v>
      </c>
      <c r="Z30" s="9" t="s">
        <v>3789</v>
      </c>
      <c r="AA30" s="9" t="s">
        <v>12990</v>
      </c>
      <c r="AB30" s="9" t="s">
        <v>12991</v>
      </c>
      <c r="AC30" s="9" t="s">
        <v>3792</v>
      </c>
      <c r="AD30" s="9" t="s">
        <v>3793</v>
      </c>
      <c r="AE30" s="9" t="s">
        <v>3794</v>
      </c>
      <c r="AF30" s="9" t="s">
        <v>74</v>
      </c>
      <c r="AG30" s="9">
        <v>90</v>
      </c>
      <c r="AH30" s="9">
        <v>44</v>
      </c>
      <c r="AI30" s="9">
        <v>45</v>
      </c>
      <c r="AJ30" s="9">
        <v>5</v>
      </c>
      <c r="AK30" s="9">
        <v>25</v>
      </c>
      <c r="AL30" s="9" t="s">
        <v>92</v>
      </c>
      <c r="AM30" s="9" t="s">
        <v>93</v>
      </c>
      <c r="AN30" s="9" t="s">
        <v>94</v>
      </c>
      <c r="AO30" s="9" t="s">
        <v>95</v>
      </c>
      <c r="AP30" s="9" t="s">
        <v>96</v>
      </c>
      <c r="AQ30" s="9" t="s">
        <v>74</v>
      </c>
      <c r="AR30" s="9" t="s">
        <v>97</v>
      </c>
      <c r="AS30" s="9" t="s">
        <v>98</v>
      </c>
      <c r="AT30" s="9" t="s">
        <v>356</v>
      </c>
      <c r="AU30" s="9">
        <v>2022</v>
      </c>
      <c r="AV30" s="9">
        <v>171</v>
      </c>
      <c r="AW30" s="9" t="s">
        <v>74</v>
      </c>
      <c r="AX30" s="9" t="s">
        <v>74</v>
      </c>
      <c r="AY30" s="9" t="s">
        <v>74</v>
      </c>
      <c r="AZ30" s="9" t="s">
        <v>74</v>
      </c>
      <c r="BA30" s="9" t="s">
        <v>74</v>
      </c>
      <c r="BB30" s="9" t="s">
        <v>74</v>
      </c>
      <c r="BC30" s="9" t="s">
        <v>74</v>
      </c>
      <c r="BD30" s="9">
        <v>108428</v>
      </c>
      <c r="BE30" s="9" t="s">
        <v>3795</v>
      </c>
      <c r="BF30" s="9">
        <v>0</v>
      </c>
      <c r="BG30" s="9" t="s">
        <v>74</v>
      </c>
      <c r="BH30" s="9" t="s">
        <v>3746</v>
      </c>
      <c r="BI30" s="9">
        <v>12</v>
      </c>
      <c r="BJ30" s="9" t="s">
        <v>101</v>
      </c>
      <c r="BK30" s="9" t="s">
        <v>102</v>
      </c>
      <c r="BL30" s="9" t="s">
        <v>103</v>
      </c>
      <c r="BM30" s="9" t="s">
        <v>3796</v>
      </c>
      <c r="BN30" s="9" t="s">
        <v>74</v>
      </c>
      <c r="BO30" s="9" t="s">
        <v>1539</v>
      </c>
      <c r="BP30" s="9" t="s">
        <v>74</v>
      </c>
      <c r="BQ30" s="9" t="s">
        <v>74</v>
      </c>
      <c r="BR30" s="9" t="s">
        <v>12946</v>
      </c>
      <c r="BS30" s="9" t="s">
        <v>3797</v>
      </c>
      <c r="BT30" s="9">
        <v>0</v>
      </c>
    </row>
    <row r="31" spans="1:72" x14ac:dyDescent="0.25">
      <c r="A31" s="9" t="s">
        <v>72</v>
      </c>
      <c r="B31" s="9" t="s">
        <v>5869</v>
      </c>
      <c r="C31" s="9" t="s">
        <v>74</v>
      </c>
      <c r="D31" s="9" t="s">
        <v>74</v>
      </c>
      <c r="E31" s="9" t="s">
        <v>74</v>
      </c>
      <c r="F31" s="9" t="s">
        <v>5870</v>
      </c>
      <c r="G31" s="9" t="s">
        <v>74</v>
      </c>
      <c r="H31" s="9" t="s">
        <v>74</v>
      </c>
      <c r="I31" s="9" t="s">
        <v>5871</v>
      </c>
      <c r="J31" s="9" t="s">
        <v>2810</v>
      </c>
      <c r="K31" s="9" t="s">
        <v>74</v>
      </c>
      <c r="L31" s="9" t="s">
        <v>74</v>
      </c>
      <c r="M31" s="9" t="s">
        <v>78</v>
      </c>
      <c r="N31" s="9" t="s">
        <v>79</v>
      </c>
      <c r="O31" s="9" t="s">
        <v>74</v>
      </c>
      <c r="P31" s="9" t="s">
        <v>74</v>
      </c>
      <c r="Q31" s="9" t="s">
        <v>74</v>
      </c>
      <c r="R31" s="9" t="s">
        <v>74</v>
      </c>
      <c r="S31" s="9" t="s">
        <v>74</v>
      </c>
      <c r="T31" s="9" t="s">
        <v>5872</v>
      </c>
      <c r="U31" s="9" t="s">
        <v>5873</v>
      </c>
      <c r="V31" s="9" t="s">
        <v>5874</v>
      </c>
      <c r="W31" s="9" t="s">
        <v>5875</v>
      </c>
      <c r="X31" s="9" t="s">
        <v>12992</v>
      </c>
      <c r="Y31" s="9" t="s">
        <v>5877</v>
      </c>
      <c r="Z31" s="9" t="s">
        <v>5878</v>
      </c>
      <c r="AA31" s="9" t="s">
        <v>12993</v>
      </c>
      <c r="AB31" s="9" t="s">
        <v>12994</v>
      </c>
      <c r="AC31" s="9" t="s">
        <v>74</v>
      </c>
      <c r="AD31" s="9" t="s">
        <v>74</v>
      </c>
      <c r="AE31" s="9" t="s">
        <v>74</v>
      </c>
      <c r="AF31" s="9" t="s">
        <v>74</v>
      </c>
      <c r="AG31" s="9">
        <v>71</v>
      </c>
      <c r="AH31" s="9">
        <v>43</v>
      </c>
      <c r="AI31" s="9">
        <v>47</v>
      </c>
      <c r="AJ31" s="9">
        <v>17</v>
      </c>
      <c r="AK31" s="9">
        <v>203</v>
      </c>
      <c r="AL31" s="9" t="s">
        <v>2818</v>
      </c>
      <c r="AM31" s="9" t="s">
        <v>2819</v>
      </c>
      <c r="AN31" s="9" t="s">
        <v>2820</v>
      </c>
      <c r="AO31" s="9" t="s">
        <v>2821</v>
      </c>
      <c r="AP31" s="9" t="s">
        <v>2822</v>
      </c>
      <c r="AQ31" s="9" t="s">
        <v>74</v>
      </c>
      <c r="AR31" s="9" t="s">
        <v>2823</v>
      </c>
      <c r="AS31" s="9" t="s">
        <v>2824</v>
      </c>
      <c r="AT31" s="9" t="s">
        <v>356</v>
      </c>
      <c r="AU31" s="9">
        <v>2021</v>
      </c>
      <c r="AV31" s="9">
        <v>30</v>
      </c>
      <c r="AW31" s="9">
        <v>5</v>
      </c>
      <c r="AX31" s="9" t="s">
        <v>74</v>
      </c>
      <c r="AY31" s="9" t="s">
        <v>74</v>
      </c>
      <c r="AZ31" s="9" t="s">
        <v>1020</v>
      </c>
      <c r="BA31" s="9" t="s">
        <v>74</v>
      </c>
      <c r="BB31" s="9">
        <v>421</v>
      </c>
      <c r="BC31" s="9">
        <v>441</v>
      </c>
      <c r="BD31" s="9" t="s">
        <v>74</v>
      </c>
      <c r="BE31" s="9" t="s">
        <v>5881</v>
      </c>
      <c r="BF31" s="9">
        <v>0</v>
      </c>
      <c r="BG31" s="9" t="s">
        <v>74</v>
      </c>
      <c r="BH31" s="9" t="s">
        <v>74</v>
      </c>
      <c r="BI31" s="9">
        <v>21</v>
      </c>
      <c r="BJ31" s="9" t="s">
        <v>479</v>
      </c>
      <c r="BK31" s="9" t="s">
        <v>183</v>
      </c>
      <c r="BL31" s="9" t="s">
        <v>265</v>
      </c>
      <c r="BM31" s="9" t="s">
        <v>5882</v>
      </c>
      <c r="BN31" s="9" t="s">
        <v>74</v>
      </c>
      <c r="BO31" s="9" t="s">
        <v>74</v>
      </c>
      <c r="BP31" s="9" t="s">
        <v>74</v>
      </c>
      <c r="BQ31" s="9" t="s">
        <v>74</v>
      </c>
      <c r="BR31" s="9" t="s">
        <v>12946</v>
      </c>
      <c r="BS31" s="9" t="s">
        <v>5883</v>
      </c>
      <c r="BT31" s="9">
        <v>0</v>
      </c>
    </row>
    <row r="32" spans="1:72" x14ac:dyDescent="0.25">
      <c r="A32" s="9" t="s">
        <v>72</v>
      </c>
      <c r="B32" s="9" t="s">
        <v>6486</v>
      </c>
      <c r="C32" s="9" t="s">
        <v>74</v>
      </c>
      <c r="D32" s="9" t="s">
        <v>74</v>
      </c>
      <c r="E32" s="9" t="s">
        <v>74</v>
      </c>
      <c r="F32" s="9" t="s">
        <v>6487</v>
      </c>
      <c r="G32" s="9" t="s">
        <v>74</v>
      </c>
      <c r="H32" s="9" t="s">
        <v>74</v>
      </c>
      <c r="I32" s="9" t="s">
        <v>6488</v>
      </c>
      <c r="J32" s="9" t="s">
        <v>6489</v>
      </c>
      <c r="K32" s="9" t="s">
        <v>74</v>
      </c>
      <c r="L32" s="9" t="s">
        <v>74</v>
      </c>
      <c r="M32" s="9" t="s">
        <v>78</v>
      </c>
      <c r="N32" s="9" t="s">
        <v>79</v>
      </c>
      <c r="O32" s="9" t="s">
        <v>74</v>
      </c>
      <c r="P32" s="9" t="s">
        <v>74</v>
      </c>
      <c r="Q32" s="9" t="s">
        <v>74</v>
      </c>
      <c r="R32" s="9" t="s">
        <v>74</v>
      </c>
      <c r="S32" s="9" t="s">
        <v>74</v>
      </c>
      <c r="T32" s="9" t="s">
        <v>6490</v>
      </c>
      <c r="U32" s="9" t="s">
        <v>74</v>
      </c>
      <c r="V32" s="9" t="s">
        <v>6491</v>
      </c>
      <c r="W32" s="9" t="s">
        <v>6492</v>
      </c>
      <c r="X32" s="9" t="s">
        <v>6493</v>
      </c>
      <c r="Y32" s="9" t="s">
        <v>6494</v>
      </c>
      <c r="Z32" s="9" t="s">
        <v>6495</v>
      </c>
      <c r="AA32" s="9" t="s">
        <v>12995</v>
      </c>
      <c r="AB32" s="9" t="s">
        <v>6496</v>
      </c>
      <c r="AC32" s="9" t="s">
        <v>74</v>
      </c>
      <c r="AD32" s="9" t="s">
        <v>74</v>
      </c>
      <c r="AE32" s="9" t="s">
        <v>74</v>
      </c>
      <c r="AF32" s="9" t="s">
        <v>74</v>
      </c>
      <c r="AG32" s="9">
        <v>89</v>
      </c>
      <c r="AH32" s="9">
        <v>42</v>
      </c>
      <c r="AI32" s="9">
        <v>44</v>
      </c>
      <c r="AJ32" s="9">
        <v>18</v>
      </c>
      <c r="AK32" s="9">
        <v>131</v>
      </c>
      <c r="AL32" s="9" t="s">
        <v>1013</v>
      </c>
      <c r="AM32" s="9" t="s">
        <v>493</v>
      </c>
      <c r="AN32" s="9" t="s">
        <v>1014</v>
      </c>
      <c r="AO32" s="9" t="s">
        <v>6497</v>
      </c>
      <c r="AP32" s="9" t="s">
        <v>6498</v>
      </c>
      <c r="AQ32" s="9" t="s">
        <v>74</v>
      </c>
      <c r="AR32" s="9" t="s">
        <v>6499</v>
      </c>
      <c r="AS32" s="9" t="s">
        <v>6500</v>
      </c>
      <c r="AT32" s="9" t="s">
        <v>6501</v>
      </c>
      <c r="AU32" s="9">
        <v>2022</v>
      </c>
      <c r="AV32" s="9">
        <v>32</v>
      </c>
      <c r="AW32" s="9">
        <v>1</v>
      </c>
      <c r="AX32" s="9" t="s">
        <v>74</v>
      </c>
      <c r="AY32" s="9" t="s">
        <v>74</v>
      </c>
      <c r="AZ32" s="9" t="s">
        <v>74</v>
      </c>
      <c r="BA32" s="9" t="s">
        <v>74</v>
      </c>
      <c r="BB32" s="9">
        <v>79</v>
      </c>
      <c r="BC32" s="9">
        <v>109</v>
      </c>
      <c r="BD32" s="9" t="s">
        <v>74</v>
      </c>
      <c r="BE32" s="9" t="s">
        <v>6502</v>
      </c>
      <c r="BF32" s="9">
        <v>0</v>
      </c>
      <c r="BG32" s="9" t="s">
        <v>74</v>
      </c>
      <c r="BH32" s="9" t="s">
        <v>6460</v>
      </c>
      <c r="BI32" s="9">
        <v>31</v>
      </c>
      <c r="BJ32" s="9" t="s">
        <v>6503</v>
      </c>
      <c r="BK32" s="9" t="s">
        <v>183</v>
      </c>
      <c r="BL32" s="9" t="s">
        <v>6503</v>
      </c>
      <c r="BM32" s="9" t="s">
        <v>6504</v>
      </c>
      <c r="BN32" s="9" t="s">
        <v>74</v>
      </c>
      <c r="BO32" s="9" t="s">
        <v>74</v>
      </c>
      <c r="BP32" s="9" t="s">
        <v>74</v>
      </c>
      <c r="BQ32" s="9" t="s">
        <v>74</v>
      </c>
      <c r="BR32" s="9" t="s">
        <v>12946</v>
      </c>
      <c r="BS32" s="9" t="s">
        <v>6505</v>
      </c>
      <c r="BT32" s="9">
        <v>0</v>
      </c>
    </row>
    <row r="33" spans="1:72" x14ac:dyDescent="0.25">
      <c r="A33" s="9" t="s">
        <v>72</v>
      </c>
      <c r="B33" s="9" t="s">
        <v>9128</v>
      </c>
      <c r="C33" s="9" t="s">
        <v>74</v>
      </c>
      <c r="D33" s="9" t="s">
        <v>74</v>
      </c>
      <c r="E33" s="9" t="s">
        <v>74</v>
      </c>
      <c r="F33" s="9" t="s">
        <v>9129</v>
      </c>
      <c r="G33" s="9" t="s">
        <v>74</v>
      </c>
      <c r="H33" s="9" t="s">
        <v>74</v>
      </c>
      <c r="I33" s="9" t="s">
        <v>9130</v>
      </c>
      <c r="J33" s="9" t="s">
        <v>9131</v>
      </c>
      <c r="K33" s="9" t="s">
        <v>74</v>
      </c>
      <c r="L33" s="9" t="s">
        <v>74</v>
      </c>
      <c r="M33" s="9" t="s">
        <v>78</v>
      </c>
      <c r="N33" s="9" t="s">
        <v>79</v>
      </c>
      <c r="O33" s="9" t="s">
        <v>74</v>
      </c>
      <c r="P33" s="9" t="s">
        <v>74</v>
      </c>
      <c r="Q33" s="9" t="s">
        <v>74</v>
      </c>
      <c r="R33" s="9" t="s">
        <v>74</v>
      </c>
      <c r="S33" s="9" t="s">
        <v>74</v>
      </c>
      <c r="T33" s="9" t="s">
        <v>9132</v>
      </c>
      <c r="U33" s="9" t="s">
        <v>9133</v>
      </c>
      <c r="V33" s="9" t="s">
        <v>9134</v>
      </c>
      <c r="W33" s="9" t="s">
        <v>9135</v>
      </c>
      <c r="X33" s="9" t="s">
        <v>9136</v>
      </c>
      <c r="Y33" s="9" t="s">
        <v>9137</v>
      </c>
      <c r="Z33" s="9" t="s">
        <v>9138</v>
      </c>
      <c r="AA33" s="9" t="s">
        <v>9139</v>
      </c>
      <c r="AB33" s="9" t="s">
        <v>12996</v>
      </c>
      <c r="AC33" s="9" t="s">
        <v>9141</v>
      </c>
      <c r="AD33" s="9" t="s">
        <v>9142</v>
      </c>
      <c r="AE33" s="9" t="s">
        <v>9143</v>
      </c>
      <c r="AF33" s="9" t="s">
        <v>74</v>
      </c>
      <c r="AG33" s="9">
        <v>32</v>
      </c>
      <c r="AH33" s="9">
        <v>40</v>
      </c>
      <c r="AI33" s="9">
        <v>41</v>
      </c>
      <c r="AJ33" s="9">
        <v>15</v>
      </c>
      <c r="AK33" s="9">
        <v>161</v>
      </c>
      <c r="AL33" s="9" t="s">
        <v>492</v>
      </c>
      <c r="AM33" s="9" t="s">
        <v>493</v>
      </c>
      <c r="AN33" s="9" t="s">
        <v>494</v>
      </c>
      <c r="AO33" s="9" t="s">
        <v>9144</v>
      </c>
      <c r="AP33" s="9" t="s">
        <v>9145</v>
      </c>
      <c r="AQ33" s="9" t="s">
        <v>74</v>
      </c>
      <c r="AR33" s="9" t="s">
        <v>9146</v>
      </c>
      <c r="AS33" s="9" t="s">
        <v>9147</v>
      </c>
      <c r="AT33" s="9" t="s">
        <v>3152</v>
      </c>
      <c r="AU33" s="9">
        <v>2019</v>
      </c>
      <c r="AV33" s="9">
        <v>22</v>
      </c>
      <c r="AW33" s="9">
        <v>15</v>
      </c>
      <c r="AX33" s="9" t="s">
        <v>74</v>
      </c>
      <c r="AY33" s="9" t="s">
        <v>74</v>
      </c>
      <c r="AZ33" s="9" t="s">
        <v>74</v>
      </c>
      <c r="BA33" s="9" t="s">
        <v>74</v>
      </c>
      <c r="BB33" s="9">
        <v>1883</v>
      </c>
      <c r="BC33" s="9">
        <v>1903</v>
      </c>
      <c r="BD33" s="9" t="s">
        <v>74</v>
      </c>
      <c r="BE33" s="9" t="s">
        <v>9148</v>
      </c>
      <c r="BF33" s="9">
        <v>0</v>
      </c>
      <c r="BG33" s="9" t="s">
        <v>74</v>
      </c>
      <c r="BH33" s="9" t="s">
        <v>9149</v>
      </c>
      <c r="BI33" s="9">
        <v>21</v>
      </c>
      <c r="BJ33" s="9" t="s">
        <v>4630</v>
      </c>
      <c r="BK33" s="9" t="s">
        <v>156</v>
      </c>
      <c r="BL33" s="9" t="s">
        <v>943</v>
      </c>
      <c r="BM33" s="9" t="s">
        <v>9150</v>
      </c>
      <c r="BN33" s="9" t="s">
        <v>74</v>
      </c>
      <c r="BO33" s="9" t="s">
        <v>2805</v>
      </c>
      <c r="BP33" s="9" t="s">
        <v>74</v>
      </c>
      <c r="BQ33" s="9" t="s">
        <v>74</v>
      </c>
      <c r="BR33" s="9" t="s">
        <v>12946</v>
      </c>
      <c r="BS33" s="9" t="s">
        <v>9151</v>
      </c>
      <c r="BT33" s="9">
        <v>0</v>
      </c>
    </row>
    <row r="34" spans="1:72" x14ac:dyDescent="0.25">
      <c r="A34" s="9" t="s">
        <v>72</v>
      </c>
      <c r="B34" s="9" t="s">
        <v>1184</v>
      </c>
      <c r="C34" s="9" t="s">
        <v>74</v>
      </c>
      <c r="D34" s="9" t="s">
        <v>74</v>
      </c>
      <c r="E34" s="9" t="s">
        <v>74</v>
      </c>
      <c r="F34" s="9" t="s">
        <v>1185</v>
      </c>
      <c r="G34" s="9" t="s">
        <v>74</v>
      </c>
      <c r="H34" s="9" t="s">
        <v>74</v>
      </c>
      <c r="I34" s="9" t="s">
        <v>1186</v>
      </c>
      <c r="J34" s="9" t="s">
        <v>321</v>
      </c>
      <c r="K34" s="9" t="s">
        <v>74</v>
      </c>
      <c r="L34" s="9" t="s">
        <v>74</v>
      </c>
      <c r="M34" s="9" t="s">
        <v>78</v>
      </c>
      <c r="N34" s="9" t="s">
        <v>79</v>
      </c>
      <c r="O34" s="9" t="s">
        <v>74</v>
      </c>
      <c r="P34" s="9" t="s">
        <v>74</v>
      </c>
      <c r="Q34" s="9" t="s">
        <v>74</v>
      </c>
      <c r="R34" s="9" t="s">
        <v>74</v>
      </c>
      <c r="S34" s="9" t="s">
        <v>74</v>
      </c>
      <c r="T34" s="9" t="s">
        <v>1187</v>
      </c>
      <c r="U34" s="9" t="s">
        <v>1188</v>
      </c>
      <c r="V34" s="9" t="s">
        <v>1189</v>
      </c>
      <c r="W34" s="9" t="s">
        <v>1190</v>
      </c>
      <c r="X34" s="9" t="s">
        <v>1191</v>
      </c>
      <c r="Y34" s="9" t="s">
        <v>1192</v>
      </c>
      <c r="Z34" s="9" t="s">
        <v>1193</v>
      </c>
      <c r="AA34" s="9" t="s">
        <v>12997</v>
      </c>
      <c r="AB34" s="9" t="s">
        <v>1195</v>
      </c>
      <c r="AC34" s="9" t="s">
        <v>1196</v>
      </c>
      <c r="AD34" s="9" t="s">
        <v>1196</v>
      </c>
      <c r="AE34" s="9" t="s">
        <v>1197</v>
      </c>
      <c r="AF34" s="9" t="s">
        <v>74</v>
      </c>
      <c r="AG34" s="9">
        <v>95</v>
      </c>
      <c r="AH34" s="9">
        <v>39</v>
      </c>
      <c r="AI34" s="9">
        <v>39</v>
      </c>
      <c r="AJ34" s="9">
        <v>140</v>
      </c>
      <c r="AK34" s="9">
        <v>239</v>
      </c>
      <c r="AL34" s="9" t="s">
        <v>332</v>
      </c>
      <c r="AM34" s="9" t="s">
        <v>122</v>
      </c>
      <c r="AN34" s="9" t="s">
        <v>333</v>
      </c>
      <c r="AO34" s="9" t="s">
        <v>334</v>
      </c>
      <c r="AP34" s="9" t="s">
        <v>335</v>
      </c>
      <c r="AQ34" s="9" t="s">
        <v>74</v>
      </c>
      <c r="AR34" s="9" t="s">
        <v>336</v>
      </c>
      <c r="AS34" s="9" t="s">
        <v>337</v>
      </c>
      <c r="AT34" s="9" t="s">
        <v>626</v>
      </c>
      <c r="AU34" s="9">
        <v>2023</v>
      </c>
      <c r="AV34" s="9">
        <v>193</v>
      </c>
      <c r="AW34" s="9" t="s">
        <v>74</v>
      </c>
      <c r="AX34" s="9" t="s">
        <v>74</v>
      </c>
      <c r="AY34" s="9" t="s">
        <v>74</v>
      </c>
      <c r="AZ34" s="9" t="s">
        <v>74</v>
      </c>
      <c r="BA34" s="9" t="s">
        <v>74</v>
      </c>
      <c r="BB34" s="9" t="s">
        <v>74</v>
      </c>
      <c r="BC34" s="9" t="s">
        <v>74</v>
      </c>
      <c r="BD34" s="9">
        <v>122638</v>
      </c>
      <c r="BE34" s="9" t="s">
        <v>1198</v>
      </c>
      <c r="BF34" s="9">
        <v>0</v>
      </c>
      <c r="BG34" s="9" t="s">
        <v>74</v>
      </c>
      <c r="BH34" s="9" t="s">
        <v>1181</v>
      </c>
      <c r="BI34" s="9">
        <v>12</v>
      </c>
      <c r="BJ34" s="9" t="s">
        <v>339</v>
      </c>
      <c r="BK34" s="9" t="s">
        <v>156</v>
      </c>
      <c r="BL34" s="9" t="s">
        <v>340</v>
      </c>
      <c r="BM34" s="9" t="s">
        <v>1199</v>
      </c>
      <c r="BN34" s="9" t="s">
        <v>74</v>
      </c>
      <c r="BO34" s="9" t="s">
        <v>3068</v>
      </c>
      <c r="BP34" s="9" t="s">
        <v>12954</v>
      </c>
      <c r="BQ34" s="9" t="s">
        <v>12955</v>
      </c>
      <c r="BR34" s="9" t="s">
        <v>12946</v>
      </c>
      <c r="BS34" s="9" t="s">
        <v>1200</v>
      </c>
      <c r="BT34" s="9">
        <v>0</v>
      </c>
    </row>
    <row r="35" spans="1:72" x14ac:dyDescent="0.25">
      <c r="A35" s="9" t="s">
        <v>72</v>
      </c>
      <c r="B35" s="9" t="s">
        <v>5594</v>
      </c>
      <c r="C35" s="9" t="s">
        <v>74</v>
      </c>
      <c r="D35" s="9" t="s">
        <v>74</v>
      </c>
      <c r="E35" s="9" t="s">
        <v>74</v>
      </c>
      <c r="F35" s="9" t="s">
        <v>5595</v>
      </c>
      <c r="G35" s="9" t="s">
        <v>74</v>
      </c>
      <c r="H35" s="9" t="s">
        <v>74</v>
      </c>
      <c r="I35" s="9" t="s">
        <v>5596</v>
      </c>
      <c r="J35" s="9" t="s">
        <v>1628</v>
      </c>
      <c r="K35" s="9" t="s">
        <v>74</v>
      </c>
      <c r="L35" s="9" t="s">
        <v>74</v>
      </c>
      <c r="M35" s="9" t="s">
        <v>78</v>
      </c>
      <c r="N35" s="9" t="s">
        <v>79</v>
      </c>
      <c r="O35" s="9" t="s">
        <v>74</v>
      </c>
      <c r="P35" s="9" t="s">
        <v>74</v>
      </c>
      <c r="Q35" s="9" t="s">
        <v>74</v>
      </c>
      <c r="R35" s="9" t="s">
        <v>74</v>
      </c>
      <c r="S35" s="9" t="s">
        <v>74</v>
      </c>
      <c r="T35" s="9" t="s">
        <v>5597</v>
      </c>
      <c r="U35" s="9" t="s">
        <v>5598</v>
      </c>
      <c r="V35" s="9" t="s">
        <v>5599</v>
      </c>
      <c r="W35" s="9" t="s">
        <v>5600</v>
      </c>
      <c r="X35" s="9" t="s">
        <v>5601</v>
      </c>
      <c r="Y35" s="9" t="s">
        <v>5602</v>
      </c>
      <c r="Z35" s="9" t="s">
        <v>5603</v>
      </c>
      <c r="AA35" s="9" t="s">
        <v>74</v>
      </c>
      <c r="AB35" s="9" t="s">
        <v>74</v>
      </c>
      <c r="AC35" s="9" t="s">
        <v>74</v>
      </c>
      <c r="AD35" s="9" t="s">
        <v>74</v>
      </c>
      <c r="AE35" s="9" t="s">
        <v>74</v>
      </c>
      <c r="AF35" s="9" t="s">
        <v>74</v>
      </c>
      <c r="AG35" s="9">
        <v>93</v>
      </c>
      <c r="AH35" s="9">
        <v>39</v>
      </c>
      <c r="AI35" s="9">
        <v>42</v>
      </c>
      <c r="AJ35" s="9">
        <v>19</v>
      </c>
      <c r="AK35" s="9">
        <v>134</v>
      </c>
      <c r="AL35" s="9" t="s">
        <v>1636</v>
      </c>
      <c r="AM35" s="9" t="s">
        <v>93</v>
      </c>
      <c r="AN35" s="9" t="s">
        <v>1637</v>
      </c>
      <c r="AO35" s="9" t="s">
        <v>1638</v>
      </c>
      <c r="AP35" s="9" t="s">
        <v>1639</v>
      </c>
      <c r="AQ35" s="9" t="s">
        <v>74</v>
      </c>
      <c r="AR35" s="9" t="s">
        <v>1640</v>
      </c>
      <c r="AS35" s="9" t="s">
        <v>1641</v>
      </c>
      <c r="AT35" s="9" t="s">
        <v>208</v>
      </c>
      <c r="AU35" s="9">
        <v>2021</v>
      </c>
      <c r="AV35" s="9">
        <v>54</v>
      </c>
      <c r="AW35" s="9">
        <v>5</v>
      </c>
      <c r="AX35" s="9" t="s">
        <v>74</v>
      </c>
      <c r="AY35" s="9" t="s">
        <v>74</v>
      </c>
      <c r="AZ35" s="9" t="s">
        <v>1020</v>
      </c>
      <c r="BA35" s="9" t="s">
        <v>74</v>
      </c>
      <c r="BB35" s="9" t="s">
        <v>74</v>
      </c>
      <c r="BC35" s="9" t="s">
        <v>74</v>
      </c>
      <c r="BD35" s="9">
        <v>101987</v>
      </c>
      <c r="BE35" s="9" t="s">
        <v>5604</v>
      </c>
      <c r="BF35" s="9">
        <v>0</v>
      </c>
      <c r="BG35" s="9" t="s">
        <v>74</v>
      </c>
      <c r="BH35" s="9" t="s">
        <v>5559</v>
      </c>
      <c r="BI35" s="9">
        <v>12</v>
      </c>
      <c r="BJ35" s="9" t="s">
        <v>1643</v>
      </c>
      <c r="BK35" s="9" t="s">
        <v>156</v>
      </c>
      <c r="BL35" s="9" t="s">
        <v>1265</v>
      </c>
      <c r="BM35" s="9" t="s">
        <v>5605</v>
      </c>
      <c r="BN35" s="9" t="s">
        <v>74</v>
      </c>
      <c r="BO35" s="9" t="s">
        <v>74</v>
      </c>
      <c r="BP35" s="9" t="s">
        <v>74</v>
      </c>
      <c r="BQ35" s="9" t="s">
        <v>74</v>
      </c>
      <c r="BR35" s="9" t="s">
        <v>12946</v>
      </c>
      <c r="BS35" s="9" t="s">
        <v>5606</v>
      </c>
      <c r="BT35" s="9">
        <v>0</v>
      </c>
    </row>
    <row r="36" spans="1:72" x14ac:dyDescent="0.25">
      <c r="A36" s="9" t="s">
        <v>72</v>
      </c>
      <c r="B36" s="9" t="s">
        <v>7829</v>
      </c>
      <c r="C36" s="9" t="s">
        <v>74</v>
      </c>
      <c r="D36" s="9" t="s">
        <v>74</v>
      </c>
      <c r="E36" s="9" t="s">
        <v>74</v>
      </c>
      <c r="F36" s="9" t="s">
        <v>7830</v>
      </c>
      <c r="G36" s="9" t="s">
        <v>74</v>
      </c>
      <c r="H36" s="9" t="s">
        <v>74</v>
      </c>
      <c r="I36" s="9" t="s">
        <v>7831</v>
      </c>
      <c r="J36" s="9" t="s">
        <v>7832</v>
      </c>
      <c r="K36" s="9" t="s">
        <v>74</v>
      </c>
      <c r="L36" s="9" t="s">
        <v>74</v>
      </c>
      <c r="M36" s="9" t="s">
        <v>78</v>
      </c>
      <c r="N36" s="9" t="s">
        <v>79</v>
      </c>
      <c r="O36" s="9" t="s">
        <v>74</v>
      </c>
      <c r="P36" s="9" t="s">
        <v>74</v>
      </c>
      <c r="Q36" s="9" t="s">
        <v>74</v>
      </c>
      <c r="R36" s="9" t="s">
        <v>74</v>
      </c>
      <c r="S36" s="9" t="s">
        <v>74</v>
      </c>
      <c r="T36" s="9" t="s">
        <v>7833</v>
      </c>
      <c r="U36" s="9" t="s">
        <v>7834</v>
      </c>
      <c r="V36" s="9" t="s">
        <v>7835</v>
      </c>
      <c r="W36" s="9" t="s">
        <v>7836</v>
      </c>
      <c r="X36" s="9" t="s">
        <v>6209</v>
      </c>
      <c r="Y36" s="9" t="s">
        <v>7837</v>
      </c>
      <c r="Z36" s="9" t="s">
        <v>7838</v>
      </c>
      <c r="AA36" s="9" t="s">
        <v>12998</v>
      </c>
      <c r="AB36" s="9" t="s">
        <v>12999</v>
      </c>
      <c r="AC36" s="9" t="s">
        <v>7841</v>
      </c>
      <c r="AD36" s="9" t="s">
        <v>7842</v>
      </c>
      <c r="AE36" s="9" t="s">
        <v>7843</v>
      </c>
      <c r="AF36" s="9" t="s">
        <v>74</v>
      </c>
      <c r="AG36" s="9">
        <v>58</v>
      </c>
      <c r="AH36" s="9">
        <v>35</v>
      </c>
      <c r="AI36" s="9">
        <v>37</v>
      </c>
      <c r="AJ36" s="9">
        <v>16</v>
      </c>
      <c r="AK36" s="9">
        <v>193</v>
      </c>
      <c r="AL36" s="9" t="s">
        <v>715</v>
      </c>
      <c r="AM36" s="9" t="s">
        <v>716</v>
      </c>
      <c r="AN36" s="9" t="s">
        <v>717</v>
      </c>
      <c r="AO36" s="9" t="s">
        <v>7844</v>
      </c>
      <c r="AP36" s="9" t="s">
        <v>7845</v>
      </c>
      <c r="AQ36" s="9" t="s">
        <v>74</v>
      </c>
      <c r="AR36" s="9" t="s">
        <v>7846</v>
      </c>
      <c r="AS36" s="9" t="s">
        <v>7847</v>
      </c>
      <c r="AT36" s="9" t="s">
        <v>7848</v>
      </c>
      <c r="AU36" s="9">
        <v>2021</v>
      </c>
      <c r="AV36" s="9">
        <v>32</v>
      </c>
      <c r="AW36" s="9">
        <v>3</v>
      </c>
      <c r="AX36" s="9" t="s">
        <v>74</v>
      </c>
      <c r="AY36" s="9" t="s">
        <v>74</v>
      </c>
      <c r="AZ36" s="9" t="s">
        <v>1020</v>
      </c>
      <c r="BA36" s="9" t="s">
        <v>74</v>
      </c>
      <c r="BB36" s="9">
        <v>820</v>
      </c>
      <c r="BC36" s="9">
        <v>839</v>
      </c>
      <c r="BD36" s="9" t="s">
        <v>74</v>
      </c>
      <c r="BE36" s="9" t="s">
        <v>7849</v>
      </c>
      <c r="BF36" s="9">
        <v>0</v>
      </c>
      <c r="BG36" s="9" t="s">
        <v>74</v>
      </c>
      <c r="BH36" s="9" t="s">
        <v>7850</v>
      </c>
      <c r="BI36" s="9">
        <v>20</v>
      </c>
      <c r="BJ36" s="9" t="s">
        <v>7851</v>
      </c>
      <c r="BK36" s="9" t="s">
        <v>211</v>
      </c>
      <c r="BL36" s="9" t="s">
        <v>7852</v>
      </c>
      <c r="BM36" s="9" t="s">
        <v>7853</v>
      </c>
      <c r="BN36" s="9" t="s">
        <v>74</v>
      </c>
      <c r="BO36" s="9" t="s">
        <v>74</v>
      </c>
      <c r="BP36" s="9" t="s">
        <v>74</v>
      </c>
      <c r="BQ36" s="9" t="s">
        <v>74</v>
      </c>
      <c r="BR36" s="9" t="s">
        <v>12946</v>
      </c>
      <c r="BS36" s="9" t="s">
        <v>7854</v>
      </c>
      <c r="BT36" s="9">
        <v>0</v>
      </c>
    </row>
    <row r="37" spans="1:72" x14ac:dyDescent="0.25">
      <c r="A37" s="9" t="s">
        <v>72</v>
      </c>
      <c r="B37" s="9" t="s">
        <v>9916</v>
      </c>
      <c r="C37" s="9" t="s">
        <v>74</v>
      </c>
      <c r="D37" s="9" t="s">
        <v>74</v>
      </c>
      <c r="E37" s="9" t="s">
        <v>74</v>
      </c>
      <c r="F37" s="9" t="s">
        <v>9917</v>
      </c>
      <c r="G37" s="9" t="s">
        <v>74</v>
      </c>
      <c r="H37" s="9" t="s">
        <v>74</v>
      </c>
      <c r="I37" s="9" t="s">
        <v>9918</v>
      </c>
      <c r="J37" s="9" t="s">
        <v>9919</v>
      </c>
      <c r="K37" s="9" t="s">
        <v>74</v>
      </c>
      <c r="L37" s="9" t="s">
        <v>74</v>
      </c>
      <c r="M37" s="9" t="s">
        <v>78</v>
      </c>
      <c r="N37" s="9" t="s">
        <v>79</v>
      </c>
      <c r="O37" s="9" t="s">
        <v>74</v>
      </c>
      <c r="P37" s="9" t="s">
        <v>74</v>
      </c>
      <c r="Q37" s="9" t="s">
        <v>74</v>
      </c>
      <c r="R37" s="9" t="s">
        <v>74</v>
      </c>
      <c r="S37" s="9" t="s">
        <v>74</v>
      </c>
      <c r="T37" s="9" t="s">
        <v>9920</v>
      </c>
      <c r="U37" s="9" t="s">
        <v>9921</v>
      </c>
      <c r="V37" s="9" t="s">
        <v>9922</v>
      </c>
      <c r="W37" s="9" t="s">
        <v>9923</v>
      </c>
      <c r="X37" s="9" t="s">
        <v>9924</v>
      </c>
      <c r="Y37" s="9" t="s">
        <v>9925</v>
      </c>
      <c r="Z37" s="9" t="s">
        <v>9926</v>
      </c>
      <c r="AA37" s="9" t="s">
        <v>74</v>
      </c>
      <c r="AB37" s="9" t="s">
        <v>9927</v>
      </c>
      <c r="AC37" s="9" t="s">
        <v>9928</v>
      </c>
      <c r="AD37" s="9" t="s">
        <v>9929</v>
      </c>
      <c r="AE37" s="9" t="s">
        <v>9930</v>
      </c>
      <c r="AF37" s="9" t="s">
        <v>74</v>
      </c>
      <c r="AG37" s="9">
        <v>81</v>
      </c>
      <c r="AH37" s="9">
        <v>32</v>
      </c>
      <c r="AI37" s="9">
        <v>36</v>
      </c>
      <c r="AJ37" s="9">
        <v>5</v>
      </c>
      <c r="AK37" s="9">
        <v>158</v>
      </c>
      <c r="AL37" s="9" t="s">
        <v>9779</v>
      </c>
      <c r="AM37" s="9" t="s">
        <v>232</v>
      </c>
      <c r="AN37" s="9" t="s">
        <v>9780</v>
      </c>
      <c r="AO37" s="9" t="s">
        <v>9931</v>
      </c>
      <c r="AP37" s="9" t="s">
        <v>9932</v>
      </c>
      <c r="AQ37" s="9" t="s">
        <v>74</v>
      </c>
      <c r="AR37" s="9" t="s">
        <v>9933</v>
      </c>
      <c r="AS37" s="9" t="s">
        <v>9934</v>
      </c>
      <c r="AT37" s="9" t="s">
        <v>1448</v>
      </c>
      <c r="AU37" s="9">
        <v>2018</v>
      </c>
      <c r="AV37" s="9">
        <v>108</v>
      </c>
      <c r="AW37" s="9" t="s">
        <v>74</v>
      </c>
      <c r="AX37" s="9" t="s">
        <v>74</v>
      </c>
      <c r="AY37" s="9" t="s">
        <v>74</v>
      </c>
      <c r="AZ37" s="9" t="s">
        <v>74</v>
      </c>
      <c r="BA37" s="9" t="s">
        <v>74</v>
      </c>
      <c r="BB37" s="9">
        <v>34</v>
      </c>
      <c r="BC37" s="9">
        <v>44</v>
      </c>
      <c r="BD37" s="9" t="s">
        <v>74</v>
      </c>
      <c r="BE37" s="9" t="s">
        <v>9935</v>
      </c>
      <c r="BF37" s="9">
        <v>0</v>
      </c>
      <c r="BG37" s="9" t="s">
        <v>74</v>
      </c>
      <c r="BH37" s="9" t="s">
        <v>74</v>
      </c>
      <c r="BI37" s="9">
        <v>11</v>
      </c>
      <c r="BJ37" s="9" t="s">
        <v>9936</v>
      </c>
      <c r="BK37" s="9" t="s">
        <v>211</v>
      </c>
      <c r="BL37" s="9" t="s">
        <v>9937</v>
      </c>
      <c r="BM37" s="9" t="s">
        <v>9938</v>
      </c>
      <c r="BN37" s="9" t="s">
        <v>74</v>
      </c>
      <c r="BO37" s="9" t="s">
        <v>74</v>
      </c>
      <c r="BP37" s="9" t="s">
        <v>74</v>
      </c>
      <c r="BQ37" s="9" t="s">
        <v>74</v>
      </c>
      <c r="BR37" s="9" t="s">
        <v>12946</v>
      </c>
      <c r="BS37" s="9" t="s">
        <v>9939</v>
      </c>
      <c r="BT37" s="9">
        <v>0</v>
      </c>
    </row>
    <row r="38" spans="1:72" x14ac:dyDescent="0.25">
      <c r="A38" s="9" t="s">
        <v>72</v>
      </c>
      <c r="B38" s="9" t="s">
        <v>6201</v>
      </c>
      <c r="C38" s="9" t="s">
        <v>74</v>
      </c>
      <c r="D38" s="9" t="s">
        <v>74</v>
      </c>
      <c r="E38" s="9" t="s">
        <v>74</v>
      </c>
      <c r="F38" s="9" t="s">
        <v>6202</v>
      </c>
      <c r="G38" s="9" t="s">
        <v>74</v>
      </c>
      <c r="H38" s="9" t="s">
        <v>74</v>
      </c>
      <c r="I38" s="9" t="s">
        <v>6203</v>
      </c>
      <c r="J38" s="9" t="s">
        <v>6204</v>
      </c>
      <c r="K38" s="9" t="s">
        <v>74</v>
      </c>
      <c r="L38" s="9" t="s">
        <v>74</v>
      </c>
      <c r="M38" s="9" t="s">
        <v>78</v>
      </c>
      <c r="N38" s="9" t="s">
        <v>79</v>
      </c>
      <c r="O38" s="9" t="s">
        <v>74</v>
      </c>
      <c r="P38" s="9" t="s">
        <v>74</v>
      </c>
      <c r="Q38" s="9" t="s">
        <v>74</v>
      </c>
      <c r="R38" s="9" t="s">
        <v>74</v>
      </c>
      <c r="S38" s="9" t="s">
        <v>74</v>
      </c>
      <c r="T38" s="9" t="s">
        <v>6205</v>
      </c>
      <c r="U38" s="9" t="s">
        <v>6206</v>
      </c>
      <c r="V38" s="9" t="s">
        <v>6207</v>
      </c>
      <c r="W38" s="9" t="s">
        <v>6208</v>
      </c>
      <c r="X38" s="9" t="s">
        <v>6209</v>
      </c>
      <c r="Y38" s="9" t="s">
        <v>6210</v>
      </c>
      <c r="Z38" s="9" t="s">
        <v>6211</v>
      </c>
      <c r="AA38" s="9" t="s">
        <v>6212</v>
      </c>
      <c r="AB38" s="9" t="s">
        <v>13000</v>
      </c>
      <c r="AC38" s="9" t="s">
        <v>6214</v>
      </c>
      <c r="AD38" s="9" t="s">
        <v>605</v>
      </c>
      <c r="AE38" s="9" t="s">
        <v>6215</v>
      </c>
      <c r="AF38" s="9" t="s">
        <v>74</v>
      </c>
      <c r="AG38" s="9">
        <v>82</v>
      </c>
      <c r="AH38" s="9">
        <v>31</v>
      </c>
      <c r="AI38" s="9">
        <v>32</v>
      </c>
      <c r="AJ38" s="9">
        <v>9</v>
      </c>
      <c r="AK38" s="9">
        <v>147</v>
      </c>
      <c r="AL38" s="9" t="s">
        <v>715</v>
      </c>
      <c r="AM38" s="9" t="s">
        <v>716</v>
      </c>
      <c r="AN38" s="9" t="s">
        <v>717</v>
      </c>
      <c r="AO38" s="9" t="s">
        <v>6216</v>
      </c>
      <c r="AP38" s="9" t="s">
        <v>6217</v>
      </c>
      <c r="AQ38" s="9" t="s">
        <v>74</v>
      </c>
      <c r="AR38" s="9" t="s">
        <v>6218</v>
      </c>
      <c r="AS38" s="9" t="s">
        <v>6219</v>
      </c>
      <c r="AT38" s="9" t="s">
        <v>6220</v>
      </c>
      <c r="AU38" s="9">
        <v>2022</v>
      </c>
      <c r="AV38" s="9">
        <v>14</v>
      </c>
      <c r="AW38" s="9">
        <v>1</v>
      </c>
      <c r="AX38" s="9" t="s">
        <v>74</v>
      </c>
      <c r="AY38" s="9" t="s">
        <v>74</v>
      </c>
      <c r="AZ38" s="9" t="s">
        <v>74</v>
      </c>
      <c r="BA38" s="9" t="s">
        <v>74</v>
      </c>
      <c r="BB38" s="9">
        <v>1</v>
      </c>
      <c r="BC38" s="9">
        <v>20</v>
      </c>
      <c r="BD38" s="9" t="s">
        <v>74</v>
      </c>
      <c r="BE38" s="9" t="s">
        <v>6221</v>
      </c>
      <c r="BF38" s="9">
        <v>0</v>
      </c>
      <c r="BG38" s="9" t="s">
        <v>74</v>
      </c>
      <c r="BH38" s="9" t="s">
        <v>6177</v>
      </c>
      <c r="BI38" s="9">
        <v>20</v>
      </c>
      <c r="BJ38" s="9" t="s">
        <v>1023</v>
      </c>
      <c r="BK38" s="9" t="s">
        <v>183</v>
      </c>
      <c r="BL38" s="9" t="s">
        <v>265</v>
      </c>
      <c r="BM38" s="9" t="s">
        <v>6222</v>
      </c>
      <c r="BN38" s="9" t="s">
        <v>74</v>
      </c>
      <c r="BO38" s="9" t="s">
        <v>74</v>
      </c>
      <c r="BP38" s="9" t="s">
        <v>74</v>
      </c>
      <c r="BQ38" s="9" t="s">
        <v>74</v>
      </c>
      <c r="BR38" s="9" t="s">
        <v>12946</v>
      </c>
      <c r="BS38" s="9" t="s">
        <v>6223</v>
      </c>
      <c r="BT38" s="9">
        <v>0</v>
      </c>
    </row>
    <row r="39" spans="1:72" x14ac:dyDescent="0.25">
      <c r="A39" s="9" t="s">
        <v>72</v>
      </c>
      <c r="B39" s="9" t="s">
        <v>8898</v>
      </c>
      <c r="C39" s="9" t="s">
        <v>74</v>
      </c>
      <c r="D39" s="9" t="s">
        <v>74</v>
      </c>
      <c r="E39" s="9" t="s">
        <v>74</v>
      </c>
      <c r="F39" s="9" t="s">
        <v>8899</v>
      </c>
      <c r="G39" s="9" t="s">
        <v>74</v>
      </c>
      <c r="H39" s="9" t="s">
        <v>74</v>
      </c>
      <c r="I39" s="9" t="s">
        <v>8900</v>
      </c>
      <c r="J39" s="9" t="s">
        <v>7883</v>
      </c>
      <c r="K39" s="9" t="s">
        <v>74</v>
      </c>
      <c r="L39" s="9" t="s">
        <v>74</v>
      </c>
      <c r="M39" s="9" t="s">
        <v>78</v>
      </c>
      <c r="N39" s="9" t="s">
        <v>79</v>
      </c>
      <c r="O39" s="9" t="s">
        <v>74</v>
      </c>
      <c r="P39" s="9" t="s">
        <v>74</v>
      </c>
      <c r="Q39" s="9" t="s">
        <v>74</v>
      </c>
      <c r="R39" s="9" t="s">
        <v>74</v>
      </c>
      <c r="S39" s="9" t="s">
        <v>74</v>
      </c>
      <c r="T39" s="9" t="s">
        <v>8901</v>
      </c>
      <c r="U39" s="9" t="s">
        <v>8902</v>
      </c>
      <c r="V39" s="9" t="s">
        <v>8903</v>
      </c>
      <c r="W39" s="9" t="s">
        <v>8904</v>
      </c>
      <c r="X39" s="9" t="s">
        <v>74</v>
      </c>
      <c r="Y39" s="9" t="s">
        <v>8905</v>
      </c>
      <c r="Z39" s="9" t="s">
        <v>8906</v>
      </c>
      <c r="AA39" s="9" t="s">
        <v>13001</v>
      </c>
      <c r="AB39" s="9" t="s">
        <v>13002</v>
      </c>
      <c r="AC39" s="9" t="s">
        <v>74</v>
      </c>
      <c r="AD39" s="9" t="s">
        <v>74</v>
      </c>
      <c r="AE39" s="9" t="s">
        <v>74</v>
      </c>
      <c r="AF39" s="9" t="s">
        <v>74</v>
      </c>
      <c r="AG39" s="9">
        <v>116</v>
      </c>
      <c r="AH39" s="9">
        <v>31</v>
      </c>
      <c r="AI39" s="9">
        <v>35</v>
      </c>
      <c r="AJ39" s="9">
        <v>3</v>
      </c>
      <c r="AK39" s="9">
        <v>94</v>
      </c>
      <c r="AL39" s="9" t="s">
        <v>715</v>
      </c>
      <c r="AM39" s="9" t="s">
        <v>716</v>
      </c>
      <c r="AN39" s="9" t="s">
        <v>717</v>
      </c>
      <c r="AO39" s="9" t="s">
        <v>7895</v>
      </c>
      <c r="AP39" s="9" t="s">
        <v>7896</v>
      </c>
      <c r="AQ39" s="9" t="s">
        <v>74</v>
      </c>
      <c r="AR39" s="9" t="s">
        <v>7897</v>
      </c>
      <c r="AS39" s="9" t="s">
        <v>7898</v>
      </c>
      <c r="AT39" s="9" t="s">
        <v>3237</v>
      </c>
      <c r="AU39" s="9">
        <v>2019</v>
      </c>
      <c r="AV39" s="9">
        <v>26</v>
      </c>
      <c r="AW39" s="9">
        <v>1</v>
      </c>
      <c r="AX39" s="9" t="s">
        <v>74</v>
      </c>
      <c r="AY39" s="9" t="s">
        <v>74</v>
      </c>
      <c r="AZ39" s="9" t="s">
        <v>74</v>
      </c>
      <c r="BA39" s="9" t="s">
        <v>74</v>
      </c>
      <c r="BB39" s="9">
        <v>257</v>
      </c>
      <c r="BC39" s="9">
        <v>286</v>
      </c>
      <c r="BD39" s="9" t="s">
        <v>74</v>
      </c>
      <c r="BE39" s="9" t="s">
        <v>8909</v>
      </c>
      <c r="BF39" s="9">
        <v>0</v>
      </c>
      <c r="BG39" s="9" t="s">
        <v>74</v>
      </c>
      <c r="BH39" s="9" t="s">
        <v>74</v>
      </c>
      <c r="BI39" s="9">
        <v>30</v>
      </c>
      <c r="BJ39" s="9" t="s">
        <v>264</v>
      </c>
      <c r="BK39" s="9" t="s">
        <v>156</v>
      </c>
      <c r="BL39" s="9" t="s">
        <v>265</v>
      </c>
      <c r="BM39" s="9" t="s">
        <v>8910</v>
      </c>
      <c r="BN39" s="9" t="s">
        <v>74</v>
      </c>
      <c r="BO39" s="9" t="s">
        <v>74</v>
      </c>
      <c r="BP39" s="9" t="s">
        <v>74</v>
      </c>
      <c r="BQ39" s="9" t="s">
        <v>74</v>
      </c>
      <c r="BR39" s="9" t="s">
        <v>12946</v>
      </c>
      <c r="BS39" s="9" t="s">
        <v>8911</v>
      </c>
      <c r="BT39" s="9">
        <v>0</v>
      </c>
    </row>
    <row r="40" spans="1:72" x14ac:dyDescent="0.25">
      <c r="A40" s="9" t="s">
        <v>72</v>
      </c>
      <c r="B40" s="9" t="s">
        <v>2429</v>
      </c>
      <c r="C40" s="9" t="s">
        <v>74</v>
      </c>
      <c r="D40" s="9" t="s">
        <v>74</v>
      </c>
      <c r="E40" s="9" t="s">
        <v>74</v>
      </c>
      <c r="F40" s="9" t="s">
        <v>2430</v>
      </c>
      <c r="G40" s="9" t="s">
        <v>74</v>
      </c>
      <c r="H40" s="9" t="s">
        <v>74</v>
      </c>
      <c r="I40" s="9" t="s">
        <v>2431</v>
      </c>
      <c r="J40" s="9" t="s">
        <v>2432</v>
      </c>
      <c r="K40" s="9" t="s">
        <v>74</v>
      </c>
      <c r="L40" s="9" t="s">
        <v>74</v>
      </c>
      <c r="M40" s="9" t="s">
        <v>78</v>
      </c>
      <c r="N40" s="9" t="s">
        <v>79</v>
      </c>
      <c r="O40" s="9" t="s">
        <v>74</v>
      </c>
      <c r="P40" s="9" t="s">
        <v>74</v>
      </c>
      <c r="Q40" s="9" t="s">
        <v>74</v>
      </c>
      <c r="R40" s="9" t="s">
        <v>74</v>
      </c>
      <c r="S40" s="9" t="s">
        <v>74</v>
      </c>
      <c r="T40" s="9" t="s">
        <v>2433</v>
      </c>
      <c r="U40" s="9" t="s">
        <v>2434</v>
      </c>
      <c r="V40" s="9" t="s">
        <v>2435</v>
      </c>
      <c r="W40" s="9" t="s">
        <v>2436</v>
      </c>
      <c r="X40" s="9" t="s">
        <v>2437</v>
      </c>
      <c r="Y40" s="9" t="s">
        <v>2438</v>
      </c>
      <c r="Z40" s="9" t="s">
        <v>2439</v>
      </c>
      <c r="AA40" s="9" t="s">
        <v>74</v>
      </c>
      <c r="AB40" s="9" t="s">
        <v>2440</v>
      </c>
      <c r="AC40" s="9" t="s">
        <v>2441</v>
      </c>
      <c r="AD40" s="9" t="s">
        <v>2442</v>
      </c>
      <c r="AE40" s="9" t="s">
        <v>2443</v>
      </c>
      <c r="AF40" s="9" t="s">
        <v>74</v>
      </c>
      <c r="AG40" s="9">
        <v>80</v>
      </c>
      <c r="AH40" s="9">
        <v>30</v>
      </c>
      <c r="AI40" s="9">
        <v>30</v>
      </c>
      <c r="AJ40" s="9">
        <v>19</v>
      </c>
      <c r="AK40" s="9">
        <v>81</v>
      </c>
      <c r="AL40" s="9" t="s">
        <v>1701</v>
      </c>
      <c r="AM40" s="9" t="s">
        <v>1702</v>
      </c>
      <c r="AN40" s="9" t="s">
        <v>1703</v>
      </c>
      <c r="AO40" s="9" t="s">
        <v>2444</v>
      </c>
      <c r="AP40" s="9" t="s">
        <v>2445</v>
      </c>
      <c r="AQ40" s="9" t="s">
        <v>74</v>
      </c>
      <c r="AR40" s="9" t="s">
        <v>2446</v>
      </c>
      <c r="AS40" s="9" t="s">
        <v>2447</v>
      </c>
      <c r="AT40" s="9" t="s">
        <v>1683</v>
      </c>
      <c r="AU40" s="9">
        <v>2023</v>
      </c>
      <c r="AV40" s="9">
        <v>10</v>
      </c>
      <c r="AW40" s="9">
        <v>1</v>
      </c>
      <c r="AX40" s="9" t="s">
        <v>74</v>
      </c>
      <c r="AY40" s="9" t="s">
        <v>74</v>
      </c>
      <c r="AZ40" s="9" t="s">
        <v>74</v>
      </c>
      <c r="BA40" s="9" t="s">
        <v>74</v>
      </c>
      <c r="BB40" s="9">
        <v>39</v>
      </c>
      <c r="BC40" s="9">
        <v>50</v>
      </c>
      <c r="BD40" s="9" t="s">
        <v>74</v>
      </c>
      <c r="BE40" s="9" t="s">
        <v>2448</v>
      </c>
      <c r="BF40" s="9">
        <v>0</v>
      </c>
      <c r="BG40" s="9" t="s">
        <v>74</v>
      </c>
      <c r="BH40" s="9" t="s">
        <v>2368</v>
      </c>
      <c r="BI40" s="9">
        <v>12</v>
      </c>
      <c r="BJ40" s="9" t="s">
        <v>2449</v>
      </c>
      <c r="BK40" s="9" t="s">
        <v>183</v>
      </c>
      <c r="BL40" s="9" t="s">
        <v>1685</v>
      </c>
      <c r="BM40" s="9" t="s">
        <v>2450</v>
      </c>
      <c r="BN40" s="9" t="s">
        <v>74</v>
      </c>
      <c r="BO40" s="9" t="s">
        <v>791</v>
      </c>
      <c r="BP40" s="9" t="s">
        <v>74</v>
      </c>
      <c r="BQ40" s="9" t="s">
        <v>74</v>
      </c>
      <c r="BR40" s="9" t="s">
        <v>12946</v>
      </c>
      <c r="BS40" s="9" t="s">
        <v>2451</v>
      </c>
      <c r="BT40" s="9">
        <v>0</v>
      </c>
    </row>
    <row r="41" spans="1:72" x14ac:dyDescent="0.25">
      <c r="A41" s="9" t="s">
        <v>72</v>
      </c>
      <c r="B41" s="9" t="s">
        <v>8728</v>
      </c>
      <c r="C41" s="9" t="s">
        <v>74</v>
      </c>
      <c r="D41" s="9" t="s">
        <v>74</v>
      </c>
      <c r="E41" s="9" t="s">
        <v>74</v>
      </c>
      <c r="F41" s="9" t="s">
        <v>8729</v>
      </c>
      <c r="G41" s="9" t="s">
        <v>74</v>
      </c>
      <c r="H41" s="9" t="s">
        <v>74</v>
      </c>
      <c r="I41" s="9" t="s">
        <v>8730</v>
      </c>
      <c r="J41" s="9" t="s">
        <v>8731</v>
      </c>
      <c r="K41" s="9" t="s">
        <v>74</v>
      </c>
      <c r="L41" s="9" t="s">
        <v>74</v>
      </c>
      <c r="M41" s="9" t="s">
        <v>78</v>
      </c>
      <c r="N41" s="9" t="s">
        <v>112</v>
      </c>
      <c r="O41" s="9" t="s">
        <v>74</v>
      </c>
      <c r="P41" s="9" t="s">
        <v>74</v>
      </c>
      <c r="Q41" s="9" t="s">
        <v>74</v>
      </c>
      <c r="R41" s="9" t="s">
        <v>74</v>
      </c>
      <c r="S41" s="9" t="s">
        <v>74</v>
      </c>
      <c r="T41" s="9" t="s">
        <v>74</v>
      </c>
      <c r="U41" s="9" t="s">
        <v>8732</v>
      </c>
      <c r="V41" s="9" t="s">
        <v>8733</v>
      </c>
      <c r="W41" s="9" t="s">
        <v>8734</v>
      </c>
      <c r="X41" s="9" t="s">
        <v>5582</v>
      </c>
      <c r="Y41" s="9" t="s">
        <v>8735</v>
      </c>
      <c r="Z41" s="9" t="s">
        <v>8736</v>
      </c>
      <c r="AA41" s="9" t="s">
        <v>74</v>
      </c>
      <c r="AB41" s="9" t="s">
        <v>8737</v>
      </c>
      <c r="AC41" s="9" t="s">
        <v>8738</v>
      </c>
      <c r="AD41" s="9" t="s">
        <v>8738</v>
      </c>
      <c r="AE41" s="9" t="s">
        <v>8739</v>
      </c>
      <c r="AF41" s="9" t="s">
        <v>74</v>
      </c>
      <c r="AG41" s="9">
        <v>90</v>
      </c>
      <c r="AH41" s="9">
        <v>30</v>
      </c>
      <c r="AI41" s="9">
        <v>31</v>
      </c>
      <c r="AJ41" s="9">
        <v>20</v>
      </c>
      <c r="AK41" s="9">
        <v>168</v>
      </c>
      <c r="AL41" s="9" t="s">
        <v>492</v>
      </c>
      <c r="AM41" s="9" t="s">
        <v>493</v>
      </c>
      <c r="AN41" s="9" t="s">
        <v>494</v>
      </c>
      <c r="AO41" s="9" t="s">
        <v>8740</v>
      </c>
      <c r="AP41" s="9" t="s">
        <v>8741</v>
      </c>
      <c r="AQ41" s="9" t="s">
        <v>74</v>
      </c>
      <c r="AR41" s="9" t="s">
        <v>8742</v>
      </c>
      <c r="AS41" s="9" t="s">
        <v>8743</v>
      </c>
      <c r="AT41" s="9" t="s">
        <v>8744</v>
      </c>
      <c r="AU41" s="9">
        <v>2019</v>
      </c>
      <c r="AV41" s="9" t="s">
        <v>74</v>
      </c>
      <c r="AW41" s="9" t="s">
        <v>74</v>
      </c>
      <c r="AX41" s="9" t="s">
        <v>74</v>
      </c>
      <c r="AY41" s="9" t="s">
        <v>74</v>
      </c>
      <c r="AZ41" s="9" t="s">
        <v>74</v>
      </c>
      <c r="BA41" s="9" t="s">
        <v>74</v>
      </c>
      <c r="BB41" s="9" t="s">
        <v>74</v>
      </c>
      <c r="BC41" s="9" t="s">
        <v>74</v>
      </c>
      <c r="BD41" s="9" t="s">
        <v>74</v>
      </c>
      <c r="BE41" s="9" t="s">
        <v>8745</v>
      </c>
      <c r="BF41" s="9">
        <v>0</v>
      </c>
      <c r="BG41" s="9" t="s">
        <v>74</v>
      </c>
      <c r="BH41" s="9" t="s">
        <v>8702</v>
      </c>
      <c r="BI41" s="9">
        <v>16</v>
      </c>
      <c r="BJ41" s="9" t="s">
        <v>8746</v>
      </c>
      <c r="BK41" s="9" t="s">
        <v>156</v>
      </c>
      <c r="BL41" s="9" t="s">
        <v>8747</v>
      </c>
      <c r="BM41" s="9" t="s">
        <v>8748</v>
      </c>
      <c r="BN41" s="9" t="s">
        <v>74</v>
      </c>
      <c r="BO41" s="9" t="s">
        <v>105</v>
      </c>
      <c r="BP41" s="9" t="s">
        <v>74</v>
      </c>
      <c r="BQ41" s="9" t="s">
        <v>74</v>
      </c>
      <c r="BR41" s="9" t="s">
        <v>12946</v>
      </c>
      <c r="BS41" s="9" t="s">
        <v>8749</v>
      </c>
      <c r="BT41" s="9">
        <v>0</v>
      </c>
    </row>
    <row r="42" spans="1:72" x14ac:dyDescent="0.25">
      <c r="A42" s="9" t="s">
        <v>72</v>
      </c>
      <c r="B42" s="9" t="s">
        <v>4562</v>
      </c>
      <c r="C42" s="9" t="s">
        <v>74</v>
      </c>
      <c r="D42" s="9" t="s">
        <v>74</v>
      </c>
      <c r="E42" s="9" t="s">
        <v>74</v>
      </c>
      <c r="F42" s="9" t="s">
        <v>4563</v>
      </c>
      <c r="G42" s="9" t="s">
        <v>74</v>
      </c>
      <c r="H42" s="9" t="s">
        <v>74</v>
      </c>
      <c r="I42" s="9" t="s">
        <v>4564</v>
      </c>
      <c r="J42" s="9" t="s">
        <v>4565</v>
      </c>
      <c r="K42" s="9" t="s">
        <v>74</v>
      </c>
      <c r="L42" s="9" t="s">
        <v>74</v>
      </c>
      <c r="M42" s="9" t="s">
        <v>78</v>
      </c>
      <c r="N42" s="9" t="s">
        <v>79</v>
      </c>
      <c r="O42" s="9" t="s">
        <v>74</v>
      </c>
      <c r="P42" s="9" t="s">
        <v>74</v>
      </c>
      <c r="Q42" s="9" t="s">
        <v>74</v>
      </c>
      <c r="R42" s="9" t="s">
        <v>74</v>
      </c>
      <c r="S42" s="9" t="s">
        <v>74</v>
      </c>
      <c r="T42" s="9" t="s">
        <v>4566</v>
      </c>
      <c r="U42" s="9" t="s">
        <v>4567</v>
      </c>
      <c r="V42" s="9" t="s">
        <v>4568</v>
      </c>
      <c r="W42" s="9" t="s">
        <v>4569</v>
      </c>
      <c r="X42" s="9" t="s">
        <v>4570</v>
      </c>
      <c r="Y42" s="9" t="s">
        <v>4571</v>
      </c>
      <c r="Z42" s="9" t="s">
        <v>4572</v>
      </c>
      <c r="AA42" s="9" t="s">
        <v>13003</v>
      </c>
      <c r="AB42" s="9" t="s">
        <v>4574</v>
      </c>
      <c r="AC42" s="9" t="s">
        <v>74</v>
      </c>
      <c r="AD42" s="9" t="s">
        <v>74</v>
      </c>
      <c r="AE42" s="9" t="s">
        <v>74</v>
      </c>
      <c r="AF42" s="9" t="s">
        <v>74</v>
      </c>
      <c r="AG42" s="9">
        <v>132</v>
      </c>
      <c r="AH42" s="9">
        <v>29</v>
      </c>
      <c r="AI42" s="9">
        <v>29</v>
      </c>
      <c r="AJ42" s="9">
        <v>21</v>
      </c>
      <c r="AK42" s="9">
        <v>191</v>
      </c>
      <c r="AL42" s="9" t="s">
        <v>231</v>
      </c>
      <c r="AM42" s="9" t="s">
        <v>232</v>
      </c>
      <c r="AN42" s="9" t="s">
        <v>233</v>
      </c>
      <c r="AO42" s="9" t="s">
        <v>4575</v>
      </c>
      <c r="AP42" s="9" t="s">
        <v>4576</v>
      </c>
      <c r="AQ42" s="9" t="s">
        <v>74</v>
      </c>
      <c r="AR42" s="9" t="s">
        <v>4577</v>
      </c>
      <c r="AS42" s="9" t="s">
        <v>4578</v>
      </c>
      <c r="AT42" s="9" t="s">
        <v>476</v>
      </c>
      <c r="AU42" s="9">
        <v>2022</v>
      </c>
      <c r="AV42" s="9">
        <v>28</v>
      </c>
      <c r="AW42" s="9">
        <v>4</v>
      </c>
      <c r="AX42" s="9" t="s">
        <v>74</v>
      </c>
      <c r="AY42" s="9" t="s">
        <v>74</v>
      </c>
      <c r="AZ42" s="9" t="s">
        <v>74</v>
      </c>
      <c r="BA42" s="9" t="s">
        <v>74</v>
      </c>
      <c r="BB42" s="9" t="s">
        <v>74</v>
      </c>
      <c r="BC42" s="9" t="s">
        <v>74</v>
      </c>
      <c r="BD42" s="9">
        <v>100947</v>
      </c>
      <c r="BE42" s="9" t="s">
        <v>4579</v>
      </c>
      <c r="BF42" s="9">
        <v>0</v>
      </c>
      <c r="BG42" s="9" t="s">
        <v>74</v>
      </c>
      <c r="BH42" s="9" t="s">
        <v>4559</v>
      </c>
      <c r="BI42" s="9">
        <v>22</v>
      </c>
      <c r="BJ42" s="9" t="s">
        <v>315</v>
      </c>
      <c r="BK42" s="9" t="s">
        <v>156</v>
      </c>
      <c r="BL42" s="9" t="s">
        <v>265</v>
      </c>
      <c r="BM42" s="9" t="s">
        <v>4580</v>
      </c>
      <c r="BN42" s="9" t="s">
        <v>74</v>
      </c>
      <c r="BO42" s="9" t="s">
        <v>8942</v>
      </c>
      <c r="BP42" s="9" t="s">
        <v>74</v>
      </c>
      <c r="BQ42" s="9" t="s">
        <v>74</v>
      </c>
      <c r="BR42" s="9" t="s">
        <v>12946</v>
      </c>
      <c r="BS42" s="9" t="s">
        <v>4581</v>
      </c>
      <c r="BT42" s="9">
        <v>0</v>
      </c>
    </row>
    <row r="43" spans="1:72" x14ac:dyDescent="0.25">
      <c r="A43" s="9" t="s">
        <v>72</v>
      </c>
      <c r="B43" s="9" t="s">
        <v>8653</v>
      </c>
      <c r="C43" s="9" t="s">
        <v>74</v>
      </c>
      <c r="D43" s="9" t="s">
        <v>74</v>
      </c>
      <c r="E43" s="9" t="s">
        <v>74</v>
      </c>
      <c r="F43" s="9" t="s">
        <v>8654</v>
      </c>
      <c r="G43" s="9" t="s">
        <v>74</v>
      </c>
      <c r="H43" s="9" t="s">
        <v>74</v>
      </c>
      <c r="I43" s="9" t="s">
        <v>8655</v>
      </c>
      <c r="J43" s="9" t="s">
        <v>1911</v>
      </c>
      <c r="K43" s="9" t="s">
        <v>74</v>
      </c>
      <c r="L43" s="9" t="s">
        <v>74</v>
      </c>
      <c r="M43" s="9" t="s">
        <v>78</v>
      </c>
      <c r="N43" s="9" t="s">
        <v>79</v>
      </c>
      <c r="O43" s="9" t="s">
        <v>74</v>
      </c>
      <c r="P43" s="9" t="s">
        <v>74</v>
      </c>
      <c r="Q43" s="9" t="s">
        <v>74</v>
      </c>
      <c r="R43" s="9" t="s">
        <v>74</v>
      </c>
      <c r="S43" s="9" t="s">
        <v>74</v>
      </c>
      <c r="T43" s="9" t="s">
        <v>8656</v>
      </c>
      <c r="U43" s="9" t="s">
        <v>8657</v>
      </c>
      <c r="V43" s="9" t="s">
        <v>8658</v>
      </c>
      <c r="W43" s="9" t="s">
        <v>8659</v>
      </c>
      <c r="X43" s="9" t="s">
        <v>8660</v>
      </c>
      <c r="Y43" s="9" t="s">
        <v>3741</v>
      </c>
      <c r="Z43" s="9" t="s">
        <v>8661</v>
      </c>
      <c r="AA43" s="9" t="s">
        <v>3743</v>
      </c>
      <c r="AB43" s="9" t="s">
        <v>3744</v>
      </c>
      <c r="AC43" s="9" t="s">
        <v>74</v>
      </c>
      <c r="AD43" s="9" t="s">
        <v>74</v>
      </c>
      <c r="AE43" s="9" t="s">
        <v>74</v>
      </c>
      <c r="AF43" s="9" t="s">
        <v>74</v>
      </c>
      <c r="AG43" s="9">
        <v>71</v>
      </c>
      <c r="AH43" s="9">
        <v>29</v>
      </c>
      <c r="AI43" s="9">
        <v>31</v>
      </c>
      <c r="AJ43" s="9">
        <v>9</v>
      </c>
      <c r="AK43" s="9">
        <v>117</v>
      </c>
      <c r="AL43" s="9" t="s">
        <v>1919</v>
      </c>
      <c r="AM43" s="9" t="s">
        <v>1920</v>
      </c>
      <c r="AN43" s="9" t="s">
        <v>1921</v>
      </c>
      <c r="AO43" s="9" t="s">
        <v>1922</v>
      </c>
      <c r="AP43" s="9" t="s">
        <v>1923</v>
      </c>
      <c r="AQ43" s="9" t="s">
        <v>74</v>
      </c>
      <c r="AR43" s="9" t="s">
        <v>1924</v>
      </c>
      <c r="AS43" s="9" t="s">
        <v>1925</v>
      </c>
      <c r="AT43" s="9" t="s">
        <v>476</v>
      </c>
      <c r="AU43" s="9">
        <v>2019</v>
      </c>
      <c r="AV43" s="9">
        <v>23</v>
      </c>
      <c r="AW43" s="9">
        <v>8</v>
      </c>
      <c r="AX43" s="9" t="s">
        <v>74</v>
      </c>
      <c r="AY43" s="9" t="s">
        <v>74</v>
      </c>
      <c r="AZ43" s="9" t="s">
        <v>1020</v>
      </c>
      <c r="BA43" s="9" t="s">
        <v>74</v>
      </c>
      <c r="BB43" s="9" t="s">
        <v>74</v>
      </c>
      <c r="BC43" s="9" t="s">
        <v>74</v>
      </c>
      <c r="BD43" s="9">
        <v>1940005</v>
      </c>
      <c r="BE43" s="9" t="s">
        <v>8662</v>
      </c>
      <c r="BF43" s="9">
        <v>0</v>
      </c>
      <c r="BG43" s="9" t="s">
        <v>74</v>
      </c>
      <c r="BH43" s="9" t="s">
        <v>74</v>
      </c>
      <c r="BI43" s="9">
        <v>24</v>
      </c>
      <c r="BJ43" s="9" t="s">
        <v>315</v>
      </c>
      <c r="BK43" s="9" t="s">
        <v>183</v>
      </c>
      <c r="BL43" s="9" t="s">
        <v>265</v>
      </c>
      <c r="BM43" s="9" t="s">
        <v>8663</v>
      </c>
      <c r="BN43" s="9" t="s">
        <v>74</v>
      </c>
      <c r="BO43" s="9" t="s">
        <v>74</v>
      </c>
      <c r="BP43" s="9" t="s">
        <v>74</v>
      </c>
      <c r="BQ43" s="9" t="s">
        <v>74</v>
      </c>
      <c r="BR43" s="9" t="s">
        <v>12946</v>
      </c>
      <c r="BS43" s="9" t="s">
        <v>8664</v>
      </c>
      <c r="BT43" s="9">
        <v>0</v>
      </c>
    </row>
    <row r="44" spans="1:72" x14ac:dyDescent="0.25">
      <c r="A44" s="9" t="s">
        <v>72</v>
      </c>
      <c r="B44" s="9" t="s">
        <v>9054</v>
      </c>
      <c r="C44" s="9" t="s">
        <v>74</v>
      </c>
      <c r="D44" s="9" t="s">
        <v>74</v>
      </c>
      <c r="E44" s="9" t="s">
        <v>74</v>
      </c>
      <c r="F44" s="9" t="s">
        <v>9055</v>
      </c>
      <c r="G44" s="9" t="s">
        <v>74</v>
      </c>
      <c r="H44" s="9" t="s">
        <v>74</v>
      </c>
      <c r="I44" s="9" t="s">
        <v>9056</v>
      </c>
      <c r="J44" s="9" t="s">
        <v>9057</v>
      </c>
      <c r="K44" s="9" t="s">
        <v>74</v>
      </c>
      <c r="L44" s="9" t="s">
        <v>74</v>
      </c>
      <c r="M44" s="9" t="s">
        <v>78</v>
      </c>
      <c r="N44" s="9" t="s">
        <v>79</v>
      </c>
      <c r="O44" s="9" t="s">
        <v>74</v>
      </c>
      <c r="P44" s="9" t="s">
        <v>74</v>
      </c>
      <c r="Q44" s="9" t="s">
        <v>74</v>
      </c>
      <c r="R44" s="9" t="s">
        <v>74</v>
      </c>
      <c r="S44" s="9" t="s">
        <v>74</v>
      </c>
      <c r="T44" s="9" t="s">
        <v>9058</v>
      </c>
      <c r="U44" s="9" t="s">
        <v>9059</v>
      </c>
      <c r="V44" s="9" t="s">
        <v>9060</v>
      </c>
      <c r="W44" s="9" t="s">
        <v>9061</v>
      </c>
      <c r="X44" s="9" t="s">
        <v>9062</v>
      </c>
      <c r="Y44" s="9" t="s">
        <v>9063</v>
      </c>
      <c r="Z44" s="9" t="s">
        <v>9064</v>
      </c>
      <c r="AA44" s="9" t="s">
        <v>74</v>
      </c>
      <c r="AB44" s="9" t="s">
        <v>9065</v>
      </c>
      <c r="AC44" s="9" t="s">
        <v>74</v>
      </c>
      <c r="AD44" s="9" t="s">
        <v>74</v>
      </c>
      <c r="AE44" s="9" t="s">
        <v>74</v>
      </c>
      <c r="AF44" s="9" t="s">
        <v>74</v>
      </c>
      <c r="AG44" s="9">
        <v>44</v>
      </c>
      <c r="AH44" s="9">
        <v>29</v>
      </c>
      <c r="AI44" s="9">
        <v>38</v>
      </c>
      <c r="AJ44" s="9">
        <v>4</v>
      </c>
      <c r="AK44" s="9">
        <v>81</v>
      </c>
      <c r="AL44" s="9" t="s">
        <v>3083</v>
      </c>
      <c r="AM44" s="9" t="s">
        <v>3084</v>
      </c>
      <c r="AN44" s="9" t="s">
        <v>3085</v>
      </c>
      <c r="AO44" s="9" t="s">
        <v>9066</v>
      </c>
      <c r="AP44" s="9" t="s">
        <v>9067</v>
      </c>
      <c r="AQ44" s="9" t="s">
        <v>74</v>
      </c>
      <c r="AR44" s="9" t="s">
        <v>9068</v>
      </c>
      <c r="AS44" s="9" t="s">
        <v>9069</v>
      </c>
      <c r="AT44" s="9" t="s">
        <v>9070</v>
      </c>
      <c r="AU44" s="9">
        <v>2019</v>
      </c>
      <c r="AV44" s="9">
        <v>21</v>
      </c>
      <c r="AW44" s="9">
        <v>1</v>
      </c>
      <c r="AX44" s="9" t="s">
        <v>74</v>
      </c>
      <c r="AY44" s="9" t="s">
        <v>74</v>
      </c>
      <c r="AZ44" s="9" t="s">
        <v>74</v>
      </c>
      <c r="BA44" s="9" t="s">
        <v>74</v>
      </c>
      <c r="BB44" s="9" t="s">
        <v>74</v>
      </c>
      <c r="BC44" s="9" t="s">
        <v>74</v>
      </c>
      <c r="BD44" s="9" t="s">
        <v>9071</v>
      </c>
      <c r="BE44" s="9" t="s">
        <v>9072</v>
      </c>
      <c r="BF44" s="9">
        <v>0</v>
      </c>
      <c r="BG44" s="9" t="s">
        <v>74</v>
      </c>
      <c r="BH44" s="9" t="s">
        <v>74</v>
      </c>
      <c r="BI44" s="9">
        <v>10</v>
      </c>
      <c r="BJ44" s="9" t="s">
        <v>3050</v>
      </c>
      <c r="BK44" s="9" t="s">
        <v>183</v>
      </c>
      <c r="BL44" s="9" t="s">
        <v>3050</v>
      </c>
      <c r="BM44" s="9" t="s">
        <v>9073</v>
      </c>
      <c r="BN44" s="9" t="s">
        <v>74</v>
      </c>
      <c r="BO44" s="9" t="s">
        <v>10222</v>
      </c>
      <c r="BP44" s="9" t="s">
        <v>74</v>
      </c>
      <c r="BQ44" s="9" t="s">
        <v>74</v>
      </c>
      <c r="BR44" s="9" t="s">
        <v>12946</v>
      </c>
      <c r="BS44" s="9" t="s">
        <v>9074</v>
      </c>
      <c r="BT44" s="9">
        <v>0</v>
      </c>
    </row>
    <row r="45" spans="1:72" x14ac:dyDescent="0.25">
      <c r="A45" s="9" t="s">
        <v>72</v>
      </c>
      <c r="B45" s="9" t="s">
        <v>11350</v>
      </c>
      <c r="C45" s="9" t="s">
        <v>74</v>
      </c>
      <c r="D45" s="9" t="s">
        <v>74</v>
      </c>
      <c r="E45" s="9" t="s">
        <v>74</v>
      </c>
      <c r="F45" s="9" t="s">
        <v>11351</v>
      </c>
      <c r="G45" s="9" t="s">
        <v>74</v>
      </c>
      <c r="H45" s="9" t="s">
        <v>74</v>
      </c>
      <c r="I45" s="9" t="s">
        <v>11352</v>
      </c>
      <c r="J45" s="9" t="s">
        <v>11353</v>
      </c>
      <c r="K45" s="9" t="s">
        <v>74</v>
      </c>
      <c r="L45" s="9" t="s">
        <v>74</v>
      </c>
      <c r="M45" s="9" t="s">
        <v>78</v>
      </c>
      <c r="N45" s="9" t="s">
        <v>79</v>
      </c>
      <c r="O45" s="9" t="s">
        <v>74</v>
      </c>
      <c r="P45" s="9" t="s">
        <v>74</v>
      </c>
      <c r="Q45" s="9" t="s">
        <v>74</v>
      </c>
      <c r="R45" s="9" t="s">
        <v>74</v>
      </c>
      <c r="S45" s="9" t="s">
        <v>74</v>
      </c>
      <c r="T45" s="9" t="s">
        <v>11354</v>
      </c>
      <c r="U45" s="9" t="s">
        <v>11355</v>
      </c>
      <c r="V45" s="9" t="s">
        <v>11356</v>
      </c>
      <c r="W45" s="9" t="s">
        <v>11357</v>
      </c>
      <c r="X45" s="9" t="s">
        <v>11358</v>
      </c>
      <c r="Y45" s="9" t="s">
        <v>11359</v>
      </c>
      <c r="Z45" s="9" t="s">
        <v>11360</v>
      </c>
      <c r="AA45" s="9" t="s">
        <v>11361</v>
      </c>
      <c r="AB45" s="9" t="s">
        <v>11362</v>
      </c>
      <c r="AC45" s="9" t="s">
        <v>74</v>
      </c>
      <c r="AD45" s="9" t="s">
        <v>74</v>
      </c>
      <c r="AE45" s="9" t="s">
        <v>74</v>
      </c>
      <c r="AF45" s="9" t="s">
        <v>74</v>
      </c>
      <c r="AG45" s="9">
        <v>93</v>
      </c>
      <c r="AH45" s="9">
        <v>28</v>
      </c>
      <c r="AI45" s="9">
        <v>29</v>
      </c>
      <c r="AJ45" s="9">
        <v>0</v>
      </c>
      <c r="AK45" s="9">
        <v>29</v>
      </c>
      <c r="AL45" s="9" t="s">
        <v>11363</v>
      </c>
      <c r="AM45" s="9" t="s">
        <v>11364</v>
      </c>
      <c r="AN45" s="9" t="s">
        <v>11365</v>
      </c>
      <c r="AO45" s="9" t="s">
        <v>11366</v>
      </c>
      <c r="AP45" s="9" t="s">
        <v>11367</v>
      </c>
      <c r="AQ45" s="9" t="s">
        <v>74</v>
      </c>
      <c r="AR45" s="9" t="s">
        <v>11368</v>
      </c>
      <c r="AS45" s="9" t="s">
        <v>11369</v>
      </c>
      <c r="AT45" s="9" t="s">
        <v>74</v>
      </c>
      <c r="AU45" s="9">
        <v>2016</v>
      </c>
      <c r="AV45" s="9">
        <v>7</v>
      </c>
      <c r="AW45" s="9">
        <v>3</v>
      </c>
      <c r="AX45" s="9" t="s">
        <v>74</v>
      </c>
      <c r="AY45" s="9" t="s">
        <v>74</v>
      </c>
      <c r="AZ45" s="9" t="s">
        <v>74</v>
      </c>
      <c r="BA45" s="9" t="s">
        <v>74</v>
      </c>
      <c r="BB45" s="9">
        <v>240</v>
      </c>
      <c r="BC45" s="9">
        <v>263</v>
      </c>
      <c r="BD45" s="9" t="s">
        <v>74</v>
      </c>
      <c r="BE45" s="9" t="s">
        <v>11370</v>
      </c>
      <c r="BF45" s="9">
        <v>0</v>
      </c>
      <c r="BG45" s="9" t="s">
        <v>74</v>
      </c>
      <c r="BH45" s="9" t="s">
        <v>74</v>
      </c>
      <c r="BI45" s="9">
        <v>24</v>
      </c>
      <c r="BJ45" s="9" t="s">
        <v>2621</v>
      </c>
      <c r="BK45" s="9" t="s">
        <v>183</v>
      </c>
      <c r="BL45" s="9" t="s">
        <v>2621</v>
      </c>
      <c r="BM45" s="9" t="s">
        <v>11371</v>
      </c>
      <c r="BN45" s="9" t="s">
        <v>74</v>
      </c>
      <c r="BO45" s="9" t="s">
        <v>74</v>
      </c>
      <c r="BP45" s="9" t="s">
        <v>74</v>
      </c>
      <c r="BQ45" s="9" t="s">
        <v>74</v>
      </c>
      <c r="BR45" s="9" t="s">
        <v>12946</v>
      </c>
      <c r="BS45" s="9" t="s">
        <v>11372</v>
      </c>
      <c r="BT45" s="9">
        <v>0</v>
      </c>
    </row>
    <row r="46" spans="1:72" x14ac:dyDescent="0.25">
      <c r="A46" s="9" t="s">
        <v>72</v>
      </c>
      <c r="B46" s="9" t="s">
        <v>5424</v>
      </c>
      <c r="C46" s="9" t="s">
        <v>74</v>
      </c>
      <c r="D46" s="9" t="s">
        <v>74</v>
      </c>
      <c r="E46" s="9" t="s">
        <v>74</v>
      </c>
      <c r="F46" s="9" t="s">
        <v>5425</v>
      </c>
      <c r="G46" s="9" t="s">
        <v>74</v>
      </c>
      <c r="H46" s="9" t="s">
        <v>74</v>
      </c>
      <c r="I46" s="9" t="s">
        <v>5426</v>
      </c>
      <c r="J46" s="9" t="s">
        <v>5427</v>
      </c>
      <c r="K46" s="9" t="s">
        <v>74</v>
      </c>
      <c r="L46" s="9" t="s">
        <v>74</v>
      </c>
      <c r="M46" s="9" t="s">
        <v>78</v>
      </c>
      <c r="N46" s="9" t="s">
        <v>79</v>
      </c>
      <c r="O46" s="9" t="s">
        <v>74</v>
      </c>
      <c r="P46" s="9" t="s">
        <v>74</v>
      </c>
      <c r="Q46" s="9" t="s">
        <v>74</v>
      </c>
      <c r="R46" s="9" t="s">
        <v>74</v>
      </c>
      <c r="S46" s="9" t="s">
        <v>74</v>
      </c>
      <c r="T46" s="9" t="s">
        <v>5428</v>
      </c>
      <c r="U46" s="9" t="s">
        <v>5429</v>
      </c>
      <c r="V46" s="9" t="s">
        <v>5430</v>
      </c>
      <c r="W46" s="9" t="s">
        <v>5431</v>
      </c>
      <c r="X46" s="9" t="s">
        <v>5432</v>
      </c>
      <c r="Y46" s="9" t="s">
        <v>5433</v>
      </c>
      <c r="Z46" s="9" t="s">
        <v>5434</v>
      </c>
      <c r="AA46" s="9" t="s">
        <v>13004</v>
      </c>
      <c r="AB46" s="9" t="s">
        <v>13005</v>
      </c>
      <c r="AC46" s="9" t="s">
        <v>5437</v>
      </c>
      <c r="AD46" s="9" t="s">
        <v>5438</v>
      </c>
      <c r="AE46" s="9" t="s">
        <v>5439</v>
      </c>
      <c r="AF46" s="9" t="s">
        <v>74</v>
      </c>
      <c r="AG46" s="9">
        <v>151</v>
      </c>
      <c r="AH46" s="9">
        <v>27</v>
      </c>
      <c r="AI46" s="9">
        <v>27</v>
      </c>
      <c r="AJ46" s="9">
        <v>5</v>
      </c>
      <c r="AK46" s="9">
        <v>68</v>
      </c>
      <c r="AL46" s="9" t="s">
        <v>202</v>
      </c>
      <c r="AM46" s="9" t="s">
        <v>203</v>
      </c>
      <c r="AN46" s="9" t="s">
        <v>204</v>
      </c>
      <c r="AO46" s="9" t="s">
        <v>74</v>
      </c>
      <c r="AP46" s="9" t="s">
        <v>5440</v>
      </c>
      <c r="AQ46" s="9" t="s">
        <v>74</v>
      </c>
      <c r="AR46" s="9" t="s">
        <v>5427</v>
      </c>
      <c r="AS46" s="9" t="s">
        <v>5441</v>
      </c>
      <c r="AT46" s="9" t="s">
        <v>476</v>
      </c>
      <c r="AU46" s="9">
        <v>2021</v>
      </c>
      <c r="AV46" s="9">
        <v>14</v>
      </c>
      <c r="AW46" s="9">
        <v>23</v>
      </c>
      <c r="AX46" s="9" t="s">
        <v>74</v>
      </c>
      <c r="AY46" s="9" t="s">
        <v>74</v>
      </c>
      <c r="AZ46" s="9" t="s">
        <v>74</v>
      </c>
      <c r="BA46" s="9" t="s">
        <v>74</v>
      </c>
      <c r="BB46" s="9" t="s">
        <v>74</v>
      </c>
      <c r="BC46" s="9" t="s">
        <v>74</v>
      </c>
      <c r="BD46" s="9">
        <v>7997</v>
      </c>
      <c r="BE46" s="9" t="s">
        <v>5442</v>
      </c>
      <c r="BF46" s="9">
        <v>0</v>
      </c>
      <c r="BG46" s="9" t="s">
        <v>74</v>
      </c>
      <c r="BH46" s="9" t="s">
        <v>74</v>
      </c>
      <c r="BI46" s="9">
        <v>21</v>
      </c>
      <c r="BJ46" s="9" t="s">
        <v>5443</v>
      </c>
      <c r="BK46" s="9" t="s">
        <v>211</v>
      </c>
      <c r="BL46" s="9" t="s">
        <v>5443</v>
      </c>
      <c r="BM46" s="9" t="s">
        <v>5444</v>
      </c>
      <c r="BN46" s="9" t="s">
        <v>74</v>
      </c>
      <c r="BO46" s="9" t="s">
        <v>186</v>
      </c>
      <c r="BP46" s="9" t="s">
        <v>74</v>
      </c>
      <c r="BQ46" s="9" t="s">
        <v>74</v>
      </c>
      <c r="BR46" s="9" t="s">
        <v>12946</v>
      </c>
      <c r="BS46" s="9" t="s">
        <v>5445</v>
      </c>
      <c r="BT46" s="9">
        <v>0</v>
      </c>
    </row>
    <row r="47" spans="1:72" x14ac:dyDescent="0.25">
      <c r="A47" s="9" t="s">
        <v>72</v>
      </c>
      <c r="B47" s="9" t="s">
        <v>6037</v>
      </c>
      <c r="C47" s="9" t="s">
        <v>74</v>
      </c>
      <c r="D47" s="9" t="s">
        <v>74</v>
      </c>
      <c r="E47" s="9" t="s">
        <v>74</v>
      </c>
      <c r="F47" s="9" t="s">
        <v>6038</v>
      </c>
      <c r="G47" s="9" t="s">
        <v>74</v>
      </c>
      <c r="H47" s="9" t="s">
        <v>74</v>
      </c>
      <c r="I47" s="9" t="s">
        <v>6039</v>
      </c>
      <c r="J47" s="9" t="s">
        <v>6040</v>
      </c>
      <c r="K47" s="9" t="s">
        <v>74</v>
      </c>
      <c r="L47" s="9" t="s">
        <v>74</v>
      </c>
      <c r="M47" s="9" t="s">
        <v>78</v>
      </c>
      <c r="N47" s="9" t="s">
        <v>79</v>
      </c>
      <c r="O47" s="9" t="s">
        <v>74</v>
      </c>
      <c r="P47" s="9" t="s">
        <v>74</v>
      </c>
      <c r="Q47" s="9" t="s">
        <v>74</v>
      </c>
      <c r="R47" s="9" t="s">
        <v>74</v>
      </c>
      <c r="S47" s="9" t="s">
        <v>74</v>
      </c>
      <c r="T47" s="9" t="s">
        <v>6041</v>
      </c>
      <c r="U47" s="9" t="s">
        <v>74</v>
      </c>
      <c r="V47" s="9" t="s">
        <v>6042</v>
      </c>
      <c r="W47" s="9" t="s">
        <v>6043</v>
      </c>
      <c r="X47" s="9" t="s">
        <v>6044</v>
      </c>
      <c r="Y47" s="9" t="s">
        <v>6045</v>
      </c>
      <c r="Z47" s="9" t="s">
        <v>6046</v>
      </c>
      <c r="AA47" s="9" t="s">
        <v>13006</v>
      </c>
      <c r="AB47" s="9" t="s">
        <v>6048</v>
      </c>
      <c r="AC47" s="9" t="s">
        <v>13007</v>
      </c>
      <c r="AD47" s="9" t="s">
        <v>13008</v>
      </c>
      <c r="AE47" s="9" t="s">
        <v>6051</v>
      </c>
      <c r="AF47" s="9" t="s">
        <v>74</v>
      </c>
      <c r="AG47" s="9">
        <v>58</v>
      </c>
      <c r="AH47" s="9">
        <v>27</v>
      </c>
      <c r="AI47" s="9">
        <v>27</v>
      </c>
      <c r="AJ47" s="9">
        <v>0</v>
      </c>
      <c r="AK47" s="9">
        <v>6</v>
      </c>
      <c r="AL47" s="9" t="s">
        <v>6052</v>
      </c>
      <c r="AM47" s="9" t="s">
        <v>6053</v>
      </c>
      <c r="AN47" s="9" t="s">
        <v>6054</v>
      </c>
      <c r="AO47" s="9" t="s">
        <v>6055</v>
      </c>
      <c r="AP47" s="9" t="s">
        <v>6056</v>
      </c>
      <c r="AQ47" s="9" t="s">
        <v>74</v>
      </c>
      <c r="AR47" s="9" t="s">
        <v>6057</v>
      </c>
      <c r="AS47" s="9" t="s">
        <v>6058</v>
      </c>
      <c r="AT47" s="9" t="s">
        <v>476</v>
      </c>
      <c r="AU47" s="9">
        <v>2021</v>
      </c>
      <c r="AV47" s="9">
        <v>15</v>
      </c>
      <c r="AW47" s="9">
        <v>2</v>
      </c>
      <c r="AX47" s="9" t="s">
        <v>74</v>
      </c>
      <c r="AY47" s="9" t="s">
        <v>74</v>
      </c>
      <c r="AZ47" s="9" t="s">
        <v>1020</v>
      </c>
      <c r="BA47" s="9" t="s">
        <v>74</v>
      </c>
      <c r="BB47" s="9">
        <v>381</v>
      </c>
      <c r="BC47" s="9">
        <v>411</v>
      </c>
      <c r="BD47" s="9" t="s">
        <v>74</v>
      </c>
      <c r="BE47" s="9" t="s">
        <v>6059</v>
      </c>
      <c r="BF47" s="9">
        <v>0</v>
      </c>
      <c r="BG47" s="9" t="s">
        <v>74</v>
      </c>
      <c r="BH47" s="9" t="s">
        <v>6012</v>
      </c>
      <c r="BI47" s="9">
        <v>31</v>
      </c>
      <c r="BJ47" s="9" t="s">
        <v>1217</v>
      </c>
      <c r="BK47" s="9" t="s">
        <v>183</v>
      </c>
      <c r="BL47" s="9" t="s">
        <v>399</v>
      </c>
      <c r="BM47" s="9" t="s">
        <v>6060</v>
      </c>
      <c r="BN47" s="9">
        <v>35506054</v>
      </c>
      <c r="BO47" s="9" t="s">
        <v>13009</v>
      </c>
      <c r="BP47" s="9" t="s">
        <v>74</v>
      </c>
      <c r="BQ47" s="9" t="s">
        <v>74</v>
      </c>
      <c r="BR47" s="9" t="s">
        <v>12946</v>
      </c>
      <c r="BS47" s="9" t="s">
        <v>6062</v>
      </c>
      <c r="BT47" s="9">
        <v>0</v>
      </c>
    </row>
    <row r="48" spans="1:72" x14ac:dyDescent="0.25">
      <c r="A48" s="9" t="s">
        <v>72</v>
      </c>
      <c r="B48" s="9" t="s">
        <v>7508</v>
      </c>
      <c r="C48" s="9" t="s">
        <v>74</v>
      </c>
      <c r="D48" s="9" t="s">
        <v>74</v>
      </c>
      <c r="E48" s="9" t="s">
        <v>74</v>
      </c>
      <c r="F48" s="9" t="s">
        <v>7509</v>
      </c>
      <c r="G48" s="9" t="s">
        <v>74</v>
      </c>
      <c r="H48" s="9" t="s">
        <v>74</v>
      </c>
      <c r="I48" s="9" t="s">
        <v>7510</v>
      </c>
      <c r="J48" s="9" t="s">
        <v>6204</v>
      </c>
      <c r="K48" s="9" t="s">
        <v>74</v>
      </c>
      <c r="L48" s="9" t="s">
        <v>74</v>
      </c>
      <c r="M48" s="9" t="s">
        <v>78</v>
      </c>
      <c r="N48" s="9" t="s">
        <v>79</v>
      </c>
      <c r="O48" s="9" t="s">
        <v>74</v>
      </c>
      <c r="P48" s="9" t="s">
        <v>74</v>
      </c>
      <c r="Q48" s="9" t="s">
        <v>74</v>
      </c>
      <c r="R48" s="9" t="s">
        <v>74</v>
      </c>
      <c r="S48" s="9" t="s">
        <v>74</v>
      </c>
      <c r="T48" s="9" t="s">
        <v>7511</v>
      </c>
      <c r="U48" s="9" t="s">
        <v>74</v>
      </c>
      <c r="V48" s="9" t="s">
        <v>7512</v>
      </c>
      <c r="W48" s="9" t="s">
        <v>7513</v>
      </c>
      <c r="X48" s="9" t="s">
        <v>7514</v>
      </c>
      <c r="Y48" s="9" t="s">
        <v>7515</v>
      </c>
      <c r="Z48" s="9" t="s">
        <v>7516</v>
      </c>
      <c r="AA48" s="9" t="s">
        <v>13010</v>
      </c>
      <c r="AB48" s="9" t="s">
        <v>7517</v>
      </c>
      <c r="AC48" s="9" t="s">
        <v>74</v>
      </c>
      <c r="AD48" s="9" t="s">
        <v>74</v>
      </c>
      <c r="AE48" s="9" t="s">
        <v>74</v>
      </c>
      <c r="AF48" s="9" t="s">
        <v>74</v>
      </c>
      <c r="AG48" s="9">
        <v>44</v>
      </c>
      <c r="AH48" s="9">
        <v>27</v>
      </c>
      <c r="AI48" s="9">
        <v>28</v>
      </c>
      <c r="AJ48" s="9">
        <v>13</v>
      </c>
      <c r="AK48" s="9">
        <v>165</v>
      </c>
      <c r="AL48" s="9" t="s">
        <v>715</v>
      </c>
      <c r="AM48" s="9" t="s">
        <v>4411</v>
      </c>
      <c r="AN48" s="9" t="s">
        <v>12985</v>
      </c>
      <c r="AO48" s="9" t="s">
        <v>6216</v>
      </c>
      <c r="AP48" s="9" t="s">
        <v>6217</v>
      </c>
      <c r="AQ48" s="9" t="s">
        <v>74</v>
      </c>
      <c r="AR48" s="9" t="s">
        <v>6218</v>
      </c>
      <c r="AS48" s="9" t="s">
        <v>6219</v>
      </c>
      <c r="AT48" s="9" t="s">
        <v>7518</v>
      </c>
      <c r="AU48" s="9">
        <v>2021</v>
      </c>
      <c r="AV48" s="9">
        <v>13</v>
      </c>
      <c r="AW48" s="9">
        <v>1</v>
      </c>
      <c r="AX48" s="9" t="s">
        <v>74</v>
      </c>
      <c r="AY48" s="9" t="s">
        <v>74</v>
      </c>
      <c r="AZ48" s="9" t="s">
        <v>74</v>
      </c>
      <c r="BA48" s="9" t="s">
        <v>74</v>
      </c>
      <c r="BB48" s="9">
        <v>17</v>
      </c>
      <c r="BC48" s="9">
        <v>33</v>
      </c>
      <c r="BD48" s="9" t="s">
        <v>74</v>
      </c>
      <c r="BE48" s="9" t="s">
        <v>7519</v>
      </c>
      <c r="BF48" s="9">
        <v>0</v>
      </c>
      <c r="BG48" s="9" t="s">
        <v>74</v>
      </c>
      <c r="BH48" s="9" t="s">
        <v>7520</v>
      </c>
      <c r="BI48" s="9">
        <v>17</v>
      </c>
      <c r="BJ48" s="9" t="s">
        <v>1023</v>
      </c>
      <c r="BK48" s="9" t="s">
        <v>183</v>
      </c>
      <c r="BL48" s="9" t="s">
        <v>265</v>
      </c>
      <c r="BM48" s="9" t="s">
        <v>7521</v>
      </c>
      <c r="BN48" s="9" t="s">
        <v>74</v>
      </c>
      <c r="BO48" s="9" t="s">
        <v>74</v>
      </c>
      <c r="BP48" s="9" t="s">
        <v>74</v>
      </c>
      <c r="BQ48" s="9" t="s">
        <v>74</v>
      </c>
      <c r="BR48" s="9" t="s">
        <v>12946</v>
      </c>
      <c r="BS48" s="9" t="s">
        <v>7522</v>
      </c>
      <c r="BT48" s="9">
        <v>0</v>
      </c>
    </row>
    <row r="49" spans="1:72" x14ac:dyDescent="0.25">
      <c r="A49" s="9" t="s">
        <v>72</v>
      </c>
      <c r="B49" s="9" t="s">
        <v>10664</v>
      </c>
      <c r="C49" s="9" t="s">
        <v>74</v>
      </c>
      <c r="D49" s="9" t="s">
        <v>74</v>
      </c>
      <c r="E49" s="9" t="s">
        <v>74</v>
      </c>
      <c r="F49" s="9" t="s">
        <v>10665</v>
      </c>
      <c r="G49" s="9" t="s">
        <v>74</v>
      </c>
      <c r="H49" s="9" t="s">
        <v>74</v>
      </c>
      <c r="I49" s="9" t="s">
        <v>10666</v>
      </c>
      <c r="J49" s="9" t="s">
        <v>10667</v>
      </c>
      <c r="K49" s="9" t="s">
        <v>74</v>
      </c>
      <c r="L49" s="9" t="s">
        <v>74</v>
      </c>
      <c r="M49" s="9" t="s">
        <v>78</v>
      </c>
      <c r="N49" s="9" t="s">
        <v>79</v>
      </c>
      <c r="O49" s="9" t="s">
        <v>74</v>
      </c>
      <c r="P49" s="9" t="s">
        <v>74</v>
      </c>
      <c r="Q49" s="9" t="s">
        <v>74</v>
      </c>
      <c r="R49" s="9" t="s">
        <v>74</v>
      </c>
      <c r="S49" s="9" t="s">
        <v>74</v>
      </c>
      <c r="T49" s="9" t="s">
        <v>10668</v>
      </c>
      <c r="U49" s="9" t="s">
        <v>10669</v>
      </c>
      <c r="V49" s="9" t="s">
        <v>10670</v>
      </c>
      <c r="W49" s="9" t="s">
        <v>10671</v>
      </c>
      <c r="X49" s="9" t="s">
        <v>74</v>
      </c>
      <c r="Y49" s="9" t="s">
        <v>10672</v>
      </c>
      <c r="Z49" s="9" t="s">
        <v>10673</v>
      </c>
      <c r="AA49" s="9" t="s">
        <v>13011</v>
      </c>
      <c r="AB49" s="9" t="s">
        <v>74</v>
      </c>
      <c r="AC49" s="9" t="s">
        <v>74</v>
      </c>
      <c r="AD49" s="9" t="s">
        <v>74</v>
      </c>
      <c r="AE49" s="9" t="s">
        <v>74</v>
      </c>
      <c r="AF49" s="9" t="s">
        <v>74</v>
      </c>
      <c r="AG49" s="9">
        <v>44</v>
      </c>
      <c r="AH49" s="9">
        <v>27</v>
      </c>
      <c r="AI49" s="9">
        <v>33</v>
      </c>
      <c r="AJ49" s="9">
        <v>2</v>
      </c>
      <c r="AK49" s="9">
        <v>112</v>
      </c>
      <c r="AL49" s="9" t="s">
        <v>10674</v>
      </c>
      <c r="AM49" s="9" t="s">
        <v>10675</v>
      </c>
      <c r="AN49" s="9" t="s">
        <v>10676</v>
      </c>
      <c r="AO49" s="9" t="s">
        <v>10677</v>
      </c>
      <c r="AP49" s="9" t="s">
        <v>10678</v>
      </c>
      <c r="AQ49" s="9" t="s">
        <v>74</v>
      </c>
      <c r="AR49" s="9" t="s">
        <v>10679</v>
      </c>
      <c r="AS49" s="9" t="s">
        <v>10680</v>
      </c>
      <c r="AT49" s="9" t="s">
        <v>74</v>
      </c>
      <c r="AU49" s="9">
        <v>2017</v>
      </c>
      <c r="AV49" s="9">
        <v>15</v>
      </c>
      <c r="AW49" s="9">
        <v>2</v>
      </c>
      <c r="AX49" s="9" t="s">
        <v>74</v>
      </c>
      <c r="AY49" s="9" t="s">
        <v>74</v>
      </c>
      <c r="AZ49" s="9" t="s">
        <v>74</v>
      </c>
      <c r="BA49" s="9" t="s">
        <v>74</v>
      </c>
      <c r="BB49" s="9">
        <v>27</v>
      </c>
      <c r="BC49" s="9">
        <v>40</v>
      </c>
      <c r="BD49" s="9" t="s">
        <v>74</v>
      </c>
      <c r="BE49" s="9" t="s">
        <v>10681</v>
      </c>
      <c r="BF49" s="9">
        <v>0</v>
      </c>
      <c r="BG49" s="9" t="s">
        <v>74</v>
      </c>
      <c r="BH49" s="9" t="s">
        <v>74</v>
      </c>
      <c r="BI49" s="9">
        <v>14</v>
      </c>
      <c r="BJ49" s="9" t="s">
        <v>521</v>
      </c>
      <c r="BK49" s="9" t="s">
        <v>183</v>
      </c>
      <c r="BL49" s="9" t="s">
        <v>265</v>
      </c>
      <c r="BM49" s="9" t="s">
        <v>10682</v>
      </c>
      <c r="BN49" s="9" t="s">
        <v>74</v>
      </c>
      <c r="BO49" s="9" t="s">
        <v>2730</v>
      </c>
      <c r="BP49" s="9" t="s">
        <v>74</v>
      </c>
      <c r="BQ49" s="9" t="s">
        <v>74</v>
      </c>
      <c r="BR49" s="9" t="s">
        <v>12946</v>
      </c>
      <c r="BS49" s="9" t="s">
        <v>10683</v>
      </c>
      <c r="BT49" s="9">
        <v>0</v>
      </c>
    </row>
    <row r="50" spans="1:72" x14ac:dyDescent="0.25">
      <c r="A50" s="9" t="s">
        <v>72</v>
      </c>
      <c r="B50" s="9" t="s">
        <v>5562</v>
      </c>
      <c r="C50" s="9" t="s">
        <v>74</v>
      </c>
      <c r="D50" s="9" t="s">
        <v>74</v>
      </c>
      <c r="E50" s="9" t="s">
        <v>74</v>
      </c>
      <c r="F50" s="9" t="s">
        <v>5563</v>
      </c>
      <c r="G50" s="9" t="s">
        <v>74</v>
      </c>
      <c r="H50" s="9" t="s">
        <v>74</v>
      </c>
      <c r="I50" s="9" t="s">
        <v>5564</v>
      </c>
      <c r="J50" s="9" t="s">
        <v>321</v>
      </c>
      <c r="K50" s="9" t="s">
        <v>74</v>
      </c>
      <c r="L50" s="9" t="s">
        <v>74</v>
      </c>
      <c r="M50" s="9" t="s">
        <v>78</v>
      </c>
      <c r="N50" s="9" t="s">
        <v>79</v>
      </c>
      <c r="O50" s="9" t="s">
        <v>74</v>
      </c>
      <c r="P50" s="9" t="s">
        <v>74</v>
      </c>
      <c r="Q50" s="9" t="s">
        <v>74</v>
      </c>
      <c r="R50" s="9" t="s">
        <v>74</v>
      </c>
      <c r="S50" s="9" t="s">
        <v>74</v>
      </c>
      <c r="T50" s="9" t="s">
        <v>5565</v>
      </c>
      <c r="U50" s="9" t="s">
        <v>5566</v>
      </c>
      <c r="V50" s="9" t="s">
        <v>5567</v>
      </c>
      <c r="W50" s="9" t="s">
        <v>5568</v>
      </c>
      <c r="X50" s="9" t="s">
        <v>5569</v>
      </c>
      <c r="Y50" s="9" t="s">
        <v>5570</v>
      </c>
      <c r="Z50" s="9" t="s">
        <v>5571</v>
      </c>
      <c r="AA50" s="9" t="s">
        <v>13012</v>
      </c>
      <c r="AB50" s="9" t="s">
        <v>13013</v>
      </c>
      <c r="AC50" s="9" t="s">
        <v>74</v>
      </c>
      <c r="AD50" s="9" t="s">
        <v>74</v>
      </c>
      <c r="AE50" s="9" t="s">
        <v>74</v>
      </c>
      <c r="AF50" s="9" t="s">
        <v>74</v>
      </c>
      <c r="AG50" s="9">
        <v>127</v>
      </c>
      <c r="AH50" s="9">
        <v>26</v>
      </c>
      <c r="AI50" s="9">
        <v>27</v>
      </c>
      <c r="AJ50" s="9">
        <v>16</v>
      </c>
      <c r="AK50" s="9">
        <v>155</v>
      </c>
      <c r="AL50" s="9" t="s">
        <v>332</v>
      </c>
      <c r="AM50" s="9" t="s">
        <v>122</v>
      </c>
      <c r="AN50" s="9" t="s">
        <v>333</v>
      </c>
      <c r="AO50" s="9" t="s">
        <v>334</v>
      </c>
      <c r="AP50" s="9" t="s">
        <v>335</v>
      </c>
      <c r="AQ50" s="9" t="s">
        <v>74</v>
      </c>
      <c r="AR50" s="9" t="s">
        <v>336</v>
      </c>
      <c r="AS50" s="9" t="s">
        <v>337</v>
      </c>
      <c r="AT50" s="9" t="s">
        <v>2068</v>
      </c>
      <c r="AU50" s="9">
        <v>2022</v>
      </c>
      <c r="AV50" s="9">
        <v>174</v>
      </c>
      <c r="AW50" s="9" t="s">
        <v>74</v>
      </c>
      <c r="AX50" s="9" t="s">
        <v>74</v>
      </c>
      <c r="AY50" s="9" t="s">
        <v>74</v>
      </c>
      <c r="AZ50" s="9" t="s">
        <v>74</v>
      </c>
      <c r="BA50" s="9" t="s">
        <v>74</v>
      </c>
      <c r="BB50" s="9" t="s">
        <v>74</v>
      </c>
      <c r="BC50" s="9" t="s">
        <v>74</v>
      </c>
      <c r="BD50" s="9">
        <v>121293</v>
      </c>
      <c r="BE50" s="9" t="s">
        <v>5574</v>
      </c>
      <c r="BF50" s="9">
        <v>0</v>
      </c>
      <c r="BG50" s="9" t="s">
        <v>74</v>
      </c>
      <c r="BH50" s="9" t="s">
        <v>5559</v>
      </c>
      <c r="BI50" s="9">
        <v>13</v>
      </c>
      <c r="BJ50" s="9" t="s">
        <v>339</v>
      </c>
      <c r="BK50" s="9" t="s">
        <v>156</v>
      </c>
      <c r="BL50" s="9" t="s">
        <v>340</v>
      </c>
      <c r="BM50" s="9" t="s">
        <v>5575</v>
      </c>
      <c r="BN50" s="9" t="s">
        <v>74</v>
      </c>
      <c r="BO50" s="9" t="s">
        <v>4521</v>
      </c>
      <c r="BP50" s="9" t="s">
        <v>74</v>
      </c>
      <c r="BQ50" s="9" t="s">
        <v>74</v>
      </c>
      <c r="BR50" s="9" t="s">
        <v>12946</v>
      </c>
      <c r="BS50" s="9" t="s">
        <v>5576</v>
      </c>
      <c r="BT50" s="9">
        <v>0</v>
      </c>
    </row>
    <row r="51" spans="1:72" x14ac:dyDescent="0.25">
      <c r="A51" s="9" t="s">
        <v>72</v>
      </c>
      <c r="B51" s="9" t="s">
        <v>8855</v>
      </c>
      <c r="C51" s="9" t="s">
        <v>74</v>
      </c>
      <c r="D51" s="9" t="s">
        <v>74</v>
      </c>
      <c r="E51" s="9" t="s">
        <v>74</v>
      </c>
      <c r="F51" s="9" t="s">
        <v>8856</v>
      </c>
      <c r="G51" s="9" t="s">
        <v>74</v>
      </c>
      <c r="H51" s="9" t="s">
        <v>74</v>
      </c>
      <c r="I51" s="9" t="s">
        <v>8857</v>
      </c>
      <c r="J51" s="9" t="s">
        <v>8858</v>
      </c>
      <c r="K51" s="9" t="s">
        <v>74</v>
      </c>
      <c r="L51" s="9" t="s">
        <v>74</v>
      </c>
      <c r="M51" s="9" t="s">
        <v>78</v>
      </c>
      <c r="N51" s="9" t="s">
        <v>79</v>
      </c>
      <c r="O51" s="9" t="s">
        <v>74</v>
      </c>
      <c r="P51" s="9" t="s">
        <v>74</v>
      </c>
      <c r="Q51" s="9" t="s">
        <v>74</v>
      </c>
      <c r="R51" s="9" t="s">
        <v>74</v>
      </c>
      <c r="S51" s="9" t="s">
        <v>74</v>
      </c>
      <c r="T51" s="9" t="s">
        <v>8859</v>
      </c>
      <c r="U51" s="9" t="s">
        <v>8860</v>
      </c>
      <c r="V51" s="9" t="s">
        <v>8861</v>
      </c>
      <c r="W51" s="9" t="s">
        <v>8862</v>
      </c>
      <c r="X51" s="9" t="s">
        <v>8863</v>
      </c>
      <c r="Y51" s="9" t="s">
        <v>8864</v>
      </c>
      <c r="Z51" s="9" t="s">
        <v>8865</v>
      </c>
      <c r="AA51" s="9" t="s">
        <v>13014</v>
      </c>
      <c r="AB51" s="9" t="s">
        <v>74</v>
      </c>
      <c r="AC51" s="9" t="s">
        <v>74</v>
      </c>
      <c r="AD51" s="9" t="s">
        <v>74</v>
      </c>
      <c r="AE51" s="9" t="s">
        <v>74</v>
      </c>
      <c r="AF51" s="9" t="s">
        <v>74</v>
      </c>
      <c r="AG51" s="9">
        <v>110</v>
      </c>
      <c r="AH51" s="9">
        <v>26</v>
      </c>
      <c r="AI51" s="9">
        <v>27</v>
      </c>
      <c r="AJ51" s="9">
        <v>2</v>
      </c>
      <c r="AK51" s="9">
        <v>22</v>
      </c>
      <c r="AL51" s="9" t="s">
        <v>715</v>
      </c>
      <c r="AM51" s="9" t="s">
        <v>716</v>
      </c>
      <c r="AN51" s="9" t="s">
        <v>717</v>
      </c>
      <c r="AO51" s="9" t="s">
        <v>8868</v>
      </c>
      <c r="AP51" s="9" t="s">
        <v>8869</v>
      </c>
      <c r="AQ51" s="9" t="s">
        <v>74</v>
      </c>
      <c r="AR51" s="9" t="s">
        <v>8870</v>
      </c>
      <c r="AS51" s="9" t="s">
        <v>8871</v>
      </c>
      <c r="AT51" s="9" t="s">
        <v>8872</v>
      </c>
      <c r="AU51" s="9">
        <v>2019</v>
      </c>
      <c r="AV51" s="9">
        <v>39</v>
      </c>
      <c r="AW51" s="9" t="s">
        <v>8873</v>
      </c>
      <c r="AX51" s="9" t="s">
        <v>74</v>
      </c>
      <c r="AY51" s="9" t="s">
        <v>74</v>
      </c>
      <c r="AZ51" s="9" t="s">
        <v>74</v>
      </c>
      <c r="BA51" s="9" t="s">
        <v>74</v>
      </c>
      <c r="BB51" s="9">
        <v>752</v>
      </c>
      <c r="BC51" s="9">
        <v>772</v>
      </c>
      <c r="BD51" s="9" t="s">
        <v>74</v>
      </c>
      <c r="BE51" s="9" t="s">
        <v>8874</v>
      </c>
      <c r="BF51" s="9">
        <v>0</v>
      </c>
      <c r="BG51" s="9" t="s">
        <v>74</v>
      </c>
      <c r="BH51" s="9" t="s">
        <v>74</v>
      </c>
      <c r="BI51" s="9">
        <v>21</v>
      </c>
      <c r="BJ51" s="9" t="s">
        <v>5263</v>
      </c>
      <c r="BK51" s="9" t="s">
        <v>183</v>
      </c>
      <c r="BL51" s="9" t="s">
        <v>5263</v>
      </c>
      <c r="BM51" s="9" t="s">
        <v>8875</v>
      </c>
      <c r="BN51" s="9" t="s">
        <v>74</v>
      </c>
      <c r="BO51" s="9" t="s">
        <v>74</v>
      </c>
      <c r="BP51" s="9" t="s">
        <v>74</v>
      </c>
      <c r="BQ51" s="9" t="s">
        <v>74</v>
      </c>
      <c r="BR51" s="9" t="s">
        <v>12946</v>
      </c>
      <c r="BS51" s="9" t="s">
        <v>8876</v>
      </c>
      <c r="BT51" s="9">
        <v>0</v>
      </c>
    </row>
    <row r="52" spans="1:72" x14ac:dyDescent="0.25">
      <c r="A52" s="9" t="s">
        <v>72</v>
      </c>
      <c r="B52" s="9" t="s">
        <v>4822</v>
      </c>
      <c r="C52" s="9" t="s">
        <v>74</v>
      </c>
      <c r="D52" s="9" t="s">
        <v>74</v>
      </c>
      <c r="E52" s="9" t="s">
        <v>74</v>
      </c>
      <c r="F52" s="9" t="s">
        <v>4823</v>
      </c>
      <c r="G52" s="9" t="s">
        <v>74</v>
      </c>
      <c r="H52" s="9" t="s">
        <v>74</v>
      </c>
      <c r="I52" s="9" t="s">
        <v>4824</v>
      </c>
      <c r="J52" s="9" t="s">
        <v>4825</v>
      </c>
      <c r="K52" s="9" t="s">
        <v>74</v>
      </c>
      <c r="L52" s="9" t="s">
        <v>74</v>
      </c>
      <c r="M52" s="9" t="s">
        <v>78</v>
      </c>
      <c r="N52" s="9" t="s">
        <v>79</v>
      </c>
      <c r="O52" s="9" t="s">
        <v>74</v>
      </c>
      <c r="P52" s="9" t="s">
        <v>74</v>
      </c>
      <c r="Q52" s="9" t="s">
        <v>74</v>
      </c>
      <c r="R52" s="9" t="s">
        <v>74</v>
      </c>
      <c r="S52" s="9" t="s">
        <v>74</v>
      </c>
      <c r="T52" s="9" t="s">
        <v>4826</v>
      </c>
      <c r="U52" s="9" t="s">
        <v>4827</v>
      </c>
      <c r="V52" s="9" t="s">
        <v>4828</v>
      </c>
      <c r="W52" s="9" t="s">
        <v>4829</v>
      </c>
      <c r="X52" s="9" t="s">
        <v>4830</v>
      </c>
      <c r="Y52" s="9" t="s">
        <v>4831</v>
      </c>
      <c r="Z52" s="9" t="s">
        <v>4832</v>
      </c>
      <c r="AA52" s="9" t="s">
        <v>13015</v>
      </c>
      <c r="AB52" s="9" t="s">
        <v>13016</v>
      </c>
      <c r="AC52" s="9" t="s">
        <v>4835</v>
      </c>
      <c r="AD52" s="9" t="s">
        <v>4835</v>
      </c>
      <c r="AE52" s="9" t="s">
        <v>4836</v>
      </c>
      <c r="AF52" s="9" t="s">
        <v>74</v>
      </c>
      <c r="AG52" s="9">
        <v>88</v>
      </c>
      <c r="AH52" s="9">
        <v>25</v>
      </c>
      <c r="AI52" s="9">
        <v>25</v>
      </c>
      <c r="AJ52" s="9">
        <v>41</v>
      </c>
      <c r="AK52" s="9">
        <v>289</v>
      </c>
      <c r="AL52" s="9" t="s">
        <v>2153</v>
      </c>
      <c r="AM52" s="9" t="s">
        <v>2154</v>
      </c>
      <c r="AN52" s="9" t="s">
        <v>2155</v>
      </c>
      <c r="AO52" s="9" t="s">
        <v>4837</v>
      </c>
      <c r="AP52" s="9" t="s">
        <v>4838</v>
      </c>
      <c r="AQ52" s="9" t="s">
        <v>74</v>
      </c>
      <c r="AR52" s="9" t="s">
        <v>4839</v>
      </c>
      <c r="AS52" s="9" t="s">
        <v>4840</v>
      </c>
      <c r="AT52" s="9" t="s">
        <v>837</v>
      </c>
      <c r="AU52" s="9">
        <v>2023</v>
      </c>
      <c r="AV52" s="9">
        <v>70</v>
      </c>
      <c r="AW52" s="9">
        <v>7</v>
      </c>
      <c r="AX52" s="9" t="s">
        <v>74</v>
      </c>
      <c r="AY52" s="9" t="s">
        <v>74</v>
      </c>
      <c r="AZ52" s="9" t="s">
        <v>74</v>
      </c>
      <c r="BA52" s="9" t="s">
        <v>74</v>
      </c>
      <c r="BB52" s="9">
        <v>2493</v>
      </c>
      <c r="BC52" s="9">
        <v>2506</v>
      </c>
      <c r="BD52" s="9" t="s">
        <v>74</v>
      </c>
      <c r="BE52" s="9" t="s">
        <v>4841</v>
      </c>
      <c r="BF52" s="9">
        <v>0</v>
      </c>
      <c r="BG52" s="9" t="s">
        <v>74</v>
      </c>
      <c r="BH52" s="9" t="s">
        <v>4783</v>
      </c>
      <c r="BI52" s="9">
        <v>14</v>
      </c>
      <c r="BJ52" s="9" t="s">
        <v>4842</v>
      </c>
      <c r="BK52" s="9" t="s">
        <v>211</v>
      </c>
      <c r="BL52" s="9" t="s">
        <v>4843</v>
      </c>
      <c r="BM52" s="9" t="s">
        <v>4844</v>
      </c>
      <c r="BN52" s="9" t="s">
        <v>74</v>
      </c>
      <c r="BO52" s="9" t="s">
        <v>2623</v>
      </c>
      <c r="BP52" s="9" t="s">
        <v>74</v>
      </c>
      <c r="BQ52" s="9" t="s">
        <v>74</v>
      </c>
      <c r="BR52" s="9" t="s">
        <v>12946</v>
      </c>
      <c r="BS52" s="9" t="s">
        <v>4845</v>
      </c>
      <c r="BT52" s="9">
        <v>0</v>
      </c>
    </row>
    <row r="53" spans="1:72" x14ac:dyDescent="0.25">
      <c r="A53" s="9" t="s">
        <v>72</v>
      </c>
      <c r="B53" s="9" t="s">
        <v>6308</v>
      </c>
      <c r="C53" s="9" t="s">
        <v>74</v>
      </c>
      <c r="D53" s="9" t="s">
        <v>74</v>
      </c>
      <c r="E53" s="9" t="s">
        <v>74</v>
      </c>
      <c r="F53" s="9" t="s">
        <v>6309</v>
      </c>
      <c r="G53" s="9" t="s">
        <v>74</v>
      </c>
      <c r="H53" s="9" t="s">
        <v>74</v>
      </c>
      <c r="I53" s="9" t="s">
        <v>6310</v>
      </c>
      <c r="J53" s="9" t="s">
        <v>5427</v>
      </c>
      <c r="K53" s="9" t="s">
        <v>74</v>
      </c>
      <c r="L53" s="9" t="s">
        <v>74</v>
      </c>
      <c r="M53" s="9" t="s">
        <v>78</v>
      </c>
      <c r="N53" s="9" t="s">
        <v>79</v>
      </c>
      <c r="O53" s="9" t="s">
        <v>74</v>
      </c>
      <c r="P53" s="9" t="s">
        <v>74</v>
      </c>
      <c r="Q53" s="9" t="s">
        <v>74</v>
      </c>
      <c r="R53" s="9" t="s">
        <v>74</v>
      </c>
      <c r="S53" s="9" t="s">
        <v>74</v>
      </c>
      <c r="T53" s="9" t="s">
        <v>6311</v>
      </c>
      <c r="U53" s="9" t="s">
        <v>6312</v>
      </c>
      <c r="V53" s="9" t="s">
        <v>6313</v>
      </c>
      <c r="W53" s="9" t="s">
        <v>6314</v>
      </c>
      <c r="X53" s="9" t="s">
        <v>6315</v>
      </c>
      <c r="Y53" s="9" t="s">
        <v>6316</v>
      </c>
      <c r="Z53" s="9" t="s">
        <v>6317</v>
      </c>
      <c r="AA53" s="9" t="s">
        <v>13017</v>
      </c>
      <c r="AB53" s="9" t="s">
        <v>13018</v>
      </c>
      <c r="AC53" s="9" t="s">
        <v>6320</v>
      </c>
      <c r="AD53" s="9" t="s">
        <v>6321</v>
      </c>
      <c r="AE53" s="9" t="s">
        <v>6322</v>
      </c>
      <c r="AF53" s="9" t="s">
        <v>74</v>
      </c>
      <c r="AG53" s="9">
        <v>133</v>
      </c>
      <c r="AH53" s="9">
        <v>23</v>
      </c>
      <c r="AI53" s="9">
        <v>23</v>
      </c>
      <c r="AJ53" s="9">
        <v>1</v>
      </c>
      <c r="AK53" s="9">
        <v>26</v>
      </c>
      <c r="AL53" s="9" t="s">
        <v>202</v>
      </c>
      <c r="AM53" s="9" t="s">
        <v>203</v>
      </c>
      <c r="AN53" s="9" t="s">
        <v>204</v>
      </c>
      <c r="AO53" s="9" t="s">
        <v>74</v>
      </c>
      <c r="AP53" s="9" t="s">
        <v>5440</v>
      </c>
      <c r="AQ53" s="9" t="s">
        <v>74</v>
      </c>
      <c r="AR53" s="9" t="s">
        <v>5427</v>
      </c>
      <c r="AS53" s="9" t="s">
        <v>5441</v>
      </c>
      <c r="AT53" s="9" t="s">
        <v>1138</v>
      </c>
      <c r="AU53" s="9">
        <v>2021</v>
      </c>
      <c r="AV53" s="9">
        <v>14</v>
      </c>
      <c r="AW53" s="9">
        <v>11</v>
      </c>
      <c r="AX53" s="9" t="s">
        <v>74</v>
      </c>
      <c r="AY53" s="9" t="s">
        <v>74</v>
      </c>
      <c r="AZ53" s="9" t="s">
        <v>74</v>
      </c>
      <c r="BA53" s="9" t="s">
        <v>74</v>
      </c>
      <c r="BB53" s="9" t="s">
        <v>74</v>
      </c>
      <c r="BC53" s="9" t="s">
        <v>74</v>
      </c>
      <c r="BD53" s="9">
        <v>3034</v>
      </c>
      <c r="BE53" s="9" t="s">
        <v>6323</v>
      </c>
      <c r="BF53" s="9">
        <v>0</v>
      </c>
      <c r="BG53" s="9" t="s">
        <v>74</v>
      </c>
      <c r="BH53" s="9" t="s">
        <v>74</v>
      </c>
      <c r="BI53" s="9">
        <v>25</v>
      </c>
      <c r="BJ53" s="9" t="s">
        <v>5443</v>
      </c>
      <c r="BK53" s="9" t="s">
        <v>102</v>
      </c>
      <c r="BL53" s="9" t="s">
        <v>5443</v>
      </c>
      <c r="BM53" s="9" t="s">
        <v>6324</v>
      </c>
      <c r="BN53" s="9" t="s">
        <v>74</v>
      </c>
      <c r="BO53" s="9" t="s">
        <v>186</v>
      </c>
      <c r="BP53" s="9" t="s">
        <v>74</v>
      </c>
      <c r="BQ53" s="9" t="s">
        <v>74</v>
      </c>
      <c r="BR53" s="9" t="s">
        <v>12946</v>
      </c>
      <c r="BS53" s="9" t="s">
        <v>6325</v>
      </c>
      <c r="BT53" s="9">
        <v>0</v>
      </c>
    </row>
    <row r="54" spans="1:72" x14ac:dyDescent="0.25">
      <c r="A54" s="9" t="s">
        <v>72</v>
      </c>
      <c r="B54" s="9" t="s">
        <v>10449</v>
      </c>
      <c r="C54" s="9" t="s">
        <v>74</v>
      </c>
      <c r="D54" s="9" t="s">
        <v>74</v>
      </c>
      <c r="E54" s="9" t="s">
        <v>74</v>
      </c>
      <c r="F54" s="9" t="s">
        <v>10450</v>
      </c>
      <c r="G54" s="9" t="s">
        <v>74</v>
      </c>
      <c r="H54" s="9" t="s">
        <v>74</v>
      </c>
      <c r="I54" s="9" t="s">
        <v>10451</v>
      </c>
      <c r="J54" s="9" t="s">
        <v>4541</v>
      </c>
      <c r="K54" s="9" t="s">
        <v>74</v>
      </c>
      <c r="L54" s="9" t="s">
        <v>74</v>
      </c>
      <c r="M54" s="9" t="s">
        <v>78</v>
      </c>
      <c r="N54" s="9" t="s">
        <v>79</v>
      </c>
      <c r="O54" s="9" t="s">
        <v>74</v>
      </c>
      <c r="P54" s="9" t="s">
        <v>74</v>
      </c>
      <c r="Q54" s="9" t="s">
        <v>74</v>
      </c>
      <c r="R54" s="9" t="s">
        <v>74</v>
      </c>
      <c r="S54" s="9" t="s">
        <v>74</v>
      </c>
      <c r="T54" s="9" t="s">
        <v>10452</v>
      </c>
      <c r="U54" s="9" t="s">
        <v>74</v>
      </c>
      <c r="V54" s="9" t="s">
        <v>10453</v>
      </c>
      <c r="W54" s="9" t="s">
        <v>10454</v>
      </c>
      <c r="X54" s="9" t="s">
        <v>10455</v>
      </c>
      <c r="Y54" s="9" t="s">
        <v>10456</v>
      </c>
      <c r="Z54" s="9" t="s">
        <v>10457</v>
      </c>
      <c r="AA54" s="9" t="s">
        <v>74</v>
      </c>
      <c r="AB54" s="9" t="s">
        <v>10458</v>
      </c>
      <c r="AC54" s="9" t="s">
        <v>74</v>
      </c>
      <c r="AD54" s="9" t="s">
        <v>74</v>
      </c>
      <c r="AE54" s="9" t="s">
        <v>74</v>
      </c>
      <c r="AF54" s="9" t="s">
        <v>74</v>
      </c>
      <c r="AG54" s="9">
        <v>5</v>
      </c>
      <c r="AH54" s="9">
        <v>23</v>
      </c>
      <c r="AI54" s="9">
        <v>24</v>
      </c>
      <c r="AJ54" s="9">
        <v>3</v>
      </c>
      <c r="AK54" s="9">
        <v>76</v>
      </c>
      <c r="AL54" s="9" t="s">
        <v>1636</v>
      </c>
      <c r="AM54" s="9" t="s">
        <v>93</v>
      </c>
      <c r="AN54" s="9" t="s">
        <v>1637</v>
      </c>
      <c r="AO54" s="9" t="s">
        <v>4554</v>
      </c>
      <c r="AP54" s="9" t="s">
        <v>4555</v>
      </c>
      <c r="AQ54" s="9" t="s">
        <v>74</v>
      </c>
      <c r="AR54" s="9" t="s">
        <v>4556</v>
      </c>
      <c r="AS54" s="9" t="s">
        <v>4557</v>
      </c>
      <c r="AT54" s="9" t="s">
        <v>476</v>
      </c>
      <c r="AU54" s="9">
        <v>2017</v>
      </c>
      <c r="AV54" s="9">
        <v>37</v>
      </c>
      <c r="AW54" s="9">
        <v>6</v>
      </c>
      <c r="AX54" s="9" t="s">
        <v>74</v>
      </c>
      <c r="AY54" s="9" t="s">
        <v>74</v>
      </c>
      <c r="AZ54" s="9" t="s">
        <v>74</v>
      </c>
      <c r="BA54" s="9" t="s">
        <v>74</v>
      </c>
      <c r="BB54" s="9">
        <v>713</v>
      </c>
      <c r="BC54" s="9">
        <v>715</v>
      </c>
      <c r="BD54" s="9" t="s">
        <v>74</v>
      </c>
      <c r="BE54" s="9" t="s">
        <v>10459</v>
      </c>
      <c r="BF54" s="9">
        <v>0</v>
      </c>
      <c r="BG54" s="9" t="s">
        <v>74</v>
      </c>
      <c r="BH54" s="9" t="s">
        <v>74</v>
      </c>
      <c r="BI54" s="9">
        <v>3</v>
      </c>
      <c r="BJ54" s="9" t="s">
        <v>3050</v>
      </c>
      <c r="BK54" s="9" t="s">
        <v>156</v>
      </c>
      <c r="BL54" s="9" t="s">
        <v>3050</v>
      </c>
      <c r="BM54" s="9" t="s">
        <v>10460</v>
      </c>
      <c r="BN54" s="9" t="s">
        <v>74</v>
      </c>
      <c r="BO54" s="9" t="s">
        <v>74</v>
      </c>
      <c r="BP54" s="9" t="s">
        <v>74</v>
      </c>
      <c r="BQ54" s="9" t="s">
        <v>74</v>
      </c>
      <c r="BR54" s="9" t="s">
        <v>12946</v>
      </c>
      <c r="BS54" s="9" t="s">
        <v>10461</v>
      </c>
      <c r="BT54" s="9">
        <v>0</v>
      </c>
    </row>
    <row r="55" spans="1:72" x14ac:dyDescent="0.25">
      <c r="A55" s="9" t="s">
        <v>72</v>
      </c>
      <c r="B55" s="9" t="s">
        <v>3661</v>
      </c>
      <c r="C55" s="9" t="s">
        <v>74</v>
      </c>
      <c r="D55" s="9" t="s">
        <v>74</v>
      </c>
      <c r="E55" s="9" t="s">
        <v>74</v>
      </c>
      <c r="F55" s="9" t="s">
        <v>3662</v>
      </c>
      <c r="G55" s="9" t="s">
        <v>74</v>
      </c>
      <c r="H55" s="9" t="s">
        <v>74</v>
      </c>
      <c r="I55" s="9" t="s">
        <v>3663</v>
      </c>
      <c r="J55" s="9" t="s">
        <v>3664</v>
      </c>
      <c r="K55" s="9" t="s">
        <v>74</v>
      </c>
      <c r="L55" s="9" t="s">
        <v>74</v>
      </c>
      <c r="M55" s="9" t="s">
        <v>78</v>
      </c>
      <c r="N55" s="9" t="s">
        <v>79</v>
      </c>
      <c r="O55" s="9" t="s">
        <v>74</v>
      </c>
      <c r="P55" s="9" t="s">
        <v>74</v>
      </c>
      <c r="Q55" s="9" t="s">
        <v>74</v>
      </c>
      <c r="R55" s="9" t="s">
        <v>74</v>
      </c>
      <c r="S55" s="9" t="s">
        <v>74</v>
      </c>
      <c r="T55" s="9" t="s">
        <v>3665</v>
      </c>
      <c r="U55" s="9" t="s">
        <v>13019</v>
      </c>
      <c r="V55" s="9" t="s">
        <v>3667</v>
      </c>
      <c r="W55" s="9" t="s">
        <v>3668</v>
      </c>
      <c r="X55" s="9" t="s">
        <v>3669</v>
      </c>
      <c r="Y55" s="9" t="s">
        <v>3670</v>
      </c>
      <c r="Z55" s="9" t="s">
        <v>3671</v>
      </c>
      <c r="AA55" s="9" t="s">
        <v>13020</v>
      </c>
      <c r="AB55" s="9" t="s">
        <v>13021</v>
      </c>
      <c r="AC55" s="9" t="s">
        <v>74</v>
      </c>
      <c r="AD55" s="9" t="s">
        <v>74</v>
      </c>
      <c r="AE55" s="9" t="s">
        <v>74</v>
      </c>
      <c r="AF55" s="9" t="s">
        <v>74</v>
      </c>
      <c r="AG55" s="9">
        <v>71</v>
      </c>
      <c r="AH55" s="9">
        <v>22</v>
      </c>
      <c r="AI55" s="9">
        <v>22</v>
      </c>
      <c r="AJ55" s="9">
        <v>6</v>
      </c>
      <c r="AK55" s="9">
        <v>55</v>
      </c>
      <c r="AL55" s="9" t="s">
        <v>715</v>
      </c>
      <c r="AM55" s="9" t="s">
        <v>4411</v>
      </c>
      <c r="AN55" s="9" t="s">
        <v>12985</v>
      </c>
      <c r="AO55" s="9" t="s">
        <v>3674</v>
      </c>
      <c r="AP55" s="9" t="s">
        <v>3675</v>
      </c>
      <c r="AQ55" s="9" t="s">
        <v>74</v>
      </c>
      <c r="AR55" s="9" t="s">
        <v>3676</v>
      </c>
      <c r="AS55" s="9" t="s">
        <v>3677</v>
      </c>
      <c r="AT55" s="9" t="s">
        <v>6402</v>
      </c>
      <c r="AU55" s="9">
        <v>2023</v>
      </c>
      <c r="AV55" s="9">
        <v>30</v>
      </c>
      <c r="AW55" s="9">
        <v>9</v>
      </c>
      <c r="AX55" s="9" t="s">
        <v>74</v>
      </c>
      <c r="AY55" s="9" t="s">
        <v>74</v>
      </c>
      <c r="AZ55" s="9" t="s">
        <v>74</v>
      </c>
      <c r="BA55" s="9" t="s">
        <v>74</v>
      </c>
      <c r="BB55" s="9">
        <v>3040</v>
      </c>
      <c r="BC55" s="9">
        <v>3066</v>
      </c>
      <c r="BD55" s="9" t="s">
        <v>74</v>
      </c>
      <c r="BE55" s="9" t="s">
        <v>3679</v>
      </c>
      <c r="BF55" s="9">
        <v>0</v>
      </c>
      <c r="BG55" s="9" t="s">
        <v>74</v>
      </c>
      <c r="BH55" s="9" t="s">
        <v>3464</v>
      </c>
      <c r="BI55" s="9">
        <v>27</v>
      </c>
      <c r="BJ55" s="9" t="s">
        <v>315</v>
      </c>
      <c r="BK55" s="9" t="s">
        <v>183</v>
      </c>
      <c r="BL55" s="9" t="s">
        <v>265</v>
      </c>
      <c r="BM55" s="9" t="s">
        <v>13022</v>
      </c>
      <c r="BN55" s="9" t="s">
        <v>74</v>
      </c>
      <c r="BO55" s="9" t="s">
        <v>74</v>
      </c>
      <c r="BP55" s="9" t="s">
        <v>74</v>
      </c>
      <c r="BQ55" s="9" t="s">
        <v>74</v>
      </c>
      <c r="BR55" s="9" t="s">
        <v>12946</v>
      </c>
      <c r="BS55" s="9" t="s">
        <v>3681</v>
      </c>
      <c r="BT55" s="9">
        <v>0</v>
      </c>
    </row>
    <row r="56" spans="1:72" x14ac:dyDescent="0.25">
      <c r="A56" s="9" t="s">
        <v>72</v>
      </c>
      <c r="B56" s="9" t="s">
        <v>7651</v>
      </c>
      <c r="C56" s="9" t="s">
        <v>74</v>
      </c>
      <c r="D56" s="9" t="s">
        <v>74</v>
      </c>
      <c r="E56" s="9" t="s">
        <v>74</v>
      </c>
      <c r="F56" s="9" t="s">
        <v>7652</v>
      </c>
      <c r="G56" s="9" t="s">
        <v>74</v>
      </c>
      <c r="H56" s="9" t="s">
        <v>74</v>
      </c>
      <c r="I56" s="9" t="s">
        <v>7653</v>
      </c>
      <c r="J56" s="9" t="s">
        <v>1145</v>
      </c>
      <c r="K56" s="9" t="s">
        <v>74</v>
      </c>
      <c r="L56" s="9" t="s">
        <v>74</v>
      </c>
      <c r="M56" s="9" t="s">
        <v>78</v>
      </c>
      <c r="N56" s="9" t="s">
        <v>79</v>
      </c>
      <c r="O56" s="9" t="s">
        <v>74</v>
      </c>
      <c r="P56" s="9" t="s">
        <v>74</v>
      </c>
      <c r="Q56" s="9" t="s">
        <v>74</v>
      </c>
      <c r="R56" s="9" t="s">
        <v>74</v>
      </c>
      <c r="S56" s="9" t="s">
        <v>74</v>
      </c>
      <c r="T56" s="9" t="s">
        <v>7654</v>
      </c>
      <c r="U56" s="9" t="s">
        <v>7655</v>
      </c>
      <c r="V56" s="9" t="s">
        <v>7656</v>
      </c>
      <c r="W56" s="9" t="s">
        <v>7657</v>
      </c>
      <c r="X56" s="9" t="s">
        <v>7658</v>
      </c>
      <c r="Y56" s="9" t="s">
        <v>7659</v>
      </c>
      <c r="Z56" s="9" t="s">
        <v>7660</v>
      </c>
      <c r="AA56" s="9" t="s">
        <v>13023</v>
      </c>
      <c r="AB56" s="9" t="s">
        <v>13024</v>
      </c>
      <c r="AC56" s="9" t="s">
        <v>74</v>
      </c>
      <c r="AD56" s="9" t="s">
        <v>74</v>
      </c>
      <c r="AE56" s="9" t="s">
        <v>74</v>
      </c>
      <c r="AF56" s="9" t="s">
        <v>74</v>
      </c>
      <c r="AG56" s="9">
        <v>68</v>
      </c>
      <c r="AH56" s="9">
        <v>22</v>
      </c>
      <c r="AI56" s="9">
        <v>27</v>
      </c>
      <c r="AJ56" s="9">
        <v>11</v>
      </c>
      <c r="AK56" s="9">
        <v>214</v>
      </c>
      <c r="AL56" s="9" t="s">
        <v>1154</v>
      </c>
      <c r="AM56" s="9" t="s">
        <v>1155</v>
      </c>
      <c r="AN56" s="9" t="s">
        <v>1156</v>
      </c>
      <c r="AO56" s="9" t="s">
        <v>1157</v>
      </c>
      <c r="AP56" s="9" t="s">
        <v>1158</v>
      </c>
      <c r="AQ56" s="9" t="s">
        <v>74</v>
      </c>
      <c r="AR56" s="9" t="s">
        <v>1159</v>
      </c>
      <c r="AS56" s="9" t="s">
        <v>1160</v>
      </c>
      <c r="AT56" s="9" t="s">
        <v>476</v>
      </c>
      <c r="AU56" s="9">
        <v>2020</v>
      </c>
      <c r="AV56" s="9">
        <v>25</v>
      </c>
      <c r="AW56" s="9">
        <v>2</v>
      </c>
      <c r="AX56" s="9" t="s">
        <v>74</v>
      </c>
      <c r="AY56" s="9" t="s">
        <v>74</v>
      </c>
      <c r="AZ56" s="9" t="s">
        <v>74</v>
      </c>
      <c r="BA56" s="9" t="s">
        <v>74</v>
      </c>
      <c r="BB56" s="9">
        <v>111</v>
      </c>
      <c r="BC56" s="9">
        <v>132</v>
      </c>
      <c r="BD56" s="9" t="s">
        <v>74</v>
      </c>
      <c r="BE56" s="9" t="s">
        <v>7663</v>
      </c>
      <c r="BF56" s="9">
        <v>0</v>
      </c>
      <c r="BG56" s="9" t="s">
        <v>74</v>
      </c>
      <c r="BH56" s="9" t="s">
        <v>74</v>
      </c>
      <c r="BI56" s="9">
        <v>22</v>
      </c>
      <c r="BJ56" s="9" t="s">
        <v>315</v>
      </c>
      <c r="BK56" s="9" t="s">
        <v>183</v>
      </c>
      <c r="BL56" s="9" t="s">
        <v>265</v>
      </c>
      <c r="BM56" s="9" t="s">
        <v>7664</v>
      </c>
      <c r="BN56" s="9" t="s">
        <v>74</v>
      </c>
      <c r="BO56" s="9" t="s">
        <v>186</v>
      </c>
      <c r="BP56" s="9" t="s">
        <v>74</v>
      </c>
      <c r="BQ56" s="9" t="s">
        <v>74</v>
      </c>
      <c r="BR56" s="9" t="s">
        <v>12946</v>
      </c>
      <c r="BS56" s="9" t="s">
        <v>7665</v>
      </c>
      <c r="BT56" s="9">
        <v>0</v>
      </c>
    </row>
    <row r="57" spans="1:72" x14ac:dyDescent="0.25">
      <c r="A57" s="9" t="s">
        <v>72</v>
      </c>
      <c r="B57" s="9" t="s">
        <v>10159</v>
      </c>
      <c r="C57" s="9" t="s">
        <v>74</v>
      </c>
      <c r="D57" s="9" t="s">
        <v>74</v>
      </c>
      <c r="E57" s="9" t="s">
        <v>74</v>
      </c>
      <c r="F57" s="9" t="s">
        <v>10160</v>
      </c>
      <c r="G57" s="9" t="s">
        <v>74</v>
      </c>
      <c r="H57" s="9" t="s">
        <v>74</v>
      </c>
      <c r="I57" s="9" t="s">
        <v>10161</v>
      </c>
      <c r="J57" s="9" t="s">
        <v>10162</v>
      </c>
      <c r="K57" s="9" t="s">
        <v>74</v>
      </c>
      <c r="L57" s="9" t="s">
        <v>74</v>
      </c>
      <c r="M57" s="9" t="s">
        <v>78</v>
      </c>
      <c r="N57" s="9" t="s">
        <v>79</v>
      </c>
      <c r="O57" s="9" t="s">
        <v>74</v>
      </c>
      <c r="P57" s="9" t="s">
        <v>74</v>
      </c>
      <c r="Q57" s="9" t="s">
        <v>74</v>
      </c>
      <c r="R57" s="9" t="s">
        <v>74</v>
      </c>
      <c r="S57" s="9" t="s">
        <v>74</v>
      </c>
      <c r="T57" s="9" t="s">
        <v>10163</v>
      </c>
      <c r="U57" s="9" t="s">
        <v>74</v>
      </c>
      <c r="V57" s="9" t="s">
        <v>10164</v>
      </c>
      <c r="W57" s="9" t="s">
        <v>10165</v>
      </c>
      <c r="X57" s="9" t="s">
        <v>74</v>
      </c>
      <c r="Y57" s="9" t="s">
        <v>10166</v>
      </c>
      <c r="Z57" s="9" t="s">
        <v>10167</v>
      </c>
      <c r="AA57" s="9" t="s">
        <v>13025</v>
      </c>
      <c r="AB57" s="9" t="s">
        <v>13026</v>
      </c>
      <c r="AC57" s="9" t="s">
        <v>74</v>
      </c>
      <c r="AD57" s="9" t="s">
        <v>74</v>
      </c>
      <c r="AE57" s="9" t="s">
        <v>74</v>
      </c>
      <c r="AF57" s="9" t="s">
        <v>74</v>
      </c>
      <c r="AG57" s="9">
        <v>16</v>
      </c>
      <c r="AH57" s="9">
        <v>22</v>
      </c>
      <c r="AI57" s="9">
        <v>26</v>
      </c>
      <c r="AJ57" s="9">
        <v>9</v>
      </c>
      <c r="AK57" s="9">
        <v>206</v>
      </c>
      <c r="AL57" s="9" t="s">
        <v>10169</v>
      </c>
      <c r="AM57" s="9" t="s">
        <v>10170</v>
      </c>
      <c r="AN57" s="9" t="s">
        <v>10171</v>
      </c>
      <c r="AO57" s="9" t="s">
        <v>10172</v>
      </c>
      <c r="AP57" s="9" t="s">
        <v>10173</v>
      </c>
      <c r="AQ57" s="9" t="s">
        <v>74</v>
      </c>
      <c r="AR57" s="9" t="s">
        <v>10174</v>
      </c>
      <c r="AS57" s="9" t="s">
        <v>10175</v>
      </c>
      <c r="AT57" s="9" t="s">
        <v>74</v>
      </c>
      <c r="AU57" s="9">
        <v>2018</v>
      </c>
      <c r="AV57" s="9">
        <v>23</v>
      </c>
      <c r="AW57" s="9">
        <v>1</v>
      </c>
      <c r="AX57" s="9" t="s">
        <v>74</v>
      </c>
      <c r="AY57" s="9" t="s">
        <v>74</v>
      </c>
      <c r="AZ57" s="9" t="s">
        <v>74</v>
      </c>
      <c r="BA57" s="9" t="s">
        <v>74</v>
      </c>
      <c r="BB57" s="9">
        <v>29</v>
      </c>
      <c r="BC57" s="9">
        <v>35</v>
      </c>
      <c r="BD57" s="9" t="s">
        <v>74</v>
      </c>
      <c r="BE57" s="9" t="s">
        <v>10176</v>
      </c>
      <c r="BF57" s="9">
        <v>0</v>
      </c>
      <c r="BG57" s="9" t="s">
        <v>74</v>
      </c>
      <c r="BH57" s="9" t="s">
        <v>74</v>
      </c>
      <c r="BI57" s="9">
        <v>7</v>
      </c>
      <c r="BJ57" s="9" t="s">
        <v>315</v>
      </c>
      <c r="BK57" s="9" t="s">
        <v>183</v>
      </c>
      <c r="BL57" s="9" t="s">
        <v>265</v>
      </c>
      <c r="BM57" s="9" t="s">
        <v>10177</v>
      </c>
      <c r="BN57" s="9" t="s">
        <v>74</v>
      </c>
      <c r="BO57" s="9" t="s">
        <v>2162</v>
      </c>
      <c r="BP57" s="9" t="s">
        <v>74</v>
      </c>
      <c r="BQ57" s="9" t="s">
        <v>74</v>
      </c>
      <c r="BR57" s="9" t="s">
        <v>12946</v>
      </c>
      <c r="BS57" s="9" t="s">
        <v>10178</v>
      </c>
      <c r="BT57" s="9">
        <v>0</v>
      </c>
    </row>
    <row r="58" spans="1:72" x14ac:dyDescent="0.25">
      <c r="A58" s="9" t="s">
        <v>72</v>
      </c>
      <c r="B58" s="9" t="s">
        <v>6242</v>
      </c>
      <c r="C58" s="9" t="s">
        <v>74</v>
      </c>
      <c r="D58" s="9" t="s">
        <v>74</v>
      </c>
      <c r="E58" s="9" t="s">
        <v>74</v>
      </c>
      <c r="F58" s="9" t="s">
        <v>6243</v>
      </c>
      <c r="G58" s="9" t="s">
        <v>74</v>
      </c>
      <c r="H58" s="9" t="s">
        <v>74</v>
      </c>
      <c r="I58" s="9" t="s">
        <v>6244</v>
      </c>
      <c r="J58" s="9" t="s">
        <v>4825</v>
      </c>
      <c r="K58" s="9" t="s">
        <v>74</v>
      </c>
      <c r="L58" s="9" t="s">
        <v>74</v>
      </c>
      <c r="M58" s="9" t="s">
        <v>78</v>
      </c>
      <c r="N58" s="9" t="s">
        <v>79</v>
      </c>
      <c r="O58" s="9" t="s">
        <v>74</v>
      </c>
      <c r="P58" s="9" t="s">
        <v>74</v>
      </c>
      <c r="Q58" s="9" t="s">
        <v>74</v>
      </c>
      <c r="R58" s="9" t="s">
        <v>74</v>
      </c>
      <c r="S58" s="9" t="s">
        <v>74</v>
      </c>
      <c r="T58" s="9" t="s">
        <v>6245</v>
      </c>
      <c r="U58" s="9" t="s">
        <v>6246</v>
      </c>
      <c r="V58" s="9" t="s">
        <v>6247</v>
      </c>
      <c r="W58" s="9" t="s">
        <v>6248</v>
      </c>
      <c r="X58" s="9" t="s">
        <v>13027</v>
      </c>
      <c r="Y58" s="9" t="s">
        <v>6250</v>
      </c>
      <c r="Z58" s="9" t="s">
        <v>6251</v>
      </c>
      <c r="AA58" s="9" t="s">
        <v>13028</v>
      </c>
      <c r="AB58" s="9" t="s">
        <v>6252</v>
      </c>
      <c r="AC58" s="9" t="s">
        <v>6253</v>
      </c>
      <c r="AD58" s="9" t="s">
        <v>6253</v>
      </c>
      <c r="AE58" s="9" t="s">
        <v>6254</v>
      </c>
      <c r="AF58" s="9" t="s">
        <v>74</v>
      </c>
      <c r="AG58" s="9">
        <v>48</v>
      </c>
      <c r="AH58" s="9">
        <v>21</v>
      </c>
      <c r="AI58" s="9">
        <v>23</v>
      </c>
      <c r="AJ58" s="9">
        <v>31</v>
      </c>
      <c r="AK58" s="9">
        <v>227</v>
      </c>
      <c r="AL58" s="9" t="s">
        <v>2153</v>
      </c>
      <c r="AM58" s="9" t="s">
        <v>2154</v>
      </c>
      <c r="AN58" s="9" t="s">
        <v>2155</v>
      </c>
      <c r="AO58" s="9" t="s">
        <v>4837</v>
      </c>
      <c r="AP58" s="9" t="s">
        <v>4838</v>
      </c>
      <c r="AQ58" s="9" t="s">
        <v>74</v>
      </c>
      <c r="AR58" s="9" t="s">
        <v>4839</v>
      </c>
      <c r="AS58" s="9" t="s">
        <v>4840</v>
      </c>
      <c r="AT58" s="9" t="s">
        <v>356</v>
      </c>
      <c r="AU58" s="9">
        <v>2023</v>
      </c>
      <c r="AV58" s="9">
        <v>70</v>
      </c>
      <c r="AW58" s="9">
        <v>9</v>
      </c>
      <c r="AX58" s="9" t="s">
        <v>74</v>
      </c>
      <c r="AY58" s="9" t="s">
        <v>74</v>
      </c>
      <c r="AZ58" s="9" t="s">
        <v>74</v>
      </c>
      <c r="BA58" s="9" t="s">
        <v>74</v>
      </c>
      <c r="BB58" s="9">
        <v>3183</v>
      </c>
      <c r="BC58" s="9">
        <v>3197</v>
      </c>
      <c r="BD58" s="9" t="s">
        <v>74</v>
      </c>
      <c r="BE58" s="9" t="s">
        <v>6255</v>
      </c>
      <c r="BF58" s="9">
        <v>0</v>
      </c>
      <c r="BG58" s="9" t="s">
        <v>74</v>
      </c>
      <c r="BH58" s="9" t="s">
        <v>6177</v>
      </c>
      <c r="BI58" s="9">
        <v>15</v>
      </c>
      <c r="BJ58" s="9" t="s">
        <v>4842</v>
      </c>
      <c r="BK58" s="9" t="s">
        <v>211</v>
      </c>
      <c r="BL58" s="9" t="s">
        <v>4843</v>
      </c>
      <c r="BM58" s="9" t="s">
        <v>6256</v>
      </c>
      <c r="BN58" s="9" t="s">
        <v>74</v>
      </c>
      <c r="BO58" s="9" t="s">
        <v>74</v>
      </c>
      <c r="BP58" s="9" t="s">
        <v>74</v>
      </c>
      <c r="BQ58" s="9" t="s">
        <v>74</v>
      </c>
      <c r="BR58" s="9" t="s">
        <v>12946</v>
      </c>
      <c r="BS58" s="9" t="s">
        <v>6257</v>
      </c>
      <c r="BT58" s="9">
        <v>0</v>
      </c>
    </row>
    <row r="59" spans="1:72" x14ac:dyDescent="0.25">
      <c r="A59" s="9" t="s">
        <v>72</v>
      </c>
      <c r="B59" s="9" t="s">
        <v>8011</v>
      </c>
      <c r="C59" s="9" t="s">
        <v>74</v>
      </c>
      <c r="D59" s="9" t="s">
        <v>74</v>
      </c>
      <c r="E59" s="9" t="s">
        <v>74</v>
      </c>
      <c r="F59" s="9" t="s">
        <v>8012</v>
      </c>
      <c r="G59" s="9" t="s">
        <v>74</v>
      </c>
      <c r="H59" s="9" t="s">
        <v>74</v>
      </c>
      <c r="I59" s="9" t="s">
        <v>8013</v>
      </c>
      <c r="J59" s="9" t="s">
        <v>8014</v>
      </c>
      <c r="K59" s="9" t="s">
        <v>74</v>
      </c>
      <c r="L59" s="9" t="s">
        <v>74</v>
      </c>
      <c r="M59" s="9" t="s">
        <v>78</v>
      </c>
      <c r="N59" s="9" t="s">
        <v>79</v>
      </c>
      <c r="O59" s="9" t="s">
        <v>74</v>
      </c>
      <c r="P59" s="9" t="s">
        <v>74</v>
      </c>
      <c r="Q59" s="9" t="s">
        <v>74</v>
      </c>
      <c r="R59" s="9" t="s">
        <v>74</v>
      </c>
      <c r="S59" s="9" t="s">
        <v>74</v>
      </c>
      <c r="T59" s="9" t="s">
        <v>8015</v>
      </c>
      <c r="U59" s="9" t="s">
        <v>8016</v>
      </c>
      <c r="V59" s="9" t="s">
        <v>8017</v>
      </c>
      <c r="W59" s="9" t="s">
        <v>8018</v>
      </c>
      <c r="X59" s="9" t="s">
        <v>8019</v>
      </c>
      <c r="Y59" s="9" t="s">
        <v>8020</v>
      </c>
      <c r="Z59" s="9" t="s">
        <v>8021</v>
      </c>
      <c r="AA59" s="9" t="s">
        <v>74</v>
      </c>
      <c r="AB59" s="9" t="s">
        <v>74</v>
      </c>
      <c r="AC59" s="9" t="s">
        <v>74</v>
      </c>
      <c r="AD59" s="9" t="s">
        <v>74</v>
      </c>
      <c r="AE59" s="9" t="s">
        <v>74</v>
      </c>
      <c r="AF59" s="9" t="s">
        <v>74</v>
      </c>
      <c r="AG59" s="9">
        <v>57</v>
      </c>
      <c r="AH59" s="9">
        <v>21</v>
      </c>
      <c r="AI59" s="9">
        <v>26</v>
      </c>
      <c r="AJ59" s="9">
        <v>2</v>
      </c>
      <c r="AK59" s="9">
        <v>65</v>
      </c>
      <c r="AL59" s="9" t="s">
        <v>715</v>
      </c>
      <c r="AM59" s="9" t="s">
        <v>716</v>
      </c>
      <c r="AN59" s="9" t="s">
        <v>717</v>
      </c>
      <c r="AO59" s="9" t="s">
        <v>8022</v>
      </c>
      <c r="AP59" s="9" t="s">
        <v>8023</v>
      </c>
      <c r="AQ59" s="9" t="s">
        <v>74</v>
      </c>
      <c r="AR59" s="9" t="s">
        <v>8024</v>
      </c>
      <c r="AS59" s="9" t="s">
        <v>8025</v>
      </c>
      <c r="AT59" s="9" t="s">
        <v>8026</v>
      </c>
      <c r="AU59" s="9">
        <v>2020</v>
      </c>
      <c r="AV59" s="9">
        <v>21</v>
      </c>
      <c r="AW59" s="9">
        <v>6</v>
      </c>
      <c r="AX59" s="9" t="s">
        <v>74</v>
      </c>
      <c r="AY59" s="9" t="s">
        <v>74</v>
      </c>
      <c r="AZ59" s="9" t="s">
        <v>74</v>
      </c>
      <c r="BA59" s="9" t="s">
        <v>74</v>
      </c>
      <c r="BB59" s="9">
        <v>835</v>
      </c>
      <c r="BC59" s="9">
        <v>851</v>
      </c>
      <c r="BD59" s="9" t="s">
        <v>74</v>
      </c>
      <c r="BE59" s="9" t="s">
        <v>8027</v>
      </c>
      <c r="BF59" s="9">
        <v>0</v>
      </c>
      <c r="BG59" s="9" t="s">
        <v>74</v>
      </c>
      <c r="BH59" s="9" t="s">
        <v>8028</v>
      </c>
      <c r="BI59" s="9">
        <v>17</v>
      </c>
      <c r="BJ59" s="9" t="s">
        <v>264</v>
      </c>
      <c r="BK59" s="9" t="s">
        <v>156</v>
      </c>
      <c r="BL59" s="9" t="s">
        <v>265</v>
      </c>
      <c r="BM59" s="9" t="s">
        <v>8029</v>
      </c>
      <c r="BN59" s="9" t="s">
        <v>74</v>
      </c>
      <c r="BO59" s="9" t="s">
        <v>74</v>
      </c>
      <c r="BP59" s="9" t="s">
        <v>74</v>
      </c>
      <c r="BQ59" s="9" t="s">
        <v>74</v>
      </c>
      <c r="BR59" s="9" t="s">
        <v>12946</v>
      </c>
      <c r="BS59" s="9" t="s">
        <v>8030</v>
      </c>
      <c r="BT59" s="9">
        <v>0</v>
      </c>
    </row>
    <row r="60" spans="1:72" x14ac:dyDescent="0.25">
      <c r="A60" s="9" t="s">
        <v>72</v>
      </c>
      <c r="B60" s="9" t="s">
        <v>8574</v>
      </c>
      <c r="C60" s="9" t="s">
        <v>74</v>
      </c>
      <c r="D60" s="9" t="s">
        <v>74</v>
      </c>
      <c r="E60" s="9" t="s">
        <v>74</v>
      </c>
      <c r="F60" s="9" t="s">
        <v>8575</v>
      </c>
      <c r="G60" s="9" t="s">
        <v>74</v>
      </c>
      <c r="H60" s="9" t="s">
        <v>74</v>
      </c>
      <c r="I60" s="9" t="s">
        <v>8576</v>
      </c>
      <c r="J60" s="9" t="s">
        <v>8577</v>
      </c>
      <c r="K60" s="9" t="s">
        <v>74</v>
      </c>
      <c r="L60" s="9" t="s">
        <v>74</v>
      </c>
      <c r="M60" s="9" t="s">
        <v>78</v>
      </c>
      <c r="N60" s="9" t="s">
        <v>79</v>
      </c>
      <c r="O60" s="9" t="s">
        <v>74</v>
      </c>
      <c r="P60" s="9" t="s">
        <v>74</v>
      </c>
      <c r="Q60" s="9" t="s">
        <v>74</v>
      </c>
      <c r="R60" s="9" t="s">
        <v>74</v>
      </c>
      <c r="S60" s="9" t="s">
        <v>74</v>
      </c>
      <c r="T60" s="9" t="s">
        <v>8578</v>
      </c>
      <c r="U60" s="9" t="s">
        <v>8579</v>
      </c>
      <c r="V60" s="9" t="s">
        <v>8580</v>
      </c>
      <c r="W60" s="9" t="s">
        <v>8581</v>
      </c>
      <c r="X60" s="9" t="s">
        <v>8582</v>
      </c>
      <c r="Y60" s="9" t="s">
        <v>8583</v>
      </c>
      <c r="Z60" s="9" t="s">
        <v>8584</v>
      </c>
      <c r="AA60" s="9" t="s">
        <v>8585</v>
      </c>
      <c r="AB60" s="9" t="s">
        <v>8586</v>
      </c>
      <c r="AC60" s="9" t="s">
        <v>8587</v>
      </c>
      <c r="AD60" s="9" t="s">
        <v>1278</v>
      </c>
      <c r="AE60" s="9" t="s">
        <v>8588</v>
      </c>
      <c r="AF60" s="9" t="s">
        <v>74</v>
      </c>
      <c r="AG60" s="9">
        <v>46</v>
      </c>
      <c r="AH60" s="9">
        <v>20</v>
      </c>
      <c r="AI60" s="9">
        <v>22</v>
      </c>
      <c r="AJ60" s="9">
        <v>12</v>
      </c>
      <c r="AK60" s="9">
        <v>236</v>
      </c>
      <c r="AL60" s="9" t="s">
        <v>492</v>
      </c>
      <c r="AM60" s="9" t="s">
        <v>493</v>
      </c>
      <c r="AN60" s="9" t="s">
        <v>494</v>
      </c>
      <c r="AO60" s="9" t="s">
        <v>8589</v>
      </c>
      <c r="AP60" s="9" t="s">
        <v>8590</v>
      </c>
      <c r="AQ60" s="9" t="s">
        <v>74</v>
      </c>
      <c r="AR60" s="9" t="s">
        <v>8591</v>
      </c>
      <c r="AS60" s="9" t="s">
        <v>8592</v>
      </c>
      <c r="AT60" s="9" t="s">
        <v>3505</v>
      </c>
      <c r="AU60" s="9">
        <v>2020</v>
      </c>
      <c r="AV60" s="9">
        <v>28</v>
      </c>
      <c r="AW60" s="9">
        <v>1</v>
      </c>
      <c r="AX60" s="9" t="s">
        <v>74</v>
      </c>
      <c r="AY60" s="9" t="s">
        <v>74</v>
      </c>
      <c r="AZ60" s="9" t="s">
        <v>74</v>
      </c>
      <c r="BA60" s="9" t="s">
        <v>74</v>
      </c>
      <c r="BB60" s="9">
        <v>77</v>
      </c>
      <c r="BC60" s="9">
        <v>93</v>
      </c>
      <c r="BD60" s="9" t="s">
        <v>74</v>
      </c>
      <c r="BE60" s="9" t="s">
        <v>8593</v>
      </c>
      <c r="BF60" s="9">
        <v>0</v>
      </c>
      <c r="BG60" s="9" t="s">
        <v>74</v>
      </c>
      <c r="BH60" s="9" t="s">
        <v>8594</v>
      </c>
      <c r="BI60" s="9">
        <v>17</v>
      </c>
      <c r="BJ60" s="9" t="s">
        <v>5288</v>
      </c>
      <c r="BK60" s="9" t="s">
        <v>156</v>
      </c>
      <c r="BL60" s="9" t="s">
        <v>265</v>
      </c>
      <c r="BM60" s="9" t="s">
        <v>8595</v>
      </c>
      <c r="BN60" s="9" t="s">
        <v>74</v>
      </c>
      <c r="BO60" s="9" t="s">
        <v>791</v>
      </c>
      <c r="BP60" s="9" t="s">
        <v>74</v>
      </c>
      <c r="BQ60" s="9" t="s">
        <v>74</v>
      </c>
      <c r="BR60" s="9" t="s">
        <v>12946</v>
      </c>
      <c r="BS60" s="9" t="s">
        <v>8596</v>
      </c>
      <c r="BT60" s="9">
        <v>0</v>
      </c>
    </row>
    <row r="61" spans="1:72" x14ac:dyDescent="0.25">
      <c r="A61" s="9" t="s">
        <v>72</v>
      </c>
      <c r="B61" s="9" t="s">
        <v>2020</v>
      </c>
      <c r="C61" s="9" t="s">
        <v>74</v>
      </c>
      <c r="D61" s="9" t="s">
        <v>74</v>
      </c>
      <c r="E61" s="9" t="s">
        <v>74</v>
      </c>
      <c r="F61" s="9" t="s">
        <v>2021</v>
      </c>
      <c r="G61" s="9" t="s">
        <v>74</v>
      </c>
      <c r="H61" s="9" t="s">
        <v>74</v>
      </c>
      <c r="I61" s="9" t="s">
        <v>2022</v>
      </c>
      <c r="J61" s="9" t="s">
        <v>321</v>
      </c>
      <c r="K61" s="9" t="s">
        <v>74</v>
      </c>
      <c r="L61" s="9" t="s">
        <v>74</v>
      </c>
      <c r="M61" s="9" t="s">
        <v>78</v>
      </c>
      <c r="N61" s="9" t="s">
        <v>79</v>
      </c>
      <c r="O61" s="9" t="s">
        <v>74</v>
      </c>
      <c r="P61" s="9" t="s">
        <v>74</v>
      </c>
      <c r="Q61" s="9" t="s">
        <v>74</v>
      </c>
      <c r="R61" s="9" t="s">
        <v>74</v>
      </c>
      <c r="S61" s="9" t="s">
        <v>74</v>
      </c>
      <c r="T61" s="9" t="s">
        <v>2023</v>
      </c>
      <c r="U61" s="9" t="s">
        <v>2024</v>
      </c>
      <c r="V61" s="9" t="s">
        <v>2025</v>
      </c>
      <c r="W61" s="9" t="s">
        <v>2026</v>
      </c>
      <c r="X61" s="9" t="s">
        <v>2027</v>
      </c>
      <c r="Y61" s="9" t="s">
        <v>2028</v>
      </c>
      <c r="Z61" s="9" t="s">
        <v>2029</v>
      </c>
      <c r="AA61" s="9" t="s">
        <v>13029</v>
      </c>
      <c r="AB61" s="9" t="s">
        <v>2030</v>
      </c>
      <c r="AC61" s="9" t="s">
        <v>74</v>
      </c>
      <c r="AD61" s="9" t="s">
        <v>74</v>
      </c>
      <c r="AE61" s="9" t="s">
        <v>74</v>
      </c>
      <c r="AF61" s="9" t="s">
        <v>74</v>
      </c>
      <c r="AG61" s="9">
        <v>99</v>
      </c>
      <c r="AH61" s="9">
        <v>19</v>
      </c>
      <c r="AI61" s="9">
        <v>20</v>
      </c>
      <c r="AJ61" s="9">
        <v>32</v>
      </c>
      <c r="AK61" s="9">
        <v>171</v>
      </c>
      <c r="AL61" s="9" t="s">
        <v>332</v>
      </c>
      <c r="AM61" s="9" t="s">
        <v>122</v>
      </c>
      <c r="AN61" s="9" t="s">
        <v>333</v>
      </c>
      <c r="AO61" s="9" t="s">
        <v>334</v>
      </c>
      <c r="AP61" s="9" t="s">
        <v>335</v>
      </c>
      <c r="AQ61" s="9" t="s">
        <v>74</v>
      </c>
      <c r="AR61" s="9" t="s">
        <v>336</v>
      </c>
      <c r="AS61" s="9" t="s">
        <v>337</v>
      </c>
      <c r="AT61" s="9" t="s">
        <v>1683</v>
      </c>
      <c r="AU61" s="9">
        <v>2023</v>
      </c>
      <c r="AV61" s="9">
        <v>188</v>
      </c>
      <c r="AW61" s="9" t="s">
        <v>74</v>
      </c>
      <c r="AX61" s="9" t="s">
        <v>74</v>
      </c>
      <c r="AY61" s="9" t="s">
        <v>74</v>
      </c>
      <c r="AZ61" s="9" t="s">
        <v>74</v>
      </c>
      <c r="BA61" s="9" t="s">
        <v>74</v>
      </c>
      <c r="BB61" s="9" t="s">
        <v>74</v>
      </c>
      <c r="BC61" s="9" t="s">
        <v>74</v>
      </c>
      <c r="BD61" s="9">
        <v>122288</v>
      </c>
      <c r="BE61" s="9" t="s">
        <v>2031</v>
      </c>
      <c r="BF61" s="9">
        <v>0</v>
      </c>
      <c r="BG61" s="9" t="s">
        <v>74</v>
      </c>
      <c r="BH61" s="9" t="s">
        <v>1999</v>
      </c>
      <c r="BI61" s="9">
        <v>9</v>
      </c>
      <c r="BJ61" s="9" t="s">
        <v>339</v>
      </c>
      <c r="BK61" s="9" t="s">
        <v>156</v>
      </c>
      <c r="BL61" s="9" t="s">
        <v>340</v>
      </c>
      <c r="BM61" s="9" t="s">
        <v>2032</v>
      </c>
      <c r="BN61" s="9">
        <v>36590467</v>
      </c>
      <c r="BO61" s="9" t="s">
        <v>3175</v>
      </c>
      <c r="BP61" s="9" t="s">
        <v>74</v>
      </c>
      <c r="BQ61" s="9" t="s">
        <v>74</v>
      </c>
      <c r="BR61" s="9" t="s">
        <v>12946</v>
      </c>
      <c r="BS61" s="9" t="s">
        <v>2034</v>
      </c>
      <c r="BT61" s="9">
        <v>0</v>
      </c>
    </row>
    <row r="62" spans="1:72" x14ac:dyDescent="0.25">
      <c r="A62" s="9" t="s">
        <v>72</v>
      </c>
      <c r="B62" s="9" t="s">
        <v>4019</v>
      </c>
      <c r="C62" s="9" t="s">
        <v>74</v>
      </c>
      <c r="D62" s="9" t="s">
        <v>74</v>
      </c>
      <c r="E62" s="9" t="s">
        <v>74</v>
      </c>
      <c r="F62" s="9" t="s">
        <v>4020</v>
      </c>
      <c r="G62" s="9" t="s">
        <v>74</v>
      </c>
      <c r="H62" s="9" t="s">
        <v>74</v>
      </c>
      <c r="I62" s="9" t="s">
        <v>4021</v>
      </c>
      <c r="J62" s="9" t="s">
        <v>4022</v>
      </c>
      <c r="K62" s="9" t="s">
        <v>74</v>
      </c>
      <c r="L62" s="9" t="s">
        <v>74</v>
      </c>
      <c r="M62" s="9" t="s">
        <v>78</v>
      </c>
      <c r="N62" s="9" t="s">
        <v>79</v>
      </c>
      <c r="O62" s="9" t="s">
        <v>74</v>
      </c>
      <c r="P62" s="9" t="s">
        <v>74</v>
      </c>
      <c r="Q62" s="9" t="s">
        <v>74</v>
      </c>
      <c r="R62" s="9" t="s">
        <v>74</v>
      </c>
      <c r="S62" s="9" t="s">
        <v>74</v>
      </c>
      <c r="T62" s="9" t="s">
        <v>4023</v>
      </c>
      <c r="U62" s="9" t="s">
        <v>4024</v>
      </c>
      <c r="V62" s="9" t="s">
        <v>4025</v>
      </c>
      <c r="W62" s="9" t="s">
        <v>4026</v>
      </c>
      <c r="X62" s="9" t="s">
        <v>4027</v>
      </c>
      <c r="Y62" s="9" t="s">
        <v>4028</v>
      </c>
      <c r="Z62" s="9" t="s">
        <v>4029</v>
      </c>
      <c r="AA62" s="9" t="s">
        <v>13030</v>
      </c>
      <c r="AB62" s="9" t="s">
        <v>4030</v>
      </c>
      <c r="AC62" s="9" t="s">
        <v>74</v>
      </c>
      <c r="AD62" s="9" t="s">
        <v>74</v>
      </c>
      <c r="AE62" s="9" t="s">
        <v>74</v>
      </c>
      <c r="AF62" s="9" t="s">
        <v>74</v>
      </c>
      <c r="AG62" s="9">
        <v>100</v>
      </c>
      <c r="AH62" s="9">
        <v>19</v>
      </c>
      <c r="AI62" s="9">
        <v>19</v>
      </c>
      <c r="AJ62" s="9">
        <v>7</v>
      </c>
      <c r="AK62" s="9">
        <v>68</v>
      </c>
      <c r="AL62" s="9" t="s">
        <v>3188</v>
      </c>
      <c r="AM62" s="9" t="s">
        <v>3189</v>
      </c>
      <c r="AN62" s="9" t="s">
        <v>3190</v>
      </c>
      <c r="AO62" s="9" t="s">
        <v>4031</v>
      </c>
      <c r="AP62" s="9" t="s">
        <v>4032</v>
      </c>
      <c r="AQ62" s="9" t="s">
        <v>74</v>
      </c>
      <c r="AR62" s="9" t="s">
        <v>4033</v>
      </c>
      <c r="AS62" s="9" t="s">
        <v>4034</v>
      </c>
      <c r="AT62" s="9" t="s">
        <v>13031</v>
      </c>
      <c r="AU62" s="9">
        <v>2024</v>
      </c>
      <c r="AV62" s="9">
        <v>62</v>
      </c>
      <c r="AW62" s="9">
        <v>2</v>
      </c>
      <c r="AX62" s="9" t="s">
        <v>74</v>
      </c>
      <c r="AY62" s="9" t="s">
        <v>74</v>
      </c>
      <c r="AZ62" s="9" t="s">
        <v>74</v>
      </c>
      <c r="BA62" s="9" t="s">
        <v>74</v>
      </c>
      <c r="BB62" s="9">
        <v>628</v>
      </c>
      <c r="BC62" s="9">
        <v>655</v>
      </c>
      <c r="BD62" s="9" t="s">
        <v>74</v>
      </c>
      <c r="BE62" s="9" t="s">
        <v>4036</v>
      </c>
      <c r="BF62" s="9">
        <v>0</v>
      </c>
      <c r="BG62" s="9" t="s">
        <v>74</v>
      </c>
      <c r="BH62" s="9" t="s">
        <v>4037</v>
      </c>
      <c r="BI62" s="9">
        <v>28</v>
      </c>
      <c r="BJ62" s="9" t="s">
        <v>315</v>
      </c>
      <c r="BK62" s="9" t="s">
        <v>156</v>
      </c>
      <c r="BL62" s="9" t="s">
        <v>265</v>
      </c>
      <c r="BM62" s="9" t="s">
        <v>13032</v>
      </c>
      <c r="BN62" s="9" t="s">
        <v>74</v>
      </c>
      <c r="BO62" s="9" t="s">
        <v>3068</v>
      </c>
      <c r="BP62" s="9" t="s">
        <v>74</v>
      </c>
      <c r="BQ62" s="9" t="s">
        <v>74</v>
      </c>
      <c r="BR62" s="9" t="s">
        <v>12946</v>
      </c>
      <c r="BS62" s="9" t="s">
        <v>4039</v>
      </c>
      <c r="BT62" s="9">
        <v>0</v>
      </c>
    </row>
    <row r="63" spans="1:72" x14ac:dyDescent="0.25">
      <c r="A63" s="9" t="s">
        <v>72</v>
      </c>
      <c r="B63" s="9" t="s">
        <v>5899</v>
      </c>
      <c r="C63" s="9" t="s">
        <v>74</v>
      </c>
      <c r="D63" s="9" t="s">
        <v>74</v>
      </c>
      <c r="E63" s="9" t="s">
        <v>74</v>
      </c>
      <c r="F63" s="9" t="s">
        <v>5900</v>
      </c>
      <c r="G63" s="9" t="s">
        <v>74</v>
      </c>
      <c r="H63" s="9" t="s">
        <v>74</v>
      </c>
      <c r="I63" s="9" t="s">
        <v>5901</v>
      </c>
      <c r="J63" s="9" t="s">
        <v>191</v>
      </c>
      <c r="K63" s="9" t="s">
        <v>74</v>
      </c>
      <c r="L63" s="9" t="s">
        <v>74</v>
      </c>
      <c r="M63" s="9" t="s">
        <v>78</v>
      </c>
      <c r="N63" s="9" t="s">
        <v>79</v>
      </c>
      <c r="O63" s="9" t="s">
        <v>74</v>
      </c>
      <c r="P63" s="9" t="s">
        <v>74</v>
      </c>
      <c r="Q63" s="9" t="s">
        <v>74</v>
      </c>
      <c r="R63" s="9" t="s">
        <v>74</v>
      </c>
      <c r="S63" s="9" t="s">
        <v>74</v>
      </c>
      <c r="T63" s="9" t="s">
        <v>5902</v>
      </c>
      <c r="U63" s="9" t="s">
        <v>5903</v>
      </c>
      <c r="V63" s="9" t="s">
        <v>5904</v>
      </c>
      <c r="W63" s="9" t="s">
        <v>5905</v>
      </c>
      <c r="X63" s="9" t="s">
        <v>5906</v>
      </c>
      <c r="Y63" s="9" t="s">
        <v>5907</v>
      </c>
      <c r="Z63" s="9" t="s">
        <v>5908</v>
      </c>
      <c r="AA63" s="9" t="s">
        <v>74</v>
      </c>
      <c r="AB63" s="9" t="s">
        <v>13033</v>
      </c>
      <c r="AC63" s="9" t="s">
        <v>74</v>
      </c>
      <c r="AD63" s="9" t="s">
        <v>74</v>
      </c>
      <c r="AE63" s="9" t="s">
        <v>74</v>
      </c>
      <c r="AF63" s="9" t="s">
        <v>74</v>
      </c>
      <c r="AG63" s="9">
        <v>43</v>
      </c>
      <c r="AH63" s="9">
        <v>19</v>
      </c>
      <c r="AI63" s="9">
        <v>19</v>
      </c>
      <c r="AJ63" s="9">
        <v>38</v>
      </c>
      <c r="AK63" s="9">
        <v>393</v>
      </c>
      <c r="AL63" s="9" t="s">
        <v>202</v>
      </c>
      <c r="AM63" s="9" t="s">
        <v>203</v>
      </c>
      <c r="AN63" s="9" t="s">
        <v>204</v>
      </c>
      <c r="AO63" s="9" t="s">
        <v>74</v>
      </c>
      <c r="AP63" s="9" t="s">
        <v>205</v>
      </c>
      <c r="AQ63" s="9" t="s">
        <v>74</v>
      </c>
      <c r="AR63" s="9" t="s">
        <v>206</v>
      </c>
      <c r="AS63" s="9" t="s">
        <v>207</v>
      </c>
      <c r="AT63" s="9" t="s">
        <v>356</v>
      </c>
      <c r="AU63" s="9">
        <v>2021</v>
      </c>
      <c r="AV63" s="9">
        <v>13</v>
      </c>
      <c r="AW63" s="9">
        <v>17</v>
      </c>
      <c r="AX63" s="9" t="s">
        <v>74</v>
      </c>
      <c r="AY63" s="9" t="s">
        <v>74</v>
      </c>
      <c r="AZ63" s="9" t="s">
        <v>74</v>
      </c>
      <c r="BA63" s="9" t="s">
        <v>74</v>
      </c>
      <c r="BB63" s="9" t="s">
        <v>74</v>
      </c>
      <c r="BC63" s="9" t="s">
        <v>74</v>
      </c>
      <c r="BD63" s="9">
        <v>9766</v>
      </c>
      <c r="BE63" s="9" t="s">
        <v>5909</v>
      </c>
      <c r="BF63" s="9">
        <v>0</v>
      </c>
      <c r="BG63" s="9" t="s">
        <v>74</v>
      </c>
      <c r="BH63" s="9" t="s">
        <v>74</v>
      </c>
      <c r="BI63" s="9">
        <v>15</v>
      </c>
      <c r="BJ63" s="9" t="s">
        <v>210</v>
      </c>
      <c r="BK63" s="9" t="s">
        <v>211</v>
      </c>
      <c r="BL63" s="9" t="s">
        <v>212</v>
      </c>
      <c r="BM63" s="9" t="s">
        <v>5910</v>
      </c>
      <c r="BN63" s="9" t="s">
        <v>74</v>
      </c>
      <c r="BO63" s="9" t="s">
        <v>186</v>
      </c>
      <c r="BP63" s="9" t="s">
        <v>74</v>
      </c>
      <c r="BQ63" s="9" t="s">
        <v>74</v>
      </c>
      <c r="BR63" s="9" t="s">
        <v>12946</v>
      </c>
      <c r="BS63" s="9" t="s">
        <v>5911</v>
      </c>
      <c r="BT63" s="9">
        <v>0</v>
      </c>
    </row>
    <row r="64" spans="1:72" x14ac:dyDescent="0.25">
      <c r="A64" s="9" t="s">
        <v>72</v>
      </c>
      <c r="B64" s="9" t="s">
        <v>7904</v>
      </c>
      <c r="C64" s="9" t="s">
        <v>74</v>
      </c>
      <c r="D64" s="9" t="s">
        <v>74</v>
      </c>
      <c r="E64" s="9" t="s">
        <v>74</v>
      </c>
      <c r="F64" s="9" t="s">
        <v>7905</v>
      </c>
      <c r="G64" s="9" t="s">
        <v>74</v>
      </c>
      <c r="H64" s="9" t="s">
        <v>74</v>
      </c>
      <c r="I64" s="9" t="s">
        <v>7906</v>
      </c>
      <c r="J64" s="9" t="s">
        <v>5994</v>
      </c>
      <c r="K64" s="9" t="s">
        <v>74</v>
      </c>
      <c r="L64" s="9" t="s">
        <v>74</v>
      </c>
      <c r="M64" s="9" t="s">
        <v>78</v>
      </c>
      <c r="N64" s="9" t="s">
        <v>79</v>
      </c>
      <c r="O64" s="9" t="s">
        <v>74</v>
      </c>
      <c r="P64" s="9" t="s">
        <v>74</v>
      </c>
      <c r="Q64" s="9" t="s">
        <v>74</v>
      </c>
      <c r="R64" s="9" t="s">
        <v>74</v>
      </c>
      <c r="S64" s="9" t="s">
        <v>74</v>
      </c>
      <c r="T64" s="9" t="s">
        <v>7907</v>
      </c>
      <c r="U64" s="9" t="s">
        <v>7908</v>
      </c>
      <c r="V64" s="9" t="s">
        <v>7909</v>
      </c>
      <c r="W64" s="9" t="s">
        <v>7910</v>
      </c>
      <c r="X64" s="9" t="s">
        <v>7911</v>
      </c>
      <c r="Y64" s="9" t="s">
        <v>7912</v>
      </c>
      <c r="Z64" s="9" t="s">
        <v>7913</v>
      </c>
      <c r="AA64" s="9" t="s">
        <v>13034</v>
      </c>
      <c r="AB64" s="9" t="s">
        <v>7914</v>
      </c>
      <c r="AC64" s="9" t="s">
        <v>7915</v>
      </c>
      <c r="AD64" s="9" t="s">
        <v>7915</v>
      </c>
      <c r="AE64" s="9" t="s">
        <v>7916</v>
      </c>
      <c r="AF64" s="9" t="s">
        <v>74</v>
      </c>
      <c r="AG64" s="9">
        <v>95</v>
      </c>
      <c r="AH64" s="9">
        <v>19</v>
      </c>
      <c r="AI64" s="9">
        <v>19</v>
      </c>
      <c r="AJ64" s="9">
        <v>6</v>
      </c>
      <c r="AK64" s="9">
        <v>117</v>
      </c>
      <c r="AL64" s="9" t="s">
        <v>231</v>
      </c>
      <c r="AM64" s="9" t="s">
        <v>232</v>
      </c>
      <c r="AN64" s="9" t="s">
        <v>233</v>
      </c>
      <c r="AO64" s="9" t="s">
        <v>6007</v>
      </c>
      <c r="AP64" s="9" t="s">
        <v>6008</v>
      </c>
      <c r="AQ64" s="9" t="s">
        <v>74</v>
      </c>
      <c r="AR64" s="9" t="s">
        <v>6009</v>
      </c>
      <c r="AS64" s="9" t="s">
        <v>6010</v>
      </c>
      <c r="AT64" s="9" t="s">
        <v>1138</v>
      </c>
      <c r="AU64" s="9">
        <v>2020</v>
      </c>
      <c r="AV64" s="9">
        <v>29</v>
      </c>
      <c r="AW64" s="9">
        <v>2</v>
      </c>
      <c r="AX64" s="9" t="s">
        <v>74</v>
      </c>
      <c r="AY64" s="9" t="s">
        <v>74</v>
      </c>
      <c r="AZ64" s="9" t="s">
        <v>1020</v>
      </c>
      <c r="BA64" s="9" t="s">
        <v>74</v>
      </c>
      <c r="BB64" s="9" t="s">
        <v>74</v>
      </c>
      <c r="BC64" s="9" t="s">
        <v>74</v>
      </c>
      <c r="BD64" s="9">
        <v>101615</v>
      </c>
      <c r="BE64" s="9" t="s">
        <v>7917</v>
      </c>
      <c r="BF64" s="9">
        <v>0</v>
      </c>
      <c r="BG64" s="9" t="s">
        <v>74</v>
      </c>
      <c r="BH64" s="9" t="s">
        <v>74</v>
      </c>
      <c r="BI64" s="9">
        <v>26</v>
      </c>
      <c r="BJ64" s="9" t="s">
        <v>2581</v>
      </c>
      <c r="BK64" s="9" t="s">
        <v>211</v>
      </c>
      <c r="BL64" s="9" t="s">
        <v>767</v>
      </c>
      <c r="BM64" s="9" t="s">
        <v>7918</v>
      </c>
      <c r="BN64" s="9" t="s">
        <v>74</v>
      </c>
      <c r="BO64" s="9" t="s">
        <v>105</v>
      </c>
      <c r="BP64" s="9" t="s">
        <v>74</v>
      </c>
      <c r="BQ64" s="9" t="s">
        <v>74</v>
      </c>
      <c r="BR64" s="9" t="s">
        <v>12946</v>
      </c>
      <c r="BS64" s="9" t="s">
        <v>7919</v>
      </c>
      <c r="BT64" s="9">
        <v>0</v>
      </c>
    </row>
    <row r="65" spans="1:72" x14ac:dyDescent="0.25">
      <c r="A65" s="9" t="s">
        <v>72</v>
      </c>
      <c r="B65" s="9" t="s">
        <v>3053</v>
      </c>
      <c r="C65" s="9" t="s">
        <v>74</v>
      </c>
      <c r="D65" s="9" t="s">
        <v>74</v>
      </c>
      <c r="E65" s="9" t="s">
        <v>74</v>
      </c>
      <c r="F65" s="9" t="s">
        <v>3054</v>
      </c>
      <c r="G65" s="9" t="s">
        <v>74</v>
      </c>
      <c r="H65" s="9" t="s">
        <v>74</v>
      </c>
      <c r="I65" s="9" t="s">
        <v>3055</v>
      </c>
      <c r="J65" s="9" t="s">
        <v>321</v>
      </c>
      <c r="K65" s="9" t="s">
        <v>74</v>
      </c>
      <c r="L65" s="9" t="s">
        <v>74</v>
      </c>
      <c r="M65" s="9" t="s">
        <v>78</v>
      </c>
      <c r="N65" s="9" t="s">
        <v>79</v>
      </c>
      <c r="O65" s="9" t="s">
        <v>74</v>
      </c>
      <c r="P65" s="9" t="s">
        <v>74</v>
      </c>
      <c r="Q65" s="9" t="s">
        <v>74</v>
      </c>
      <c r="R65" s="9" t="s">
        <v>74</v>
      </c>
      <c r="S65" s="9" t="s">
        <v>74</v>
      </c>
      <c r="T65" s="9" t="s">
        <v>3056</v>
      </c>
      <c r="U65" s="9" t="s">
        <v>3057</v>
      </c>
      <c r="V65" s="9" t="s">
        <v>3058</v>
      </c>
      <c r="W65" s="9" t="s">
        <v>3059</v>
      </c>
      <c r="X65" s="9" t="s">
        <v>3060</v>
      </c>
      <c r="Y65" s="9" t="s">
        <v>3061</v>
      </c>
      <c r="Z65" s="9" t="s">
        <v>3062</v>
      </c>
      <c r="AA65" s="9" t="s">
        <v>74</v>
      </c>
      <c r="AB65" s="9" t="s">
        <v>3063</v>
      </c>
      <c r="AC65" s="9" t="s">
        <v>3064</v>
      </c>
      <c r="AD65" s="9" t="s">
        <v>3064</v>
      </c>
      <c r="AE65" s="9" t="s">
        <v>3065</v>
      </c>
      <c r="AF65" s="9" t="s">
        <v>74</v>
      </c>
      <c r="AG65" s="9">
        <v>93</v>
      </c>
      <c r="AH65" s="9">
        <v>18</v>
      </c>
      <c r="AI65" s="9">
        <v>18</v>
      </c>
      <c r="AJ65" s="9">
        <v>26</v>
      </c>
      <c r="AK65" s="9">
        <v>131</v>
      </c>
      <c r="AL65" s="9" t="s">
        <v>332</v>
      </c>
      <c r="AM65" s="9" t="s">
        <v>122</v>
      </c>
      <c r="AN65" s="9" t="s">
        <v>333</v>
      </c>
      <c r="AO65" s="9" t="s">
        <v>334</v>
      </c>
      <c r="AP65" s="9" t="s">
        <v>335</v>
      </c>
      <c r="AQ65" s="9" t="s">
        <v>74</v>
      </c>
      <c r="AR65" s="9" t="s">
        <v>336</v>
      </c>
      <c r="AS65" s="9" t="s">
        <v>337</v>
      </c>
      <c r="AT65" s="9" t="s">
        <v>476</v>
      </c>
      <c r="AU65" s="9">
        <v>2022</v>
      </c>
      <c r="AV65" s="9">
        <v>185</v>
      </c>
      <c r="AW65" s="9" t="s">
        <v>74</v>
      </c>
      <c r="AX65" s="9" t="s">
        <v>74</v>
      </c>
      <c r="AY65" s="9" t="s">
        <v>74</v>
      </c>
      <c r="AZ65" s="9" t="s">
        <v>74</v>
      </c>
      <c r="BA65" s="9" t="s">
        <v>74</v>
      </c>
      <c r="BB65" s="9" t="s">
        <v>74</v>
      </c>
      <c r="BC65" s="9" t="s">
        <v>74</v>
      </c>
      <c r="BD65" s="9">
        <v>122036</v>
      </c>
      <c r="BE65" s="9" t="s">
        <v>3066</v>
      </c>
      <c r="BF65" s="9">
        <v>0</v>
      </c>
      <c r="BG65" s="9" t="s">
        <v>74</v>
      </c>
      <c r="BH65" s="9" t="s">
        <v>3049</v>
      </c>
      <c r="BI65" s="9">
        <v>13</v>
      </c>
      <c r="BJ65" s="9" t="s">
        <v>339</v>
      </c>
      <c r="BK65" s="9" t="s">
        <v>156</v>
      </c>
      <c r="BL65" s="9" t="s">
        <v>340</v>
      </c>
      <c r="BM65" s="9" t="s">
        <v>3067</v>
      </c>
      <c r="BN65" s="9" t="s">
        <v>74</v>
      </c>
      <c r="BO65" s="9" t="s">
        <v>3068</v>
      </c>
      <c r="BP65" s="9" t="s">
        <v>74</v>
      </c>
      <c r="BQ65" s="9" t="s">
        <v>74</v>
      </c>
      <c r="BR65" s="9" t="s">
        <v>12946</v>
      </c>
      <c r="BS65" s="9" t="s">
        <v>3069</v>
      </c>
      <c r="BT65" s="9">
        <v>0</v>
      </c>
    </row>
    <row r="66" spans="1:72" x14ac:dyDescent="0.25">
      <c r="A66" s="9" t="s">
        <v>72</v>
      </c>
      <c r="B66" s="9" t="s">
        <v>9859</v>
      </c>
      <c r="C66" s="9" t="s">
        <v>74</v>
      </c>
      <c r="D66" s="9" t="s">
        <v>74</v>
      </c>
      <c r="E66" s="9" t="s">
        <v>74</v>
      </c>
      <c r="F66" s="9" t="s">
        <v>9860</v>
      </c>
      <c r="G66" s="9" t="s">
        <v>74</v>
      </c>
      <c r="H66" s="9" t="s">
        <v>74</v>
      </c>
      <c r="I66" s="9" t="s">
        <v>9861</v>
      </c>
      <c r="J66" s="9" t="s">
        <v>8111</v>
      </c>
      <c r="K66" s="9" t="s">
        <v>74</v>
      </c>
      <c r="L66" s="9" t="s">
        <v>74</v>
      </c>
      <c r="M66" s="9" t="s">
        <v>78</v>
      </c>
      <c r="N66" s="9" t="s">
        <v>79</v>
      </c>
      <c r="O66" s="9" t="s">
        <v>74</v>
      </c>
      <c r="P66" s="9" t="s">
        <v>74</v>
      </c>
      <c r="Q66" s="9" t="s">
        <v>74</v>
      </c>
      <c r="R66" s="9" t="s">
        <v>74</v>
      </c>
      <c r="S66" s="9" t="s">
        <v>74</v>
      </c>
      <c r="T66" s="9" t="s">
        <v>9862</v>
      </c>
      <c r="U66" s="9" t="s">
        <v>8948</v>
      </c>
      <c r="V66" s="9" t="s">
        <v>9863</v>
      </c>
      <c r="W66" s="9" t="s">
        <v>9864</v>
      </c>
      <c r="X66" s="9" t="s">
        <v>9865</v>
      </c>
      <c r="Y66" s="9" t="s">
        <v>9866</v>
      </c>
      <c r="Z66" s="9" t="s">
        <v>9867</v>
      </c>
      <c r="AA66" s="9" t="s">
        <v>13011</v>
      </c>
      <c r="AB66" s="9" t="s">
        <v>13035</v>
      </c>
      <c r="AC66" s="9" t="s">
        <v>74</v>
      </c>
      <c r="AD66" s="9" t="s">
        <v>74</v>
      </c>
      <c r="AE66" s="9" t="s">
        <v>74</v>
      </c>
      <c r="AF66" s="9" t="s">
        <v>74</v>
      </c>
      <c r="AG66" s="9">
        <v>33</v>
      </c>
      <c r="AH66" s="9">
        <v>18</v>
      </c>
      <c r="AI66" s="9">
        <v>20</v>
      </c>
      <c r="AJ66" s="9">
        <v>0</v>
      </c>
      <c r="AK66" s="9">
        <v>106</v>
      </c>
      <c r="AL66" s="9" t="s">
        <v>8121</v>
      </c>
      <c r="AM66" s="9" t="s">
        <v>8122</v>
      </c>
      <c r="AN66" s="9" t="s">
        <v>8123</v>
      </c>
      <c r="AO66" s="9" t="s">
        <v>8124</v>
      </c>
      <c r="AP66" s="9" t="s">
        <v>8125</v>
      </c>
      <c r="AQ66" s="9" t="s">
        <v>74</v>
      </c>
      <c r="AR66" s="9" t="s">
        <v>8126</v>
      </c>
      <c r="AS66" s="9" t="s">
        <v>8127</v>
      </c>
      <c r="AT66" s="9" t="s">
        <v>1348</v>
      </c>
      <c r="AU66" s="9">
        <v>2018</v>
      </c>
      <c r="AV66" s="9">
        <v>18</v>
      </c>
      <c r="AW66" s="9">
        <v>2</v>
      </c>
      <c r="AX66" s="9" t="s">
        <v>74</v>
      </c>
      <c r="AY66" s="9" t="s">
        <v>74</v>
      </c>
      <c r="AZ66" s="9" t="s">
        <v>74</v>
      </c>
      <c r="BA66" s="9" t="s">
        <v>74</v>
      </c>
      <c r="BB66" s="9">
        <v>70</v>
      </c>
      <c r="BC66" s="9">
        <v>99</v>
      </c>
      <c r="BD66" s="9" t="s">
        <v>74</v>
      </c>
      <c r="BE66" s="9" t="s">
        <v>9868</v>
      </c>
      <c r="BF66" s="9">
        <v>0</v>
      </c>
      <c r="BG66" s="9" t="s">
        <v>74</v>
      </c>
      <c r="BH66" s="9" t="s">
        <v>74</v>
      </c>
      <c r="BI66" s="9">
        <v>30</v>
      </c>
      <c r="BJ66" s="9" t="s">
        <v>315</v>
      </c>
      <c r="BK66" s="9" t="s">
        <v>183</v>
      </c>
      <c r="BL66" s="9" t="s">
        <v>265</v>
      </c>
      <c r="BM66" s="9" t="s">
        <v>9869</v>
      </c>
      <c r="BN66" s="9" t="s">
        <v>74</v>
      </c>
      <c r="BO66" s="9" t="s">
        <v>614</v>
      </c>
      <c r="BP66" s="9" t="s">
        <v>74</v>
      </c>
      <c r="BQ66" s="9" t="s">
        <v>74</v>
      </c>
      <c r="BR66" s="9" t="s">
        <v>12946</v>
      </c>
      <c r="BS66" s="9" t="s">
        <v>9870</v>
      </c>
      <c r="BT66" s="9">
        <v>0</v>
      </c>
    </row>
    <row r="67" spans="1:72" x14ac:dyDescent="0.25">
      <c r="A67" s="9" t="s">
        <v>72</v>
      </c>
      <c r="B67" s="9" t="s">
        <v>7387</v>
      </c>
      <c r="C67" s="9" t="s">
        <v>74</v>
      </c>
      <c r="D67" s="9" t="s">
        <v>74</v>
      </c>
      <c r="E67" s="9" t="s">
        <v>74</v>
      </c>
      <c r="F67" s="9" t="s">
        <v>7388</v>
      </c>
      <c r="G67" s="9" t="s">
        <v>74</v>
      </c>
      <c r="H67" s="9" t="s">
        <v>74</v>
      </c>
      <c r="I67" s="9" t="s">
        <v>7389</v>
      </c>
      <c r="J67" s="9" t="s">
        <v>7390</v>
      </c>
      <c r="K67" s="9" t="s">
        <v>74</v>
      </c>
      <c r="L67" s="9" t="s">
        <v>74</v>
      </c>
      <c r="M67" s="9" t="s">
        <v>78</v>
      </c>
      <c r="N67" s="9" t="s">
        <v>79</v>
      </c>
      <c r="O67" s="9" t="s">
        <v>74</v>
      </c>
      <c r="P67" s="9" t="s">
        <v>74</v>
      </c>
      <c r="Q67" s="9" t="s">
        <v>74</v>
      </c>
      <c r="R67" s="9" t="s">
        <v>74</v>
      </c>
      <c r="S67" s="9" t="s">
        <v>74</v>
      </c>
      <c r="T67" s="9" t="s">
        <v>7391</v>
      </c>
      <c r="U67" s="9" t="s">
        <v>7392</v>
      </c>
      <c r="V67" s="9" t="s">
        <v>7393</v>
      </c>
      <c r="W67" s="9" t="s">
        <v>7394</v>
      </c>
      <c r="X67" s="9" t="s">
        <v>13036</v>
      </c>
      <c r="Y67" s="9" t="s">
        <v>7396</v>
      </c>
      <c r="Z67" s="9" t="s">
        <v>7397</v>
      </c>
      <c r="AA67" s="9" t="s">
        <v>74</v>
      </c>
      <c r="AB67" s="9" t="s">
        <v>13037</v>
      </c>
      <c r="AC67" s="9" t="s">
        <v>7398</v>
      </c>
      <c r="AD67" s="9" t="s">
        <v>7398</v>
      </c>
      <c r="AE67" s="9" t="s">
        <v>7399</v>
      </c>
      <c r="AF67" s="9" t="s">
        <v>74</v>
      </c>
      <c r="AG67" s="9">
        <v>41</v>
      </c>
      <c r="AH67" s="9">
        <v>17</v>
      </c>
      <c r="AI67" s="9">
        <v>19</v>
      </c>
      <c r="AJ67" s="9">
        <v>2</v>
      </c>
      <c r="AK67" s="9">
        <v>35</v>
      </c>
      <c r="AL67" s="9" t="s">
        <v>231</v>
      </c>
      <c r="AM67" s="9" t="s">
        <v>232</v>
      </c>
      <c r="AN67" s="9" t="s">
        <v>233</v>
      </c>
      <c r="AO67" s="9" t="s">
        <v>7400</v>
      </c>
      <c r="AP67" s="9" t="s">
        <v>7401</v>
      </c>
      <c r="AQ67" s="9" t="s">
        <v>74</v>
      </c>
      <c r="AR67" s="9" t="s">
        <v>7402</v>
      </c>
      <c r="AS67" s="9" t="s">
        <v>7403</v>
      </c>
      <c r="AT67" s="9" t="s">
        <v>2068</v>
      </c>
      <c r="AU67" s="9">
        <v>2021</v>
      </c>
      <c r="AV67" s="9">
        <v>64</v>
      </c>
      <c r="AW67" s="9" t="s">
        <v>74</v>
      </c>
      <c r="AX67" s="9" t="s">
        <v>74</v>
      </c>
      <c r="AY67" s="9" t="s">
        <v>74</v>
      </c>
      <c r="AZ67" s="9" t="s">
        <v>74</v>
      </c>
      <c r="BA67" s="9" t="s">
        <v>74</v>
      </c>
      <c r="BB67" s="9">
        <v>158</v>
      </c>
      <c r="BC67" s="9">
        <v>172</v>
      </c>
      <c r="BD67" s="9" t="s">
        <v>74</v>
      </c>
      <c r="BE67" s="9" t="s">
        <v>7404</v>
      </c>
      <c r="BF67" s="9">
        <v>0</v>
      </c>
      <c r="BG67" s="9" t="s">
        <v>74</v>
      </c>
      <c r="BH67" s="9" t="s">
        <v>74</v>
      </c>
      <c r="BI67" s="9">
        <v>15</v>
      </c>
      <c r="BJ67" s="9" t="s">
        <v>7405</v>
      </c>
      <c r="BK67" s="9" t="s">
        <v>156</v>
      </c>
      <c r="BL67" s="9" t="s">
        <v>7405</v>
      </c>
      <c r="BM67" s="9" t="s">
        <v>7406</v>
      </c>
      <c r="BN67" s="9" t="s">
        <v>74</v>
      </c>
      <c r="BO67" s="9" t="s">
        <v>2623</v>
      </c>
      <c r="BP67" s="9" t="s">
        <v>74</v>
      </c>
      <c r="BQ67" s="9" t="s">
        <v>74</v>
      </c>
      <c r="BR67" s="9" t="s">
        <v>12946</v>
      </c>
      <c r="BS67" s="9" t="s">
        <v>7407</v>
      </c>
      <c r="BT67" s="9">
        <v>0</v>
      </c>
    </row>
    <row r="68" spans="1:72" x14ac:dyDescent="0.25">
      <c r="A68" s="9" t="s">
        <v>72</v>
      </c>
      <c r="B68" s="9" t="s">
        <v>2876</v>
      </c>
      <c r="C68" s="9" t="s">
        <v>74</v>
      </c>
      <c r="D68" s="9" t="s">
        <v>74</v>
      </c>
      <c r="E68" s="9" t="s">
        <v>74</v>
      </c>
      <c r="F68" s="9" t="s">
        <v>2877</v>
      </c>
      <c r="G68" s="9" t="s">
        <v>74</v>
      </c>
      <c r="H68" s="9" t="s">
        <v>74</v>
      </c>
      <c r="I68" s="9" t="s">
        <v>2878</v>
      </c>
      <c r="J68" s="9" t="s">
        <v>191</v>
      </c>
      <c r="K68" s="9" t="s">
        <v>74</v>
      </c>
      <c r="L68" s="9" t="s">
        <v>74</v>
      </c>
      <c r="M68" s="9" t="s">
        <v>78</v>
      </c>
      <c r="N68" s="9" t="s">
        <v>79</v>
      </c>
      <c r="O68" s="9" t="s">
        <v>74</v>
      </c>
      <c r="P68" s="9" t="s">
        <v>74</v>
      </c>
      <c r="Q68" s="9" t="s">
        <v>74</v>
      </c>
      <c r="R68" s="9" t="s">
        <v>74</v>
      </c>
      <c r="S68" s="9" t="s">
        <v>74</v>
      </c>
      <c r="T68" s="9" t="s">
        <v>2879</v>
      </c>
      <c r="U68" s="9" t="s">
        <v>2880</v>
      </c>
      <c r="V68" s="9" t="s">
        <v>2881</v>
      </c>
      <c r="W68" s="9" t="s">
        <v>2882</v>
      </c>
      <c r="X68" s="9" t="s">
        <v>2883</v>
      </c>
      <c r="Y68" s="9" t="s">
        <v>2884</v>
      </c>
      <c r="Z68" s="9" t="s">
        <v>2885</v>
      </c>
      <c r="AA68" s="9" t="s">
        <v>74</v>
      </c>
      <c r="AB68" s="9" t="s">
        <v>74</v>
      </c>
      <c r="AC68" s="9" t="s">
        <v>2886</v>
      </c>
      <c r="AD68" s="9" t="s">
        <v>2887</v>
      </c>
      <c r="AE68" s="9" t="s">
        <v>2888</v>
      </c>
      <c r="AF68" s="9" t="s">
        <v>74</v>
      </c>
      <c r="AG68" s="9">
        <v>55</v>
      </c>
      <c r="AH68" s="9">
        <v>16</v>
      </c>
      <c r="AI68" s="9">
        <v>16</v>
      </c>
      <c r="AJ68" s="9">
        <v>31</v>
      </c>
      <c r="AK68" s="9">
        <v>181</v>
      </c>
      <c r="AL68" s="9" t="s">
        <v>202</v>
      </c>
      <c r="AM68" s="9" t="s">
        <v>203</v>
      </c>
      <c r="AN68" s="9" t="s">
        <v>204</v>
      </c>
      <c r="AO68" s="9" t="s">
        <v>74</v>
      </c>
      <c r="AP68" s="9" t="s">
        <v>205</v>
      </c>
      <c r="AQ68" s="9" t="s">
        <v>74</v>
      </c>
      <c r="AR68" s="9" t="s">
        <v>206</v>
      </c>
      <c r="AS68" s="9" t="s">
        <v>207</v>
      </c>
      <c r="AT68" s="9" t="s">
        <v>208</v>
      </c>
      <c r="AU68" s="9">
        <v>2022</v>
      </c>
      <c r="AV68" s="9">
        <v>14</v>
      </c>
      <c r="AW68" s="9">
        <v>20</v>
      </c>
      <c r="AX68" s="9" t="s">
        <v>74</v>
      </c>
      <c r="AY68" s="9" t="s">
        <v>74</v>
      </c>
      <c r="AZ68" s="9" t="s">
        <v>74</v>
      </c>
      <c r="BA68" s="9" t="s">
        <v>74</v>
      </c>
      <c r="BB68" s="9" t="s">
        <v>74</v>
      </c>
      <c r="BC68" s="9" t="s">
        <v>74</v>
      </c>
      <c r="BD68" s="9">
        <v>13038</v>
      </c>
      <c r="BE68" s="9" t="s">
        <v>2889</v>
      </c>
      <c r="BF68" s="9">
        <v>0</v>
      </c>
      <c r="BG68" s="9" t="s">
        <v>74</v>
      </c>
      <c r="BH68" s="9" t="s">
        <v>74</v>
      </c>
      <c r="BI68" s="9">
        <v>23</v>
      </c>
      <c r="BJ68" s="9" t="s">
        <v>210</v>
      </c>
      <c r="BK68" s="9" t="s">
        <v>211</v>
      </c>
      <c r="BL68" s="9" t="s">
        <v>212</v>
      </c>
      <c r="BM68" s="9" t="s">
        <v>2890</v>
      </c>
      <c r="BN68" s="9" t="s">
        <v>74</v>
      </c>
      <c r="BO68" s="9" t="s">
        <v>186</v>
      </c>
      <c r="BP68" s="9" t="s">
        <v>74</v>
      </c>
      <c r="BQ68" s="9" t="s">
        <v>74</v>
      </c>
      <c r="BR68" s="9" t="s">
        <v>12946</v>
      </c>
      <c r="BS68" s="9" t="s">
        <v>2891</v>
      </c>
      <c r="BT68" s="9">
        <v>0</v>
      </c>
    </row>
    <row r="69" spans="1:72" x14ac:dyDescent="0.25">
      <c r="A69" s="9" t="s">
        <v>72</v>
      </c>
      <c r="B69" s="9" t="s">
        <v>7880</v>
      </c>
      <c r="C69" s="9" t="s">
        <v>74</v>
      </c>
      <c r="D69" s="9" t="s">
        <v>74</v>
      </c>
      <c r="E69" s="9" t="s">
        <v>74</v>
      </c>
      <c r="F69" s="9" t="s">
        <v>7881</v>
      </c>
      <c r="G69" s="9" t="s">
        <v>74</v>
      </c>
      <c r="H69" s="9" t="s">
        <v>74</v>
      </c>
      <c r="I69" s="9" t="s">
        <v>7882</v>
      </c>
      <c r="J69" s="9" t="s">
        <v>7883</v>
      </c>
      <c r="K69" s="9" t="s">
        <v>74</v>
      </c>
      <c r="L69" s="9" t="s">
        <v>74</v>
      </c>
      <c r="M69" s="9" t="s">
        <v>78</v>
      </c>
      <c r="N69" s="9" t="s">
        <v>7247</v>
      </c>
      <c r="O69" s="9" t="s">
        <v>7884</v>
      </c>
      <c r="P69" s="9" t="s">
        <v>7885</v>
      </c>
      <c r="Q69" s="9" t="s">
        <v>7886</v>
      </c>
      <c r="R69" s="9" t="s">
        <v>74</v>
      </c>
      <c r="S69" s="9" t="s">
        <v>7887</v>
      </c>
      <c r="T69" s="9" t="s">
        <v>7888</v>
      </c>
      <c r="U69" s="9" t="s">
        <v>7889</v>
      </c>
      <c r="V69" s="9" t="s">
        <v>7890</v>
      </c>
      <c r="W69" s="9" t="s">
        <v>7891</v>
      </c>
      <c r="X69" s="9" t="s">
        <v>74</v>
      </c>
      <c r="Y69" s="9" t="s">
        <v>7892</v>
      </c>
      <c r="Z69" s="9" t="s">
        <v>7893</v>
      </c>
      <c r="AA69" s="9" t="s">
        <v>74</v>
      </c>
      <c r="AB69" s="9" t="s">
        <v>74</v>
      </c>
      <c r="AC69" s="9" t="s">
        <v>74</v>
      </c>
      <c r="AD69" s="9" t="s">
        <v>74</v>
      </c>
      <c r="AE69" s="9" t="s">
        <v>74</v>
      </c>
      <c r="AF69" s="9" t="s">
        <v>74</v>
      </c>
      <c r="AG69" s="9">
        <v>40</v>
      </c>
      <c r="AH69" s="9">
        <v>16</v>
      </c>
      <c r="AI69" s="9">
        <v>18</v>
      </c>
      <c r="AJ69" s="9">
        <v>5</v>
      </c>
      <c r="AK69" s="9">
        <v>86</v>
      </c>
      <c r="AL69" s="9" t="s">
        <v>715</v>
      </c>
      <c r="AM69" s="9" t="s">
        <v>716</v>
      </c>
      <c r="AN69" s="9" t="s">
        <v>717</v>
      </c>
      <c r="AO69" s="9" t="s">
        <v>7895</v>
      </c>
      <c r="AP69" s="9" t="s">
        <v>7896</v>
      </c>
      <c r="AQ69" s="9" t="s">
        <v>74</v>
      </c>
      <c r="AR69" s="9" t="s">
        <v>7897</v>
      </c>
      <c r="AS69" s="9" t="s">
        <v>7898</v>
      </c>
      <c r="AT69" s="9" t="s">
        <v>7899</v>
      </c>
      <c r="AU69" s="9">
        <v>2020</v>
      </c>
      <c r="AV69" s="9">
        <v>26</v>
      </c>
      <c r="AW69" s="9">
        <v>3</v>
      </c>
      <c r="AX69" s="9" t="s">
        <v>74</v>
      </c>
      <c r="AY69" s="9" t="s">
        <v>74</v>
      </c>
      <c r="AZ69" s="9" t="s">
        <v>1020</v>
      </c>
      <c r="BA69" s="9" t="s">
        <v>74</v>
      </c>
      <c r="BB69" s="9">
        <v>707</v>
      </c>
      <c r="BC69" s="9">
        <v>720</v>
      </c>
      <c r="BD69" s="9" t="s">
        <v>74</v>
      </c>
      <c r="BE69" s="9" t="s">
        <v>7900</v>
      </c>
      <c r="BF69" s="9">
        <v>0</v>
      </c>
      <c r="BG69" s="9" t="s">
        <v>74</v>
      </c>
      <c r="BH69" s="9" t="s">
        <v>74</v>
      </c>
      <c r="BI69" s="9">
        <v>14</v>
      </c>
      <c r="BJ69" s="9" t="s">
        <v>264</v>
      </c>
      <c r="BK69" s="9" t="s">
        <v>7901</v>
      </c>
      <c r="BL69" s="9" t="s">
        <v>265</v>
      </c>
      <c r="BM69" s="9" t="s">
        <v>7902</v>
      </c>
      <c r="BN69" s="9" t="s">
        <v>74</v>
      </c>
      <c r="BO69" s="9" t="s">
        <v>74</v>
      </c>
      <c r="BP69" s="9" t="s">
        <v>74</v>
      </c>
      <c r="BQ69" s="9" t="s">
        <v>74</v>
      </c>
      <c r="BR69" s="9" t="s">
        <v>12946</v>
      </c>
      <c r="BS69" s="9" t="s">
        <v>7903</v>
      </c>
      <c r="BT69" s="9">
        <v>0</v>
      </c>
    </row>
    <row r="70" spans="1:72" x14ac:dyDescent="0.25">
      <c r="A70" s="9" t="s">
        <v>72</v>
      </c>
      <c r="B70" s="9" t="s">
        <v>10644</v>
      </c>
      <c r="C70" s="9" t="s">
        <v>74</v>
      </c>
      <c r="D70" s="9" t="s">
        <v>74</v>
      </c>
      <c r="E70" s="9" t="s">
        <v>74</v>
      </c>
      <c r="F70" s="9" t="s">
        <v>10645</v>
      </c>
      <c r="G70" s="9" t="s">
        <v>74</v>
      </c>
      <c r="H70" s="9" t="s">
        <v>74</v>
      </c>
      <c r="I70" s="9" t="s">
        <v>11534</v>
      </c>
      <c r="J70" s="9" t="s">
        <v>11353</v>
      </c>
      <c r="K70" s="9" t="s">
        <v>74</v>
      </c>
      <c r="L70" s="9" t="s">
        <v>74</v>
      </c>
      <c r="M70" s="9" t="s">
        <v>78</v>
      </c>
      <c r="N70" s="9" t="s">
        <v>79</v>
      </c>
      <c r="O70" s="9" t="s">
        <v>74</v>
      </c>
      <c r="P70" s="9" t="s">
        <v>74</v>
      </c>
      <c r="Q70" s="9" t="s">
        <v>74</v>
      </c>
      <c r="R70" s="9" t="s">
        <v>74</v>
      </c>
      <c r="S70" s="9" t="s">
        <v>74</v>
      </c>
      <c r="T70" s="9" t="s">
        <v>11535</v>
      </c>
      <c r="U70" s="9" t="s">
        <v>11536</v>
      </c>
      <c r="V70" s="9" t="s">
        <v>11537</v>
      </c>
      <c r="W70" s="9" t="s">
        <v>11538</v>
      </c>
      <c r="X70" s="9" t="s">
        <v>10652</v>
      </c>
      <c r="Y70" s="9" t="s">
        <v>11539</v>
      </c>
      <c r="Z70" s="9" t="s">
        <v>10654</v>
      </c>
      <c r="AA70" s="9" t="s">
        <v>10655</v>
      </c>
      <c r="AB70" s="9" t="s">
        <v>10656</v>
      </c>
      <c r="AC70" s="9" t="s">
        <v>74</v>
      </c>
      <c r="AD70" s="9" t="s">
        <v>74</v>
      </c>
      <c r="AE70" s="9" t="s">
        <v>74</v>
      </c>
      <c r="AF70" s="9" t="s">
        <v>74</v>
      </c>
      <c r="AG70" s="9">
        <v>75</v>
      </c>
      <c r="AH70" s="9">
        <v>16</v>
      </c>
      <c r="AI70" s="9">
        <v>18</v>
      </c>
      <c r="AJ70" s="9">
        <v>0</v>
      </c>
      <c r="AK70" s="9">
        <v>10</v>
      </c>
      <c r="AL70" s="9" t="s">
        <v>11363</v>
      </c>
      <c r="AM70" s="9" t="s">
        <v>11364</v>
      </c>
      <c r="AN70" s="9" t="s">
        <v>11365</v>
      </c>
      <c r="AO70" s="9" t="s">
        <v>11366</v>
      </c>
      <c r="AP70" s="9" t="s">
        <v>11367</v>
      </c>
      <c r="AQ70" s="9" t="s">
        <v>74</v>
      </c>
      <c r="AR70" s="9" t="s">
        <v>11368</v>
      </c>
      <c r="AS70" s="9" t="s">
        <v>11369</v>
      </c>
      <c r="AT70" s="9" t="s">
        <v>74</v>
      </c>
      <c r="AU70" s="9">
        <v>2015</v>
      </c>
      <c r="AV70" s="9">
        <v>6</v>
      </c>
      <c r="AW70" s="9">
        <v>2</v>
      </c>
      <c r="AX70" s="9" t="s">
        <v>74</v>
      </c>
      <c r="AY70" s="9" t="s">
        <v>74</v>
      </c>
      <c r="AZ70" s="9" t="s">
        <v>74</v>
      </c>
      <c r="BA70" s="9" t="s">
        <v>74</v>
      </c>
      <c r="BB70" s="9">
        <v>85</v>
      </c>
      <c r="BC70" s="9">
        <v>130</v>
      </c>
      <c r="BD70" s="9" t="s">
        <v>74</v>
      </c>
      <c r="BE70" s="9" t="s">
        <v>11540</v>
      </c>
      <c r="BF70" s="9">
        <v>0</v>
      </c>
      <c r="BG70" s="9" t="s">
        <v>74</v>
      </c>
      <c r="BH70" s="9" t="s">
        <v>74</v>
      </c>
      <c r="BI70" s="9">
        <v>46</v>
      </c>
      <c r="BJ70" s="9" t="s">
        <v>2621</v>
      </c>
      <c r="BK70" s="9" t="s">
        <v>183</v>
      </c>
      <c r="BL70" s="9" t="s">
        <v>2621</v>
      </c>
      <c r="BM70" s="9" t="s">
        <v>11541</v>
      </c>
      <c r="BN70" s="9" t="s">
        <v>74</v>
      </c>
      <c r="BO70" s="9" t="s">
        <v>74</v>
      </c>
      <c r="BP70" s="9" t="s">
        <v>74</v>
      </c>
      <c r="BQ70" s="9" t="s">
        <v>74</v>
      </c>
      <c r="BR70" s="9" t="s">
        <v>12946</v>
      </c>
      <c r="BS70" s="9" t="s">
        <v>11542</v>
      </c>
      <c r="BT70" s="9">
        <v>0</v>
      </c>
    </row>
    <row r="71" spans="1:72" x14ac:dyDescent="0.25">
      <c r="A71" s="9" t="s">
        <v>72</v>
      </c>
      <c r="B71" s="9" t="s">
        <v>5772</v>
      </c>
      <c r="C71" s="9" t="s">
        <v>74</v>
      </c>
      <c r="D71" s="9" t="s">
        <v>74</v>
      </c>
      <c r="E71" s="9" t="s">
        <v>74</v>
      </c>
      <c r="F71" s="9" t="s">
        <v>5773</v>
      </c>
      <c r="G71" s="9" t="s">
        <v>74</v>
      </c>
      <c r="H71" s="9" t="s">
        <v>74</v>
      </c>
      <c r="I71" s="9" t="s">
        <v>5774</v>
      </c>
      <c r="J71" s="9" t="s">
        <v>5775</v>
      </c>
      <c r="K71" s="9" t="s">
        <v>74</v>
      </c>
      <c r="L71" s="9" t="s">
        <v>74</v>
      </c>
      <c r="M71" s="9" t="s">
        <v>78</v>
      </c>
      <c r="N71" s="9" t="s">
        <v>79</v>
      </c>
      <c r="O71" s="9" t="s">
        <v>74</v>
      </c>
      <c r="P71" s="9" t="s">
        <v>74</v>
      </c>
      <c r="Q71" s="9" t="s">
        <v>74</v>
      </c>
      <c r="R71" s="9" t="s">
        <v>74</v>
      </c>
      <c r="S71" s="9" t="s">
        <v>74</v>
      </c>
      <c r="T71" s="9" t="s">
        <v>5776</v>
      </c>
      <c r="U71" s="9" t="s">
        <v>5777</v>
      </c>
      <c r="V71" s="9" t="s">
        <v>5778</v>
      </c>
      <c r="W71" s="9" t="s">
        <v>5779</v>
      </c>
      <c r="X71" s="9" t="s">
        <v>5780</v>
      </c>
      <c r="Y71" s="9" t="s">
        <v>5781</v>
      </c>
      <c r="Z71" s="9" t="s">
        <v>5782</v>
      </c>
      <c r="AA71" s="9" t="s">
        <v>74</v>
      </c>
      <c r="AB71" s="9" t="s">
        <v>5783</v>
      </c>
      <c r="AC71" s="9" t="s">
        <v>74</v>
      </c>
      <c r="AD71" s="9" t="s">
        <v>74</v>
      </c>
      <c r="AE71" s="9" t="s">
        <v>74</v>
      </c>
      <c r="AF71" s="9" t="s">
        <v>74</v>
      </c>
      <c r="AG71" s="9">
        <v>72</v>
      </c>
      <c r="AH71" s="9">
        <v>15</v>
      </c>
      <c r="AI71" s="9">
        <v>16</v>
      </c>
      <c r="AJ71" s="9">
        <v>16</v>
      </c>
      <c r="AK71" s="9">
        <v>198</v>
      </c>
      <c r="AL71" s="9" t="s">
        <v>715</v>
      </c>
      <c r="AM71" s="9" t="s">
        <v>716</v>
      </c>
      <c r="AN71" s="9" t="s">
        <v>717</v>
      </c>
      <c r="AO71" s="9" t="s">
        <v>5784</v>
      </c>
      <c r="AP71" s="9" t="s">
        <v>5785</v>
      </c>
      <c r="AQ71" s="9" t="s">
        <v>74</v>
      </c>
      <c r="AR71" s="9" t="s">
        <v>5786</v>
      </c>
      <c r="AS71" s="9" t="s">
        <v>5787</v>
      </c>
      <c r="AT71" s="9" t="s">
        <v>5788</v>
      </c>
      <c r="AU71" s="9">
        <v>2022</v>
      </c>
      <c r="AV71" s="9">
        <v>60</v>
      </c>
      <c r="AW71" s="9">
        <v>4</v>
      </c>
      <c r="AX71" s="9" t="s">
        <v>74</v>
      </c>
      <c r="AY71" s="9" t="s">
        <v>74</v>
      </c>
      <c r="AZ71" s="9" t="s">
        <v>1020</v>
      </c>
      <c r="BA71" s="9" t="s">
        <v>74</v>
      </c>
      <c r="BB71" s="9">
        <v>1095</v>
      </c>
      <c r="BC71" s="9">
        <v>1115</v>
      </c>
      <c r="BD71" s="9" t="s">
        <v>74</v>
      </c>
      <c r="BE71" s="9" t="s">
        <v>5789</v>
      </c>
      <c r="BF71" s="9">
        <v>0</v>
      </c>
      <c r="BG71" s="9" t="s">
        <v>74</v>
      </c>
      <c r="BH71" s="9" t="s">
        <v>5683</v>
      </c>
      <c r="BI71" s="9">
        <v>21</v>
      </c>
      <c r="BJ71" s="9" t="s">
        <v>264</v>
      </c>
      <c r="BK71" s="9" t="s">
        <v>156</v>
      </c>
      <c r="BL71" s="9" t="s">
        <v>265</v>
      </c>
      <c r="BM71" s="9" t="s">
        <v>5790</v>
      </c>
      <c r="BN71" s="9" t="s">
        <v>74</v>
      </c>
      <c r="BO71" s="9" t="s">
        <v>74</v>
      </c>
      <c r="BP71" s="9" t="s">
        <v>74</v>
      </c>
      <c r="BQ71" s="9" t="s">
        <v>74</v>
      </c>
      <c r="BR71" s="9" t="s">
        <v>12946</v>
      </c>
      <c r="BS71" s="9" t="s">
        <v>5791</v>
      </c>
      <c r="BT71" s="9">
        <v>0</v>
      </c>
    </row>
    <row r="72" spans="1:72" x14ac:dyDescent="0.25">
      <c r="A72" s="9" t="s">
        <v>72</v>
      </c>
      <c r="B72" s="9" t="s">
        <v>4244</v>
      </c>
      <c r="C72" s="9" t="s">
        <v>74</v>
      </c>
      <c r="D72" s="9" t="s">
        <v>74</v>
      </c>
      <c r="E72" s="9" t="s">
        <v>74</v>
      </c>
      <c r="F72" s="9" t="s">
        <v>4245</v>
      </c>
      <c r="G72" s="9" t="s">
        <v>74</v>
      </c>
      <c r="H72" s="9" t="s">
        <v>74</v>
      </c>
      <c r="I72" s="9" t="s">
        <v>4246</v>
      </c>
      <c r="J72" s="9" t="s">
        <v>323</v>
      </c>
      <c r="K72" s="9" t="s">
        <v>74</v>
      </c>
      <c r="L72" s="9" t="s">
        <v>74</v>
      </c>
      <c r="M72" s="9" t="s">
        <v>78</v>
      </c>
      <c r="N72" s="9" t="s">
        <v>79</v>
      </c>
      <c r="O72" s="9" t="s">
        <v>74</v>
      </c>
      <c r="P72" s="9" t="s">
        <v>74</v>
      </c>
      <c r="Q72" s="9" t="s">
        <v>74</v>
      </c>
      <c r="R72" s="9" t="s">
        <v>74</v>
      </c>
      <c r="S72" s="9" t="s">
        <v>74</v>
      </c>
      <c r="T72" s="9" t="s">
        <v>4247</v>
      </c>
      <c r="U72" s="9" t="s">
        <v>4248</v>
      </c>
      <c r="V72" s="9" t="s">
        <v>4249</v>
      </c>
      <c r="W72" s="9" t="s">
        <v>4250</v>
      </c>
      <c r="X72" s="9" t="s">
        <v>74</v>
      </c>
      <c r="Y72" s="9" t="s">
        <v>4251</v>
      </c>
      <c r="Z72" s="9" t="s">
        <v>4252</v>
      </c>
      <c r="AA72" s="9" t="s">
        <v>74</v>
      </c>
      <c r="AB72" s="9" t="s">
        <v>74</v>
      </c>
      <c r="AC72" s="9" t="s">
        <v>74</v>
      </c>
      <c r="AD72" s="9" t="s">
        <v>74</v>
      </c>
      <c r="AE72" s="9" t="s">
        <v>74</v>
      </c>
      <c r="AF72" s="9" t="s">
        <v>74</v>
      </c>
      <c r="AG72" s="9">
        <v>65</v>
      </c>
      <c r="AH72" s="9">
        <v>14</v>
      </c>
      <c r="AI72" s="9">
        <v>14</v>
      </c>
      <c r="AJ72" s="9">
        <v>12</v>
      </c>
      <c r="AK72" s="9">
        <v>66</v>
      </c>
      <c r="AL72" s="9" t="s">
        <v>202</v>
      </c>
      <c r="AM72" s="9" t="s">
        <v>203</v>
      </c>
      <c r="AN72" s="9" t="s">
        <v>204</v>
      </c>
      <c r="AO72" s="9" t="s">
        <v>74</v>
      </c>
      <c r="AP72" s="9" t="s">
        <v>3382</v>
      </c>
      <c r="AQ72" s="9" t="s">
        <v>74</v>
      </c>
      <c r="AR72" s="9" t="s">
        <v>323</v>
      </c>
      <c r="AS72" s="9" t="s">
        <v>3383</v>
      </c>
      <c r="AT72" s="9" t="s">
        <v>1280</v>
      </c>
      <c r="AU72" s="9">
        <v>2022</v>
      </c>
      <c r="AV72" s="9">
        <v>13</v>
      </c>
      <c r="AW72" s="9">
        <v>5</v>
      </c>
      <c r="AX72" s="9" t="s">
        <v>74</v>
      </c>
      <c r="AY72" s="9" t="s">
        <v>74</v>
      </c>
      <c r="AZ72" s="9" t="s">
        <v>74</v>
      </c>
      <c r="BA72" s="9" t="s">
        <v>74</v>
      </c>
      <c r="BB72" s="9" t="s">
        <v>74</v>
      </c>
      <c r="BC72" s="9" t="s">
        <v>74</v>
      </c>
      <c r="BD72" s="9">
        <v>253</v>
      </c>
      <c r="BE72" s="9" t="s">
        <v>4253</v>
      </c>
      <c r="BF72" s="9">
        <v>0</v>
      </c>
      <c r="BG72" s="9" t="s">
        <v>74</v>
      </c>
      <c r="BH72" s="9" t="s">
        <v>74</v>
      </c>
      <c r="BI72" s="9">
        <v>15</v>
      </c>
      <c r="BJ72" s="9" t="s">
        <v>1217</v>
      </c>
      <c r="BK72" s="9" t="s">
        <v>183</v>
      </c>
      <c r="BL72" s="9" t="s">
        <v>399</v>
      </c>
      <c r="BM72" s="9" t="s">
        <v>4254</v>
      </c>
      <c r="BN72" s="9" t="s">
        <v>74</v>
      </c>
      <c r="BO72" s="9" t="s">
        <v>186</v>
      </c>
      <c r="BP72" s="9" t="s">
        <v>74</v>
      </c>
      <c r="BQ72" s="9" t="s">
        <v>74</v>
      </c>
      <c r="BR72" s="9" t="s">
        <v>12946</v>
      </c>
      <c r="BS72" s="9" t="s">
        <v>4255</v>
      </c>
      <c r="BT72" s="9">
        <v>0</v>
      </c>
    </row>
    <row r="73" spans="1:72" x14ac:dyDescent="0.25">
      <c r="A73" s="9" t="s">
        <v>72</v>
      </c>
      <c r="B73" s="9" t="s">
        <v>5313</v>
      </c>
      <c r="C73" s="9" t="s">
        <v>74</v>
      </c>
      <c r="D73" s="9" t="s">
        <v>74</v>
      </c>
      <c r="E73" s="9" t="s">
        <v>74</v>
      </c>
      <c r="F73" s="9" t="s">
        <v>5314</v>
      </c>
      <c r="G73" s="9" t="s">
        <v>74</v>
      </c>
      <c r="H73" s="9" t="s">
        <v>74</v>
      </c>
      <c r="I73" s="9" t="s">
        <v>5315</v>
      </c>
      <c r="J73" s="9" t="s">
        <v>77</v>
      </c>
      <c r="K73" s="9" t="s">
        <v>74</v>
      </c>
      <c r="L73" s="9" t="s">
        <v>74</v>
      </c>
      <c r="M73" s="9" t="s">
        <v>78</v>
      </c>
      <c r="N73" s="9" t="s">
        <v>79</v>
      </c>
      <c r="O73" s="9" t="s">
        <v>74</v>
      </c>
      <c r="P73" s="9" t="s">
        <v>74</v>
      </c>
      <c r="Q73" s="9" t="s">
        <v>74</v>
      </c>
      <c r="R73" s="9" t="s">
        <v>74</v>
      </c>
      <c r="S73" s="9" t="s">
        <v>74</v>
      </c>
      <c r="T73" s="9" t="s">
        <v>5316</v>
      </c>
      <c r="U73" s="9" t="s">
        <v>5317</v>
      </c>
      <c r="V73" s="9" t="s">
        <v>5318</v>
      </c>
      <c r="W73" s="9" t="s">
        <v>5319</v>
      </c>
      <c r="X73" s="9" t="s">
        <v>5320</v>
      </c>
      <c r="Y73" s="9" t="s">
        <v>5321</v>
      </c>
      <c r="Z73" s="9" t="s">
        <v>5322</v>
      </c>
      <c r="AA73" s="9" t="s">
        <v>13038</v>
      </c>
      <c r="AB73" s="9" t="s">
        <v>13039</v>
      </c>
      <c r="AC73" s="9" t="s">
        <v>5325</v>
      </c>
      <c r="AD73" s="9" t="s">
        <v>5326</v>
      </c>
      <c r="AE73" s="9" t="s">
        <v>5327</v>
      </c>
      <c r="AF73" s="9" t="s">
        <v>74</v>
      </c>
      <c r="AG73" s="9">
        <v>61</v>
      </c>
      <c r="AH73" s="9">
        <v>14</v>
      </c>
      <c r="AI73" s="9">
        <v>14</v>
      </c>
      <c r="AJ73" s="9">
        <v>9</v>
      </c>
      <c r="AK73" s="9">
        <v>42</v>
      </c>
      <c r="AL73" s="9" t="s">
        <v>92</v>
      </c>
      <c r="AM73" s="9" t="s">
        <v>93</v>
      </c>
      <c r="AN73" s="9" t="s">
        <v>94</v>
      </c>
      <c r="AO73" s="9" t="s">
        <v>95</v>
      </c>
      <c r="AP73" s="9" t="s">
        <v>96</v>
      </c>
      <c r="AQ73" s="9" t="s">
        <v>74</v>
      </c>
      <c r="AR73" s="9" t="s">
        <v>97</v>
      </c>
      <c r="AS73" s="9" t="s">
        <v>98</v>
      </c>
      <c r="AT73" s="9" t="s">
        <v>1904</v>
      </c>
      <c r="AU73" s="9">
        <v>2022</v>
      </c>
      <c r="AV73" s="9">
        <v>164</v>
      </c>
      <c r="AW73" s="9" t="s">
        <v>74</v>
      </c>
      <c r="AX73" s="9" t="s">
        <v>74</v>
      </c>
      <c r="AY73" s="9" t="s">
        <v>74</v>
      </c>
      <c r="AZ73" s="9" t="s">
        <v>74</v>
      </c>
      <c r="BA73" s="9" t="s">
        <v>74</v>
      </c>
      <c r="BB73" s="9" t="s">
        <v>74</v>
      </c>
      <c r="BC73" s="9" t="s">
        <v>74</v>
      </c>
      <c r="BD73" s="9">
        <v>107896</v>
      </c>
      <c r="BE73" s="9" t="s">
        <v>5328</v>
      </c>
      <c r="BF73" s="9">
        <v>0</v>
      </c>
      <c r="BG73" s="9" t="s">
        <v>74</v>
      </c>
      <c r="BH73" s="9" t="s">
        <v>5329</v>
      </c>
      <c r="BI73" s="9">
        <v>16</v>
      </c>
      <c r="BJ73" s="9" t="s">
        <v>101</v>
      </c>
      <c r="BK73" s="9" t="s">
        <v>102</v>
      </c>
      <c r="BL73" s="9" t="s">
        <v>103</v>
      </c>
      <c r="BM73" s="9" t="s">
        <v>5330</v>
      </c>
      <c r="BN73" s="9">
        <v>36569781</v>
      </c>
      <c r="BO73" s="9" t="s">
        <v>2623</v>
      </c>
      <c r="BP73" s="9" t="s">
        <v>74</v>
      </c>
      <c r="BQ73" s="9" t="s">
        <v>74</v>
      </c>
      <c r="BR73" s="9" t="s">
        <v>12946</v>
      </c>
      <c r="BS73" s="9" t="s">
        <v>5331</v>
      </c>
      <c r="BT73" s="9">
        <v>0</v>
      </c>
    </row>
    <row r="74" spans="1:72" x14ac:dyDescent="0.25">
      <c r="A74" s="9" t="s">
        <v>72</v>
      </c>
      <c r="B74" s="9" t="s">
        <v>11809</v>
      </c>
      <c r="C74" s="9" t="s">
        <v>74</v>
      </c>
      <c r="D74" s="9" t="s">
        <v>74</v>
      </c>
      <c r="E74" s="9" t="s">
        <v>74</v>
      </c>
      <c r="F74" s="9" t="s">
        <v>11810</v>
      </c>
      <c r="G74" s="9" t="s">
        <v>74</v>
      </c>
      <c r="H74" s="9" t="s">
        <v>74</v>
      </c>
      <c r="I74" s="9" t="s">
        <v>11811</v>
      </c>
      <c r="J74" s="9" t="s">
        <v>3390</v>
      </c>
      <c r="K74" s="9" t="s">
        <v>74</v>
      </c>
      <c r="L74" s="9" t="s">
        <v>74</v>
      </c>
      <c r="M74" s="9" t="s">
        <v>78</v>
      </c>
      <c r="N74" s="9" t="s">
        <v>79</v>
      </c>
      <c r="O74" s="9" t="s">
        <v>74</v>
      </c>
      <c r="P74" s="9" t="s">
        <v>74</v>
      </c>
      <c r="Q74" s="9" t="s">
        <v>74</v>
      </c>
      <c r="R74" s="9" t="s">
        <v>74</v>
      </c>
      <c r="S74" s="9" t="s">
        <v>74</v>
      </c>
      <c r="T74" s="9" t="s">
        <v>11812</v>
      </c>
      <c r="U74" s="9" t="s">
        <v>11813</v>
      </c>
      <c r="V74" s="9" t="s">
        <v>11814</v>
      </c>
      <c r="W74" s="9" t="s">
        <v>11815</v>
      </c>
      <c r="X74" s="9" t="s">
        <v>11816</v>
      </c>
      <c r="Y74" s="9" t="s">
        <v>11817</v>
      </c>
      <c r="Z74" s="9" t="s">
        <v>11818</v>
      </c>
      <c r="AA74" s="9" t="s">
        <v>11819</v>
      </c>
      <c r="AB74" s="9" t="s">
        <v>11820</v>
      </c>
      <c r="AC74" s="9" t="s">
        <v>11821</v>
      </c>
      <c r="AD74" s="9" t="s">
        <v>11821</v>
      </c>
      <c r="AE74" s="9" t="s">
        <v>11822</v>
      </c>
      <c r="AF74" s="9" t="s">
        <v>74</v>
      </c>
      <c r="AG74" s="9">
        <v>28</v>
      </c>
      <c r="AH74" s="9">
        <v>14</v>
      </c>
      <c r="AI74" s="9">
        <v>15</v>
      </c>
      <c r="AJ74" s="9">
        <v>1</v>
      </c>
      <c r="AK74" s="9">
        <v>21</v>
      </c>
      <c r="AL74" s="9" t="s">
        <v>1636</v>
      </c>
      <c r="AM74" s="9" t="s">
        <v>93</v>
      </c>
      <c r="AN74" s="9" t="s">
        <v>1637</v>
      </c>
      <c r="AO74" s="9" t="s">
        <v>3399</v>
      </c>
      <c r="AP74" s="9" t="s">
        <v>3400</v>
      </c>
      <c r="AQ74" s="9" t="s">
        <v>74</v>
      </c>
      <c r="AR74" s="9" t="s">
        <v>3401</v>
      </c>
      <c r="AS74" s="9" t="s">
        <v>3402</v>
      </c>
      <c r="AT74" s="9" t="s">
        <v>11823</v>
      </c>
      <c r="AU74" s="9">
        <v>2014</v>
      </c>
      <c r="AV74" s="9">
        <v>38</v>
      </c>
      <c r="AW74" s="9" t="s">
        <v>10717</v>
      </c>
      <c r="AX74" s="9" t="s">
        <v>74</v>
      </c>
      <c r="AY74" s="9" t="s">
        <v>74</v>
      </c>
      <c r="AZ74" s="9" t="s">
        <v>1020</v>
      </c>
      <c r="BA74" s="9" t="s">
        <v>74</v>
      </c>
      <c r="BB74" s="9">
        <v>530</v>
      </c>
      <c r="BC74" s="9">
        <v>538</v>
      </c>
      <c r="BD74" s="9" t="s">
        <v>74</v>
      </c>
      <c r="BE74" s="9" t="s">
        <v>11824</v>
      </c>
      <c r="BF74" s="9">
        <v>0</v>
      </c>
      <c r="BG74" s="9" t="s">
        <v>74</v>
      </c>
      <c r="BH74" s="9" t="s">
        <v>74</v>
      </c>
      <c r="BI74" s="9">
        <v>9</v>
      </c>
      <c r="BJ74" s="9" t="s">
        <v>3404</v>
      </c>
      <c r="BK74" s="9" t="s">
        <v>211</v>
      </c>
      <c r="BL74" s="9" t="s">
        <v>3404</v>
      </c>
      <c r="BM74" s="9" t="s">
        <v>11825</v>
      </c>
      <c r="BN74" s="9" t="s">
        <v>74</v>
      </c>
      <c r="BO74" s="9" t="s">
        <v>74</v>
      </c>
      <c r="BP74" s="9" t="s">
        <v>74</v>
      </c>
      <c r="BQ74" s="9" t="s">
        <v>74</v>
      </c>
      <c r="BR74" s="9" t="s">
        <v>12946</v>
      </c>
      <c r="BS74" s="9" t="s">
        <v>11826</v>
      </c>
      <c r="BT74" s="9">
        <v>0</v>
      </c>
    </row>
    <row r="75" spans="1:72" x14ac:dyDescent="0.25">
      <c r="A75" s="9" t="s">
        <v>72</v>
      </c>
      <c r="B75" s="9" t="s">
        <v>4400</v>
      </c>
      <c r="C75" s="9" t="s">
        <v>74</v>
      </c>
      <c r="D75" s="9" t="s">
        <v>74</v>
      </c>
      <c r="E75" s="9" t="s">
        <v>74</v>
      </c>
      <c r="F75" s="9" t="s">
        <v>4401</v>
      </c>
      <c r="G75" s="9" t="s">
        <v>74</v>
      </c>
      <c r="H75" s="9" t="s">
        <v>74</v>
      </c>
      <c r="I75" s="9" t="s">
        <v>4402</v>
      </c>
      <c r="J75" s="9" t="s">
        <v>2455</v>
      </c>
      <c r="K75" s="9" t="s">
        <v>74</v>
      </c>
      <c r="L75" s="9" t="s">
        <v>74</v>
      </c>
      <c r="M75" s="9" t="s">
        <v>78</v>
      </c>
      <c r="N75" s="9" t="s">
        <v>79</v>
      </c>
      <c r="O75" s="9" t="s">
        <v>74</v>
      </c>
      <c r="P75" s="9" t="s">
        <v>74</v>
      </c>
      <c r="Q75" s="9" t="s">
        <v>74</v>
      </c>
      <c r="R75" s="9" t="s">
        <v>74</v>
      </c>
      <c r="S75" s="9" t="s">
        <v>74</v>
      </c>
      <c r="T75" s="9" t="s">
        <v>4403</v>
      </c>
      <c r="U75" s="9" t="s">
        <v>4404</v>
      </c>
      <c r="V75" s="9" t="s">
        <v>4405</v>
      </c>
      <c r="W75" s="9" t="s">
        <v>4406</v>
      </c>
      <c r="X75" s="9" t="s">
        <v>4407</v>
      </c>
      <c r="Y75" s="9" t="s">
        <v>4408</v>
      </c>
      <c r="Z75" s="9" t="s">
        <v>4409</v>
      </c>
      <c r="AA75" s="9" t="s">
        <v>74</v>
      </c>
      <c r="AB75" s="9" t="s">
        <v>13040</v>
      </c>
      <c r="AC75" s="9" t="s">
        <v>74</v>
      </c>
      <c r="AD75" s="9" t="s">
        <v>74</v>
      </c>
      <c r="AE75" s="9" t="s">
        <v>74</v>
      </c>
      <c r="AF75" s="9" t="s">
        <v>74</v>
      </c>
      <c r="AG75" s="9">
        <v>93</v>
      </c>
      <c r="AH75" s="9">
        <v>13</v>
      </c>
      <c r="AI75" s="9">
        <v>13</v>
      </c>
      <c r="AJ75" s="9">
        <v>31</v>
      </c>
      <c r="AK75" s="9">
        <v>253</v>
      </c>
      <c r="AL75" s="9" t="s">
        <v>715</v>
      </c>
      <c r="AM75" s="9" t="s">
        <v>4411</v>
      </c>
      <c r="AN75" s="9" t="s">
        <v>4412</v>
      </c>
      <c r="AO75" s="9" t="s">
        <v>2463</v>
      </c>
      <c r="AP75" s="9" t="s">
        <v>2464</v>
      </c>
      <c r="AQ75" s="9" t="s">
        <v>74</v>
      </c>
      <c r="AR75" s="9" t="s">
        <v>2465</v>
      </c>
      <c r="AS75" s="9" t="s">
        <v>2466</v>
      </c>
      <c r="AT75" s="9" t="s">
        <v>4413</v>
      </c>
      <c r="AU75" s="9">
        <v>2023</v>
      </c>
      <c r="AV75" s="9">
        <v>26</v>
      </c>
      <c r="AW75" s="9">
        <v>5</v>
      </c>
      <c r="AX75" s="9" t="s">
        <v>74</v>
      </c>
      <c r="AY75" s="9" t="s">
        <v>74</v>
      </c>
      <c r="AZ75" s="9" t="s">
        <v>74</v>
      </c>
      <c r="BA75" s="9" t="s">
        <v>74</v>
      </c>
      <c r="BB75" s="9">
        <v>1394</v>
      </c>
      <c r="BC75" s="9">
        <v>1420</v>
      </c>
      <c r="BD75" s="9" t="s">
        <v>74</v>
      </c>
      <c r="BE75" s="9" t="s">
        <v>4414</v>
      </c>
      <c r="BF75" s="9">
        <v>0</v>
      </c>
      <c r="BG75" s="9" t="s">
        <v>74</v>
      </c>
      <c r="BH75" s="9" t="s">
        <v>4337</v>
      </c>
      <c r="BI75" s="9">
        <v>27</v>
      </c>
      <c r="BJ75" s="9" t="s">
        <v>264</v>
      </c>
      <c r="BK75" s="9" t="s">
        <v>156</v>
      </c>
      <c r="BL75" s="9" t="s">
        <v>265</v>
      </c>
      <c r="BM75" s="9" t="s">
        <v>4415</v>
      </c>
      <c r="BN75" s="9" t="s">
        <v>74</v>
      </c>
      <c r="BO75" s="9" t="s">
        <v>74</v>
      </c>
      <c r="BP75" s="9" t="s">
        <v>74</v>
      </c>
      <c r="BQ75" s="9" t="s">
        <v>74</v>
      </c>
      <c r="BR75" s="9" t="s">
        <v>12946</v>
      </c>
      <c r="BS75" s="9" t="s">
        <v>4416</v>
      </c>
      <c r="BT75" s="9">
        <v>0</v>
      </c>
    </row>
    <row r="76" spans="1:72" x14ac:dyDescent="0.25">
      <c r="A76" s="9" t="s">
        <v>72</v>
      </c>
      <c r="B76" s="9" t="s">
        <v>6427</v>
      </c>
      <c r="C76" s="9" t="s">
        <v>74</v>
      </c>
      <c r="D76" s="9" t="s">
        <v>74</v>
      </c>
      <c r="E76" s="9" t="s">
        <v>74</v>
      </c>
      <c r="F76" s="9" t="s">
        <v>6428</v>
      </c>
      <c r="G76" s="9" t="s">
        <v>74</v>
      </c>
      <c r="H76" s="9" t="s">
        <v>74</v>
      </c>
      <c r="I76" s="9" t="s">
        <v>6429</v>
      </c>
      <c r="J76" s="9" t="s">
        <v>6430</v>
      </c>
      <c r="K76" s="9" t="s">
        <v>74</v>
      </c>
      <c r="L76" s="9" t="s">
        <v>74</v>
      </c>
      <c r="M76" s="9" t="s">
        <v>78</v>
      </c>
      <c r="N76" s="9" t="s">
        <v>79</v>
      </c>
      <c r="O76" s="9" t="s">
        <v>74</v>
      </c>
      <c r="P76" s="9" t="s">
        <v>74</v>
      </c>
      <c r="Q76" s="9" t="s">
        <v>74</v>
      </c>
      <c r="R76" s="9" t="s">
        <v>74</v>
      </c>
      <c r="S76" s="9" t="s">
        <v>74</v>
      </c>
      <c r="T76" s="9" t="s">
        <v>6431</v>
      </c>
      <c r="U76" s="9" t="s">
        <v>74</v>
      </c>
      <c r="V76" s="9" t="s">
        <v>6432</v>
      </c>
      <c r="W76" s="9" t="s">
        <v>6433</v>
      </c>
      <c r="X76" s="9" t="s">
        <v>6434</v>
      </c>
      <c r="Y76" s="9" t="s">
        <v>6435</v>
      </c>
      <c r="Z76" s="9" t="s">
        <v>6436</v>
      </c>
      <c r="AA76" s="9" t="s">
        <v>13041</v>
      </c>
      <c r="AB76" s="9" t="s">
        <v>13042</v>
      </c>
      <c r="AC76" s="9" t="s">
        <v>74</v>
      </c>
      <c r="AD76" s="9" t="s">
        <v>74</v>
      </c>
      <c r="AE76" s="9" t="s">
        <v>74</v>
      </c>
      <c r="AF76" s="9" t="s">
        <v>74</v>
      </c>
      <c r="AG76" s="9">
        <v>105</v>
      </c>
      <c r="AH76" s="9">
        <v>13</v>
      </c>
      <c r="AI76" s="9">
        <v>13</v>
      </c>
      <c r="AJ76" s="9">
        <v>27</v>
      </c>
      <c r="AK76" s="9">
        <v>195</v>
      </c>
      <c r="AL76" s="9" t="s">
        <v>146</v>
      </c>
      <c r="AM76" s="9" t="s">
        <v>147</v>
      </c>
      <c r="AN76" s="9" t="s">
        <v>148</v>
      </c>
      <c r="AO76" s="9" t="s">
        <v>6437</v>
      </c>
      <c r="AP76" s="9" t="s">
        <v>6438</v>
      </c>
      <c r="AQ76" s="9" t="s">
        <v>74</v>
      </c>
      <c r="AR76" s="9" t="s">
        <v>6439</v>
      </c>
      <c r="AS76" s="9" t="s">
        <v>6440</v>
      </c>
      <c r="AT76" s="9" t="s">
        <v>99</v>
      </c>
      <c r="AU76" s="9">
        <v>2021</v>
      </c>
      <c r="AV76" s="9">
        <v>58</v>
      </c>
      <c r="AW76" s="9">
        <v>7</v>
      </c>
      <c r="AX76" s="9" t="s">
        <v>74</v>
      </c>
      <c r="AY76" s="9" t="s">
        <v>74</v>
      </c>
      <c r="AZ76" s="9" t="s">
        <v>1020</v>
      </c>
      <c r="BA76" s="9" t="s">
        <v>74</v>
      </c>
      <c r="BB76" s="9">
        <v>1832</v>
      </c>
      <c r="BC76" s="9">
        <v>1868</v>
      </c>
      <c r="BD76" s="9" t="s">
        <v>74</v>
      </c>
      <c r="BE76" s="9" t="s">
        <v>6441</v>
      </c>
      <c r="BF76" s="9">
        <v>0</v>
      </c>
      <c r="BG76" s="9" t="s">
        <v>74</v>
      </c>
      <c r="BH76" s="9" t="s">
        <v>6383</v>
      </c>
      <c r="BI76" s="9">
        <v>37</v>
      </c>
      <c r="BJ76" s="9" t="s">
        <v>264</v>
      </c>
      <c r="BK76" s="9" t="s">
        <v>156</v>
      </c>
      <c r="BL76" s="9" t="s">
        <v>265</v>
      </c>
      <c r="BM76" s="9" t="s">
        <v>6442</v>
      </c>
      <c r="BN76" s="9" t="s">
        <v>74</v>
      </c>
      <c r="BO76" s="9" t="s">
        <v>2623</v>
      </c>
      <c r="BP76" s="9" t="s">
        <v>74</v>
      </c>
      <c r="BQ76" s="9" t="s">
        <v>74</v>
      </c>
      <c r="BR76" s="9" t="s">
        <v>12946</v>
      </c>
      <c r="BS76" s="9" t="s">
        <v>6443</v>
      </c>
      <c r="BT76" s="9">
        <v>0</v>
      </c>
    </row>
    <row r="77" spans="1:72" x14ac:dyDescent="0.25">
      <c r="A77" s="9" t="s">
        <v>72</v>
      </c>
      <c r="B77" s="9" t="s">
        <v>1979</v>
      </c>
      <c r="C77" s="9" t="s">
        <v>74</v>
      </c>
      <c r="D77" s="9" t="s">
        <v>74</v>
      </c>
      <c r="E77" s="9" t="s">
        <v>74</v>
      </c>
      <c r="F77" s="9" t="s">
        <v>1980</v>
      </c>
      <c r="G77" s="9" t="s">
        <v>74</v>
      </c>
      <c r="H77" s="9" t="s">
        <v>74</v>
      </c>
      <c r="I77" s="9" t="s">
        <v>1981</v>
      </c>
      <c r="J77" s="9" t="s">
        <v>1982</v>
      </c>
      <c r="K77" s="9" t="s">
        <v>74</v>
      </c>
      <c r="L77" s="9" t="s">
        <v>74</v>
      </c>
      <c r="M77" s="9" t="s">
        <v>78</v>
      </c>
      <c r="N77" s="9" t="s">
        <v>79</v>
      </c>
      <c r="O77" s="9" t="s">
        <v>74</v>
      </c>
      <c r="P77" s="9" t="s">
        <v>74</v>
      </c>
      <c r="Q77" s="9" t="s">
        <v>74</v>
      </c>
      <c r="R77" s="9" t="s">
        <v>74</v>
      </c>
      <c r="S77" s="9" t="s">
        <v>74</v>
      </c>
      <c r="T77" s="9" t="s">
        <v>1983</v>
      </c>
      <c r="U77" s="9" t="s">
        <v>1984</v>
      </c>
      <c r="V77" s="9" t="s">
        <v>1985</v>
      </c>
      <c r="W77" s="9" t="s">
        <v>1986</v>
      </c>
      <c r="X77" s="9" t="s">
        <v>1987</v>
      </c>
      <c r="Y77" s="9" t="s">
        <v>1988</v>
      </c>
      <c r="Z77" s="9" t="s">
        <v>1989</v>
      </c>
      <c r="AA77" s="9" t="s">
        <v>13043</v>
      </c>
      <c r="AB77" s="9" t="s">
        <v>1990</v>
      </c>
      <c r="AC77" s="9" t="s">
        <v>1991</v>
      </c>
      <c r="AD77" s="9" t="s">
        <v>1992</v>
      </c>
      <c r="AE77" s="9" t="s">
        <v>1993</v>
      </c>
      <c r="AF77" s="9" t="s">
        <v>74</v>
      </c>
      <c r="AG77" s="9">
        <v>107</v>
      </c>
      <c r="AH77" s="9">
        <v>12</v>
      </c>
      <c r="AI77" s="9">
        <v>12</v>
      </c>
      <c r="AJ77" s="9">
        <v>17</v>
      </c>
      <c r="AK77" s="9">
        <v>43</v>
      </c>
      <c r="AL77" s="9" t="s">
        <v>231</v>
      </c>
      <c r="AM77" s="9" t="s">
        <v>232</v>
      </c>
      <c r="AN77" s="9" t="s">
        <v>233</v>
      </c>
      <c r="AO77" s="9" t="s">
        <v>1994</v>
      </c>
      <c r="AP77" s="9" t="s">
        <v>1995</v>
      </c>
      <c r="AQ77" s="9" t="s">
        <v>74</v>
      </c>
      <c r="AR77" s="9" t="s">
        <v>1996</v>
      </c>
      <c r="AS77" s="9" t="s">
        <v>1997</v>
      </c>
      <c r="AT77" s="9" t="s">
        <v>1448</v>
      </c>
      <c r="AU77" s="9">
        <v>2023</v>
      </c>
      <c r="AV77" s="9">
        <v>148</v>
      </c>
      <c r="AW77" s="9" t="s">
        <v>74</v>
      </c>
      <c r="AX77" s="9" t="s">
        <v>74</v>
      </c>
      <c r="AY77" s="9" t="s">
        <v>74</v>
      </c>
      <c r="AZ77" s="9" t="s">
        <v>74</v>
      </c>
      <c r="BA77" s="9" t="s">
        <v>74</v>
      </c>
      <c r="BB77" s="9" t="s">
        <v>74</v>
      </c>
      <c r="BC77" s="9" t="s">
        <v>74</v>
      </c>
      <c r="BD77" s="9">
        <v>104749</v>
      </c>
      <c r="BE77" s="9" t="s">
        <v>1998</v>
      </c>
      <c r="BF77" s="9">
        <v>0</v>
      </c>
      <c r="BG77" s="9" t="s">
        <v>74</v>
      </c>
      <c r="BH77" s="9" t="s">
        <v>1999</v>
      </c>
      <c r="BI77" s="9">
        <v>15</v>
      </c>
      <c r="BJ77" s="9" t="s">
        <v>2000</v>
      </c>
      <c r="BK77" s="9" t="s">
        <v>102</v>
      </c>
      <c r="BL77" s="9" t="s">
        <v>2001</v>
      </c>
      <c r="BM77" s="9" t="s">
        <v>2002</v>
      </c>
      <c r="BN77" s="9" t="s">
        <v>74</v>
      </c>
      <c r="BO77" s="9" t="s">
        <v>2003</v>
      </c>
      <c r="BP77" s="9" t="s">
        <v>74</v>
      </c>
      <c r="BQ77" s="9" t="s">
        <v>74</v>
      </c>
      <c r="BR77" s="9" t="s">
        <v>12946</v>
      </c>
      <c r="BS77" s="9" t="s">
        <v>2004</v>
      </c>
      <c r="BT77" s="9">
        <v>0</v>
      </c>
    </row>
    <row r="78" spans="1:72" x14ac:dyDescent="0.25">
      <c r="A78" s="9" t="s">
        <v>72</v>
      </c>
      <c r="B78" s="9" t="s">
        <v>12436</v>
      </c>
      <c r="C78" s="9" t="s">
        <v>74</v>
      </c>
      <c r="D78" s="9" t="s">
        <v>74</v>
      </c>
      <c r="E78" s="9" t="s">
        <v>74</v>
      </c>
      <c r="F78" s="9" t="s">
        <v>12437</v>
      </c>
      <c r="G78" s="9" t="s">
        <v>74</v>
      </c>
      <c r="H78" s="9" t="s">
        <v>74</v>
      </c>
      <c r="I78" s="9" t="s">
        <v>12438</v>
      </c>
      <c r="J78" s="9" t="s">
        <v>12439</v>
      </c>
      <c r="K78" s="9" t="s">
        <v>74</v>
      </c>
      <c r="L78" s="9" t="s">
        <v>74</v>
      </c>
      <c r="M78" s="9" t="s">
        <v>78</v>
      </c>
      <c r="N78" s="9" t="s">
        <v>79</v>
      </c>
      <c r="O78" s="9" t="s">
        <v>74</v>
      </c>
      <c r="P78" s="9" t="s">
        <v>74</v>
      </c>
      <c r="Q78" s="9" t="s">
        <v>74</v>
      </c>
      <c r="R78" s="9" t="s">
        <v>74</v>
      </c>
      <c r="S78" s="9" t="s">
        <v>74</v>
      </c>
      <c r="T78" s="9" t="s">
        <v>12440</v>
      </c>
      <c r="U78" s="9" t="s">
        <v>74</v>
      </c>
      <c r="V78" s="9" t="s">
        <v>12441</v>
      </c>
      <c r="W78" s="9" t="s">
        <v>12442</v>
      </c>
      <c r="X78" s="9" t="s">
        <v>12443</v>
      </c>
      <c r="Y78" s="9" t="s">
        <v>12444</v>
      </c>
      <c r="Z78" s="9" t="s">
        <v>74</v>
      </c>
      <c r="AA78" s="9" t="s">
        <v>74</v>
      </c>
      <c r="AB78" s="9" t="s">
        <v>74</v>
      </c>
      <c r="AC78" s="9" t="s">
        <v>74</v>
      </c>
      <c r="AD78" s="9" t="s">
        <v>74</v>
      </c>
      <c r="AE78" s="9" t="s">
        <v>74</v>
      </c>
      <c r="AF78" s="9" t="s">
        <v>74</v>
      </c>
      <c r="AG78" s="9">
        <v>30</v>
      </c>
      <c r="AH78" s="9">
        <v>12</v>
      </c>
      <c r="AI78" s="9">
        <v>13</v>
      </c>
      <c r="AJ78" s="9">
        <v>3</v>
      </c>
      <c r="AK78" s="9">
        <v>16</v>
      </c>
      <c r="AL78" s="9" t="s">
        <v>6574</v>
      </c>
      <c r="AM78" s="9" t="s">
        <v>2129</v>
      </c>
      <c r="AN78" s="9" t="s">
        <v>6575</v>
      </c>
      <c r="AO78" s="9" t="s">
        <v>12445</v>
      </c>
      <c r="AP78" s="9" t="s">
        <v>12446</v>
      </c>
      <c r="AQ78" s="9" t="s">
        <v>74</v>
      </c>
      <c r="AR78" s="9" t="s">
        <v>12447</v>
      </c>
      <c r="AS78" s="9" t="s">
        <v>12448</v>
      </c>
      <c r="AT78" s="9" t="s">
        <v>208</v>
      </c>
      <c r="AU78" s="9">
        <v>2010</v>
      </c>
      <c r="AV78" s="9">
        <v>42</v>
      </c>
      <c r="AW78" s="9">
        <v>1</v>
      </c>
      <c r="AX78" s="9" t="s">
        <v>74</v>
      </c>
      <c r="AY78" s="9" t="s">
        <v>74</v>
      </c>
      <c r="AZ78" s="9" t="s">
        <v>74</v>
      </c>
      <c r="BA78" s="9" t="s">
        <v>74</v>
      </c>
      <c r="BB78" s="9">
        <v>1</v>
      </c>
      <c r="BC78" s="9">
        <v>15</v>
      </c>
      <c r="BD78" s="9" t="s">
        <v>74</v>
      </c>
      <c r="BE78" s="9" t="s">
        <v>12449</v>
      </c>
      <c r="BF78" s="9">
        <v>0</v>
      </c>
      <c r="BG78" s="9" t="s">
        <v>74</v>
      </c>
      <c r="BH78" s="9" t="s">
        <v>74</v>
      </c>
      <c r="BI78" s="9">
        <v>15</v>
      </c>
      <c r="BJ78" s="9" t="s">
        <v>12450</v>
      </c>
      <c r="BK78" s="9" t="s">
        <v>4436</v>
      </c>
      <c r="BL78" s="9" t="s">
        <v>12451</v>
      </c>
      <c r="BM78" s="9" t="s">
        <v>12452</v>
      </c>
      <c r="BN78" s="9" t="s">
        <v>74</v>
      </c>
      <c r="BO78" s="9" t="s">
        <v>74</v>
      </c>
      <c r="BP78" s="9" t="s">
        <v>74</v>
      </c>
      <c r="BQ78" s="9" t="s">
        <v>74</v>
      </c>
      <c r="BR78" s="9" t="s">
        <v>12946</v>
      </c>
      <c r="BS78" s="9" t="s">
        <v>12453</v>
      </c>
      <c r="BT78" s="9">
        <v>0</v>
      </c>
    </row>
    <row r="79" spans="1:72" x14ac:dyDescent="0.25">
      <c r="A79" s="9" t="s">
        <v>72</v>
      </c>
      <c r="B79" s="9" t="s">
        <v>1520</v>
      </c>
      <c r="C79" s="9" t="s">
        <v>74</v>
      </c>
      <c r="D79" s="9" t="s">
        <v>74</v>
      </c>
      <c r="E79" s="9" t="s">
        <v>74</v>
      </c>
      <c r="F79" s="9" t="s">
        <v>1521</v>
      </c>
      <c r="G79" s="9" t="s">
        <v>74</v>
      </c>
      <c r="H79" s="9" t="s">
        <v>74</v>
      </c>
      <c r="I79" s="9" t="s">
        <v>1522</v>
      </c>
      <c r="J79" s="9" t="s">
        <v>1523</v>
      </c>
      <c r="K79" s="9" t="s">
        <v>74</v>
      </c>
      <c r="L79" s="9" t="s">
        <v>74</v>
      </c>
      <c r="M79" s="9" t="s">
        <v>78</v>
      </c>
      <c r="N79" s="9" t="s">
        <v>79</v>
      </c>
      <c r="O79" s="9" t="s">
        <v>74</v>
      </c>
      <c r="P79" s="9" t="s">
        <v>74</v>
      </c>
      <c r="Q79" s="9" t="s">
        <v>74</v>
      </c>
      <c r="R79" s="9" t="s">
        <v>74</v>
      </c>
      <c r="S79" s="9" t="s">
        <v>74</v>
      </c>
      <c r="T79" s="9" t="s">
        <v>1524</v>
      </c>
      <c r="U79" s="9" t="s">
        <v>1525</v>
      </c>
      <c r="V79" s="9" t="s">
        <v>1526</v>
      </c>
      <c r="W79" s="9" t="s">
        <v>1527</v>
      </c>
      <c r="X79" s="9" t="s">
        <v>1528</v>
      </c>
      <c r="Y79" s="9" t="s">
        <v>1529</v>
      </c>
      <c r="Z79" s="9" t="s">
        <v>1530</v>
      </c>
      <c r="AA79" s="9" t="s">
        <v>13044</v>
      </c>
      <c r="AB79" s="9" t="s">
        <v>13045</v>
      </c>
      <c r="AC79" s="9" t="s">
        <v>74</v>
      </c>
      <c r="AD79" s="9" t="s">
        <v>74</v>
      </c>
      <c r="AE79" s="9" t="s">
        <v>74</v>
      </c>
      <c r="AF79" s="9" t="s">
        <v>74</v>
      </c>
      <c r="AG79" s="9">
        <v>148</v>
      </c>
      <c r="AH79" s="9">
        <v>11</v>
      </c>
      <c r="AI79" s="9">
        <v>11</v>
      </c>
      <c r="AJ79" s="9">
        <v>19</v>
      </c>
      <c r="AK79" s="9">
        <v>67</v>
      </c>
      <c r="AL79" s="9" t="s">
        <v>715</v>
      </c>
      <c r="AM79" s="9" t="s">
        <v>716</v>
      </c>
      <c r="AN79" s="9" t="s">
        <v>717</v>
      </c>
      <c r="AO79" s="9" t="s">
        <v>1533</v>
      </c>
      <c r="AP79" s="9" t="s">
        <v>74</v>
      </c>
      <c r="AQ79" s="9" t="s">
        <v>74</v>
      </c>
      <c r="AR79" s="9" t="s">
        <v>1534</v>
      </c>
      <c r="AS79" s="9" t="s">
        <v>1535</v>
      </c>
      <c r="AT79" s="9" t="s">
        <v>1536</v>
      </c>
      <c r="AU79" s="9">
        <v>2023</v>
      </c>
      <c r="AV79" s="9">
        <v>33</v>
      </c>
      <c r="AW79" s="9">
        <v>2</v>
      </c>
      <c r="AX79" s="9" t="s">
        <v>74</v>
      </c>
      <c r="AY79" s="9" t="s">
        <v>74</v>
      </c>
      <c r="AZ79" s="9" t="s">
        <v>74</v>
      </c>
      <c r="BA79" s="9" t="s">
        <v>74</v>
      </c>
      <c r="BB79" s="9">
        <v>169</v>
      </c>
      <c r="BC79" s="9">
        <v>197</v>
      </c>
      <c r="BD79" s="9" t="s">
        <v>74</v>
      </c>
      <c r="BE79" s="9" t="s">
        <v>1537</v>
      </c>
      <c r="BF79" s="9">
        <v>0</v>
      </c>
      <c r="BG79" s="9" t="s">
        <v>74</v>
      </c>
      <c r="BH79" s="9" t="s">
        <v>74</v>
      </c>
      <c r="BI79" s="9">
        <v>29</v>
      </c>
      <c r="BJ79" s="9" t="s">
        <v>264</v>
      </c>
      <c r="BK79" s="9" t="s">
        <v>156</v>
      </c>
      <c r="BL79" s="9" t="s">
        <v>265</v>
      </c>
      <c r="BM79" s="9" t="s">
        <v>1538</v>
      </c>
      <c r="BN79" s="9" t="s">
        <v>74</v>
      </c>
      <c r="BO79" s="9" t="s">
        <v>1539</v>
      </c>
      <c r="BP79" s="9" t="s">
        <v>74</v>
      </c>
      <c r="BQ79" s="9" t="s">
        <v>74</v>
      </c>
      <c r="BR79" s="9" t="s">
        <v>12946</v>
      </c>
      <c r="BS79" s="9" t="s">
        <v>1540</v>
      </c>
      <c r="BT79" s="9">
        <v>0</v>
      </c>
    </row>
    <row r="80" spans="1:72" x14ac:dyDescent="0.25">
      <c r="A80" s="9" t="s">
        <v>72</v>
      </c>
      <c r="B80" s="9" t="s">
        <v>2560</v>
      </c>
      <c r="C80" s="9" t="s">
        <v>74</v>
      </c>
      <c r="D80" s="9" t="s">
        <v>74</v>
      </c>
      <c r="E80" s="9" t="s">
        <v>74</v>
      </c>
      <c r="F80" s="9" t="s">
        <v>2561</v>
      </c>
      <c r="G80" s="9" t="s">
        <v>74</v>
      </c>
      <c r="H80" s="9" t="s">
        <v>74</v>
      </c>
      <c r="I80" s="9" t="s">
        <v>2562</v>
      </c>
      <c r="J80" s="9" t="s">
        <v>2563</v>
      </c>
      <c r="K80" s="9" t="s">
        <v>74</v>
      </c>
      <c r="L80" s="9" t="s">
        <v>74</v>
      </c>
      <c r="M80" s="9" t="s">
        <v>78</v>
      </c>
      <c r="N80" s="9" t="s">
        <v>79</v>
      </c>
      <c r="O80" s="9" t="s">
        <v>74</v>
      </c>
      <c r="P80" s="9" t="s">
        <v>74</v>
      </c>
      <c r="Q80" s="9" t="s">
        <v>74</v>
      </c>
      <c r="R80" s="9" t="s">
        <v>74</v>
      </c>
      <c r="S80" s="9" t="s">
        <v>74</v>
      </c>
      <c r="T80" s="9" t="s">
        <v>2564</v>
      </c>
      <c r="U80" s="9" t="s">
        <v>2565</v>
      </c>
      <c r="V80" s="9" t="s">
        <v>2566</v>
      </c>
      <c r="W80" s="9" t="s">
        <v>2567</v>
      </c>
      <c r="X80" s="9" t="s">
        <v>2568</v>
      </c>
      <c r="Y80" s="9" t="s">
        <v>2569</v>
      </c>
      <c r="Z80" s="9" t="s">
        <v>74</v>
      </c>
      <c r="AA80" s="9" t="s">
        <v>74</v>
      </c>
      <c r="AB80" s="9" t="s">
        <v>74</v>
      </c>
      <c r="AC80" s="9" t="s">
        <v>2570</v>
      </c>
      <c r="AD80" s="9" t="s">
        <v>2571</v>
      </c>
      <c r="AE80" s="9" t="s">
        <v>2572</v>
      </c>
      <c r="AF80" s="9" t="s">
        <v>74</v>
      </c>
      <c r="AG80" s="9">
        <v>67</v>
      </c>
      <c r="AH80" s="9">
        <v>11</v>
      </c>
      <c r="AI80" s="9">
        <v>11</v>
      </c>
      <c r="AJ80" s="9">
        <v>136</v>
      </c>
      <c r="AK80" s="9">
        <v>496</v>
      </c>
      <c r="AL80" s="9" t="s">
        <v>2573</v>
      </c>
      <c r="AM80" s="9" t="s">
        <v>2574</v>
      </c>
      <c r="AN80" s="9" t="s">
        <v>2575</v>
      </c>
      <c r="AO80" s="9" t="s">
        <v>2576</v>
      </c>
      <c r="AP80" s="9" t="s">
        <v>2577</v>
      </c>
      <c r="AQ80" s="9" t="s">
        <v>74</v>
      </c>
      <c r="AR80" s="9" t="s">
        <v>2578</v>
      </c>
      <c r="AS80" s="9" t="s">
        <v>2579</v>
      </c>
      <c r="AT80" s="9" t="s">
        <v>476</v>
      </c>
      <c r="AU80" s="9">
        <v>2022</v>
      </c>
      <c r="AV80" s="9">
        <v>34</v>
      </c>
      <c r="AW80" s="9">
        <v>8</v>
      </c>
      <c r="AX80" s="9" t="s">
        <v>74</v>
      </c>
      <c r="AY80" s="9" t="s">
        <v>74</v>
      </c>
      <c r="AZ80" s="9" t="s">
        <v>74</v>
      </c>
      <c r="BA80" s="9" t="s">
        <v>74</v>
      </c>
      <c r="BB80" s="9" t="s">
        <v>74</v>
      </c>
      <c r="BC80" s="9" t="s">
        <v>74</v>
      </c>
      <c r="BD80" s="9" t="s">
        <v>74</v>
      </c>
      <c r="BE80" s="9" t="s">
        <v>2580</v>
      </c>
      <c r="BF80" s="9">
        <v>0</v>
      </c>
      <c r="BG80" s="9" t="s">
        <v>74</v>
      </c>
      <c r="BH80" s="9" t="s">
        <v>74</v>
      </c>
      <c r="BI80" s="9">
        <v>1</v>
      </c>
      <c r="BJ80" s="9" t="s">
        <v>2581</v>
      </c>
      <c r="BK80" s="9" t="s">
        <v>211</v>
      </c>
      <c r="BL80" s="9" t="s">
        <v>767</v>
      </c>
      <c r="BM80" s="9" t="s">
        <v>2582</v>
      </c>
      <c r="BN80" s="9" t="s">
        <v>74</v>
      </c>
      <c r="BO80" s="9" t="s">
        <v>186</v>
      </c>
      <c r="BP80" s="9" t="s">
        <v>74</v>
      </c>
      <c r="BQ80" s="9" t="s">
        <v>74</v>
      </c>
      <c r="BR80" s="9" t="s">
        <v>12946</v>
      </c>
      <c r="BS80" s="9" t="s">
        <v>2583</v>
      </c>
      <c r="BT80" s="9">
        <v>0</v>
      </c>
    </row>
    <row r="81" spans="1:72" x14ac:dyDescent="0.25">
      <c r="A81" s="9" t="s">
        <v>72</v>
      </c>
      <c r="B81" s="9" t="s">
        <v>3733</v>
      </c>
      <c r="C81" s="9" t="s">
        <v>74</v>
      </c>
      <c r="D81" s="9" t="s">
        <v>74</v>
      </c>
      <c r="E81" s="9" t="s">
        <v>74</v>
      </c>
      <c r="F81" s="9" t="s">
        <v>3734</v>
      </c>
      <c r="G81" s="9" t="s">
        <v>74</v>
      </c>
      <c r="H81" s="9" t="s">
        <v>74</v>
      </c>
      <c r="I81" s="9" t="s">
        <v>3735</v>
      </c>
      <c r="J81" s="9" t="s">
        <v>1911</v>
      </c>
      <c r="K81" s="9" t="s">
        <v>74</v>
      </c>
      <c r="L81" s="9" t="s">
        <v>74</v>
      </c>
      <c r="M81" s="9" t="s">
        <v>78</v>
      </c>
      <c r="N81" s="9" t="s">
        <v>79</v>
      </c>
      <c r="O81" s="9" t="s">
        <v>74</v>
      </c>
      <c r="P81" s="9" t="s">
        <v>74</v>
      </c>
      <c r="Q81" s="9" t="s">
        <v>74</v>
      </c>
      <c r="R81" s="9" t="s">
        <v>74</v>
      </c>
      <c r="S81" s="9" t="s">
        <v>74</v>
      </c>
      <c r="T81" s="9" t="s">
        <v>3736</v>
      </c>
      <c r="U81" s="9" t="s">
        <v>3737</v>
      </c>
      <c r="V81" s="9" t="s">
        <v>3738</v>
      </c>
      <c r="W81" s="9" t="s">
        <v>3739</v>
      </c>
      <c r="X81" s="9" t="s">
        <v>3740</v>
      </c>
      <c r="Y81" s="9" t="s">
        <v>3741</v>
      </c>
      <c r="Z81" s="9" t="s">
        <v>3742</v>
      </c>
      <c r="AA81" s="9" t="s">
        <v>13046</v>
      </c>
      <c r="AB81" s="9" t="s">
        <v>3744</v>
      </c>
      <c r="AC81" s="9" t="s">
        <v>74</v>
      </c>
      <c r="AD81" s="9" t="s">
        <v>74</v>
      </c>
      <c r="AE81" s="9" t="s">
        <v>74</v>
      </c>
      <c r="AF81" s="9" t="s">
        <v>74</v>
      </c>
      <c r="AG81" s="9">
        <v>82</v>
      </c>
      <c r="AH81" s="9">
        <v>11</v>
      </c>
      <c r="AI81" s="9">
        <v>11</v>
      </c>
      <c r="AJ81" s="9">
        <v>4</v>
      </c>
      <c r="AK81" s="9">
        <v>30</v>
      </c>
      <c r="AL81" s="9" t="s">
        <v>1919</v>
      </c>
      <c r="AM81" s="9" t="s">
        <v>1920</v>
      </c>
      <c r="AN81" s="9" t="s">
        <v>1921</v>
      </c>
      <c r="AO81" s="9" t="s">
        <v>1922</v>
      </c>
      <c r="AP81" s="9" t="s">
        <v>1923</v>
      </c>
      <c r="AQ81" s="9" t="s">
        <v>74</v>
      </c>
      <c r="AR81" s="9" t="s">
        <v>1924</v>
      </c>
      <c r="AS81" s="9" t="s">
        <v>1925</v>
      </c>
      <c r="AT81" s="9" t="s">
        <v>1448</v>
      </c>
      <c r="AU81" s="9">
        <v>2022</v>
      </c>
      <c r="AV81" s="9">
        <v>26</v>
      </c>
      <c r="AW81" s="9">
        <v>3</v>
      </c>
      <c r="AX81" s="9" t="s">
        <v>74</v>
      </c>
      <c r="AY81" s="9" t="s">
        <v>74</v>
      </c>
      <c r="AZ81" s="9" t="s">
        <v>74</v>
      </c>
      <c r="BA81" s="9" t="s">
        <v>74</v>
      </c>
      <c r="BB81" s="9" t="s">
        <v>74</v>
      </c>
      <c r="BC81" s="9" t="s">
        <v>74</v>
      </c>
      <c r="BD81" s="9">
        <v>2240007</v>
      </c>
      <c r="BE81" s="9" t="s">
        <v>3745</v>
      </c>
      <c r="BF81" s="9">
        <v>0</v>
      </c>
      <c r="BG81" s="9" t="s">
        <v>74</v>
      </c>
      <c r="BH81" s="9" t="s">
        <v>3746</v>
      </c>
      <c r="BI81" s="9">
        <v>34</v>
      </c>
      <c r="BJ81" s="9" t="s">
        <v>315</v>
      </c>
      <c r="BK81" s="9" t="s">
        <v>183</v>
      </c>
      <c r="BL81" s="9" t="s">
        <v>265</v>
      </c>
      <c r="BM81" s="9" t="s">
        <v>3659</v>
      </c>
      <c r="BN81" s="9" t="s">
        <v>74</v>
      </c>
      <c r="BO81" s="9" t="s">
        <v>74</v>
      </c>
      <c r="BP81" s="9" t="s">
        <v>74</v>
      </c>
      <c r="BQ81" s="9" t="s">
        <v>74</v>
      </c>
      <c r="BR81" s="9" t="s">
        <v>12946</v>
      </c>
      <c r="BS81" s="9" t="s">
        <v>3747</v>
      </c>
      <c r="BT81" s="9">
        <v>0</v>
      </c>
    </row>
    <row r="82" spans="1:72" x14ac:dyDescent="0.25">
      <c r="A82" s="9" t="s">
        <v>72</v>
      </c>
      <c r="B82" s="9" t="s">
        <v>2772</v>
      </c>
      <c r="C82" s="9" t="s">
        <v>74</v>
      </c>
      <c r="D82" s="9" t="s">
        <v>74</v>
      </c>
      <c r="E82" s="9" t="s">
        <v>74</v>
      </c>
      <c r="F82" s="9" t="s">
        <v>2773</v>
      </c>
      <c r="G82" s="9" t="s">
        <v>74</v>
      </c>
      <c r="H82" s="9" t="s">
        <v>74</v>
      </c>
      <c r="I82" s="9" t="s">
        <v>2774</v>
      </c>
      <c r="J82" s="9" t="s">
        <v>218</v>
      </c>
      <c r="K82" s="9" t="s">
        <v>74</v>
      </c>
      <c r="L82" s="9" t="s">
        <v>74</v>
      </c>
      <c r="M82" s="9" t="s">
        <v>78</v>
      </c>
      <c r="N82" s="9" t="s">
        <v>79</v>
      </c>
      <c r="O82" s="9" t="s">
        <v>74</v>
      </c>
      <c r="P82" s="9" t="s">
        <v>74</v>
      </c>
      <c r="Q82" s="9" t="s">
        <v>74</v>
      </c>
      <c r="R82" s="9" t="s">
        <v>74</v>
      </c>
      <c r="S82" s="9" t="s">
        <v>74</v>
      </c>
      <c r="T82" s="9" t="s">
        <v>2775</v>
      </c>
      <c r="U82" s="9" t="s">
        <v>2776</v>
      </c>
      <c r="V82" s="9" t="s">
        <v>2777</v>
      </c>
      <c r="W82" s="9" t="s">
        <v>2778</v>
      </c>
      <c r="X82" s="9" t="s">
        <v>2779</v>
      </c>
      <c r="Y82" s="9" t="s">
        <v>2780</v>
      </c>
      <c r="Z82" s="9" t="s">
        <v>2781</v>
      </c>
      <c r="AA82" s="9" t="s">
        <v>13047</v>
      </c>
      <c r="AB82" s="9" t="s">
        <v>2783</v>
      </c>
      <c r="AC82" s="9" t="s">
        <v>2784</v>
      </c>
      <c r="AD82" s="9" t="s">
        <v>2785</v>
      </c>
      <c r="AE82" s="9" t="s">
        <v>2786</v>
      </c>
      <c r="AF82" s="9" t="s">
        <v>74</v>
      </c>
      <c r="AG82" s="9">
        <v>67</v>
      </c>
      <c r="AH82" s="9">
        <v>10</v>
      </c>
      <c r="AI82" s="9">
        <v>11</v>
      </c>
      <c r="AJ82" s="9">
        <v>7</v>
      </c>
      <c r="AK82" s="9">
        <v>51</v>
      </c>
      <c r="AL82" s="9" t="s">
        <v>231</v>
      </c>
      <c r="AM82" s="9" t="s">
        <v>232</v>
      </c>
      <c r="AN82" s="9" t="s">
        <v>233</v>
      </c>
      <c r="AO82" s="9" t="s">
        <v>234</v>
      </c>
      <c r="AP82" s="9" t="s">
        <v>235</v>
      </c>
      <c r="AQ82" s="9" t="s">
        <v>74</v>
      </c>
      <c r="AR82" s="9" t="s">
        <v>236</v>
      </c>
      <c r="AS82" s="9" t="s">
        <v>237</v>
      </c>
      <c r="AT82" s="9" t="s">
        <v>2068</v>
      </c>
      <c r="AU82" s="9">
        <v>2023</v>
      </c>
      <c r="AV82" s="9">
        <v>255</v>
      </c>
      <c r="AW82" s="9" t="s">
        <v>74</v>
      </c>
      <c r="AX82" s="9" t="s">
        <v>74</v>
      </c>
      <c r="AY82" s="9" t="s">
        <v>74</v>
      </c>
      <c r="AZ82" s="9" t="s">
        <v>74</v>
      </c>
      <c r="BA82" s="9" t="s">
        <v>74</v>
      </c>
      <c r="BB82" s="9" t="s">
        <v>74</v>
      </c>
      <c r="BC82" s="9" t="s">
        <v>74</v>
      </c>
      <c r="BD82" s="9">
        <v>108701</v>
      </c>
      <c r="BE82" s="9" t="s">
        <v>2787</v>
      </c>
      <c r="BF82" s="9">
        <v>0</v>
      </c>
      <c r="BG82" s="9" t="s">
        <v>74</v>
      </c>
      <c r="BH82" s="9" t="s">
        <v>2788</v>
      </c>
      <c r="BI82" s="9">
        <v>15</v>
      </c>
      <c r="BJ82" s="9" t="s">
        <v>239</v>
      </c>
      <c r="BK82" s="9" t="s">
        <v>102</v>
      </c>
      <c r="BL82" s="9" t="s">
        <v>240</v>
      </c>
      <c r="BM82" s="9" t="s">
        <v>2789</v>
      </c>
      <c r="BN82" s="9" t="s">
        <v>74</v>
      </c>
      <c r="BO82" s="9" t="s">
        <v>74</v>
      </c>
      <c r="BP82" s="9" t="s">
        <v>74</v>
      </c>
      <c r="BQ82" s="9" t="s">
        <v>74</v>
      </c>
      <c r="BR82" s="9" t="s">
        <v>12946</v>
      </c>
      <c r="BS82" s="9" t="s">
        <v>2790</v>
      </c>
      <c r="BT82" s="9">
        <v>0</v>
      </c>
    </row>
    <row r="83" spans="1:72" x14ac:dyDescent="0.25">
      <c r="A83" s="9" t="s">
        <v>72</v>
      </c>
      <c r="B83" s="9" t="s">
        <v>4133</v>
      </c>
      <c r="C83" s="9" t="s">
        <v>74</v>
      </c>
      <c r="D83" s="9" t="s">
        <v>74</v>
      </c>
      <c r="E83" s="9" t="s">
        <v>74</v>
      </c>
      <c r="F83" s="9" t="s">
        <v>4134</v>
      </c>
      <c r="G83" s="9" t="s">
        <v>74</v>
      </c>
      <c r="H83" s="9" t="s">
        <v>74</v>
      </c>
      <c r="I83" s="9" t="s">
        <v>4135</v>
      </c>
      <c r="J83" s="9" t="s">
        <v>1649</v>
      </c>
      <c r="K83" s="9" t="s">
        <v>74</v>
      </c>
      <c r="L83" s="9" t="s">
        <v>74</v>
      </c>
      <c r="M83" s="9" t="s">
        <v>78</v>
      </c>
      <c r="N83" s="9" t="s">
        <v>79</v>
      </c>
      <c r="O83" s="9" t="s">
        <v>74</v>
      </c>
      <c r="P83" s="9" t="s">
        <v>74</v>
      </c>
      <c r="Q83" s="9" t="s">
        <v>74</v>
      </c>
      <c r="R83" s="9" t="s">
        <v>74</v>
      </c>
      <c r="S83" s="9" t="s">
        <v>74</v>
      </c>
      <c r="T83" s="9" t="s">
        <v>4136</v>
      </c>
      <c r="U83" s="9" t="s">
        <v>4137</v>
      </c>
      <c r="V83" s="9" t="s">
        <v>4138</v>
      </c>
      <c r="W83" s="9" t="s">
        <v>4139</v>
      </c>
      <c r="X83" s="9" t="s">
        <v>4140</v>
      </c>
      <c r="Y83" s="9" t="s">
        <v>4141</v>
      </c>
      <c r="Z83" s="9" t="s">
        <v>4142</v>
      </c>
      <c r="AA83" s="9" t="s">
        <v>13048</v>
      </c>
      <c r="AB83" s="9" t="s">
        <v>4144</v>
      </c>
      <c r="AC83" s="9" t="s">
        <v>74</v>
      </c>
      <c r="AD83" s="9" t="s">
        <v>74</v>
      </c>
      <c r="AE83" s="9" t="s">
        <v>74</v>
      </c>
      <c r="AF83" s="9" t="s">
        <v>74</v>
      </c>
      <c r="AG83" s="9">
        <v>35</v>
      </c>
      <c r="AH83" s="9">
        <v>10</v>
      </c>
      <c r="AI83" s="9">
        <v>13</v>
      </c>
      <c r="AJ83" s="9">
        <v>5</v>
      </c>
      <c r="AK83" s="9">
        <v>60</v>
      </c>
      <c r="AL83" s="9" t="s">
        <v>1382</v>
      </c>
      <c r="AM83" s="9" t="s">
        <v>1383</v>
      </c>
      <c r="AN83" s="9" t="s">
        <v>1384</v>
      </c>
      <c r="AO83" s="9" t="s">
        <v>1659</v>
      </c>
      <c r="AP83" s="9" t="s">
        <v>74</v>
      </c>
      <c r="AQ83" s="9" t="s">
        <v>74</v>
      </c>
      <c r="AR83" s="9" t="s">
        <v>1660</v>
      </c>
      <c r="AS83" s="9" t="s">
        <v>1661</v>
      </c>
      <c r="AT83" s="9" t="s">
        <v>4145</v>
      </c>
      <c r="AU83" s="9">
        <v>2022</v>
      </c>
      <c r="AV83" s="9">
        <v>13</v>
      </c>
      <c r="AW83" s="9" t="s">
        <v>74</v>
      </c>
      <c r="AX83" s="9" t="s">
        <v>74</v>
      </c>
      <c r="AY83" s="9" t="s">
        <v>74</v>
      </c>
      <c r="AZ83" s="9" t="s">
        <v>74</v>
      </c>
      <c r="BA83" s="9" t="s">
        <v>74</v>
      </c>
      <c r="BB83" s="9" t="s">
        <v>74</v>
      </c>
      <c r="BC83" s="9" t="s">
        <v>74</v>
      </c>
      <c r="BD83" s="9">
        <v>840699</v>
      </c>
      <c r="BE83" s="9" t="s">
        <v>4146</v>
      </c>
      <c r="BF83" s="9">
        <v>0</v>
      </c>
      <c r="BG83" s="9" t="s">
        <v>74</v>
      </c>
      <c r="BH83" s="9" t="s">
        <v>74</v>
      </c>
      <c r="BI83" s="9">
        <v>7</v>
      </c>
      <c r="BJ83" s="9" t="s">
        <v>1664</v>
      </c>
      <c r="BK83" s="9" t="s">
        <v>156</v>
      </c>
      <c r="BL83" s="9" t="s">
        <v>1665</v>
      </c>
      <c r="BM83" s="9" t="s">
        <v>4147</v>
      </c>
      <c r="BN83" s="9">
        <v>35645930</v>
      </c>
      <c r="BO83" s="9" t="s">
        <v>614</v>
      </c>
      <c r="BP83" s="9" t="s">
        <v>74</v>
      </c>
      <c r="BQ83" s="9" t="s">
        <v>74</v>
      </c>
      <c r="BR83" s="9" t="s">
        <v>12946</v>
      </c>
      <c r="BS83" s="9" t="s">
        <v>4148</v>
      </c>
      <c r="BT83" s="9">
        <v>0</v>
      </c>
    </row>
    <row r="84" spans="1:72" x14ac:dyDescent="0.25">
      <c r="A84" s="9" t="s">
        <v>72</v>
      </c>
      <c r="B84" s="9" t="s">
        <v>5966</v>
      </c>
      <c r="C84" s="9" t="s">
        <v>74</v>
      </c>
      <c r="D84" s="9" t="s">
        <v>74</v>
      </c>
      <c r="E84" s="9" t="s">
        <v>74</v>
      </c>
      <c r="F84" s="9" t="s">
        <v>5967</v>
      </c>
      <c r="G84" s="9" t="s">
        <v>74</v>
      </c>
      <c r="H84" s="9" t="s">
        <v>74</v>
      </c>
      <c r="I84" s="9" t="s">
        <v>5968</v>
      </c>
      <c r="J84" s="9" t="s">
        <v>5969</v>
      </c>
      <c r="K84" s="9" t="s">
        <v>74</v>
      </c>
      <c r="L84" s="9" t="s">
        <v>74</v>
      </c>
      <c r="M84" s="9" t="s">
        <v>78</v>
      </c>
      <c r="N84" s="9" t="s">
        <v>79</v>
      </c>
      <c r="O84" s="9" t="s">
        <v>74</v>
      </c>
      <c r="P84" s="9" t="s">
        <v>74</v>
      </c>
      <c r="Q84" s="9" t="s">
        <v>74</v>
      </c>
      <c r="R84" s="9" t="s">
        <v>74</v>
      </c>
      <c r="S84" s="9" t="s">
        <v>74</v>
      </c>
      <c r="T84" s="9" t="s">
        <v>5970</v>
      </c>
      <c r="U84" s="9" t="s">
        <v>5971</v>
      </c>
      <c r="V84" s="9" t="s">
        <v>5972</v>
      </c>
      <c r="W84" s="9" t="s">
        <v>5973</v>
      </c>
      <c r="X84" s="9" t="s">
        <v>5974</v>
      </c>
      <c r="Y84" s="9" t="s">
        <v>5975</v>
      </c>
      <c r="Z84" s="9" t="s">
        <v>5976</v>
      </c>
      <c r="AA84" s="9" t="s">
        <v>13049</v>
      </c>
      <c r="AB84" s="9" t="s">
        <v>13050</v>
      </c>
      <c r="AC84" s="9" t="s">
        <v>5979</v>
      </c>
      <c r="AD84" s="9" t="s">
        <v>5980</v>
      </c>
      <c r="AE84" s="9" t="s">
        <v>5981</v>
      </c>
      <c r="AF84" s="9" t="s">
        <v>74</v>
      </c>
      <c r="AG84" s="9">
        <v>37</v>
      </c>
      <c r="AH84" s="9">
        <v>10</v>
      </c>
      <c r="AI84" s="9">
        <v>11</v>
      </c>
      <c r="AJ84" s="9">
        <v>4</v>
      </c>
      <c r="AK84" s="9">
        <v>64</v>
      </c>
      <c r="AL84" s="9" t="s">
        <v>1013</v>
      </c>
      <c r="AM84" s="9" t="s">
        <v>493</v>
      </c>
      <c r="AN84" s="9" t="s">
        <v>1014</v>
      </c>
      <c r="AO84" s="9" t="s">
        <v>5982</v>
      </c>
      <c r="AP84" s="9" t="s">
        <v>5983</v>
      </c>
      <c r="AQ84" s="9" t="s">
        <v>74</v>
      </c>
      <c r="AR84" s="9" t="s">
        <v>5984</v>
      </c>
      <c r="AS84" s="9" t="s">
        <v>5985</v>
      </c>
      <c r="AT84" s="9" t="s">
        <v>3237</v>
      </c>
      <c r="AU84" s="9">
        <v>2021</v>
      </c>
      <c r="AV84" s="9">
        <v>34</v>
      </c>
      <c r="AW84" s="9">
        <v>9</v>
      </c>
      <c r="AX84" s="9" t="s">
        <v>74</v>
      </c>
      <c r="AY84" s="9" t="s">
        <v>74</v>
      </c>
      <c r="AZ84" s="9" t="s">
        <v>74</v>
      </c>
      <c r="BA84" s="9" t="s">
        <v>74</v>
      </c>
      <c r="BB84" s="9">
        <v>920</v>
      </c>
      <c r="BC84" s="9">
        <v>932</v>
      </c>
      <c r="BD84" s="9" t="s">
        <v>74</v>
      </c>
      <c r="BE84" s="9" t="s">
        <v>5986</v>
      </c>
      <c r="BF84" s="9">
        <v>0</v>
      </c>
      <c r="BG84" s="9" t="s">
        <v>74</v>
      </c>
      <c r="BH84" s="9" t="s">
        <v>5928</v>
      </c>
      <c r="BI84" s="9">
        <v>13</v>
      </c>
      <c r="BJ84" s="9" t="s">
        <v>5987</v>
      </c>
      <c r="BK84" s="9" t="s">
        <v>102</v>
      </c>
      <c r="BL84" s="9" t="s">
        <v>5988</v>
      </c>
      <c r="BM84" s="9" t="s">
        <v>5989</v>
      </c>
      <c r="BN84" s="9" t="s">
        <v>74</v>
      </c>
      <c r="BO84" s="9" t="s">
        <v>74</v>
      </c>
      <c r="BP84" s="9" t="s">
        <v>74</v>
      </c>
      <c r="BQ84" s="9" t="s">
        <v>74</v>
      </c>
      <c r="BR84" s="9" t="s">
        <v>12946</v>
      </c>
      <c r="BS84" s="9" t="s">
        <v>5990</v>
      </c>
      <c r="BT84" s="9">
        <v>0</v>
      </c>
    </row>
    <row r="85" spans="1:72" x14ac:dyDescent="0.25">
      <c r="A85" s="9" t="s">
        <v>72</v>
      </c>
      <c r="B85" s="9" t="s">
        <v>8877</v>
      </c>
      <c r="C85" s="9" t="s">
        <v>74</v>
      </c>
      <c r="D85" s="9" t="s">
        <v>74</v>
      </c>
      <c r="E85" s="9" t="s">
        <v>74</v>
      </c>
      <c r="F85" s="9" t="s">
        <v>8878</v>
      </c>
      <c r="G85" s="9" t="s">
        <v>74</v>
      </c>
      <c r="H85" s="9" t="s">
        <v>74</v>
      </c>
      <c r="I85" s="9" t="s">
        <v>8879</v>
      </c>
      <c r="J85" s="9" t="s">
        <v>8880</v>
      </c>
      <c r="K85" s="9" t="s">
        <v>74</v>
      </c>
      <c r="L85" s="9" t="s">
        <v>74</v>
      </c>
      <c r="M85" s="9" t="s">
        <v>78</v>
      </c>
      <c r="N85" s="9" t="s">
        <v>79</v>
      </c>
      <c r="O85" s="9" t="s">
        <v>74</v>
      </c>
      <c r="P85" s="9" t="s">
        <v>74</v>
      </c>
      <c r="Q85" s="9" t="s">
        <v>74</v>
      </c>
      <c r="R85" s="9" t="s">
        <v>74</v>
      </c>
      <c r="S85" s="9" t="s">
        <v>74</v>
      </c>
      <c r="T85" s="9" t="s">
        <v>8881</v>
      </c>
      <c r="U85" s="9" t="s">
        <v>8882</v>
      </c>
      <c r="V85" s="9" t="s">
        <v>8883</v>
      </c>
      <c r="W85" s="9" t="s">
        <v>8884</v>
      </c>
      <c r="X85" s="9" t="s">
        <v>8885</v>
      </c>
      <c r="Y85" s="9" t="s">
        <v>8886</v>
      </c>
      <c r="Z85" s="9" t="s">
        <v>8887</v>
      </c>
      <c r="AA85" s="9" t="s">
        <v>74</v>
      </c>
      <c r="AB85" s="9" t="s">
        <v>8888</v>
      </c>
      <c r="AC85" s="9" t="s">
        <v>74</v>
      </c>
      <c r="AD85" s="9" t="s">
        <v>74</v>
      </c>
      <c r="AE85" s="9" t="s">
        <v>74</v>
      </c>
      <c r="AF85" s="9" t="s">
        <v>74</v>
      </c>
      <c r="AG85" s="9">
        <v>31</v>
      </c>
      <c r="AH85" s="9">
        <v>10</v>
      </c>
      <c r="AI85" s="9">
        <v>11</v>
      </c>
      <c r="AJ85" s="9">
        <v>1</v>
      </c>
      <c r="AK85" s="9">
        <v>20</v>
      </c>
      <c r="AL85" s="9" t="s">
        <v>1382</v>
      </c>
      <c r="AM85" s="9" t="s">
        <v>1383</v>
      </c>
      <c r="AN85" s="9" t="s">
        <v>1384</v>
      </c>
      <c r="AO85" s="9" t="s">
        <v>8889</v>
      </c>
      <c r="AP85" s="9" t="s">
        <v>74</v>
      </c>
      <c r="AQ85" s="9" t="s">
        <v>74</v>
      </c>
      <c r="AR85" s="9" t="s">
        <v>8890</v>
      </c>
      <c r="AS85" s="9" t="s">
        <v>8891</v>
      </c>
      <c r="AT85" s="9" t="s">
        <v>8892</v>
      </c>
      <c r="AU85" s="9">
        <v>2019</v>
      </c>
      <c r="AV85" s="9">
        <v>7</v>
      </c>
      <c r="AW85" s="9" t="s">
        <v>74</v>
      </c>
      <c r="AX85" s="9" t="s">
        <v>74</v>
      </c>
      <c r="AY85" s="9" t="s">
        <v>74</v>
      </c>
      <c r="AZ85" s="9" t="s">
        <v>74</v>
      </c>
      <c r="BA85" s="9" t="s">
        <v>74</v>
      </c>
      <c r="BB85" s="9" t="s">
        <v>74</v>
      </c>
      <c r="BC85" s="9" t="s">
        <v>74</v>
      </c>
      <c r="BD85" s="9">
        <v>210</v>
      </c>
      <c r="BE85" s="9" t="s">
        <v>8893</v>
      </c>
      <c r="BF85" s="9">
        <v>0</v>
      </c>
      <c r="BG85" s="9" t="s">
        <v>74</v>
      </c>
      <c r="BH85" s="9" t="s">
        <v>74</v>
      </c>
      <c r="BI85" s="9">
        <v>8</v>
      </c>
      <c r="BJ85" s="9" t="s">
        <v>13051</v>
      </c>
      <c r="BK85" s="9" t="s">
        <v>102</v>
      </c>
      <c r="BL85" s="9" t="s">
        <v>13052</v>
      </c>
      <c r="BM85" s="9" t="s">
        <v>8896</v>
      </c>
      <c r="BN85" s="9">
        <v>31552236</v>
      </c>
      <c r="BO85" s="9" t="s">
        <v>614</v>
      </c>
      <c r="BP85" s="9" t="s">
        <v>74</v>
      </c>
      <c r="BQ85" s="9" t="s">
        <v>74</v>
      </c>
      <c r="BR85" s="9" t="s">
        <v>12946</v>
      </c>
      <c r="BS85" s="9" t="s">
        <v>8897</v>
      </c>
      <c r="BT85" s="9">
        <v>0</v>
      </c>
    </row>
    <row r="86" spans="1:72" x14ac:dyDescent="0.25">
      <c r="A86" s="9" t="s">
        <v>72</v>
      </c>
      <c r="B86" s="9" t="s">
        <v>1393</v>
      </c>
      <c r="C86" s="9" t="s">
        <v>74</v>
      </c>
      <c r="D86" s="9" t="s">
        <v>74</v>
      </c>
      <c r="E86" s="9" t="s">
        <v>74</v>
      </c>
      <c r="F86" s="9" t="s">
        <v>1394</v>
      </c>
      <c r="G86" s="9" t="s">
        <v>74</v>
      </c>
      <c r="H86" s="9" t="s">
        <v>74</v>
      </c>
      <c r="I86" s="9" t="s">
        <v>1395</v>
      </c>
      <c r="J86" s="9" t="s">
        <v>749</v>
      </c>
      <c r="K86" s="9" t="s">
        <v>74</v>
      </c>
      <c r="L86" s="9" t="s">
        <v>74</v>
      </c>
      <c r="M86" s="9" t="s">
        <v>78</v>
      </c>
      <c r="N86" s="9" t="s">
        <v>79</v>
      </c>
      <c r="O86" s="9" t="s">
        <v>74</v>
      </c>
      <c r="P86" s="9" t="s">
        <v>74</v>
      </c>
      <c r="Q86" s="9" t="s">
        <v>74</v>
      </c>
      <c r="R86" s="9" t="s">
        <v>74</v>
      </c>
      <c r="S86" s="9" t="s">
        <v>74</v>
      </c>
      <c r="T86" s="9" t="s">
        <v>1396</v>
      </c>
      <c r="U86" s="9" t="s">
        <v>1397</v>
      </c>
      <c r="V86" s="9" t="s">
        <v>1398</v>
      </c>
      <c r="W86" s="9" t="s">
        <v>1399</v>
      </c>
      <c r="X86" s="9" t="s">
        <v>1400</v>
      </c>
      <c r="Y86" s="9" t="s">
        <v>1401</v>
      </c>
      <c r="Z86" s="9" t="s">
        <v>1402</v>
      </c>
      <c r="AA86" s="9" t="s">
        <v>13053</v>
      </c>
      <c r="AB86" s="9" t="s">
        <v>13054</v>
      </c>
      <c r="AC86" s="9" t="s">
        <v>1405</v>
      </c>
      <c r="AD86" s="9" t="s">
        <v>1406</v>
      </c>
      <c r="AE86" s="9" t="s">
        <v>1407</v>
      </c>
      <c r="AF86" s="9" t="s">
        <v>74</v>
      </c>
      <c r="AG86" s="9">
        <v>79</v>
      </c>
      <c r="AH86" s="9">
        <v>9</v>
      </c>
      <c r="AI86" s="9">
        <v>9</v>
      </c>
      <c r="AJ86" s="9">
        <v>169</v>
      </c>
      <c r="AK86" s="9">
        <v>609</v>
      </c>
      <c r="AL86" s="9" t="s">
        <v>715</v>
      </c>
      <c r="AM86" s="9" t="s">
        <v>4411</v>
      </c>
      <c r="AN86" s="9" t="s">
        <v>12985</v>
      </c>
      <c r="AO86" s="9" t="s">
        <v>760</v>
      </c>
      <c r="AP86" s="9" t="s">
        <v>761</v>
      </c>
      <c r="AQ86" s="9" t="s">
        <v>74</v>
      </c>
      <c r="AR86" s="9" t="s">
        <v>762</v>
      </c>
      <c r="AS86" s="9" t="s">
        <v>763</v>
      </c>
      <c r="AT86" s="9" t="s">
        <v>13055</v>
      </c>
      <c r="AU86" s="9">
        <v>2024</v>
      </c>
      <c r="AV86" s="9">
        <v>37</v>
      </c>
      <c r="AW86" s="9">
        <v>3</v>
      </c>
      <c r="AX86" s="9" t="s">
        <v>74</v>
      </c>
      <c r="AY86" s="9" t="s">
        <v>74</v>
      </c>
      <c r="AZ86" s="9" t="s">
        <v>74</v>
      </c>
      <c r="BA86" s="9" t="s">
        <v>74</v>
      </c>
      <c r="BB86" s="9">
        <v>903</v>
      </c>
      <c r="BC86" s="9">
        <v>927</v>
      </c>
      <c r="BD86" s="9" t="s">
        <v>74</v>
      </c>
      <c r="BE86" s="9" t="s">
        <v>1409</v>
      </c>
      <c r="BF86" s="9">
        <v>0</v>
      </c>
      <c r="BG86" s="9" t="s">
        <v>74</v>
      </c>
      <c r="BH86" s="9" t="s">
        <v>1410</v>
      </c>
      <c r="BI86" s="9">
        <v>25</v>
      </c>
      <c r="BJ86" s="9" t="s">
        <v>766</v>
      </c>
      <c r="BK86" s="9" t="s">
        <v>156</v>
      </c>
      <c r="BL86" s="9" t="s">
        <v>767</v>
      </c>
      <c r="BM86" s="9" t="s">
        <v>13056</v>
      </c>
      <c r="BN86" s="9" t="s">
        <v>74</v>
      </c>
      <c r="BO86" s="9" t="s">
        <v>74</v>
      </c>
      <c r="BP86" s="9" t="s">
        <v>74</v>
      </c>
      <c r="BQ86" s="9" t="s">
        <v>74</v>
      </c>
      <c r="BR86" s="9" t="s">
        <v>12946</v>
      </c>
      <c r="BS86" s="9" t="s">
        <v>1412</v>
      </c>
      <c r="BT86" s="9">
        <v>0</v>
      </c>
    </row>
    <row r="87" spans="1:72" x14ac:dyDescent="0.25">
      <c r="A87" s="9" t="s">
        <v>72</v>
      </c>
      <c r="B87" s="9" t="s">
        <v>11051</v>
      </c>
      <c r="C87" s="9" t="s">
        <v>74</v>
      </c>
      <c r="D87" s="9" t="s">
        <v>74</v>
      </c>
      <c r="E87" s="9" t="s">
        <v>74</v>
      </c>
      <c r="F87" s="9" t="s">
        <v>11052</v>
      </c>
      <c r="G87" s="9" t="s">
        <v>74</v>
      </c>
      <c r="H87" s="9" t="s">
        <v>74</v>
      </c>
      <c r="I87" s="9" t="s">
        <v>11053</v>
      </c>
      <c r="J87" s="9" t="s">
        <v>7999</v>
      </c>
      <c r="K87" s="9" t="s">
        <v>74</v>
      </c>
      <c r="L87" s="9" t="s">
        <v>74</v>
      </c>
      <c r="M87" s="9" t="s">
        <v>78</v>
      </c>
      <c r="N87" s="9" t="s">
        <v>79</v>
      </c>
      <c r="O87" s="9" t="s">
        <v>74</v>
      </c>
      <c r="P87" s="9" t="s">
        <v>74</v>
      </c>
      <c r="Q87" s="9" t="s">
        <v>74</v>
      </c>
      <c r="R87" s="9" t="s">
        <v>74</v>
      </c>
      <c r="S87" s="9" t="s">
        <v>74</v>
      </c>
      <c r="T87" s="9" t="s">
        <v>74</v>
      </c>
      <c r="U87" s="9" t="s">
        <v>74</v>
      </c>
      <c r="V87" s="9" t="s">
        <v>11054</v>
      </c>
      <c r="W87" s="9" t="s">
        <v>11055</v>
      </c>
      <c r="X87" s="9" t="s">
        <v>74</v>
      </c>
      <c r="Y87" s="9" t="s">
        <v>11056</v>
      </c>
      <c r="Z87" s="9" t="s">
        <v>74</v>
      </c>
      <c r="AA87" s="9" t="s">
        <v>74</v>
      </c>
      <c r="AB87" s="9" t="s">
        <v>74</v>
      </c>
      <c r="AC87" s="9" t="s">
        <v>74</v>
      </c>
      <c r="AD87" s="9" t="s">
        <v>74</v>
      </c>
      <c r="AE87" s="9" t="s">
        <v>74</v>
      </c>
      <c r="AF87" s="9" t="s">
        <v>74</v>
      </c>
      <c r="AG87" s="9">
        <v>0</v>
      </c>
      <c r="AH87" s="9">
        <v>9</v>
      </c>
      <c r="AI87" s="9">
        <v>12</v>
      </c>
      <c r="AJ87" s="9">
        <v>2</v>
      </c>
      <c r="AK87" s="9">
        <v>73</v>
      </c>
      <c r="AL87" s="9" t="s">
        <v>8003</v>
      </c>
      <c r="AM87" s="9" t="s">
        <v>8004</v>
      </c>
      <c r="AN87" s="9" t="s">
        <v>8005</v>
      </c>
      <c r="AO87" s="9" t="s">
        <v>8006</v>
      </c>
      <c r="AP87" s="9" t="s">
        <v>74</v>
      </c>
      <c r="AQ87" s="9" t="s">
        <v>74</v>
      </c>
      <c r="AR87" s="9" t="s">
        <v>8007</v>
      </c>
      <c r="AS87" s="9" t="s">
        <v>8008</v>
      </c>
      <c r="AT87" s="9" t="s">
        <v>99</v>
      </c>
      <c r="AU87" s="9">
        <v>2016</v>
      </c>
      <c r="AV87" s="9">
        <v>94</v>
      </c>
      <c r="AW87" s="9">
        <v>11</v>
      </c>
      <c r="AX87" s="9" t="s">
        <v>74</v>
      </c>
      <c r="AY87" s="9" t="s">
        <v>74</v>
      </c>
      <c r="AZ87" s="9" t="s">
        <v>74</v>
      </c>
      <c r="BA87" s="9" t="s">
        <v>74</v>
      </c>
      <c r="BB87" s="9">
        <v>68</v>
      </c>
      <c r="BC87" s="9" t="s">
        <v>11057</v>
      </c>
      <c r="BD87" s="9" t="s">
        <v>74</v>
      </c>
      <c r="BE87" s="9" t="s">
        <v>74</v>
      </c>
      <c r="BF87" s="9" t="s">
        <v>74</v>
      </c>
      <c r="BG87" s="9" t="s">
        <v>74</v>
      </c>
      <c r="BH87" s="9" t="s">
        <v>74</v>
      </c>
      <c r="BI87" s="9">
        <v>8</v>
      </c>
      <c r="BJ87" s="9" t="s">
        <v>264</v>
      </c>
      <c r="BK87" s="9" t="s">
        <v>156</v>
      </c>
      <c r="BL87" s="9" t="s">
        <v>265</v>
      </c>
      <c r="BM87" s="9" t="s">
        <v>11058</v>
      </c>
      <c r="BN87" s="9" t="s">
        <v>74</v>
      </c>
      <c r="BO87" s="9" t="s">
        <v>74</v>
      </c>
      <c r="BP87" s="9" t="s">
        <v>74</v>
      </c>
      <c r="BQ87" s="9" t="s">
        <v>74</v>
      </c>
      <c r="BR87" s="9" t="s">
        <v>12946</v>
      </c>
      <c r="BS87" s="9" t="s">
        <v>11059</v>
      </c>
      <c r="BT87" s="9">
        <v>0</v>
      </c>
    </row>
    <row r="88" spans="1:72" x14ac:dyDescent="0.25">
      <c r="A88" s="9" t="s">
        <v>72</v>
      </c>
      <c r="B88" s="9" t="s">
        <v>2005</v>
      </c>
      <c r="C88" s="9" t="s">
        <v>74</v>
      </c>
      <c r="D88" s="9" t="s">
        <v>74</v>
      </c>
      <c r="E88" s="9" t="s">
        <v>74</v>
      </c>
      <c r="F88" s="9" t="s">
        <v>2006</v>
      </c>
      <c r="G88" s="9" t="s">
        <v>74</v>
      </c>
      <c r="H88" s="9" t="s">
        <v>74</v>
      </c>
      <c r="I88" s="9" t="s">
        <v>2007</v>
      </c>
      <c r="J88" s="9" t="s">
        <v>1523</v>
      </c>
      <c r="K88" s="9" t="s">
        <v>74</v>
      </c>
      <c r="L88" s="9" t="s">
        <v>74</v>
      </c>
      <c r="M88" s="9" t="s">
        <v>78</v>
      </c>
      <c r="N88" s="9" t="s">
        <v>79</v>
      </c>
      <c r="O88" s="9" t="s">
        <v>74</v>
      </c>
      <c r="P88" s="9" t="s">
        <v>74</v>
      </c>
      <c r="Q88" s="9" t="s">
        <v>74</v>
      </c>
      <c r="R88" s="9" t="s">
        <v>74</v>
      </c>
      <c r="S88" s="9" t="s">
        <v>74</v>
      </c>
      <c r="T88" s="9" t="s">
        <v>2008</v>
      </c>
      <c r="U88" s="9" t="s">
        <v>2009</v>
      </c>
      <c r="V88" s="9" t="s">
        <v>2010</v>
      </c>
      <c r="W88" s="9" t="s">
        <v>2011</v>
      </c>
      <c r="X88" s="9" t="s">
        <v>2012</v>
      </c>
      <c r="Y88" s="9" t="s">
        <v>2013</v>
      </c>
      <c r="Z88" s="9" t="s">
        <v>2014</v>
      </c>
      <c r="AA88" s="9" t="s">
        <v>2015</v>
      </c>
      <c r="AB88" s="9" t="s">
        <v>2016</v>
      </c>
      <c r="AC88" s="9" t="s">
        <v>74</v>
      </c>
      <c r="AD88" s="9" t="s">
        <v>74</v>
      </c>
      <c r="AE88" s="9" t="s">
        <v>74</v>
      </c>
      <c r="AF88" s="9" t="s">
        <v>74</v>
      </c>
      <c r="AG88" s="9">
        <v>108</v>
      </c>
      <c r="AH88" s="9">
        <v>8</v>
      </c>
      <c r="AI88" s="9">
        <v>8</v>
      </c>
      <c r="AJ88" s="9">
        <v>18</v>
      </c>
      <c r="AK88" s="9">
        <v>107</v>
      </c>
      <c r="AL88" s="9" t="s">
        <v>715</v>
      </c>
      <c r="AM88" s="9" t="s">
        <v>716</v>
      </c>
      <c r="AN88" s="9" t="s">
        <v>717</v>
      </c>
      <c r="AO88" s="9" t="s">
        <v>1533</v>
      </c>
      <c r="AP88" s="9" t="s">
        <v>74</v>
      </c>
      <c r="AQ88" s="9" t="s">
        <v>74</v>
      </c>
      <c r="AR88" s="9" t="s">
        <v>1534</v>
      </c>
      <c r="AS88" s="9" t="s">
        <v>1535</v>
      </c>
      <c r="AT88" s="9" t="s">
        <v>1536</v>
      </c>
      <c r="AU88" s="9">
        <v>2023</v>
      </c>
      <c r="AV88" s="9">
        <v>33</v>
      </c>
      <c r="AW88" s="9">
        <v>2</v>
      </c>
      <c r="AX88" s="9" t="s">
        <v>74</v>
      </c>
      <c r="AY88" s="9" t="s">
        <v>74</v>
      </c>
      <c r="AZ88" s="9" t="s">
        <v>1020</v>
      </c>
      <c r="BA88" s="9" t="s">
        <v>74</v>
      </c>
      <c r="BB88" s="9">
        <v>149</v>
      </c>
      <c r="BC88" s="9">
        <v>168</v>
      </c>
      <c r="BD88" s="9" t="s">
        <v>74</v>
      </c>
      <c r="BE88" s="9" t="s">
        <v>2017</v>
      </c>
      <c r="BF88" s="9">
        <v>0</v>
      </c>
      <c r="BG88" s="9" t="s">
        <v>74</v>
      </c>
      <c r="BH88" s="9" t="s">
        <v>1999</v>
      </c>
      <c r="BI88" s="9">
        <v>20</v>
      </c>
      <c r="BJ88" s="9" t="s">
        <v>264</v>
      </c>
      <c r="BK88" s="9" t="s">
        <v>156</v>
      </c>
      <c r="BL88" s="9" t="s">
        <v>265</v>
      </c>
      <c r="BM88" s="9" t="s">
        <v>2018</v>
      </c>
      <c r="BN88" s="9" t="s">
        <v>74</v>
      </c>
      <c r="BO88" s="9" t="s">
        <v>74</v>
      </c>
      <c r="BP88" s="9" t="s">
        <v>74</v>
      </c>
      <c r="BQ88" s="9" t="s">
        <v>74</v>
      </c>
      <c r="BR88" s="9" t="s">
        <v>12946</v>
      </c>
      <c r="BS88" s="9" t="s">
        <v>2019</v>
      </c>
      <c r="BT88" s="9">
        <v>0</v>
      </c>
    </row>
    <row r="89" spans="1:72" x14ac:dyDescent="0.25">
      <c r="A89" s="9" t="s">
        <v>72</v>
      </c>
      <c r="B89" s="9" t="s">
        <v>3580</v>
      </c>
      <c r="C89" s="9" t="s">
        <v>74</v>
      </c>
      <c r="D89" s="9" t="s">
        <v>74</v>
      </c>
      <c r="E89" s="9" t="s">
        <v>74</v>
      </c>
      <c r="F89" s="9" t="s">
        <v>3581</v>
      </c>
      <c r="G89" s="9" t="s">
        <v>74</v>
      </c>
      <c r="H89" s="9" t="s">
        <v>74</v>
      </c>
      <c r="I89" s="9" t="s">
        <v>3582</v>
      </c>
      <c r="J89" s="9" t="s">
        <v>3583</v>
      </c>
      <c r="K89" s="9" t="s">
        <v>74</v>
      </c>
      <c r="L89" s="9" t="s">
        <v>74</v>
      </c>
      <c r="M89" s="9" t="s">
        <v>78</v>
      </c>
      <c r="N89" s="9" t="s">
        <v>79</v>
      </c>
      <c r="O89" s="9" t="s">
        <v>74</v>
      </c>
      <c r="P89" s="9" t="s">
        <v>74</v>
      </c>
      <c r="Q89" s="9" t="s">
        <v>74</v>
      </c>
      <c r="R89" s="9" t="s">
        <v>74</v>
      </c>
      <c r="S89" s="9" t="s">
        <v>74</v>
      </c>
      <c r="T89" s="9" t="s">
        <v>3584</v>
      </c>
      <c r="U89" s="9" t="s">
        <v>3585</v>
      </c>
      <c r="V89" s="9" t="s">
        <v>3586</v>
      </c>
      <c r="W89" s="9" t="s">
        <v>3587</v>
      </c>
      <c r="X89" s="9" t="s">
        <v>3588</v>
      </c>
      <c r="Y89" s="9" t="s">
        <v>3589</v>
      </c>
      <c r="Z89" s="9" t="s">
        <v>3590</v>
      </c>
      <c r="AA89" s="9" t="s">
        <v>13057</v>
      </c>
      <c r="AB89" s="9" t="s">
        <v>13058</v>
      </c>
      <c r="AC89" s="9" t="s">
        <v>3593</v>
      </c>
      <c r="AD89" s="9" t="s">
        <v>3594</v>
      </c>
      <c r="AE89" s="9" t="s">
        <v>3595</v>
      </c>
      <c r="AF89" s="9" t="s">
        <v>74</v>
      </c>
      <c r="AG89" s="9">
        <v>134</v>
      </c>
      <c r="AH89" s="9">
        <v>8</v>
      </c>
      <c r="AI89" s="9">
        <v>8</v>
      </c>
      <c r="AJ89" s="9">
        <v>12</v>
      </c>
      <c r="AK89" s="9">
        <v>80</v>
      </c>
      <c r="AL89" s="9" t="s">
        <v>715</v>
      </c>
      <c r="AM89" s="9" t="s">
        <v>716</v>
      </c>
      <c r="AN89" s="9" t="s">
        <v>717</v>
      </c>
      <c r="AO89" s="9" t="s">
        <v>3596</v>
      </c>
      <c r="AP89" s="9" t="s">
        <v>3597</v>
      </c>
      <c r="AQ89" s="9" t="s">
        <v>74</v>
      </c>
      <c r="AR89" s="9" t="s">
        <v>3598</v>
      </c>
      <c r="AS89" s="9" t="s">
        <v>3599</v>
      </c>
      <c r="AT89" s="9" t="s">
        <v>1121</v>
      </c>
      <c r="AU89" s="9">
        <v>2022</v>
      </c>
      <c r="AV89" s="9">
        <v>26</v>
      </c>
      <c r="AW89" s="9">
        <v>11</v>
      </c>
      <c r="AX89" s="9" t="s">
        <v>74</v>
      </c>
      <c r="AY89" s="9" t="s">
        <v>74</v>
      </c>
      <c r="AZ89" s="9" t="s">
        <v>74</v>
      </c>
      <c r="BA89" s="9" t="s">
        <v>74</v>
      </c>
      <c r="BB89" s="9">
        <v>348</v>
      </c>
      <c r="BC89" s="9">
        <v>377</v>
      </c>
      <c r="BD89" s="9" t="s">
        <v>74</v>
      </c>
      <c r="BE89" s="9" t="s">
        <v>3600</v>
      </c>
      <c r="BF89" s="9">
        <v>0</v>
      </c>
      <c r="BG89" s="9" t="s">
        <v>74</v>
      </c>
      <c r="BH89" s="9" t="s">
        <v>74</v>
      </c>
      <c r="BI89" s="9">
        <v>30</v>
      </c>
      <c r="BJ89" s="9" t="s">
        <v>3601</v>
      </c>
      <c r="BK89" s="9" t="s">
        <v>156</v>
      </c>
      <c r="BL89" s="9" t="s">
        <v>3602</v>
      </c>
      <c r="BM89" s="9" t="s">
        <v>3603</v>
      </c>
      <c r="BN89" s="9" t="s">
        <v>74</v>
      </c>
      <c r="BO89" s="9" t="s">
        <v>13009</v>
      </c>
      <c r="BP89" s="9" t="s">
        <v>74</v>
      </c>
      <c r="BQ89" s="9" t="s">
        <v>74</v>
      </c>
      <c r="BR89" s="9" t="s">
        <v>12946</v>
      </c>
      <c r="BS89" s="9" t="s">
        <v>3604</v>
      </c>
      <c r="BT89" s="9">
        <v>0</v>
      </c>
    </row>
    <row r="90" spans="1:72" x14ac:dyDescent="0.25">
      <c r="A90" s="9" t="s">
        <v>72</v>
      </c>
      <c r="B90" s="9" t="s">
        <v>4170</v>
      </c>
      <c r="C90" s="9" t="s">
        <v>74</v>
      </c>
      <c r="D90" s="9" t="s">
        <v>74</v>
      </c>
      <c r="E90" s="9" t="s">
        <v>74</v>
      </c>
      <c r="F90" s="9" t="s">
        <v>4171</v>
      </c>
      <c r="G90" s="9" t="s">
        <v>74</v>
      </c>
      <c r="H90" s="9" t="s">
        <v>74</v>
      </c>
      <c r="I90" s="9" t="s">
        <v>4172</v>
      </c>
      <c r="J90" s="9" t="s">
        <v>4173</v>
      </c>
      <c r="K90" s="9" t="s">
        <v>74</v>
      </c>
      <c r="L90" s="9" t="s">
        <v>74</v>
      </c>
      <c r="M90" s="9" t="s">
        <v>78</v>
      </c>
      <c r="N90" s="9" t="s">
        <v>79</v>
      </c>
      <c r="O90" s="9" t="s">
        <v>74</v>
      </c>
      <c r="P90" s="9" t="s">
        <v>74</v>
      </c>
      <c r="Q90" s="9" t="s">
        <v>74</v>
      </c>
      <c r="R90" s="9" t="s">
        <v>74</v>
      </c>
      <c r="S90" s="9" t="s">
        <v>74</v>
      </c>
      <c r="T90" s="9" t="s">
        <v>74</v>
      </c>
      <c r="U90" s="9" t="s">
        <v>4174</v>
      </c>
      <c r="V90" s="9" t="s">
        <v>4175</v>
      </c>
      <c r="W90" s="9" t="s">
        <v>4176</v>
      </c>
      <c r="X90" s="9" t="s">
        <v>4177</v>
      </c>
      <c r="Y90" s="9" t="s">
        <v>4178</v>
      </c>
      <c r="Z90" s="9" t="s">
        <v>4179</v>
      </c>
      <c r="AA90" s="9" t="s">
        <v>4180</v>
      </c>
      <c r="AB90" s="9" t="s">
        <v>13059</v>
      </c>
      <c r="AC90" s="9" t="s">
        <v>74</v>
      </c>
      <c r="AD90" s="9" t="s">
        <v>74</v>
      </c>
      <c r="AE90" s="9" t="s">
        <v>74</v>
      </c>
      <c r="AF90" s="9" t="s">
        <v>74</v>
      </c>
      <c r="AG90" s="9">
        <v>36</v>
      </c>
      <c r="AH90" s="9">
        <v>8</v>
      </c>
      <c r="AI90" s="9">
        <v>9</v>
      </c>
      <c r="AJ90" s="9">
        <v>14</v>
      </c>
      <c r="AK90" s="9">
        <v>115</v>
      </c>
      <c r="AL90" s="9" t="s">
        <v>3146</v>
      </c>
      <c r="AM90" s="9" t="s">
        <v>175</v>
      </c>
      <c r="AN90" s="9" t="s">
        <v>3147</v>
      </c>
      <c r="AO90" s="9" t="s">
        <v>4182</v>
      </c>
      <c r="AP90" s="9" t="s">
        <v>4183</v>
      </c>
      <c r="AQ90" s="9" t="s">
        <v>74</v>
      </c>
      <c r="AR90" s="9" t="s">
        <v>4184</v>
      </c>
      <c r="AS90" s="9" t="s">
        <v>4185</v>
      </c>
      <c r="AT90" s="9" t="s">
        <v>4186</v>
      </c>
      <c r="AU90" s="9">
        <v>2022</v>
      </c>
      <c r="AV90" s="9">
        <v>2022</v>
      </c>
      <c r="AW90" s="9" t="s">
        <v>74</v>
      </c>
      <c r="AX90" s="9" t="s">
        <v>74</v>
      </c>
      <c r="AY90" s="9" t="s">
        <v>74</v>
      </c>
      <c r="AZ90" s="9" t="s">
        <v>74</v>
      </c>
      <c r="BA90" s="9" t="s">
        <v>74</v>
      </c>
      <c r="BB90" s="9" t="s">
        <v>74</v>
      </c>
      <c r="BC90" s="9" t="s">
        <v>74</v>
      </c>
      <c r="BD90" s="9">
        <v>6756548</v>
      </c>
      <c r="BE90" s="9" t="s">
        <v>4187</v>
      </c>
      <c r="BF90" s="9">
        <v>0</v>
      </c>
      <c r="BG90" s="9" t="s">
        <v>74</v>
      </c>
      <c r="BH90" s="9" t="s">
        <v>74</v>
      </c>
      <c r="BI90" s="9">
        <v>12</v>
      </c>
      <c r="BJ90" s="9" t="s">
        <v>4188</v>
      </c>
      <c r="BK90" s="9" t="s">
        <v>211</v>
      </c>
      <c r="BL90" s="9" t="s">
        <v>4189</v>
      </c>
      <c r="BM90" s="9" t="s">
        <v>4190</v>
      </c>
      <c r="BN90" s="9" t="s">
        <v>74</v>
      </c>
      <c r="BO90" s="9" t="s">
        <v>186</v>
      </c>
      <c r="BP90" s="9" t="s">
        <v>74</v>
      </c>
      <c r="BQ90" s="9" t="s">
        <v>74</v>
      </c>
      <c r="BR90" s="9" t="s">
        <v>12946</v>
      </c>
      <c r="BS90" s="9" t="s">
        <v>4191</v>
      </c>
      <c r="BT90" s="9">
        <v>0</v>
      </c>
    </row>
    <row r="91" spans="1:72" x14ac:dyDescent="0.25">
      <c r="A91" s="9" t="s">
        <v>72</v>
      </c>
      <c r="B91" s="9" t="s">
        <v>5464</v>
      </c>
      <c r="C91" s="9" t="s">
        <v>74</v>
      </c>
      <c r="D91" s="9" t="s">
        <v>74</v>
      </c>
      <c r="E91" s="9" t="s">
        <v>74</v>
      </c>
      <c r="F91" s="9" t="s">
        <v>5465</v>
      </c>
      <c r="G91" s="9" t="s">
        <v>74</v>
      </c>
      <c r="H91" s="9" t="s">
        <v>74</v>
      </c>
      <c r="I91" s="9" t="s">
        <v>5466</v>
      </c>
      <c r="J91" s="9" t="s">
        <v>5467</v>
      </c>
      <c r="K91" s="9" t="s">
        <v>74</v>
      </c>
      <c r="L91" s="9" t="s">
        <v>74</v>
      </c>
      <c r="M91" s="9" t="s">
        <v>78</v>
      </c>
      <c r="N91" s="9" t="s">
        <v>79</v>
      </c>
      <c r="O91" s="9" t="s">
        <v>74</v>
      </c>
      <c r="P91" s="9" t="s">
        <v>74</v>
      </c>
      <c r="Q91" s="9" t="s">
        <v>74</v>
      </c>
      <c r="R91" s="9" t="s">
        <v>74</v>
      </c>
      <c r="S91" s="9" t="s">
        <v>74</v>
      </c>
      <c r="T91" s="9" t="s">
        <v>5468</v>
      </c>
      <c r="U91" s="9" t="s">
        <v>5469</v>
      </c>
      <c r="V91" s="9" t="s">
        <v>5470</v>
      </c>
      <c r="W91" s="9" t="s">
        <v>5471</v>
      </c>
      <c r="X91" s="9" t="s">
        <v>74</v>
      </c>
      <c r="Y91" s="9" t="s">
        <v>5472</v>
      </c>
      <c r="Z91" s="9" t="s">
        <v>5473</v>
      </c>
      <c r="AA91" s="9" t="s">
        <v>74</v>
      </c>
      <c r="AB91" s="9" t="s">
        <v>74</v>
      </c>
      <c r="AC91" s="9" t="s">
        <v>74</v>
      </c>
      <c r="AD91" s="9" t="s">
        <v>74</v>
      </c>
      <c r="AE91" s="9" t="s">
        <v>74</v>
      </c>
      <c r="AF91" s="9" t="s">
        <v>74</v>
      </c>
      <c r="AG91" s="9">
        <v>45</v>
      </c>
      <c r="AH91" s="9">
        <v>8</v>
      </c>
      <c r="AI91" s="9">
        <v>8</v>
      </c>
      <c r="AJ91" s="9">
        <v>0</v>
      </c>
      <c r="AK91" s="9">
        <v>20</v>
      </c>
      <c r="AL91" s="9" t="s">
        <v>231</v>
      </c>
      <c r="AM91" s="9" t="s">
        <v>232</v>
      </c>
      <c r="AN91" s="9" t="s">
        <v>233</v>
      </c>
      <c r="AO91" s="9" t="s">
        <v>5474</v>
      </c>
      <c r="AP91" s="9" t="s">
        <v>5475</v>
      </c>
      <c r="AQ91" s="9" t="s">
        <v>74</v>
      </c>
      <c r="AR91" s="9" t="s">
        <v>5476</v>
      </c>
      <c r="AS91" s="9" t="s">
        <v>5477</v>
      </c>
      <c r="AT91" s="9" t="s">
        <v>2068</v>
      </c>
      <c r="AU91" s="9">
        <v>2022</v>
      </c>
      <c r="AV91" s="9">
        <v>36</v>
      </c>
      <c r="AW91" s="9" t="s">
        <v>74</v>
      </c>
      <c r="AX91" s="9" t="s">
        <v>74</v>
      </c>
      <c r="AY91" s="9" t="s">
        <v>74</v>
      </c>
      <c r="AZ91" s="9" t="s">
        <v>74</v>
      </c>
      <c r="BA91" s="9" t="s">
        <v>74</v>
      </c>
      <c r="BB91" s="9" t="s">
        <v>74</v>
      </c>
      <c r="BC91" s="9" t="s">
        <v>74</v>
      </c>
      <c r="BD91" s="9" t="s">
        <v>74</v>
      </c>
      <c r="BE91" s="9" t="s">
        <v>5478</v>
      </c>
      <c r="BF91" s="9">
        <v>0</v>
      </c>
      <c r="BG91" s="9" t="s">
        <v>74</v>
      </c>
      <c r="BH91" s="9" t="s">
        <v>5461</v>
      </c>
      <c r="BI91" s="9">
        <v>10</v>
      </c>
      <c r="BJ91" s="9" t="s">
        <v>5479</v>
      </c>
      <c r="BK91" s="9" t="s">
        <v>102</v>
      </c>
      <c r="BL91" s="9" t="s">
        <v>1685</v>
      </c>
      <c r="BM91" s="9" t="s">
        <v>5480</v>
      </c>
      <c r="BN91" s="9" t="s">
        <v>74</v>
      </c>
      <c r="BO91" s="9" t="s">
        <v>74</v>
      </c>
      <c r="BP91" s="9" t="s">
        <v>74</v>
      </c>
      <c r="BQ91" s="9" t="s">
        <v>74</v>
      </c>
      <c r="BR91" s="9" t="s">
        <v>12946</v>
      </c>
      <c r="BS91" s="9" t="s">
        <v>5481</v>
      </c>
      <c r="BT91" s="9">
        <v>0</v>
      </c>
    </row>
    <row r="92" spans="1:72" x14ac:dyDescent="0.25">
      <c r="A92" s="9" t="s">
        <v>72</v>
      </c>
      <c r="B92" s="9" t="s">
        <v>9676</v>
      </c>
      <c r="C92" s="9" t="s">
        <v>74</v>
      </c>
      <c r="D92" s="9" t="s">
        <v>74</v>
      </c>
      <c r="E92" s="9" t="s">
        <v>74</v>
      </c>
      <c r="F92" s="9" t="s">
        <v>9677</v>
      </c>
      <c r="G92" s="9" t="s">
        <v>74</v>
      </c>
      <c r="H92" s="9" t="s">
        <v>74</v>
      </c>
      <c r="I92" s="9" t="s">
        <v>9678</v>
      </c>
      <c r="J92" s="9" t="s">
        <v>9679</v>
      </c>
      <c r="K92" s="9" t="s">
        <v>74</v>
      </c>
      <c r="L92" s="9" t="s">
        <v>74</v>
      </c>
      <c r="M92" s="9" t="s">
        <v>78</v>
      </c>
      <c r="N92" s="9" t="s">
        <v>79</v>
      </c>
      <c r="O92" s="9" t="s">
        <v>74</v>
      </c>
      <c r="P92" s="9" t="s">
        <v>74</v>
      </c>
      <c r="Q92" s="9" t="s">
        <v>74</v>
      </c>
      <c r="R92" s="9" t="s">
        <v>74</v>
      </c>
      <c r="S92" s="9" t="s">
        <v>74</v>
      </c>
      <c r="T92" s="9" t="s">
        <v>9680</v>
      </c>
      <c r="U92" s="9" t="s">
        <v>9681</v>
      </c>
      <c r="V92" s="9" t="s">
        <v>9682</v>
      </c>
      <c r="W92" s="9" t="s">
        <v>9683</v>
      </c>
      <c r="X92" s="9" t="s">
        <v>9684</v>
      </c>
      <c r="Y92" s="9" t="s">
        <v>9685</v>
      </c>
      <c r="Z92" s="9" t="s">
        <v>9686</v>
      </c>
      <c r="AA92" s="9" t="s">
        <v>13060</v>
      </c>
      <c r="AB92" s="9" t="s">
        <v>13061</v>
      </c>
      <c r="AC92" s="9" t="s">
        <v>9689</v>
      </c>
      <c r="AD92" s="9" t="s">
        <v>9689</v>
      </c>
      <c r="AE92" s="9" t="s">
        <v>9690</v>
      </c>
      <c r="AF92" s="9" t="s">
        <v>74</v>
      </c>
      <c r="AG92" s="9">
        <v>55</v>
      </c>
      <c r="AH92" s="9">
        <v>7</v>
      </c>
      <c r="AI92" s="9">
        <v>7</v>
      </c>
      <c r="AJ92" s="9">
        <v>0</v>
      </c>
      <c r="AK92" s="9">
        <v>20</v>
      </c>
      <c r="AL92" s="9" t="s">
        <v>146</v>
      </c>
      <c r="AM92" s="9" t="s">
        <v>147</v>
      </c>
      <c r="AN92" s="9" t="s">
        <v>148</v>
      </c>
      <c r="AO92" s="9" t="s">
        <v>9691</v>
      </c>
      <c r="AP92" s="9" t="s">
        <v>9692</v>
      </c>
      <c r="AQ92" s="9" t="s">
        <v>74</v>
      </c>
      <c r="AR92" s="9" t="s">
        <v>9693</v>
      </c>
      <c r="AS92" s="9" t="s">
        <v>9694</v>
      </c>
      <c r="AT92" s="9" t="s">
        <v>208</v>
      </c>
      <c r="AU92" s="9">
        <v>2018</v>
      </c>
      <c r="AV92" s="9">
        <v>35</v>
      </c>
      <c r="AW92" s="9">
        <v>5</v>
      </c>
      <c r="AX92" s="9" t="s">
        <v>74</v>
      </c>
      <c r="AY92" s="9" t="s">
        <v>74</v>
      </c>
      <c r="AZ92" s="9" t="s">
        <v>1020</v>
      </c>
      <c r="BA92" s="9" t="s">
        <v>74</v>
      </c>
      <c r="BB92" s="9" t="s">
        <v>74</v>
      </c>
      <c r="BC92" s="9" t="s">
        <v>74</v>
      </c>
      <c r="BD92" s="9" t="s">
        <v>9695</v>
      </c>
      <c r="BE92" s="9" t="s">
        <v>9696</v>
      </c>
      <c r="BF92" s="9">
        <v>0</v>
      </c>
      <c r="BG92" s="9" t="s">
        <v>74</v>
      </c>
      <c r="BH92" s="9" t="s">
        <v>74</v>
      </c>
      <c r="BI92" s="9">
        <v>12</v>
      </c>
      <c r="BJ92" s="9" t="s">
        <v>9697</v>
      </c>
      <c r="BK92" s="9" t="s">
        <v>102</v>
      </c>
      <c r="BL92" s="9" t="s">
        <v>399</v>
      </c>
      <c r="BM92" s="9" t="s">
        <v>9698</v>
      </c>
      <c r="BN92" s="9" t="s">
        <v>74</v>
      </c>
      <c r="BO92" s="9" t="s">
        <v>74</v>
      </c>
      <c r="BP92" s="9" t="s">
        <v>74</v>
      </c>
      <c r="BQ92" s="9" t="s">
        <v>74</v>
      </c>
      <c r="BR92" s="9" t="s">
        <v>12946</v>
      </c>
      <c r="BS92" s="9" t="s">
        <v>9699</v>
      </c>
      <c r="BT92" s="9">
        <v>0</v>
      </c>
    </row>
    <row r="93" spans="1:72" x14ac:dyDescent="0.25">
      <c r="A93" s="9" t="s">
        <v>72</v>
      </c>
      <c r="B93" s="9" t="s">
        <v>746</v>
      </c>
      <c r="C93" s="9" t="s">
        <v>74</v>
      </c>
      <c r="D93" s="9" t="s">
        <v>74</v>
      </c>
      <c r="E93" s="9" t="s">
        <v>74</v>
      </c>
      <c r="F93" s="9" t="s">
        <v>747</v>
      </c>
      <c r="G93" s="9" t="s">
        <v>74</v>
      </c>
      <c r="H93" s="9" t="s">
        <v>74</v>
      </c>
      <c r="I93" s="9" t="s">
        <v>748</v>
      </c>
      <c r="J93" s="9" t="s">
        <v>749</v>
      </c>
      <c r="K93" s="9" t="s">
        <v>74</v>
      </c>
      <c r="L93" s="9" t="s">
        <v>74</v>
      </c>
      <c r="M93" s="9" t="s">
        <v>78</v>
      </c>
      <c r="N93" s="9" t="s">
        <v>79</v>
      </c>
      <c r="O93" s="9" t="s">
        <v>74</v>
      </c>
      <c r="P93" s="9" t="s">
        <v>74</v>
      </c>
      <c r="Q93" s="9" t="s">
        <v>74</v>
      </c>
      <c r="R93" s="9" t="s">
        <v>74</v>
      </c>
      <c r="S93" s="9" t="s">
        <v>74</v>
      </c>
      <c r="T93" s="9" t="s">
        <v>750</v>
      </c>
      <c r="U93" s="9" t="s">
        <v>13062</v>
      </c>
      <c r="V93" s="9" t="s">
        <v>752</v>
      </c>
      <c r="W93" s="9" t="s">
        <v>753</v>
      </c>
      <c r="X93" s="9" t="s">
        <v>754</v>
      </c>
      <c r="Y93" s="9" t="s">
        <v>755</v>
      </c>
      <c r="Z93" s="9" t="s">
        <v>756</v>
      </c>
      <c r="AA93" s="9" t="s">
        <v>74</v>
      </c>
      <c r="AB93" s="9" t="s">
        <v>74</v>
      </c>
      <c r="AC93" s="9" t="s">
        <v>757</v>
      </c>
      <c r="AD93" s="9" t="s">
        <v>758</v>
      </c>
      <c r="AE93" s="9" t="s">
        <v>759</v>
      </c>
      <c r="AF93" s="9" t="s">
        <v>74</v>
      </c>
      <c r="AG93" s="9">
        <v>72</v>
      </c>
      <c r="AH93" s="9">
        <v>6</v>
      </c>
      <c r="AI93" s="9">
        <v>6</v>
      </c>
      <c r="AJ93" s="9">
        <v>34</v>
      </c>
      <c r="AK93" s="9">
        <v>135</v>
      </c>
      <c r="AL93" s="9" t="s">
        <v>715</v>
      </c>
      <c r="AM93" s="9" t="s">
        <v>4411</v>
      </c>
      <c r="AN93" s="9" t="s">
        <v>12985</v>
      </c>
      <c r="AO93" s="9" t="s">
        <v>760</v>
      </c>
      <c r="AP93" s="9" t="s">
        <v>761</v>
      </c>
      <c r="AQ93" s="9" t="s">
        <v>74</v>
      </c>
      <c r="AR93" s="9" t="s">
        <v>762</v>
      </c>
      <c r="AS93" s="9" t="s">
        <v>763</v>
      </c>
      <c r="AT93" s="9" t="s">
        <v>764</v>
      </c>
      <c r="AU93" s="9">
        <v>2023</v>
      </c>
      <c r="AV93" s="9">
        <v>36</v>
      </c>
      <c r="AW93" s="9">
        <v>5</v>
      </c>
      <c r="AX93" s="9" t="s">
        <v>74</v>
      </c>
      <c r="AY93" s="9" t="s">
        <v>74</v>
      </c>
      <c r="AZ93" s="9" t="s">
        <v>74</v>
      </c>
      <c r="BA93" s="9" t="s">
        <v>74</v>
      </c>
      <c r="BB93" s="9">
        <v>1402</v>
      </c>
      <c r="BC93" s="9">
        <v>1420</v>
      </c>
      <c r="BD93" s="9" t="s">
        <v>74</v>
      </c>
      <c r="BE93" s="9" t="s">
        <v>765</v>
      </c>
      <c r="BF93" s="9">
        <v>0</v>
      </c>
      <c r="BG93" s="9" t="s">
        <v>74</v>
      </c>
      <c r="BH93" s="9" t="s">
        <v>675</v>
      </c>
      <c r="BI93" s="9">
        <v>19</v>
      </c>
      <c r="BJ93" s="9" t="s">
        <v>766</v>
      </c>
      <c r="BK93" s="9" t="s">
        <v>156</v>
      </c>
      <c r="BL93" s="9" t="s">
        <v>767</v>
      </c>
      <c r="BM93" s="9" t="s">
        <v>768</v>
      </c>
      <c r="BN93" s="9" t="s">
        <v>74</v>
      </c>
      <c r="BO93" s="9" t="s">
        <v>74</v>
      </c>
      <c r="BP93" s="9" t="s">
        <v>74</v>
      </c>
      <c r="BQ93" s="9" t="s">
        <v>74</v>
      </c>
      <c r="BR93" s="9" t="s">
        <v>12946</v>
      </c>
      <c r="BS93" s="9" t="s">
        <v>769</v>
      </c>
      <c r="BT93" s="9">
        <v>0</v>
      </c>
    </row>
    <row r="94" spans="1:72" x14ac:dyDescent="0.25">
      <c r="A94" s="9" t="s">
        <v>72</v>
      </c>
      <c r="B94" s="9" t="s">
        <v>2323</v>
      </c>
      <c r="C94" s="9" t="s">
        <v>74</v>
      </c>
      <c r="D94" s="9" t="s">
        <v>74</v>
      </c>
      <c r="E94" s="9" t="s">
        <v>74</v>
      </c>
      <c r="F94" s="9" t="s">
        <v>2324</v>
      </c>
      <c r="G94" s="9" t="s">
        <v>74</v>
      </c>
      <c r="H94" s="9" t="s">
        <v>74</v>
      </c>
      <c r="I94" s="9" t="s">
        <v>2325</v>
      </c>
      <c r="J94" s="9" t="s">
        <v>2326</v>
      </c>
      <c r="K94" s="9" t="s">
        <v>74</v>
      </c>
      <c r="L94" s="9" t="s">
        <v>74</v>
      </c>
      <c r="M94" s="9" t="s">
        <v>78</v>
      </c>
      <c r="N94" s="9" t="s">
        <v>79</v>
      </c>
      <c r="O94" s="9" t="s">
        <v>74</v>
      </c>
      <c r="P94" s="9" t="s">
        <v>74</v>
      </c>
      <c r="Q94" s="9" t="s">
        <v>74</v>
      </c>
      <c r="R94" s="9" t="s">
        <v>74</v>
      </c>
      <c r="S94" s="9" t="s">
        <v>74</v>
      </c>
      <c r="T94" s="9" t="s">
        <v>2327</v>
      </c>
      <c r="U94" s="9" t="s">
        <v>2328</v>
      </c>
      <c r="V94" s="9" t="s">
        <v>2329</v>
      </c>
      <c r="W94" s="9" t="s">
        <v>2330</v>
      </c>
      <c r="X94" s="9" t="s">
        <v>13063</v>
      </c>
      <c r="Y94" s="9" t="s">
        <v>2332</v>
      </c>
      <c r="Z94" s="9" t="s">
        <v>2333</v>
      </c>
      <c r="AA94" s="9" t="s">
        <v>13064</v>
      </c>
      <c r="AB94" s="9" t="s">
        <v>13065</v>
      </c>
      <c r="AC94" s="9" t="s">
        <v>2336</v>
      </c>
      <c r="AD94" s="9" t="s">
        <v>2337</v>
      </c>
      <c r="AE94" s="9" t="s">
        <v>2338</v>
      </c>
      <c r="AF94" s="9" t="s">
        <v>74</v>
      </c>
      <c r="AG94" s="9">
        <v>38</v>
      </c>
      <c r="AH94" s="9">
        <v>6</v>
      </c>
      <c r="AI94" s="9">
        <v>6</v>
      </c>
      <c r="AJ94" s="9">
        <v>2</v>
      </c>
      <c r="AK94" s="9">
        <v>26</v>
      </c>
      <c r="AL94" s="9" t="s">
        <v>2339</v>
      </c>
      <c r="AM94" s="9" t="s">
        <v>2340</v>
      </c>
      <c r="AN94" s="9" t="s">
        <v>2341</v>
      </c>
      <c r="AO94" s="9" t="s">
        <v>2342</v>
      </c>
      <c r="AP94" s="9" t="s">
        <v>2343</v>
      </c>
      <c r="AQ94" s="9" t="s">
        <v>74</v>
      </c>
      <c r="AR94" s="9" t="s">
        <v>2344</v>
      </c>
      <c r="AS94" s="9" t="s">
        <v>2345</v>
      </c>
      <c r="AT94" s="9" t="s">
        <v>2346</v>
      </c>
      <c r="AU94" s="9">
        <v>2022</v>
      </c>
      <c r="AV94" s="9">
        <v>13</v>
      </c>
      <c r="AW94" s="9">
        <v>7</v>
      </c>
      <c r="AX94" s="9" t="s">
        <v>74</v>
      </c>
      <c r="AY94" s="9" t="s">
        <v>74</v>
      </c>
      <c r="AZ94" s="9" t="s">
        <v>74</v>
      </c>
      <c r="BA94" s="9" t="s">
        <v>74</v>
      </c>
      <c r="BB94" s="9">
        <v>1373</v>
      </c>
      <c r="BC94" s="9">
        <v>1382</v>
      </c>
      <c r="BD94" s="9" t="s">
        <v>74</v>
      </c>
      <c r="BE94" s="9" t="s">
        <v>2347</v>
      </c>
      <c r="BF94" s="9">
        <v>0</v>
      </c>
      <c r="BG94" s="9" t="s">
        <v>74</v>
      </c>
      <c r="BH94" s="9" t="s">
        <v>74</v>
      </c>
      <c r="BI94" s="9">
        <v>10</v>
      </c>
      <c r="BJ94" s="9" t="s">
        <v>2113</v>
      </c>
      <c r="BK94" s="9" t="s">
        <v>183</v>
      </c>
      <c r="BL94" s="9" t="s">
        <v>1685</v>
      </c>
      <c r="BM94" s="9" t="s">
        <v>2348</v>
      </c>
      <c r="BN94" s="9" t="s">
        <v>74</v>
      </c>
      <c r="BO94" s="9" t="s">
        <v>186</v>
      </c>
      <c r="BP94" s="9" t="s">
        <v>74</v>
      </c>
      <c r="BQ94" s="9" t="s">
        <v>74</v>
      </c>
      <c r="BR94" s="9" t="s">
        <v>12946</v>
      </c>
      <c r="BS94" s="9" t="s">
        <v>2349</v>
      </c>
      <c r="BT94" s="9">
        <v>0</v>
      </c>
    </row>
    <row r="95" spans="1:72" x14ac:dyDescent="0.25">
      <c r="A95" s="9" t="s">
        <v>72</v>
      </c>
      <c r="B95" s="9" t="s">
        <v>2696</v>
      </c>
      <c r="C95" s="9" t="s">
        <v>74</v>
      </c>
      <c r="D95" s="9" t="s">
        <v>74</v>
      </c>
      <c r="E95" s="9" t="s">
        <v>74</v>
      </c>
      <c r="F95" s="9" t="s">
        <v>2697</v>
      </c>
      <c r="G95" s="9" t="s">
        <v>74</v>
      </c>
      <c r="H95" s="9" t="s">
        <v>74</v>
      </c>
      <c r="I95" s="9" t="s">
        <v>2698</v>
      </c>
      <c r="J95" s="9" t="s">
        <v>191</v>
      </c>
      <c r="K95" s="9" t="s">
        <v>74</v>
      </c>
      <c r="L95" s="9" t="s">
        <v>74</v>
      </c>
      <c r="M95" s="9" t="s">
        <v>78</v>
      </c>
      <c r="N95" s="9" t="s">
        <v>79</v>
      </c>
      <c r="O95" s="9" t="s">
        <v>74</v>
      </c>
      <c r="P95" s="9" t="s">
        <v>74</v>
      </c>
      <c r="Q95" s="9" t="s">
        <v>74</v>
      </c>
      <c r="R95" s="9" t="s">
        <v>74</v>
      </c>
      <c r="S95" s="9" t="s">
        <v>74</v>
      </c>
      <c r="T95" s="9" t="s">
        <v>2699</v>
      </c>
      <c r="U95" s="9" t="s">
        <v>74</v>
      </c>
      <c r="V95" s="9" t="s">
        <v>2700</v>
      </c>
      <c r="W95" s="9" t="s">
        <v>2701</v>
      </c>
      <c r="X95" s="9" t="s">
        <v>2702</v>
      </c>
      <c r="Y95" s="9" t="s">
        <v>2703</v>
      </c>
      <c r="Z95" s="9" t="s">
        <v>2704</v>
      </c>
      <c r="AA95" s="9" t="s">
        <v>13066</v>
      </c>
      <c r="AB95" s="9" t="s">
        <v>74</v>
      </c>
      <c r="AC95" s="9" t="s">
        <v>2705</v>
      </c>
      <c r="AD95" s="9" t="s">
        <v>2705</v>
      </c>
      <c r="AE95" s="9" t="s">
        <v>2706</v>
      </c>
      <c r="AF95" s="9" t="s">
        <v>74</v>
      </c>
      <c r="AG95" s="9">
        <v>92</v>
      </c>
      <c r="AH95" s="9">
        <v>6</v>
      </c>
      <c r="AI95" s="9">
        <v>6</v>
      </c>
      <c r="AJ95" s="9">
        <v>3</v>
      </c>
      <c r="AK95" s="9">
        <v>29</v>
      </c>
      <c r="AL95" s="9" t="s">
        <v>202</v>
      </c>
      <c r="AM95" s="9" t="s">
        <v>203</v>
      </c>
      <c r="AN95" s="9" t="s">
        <v>204</v>
      </c>
      <c r="AO95" s="9" t="s">
        <v>74</v>
      </c>
      <c r="AP95" s="9" t="s">
        <v>205</v>
      </c>
      <c r="AQ95" s="9" t="s">
        <v>74</v>
      </c>
      <c r="AR95" s="9" t="s">
        <v>206</v>
      </c>
      <c r="AS95" s="9" t="s">
        <v>207</v>
      </c>
      <c r="AT95" s="9" t="s">
        <v>99</v>
      </c>
      <c r="AU95" s="9">
        <v>2022</v>
      </c>
      <c r="AV95" s="9">
        <v>14</v>
      </c>
      <c r="AW95" s="9">
        <v>22</v>
      </c>
      <c r="AX95" s="9" t="s">
        <v>74</v>
      </c>
      <c r="AY95" s="9" t="s">
        <v>74</v>
      </c>
      <c r="AZ95" s="9" t="s">
        <v>74</v>
      </c>
      <c r="BA95" s="9" t="s">
        <v>74</v>
      </c>
      <c r="BB95" s="9" t="s">
        <v>74</v>
      </c>
      <c r="BC95" s="9" t="s">
        <v>74</v>
      </c>
      <c r="BD95" s="9">
        <v>15436</v>
      </c>
      <c r="BE95" s="9" t="s">
        <v>2707</v>
      </c>
      <c r="BF95" s="9">
        <v>0</v>
      </c>
      <c r="BG95" s="9" t="s">
        <v>74</v>
      </c>
      <c r="BH95" s="9" t="s">
        <v>74</v>
      </c>
      <c r="BI95" s="9">
        <v>19</v>
      </c>
      <c r="BJ95" s="9" t="s">
        <v>210</v>
      </c>
      <c r="BK95" s="9" t="s">
        <v>211</v>
      </c>
      <c r="BL95" s="9" t="s">
        <v>212</v>
      </c>
      <c r="BM95" s="9" t="s">
        <v>2708</v>
      </c>
      <c r="BN95" s="9" t="s">
        <v>74</v>
      </c>
      <c r="BO95" s="9" t="s">
        <v>186</v>
      </c>
      <c r="BP95" s="9" t="s">
        <v>74</v>
      </c>
      <c r="BQ95" s="9" t="s">
        <v>74</v>
      </c>
      <c r="BR95" s="9" t="s">
        <v>12946</v>
      </c>
      <c r="BS95" s="9" t="s">
        <v>2709</v>
      </c>
      <c r="BT95" s="9">
        <v>0</v>
      </c>
    </row>
    <row r="96" spans="1:72" x14ac:dyDescent="0.25">
      <c r="A96" s="9" t="s">
        <v>72</v>
      </c>
      <c r="B96" s="9" t="s">
        <v>3242</v>
      </c>
      <c r="C96" s="9" t="s">
        <v>74</v>
      </c>
      <c r="D96" s="9" t="s">
        <v>74</v>
      </c>
      <c r="E96" s="9" t="s">
        <v>74</v>
      </c>
      <c r="F96" s="9" t="s">
        <v>3243</v>
      </c>
      <c r="G96" s="9" t="s">
        <v>74</v>
      </c>
      <c r="H96" s="9" t="s">
        <v>74</v>
      </c>
      <c r="I96" s="9" t="s">
        <v>3244</v>
      </c>
      <c r="J96" s="9" t="s">
        <v>3245</v>
      </c>
      <c r="K96" s="9" t="s">
        <v>74</v>
      </c>
      <c r="L96" s="9" t="s">
        <v>74</v>
      </c>
      <c r="M96" s="9" t="s">
        <v>78</v>
      </c>
      <c r="N96" s="9" t="s">
        <v>79</v>
      </c>
      <c r="O96" s="9" t="s">
        <v>74</v>
      </c>
      <c r="P96" s="9" t="s">
        <v>74</v>
      </c>
      <c r="Q96" s="9" t="s">
        <v>74</v>
      </c>
      <c r="R96" s="9" t="s">
        <v>74</v>
      </c>
      <c r="S96" s="9" t="s">
        <v>74</v>
      </c>
      <c r="T96" s="9" t="s">
        <v>3246</v>
      </c>
      <c r="U96" s="9" t="s">
        <v>3247</v>
      </c>
      <c r="V96" s="9" t="s">
        <v>3248</v>
      </c>
      <c r="W96" s="9" t="s">
        <v>3249</v>
      </c>
      <c r="X96" s="9" t="s">
        <v>3250</v>
      </c>
      <c r="Y96" s="9" t="s">
        <v>3251</v>
      </c>
      <c r="Z96" s="9" t="s">
        <v>3252</v>
      </c>
      <c r="AA96" s="9" t="s">
        <v>13067</v>
      </c>
      <c r="AB96" s="9" t="s">
        <v>3254</v>
      </c>
      <c r="AC96" s="9" t="s">
        <v>74</v>
      </c>
      <c r="AD96" s="9" t="s">
        <v>74</v>
      </c>
      <c r="AE96" s="9" t="s">
        <v>74</v>
      </c>
      <c r="AF96" s="9" t="s">
        <v>74</v>
      </c>
      <c r="AG96" s="9">
        <v>104</v>
      </c>
      <c r="AH96" s="9">
        <v>6</v>
      </c>
      <c r="AI96" s="9">
        <v>6</v>
      </c>
      <c r="AJ96" s="9">
        <v>8</v>
      </c>
      <c r="AK96" s="9">
        <v>54</v>
      </c>
      <c r="AL96" s="9" t="s">
        <v>1468</v>
      </c>
      <c r="AM96" s="9" t="s">
        <v>175</v>
      </c>
      <c r="AN96" s="9" t="s">
        <v>1469</v>
      </c>
      <c r="AO96" s="9" t="s">
        <v>3255</v>
      </c>
      <c r="AP96" s="9" t="s">
        <v>3256</v>
      </c>
      <c r="AQ96" s="9" t="s">
        <v>74</v>
      </c>
      <c r="AR96" s="9" t="s">
        <v>3257</v>
      </c>
      <c r="AS96" s="9" t="s">
        <v>3258</v>
      </c>
      <c r="AT96" s="9" t="s">
        <v>99</v>
      </c>
      <c r="AU96" s="9">
        <v>2022</v>
      </c>
      <c r="AV96" s="9">
        <v>20</v>
      </c>
      <c r="AW96" s="9">
        <v>4</v>
      </c>
      <c r="AX96" s="9" t="s">
        <v>74</v>
      </c>
      <c r="AY96" s="9" t="s">
        <v>74</v>
      </c>
      <c r="AZ96" s="9" t="s">
        <v>1020</v>
      </c>
      <c r="BA96" s="9" t="s">
        <v>74</v>
      </c>
      <c r="BB96" s="9">
        <v>743</v>
      </c>
      <c r="BC96" s="9">
        <v>756</v>
      </c>
      <c r="BD96" s="9" t="s">
        <v>74</v>
      </c>
      <c r="BE96" s="9" t="s">
        <v>3259</v>
      </c>
      <c r="BF96" s="9">
        <v>0</v>
      </c>
      <c r="BG96" s="9" t="s">
        <v>74</v>
      </c>
      <c r="BH96" s="9" t="s">
        <v>3049</v>
      </c>
      <c r="BI96" s="9">
        <v>14</v>
      </c>
      <c r="BJ96" s="9" t="s">
        <v>264</v>
      </c>
      <c r="BK96" s="9" t="s">
        <v>156</v>
      </c>
      <c r="BL96" s="9" t="s">
        <v>265</v>
      </c>
      <c r="BM96" s="9" t="s">
        <v>3260</v>
      </c>
      <c r="BN96" s="9" t="s">
        <v>74</v>
      </c>
      <c r="BO96" s="9" t="s">
        <v>74</v>
      </c>
      <c r="BP96" s="9" t="s">
        <v>74</v>
      </c>
      <c r="BQ96" s="9" t="s">
        <v>74</v>
      </c>
      <c r="BR96" s="9" t="s">
        <v>12946</v>
      </c>
      <c r="BS96" s="9" t="s">
        <v>3261</v>
      </c>
      <c r="BT96" s="9">
        <v>0</v>
      </c>
    </row>
    <row r="97" spans="1:72" x14ac:dyDescent="0.25">
      <c r="A97" s="9" t="s">
        <v>72</v>
      </c>
      <c r="B97" s="9" t="s">
        <v>5381</v>
      </c>
      <c r="C97" s="9" t="s">
        <v>74</v>
      </c>
      <c r="D97" s="9" t="s">
        <v>74</v>
      </c>
      <c r="E97" s="9" t="s">
        <v>74</v>
      </c>
      <c r="F97" s="9" t="s">
        <v>5382</v>
      </c>
      <c r="G97" s="9" t="s">
        <v>74</v>
      </c>
      <c r="H97" s="9" t="s">
        <v>74</v>
      </c>
      <c r="I97" s="9" t="s">
        <v>5383</v>
      </c>
      <c r="J97" s="9" t="s">
        <v>5384</v>
      </c>
      <c r="K97" s="9" t="s">
        <v>74</v>
      </c>
      <c r="L97" s="9" t="s">
        <v>74</v>
      </c>
      <c r="M97" s="9" t="s">
        <v>78</v>
      </c>
      <c r="N97" s="9" t="s">
        <v>79</v>
      </c>
      <c r="O97" s="9" t="s">
        <v>74</v>
      </c>
      <c r="P97" s="9" t="s">
        <v>74</v>
      </c>
      <c r="Q97" s="9" t="s">
        <v>74</v>
      </c>
      <c r="R97" s="9" t="s">
        <v>74</v>
      </c>
      <c r="S97" s="9" t="s">
        <v>74</v>
      </c>
      <c r="T97" s="9" t="s">
        <v>5385</v>
      </c>
      <c r="U97" s="9" t="s">
        <v>5386</v>
      </c>
      <c r="V97" s="9" t="s">
        <v>5387</v>
      </c>
      <c r="W97" s="9" t="s">
        <v>5388</v>
      </c>
      <c r="X97" s="9" t="s">
        <v>13068</v>
      </c>
      <c r="Y97" s="9" t="s">
        <v>5390</v>
      </c>
      <c r="Z97" s="9" t="s">
        <v>74</v>
      </c>
      <c r="AA97" s="9" t="s">
        <v>74</v>
      </c>
      <c r="AB97" s="9" t="s">
        <v>74</v>
      </c>
      <c r="AC97" s="9" t="s">
        <v>74</v>
      </c>
      <c r="AD97" s="9" t="s">
        <v>74</v>
      </c>
      <c r="AE97" s="9" t="s">
        <v>74</v>
      </c>
      <c r="AF97" s="9" t="s">
        <v>74</v>
      </c>
      <c r="AG97" s="9">
        <v>44</v>
      </c>
      <c r="AH97" s="9">
        <v>6</v>
      </c>
      <c r="AI97" s="9">
        <v>6</v>
      </c>
      <c r="AJ97" s="9">
        <v>6</v>
      </c>
      <c r="AK97" s="9">
        <v>49</v>
      </c>
      <c r="AL97" s="9" t="s">
        <v>5391</v>
      </c>
      <c r="AM97" s="9" t="s">
        <v>4645</v>
      </c>
      <c r="AN97" s="9" t="s">
        <v>5392</v>
      </c>
      <c r="AO97" s="9" t="s">
        <v>5393</v>
      </c>
      <c r="AP97" s="9" t="s">
        <v>74</v>
      </c>
      <c r="AQ97" s="9" t="s">
        <v>74</v>
      </c>
      <c r="AR97" s="9" t="s">
        <v>5394</v>
      </c>
      <c r="AS97" s="9" t="s">
        <v>5395</v>
      </c>
      <c r="AT97" s="9" t="s">
        <v>5396</v>
      </c>
      <c r="AU97" s="9">
        <v>2021</v>
      </c>
      <c r="AV97" s="9">
        <v>23</v>
      </c>
      <c r="AW97" s="9">
        <v>2</v>
      </c>
      <c r="AX97" s="9" t="s">
        <v>74</v>
      </c>
      <c r="AY97" s="9" t="s">
        <v>74</v>
      </c>
      <c r="AZ97" s="9" t="s">
        <v>74</v>
      </c>
      <c r="BA97" s="9" t="s">
        <v>74</v>
      </c>
      <c r="BB97" s="9">
        <v>56</v>
      </c>
      <c r="BC97" s="9">
        <v>74</v>
      </c>
      <c r="BD97" s="9" t="s">
        <v>74</v>
      </c>
      <c r="BE97" s="9" t="s">
        <v>74</v>
      </c>
      <c r="BF97" s="9" t="s">
        <v>74</v>
      </c>
      <c r="BG97" s="9" t="s">
        <v>74</v>
      </c>
      <c r="BH97" s="9" t="s">
        <v>74</v>
      </c>
      <c r="BI97" s="9">
        <v>19</v>
      </c>
      <c r="BJ97" s="9" t="s">
        <v>5397</v>
      </c>
      <c r="BK97" s="9" t="s">
        <v>4436</v>
      </c>
      <c r="BL97" s="9" t="s">
        <v>5398</v>
      </c>
      <c r="BM97" s="9" t="s">
        <v>5399</v>
      </c>
      <c r="BN97" s="9" t="s">
        <v>74</v>
      </c>
      <c r="BO97" s="9" t="s">
        <v>74</v>
      </c>
      <c r="BP97" s="9" t="s">
        <v>74</v>
      </c>
      <c r="BQ97" s="9" t="s">
        <v>74</v>
      </c>
      <c r="BR97" s="9" t="s">
        <v>12946</v>
      </c>
      <c r="BS97" s="9" t="s">
        <v>5400</v>
      </c>
      <c r="BT97" s="9">
        <v>0</v>
      </c>
    </row>
    <row r="98" spans="1:72" x14ac:dyDescent="0.25">
      <c r="A98" s="9" t="s">
        <v>72</v>
      </c>
      <c r="B98" s="9" t="s">
        <v>5401</v>
      </c>
      <c r="C98" s="9" t="s">
        <v>74</v>
      </c>
      <c r="D98" s="9" t="s">
        <v>74</v>
      </c>
      <c r="E98" s="9" t="s">
        <v>74</v>
      </c>
      <c r="F98" s="9" t="s">
        <v>5402</v>
      </c>
      <c r="G98" s="9" t="s">
        <v>74</v>
      </c>
      <c r="H98" s="9" t="s">
        <v>74</v>
      </c>
      <c r="I98" s="9" t="s">
        <v>5403</v>
      </c>
      <c r="J98" s="9" t="s">
        <v>5404</v>
      </c>
      <c r="K98" s="9" t="s">
        <v>74</v>
      </c>
      <c r="L98" s="9" t="s">
        <v>74</v>
      </c>
      <c r="M98" s="9" t="s">
        <v>78</v>
      </c>
      <c r="N98" s="9" t="s">
        <v>79</v>
      </c>
      <c r="O98" s="9" t="s">
        <v>74</v>
      </c>
      <c r="P98" s="9" t="s">
        <v>74</v>
      </c>
      <c r="Q98" s="9" t="s">
        <v>74</v>
      </c>
      <c r="R98" s="9" t="s">
        <v>74</v>
      </c>
      <c r="S98" s="9" t="s">
        <v>74</v>
      </c>
      <c r="T98" s="9" t="s">
        <v>5405</v>
      </c>
      <c r="U98" s="9" t="s">
        <v>5406</v>
      </c>
      <c r="V98" s="9" t="s">
        <v>5407</v>
      </c>
      <c r="W98" s="9" t="s">
        <v>5408</v>
      </c>
      <c r="X98" s="9" t="s">
        <v>5409</v>
      </c>
      <c r="Y98" s="9" t="s">
        <v>5410</v>
      </c>
      <c r="Z98" s="9" t="s">
        <v>5411</v>
      </c>
      <c r="AA98" s="9" t="s">
        <v>74</v>
      </c>
      <c r="AB98" s="9" t="s">
        <v>13069</v>
      </c>
      <c r="AC98" s="9" t="s">
        <v>5412</v>
      </c>
      <c r="AD98" s="9" t="s">
        <v>5412</v>
      </c>
      <c r="AE98" s="9" t="s">
        <v>5413</v>
      </c>
      <c r="AF98" s="9" t="s">
        <v>74</v>
      </c>
      <c r="AG98" s="9">
        <v>43</v>
      </c>
      <c r="AH98" s="9">
        <v>6</v>
      </c>
      <c r="AI98" s="9">
        <v>6</v>
      </c>
      <c r="AJ98" s="9">
        <v>7</v>
      </c>
      <c r="AK98" s="9">
        <v>82</v>
      </c>
      <c r="AL98" s="9" t="s">
        <v>5414</v>
      </c>
      <c r="AM98" s="9" t="s">
        <v>5415</v>
      </c>
      <c r="AN98" s="9" t="s">
        <v>5416</v>
      </c>
      <c r="AO98" s="9" t="s">
        <v>5417</v>
      </c>
      <c r="AP98" s="9" t="s">
        <v>5418</v>
      </c>
      <c r="AQ98" s="9" t="s">
        <v>74</v>
      </c>
      <c r="AR98" s="9" t="s">
        <v>5419</v>
      </c>
      <c r="AS98" s="9" t="s">
        <v>5420</v>
      </c>
      <c r="AT98" s="9" t="s">
        <v>476</v>
      </c>
      <c r="AU98" s="9">
        <v>2021</v>
      </c>
      <c r="AV98" s="9">
        <v>12</v>
      </c>
      <c r="AW98" s="9">
        <v>4</v>
      </c>
      <c r="AX98" s="9" t="s">
        <v>74</v>
      </c>
      <c r="AY98" s="9" t="s">
        <v>74</v>
      </c>
      <c r="AZ98" s="9" t="s">
        <v>74</v>
      </c>
      <c r="BA98" s="9" t="s">
        <v>74</v>
      </c>
      <c r="BB98" s="9">
        <v>133</v>
      </c>
      <c r="BC98" s="9">
        <v>143</v>
      </c>
      <c r="BD98" s="9" t="s">
        <v>74</v>
      </c>
      <c r="BE98" s="9" t="s">
        <v>5421</v>
      </c>
      <c r="BF98" s="9">
        <v>0</v>
      </c>
      <c r="BG98" s="9" t="s">
        <v>74</v>
      </c>
      <c r="BH98" s="9" t="s">
        <v>74</v>
      </c>
      <c r="BI98" s="9">
        <v>11</v>
      </c>
      <c r="BJ98" s="9" t="s">
        <v>2449</v>
      </c>
      <c r="BK98" s="9" t="s">
        <v>183</v>
      </c>
      <c r="BL98" s="9" t="s">
        <v>1685</v>
      </c>
      <c r="BM98" s="9" t="s">
        <v>5422</v>
      </c>
      <c r="BN98" s="9" t="s">
        <v>74</v>
      </c>
      <c r="BO98" s="9" t="s">
        <v>186</v>
      </c>
      <c r="BP98" s="9" t="s">
        <v>74</v>
      </c>
      <c r="BQ98" s="9" t="s">
        <v>74</v>
      </c>
      <c r="BR98" s="9" t="s">
        <v>12946</v>
      </c>
      <c r="BS98" s="9" t="s">
        <v>5423</v>
      </c>
      <c r="BT98" s="9">
        <v>0</v>
      </c>
    </row>
    <row r="99" spans="1:72" x14ac:dyDescent="0.25">
      <c r="A99" s="9" t="s">
        <v>72</v>
      </c>
      <c r="B99" s="9" t="s">
        <v>6080</v>
      </c>
      <c r="C99" s="9" t="s">
        <v>74</v>
      </c>
      <c r="D99" s="9" t="s">
        <v>74</v>
      </c>
      <c r="E99" s="9" t="s">
        <v>74</v>
      </c>
      <c r="F99" s="9" t="s">
        <v>6081</v>
      </c>
      <c r="G99" s="9" t="s">
        <v>74</v>
      </c>
      <c r="H99" s="9" t="s">
        <v>74</v>
      </c>
      <c r="I99" s="9" t="s">
        <v>6082</v>
      </c>
      <c r="J99" s="9" t="s">
        <v>3701</v>
      </c>
      <c r="K99" s="9" t="s">
        <v>74</v>
      </c>
      <c r="L99" s="9" t="s">
        <v>74</v>
      </c>
      <c r="M99" s="9" t="s">
        <v>78</v>
      </c>
      <c r="N99" s="9" t="s">
        <v>79</v>
      </c>
      <c r="O99" s="9" t="s">
        <v>74</v>
      </c>
      <c r="P99" s="9" t="s">
        <v>74</v>
      </c>
      <c r="Q99" s="9" t="s">
        <v>74</v>
      </c>
      <c r="R99" s="9" t="s">
        <v>74</v>
      </c>
      <c r="S99" s="9" t="s">
        <v>74</v>
      </c>
      <c r="T99" s="9" t="s">
        <v>6083</v>
      </c>
      <c r="U99" s="9" t="s">
        <v>6084</v>
      </c>
      <c r="V99" s="9" t="s">
        <v>6085</v>
      </c>
      <c r="W99" s="9" t="s">
        <v>6086</v>
      </c>
      <c r="X99" s="9" t="s">
        <v>6087</v>
      </c>
      <c r="Y99" s="9" t="s">
        <v>6088</v>
      </c>
      <c r="Z99" s="9" t="s">
        <v>6089</v>
      </c>
      <c r="AA99" s="9" t="s">
        <v>74</v>
      </c>
      <c r="AB99" s="9" t="s">
        <v>74</v>
      </c>
      <c r="AC99" s="9" t="s">
        <v>74</v>
      </c>
      <c r="AD99" s="9" t="s">
        <v>74</v>
      </c>
      <c r="AE99" s="9" t="s">
        <v>74</v>
      </c>
      <c r="AF99" s="9" t="s">
        <v>74</v>
      </c>
      <c r="AG99" s="9">
        <v>97</v>
      </c>
      <c r="AH99" s="9">
        <v>6</v>
      </c>
      <c r="AI99" s="9">
        <v>6</v>
      </c>
      <c r="AJ99" s="9">
        <v>6</v>
      </c>
      <c r="AK99" s="9">
        <v>77</v>
      </c>
      <c r="AL99" s="9" t="s">
        <v>715</v>
      </c>
      <c r="AM99" s="9" t="s">
        <v>4411</v>
      </c>
      <c r="AN99" s="9" t="s">
        <v>12985</v>
      </c>
      <c r="AO99" s="9" t="s">
        <v>3711</v>
      </c>
      <c r="AP99" s="9" t="s">
        <v>3712</v>
      </c>
      <c r="AQ99" s="9" t="s">
        <v>74</v>
      </c>
      <c r="AR99" s="9" t="s">
        <v>3713</v>
      </c>
      <c r="AS99" s="9" t="s">
        <v>3714</v>
      </c>
      <c r="AT99" s="9" t="s">
        <v>6090</v>
      </c>
      <c r="AU99" s="9">
        <v>2022</v>
      </c>
      <c r="AV99" s="9">
        <v>28</v>
      </c>
      <c r="AW99" s="9">
        <v>5</v>
      </c>
      <c r="AX99" s="9" t="s">
        <v>74</v>
      </c>
      <c r="AY99" s="9" t="s">
        <v>74</v>
      </c>
      <c r="AZ99" s="9" t="s">
        <v>1020</v>
      </c>
      <c r="BA99" s="9" t="s">
        <v>74</v>
      </c>
      <c r="BB99" s="9">
        <v>1292</v>
      </c>
      <c r="BC99" s="9">
        <v>1309</v>
      </c>
      <c r="BD99" s="9" t="s">
        <v>74</v>
      </c>
      <c r="BE99" s="9" t="s">
        <v>6091</v>
      </c>
      <c r="BF99" s="9">
        <v>0</v>
      </c>
      <c r="BG99" s="9" t="s">
        <v>74</v>
      </c>
      <c r="BH99" s="9" t="s">
        <v>6012</v>
      </c>
      <c r="BI99" s="9">
        <v>18</v>
      </c>
      <c r="BJ99" s="9" t="s">
        <v>264</v>
      </c>
      <c r="BK99" s="9" t="s">
        <v>156</v>
      </c>
      <c r="BL99" s="9" t="s">
        <v>265</v>
      </c>
      <c r="BM99" s="9" t="s">
        <v>6092</v>
      </c>
      <c r="BN99" s="9" t="s">
        <v>74</v>
      </c>
      <c r="BO99" s="9" t="s">
        <v>74</v>
      </c>
      <c r="BP99" s="9" t="s">
        <v>74</v>
      </c>
      <c r="BQ99" s="9" t="s">
        <v>74</v>
      </c>
      <c r="BR99" s="9" t="s">
        <v>12946</v>
      </c>
      <c r="BS99" s="9" t="s">
        <v>6093</v>
      </c>
      <c r="BT99" s="9">
        <v>0</v>
      </c>
    </row>
    <row r="100" spans="1:72" x14ac:dyDescent="0.25">
      <c r="A100" s="9" t="s">
        <v>72</v>
      </c>
      <c r="B100" s="9" t="s">
        <v>6406</v>
      </c>
      <c r="C100" s="9" t="s">
        <v>74</v>
      </c>
      <c r="D100" s="9" t="s">
        <v>74</v>
      </c>
      <c r="E100" s="9" t="s">
        <v>74</v>
      </c>
      <c r="F100" s="9" t="s">
        <v>6407</v>
      </c>
      <c r="G100" s="9" t="s">
        <v>74</v>
      </c>
      <c r="H100" s="9" t="s">
        <v>74</v>
      </c>
      <c r="I100" s="9" t="s">
        <v>6408</v>
      </c>
      <c r="J100" s="9" t="s">
        <v>6409</v>
      </c>
      <c r="K100" s="9" t="s">
        <v>74</v>
      </c>
      <c r="L100" s="9" t="s">
        <v>74</v>
      </c>
      <c r="M100" s="9" t="s">
        <v>78</v>
      </c>
      <c r="N100" s="9" t="s">
        <v>79</v>
      </c>
      <c r="O100" s="9" t="s">
        <v>74</v>
      </c>
      <c r="P100" s="9" t="s">
        <v>74</v>
      </c>
      <c r="Q100" s="9" t="s">
        <v>74</v>
      </c>
      <c r="R100" s="9" t="s">
        <v>74</v>
      </c>
      <c r="S100" s="9" t="s">
        <v>74</v>
      </c>
      <c r="T100" s="9" t="s">
        <v>6410</v>
      </c>
      <c r="U100" s="9" t="s">
        <v>74</v>
      </c>
      <c r="V100" s="9" t="s">
        <v>6411</v>
      </c>
      <c r="W100" s="9" t="s">
        <v>6412</v>
      </c>
      <c r="X100" s="9" t="s">
        <v>6413</v>
      </c>
      <c r="Y100" s="9" t="s">
        <v>6414</v>
      </c>
      <c r="Z100" s="9" t="s">
        <v>6415</v>
      </c>
      <c r="AA100" s="9" t="s">
        <v>13070</v>
      </c>
      <c r="AB100" s="9" t="s">
        <v>74</v>
      </c>
      <c r="AC100" s="9" t="s">
        <v>74</v>
      </c>
      <c r="AD100" s="9" t="s">
        <v>74</v>
      </c>
      <c r="AE100" s="9" t="s">
        <v>74</v>
      </c>
      <c r="AF100" s="9" t="s">
        <v>74</v>
      </c>
      <c r="AG100" s="9">
        <v>25</v>
      </c>
      <c r="AH100" s="9">
        <v>6</v>
      </c>
      <c r="AI100" s="9">
        <v>6</v>
      </c>
      <c r="AJ100" s="9">
        <v>1</v>
      </c>
      <c r="AK100" s="9">
        <v>2</v>
      </c>
      <c r="AL100" s="9" t="s">
        <v>1013</v>
      </c>
      <c r="AM100" s="9" t="s">
        <v>493</v>
      </c>
      <c r="AN100" s="9" t="s">
        <v>1014</v>
      </c>
      <c r="AO100" s="9" t="s">
        <v>6418</v>
      </c>
      <c r="AP100" s="9" t="s">
        <v>6419</v>
      </c>
      <c r="AQ100" s="9" t="s">
        <v>74</v>
      </c>
      <c r="AR100" s="9" t="s">
        <v>6420</v>
      </c>
      <c r="AS100" s="9" t="s">
        <v>6421</v>
      </c>
      <c r="AT100" s="9" t="s">
        <v>4210</v>
      </c>
      <c r="AU100" s="9">
        <v>2021</v>
      </c>
      <c r="AV100" s="9">
        <v>14</v>
      </c>
      <c r="AW100" s="9">
        <v>2</v>
      </c>
      <c r="AX100" s="9" t="s">
        <v>74</v>
      </c>
      <c r="AY100" s="9" t="s">
        <v>74</v>
      </c>
      <c r="AZ100" s="9" t="s">
        <v>74</v>
      </c>
      <c r="BA100" s="9" t="s">
        <v>74</v>
      </c>
      <c r="BB100" s="9">
        <v>162</v>
      </c>
      <c r="BC100" s="9">
        <v>172</v>
      </c>
      <c r="BD100" s="9" t="s">
        <v>74</v>
      </c>
      <c r="BE100" s="9" t="s">
        <v>6422</v>
      </c>
      <c r="BF100" s="9">
        <v>0</v>
      </c>
      <c r="BG100" s="9" t="s">
        <v>74</v>
      </c>
      <c r="BH100" s="9" t="s">
        <v>74</v>
      </c>
      <c r="BI100" s="9">
        <v>11</v>
      </c>
      <c r="BJ100" s="9" t="s">
        <v>6423</v>
      </c>
      <c r="BK100" s="9" t="s">
        <v>183</v>
      </c>
      <c r="BL100" s="9" t="s">
        <v>6424</v>
      </c>
      <c r="BM100" s="9" t="s">
        <v>6425</v>
      </c>
      <c r="BN100" s="9" t="s">
        <v>74</v>
      </c>
      <c r="BO100" s="9" t="s">
        <v>74</v>
      </c>
      <c r="BP100" s="9" t="s">
        <v>74</v>
      </c>
      <c r="BQ100" s="9" t="s">
        <v>74</v>
      </c>
      <c r="BR100" s="9" t="s">
        <v>12946</v>
      </c>
      <c r="BS100" s="9" t="s">
        <v>6426</v>
      </c>
      <c r="BT100" s="9">
        <v>0</v>
      </c>
    </row>
    <row r="101" spans="1:72" x14ac:dyDescent="0.25">
      <c r="A101" s="9" t="s">
        <v>72</v>
      </c>
      <c r="B101" s="9" t="s">
        <v>7328</v>
      </c>
      <c r="C101" s="9" t="s">
        <v>74</v>
      </c>
      <c r="D101" s="9" t="s">
        <v>74</v>
      </c>
      <c r="E101" s="9" t="s">
        <v>74</v>
      </c>
      <c r="F101" s="9" t="s">
        <v>7329</v>
      </c>
      <c r="G101" s="9" t="s">
        <v>74</v>
      </c>
      <c r="H101" s="9" t="s">
        <v>74</v>
      </c>
      <c r="I101" s="9" t="s">
        <v>7330</v>
      </c>
      <c r="J101" s="9" t="s">
        <v>7331</v>
      </c>
      <c r="K101" s="9" t="s">
        <v>74</v>
      </c>
      <c r="L101" s="9" t="s">
        <v>74</v>
      </c>
      <c r="M101" s="9" t="s">
        <v>78</v>
      </c>
      <c r="N101" s="9" t="s">
        <v>79</v>
      </c>
      <c r="O101" s="9" t="s">
        <v>74</v>
      </c>
      <c r="P101" s="9" t="s">
        <v>74</v>
      </c>
      <c r="Q101" s="9" t="s">
        <v>74</v>
      </c>
      <c r="R101" s="9" t="s">
        <v>74</v>
      </c>
      <c r="S101" s="9" t="s">
        <v>74</v>
      </c>
      <c r="T101" s="9" t="s">
        <v>7332</v>
      </c>
      <c r="U101" s="9" t="s">
        <v>7333</v>
      </c>
      <c r="V101" s="9" t="s">
        <v>7334</v>
      </c>
      <c r="W101" s="9" t="s">
        <v>7335</v>
      </c>
      <c r="X101" s="9" t="s">
        <v>7336</v>
      </c>
      <c r="Y101" s="9" t="s">
        <v>7337</v>
      </c>
      <c r="Z101" s="9" t="s">
        <v>7338</v>
      </c>
      <c r="AA101" s="9" t="s">
        <v>13071</v>
      </c>
      <c r="AB101" s="9" t="s">
        <v>13072</v>
      </c>
      <c r="AC101" s="9" t="s">
        <v>7341</v>
      </c>
      <c r="AD101" s="9" t="s">
        <v>7342</v>
      </c>
      <c r="AE101" s="9" t="s">
        <v>7343</v>
      </c>
      <c r="AF101" s="9" t="s">
        <v>74</v>
      </c>
      <c r="AG101" s="9">
        <v>57</v>
      </c>
      <c r="AH101" s="9">
        <v>6</v>
      </c>
      <c r="AI101" s="9">
        <v>6</v>
      </c>
      <c r="AJ101" s="9">
        <v>5</v>
      </c>
      <c r="AK101" s="9">
        <v>66</v>
      </c>
      <c r="AL101" s="9" t="s">
        <v>7344</v>
      </c>
      <c r="AM101" s="9" t="s">
        <v>7345</v>
      </c>
      <c r="AN101" s="9" t="s">
        <v>7346</v>
      </c>
      <c r="AO101" s="9" t="s">
        <v>7347</v>
      </c>
      <c r="AP101" s="9" t="s">
        <v>74</v>
      </c>
      <c r="AQ101" s="9" t="s">
        <v>74</v>
      </c>
      <c r="AR101" s="9" t="s">
        <v>7348</v>
      </c>
      <c r="AS101" s="9" t="s">
        <v>7349</v>
      </c>
      <c r="AT101" s="9" t="s">
        <v>74</v>
      </c>
      <c r="AU101" s="9">
        <v>2021</v>
      </c>
      <c r="AV101" s="9">
        <v>24</v>
      </c>
      <c r="AW101" s="9">
        <v>1</v>
      </c>
      <c r="AX101" s="9" t="s">
        <v>74</v>
      </c>
      <c r="AY101" s="9" t="s">
        <v>74</v>
      </c>
      <c r="AZ101" s="9" t="s">
        <v>74</v>
      </c>
      <c r="BA101" s="9" t="s">
        <v>74</v>
      </c>
      <c r="BB101" s="9">
        <v>306</v>
      </c>
      <c r="BC101" s="9">
        <v>321</v>
      </c>
      <c r="BD101" s="9" t="s">
        <v>74</v>
      </c>
      <c r="BE101" s="9" t="s">
        <v>7350</v>
      </c>
      <c r="BF101" s="9">
        <v>0</v>
      </c>
      <c r="BG101" s="9" t="s">
        <v>74</v>
      </c>
      <c r="BH101" s="9" t="s">
        <v>74</v>
      </c>
      <c r="BI101" s="9">
        <v>16</v>
      </c>
      <c r="BJ101" s="9" t="s">
        <v>315</v>
      </c>
      <c r="BK101" s="9" t="s">
        <v>183</v>
      </c>
      <c r="BL101" s="9" t="s">
        <v>265</v>
      </c>
      <c r="BM101" s="9" t="s">
        <v>7351</v>
      </c>
      <c r="BN101" s="9" t="s">
        <v>74</v>
      </c>
      <c r="BO101" s="9" t="s">
        <v>186</v>
      </c>
      <c r="BP101" s="9" t="s">
        <v>74</v>
      </c>
      <c r="BQ101" s="9" t="s">
        <v>74</v>
      </c>
      <c r="BR101" s="9" t="s">
        <v>12946</v>
      </c>
      <c r="BS101" s="9" t="s">
        <v>7352</v>
      </c>
      <c r="BT101" s="9">
        <v>0</v>
      </c>
    </row>
    <row r="102" spans="1:72" x14ac:dyDescent="0.25">
      <c r="A102" s="9" t="s">
        <v>72</v>
      </c>
      <c r="B102" s="9" t="s">
        <v>10546</v>
      </c>
      <c r="C102" s="9" t="s">
        <v>74</v>
      </c>
      <c r="D102" s="9" t="s">
        <v>74</v>
      </c>
      <c r="E102" s="9" t="s">
        <v>74</v>
      </c>
      <c r="F102" s="9" t="s">
        <v>10547</v>
      </c>
      <c r="G102" s="9" t="s">
        <v>74</v>
      </c>
      <c r="H102" s="9" t="s">
        <v>74</v>
      </c>
      <c r="I102" s="9" t="s">
        <v>10548</v>
      </c>
      <c r="J102" s="9" t="s">
        <v>10549</v>
      </c>
      <c r="K102" s="9" t="s">
        <v>74</v>
      </c>
      <c r="L102" s="9" t="s">
        <v>74</v>
      </c>
      <c r="M102" s="9" t="s">
        <v>78</v>
      </c>
      <c r="N102" s="9" t="s">
        <v>79</v>
      </c>
      <c r="O102" s="9" t="s">
        <v>74</v>
      </c>
      <c r="P102" s="9" t="s">
        <v>74</v>
      </c>
      <c r="Q102" s="9" t="s">
        <v>74</v>
      </c>
      <c r="R102" s="9" t="s">
        <v>74</v>
      </c>
      <c r="S102" s="9" t="s">
        <v>74</v>
      </c>
      <c r="T102" s="9" t="s">
        <v>10550</v>
      </c>
      <c r="U102" s="9" t="s">
        <v>10551</v>
      </c>
      <c r="V102" s="9" t="s">
        <v>10552</v>
      </c>
      <c r="W102" s="9" t="s">
        <v>10553</v>
      </c>
      <c r="X102" s="9" t="s">
        <v>10554</v>
      </c>
      <c r="Y102" s="9" t="s">
        <v>10555</v>
      </c>
      <c r="Z102" s="9" t="s">
        <v>10556</v>
      </c>
      <c r="AA102" s="9" t="s">
        <v>74</v>
      </c>
      <c r="AB102" s="9" t="s">
        <v>74</v>
      </c>
      <c r="AC102" s="9" t="s">
        <v>74</v>
      </c>
      <c r="AD102" s="9" t="s">
        <v>74</v>
      </c>
      <c r="AE102" s="9" t="s">
        <v>74</v>
      </c>
      <c r="AF102" s="9" t="s">
        <v>74</v>
      </c>
      <c r="AG102" s="9">
        <v>53</v>
      </c>
      <c r="AH102" s="9">
        <v>6</v>
      </c>
      <c r="AI102" s="9">
        <v>7</v>
      </c>
      <c r="AJ102" s="9">
        <v>0</v>
      </c>
      <c r="AK102" s="9">
        <v>35</v>
      </c>
      <c r="AL102" s="9" t="s">
        <v>1423</v>
      </c>
      <c r="AM102" s="9" t="s">
        <v>1424</v>
      </c>
      <c r="AN102" s="9" t="s">
        <v>1425</v>
      </c>
      <c r="AO102" s="9" t="s">
        <v>10558</v>
      </c>
      <c r="AP102" s="9" t="s">
        <v>10559</v>
      </c>
      <c r="AQ102" s="9" t="s">
        <v>74</v>
      </c>
      <c r="AR102" s="9" t="s">
        <v>10560</v>
      </c>
      <c r="AS102" s="9" t="s">
        <v>10561</v>
      </c>
      <c r="AT102" s="9" t="s">
        <v>1138</v>
      </c>
      <c r="AU102" s="9">
        <v>2017</v>
      </c>
      <c r="AV102" s="9">
        <v>53</v>
      </c>
      <c r="AW102" s="9">
        <v>2</v>
      </c>
      <c r="AX102" s="9" t="s">
        <v>74</v>
      </c>
      <c r="AY102" s="9" t="s">
        <v>74</v>
      </c>
      <c r="AZ102" s="9" t="s">
        <v>74</v>
      </c>
      <c r="BA102" s="9" t="s">
        <v>74</v>
      </c>
      <c r="BB102" s="9">
        <v>39</v>
      </c>
      <c r="BC102" s="9">
        <v>56</v>
      </c>
      <c r="BD102" s="9" t="s">
        <v>74</v>
      </c>
      <c r="BE102" s="9" t="s">
        <v>10562</v>
      </c>
      <c r="BF102" s="9">
        <v>0</v>
      </c>
      <c r="BG102" s="9" t="s">
        <v>74</v>
      </c>
      <c r="BH102" s="9" t="s">
        <v>74</v>
      </c>
      <c r="BI102" s="9">
        <v>18</v>
      </c>
      <c r="BJ102" s="9" t="s">
        <v>521</v>
      </c>
      <c r="BK102" s="9" t="s">
        <v>183</v>
      </c>
      <c r="BL102" s="9" t="s">
        <v>265</v>
      </c>
      <c r="BM102" s="9" t="s">
        <v>10563</v>
      </c>
      <c r="BN102" s="9" t="s">
        <v>74</v>
      </c>
      <c r="BO102" s="9" t="s">
        <v>614</v>
      </c>
      <c r="BP102" s="9" t="s">
        <v>74</v>
      </c>
      <c r="BQ102" s="9" t="s">
        <v>74</v>
      </c>
      <c r="BR102" s="9" t="s">
        <v>12946</v>
      </c>
      <c r="BS102" s="9" t="s">
        <v>10564</v>
      </c>
      <c r="BT102" s="9">
        <v>0</v>
      </c>
    </row>
    <row r="103" spans="1:72" x14ac:dyDescent="0.25">
      <c r="A103" s="9" t="s">
        <v>72</v>
      </c>
      <c r="B103" s="9" t="s">
        <v>73</v>
      </c>
      <c r="C103" s="9" t="s">
        <v>74</v>
      </c>
      <c r="D103" s="9" t="s">
        <v>74</v>
      </c>
      <c r="E103" s="9" t="s">
        <v>74</v>
      </c>
      <c r="F103" s="9" t="s">
        <v>75</v>
      </c>
      <c r="G103" s="9" t="s">
        <v>74</v>
      </c>
      <c r="H103" s="9" t="s">
        <v>74</v>
      </c>
      <c r="I103" s="9" t="s">
        <v>76</v>
      </c>
      <c r="J103" s="9" t="s">
        <v>77</v>
      </c>
      <c r="K103" s="9" t="s">
        <v>74</v>
      </c>
      <c r="L103" s="9" t="s">
        <v>74</v>
      </c>
      <c r="M103" s="9" t="s">
        <v>78</v>
      </c>
      <c r="N103" s="9" t="s">
        <v>79</v>
      </c>
      <c r="O103" s="9" t="s">
        <v>74</v>
      </c>
      <c r="P103" s="9" t="s">
        <v>74</v>
      </c>
      <c r="Q103" s="9" t="s">
        <v>74</v>
      </c>
      <c r="R103" s="9" t="s">
        <v>74</v>
      </c>
      <c r="S103" s="9" t="s">
        <v>74</v>
      </c>
      <c r="T103" s="9" t="s">
        <v>80</v>
      </c>
      <c r="U103" s="9" t="s">
        <v>81</v>
      </c>
      <c r="V103" s="9" t="s">
        <v>82</v>
      </c>
      <c r="W103" s="9" t="s">
        <v>83</v>
      </c>
      <c r="X103" s="9" t="s">
        <v>13073</v>
      </c>
      <c r="Y103" s="9" t="s">
        <v>85</v>
      </c>
      <c r="Z103" s="9" t="s">
        <v>86</v>
      </c>
      <c r="AA103" s="9" t="s">
        <v>13074</v>
      </c>
      <c r="AB103" s="9" t="s">
        <v>13075</v>
      </c>
      <c r="AC103" s="9" t="s">
        <v>89</v>
      </c>
      <c r="AD103" s="9" t="s">
        <v>90</v>
      </c>
      <c r="AE103" s="9" t="s">
        <v>91</v>
      </c>
      <c r="AF103" s="9" t="s">
        <v>74</v>
      </c>
      <c r="AG103" s="9">
        <v>55</v>
      </c>
      <c r="AH103" s="9">
        <v>5</v>
      </c>
      <c r="AI103" s="9">
        <v>6</v>
      </c>
      <c r="AJ103" s="9">
        <v>48</v>
      </c>
      <c r="AK103" s="9">
        <v>74</v>
      </c>
      <c r="AL103" s="9" t="s">
        <v>92</v>
      </c>
      <c r="AM103" s="9" t="s">
        <v>93</v>
      </c>
      <c r="AN103" s="9" t="s">
        <v>94</v>
      </c>
      <c r="AO103" s="9" t="s">
        <v>95</v>
      </c>
      <c r="AP103" s="9" t="s">
        <v>96</v>
      </c>
      <c r="AQ103" s="9" t="s">
        <v>74</v>
      </c>
      <c r="AR103" s="9" t="s">
        <v>97</v>
      </c>
      <c r="AS103" s="9" t="s">
        <v>98</v>
      </c>
      <c r="AT103" s="9" t="s">
        <v>99</v>
      </c>
      <c r="AU103" s="9">
        <v>2023</v>
      </c>
      <c r="AV103" s="9">
        <v>185</v>
      </c>
      <c r="AW103" s="9" t="s">
        <v>74</v>
      </c>
      <c r="AX103" s="9" t="s">
        <v>74</v>
      </c>
      <c r="AY103" s="9" t="s">
        <v>74</v>
      </c>
      <c r="AZ103" s="9" t="s">
        <v>74</v>
      </c>
      <c r="BA103" s="9" t="s">
        <v>74</v>
      </c>
      <c r="BB103" s="9" t="s">
        <v>74</v>
      </c>
      <c r="BC103" s="9" t="s">
        <v>74</v>
      </c>
      <c r="BD103" s="9">
        <v>109645</v>
      </c>
      <c r="BE103" s="9" t="s">
        <v>100</v>
      </c>
      <c r="BF103" s="9">
        <v>0</v>
      </c>
      <c r="BG103" s="9" t="s">
        <v>74</v>
      </c>
      <c r="BH103" s="9" t="s">
        <v>130</v>
      </c>
      <c r="BI103" s="9">
        <v>19</v>
      </c>
      <c r="BJ103" s="9" t="s">
        <v>101</v>
      </c>
      <c r="BK103" s="9" t="s">
        <v>102</v>
      </c>
      <c r="BL103" s="9" t="s">
        <v>103</v>
      </c>
      <c r="BM103" s="9" t="s">
        <v>104</v>
      </c>
      <c r="BN103" s="9" t="s">
        <v>74</v>
      </c>
      <c r="BO103" s="9" t="s">
        <v>1539</v>
      </c>
      <c r="BP103" s="9" t="s">
        <v>74</v>
      </c>
      <c r="BQ103" s="9" t="s">
        <v>74</v>
      </c>
      <c r="BR103" s="9" t="s">
        <v>12946</v>
      </c>
      <c r="BS103" s="9" t="s">
        <v>107</v>
      </c>
      <c r="BT103" s="9">
        <v>0</v>
      </c>
    </row>
    <row r="104" spans="1:72" x14ac:dyDescent="0.25">
      <c r="A104" s="9" t="s">
        <v>72</v>
      </c>
      <c r="B104" s="9" t="s">
        <v>704</v>
      </c>
      <c r="C104" s="9" t="s">
        <v>74</v>
      </c>
      <c r="D104" s="9" t="s">
        <v>74</v>
      </c>
      <c r="E104" s="9" t="s">
        <v>74</v>
      </c>
      <c r="F104" s="9" t="s">
        <v>705</v>
      </c>
      <c r="G104" s="9" t="s">
        <v>74</v>
      </c>
      <c r="H104" s="9" t="s">
        <v>74</v>
      </c>
      <c r="I104" s="9" t="s">
        <v>706</v>
      </c>
      <c r="J104" s="9" t="s">
        <v>707</v>
      </c>
      <c r="K104" s="9" t="s">
        <v>74</v>
      </c>
      <c r="L104" s="9" t="s">
        <v>74</v>
      </c>
      <c r="M104" s="9" t="s">
        <v>78</v>
      </c>
      <c r="N104" s="9" t="s">
        <v>112</v>
      </c>
      <c r="O104" s="9" t="s">
        <v>74</v>
      </c>
      <c r="P104" s="9" t="s">
        <v>74</v>
      </c>
      <c r="Q104" s="9" t="s">
        <v>74</v>
      </c>
      <c r="R104" s="9" t="s">
        <v>74</v>
      </c>
      <c r="S104" s="9" t="s">
        <v>74</v>
      </c>
      <c r="T104" s="9" t="s">
        <v>708</v>
      </c>
      <c r="U104" s="9" t="s">
        <v>709</v>
      </c>
      <c r="V104" s="9" t="s">
        <v>710</v>
      </c>
      <c r="W104" s="9" t="s">
        <v>711</v>
      </c>
      <c r="X104" s="9" t="s">
        <v>712</v>
      </c>
      <c r="Y104" s="9" t="s">
        <v>713</v>
      </c>
      <c r="Z104" s="9" t="s">
        <v>714</v>
      </c>
      <c r="AA104" s="9" t="s">
        <v>13076</v>
      </c>
      <c r="AB104" s="9" t="s">
        <v>74</v>
      </c>
      <c r="AC104" s="9" t="s">
        <v>74</v>
      </c>
      <c r="AD104" s="9" t="s">
        <v>74</v>
      </c>
      <c r="AE104" s="9" t="s">
        <v>74</v>
      </c>
      <c r="AF104" s="9" t="s">
        <v>74</v>
      </c>
      <c r="AG104" s="9">
        <v>122</v>
      </c>
      <c r="AH104" s="9">
        <v>5</v>
      </c>
      <c r="AI104" s="9">
        <v>5</v>
      </c>
      <c r="AJ104" s="9">
        <v>15</v>
      </c>
      <c r="AK104" s="9">
        <v>40</v>
      </c>
      <c r="AL104" s="9" t="s">
        <v>715</v>
      </c>
      <c r="AM104" s="9" t="s">
        <v>4411</v>
      </c>
      <c r="AN104" s="9" t="s">
        <v>12985</v>
      </c>
      <c r="AO104" s="9" t="s">
        <v>718</v>
      </c>
      <c r="AP104" s="9" t="s">
        <v>719</v>
      </c>
      <c r="AQ104" s="9" t="s">
        <v>74</v>
      </c>
      <c r="AR104" s="9" t="s">
        <v>707</v>
      </c>
      <c r="AS104" s="9" t="s">
        <v>720</v>
      </c>
      <c r="AT104" s="9" t="s">
        <v>721</v>
      </c>
      <c r="AU104" s="9">
        <v>2023</v>
      </c>
      <c r="AV104" s="9" t="s">
        <v>74</v>
      </c>
      <c r="AW104" s="9" t="s">
        <v>74</v>
      </c>
      <c r="AX104" s="9" t="s">
        <v>74</v>
      </c>
      <c r="AY104" s="9" t="s">
        <v>74</v>
      </c>
      <c r="AZ104" s="9" t="s">
        <v>74</v>
      </c>
      <c r="BA104" s="9" t="s">
        <v>74</v>
      </c>
      <c r="BB104" s="9" t="s">
        <v>74</v>
      </c>
      <c r="BC104" s="9" t="s">
        <v>74</v>
      </c>
      <c r="BD104" s="9" t="s">
        <v>74</v>
      </c>
      <c r="BE104" s="9" t="s">
        <v>722</v>
      </c>
      <c r="BF104" s="9">
        <v>0</v>
      </c>
      <c r="BG104" s="9" t="s">
        <v>74</v>
      </c>
      <c r="BH104" s="9" t="s">
        <v>675</v>
      </c>
      <c r="BI104" s="9">
        <v>24</v>
      </c>
      <c r="BJ104" s="9" t="s">
        <v>723</v>
      </c>
      <c r="BK104" s="9" t="s">
        <v>102</v>
      </c>
      <c r="BL104" s="9" t="s">
        <v>399</v>
      </c>
      <c r="BM104" s="9" t="s">
        <v>724</v>
      </c>
      <c r="BN104" s="9" t="s">
        <v>74</v>
      </c>
      <c r="BO104" s="9" t="s">
        <v>74</v>
      </c>
      <c r="BP104" s="9" t="s">
        <v>74</v>
      </c>
      <c r="BQ104" s="9" t="s">
        <v>74</v>
      </c>
      <c r="BR104" s="9" t="s">
        <v>12946</v>
      </c>
      <c r="BS104" s="9" t="s">
        <v>725</v>
      </c>
      <c r="BT104" s="9">
        <v>0</v>
      </c>
    </row>
    <row r="105" spans="1:72" x14ac:dyDescent="0.25">
      <c r="A105" s="9" t="s">
        <v>72</v>
      </c>
      <c r="B105" s="9" t="s">
        <v>2732</v>
      </c>
      <c r="C105" s="9" t="s">
        <v>74</v>
      </c>
      <c r="D105" s="9" t="s">
        <v>74</v>
      </c>
      <c r="E105" s="9" t="s">
        <v>74</v>
      </c>
      <c r="F105" s="9" t="s">
        <v>2733</v>
      </c>
      <c r="G105" s="9" t="s">
        <v>74</v>
      </c>
      <c r="H105" s="9" t="s">
        <v>74</v>
      </c>
      <c r="I105" s="9" t="s">
        <v>2734</v>
      </c>
      <c r="J105" s="9" t="s">
        <v>191</v>
      </c>
      <c r="K105" s="9" t="s">
        <v>74</v>
      </c>
      <c r="L105" s="9" t="s">
        <v>74</v>
      </c>
      <c r="M105" s="9" t="s">
        <v>78</v>
      </c>
      <c r="N105" s="9" t="s">
        <v>79</v>
      </c>
      <c r="O105" s="9" t="s">
        <v>74</v>
      </c>
      <c r="P105" s="9" t="s">
        <v>74</v>
      </c>
      <c r="Q105" s="9" t="s">
        <v>74</v>
      </c>
      <c r="R105" s="9" t="s">
        <v>74</v>
      </c>
      <c r="S105" s="9" t="s">
        <v>74</v>
      </c>
      <c r="T105" s="9" t="s">
        <v>2735</v>
      </c>
      <c r="U105" s="9" t="s">
        <v>2736</v>
      </c>
      <c r="V105" s="9" t="s">
        <v>2737</v>
      </c>
      <c r="W105" s="9" t="s">
        <v>2738</v>
      </c>
      <c r="X105" s="9" t="s">
        <v>2739</v>
      </c>
      <c r="Y105" s="9" t="s">
        <v>2740</v>
      </c>
      <c r="Z105" s="9" t="s">
        <v>2741</v>
      </c>
      <c r="AA105" s="9" t="s">
        <v>2742</v>
      </c>
      <c r="AB105" s="9" t="s">
        <v>2743</v>
      </c>
      <c r="AC105" s="9" t="s">
        <v>74</v>
      </c>
      <c r="AD105" s="9" t="s">
        <v>74</v>
      </c>
      <c r="AE105" s="9" t="s">
        <v>74</v>
      </c>
      <c r="AF105" s="9" t="s">
        <v>74</v>
      </c>
      <c r="AG105" s="9">
        <v>79</v>
      </c>
      <c r="AH105" s="9">
        <v>5</v>
      </c>
      <c r="AI105" s="9">
        <v>5</v>
      </c>
      <c r="AJ105" s="9">
        <v>8</v>
      </c>
      <c r="AK105" s="9">
        <v>37</v>
      </c>
      <c r="AL105" s="9" t="s">
        <v>202</v>
      </c>
      <c r="AM105" s="9" t="s">
        <v>203</v>
      </c>
      <c r="AN105" s="9" t="s">
        <v>204</v>
      </c>
      <c r="AO105" s="9" t="s">
        <v>74</v>
      </c>
      <c r="AP105" s="9" t="s">
        <v>205</v>
      </c>
      <c r="AQ105" s="9" t="s">
        <v>74</v>
      </c>
      <c r="AR105" s="9" t="s">
        <v>206</v>
      </c>
      <c r="AS105" s="9" t="s">
        <v>207</v>
      </c>
      <c r="AT105" s="9" t="s">
        <v>99</v>
      </c>
      <c r="AU105" s="9">
        <v>2022</v>
      </c>
      <c r="AV105" s="9">
        <v>14</v>
      </c>
      <c r="AW105" s="9">
        <v>21</v>
      </c>
      <c r="AX105" s="9" t="s">
        <v>74</v>
      </c>
      <c r="AY105" s="9" t="s">
        <v>74</v>
      </c>
      <c r="AZ105" s="9" t="s">
        <v>74</v>
      </c>
      <c r="BA105" s="9" t="s">
        <v>74</v>
      </c>
      <c r="BB105" s="9" t="s">
        <v>74</v>
      </c>
      <c r="BC105" s="9" t="s">
        <v>74</v>
      </c>
      <c r="BD105" s="9">
        <v>14352</v>
      </c>
      <c r="BE105" s="9" t="s">
        <v>2744</v>
      </c>
      <c r="BF105" s="9">
        <v>0</v>
      </c>
      <c r="BG105" s="9" t="s">
        <v>74</v>
      </c>
      <c r="BH105" s="9" t="s">
        <v>74</v>
      </c>
      <c r="BI105" s="9">
        <v>17</v>
      </c>
      <c r="BJ105" s="9" t="s">
        <v>210</v>
      </c>
      <c r="BK105" s="9" t="s">
        <v>211</v>
      </c>
      <c r="BL105" s="9" t="s">
        <v>212</v>
      </c>
      <c r="BM105" s="9" t="s">
        <v>2745</v>
      </c>
      <c r="BN105" s="9" t="s">
        <v>74</v>
      </c>
      <c r="BO105" s="9" t="s">
        <v>614</v>
      </c>
      <c r="BP105" s="9" t="s">
        <v>74</v>
      </c>
      <c r="BQ105" s="9" t="s">
        <v>74</v>
      </c>
      <c r="BR105" s="9" t="s">
        <v>12946</v>
      </c>
      <c r="BS105" s="9" t="s">
        <v>2746</v>
      </c>
      <c r="BT105" s="9">
        <v>0</v>
      </c>
    </row>
    <row r="106" spans="1:72" x14ac:dyDescent="0.25">
      <c r="A106" s="9" t="s">
        <v>72</v>
      </c>
      <c r="B106" s="9" t="s">
        <v>2807</v>
      </c>
      <c r="C106" s="9" t="s">
        <v>74</v>
      </c>
      <c r="D106" s="9" t="s">
        <v>74</v>
      </c>
      <c r="E106" s="9" t="s">
        <v>74</v>
      </c>
      <c r="F106" s="9" t="s">
        <v>2808</v>
      </c>
      <c r="G106" s="9" t="s">
        <v>74</v>
      </c>
      <c r="H106" s="9" t="s">
        <v>74</v>
      </c>
      <c r="I106" s="9" t="s">
        <v>2809</v>
      </c>
      <c r="J106" s="9" t="s">
        <v>2810</v>
      </c>
      <c r="K106" s="9" t="s">
        <v>74</v>
      </c>
      <c r="L106" s="9" t="s">
        <v>74</v>
      </c>
      <c r="M106" s="9" t="s">
        <v>78</v>
      </c>
      <c r="N106" s="9" t="s">
        <v>79</v>
      </c>
      <c r="O106" s="9" t="s">
        <v>74</v>
      </c>
      <c r="P106" s="9" t="s">
        <v>74</v>
      </c>
      <c r="Q106" s="9" t="s">
        <v>74</v>
      </c>
      <c r="R106" s="9" t="s">
        <v>74</v>
      </c>
      <c r="S106" s="9" t="s">
        <v>74</v>
      </c>
      <c r="T106" s="9" t="s">
        <v>74</v>
      </c>
      <c r="U106" s="9" t="s">
        <v>2811</v>
      </c>
      <c r="V106" s="9" t="s">
        <v>2812</v>
      </c>
      <c r="W106" s="9" t="s">
        <v>2813</v>
      </c>
      <c r="X106" s="9" t="s">
        <v>2814</v>
      </c>
      <c r="Y106" s="9" t="s">
        <v>2815</v>
      </c>
      <c r="Z106" s="9" t="s">
        <v>2816</v>
      </c>
      <c r="AA106" s="9" t="s">
        <v>74</v>
      </c>
      <c r="AB106" s="9" t="s">
        <v>2817</v>
      </c>
      <c r="AC106" s="9" t="s">
        <v>74</v>
      </c>
      <c r="AD106" s="9" t="s">
        <v>74</v>
      </c>
      <c r="AE106" s="9" t="s">
        <v>74</v>
      </c>
      <c r="AF106" s="9" t="s">
        <v>74</v>
      </c>
      <c r="AG106" s="9">
        <v>61</v>
      </c>
      <c r="AH106" s="9">
        <v>5</v>
      </c>
      <c r="AI106" s="9">
        <v>5</v>
      </c>
      <c r="AJ106" s="9">
        <v>6</v>
      </c>
      <c r="AK106" s="9">
        <v>29</v>
      </c>
      <c r="AL106" s="9" t="s">
        <v>2818</v>
      </c>
      <c r="AM106" s="9" t="s">
        <v>2819</v>
      </c>
      <c r="AN106" s="9" t="s">
        <v>2820</v>
      </c>
      <c r="AO106" s="9" t="s">
        <v>2821</v>
      </c>
      <c r="AP106" s="9" t="s">
        <v>2822</v>
      </c>
      <c r="AQ106" s="9" t="s">
        <v>74</v>
      </c>
      <c r="AR106" s="9" t="s">
        <v>2823</v>
      </c>
      <c r="AS106" s="9" t="s">
        <v>2824</v>
      </c>
      <c r="AT106" s="9" t="s">
        <v>99</v>
      </c>
      <c r="AU106" s="9">
        <v>2022</v>
      </c>
      <c r="AV106" s="9">
        <v>31</v>
      </c>
      <c r="AW106" s="9">
        <v>6</v>
      </c>
      <c r="AX106" s="9" t="s">
        <v>74</v>
      </c>
      <c r="AY106" s="9" t="s">
        <v>74</v>
      </c>
      <c r="AZ106" s="9" t="s">
        <v>1020</v>
      </c>
      <c r="BA106" s="9" t="s">
        <v>74</v>
      </c>
      <c r="BB106" s="9">
        <v>613</v>
      </c>
      <c r="BC106" s="9">
        <v>622</v>
      </c>
      <c r="BD106" s="9" t="s">
        <v>74</v>
      </c>
      <c r="BE106" s="9" t="s">
        <v>2825</v>
      </c>
      <c r="BF106" s="9">
        <v>0</v>
      </c>
      <c r="BG106" s="9" t="s">
        <v>74</v>
      </c>
      <c r="BH106" s="9" t="s">
        <v>2788</v>
      </c>
      <c r="BI106" s="9">
        <v>10</v>
      </c>
      <c r="BJ106" s="9" t="s">
        <v>479</v>
      </c>
      <c r="BK106" s="9" t="s">
        <v>183</v>
      </c>
      <c r="BL106" s="9" t="s">
        <v>265</v>
      </c>
      <c r="BM106" s="9" t="s">
        <v>2826</v>
      </c>
      <c r="BN106" s="9" t="s">
        <v>74</v>
      </c>
      <c r="BO106" s="9" t="s">
        <v>11017</v>
      </c>
      <c r="BP106" s="9" t="s">
        <v>74</v>
      </c>
      <c r="BQ106" s="9" t="s">
        <v>74</v>
      </c>
      <c r="BR106" s="9" t="s">
        <v>12946</v>
      </c>
      <c r="BS106" s="9" t="s">
        <v>2828</v>
      </c>
      <c r="BT106" s="9">
        <v>0</v>
      </c>
    </row>
    <row r="107" spans="1:72" x14ac:dyDescent="0.25">
      <c r="A107" s="9" t="s">
        <v>72</v>
      </c>
      <c r="B107" s="9" t="s">
        <v>3698</v>
      </c>
      <c r="C107" s="9" t="s">
        <v>74</v>
      </c>
      <c r="D107" s="9" t="s">
        <v>74</v>
      </c>
      <c r="E107" s="9" t="s">
        <v>74</v>
      </c>
      <c r="F107" s="9" t="s">
        <v>3699</v>
      </c>
      <c r="G107" s="9" t="s">
        <v>74</v>
      </c>
      <c r="H107" s="9" t="s">
        <v>74</v>
      </c>
      <c r="I107" s="9" t="s">
        <v>3700</v>
      </c>
      <c r="J107" s="9" t="s">
        <v>3701</v>
      </c>
      <c r="K107" s="9" t="s">
        <v>74</v>
      </c>
      <c r="L107" s="9" t="s">
        <v>74</v>
      </c>
      <c r="M107" s="9" t="s">
        <v>78</v>
      </c>
      <c r="N107" s="9" t="s">
        <v>79</v>
      </c>
      <c r="O107" s="9" t="s">
        <v>74</v>
      </c>
      <c r="P107" s="9" t="s">
        <v>74</v>
      </c>
      <c r="Q107" s="9" t="s">
        <v>74</v>
      </c>
      <c r="R107" s="9" t="s">
        <v>74</v>
      </c>
      <c r="S107" s="9" t="s">
        <v>74</v>
      </c>
      <c r="T107" s="9" t="s">
        <v>3702</v>
      </c>
      <c r="U107" s="9" t="s">
        <v>3703</v>
      </c>
      <c r="V107" s="9" t="s">
        <v>3704</v>
      </c>
      <c r="W107" s="9" t="s">
        <v>3705</v>
      </c>
      <c r="X107" s="9" t="s">
        <v>3706</v>
      </c>
      <c r="Y107" s="9" t="s">
        <v>3707</v>
      </c>
      <c r="Z107" s="9" t="s">
        <v>3708</v>
      </c>
      <c r="AA107" s="9" t="s">
        <v>13077</v>
      </c>
      <c r="AB107" s="9" t="s">
        <v>13078</v>
      </c>
      <c r="AC107" s="9" t="s">
        <v>74</v>
      </c>
      <c r="AD107" s="9" t="s">
        <v>74</v>
      </c>
      <c r="AE107" s="9" t="s">
        <v>74</v>
      </c>
      <c r="AF107" s="9" t="s">
        <v>74</v>
      </c>
      <c r="AG107" s="9">
        <v>84</v>
      </c>
      <c r="AH107" s="9">
        <v>5</v>
      </c>
      <c r="AI107" s="9">
        <v>5</v>
      </c>
      <c r="AJ107" s="9">
        <v>13</v>
      </c>
      <c r="AK107" s="9">
        <v>77</v>
      </c>
      <c r="AL107" s="9" t="s">
        <v>715</v>
      </c>
      <c r="AM107" s="9" t="s">
        <v>716</v>
      </c>
      <c r="AN107" s="9" t="s">
        <v>717</v>
      </c>
      <c r="AO107" s="9" t="s">
        <v>3711</v>
      </c>
      <c r="AP107" s="9" t="s">
        <v>3712</v>
      </c>
      <c r="AQ107" s="9" t="s">
        <v>74</v>
      </c>
      <c r="AR107" s="9" t="s">
        <v>3713</v>
      </c>
      <c r="AS107" s="9" t="s">
        <v>3714</v>
      </c>
      <c r="AT107" s="9" t="s">
        <v>3715</v>
      </c>
      <c r="AU107" s="9">
        <v>2022</v>
      </c>
      <c r="AV107" s="9">
        <v>28</v>
      </c>
      <c r="AW107" s="9">
        <v>9</v>
      </c>
      <c r="AX107" s="9" t="s">
        <v>74</v>
      </c>
      <c r="AY107" s="9" t="s">
        <v>74</v>
      </c>
      <c r="AZ107" s="9" t="s">
        <v>74</v>
      </c>
      <c r="BA107" s="9" t="s">
        <v>74</v>
      </c>
      <c r="BB107" s="9">
        <v>219</v>
      </c>
      <c r="BC107" s="9">
        <v>241</v>
      </c>
      <c r="BD107" s="9" t="s">
        <v>74</v>
      </c>
      <c r="BE107" s="9" t="s">
        <v>3716</v>
      </c>
      <c r="BF107" s="9">
        <v>0</v>
      </c>
      <c r="BG107" s="9" t="s">
        <v>74</v>
      </c>
      <c r="BH107" s="9" t="s">
        <v>74</v>
      </c>
      <c r="BI107" s="9">
        <v>23</v>
      </c>
      <c r="BJ107" s="9" t="s">
        <v>264</v>
      </c>
      <c r="BK107" s="9" t="s">
        <v>156</v>
      </c>
      <c r="BL107" s="9" t="s">
        <v>265</v>
      </c>
      <c r="BM107" s="9" t="s">
        <v>3717</v>
      </c>
      <c r="BN107" s="9" t="s">
        <v>74</v>
      </c>
      <c r="BO107" s="9" t="s">
        <v>105</v>
      </c>
      <c r="BP107" s="9" t="s">
        <v>74</v>
      </c>
      <c r="BQ107" s="9" t="s">
        <v>74</v>
      </c>
      <c r="BR107" s="9" t="s">
        <v>12946</v>
      </c>
      <c r="BS107" s="9" t="s">
        <v>3718</v>
      </c>
      <c r="BT107" s="9">
        <v>0</v>
      </c>
    </row>
    <row r="108" spans="1:72" x14ac:dyDescent="0.25">
      <c r="A108" s="9" t="s">
        <v>72</v>
      </c>
      <c r="B108" s="9" t="s">
        <v>6142</v>
      </c>
      <c r="C108" s="9" t="s">
        <v>74</v>
      </c>
      <c r="D108" s="9" t="s">
        <v>74</v>
      </c>
      <c r="E108" s="9" t="s">
        <v>74</v>
      </c>
      <c r="F108" s="9" t="s">
        <v>6143</v>
      </c>
      <c r="G108" s="9" t="s">
        <v>74</v>
      </c>
      <c r="H108" s="9" t="s">
        <v>74</v>
      </c>
      <c r="I108" s="9" t="s">
        <v>6144</v>
      </c>
      <c r="J108" s="9" t="s">
        <v>6145</v>
      </c>
      <c r="K108" s="9" t="s">
        <v>74</v>
      </c>
      <c r="L108" s="9" t="s">
        <v>74</v>
      </c>
      <c r="M108" s="9" t="s">
        <v>78</v>
      </c>
      <c r="N108" s="9" t="s">
        <v>79</v>
      </c>
      <c r="O108" s="9" t="s">
        <v>74</v>
      </c>
      <c r="P108" s="9" t="s">
        <v>74</v>
      </c>
      <c r="Q108" s="9" t="s">
        <v>74</v>
      </c>
      <c r="R108" s="9" t="s">
        <v>74</v>
      </c>
      <c r="S108" s="9" t="s">
        <v>74</v>
      </c>
      <c r="T108" s="9" t="s">
        <v>6146</v>
      </c>
      <c r="U108" s="9" t="s">
        <v>74</v>
      </c>
      <c r="V108" s="9" t="s">
        <v>6147</v>
      </c>
      <c r="W108" s="9" t="s">
        <v>6148</v>
      </c>
      <c r="X108" s="9" t="s">
        <v>6149</v>
      </c>
      <c r="Y108" s="9" t="s">
        <v>6150</v>
      </c>
      <c r="Z108" s="9" t="s">
        <v>6151</v>
      </c>
      <c r="AA108" s="9" t="s">
        <v>74</v>
      </c>
      <c r="AB108" s="9" t="s">
        <v>6152</v>
      </c>
      <c r="AC108" s="9" t="s">
        <v>74</v>
      </c>
      <c r="AD108" s="9" t="s">
        <v>74</v>
      </c>
      <c r="AE108" s="9" t="s">
        <v>74</v>
      </c>
      <c r="AF108" s="9" t="s">
        <v>74</v>
      </c>
      <c r="AG108" s="9">
        <v>13</v>
      </c>
      <c r="AH108" s="9">
        <v>5</v>
      </c>
      <c r="AI108" s="9">
        <v>5</v>
      </c>
      <c r="AJ108" s="9">
        <v>7</v>
      </c>
      <c r="AK108" s="9">
        <v>74</v>
      </c>
      <c r="AL108" s="9" t="s">
        <v>6153</v>
      </c>
      <c r="AM108" s="9" t="s">
        <v>6154</v>
      </c>
      <c r="AN108" s="9" t="s">
        <v>6155</v>
      </c>
      <c r="AO108" s="9" t="s">
        <v>6156</v>
      </c>
      <c r="AP108" s="9" t="s">
        <v>6157</v>
      </c>
      <c r="AQ108" s="9" t="s">
        <v>74</v>
      </c>
      <c r="AR108" s="9" t="s">
        <v>6158</v>
      </c>
      <c r="AS108" s="9" t="s">
        <v>6159</v>
      </c>
      <c r="AT108" s="9" t="s">
        <v>837</v>
      </c>
      <c r="AU108" s="9">
        <v>2021</v>
      </c>
      <c r="AV108" s="9">
        <v>28</v>
      </c>
      <c r="AW108" s="9">
        <v>4</v>
      </c>
      <c r="AX108" s="9" t="s">
        <v>74</v>
      </c>
      <c r="AY108" s="9" t="s">
        <v>74</v>
      </c>
      <c r="AZ108" s="9" t="s">
        <v>74</v>
      </c>
      <c r="BA108" s="9" t="s">
        <v>74</v>
      </c>
      <c r="BB108" s="9">
        <v>1262</v>
      </c>
      <c r="BC108" s="9">
        <v>1267</v>
      </c>
      <c r="BD108" s="9" t="s">
        <v>74</v>
      </c>
      <c r="BE108" s="9" t="s">
        <v>6160</v>
      </c>
      <c r="BF108" s="9">
        <v>0</v>
      </c>
      <c r="BG108" s="9" t="s">
        <v>74</v>
      </c>
      <c r="BH108" s="9" t="s">
        <v>74</v>
      </c>
      <c r="BI108" s="9">
        <v>6</v>
      </c>
      <c r="BJ108" s="9" t="s">
        <v>2113</v>
      </c>
      <c r="BK108" s="9" t="s">
        <v>102</v>
      </c>
      <c r="BL108" s="9" t="s">
        <v>1685</v>
      </c>
      <c r="BM108" s="9" t="s">
        <v>6161</v>
      </c>
      <c r="BN108" s="9" t="s">
        <v>74</v>
      </c>
      <c r="BO108" s="9" t="s">
        <v>186</v>
      </c>
      <c r="BP108" s="9" t="s">
        <v>74</v>
      </c>
      <c r="BQ108" s="9" t="s">
        <v>74</v>
      </c>
      <c r="BR108" s="9" t="s">
        <v>12946</v>
      </c>
      <c r="BS108" s="9" t="s">
        <v>6162</v>
      </c>
      <c r="BT108" s="9">
        <v>0</v>
      </c>
    </row>
    <row r="109" spans="1:72" x14ac:dyDescent="0.25">
      <c r="A109" s="9" t="s">
        <v>72</v>
      </c>
      <c r="B109" s="9" t="s">
        <v>7243</v>
      </c>
      <c r="C109" s="9" t="s">
        <v>74</v>
      </c>
      <c r="D109" s="9" t="s">
        <v>74</v>
      </c>
      <c r="E109" s="9" t="s">
        <v>74</v>
      </c>
      <c r="F109" s="9" t="s">
        <v>7244</v>
      </c>
      <c r="G109" s="9" t="s">
        <v>74</v>
      </c>
      <c r="H109" s="9" t="s">
        <v>74</v>
      </c>
      <c r="I109" s="9" t="s">
        <v>7245</v>
      </c>
      <c r="J109" s="9" t="s">
        <v>7246</v>
      </c>
      <c r="K109" s="9" t="s">
        <v>74</v>
      </c>
      <c r="L109" s="9" t="s">
        <v>74</v>
      </c>
      <c r="M109" s="9" t="s">
        <v>78</v>
      </c>
      <c r="N109" s="9" t="s">
        <v>7247</v>
      </c>
      <c r="O109" s="9" t="s">
        <v>7248</v>
      </c>
      <c r="P109" s="9" t="s">
        <v>7249</v>
      </c>
      <c r="Q109" s="9" t="s">
        <v>7250</v>
      </c>
      <c r="R109" s="9" t="s">
        <v>74</v>
      </c>
      <c r="S109" s="9" t="s">
        <v>7251</v>
      </c>
      <c r="T109" s="9" t="s">
        <v>7252</v>
      </c>
      <c r="U109" s="9" t="s">
        <v>7253</v>
      </c>
      <c r="V109" s="9" t="s">
        <v>7254</v>
      </c>
      <c r="W109" s="9" t="s">
        <v>7255</v>
      </c>
      <c r="X109" s="9" t="s">
        <v>7256</v>
      </c>
      <c r="Y109" s="9" t="s">
        <v>7257</v>
      </c>
      <c r="Z109" s="9" t="s">
        <v>7258</v>
      </c>
      <c r="AA109" s="9" t="s">
        <v>13079</v>
      </c>
      <c r="AB109" s="9" t="s">
        <v>74</v>
      </c>
      <c r="AC109" s="9" t="s">
        <v>74</v>
      </c>
      <c r="AD109" s="9" t="s">
        <v>74</v>
      </c>
      <c r="AE109" s="9" t="s">
        <v>74</v>
      </c>
      <c r="AF109" s="9" t="s">
        <v>74</v>
      </c>
      <c r="AG109" s="9">
        <v>28</v>
      </c>
      <c r="AH109" s="9">
        <v>5</v>
      </c>
      <c r="AI109" s="9">
        <v>5</v>
      </c>
      <c r="AJ109" s="9">
        <v>0</v>
      </c>
      <c r="AK109" s="9">
        <v>37</v>
      </c>
      <c r="AL109" s="9" t="s">
        <v>7261</v>
      </c>
      <c r="AM109" s="9" t="s">
        <v>2281</v>
      </c>
      <c r="AN109" s="9" t="s">
        <v>7262</v>
      </c>
      <c r="AO109" s="9" t="s">
        <v>7263</v>
      </c>
      <c r="AP109" s="9" t="s">
        <v>74</v>
      </c>
      <c r="AQ109" s="9" t="s">
        <v>74</v>
      </c>
      <c r="AR109" s="9" t="s">
        <v>7264</v>
      </c>
      <c r="AS109" s="9" t="s">
        <v>7265</v>
      </c>
      <c r="AT109" s="9" t="s">
        <v>74</v>
      </c>
      <c r="AU109" s="9">
        <v>2021</v>
      </c>
      <c r="AV109" s="9">
        <v>18</v>
      </c>
      <c r="AW109" s="9">
        <v>3</v>
      </c>
      <c r="AX109" s="9" t="s">
        <v>74</v>
      </c>
      <c r="AY109" s="9" t="s">
        <v>74</v>
      </c>
      <c r="AZ109" s="9" t="s">
        <v>74</v>
      </c>
      <c r="BA109" s="9" t="s">
        <v>74</v>
      </c>
      <c r="BB109" s="9" t="s">
        <v>74</v>
      </c>
      <c r="BC109" s="9" t="s">
        <v>74</v>
      </c>
      <c r="BD109" s="9" t="s">
        <v>7266</v>
      </c>
      <c r="BE109" s="9" t="s">
        <v>7267</v>
      </c>
      <c r="BF109" s="9">
        <v>0</v>
      </c>
      <c r="BG109" s="9" t="s">
        <v>74</v>
      </c>
      <c r="BH109" s="9" t="s">
        <v>74</v>
      </c>
      <c r="BI109" s="9">
        <v>17</v>
      </c>
      <c r="BJ109" s="9" t="s">
        <v>6503</v>
      </c>
      <c r="BK109" s="9" t="s">
        <v>183</v>
      </c>
      <c r="BL109" s="9" t="s">
        <v>6503</v>
      </c>
      <c r="BM109" s="9" t="s">
        <v>7268</v>
      </c>
      <c r="BN109" s="9" t="s">
        <v>74</v>
      </c>
      <c r="BO109" s="9" t="s">
        <v>422</v>
      </c>
      <c r="BP109" s="9" t="s">
        <v>74</v>
      </c>
      <c r="BQ109" s="9" t="s">
        <v>74</v>
      </c>
      <c r="BR109" s="9" t="s">
        <v>12946</v>
      </c>
      <c r="BS109" s="9" t="s">
        <v>7269</v>
      </c>
      <c r="BT109" s="9">
        <v>0</v>
      </c>
    </row>
    <row r="110" spans="1:72" x14ac:dyDescent="0.25">
      <c r="A110" s="9" t="s">
        <v>72</v>
      </c>
      <c r="B110" s="9" t="s">
        <v>12531</v>
      </c>
      <c r="C110" s="9" t="s">
        <v>74</v>
      </c>
      <c r="D110" s="9" t="s">
        <v>74</v>
      </c>
      <c r="E110" s="9" t="s">
        <v>74</v>
      </c>
      <c r="F110" s="9" t="s">
        <v>12532</v>
      </c>
      <c r="G110" s="9" t="s">
        <v>74</v>
      </c>
      <c r="H110" s="9" t="s">
        <v>74</v>
      </c>
      <c r="I110" s="9" t="s">
        <v>12533</v>
      </c>
      <c r="J110" s="9" t="s">
        <v>12534</v>
      </c>
      <c r="K110" s="9" t="s">
        <v>74</v>
      </c>
      <c r="L110" s="9" t="s">
        <v>74</v>
      </c>
      <c r="M110" s="9" t="s">
        <v>78</v>
      </c>
      <c r="N110" s="9" t="s">
        <v>79</v>
      </c>
      <c r="O110" s="9" t="s">
        <v>74</v>
      </c>
      <c r="P110" s="9" t="s">
        <v>74</v>
      </c>
      <c r="Q110" s="9" t="s">
        <v>74</v>
      </c>
      <c r="R110" s="9" t="s">
        <v>74</v>
      </c>
      <c r="S110" s="9" t="s">
        <v>74</v>
      </c>
      <c r="T110" s="9" t="s">
        <v>12535</v>
      </c>
      <c r="U110" s="9" t="s">
        <v>12536</v>
      </c>
      <c r="V110" s="9" t="s">
        <v>12537</v>
      </c>
      <c r="W110" s="9" t="s">
        <v>12538</v>
      </c>
      <c r="X110" s="9" t="s">
        <v>12539</v>
      </c>
      <c r="Y110" s="9" t="s">
        <v>12540</v>
      </c>
      <c r="Z110" s="9" t="s">
        <v>74</v>
      </c>
      <c r="AA110" s="9" t="s">
        <v>74</v>
      </c>
      <c r="AB110" s="9" t="s">
        <v>13080</v>
      </c>
      <c r="AC110" s="9" t="s">
        <v>74</v>
      </c>
      <c r="AD110" s="9" t="s">
        <v>74</v>
      </c>
      <c r="AE110" s="9" t="s">
        <v>74</v>
      </c>
      <c r="AF110" s="9" t="s">
        <v>74</v>
      </c>
      <c r="AG110" s="9">
        <v>40</v>
      </c>
      <c r="AH110" s="9">
        <v>5</v>
      </c>
      <c r="AI110" s="9">
        <v>6</v>
      </c>
      <c r="AJ110" s="9">
        <v>0</v>
      </c>
      <c r="AK110" s="9">
        <v>1</v>
      </c>
      <c r="AL110" s="9" t="s">
        <v>492</v>
      </c>
      <c r="AM110" s="9" t="s">
        <v>493</v>
      </c>
      <c r="AN110" s="9" t="s">
        <v>494</v>
      </c>
      <c r="AO110" s="9" t="s">
        <v>12541</v>
      </c>
      <c r="AP110" s="9" t="s">
        <v>12542</v>
      </c>
      <c r="AQ110" s="9" t="s">
        <v>74</v>
      </c>
      <c r="AR110" s="9" t="s">
        <v>12543</v>
      </c>
      <c r="AS110" s="9" t="s">
        <v>12544</v>
      </c>
      <c r="AT110" s="9" t="s">
        <v>74</v>
      </c>
      <c r="AU110" s="9">
        <v>2010</v>
      </c>
      <c r="AV110" s="9">
        <v>7</v>
      </c>
      <c r="AW110" s="9">
        <v>1</v>
      </c>
      <c r="AX110" s="9" t="s">
        <v>74</v>
      </c>
      <c r="AY110" s="9" t="s">
        <v>74</v>
      </c>
      <c r="AZ110" s="9" t="s">
        <v>74</v>
      </c>
      <c r="BA110" s="9" t="s">
        <v>74</v>
      </c>
      <c r="BB110" s="9">
        <v>21</v>
      </c>
      <c r="BC110" s="9">
        <v>39</v>
      </c>
      <c r="BD110" s="9" t="s">
        <v>74</v>
      </c>
      <c r="BE110" s="9" t="s">
        <v>12545</v>
      </c>
      <c r="BF110" s="9">
        <v>0</v>
      </c>
      <c r="BG110" s="9" t="s">
        <v>74</v>
      </c>
      <c r="BH110" s="9" t="s">
        <v>74</v>
      </c>
      <c r="BI110" s="9">
        <v>19</v>
      </c>
      <c r="BJ110" s="9" t="s">
        <v>1023</v>
      </c>
      <c r="BK110" s="9" t="s">
        <v>183</v>
      </c>
      <c r="BL110" s="9" t="s">
        <v>265</v>
      </c>
      <c r="BM110" s="9" t="s">
        <v>12546</v>
      </c>
      <c r="BN110" s="9" t="s">
        <v>74</v>
      </c>
      <c r="BO110" s="9" t="s">
        <v>74</v>
      </c>
      <c r="BP110" s="9" t="s">
        <v>74</v>
      </c>
      <c r="BQ110" s="9" t="s">
        <v>74</v>
      </c>
      <c r="BR110" s="9" t="s">
        <v>12946</v>
      </c>
      <c r="BS110" s="9" t="s">
        <v>12547</v>
      </c>
      <c r="BT110" s="9">
        <v>0</v>
      </c>
    </row>
    <row r="111" spans="1:72" x14ac:dyDescent="0.25">
      <c r="A111" s="9" t="s">
        <v>72</v>
      </c>
      <c r="B111" s="9" t="s">
        <v>1242</v>
      </c>
      <c r="C111" s="9" t="s">
        <v>74</v>
      </c>
      <c r="D111" s="9" t="s">
        <v>74</v>
      </c>
      <c r="E111" s="9" t="s">
        <v>74</v>
      </c>
      <c r="F111" s="9" t="s">
        <v>1243</v>
      </c>
      <c r="G111" s="9" t="s">
        <v>74</v>
      </c>
      <c r="H111" s="9" t="s">
        <v>74</v>
      </c>
      <c r="I111" s="9" t="s">
        <v>1244</v>
      </c>
      <c r="J111" s="9" t="s">
        <v>1245</v>
      </c>
      <c r="K111" s="9" t="s">
        <v>74</v>
      </c>
      <c r="L111" s="9" t="s">
        <v>74</v>
      </c>
      <c r="M111" s="9" t="s">
        <v>78</v>
      </c>
      <c r="N111" s="9" t="s">
        <v>79</v>
      </c>
      <c r="O111" s="9" t="s">
        <v>74</v>
      </c>
      <c r="P111" s="9" t="s">
        <v>74</v>
      </c>
      <c r="Q111" s="9" t="s">
        <v>74</v>
      </c>
      <c r="R111" s="9" t="s">
        <v>74</v>
      </c>
      <c r="S111" s="9" t="s">
        <v>74</v>
      </c>
      <c r="T111" s="9" t="s">
        <v>1246</v>
      </c>
      <c r="U111" s="9" t="s">
        <v>1247</v>
      </c>
      <c r="V111" s="9" t="s">
        <v>1248</v>
      </c>
      <c r="W111" s="9" t="s">
        <v>1249</v>
      </c>
      <c r="X111" s="9" t="s">
        <v>1250</v>
      </c>
      <c r="Y111" s="9" t="s">
        <v>1251</v>
      </c>
      <c r="Z111" s="9" t="s">
        <v>1252</v>
      </c>
      <c r="AA111" s="9" t="s">
        <v>13081</v>
      </c>
      <c r="AB111" s="9" t="s">
        <v>13082</v>
      </c>
      <c r="AC111" s="9" t="s">
        <v>1255</v>
      </c>
      <c r="AD111" s="9" t="s">
        <v>1256</v>
      </c>
      <c r="AE111" s="9" t="s">
        <v>1257</v>
      </c>
      <c r="AF111" s="9" t="s">
        <v>74</v>
      </c>
      <c r="AG111" s="9">
        <v>118</v>
      </c>
      <c r="AH111" s="9">
        <v>4</v>
      </c>
      <c r="AI111" s="9">
        <v>4</v>
      </c>
      <c r="AJ111" s="9">
        <v>15</v>
      </c>
      <c r="AK111" s="9">
        <v>42</v>
      </c>
      <c r="AL111" s="9" t="s">
        <v>492</v>
      </c>
      <c r="AM111" s="9" t="s">
        <v>493</v>
      </c>
      <c r="AN111" s="9" t="s">
        <v>494</v>
      </c>
      <c r="AO111" s="9" t="s">
        <v>1258</v>
      </c>
      <c r="AP111" s="9" t="s">
        <v>1259</v>
      </c>
      <c r="AQ111" s="9" t="s">
        <v>74</v>
      </c>
      <c r="AR111" s="9" t="s">
        <v>1260</v>
      </c>
      <c r="AS111" s="9" t="s">
        <v>1261</v>
      </c>
      <c r="AT111" s="9" t="s">
        <v>2390</v>
      </c>
      <c r="AU111" s="9">
        <v>2024</v>
      </c>
      <c r="AV111" s="9">
        <v>36</v>
      </c>
      <c r="AW111" s="9" t="s">
        <v>5946</v>
      </c>
      <c r="AX111" s="9" t="s">
        <v>74</v>
      </c>
      <c r="AY111" s="9" t="s">
        <v>74</v>
      </c>
      <c r="AZ111" s="9" t="s">
        <v>1020</v>
      </c>
      <c r="BA111" s="9" t="s">
        <v>74</v>
      </c>
      <c r="BB111" s="9">
        <v>162</v>
      </c>
      <c r="BC111" s="9">
        <v>181</v>
      </c>
      <c r="BD111" s="9" t="s">
        <v>74</v>
      </c>
      <c r="BE111" s="9" t="s">
        <v>1263</v>
      </c>
      <c r="BF111" s="9">
        <v>0</v>
      </c>
      <c r="BG111" s="9" t="s">
        <v>74</v>
      </c>
      <c r="BH111" s="9" t="s">
        <v>1181</v>
      </c>
      <c r="BI111" s="9">
        <v>20</v>
      </c>
      <c r="BJ111" s="9" t="s">
        <v>1264</v>
      </c>
      <c r="BK111" s="9" t="s">
        <v>156</v>
      </c>
      <c r="BL111" s="9" t="s">
        <v>1265</v>
      </c>
      <c r="BM111" s="9" t="s">
        <v>13083</v>
      </c>
      <c r="BN111" s="9" t="s">
        <v>74</v>
      </c>
      <c r="BO111" s="9" t="s">
        <v>74</v>
      </c>
      <c r="BP111" s="9" t="s">
        <v>74</v>
      </c>
      <c r="BQ111" s="9" t="s">
        <v>74</v>
      </c>
      <c r="BR111" s="9" t="s">
        <v>12946</v>
      </c>
      <c r="BS111" s="9" t="s">
        <v>1267</v>
      </c>
      <c r="BT111" s="9">
        <v>0</v>
      </c>
    </row>
    <row r="112" spans="1:72" x14ac:dyDescent="0.25">
      <c r="A112" s="9" t="s">
        <v>72</v>
      </c>
      <c r="B112" s="9" t="s">
        <v>1646</v>
      </c>
      <c r="C112" s="9" t="s">
        <v>74</v>
      </c>
      <c r="D112" s="9" t="s">
        <v>74</v>
      </c>
      <c r="E112" s="9" t="s">
        <v>74</v>
      </c>
      <c r="F112" s="9" t="s">
        <v>1647</v>
      </c>
      <c r="G112" s="9" t="s">
        <v>74</v>
      </c>
      <c r="H112" s="9" t="s">
        <v>74</v>
      </c>
      <c r="I112" s="9" t="s">
        <v>1648</v>
      </c>
      <c r="J112" s="9" t="s">
        <v>1649</v>
      </c>
      <c r="K112" s="9" t="s">
        <v>74</v>
      </c>
      <c r="L112" s="9" t="s">
        <v>74</v>
      </c>
      <c r="M112" s="9" t="s">
        <v>78</v>
      </c>
      <c r="N112" s="9" t="s">
        <v>79</v>
      </c>
      <c r="O112" s="9" t="s">
        <v>74</v>
      </c>
      <c r="P112" s="9" t="s">
        <v>74</v>
      </c>
      <c r="Q112" s="9" t="s">
        <v>74</v>
      </c>
      <c r="R112" s="9" t="s">
        <v>74</v>
      </c>
      <c r="S112" s="9" t="s">
        <v>74</v>
      </c>
      <c r="T112" s="9" t="s">
        <v>1650</v>
      </c>
      <c r="U112" s="9" t="s">
        <v>1651</v>
      </c>
      <c r="V112" s="9" t="s">
        <v>1652</v>
      </c>
      <c r="W112" s="9" t="s">
        <v>1653</v>
      </c>
      <c r="X112" s="9" t="s">
        <v>1654</v>
      </c>
      <c r="Y112" s="9" t="s">
        <v>1655</v>
      </c>
      <c r="Z112" s="9" t="s">
        <v>1656</v>
      </c>
      <c r="AA112" s="9" t="s">
        <v>74</v>
      </c>
      <c r="AB112" s="9" t="s">
        <v>74</v>
      </c>
      <c r="AC112" s="9" t="s">
        <v>1657</v>
      </c>
      <c r="AD112" s="9" t="s">
        <v>1657</v>
      </c>
      <c r="AE112" s="9" t="s">
        <v>1658</v>
      </c>
      <c r="AF112" s="9" t="s">
        <v>74</v>
      </c>
      <c r="AG112" s="9">
        <v>69</v>
      </c>
      <c r="AH112" s="9">
        <v>4</v>
      </c>
      <c r="AI112" s="9">
        <v>4</v>
      </c>
      <c r="AJ112" s="9">
        <v>10</v>
      </c>
      <c r="AK112" s="9">
        <v>51</v>
      </c>
      <c r="AL112" s="9" t="s">
        <v>1382</v>
      </c>
      <c r="AM112" s="9" t="s">
        <v>1383</v>
      </c>
      <c r="AN112" s="9" t="s">
        <v>1384</v>
      </c>
      <c r="AO112" s="9" t="s">
        <v>1659</v>
      </c>
      <c r="AP112" s="9" t="s">
        <v>74</v>
      </c>
      <c r="AQ112" s="9" t="s">
        <v>74</v>
      </c>
      <c r="AR112" s="9" t="s">
        <v>1660</v>
      </c>
      <c r="AS112" s="9" t="s">
        <v>1661</v>
      </c>
      <c r="AT112" s="9" t="s">
        <v>1662</v>
      </c>
      <c r="AU112" s="9">
        <v>2023</v>
      </c>
      <c r="AV112" s="9">
        <v>14</v>
      </c>
      <c r="AW112" s="9" t="s">
        <v>74</v>
      </c>
      <c r="AX112" s="9" t="s">
        <v>74</v>
      </c>
      <c r="AY112" s="9" t="s">
        <v>74</v>
      </c>
      <c r="AZ112" s="9" t="s">
        <v>74</v>
      </c>
      <c r="BA112" s="9" t="s">
        <v>74</v>
      </c>
      <c r="BB112" s="9" t="s">
        <v>74</v>
      </c>
      <c r="BC112" s="9" t="s">
        <v>74</v>
      </c>
      <c r="BD112" s="9">
        <v>1153031</v>
      </c>
      <c r="BE112" s="9" t="s">
        <v>1663</v>
      </c>
      <c r="BF112" s="9">
        <v>0</v>
      </c>
      <c r="BG112" s="9" t="s">
        <v>74</v>
      </c>
      <c r="BH112" s="9" t="s">
        <v>74</v>
      </c>
      <c r="BI112" s="9">
        <v>13</v>
      </c>
      <c r="BJ112" s="9" t="s">
        <v>1664</v>
      </c>
      <c r="BK112" s="9" t="s">
        <v>156</v>
      </c>
      <c r="BL112" s="9" t="s">
        <v>1665</v>
      </c>
      <c r="BM112" s="9" t="s">
        <v>1666</v>
      </c>
      <c r="BN112" s="9">
        <v>36968717</v>
      </c>
      <c r="BO112" s="9" t="s">
        <v>422</v>
      </c>
      <c r="BP112" s="9" t="s">
        <v>74</v>
      </c>
      <c r="BQ112" s="9" t="s">
        <v>74</v>
      </c>
      <c r="BR112" s="9" t="s">
        <v>12946</v>
      </c>
      <c r="BS112" s="9" t="s">
        <v>1667</v>
      </c>
      <c r="BT112" s="9">
        <v>0</v>
      </c>
    </row>
    <row r="113" spans="1:72" x14ac:dyDescent="0.25">
      <c r="A113" s="9" t="s">
        <v>72</v>
      </c>
      <c r="B113" s="9" t="s">
        <v>3373</v>
      </c>
      <c r="C113" s="9" t="s">
        <v>74</v>
      </c>
      <c r="D113" s="9" t="s">
        <v>74</v>
      </c>
      <c r="E113" s="9" t="s">
        <v>74</v>
      </c>
      <c r="F113" s="9" t="s">
        <v>3374</v>
      </c>
      <c r="G113" s="9" t="s">
        <v>74</v>
      </c>
      <c r="H113" s="9" t="s">
        <v>74</v>
      </c>
      <c r="I113" s="9" t="s">
        <v>3375</v>
      </c>
      <c r="J113" s="9" t="s">
        <v>323</v>
      </c>
      <c r="K113" s="9" t="s">
        <v>74</v>
      </c>
      <c r="L113" s="9" t="s">
        <v>74</v>
      </c>
      <c r="M113" s="9" t="s">
        <v>78</v>
      </c>
      <c r="N113" s="9" t="s">
        <v>79</v>
      </c>
      <c r="O113" s="9" t="s">
        <v>74</v>
      </c>
      <c r="P113" s="9" t="s">
        <v>74</v>
      </c>
      <c r="Q113" s="9" t="s">
        <v>74</v>
      </c>
      <c r="R113" s="9" t="s">
        <v>74</v>
      </c>
      <c r="S113" s="9" t="s">
        <v>74</v>
      </c>
      <c r="T113" s="9" t="s">
        <v>3376</v>
      </c>
      <c r="U113" s="9" t="s">
        <v>74</v>
      </c>
      <c r="V113" s="9" t="s">
        <v>3377</v>
      </c>
      <c r="W113" s="9" t="s">
        <v>3378</v>
      </c>
      <c r="X113" s="9" t="s">
        <v>13084</v>
      </c>
      <c r="Y113" s="9" t="s">
        <v>3380</v>
      </c>
      <c r="Z113" s="9" t="s">
        <v>3381</v>
      </c>
      <c r="AA113" s="9" t="s">
        <v>74</v>
      </c>
      <c r="AB113" s="9" t="s">
        <v>74</v>
      </c>
      <c r="AC113" s="9" t="s">
        <v>74</v>
      </c>
      <c r="AD113" s="9" t="s">
        <v>74</v>
      </c>
      <c r="AE113" s="9" t="s">
        <v>74</v>
      </c>
      <c r="AF113" s="9" t="s">
        <v>74</v>
      </c>
      <c r="AG113" s="9">
        <v>40</v>
      </c>
      <c r="AH113" s="9">
        <v>4</v>
      </c>
      <c r="AI113" s="9">
        <v>4</v>
      </c>
      <c r="AJ113" s="9">
        <v>0</v>
      </c>
      <c r="AK113" s="9">
        <v>8</v>
      </c>
      <c r="AL113" s="9" t="s">
        <v>202</v>
      </c>
      <c r="AM113" s="9" t="s">
        <v>203</v>
      </c>
      <c r="AN113" s="9" t="s">
        <v>204</v>
      </c>
      <c r="AO113" s="9" t="s">
        <v>74</v>
      </c>
      <c r="AP113" s="9" t="s">
        <v>3382</v>
      </c>
      <c r="AQ113" s="9" t="s">
        <v>74</v>
      </c>
      <c r="AR113" s="9" t="s">
        <v>323</v>
      </c>
      <c r="AS113" s="9" t="s">
        <v>3383</v>
      </c>
      <c r="AT113" s="9" t="s">
        <v>356</v>
      </c>
      <c r="AU113" s="9">
        <v>2022</v>
      </c>
      <c r="AV113" s="9">
        <v>13</v>
      </c>
      <c r="AW113" s="9">
        <v>9</v>
      </c>
      <c r="AX113" s="9" t="s">
        <v>74</v>
      </c>
      <c r="AY113" s="9" t="s">
        <v>74</v>
      </c>
      <c r="AZ113" s="9" t="s">
        <v>74</v>
      </c>
      <c r="BA113" s="9" t="s">
        <v>74</v>
      </c>
      <c r="BB113" s="9" t="s">
        <v>74</v>
      </c>
      <c r="BC113" s="9" t="s">
        <v>74</v>
      </c>
      <c r="BD113" s="9">
        <v>416</v>
      </c>
      <c r="BE113" s="9" t="s">
        <v>3384</v>
      </c>
      <c r="BF113" s="9">
        <v>0</v>
      </c>
      <c r="BG113" s="9" t="s">
        <v>74</v>
      </c>
      <c r="BH113" s="9" t="s">
        <v>74</v>
      </c>
      <c r="BI113" s="9">
        <v>11</v>
      </c>
      <c r="BJ113" s="9" t="s">
        <v>1217</v>
      </c>
      <c r="BK113" s="9" t="s">
        <v>183</v>
      </c>
      <c r="BL113" s="9" t="s">
        <v>399</v>
      </c>
      <c r="BM113" s="9" t="s">
        <v>3385</v>
      </c>
      <c r="BN113" s="9" t="s">
        <v>74</v>
      </c>
      <c r="BO113" s="9" t="s">
        <v>186</v>
      </c>
      <c r="BP113" s="9" t="s">
        <v>74</v>
      </c>
      <c r="BQ113" s="9" t="s">
        <v>74</v>
      </c>
      <c r="BR113" s="9" t="s">
        <v>12946</v>
      </c>
      <c r="BS113" s="9" t="s">
        <v>3386</v>
      </c>
      <c r="BT113" s="9">
        <v>0</v>
      </c>
    </row>
    <row r="114" spans="1:72" x14ac:dyDescent="0.25">
      <c r="A114" s="9" t="s">
        <v>72</v>
      </c>
      <c r="B114" s="9" t="s">
        <v>3719</v>
      </c>
      <c r="C114" s="9" t="s">
        <v>74</v>
      </c>
      <c r="D114" s="9" t="s">
        <v>74</v>
      </c>
      <c r="E114" s="9" t="s">
        <v>74</v>
      </c>
      <c r="F114" s="9" t="s">
        <v>3720</v>
      </c>
      <c r="G114" s="9" t="s">
        <v>74</v>
      </c>
      <c r="H114" s="9" t="s">
        <v>74</v>
      </c>
      <c r="I114" s="9" t="s">
        <v>3721</v>
      </c>
      <c r="J114" s="9" t="s">
        <v>191</v>
      </c>
      <c r="K114" s="9" t="s">
        <v>74</v>
      </c>
      <c r="L114" s="9" t="s">
        <v>74</v>
      </c>
      <c r="M114" s="9" t="s">
        <v>78</v>
      </c>
      <c r="N114" s="9" t="s">
        <v>79</v>
      </c>
      <c r="O114" s="9" t="s">
        <v>74</v>
      </c>
      <c r="P114" s="9" t="s">
        <v>74</v>
      </c>
      <c r="Q114" s="9" t="s">
        <v>74</v>
      </c>
      <c r="R114" s="9" t="s">
        <v>74</v>
      </c>
      <c r="S114" s="9" t="s">
        <v>74</v>
      </c>
      <c r="T114" s="9" t="s">
        <v>3722</v>
      </c>
      <c r="U114" s="9" t="s">
        <v>3723</v>
      </c>
      <c r="V114" s="9" t="s">
        <v>3724</v>
      </c>
      <c r="W114" s="9" t="s">
        <v>3725</v>
      </c>
      <c r="X114" s="9" t="s">
        <v>3726</v>
      </c>
      <c r="Y114" s="9" t="s">
        <v>3727</v>
      </c>
      <c r="Z114" s="9" t="s">
        <v>3728</v>
      </c>
      <c r="AA114" s="9" t="s">
        <v>3729</v>
      </c>
      <c r="AB114" s="9" t="s">
        <v>74</v>
      </c>
      <c r="AC114" s="9" t="s">
        <v>74</v>
      </c>
      <c r="AD114" s="9" t="s">
        <v>74</v>
      </c>
      <c r="AE114" s="9" t="s">
        <v>74</v>
      </c>
      <c r="AF114" s="9" t="s">
        <v>74</v>
      </c>
      <c r="AG114" s="9">
        <v>124</v>
      </c>
      <c r="AH114" s="9">
        <v>4</v>
      </c>
      <c r="AI114" s="9">
        <v>4</v>
      </c>
      <c r="AJ114" s="9">
        <v>16</v>
      </c>
      <c r="AK114" s="9">
        <v>68</v>
      </c>
      <c r="AL114" s="9" t="s">
        <v>202</v>
      </c>
      <c r="AM114" s="9" t="s">
        <v>203</v>
      </c>
      <c r="AN114" s="9" t="s">
        <v>204</v>
      </c>
      <c r="AO114" s="9" t="s">
        <v>74</v>
      </c>
      <c r="AP114" s="9" t="s">
        <v>205</v>
      </c>
      <c r="AQ114" s="9" t="s">
        <v>74</v>
      </c>
      <c r="AR114" s="9" t="s">
        <v>206</v>
      </c>
      <c r="AS114" s="9" t="s">
        <v>207</v>
      </c>
      <c r="AT114" s="9" t="s">
        <v>626</v>
      </c>
      <c r="AU114" s="9">
        <v>2022</v>
      </c>
      <c r="AV114" s="9">
        <v>14</v>
      </c>
      <c r="AW114" s="9">
        <v>15</v>
      </c>
      <c r="AX114" s="9" t="s">
        <v>74</v>
      </c>
      <c r="AY114" s="9" t="s">
        <v>74</v>
      </c>
      <c r="AZ114" s="9" t="s">
        <v>74</v>
      </c>
      <c r="BA114" s="9" t="s">
        <v>74</v>
      </c>
      <c r="BB114" s="9" t="s">
        <v>74</v>
      </c>
      <c r="BC114" s="9" t="s">
        <v>74</v>
      </c>
      <c r="BD114" s="9">
        <v>9690</v>
      </c>
      <c r="BE114" s="9" t="s">
        <v>3730</v>
      </c>
      <c r="BF114" s="9">
        <v>0</v>
      </c>
      <c r="BG114" s="9" t="s">
        <v>74</v>
      </c>
      <c r="BH114" s="9" t="s">
        <v>74</v>
      </c>
      <c r="BI114" s="9">
        <v>26</v>
      </c>
      <c r="BJ114" s="9" t="s">
        <v>210</v>
      </c>
      <c r="BK114" s="9" t="s">
        <v>211</v>
      </c>
      <c r="BL114" s="9" t="s">
        <v>212</v>
      </c>
      <c r="BM114" s="9" t="s">
        <v>3731</v>
      </c>
      <c r="BN114" s="9" t="s">
        <v>74</v>
      </c>
      <c r="BO114" s="9" t="s">
        <v>186</v>
      </c>
      <c r="BP114" s="9" t="s">
        <v>74</v>
      </c>
      <c r="BQ114" s="9" t="s">
        <v>74</v>
      </c>
      <c r="BR114" s="9" t="s">
        <v>12946</v>
      </c>
      <c r="BS114" s="9" t="s">
        <v>3732</v>
      </c>
      <c r="BT114" s="9">
        <v>0</v>
      </c>
    </row>
    <row r="115" spans="1:72" x14ac:dyDescent="0.25">
      <c r="A115" s="9" t="s">
        <v>72</v>
      </c>
      <c r="B115" s="9" t="s">
        <v>4701</v>
      </c>
      <c r="C115" s="9" t="s">
        <v>74</v>
      </c>
      <c r="D115" s="9" t="s">
        <v>74</v>
      </c>
      <c r="E115" s="9" t="s">
        <v>74</v>
      </c>
      <c r="F115" s="9" t="s">
        <v>4702</v>
      </c>
      <c r="G115" s="9" t="s">
        <v>74</v>
      </c>
      <c r="H115" s="9" t="s">
        <v>74</v>
      </c>
      <c r="I115" s="9" t="s">
        <v>4703</v>
      </c>
      <c r="J115" s="9" t="s">
        <v>4704</v>
      </c>
      <c r="K115" s="9" t="s">
        <v>74</v>
      </c>
      <c r="L115" s="9" t="s">
        <v>74</v>
      </c>
      <c r="M115" s="9" t="s">
        <v>78</v>
      </c>
      <c r="N115" s="9" t="s">
        <v>79</v>
      </c>
      <c r="O115" s="9" t="s">
        <v>74</v>
      </c>
      <c r="P115" s="9" t="s">
        <v>74</v>
      </c>
      <c r="Q115" s="9" t="s">
        <v>74</v>
      </c>
      <c r="R115" s="9" t="s">
        <v>74</v>
      </c>
      <c r="S115" s="9" t="s">
        <v>74</v>
      </c>
      <c r="T115" s="9" t="s">
        <v>4705</v>
      </c>
      <c r="U115" s="9" t="s">
        <v>4706</v>
      </c>
      <c r="V115" s="9" t="s">
        <v>4707</v>
      </c>
      <c r="W115" s="9" t="s">
        <v>4708</v>
      </c>
      <c r="X115" s="9" t="s">
        <v>4709</v>
      </c>
      <c r="Y115" s="9" t="s">
        <v>4710</v>
      </c>
      <c r="Z115" s="9" t="s">
        <v>4711</v>
      </c>
      <c r="AA115" s="9" t="s">
        <v>13085</v>
      </c>
      <c r="AB115" s="9" t="s">
        <v>74</v>
      </c>
      <c r="AC115" s="9" t="s">
        <v>4712</v>
      </c>
      <c r="AD115" s="9" t="s">
        <v>4713</v>
      </c>
      <c r="AE115" s="9" t="s">
        <v>4714</v>
      </c>
      <c r="AF115" s="9" t="s">
        <v>74</v>
      </c>
      <c r="AG115" s="9">
        <v>36</v>
      </c>
      <c r="AH115" s="9">
        <v>4</v>
      </c>
      <c r="AI115" s="9">
        <v>4</v>
      </c>
      <c r="AJ115" s="9">
        <v>6</v>
      </c>
      <c r="AK115" s="9">
        <v>20</v>
      </c>
      <c r="AL115" s="9" t="s">
        <v>4715</v>
      </c>
      <c r="AM115" s="9" t="s">
        <v>4716</v>
      </c>
      <c r="AN115" s="9" t="s">
        <v>4717</v>
      </c>
      <c r="AO115" s="9" t="s">
        <v>4718</v>
      </c>
      <c r="AP115" s="9" t="s">
        <v>4719</v>
      </c>
      <c r="AQ115" s="9" t="s">
        <v>74</v>
      </c>
      <c r="AR115" s="9" t="s">
        <v>4720</v>
      </c>
      <c r="AS115" s="9" t="s">
        <v>4721</v>
      </c>
      <c r="AT115" s="9" t="s">
        <v>1904</v>
      </c>
      <c r="AU115" s="9">
        <v>2022</v>
      </c>
      <c r="AV115" s="9">
        <v>49</v>
      </c>
      <c r="AW115" s="9">
        <v>2</v>
      </c>
      <c r="AX115" s="9" t="s">
        <v>74</v>
      </c>
      <c r="AY115" s="9" t="s">
        <v>74</v>
      </c>
      <c r="AZ115" s="9" t="s">
        <v>74</v>
      </c>
      <c r="BA115" s="9" t="s">
        <v>74</v>
      </c>
      <c r="BB115" s="9">
        <v>171</v>
      </c>
      <c r="BC115" s="9">
        <v>182</v>
      </c>
      <c r="BD115" s="9" t="s">
        <v>74</v>
      </c>
      <c r="BE115" s="9" t="s">
        <v>4722</v>
      </c>
      <c r="BF115" s="9">
        <v>0</v>
      </c>
      <c r="BG115" s="9" t="s">
        <v>74</v>
      </c>
      <c r="BH115" s="9" t="s">
        <v>74</v>
      </c>
      <c r="BI115" s="9">
        <v>12</v>
      </c>
      <c r="BJ115" s="9" t="s">
        <v>1684</v>
      </c>
      <c r="BK115" s="9" t="s">
        <v>102</v>
      </c>
      <c r="BL115" s="9" t="s">
        <v>1685</v>
      </c>
      <c r="BM115" s="9" t="s">
        <v>4723</v>
      </c>
      <c r="BN115" s="9" t="s">
        <v>74</v>
      </c>
      <c r="BO115" s="9" t="s">
        <v>74</v>
      </c>
      <c r="BP115" s="9" t="s">
        <v>74</v>
      </c>
      <c r="BQ115" s="9" t="s">
        <v>74</v>
      </c>
      <c r="BR115" s="9" t="s">
        <v>12946</v>
      </c>
      <c r="BS115" s="9" t="s">
        <v>4724</v>
      </c>
      <c r="BT115" s="9">
        <v>0</v>
      </c>
    </row>
    <row r="116" spans="1:72" x14ac:dyDescent="0.25">
      <c r="A116" s="9" t="s">
        <v>72</v>
      </c>
      <c r="B116" s="9" t="s">
        <v>4909</v>
      </c>
      <c r="C116" s="9" t="s">
        <v>74</v>
      </c>
      <c r="D116" s="9" t="s">
        <v>74</v>
      </c>
      <c r="E116" s="9" t="s">
        <v>74</v>
      </c>
      <c r="F116" s="9" t="s">
        <v>4910</v>
      </c>
      <c r="G116" s="9" t="s">
        <v>74</v>
      </c>
      <c r="H116" s="9" t="s">
        <v>74</v>
      </c>
      <c r="I116" s="9" t="s">
        <v>4911</v>
      </c>
      <c r="J116" s="9" t="s">
        <v>2140</v>
      </c>
      <c r="K116" s="9" t="s">
        <v>74</v>
      </c>
      <c r="L116" s="9" t="s">
        <v>74</v>
      </c>
      <c r="M116" s="9" t="s">
        <v>78</v>
      </c>
      <c r="N116" s="9" t="s">
        <v>79</v>
      </c>
      <c r="O116" s="9" t="s">
        <v>74</v>
      </c>
      <c r="P116" s="9" t="s">
        <v>74</v>
      </c>
      <c r="Q116" s="9" t="s">
        <v>74</v>
      </c>
      <c r="R116" s="9" t="s">
        <v>74</v>
      </c>
      <c r="S116" s="9" t="s">
        <v>74</v>
      </c>
      <c r="T116" s="9" t="s">
        <v>4912</v>
      </c>
      <c r="U116" s="9" t="s">
        <v>4913</v>
      </c>
      <c r="V116" s="9" t="s">
        <v>4914</v>
      </c>
      <c r="W116" s="9" t="s">
        <v>4915</v>
      </c>
      <c r="X116" s="9" t="s">
        <v>4916</v>
      </c>
      <c r="Y116" s="9" t="s">
        <v>4917</v>
      </c>
      <c r="Z116" s="9" t="s">
        <v>4918</v>
      </c>
      <c r="AA116" s="9" t="s">
        <v>74</v>
      </c>
      <c r="AB116" s="9" t="s">
        <v>4919</v>
      </c>
      <c r="AC116" s="9" t="s">
        <v>4920</v>
      </c>
      <c r="AD116" s="9" t="s">
        <v>4921</v>
      </c>
      <c r="AE116" s="9" t="s">
        <v>4922</v>
      </c>
      <c r="AF116" s="9" t="s">
        <v>74</v>
      </c>
      <c r="AG116" s="9">
        <v>43</v>
      </c>
      <c r="AH116" s="9">
        <v>4</v>
      </c>
      <c r="AI116" s="9">
        <v>4</v>
      </c>
      <c r="AJ116" s="9">
        <v>9</v>
      </c>
      <c r="AK116" s="9">
        <v>79</v>
      </c>
      <c r="AL116" s="9" t="s">
        <v>2153</v>
      </c>
      <c r="AM116" s="9" t="s">
        <v>2154</v>
      </c>
      <c r="AN116" s="9" t="s">
        <v>2155</v>
      </c>
      <c r="AO116" s="9" t="s">
        <v>2156</v>
      </c>
      <c r="AP116" s="9" t="s">
        <v>74</v>
      </c>
      <c r="AQ116" s="9" t="s">
        <v>74</v>
      </c>
      <c r="AR116" s="9" t="s">
        <v>2140</v>
      </c>
      <c r="AS116" s="9" t="s">
        <v>2157</v>
      </c>
      <c r="AT116" s="9" t="s">
        <v>74</v>
      </c>
      <c r="AU116" s="9">
        <v>2022</v>
      </c>
      <c r="AV116" s="9">
        <v>10</v>
      </c>
      <c r="AW116" s="9" t="s">
        <v>74</v>
      </c>
      <c r="AX116" s="9" t="s">
        <v>74</v>
      </c>
      <c r="AY116" s="9" t="s">
        <v>74</v>
      </c>
      <c r="AZ116" s="9" t="s">
        <v>74</v>
      </c>
      <c r="BA116" s="9" t="s">
        <v>74</v>
      </c>
      <c r="BB116" s="9">
        <v>42961</v>
      </c>
      <c r="BC116" s="9">
        <v>42970</v>
      </c>
      <c r="BD116" s="9" t="s">
        <v>74</v>
      </c>
      <c r="BE116" s="9" t="s">
        <v>4923</v>
      </c>
      <c r="BF116" s="9">
        <v>0</v>
      </c>
      <c r="BG116" s="9" t="s">
        <v>74</v>
      </c>
      <c r="BH116" s="9" t="s">
        <v>74</v>
      </c>
      <c r="BI116" s="9">
        <v>10</v>
      </c>
      <c r="BJ116" s="9" t="s">
        <v>2159</v>
      </c>
      <c r="BK116" s="9" t="s">
        <v>211</v>
      </c>
      <c r="BL116" s="9" t="s">
        <v>2160</v>
      </c>
      <c r="BM116" s="9" t="s">
        <v>4924</v>
      </c>
      <c r="BN116" s="9" t="s">
        <v>74</v>
      </c>
      <c r="BO116" s="9" t="s">
        <v>186</v>
      </c>
      <c r="BP116" s="9" t="s">
        <v>74</v>
      </c>
      <c r="BQ116" s="9" t="s">
        <v>74</v>
      </c>
      <c r="BR116" s="9" t="s">
        <v>12946</v>
      </c>
      <c r="BS116" s="9" t="s">
        <v>4925</v>
      </c>
      <c r="BT116" s="9">
        <v>0</v>
      </c>
    </row>
    <row r="117" spans="1:72" x14ac:dyDescent="0.25">
      <c r="A117" s="9" t="s">
        <v>72</v>
      </c>
      <c r="B117" s="9" t="s">
        <v>6326</v>
      </c>
      <c r="C117" s="9" t="s">
        <v>74</v>
      </c>
      <c r="D117" s="9" t="s">
        <v>74</v>
      </c>
      <c r="E117" s="9" t="s">
        <v>74</v>
      </c>
      <c r="F117" s="9" t="s">
        <v>6327</v>
      </c>
      <c r="G117" s="9" t="s">
        <v>74</v>
      </c>
      <c r="H117" s="9" t="s">
        <v>74</v>
      </c>
      <c r="I117" s="9" t="s">
        <v>6328</v>
      </c>
      <c r="J117" s="9" t="s">
        <v>6329</v>
      </c>
      <c r="K117" s="9" t="s">
        <v>74</v>
      </c>
      <c r="L117" s="9" t="s">
        <v>74</v>
      </c>
      <c r="M117" s="9" t="s">
        <v>78</v>
      </c>
      <c r="N117" s="9" t="s">
        <v>79</v>
      </c>
      <c r="O117" s="9" t="s">
        <v>74</v>
      </c>
      <c r="P117" s="9" t="s">
        <v>74</v>
      </c>
      <c r="Q117" s="9" t="s">
        <v>74</v>
      </c>
      <c r="R117" s="9" t="s">
        <v>74</v>
      </c>
      <c r="S117" s="9" t="s">
        <v>74</v>
      </c>
      <c r="T117" s="9" t="s">
        <v>6330</v>
      </c>
      <c r="U117" s="9" t="s">
        <v>74</v>
      </c>
      <c r="V117" s="9" t="s">
        <v>6331</v>
      </c>
      <c r="W117" s="9" t="s">
        <v>6332</v>
      </c>
      <c r="X117" s="9" t="s">
        <v>6333</v>
      </c>
      <c r="Y117" s="9" t="s">
        <v>6334</v>
      </c>
      <c r="Z117" s="9" t="s">
        <v>6335</v>
      </c>
      <c r="AA117" s="9" t="s">
        <v>13086</v>
      </c>
      <c r="AB117" s="9" t="s">
        <v>6336</v>
      </c>
      <c r="AC117" s="9" t="s">
        <v>74</v>
      </c>
      <c r="AD117" s="9" t="s">
        <v>74</v>
      </c>
      <c r="AE117" s="9" t="s">
        <v>74</v>
      </c>
      <c r="AF117" s="9" t="s">
        <v>74</v>
      </c>
      <c r="AG117" s="9">
        <v>35</v>
      </c>
      <c r="AH117" s="9">
        <v>4</v>
      </c>
      <c r="AI117" s="9">
        <v>4</v>
      </c>
      <c r="AJ117" s="9">
        <v>5</v>
      </c>
      <c r="AK117" s="9">
        <v>48</v>
      </c>
      <c r="AL117" s="9" t="s">
        <v>715</v>
      </c>
      <c r="AM117" s="9" t="s">
        <v>4411</v>
      </c>
      <c r="AN117" s="9" t="s">
        <v>12985</v>
      </c>
      <c r="AO117" s="9" t="s">
        <v>6337</v>
      </c>
      <c r="AP117" s="9" t="s">
        <v>6338</v>
      </c>
      <c r="AQ117" s="9" t="s">
        <v>74</v>
      </c>
      <c r="AR117" s="9" t="s">
        <v>6339</v>
      </c>
      <c r="AS117" s="9" t="s">
        <v>6340</v>
      </c>
      <c r="AT117" s="9" t="s">
        <v>1138</v>
      </c>
      <c r="AU117" s="9">
        <v>2021</v>
      </c>
      <c r="AV117" s="9">
        <v>29</v>
      </c>
      <c r="AW117" s="9">
        <v>2</v>
      </c>
      <c r="AX117" s="9" t="s">
        <v>74</v>
      </c>
      <c r="AY117" s="9" t="s">
        <v>74</v>
      </c>
      <c r="AZ117" s="9" t="s">
        <v>74</v>
      </c>
      <c r="BA117" s="9" t="s">
        <v>74</v>
      </c>
      <c r="BB117" s="9">
        <v>33</v>
      </c>
      <c r="BC117" s="9">
        <v>62</v>
      </c>
      <c r="BD117" s="9" t="s">
        <v>74</v>
      </c>
      <c r="BE117" s="9" t="s">
        <v>6341</v>
      </c>
      <c r="BF117" s="9">
        <v>0</v>
      </c>
      <c r="BG117" s="9" t="s">
        <v>74</v>
      </c>
      <c r="BH117" s="9" t="s">
        <v>74</v>
      </c>
      <c r="BI117" s="9">
        <v>30</v>
      </c>
      <c r="BJ117" s="9" t="s">
        <v>315</v>
      </c>
      <c r="BK117" s="9" t="s">
        <v>183</v>
      </c>
      <c r="BL117" s="9" t="s">
        <v>265</v>
      </c>
      <c r="BM117" s="9" t="s">
        <v>6342</v>
      </c>
      <c r="BN117" s="9" t="s">
        <v>74</v>
      </c>
      <c r="BO117" s="9" t="s">
        <v>186</v>
      </c>
      <c r="BP117" s="9" t="s">
        <v>74</v>
      </c>
      <c r="BQ117" s="9" t="s">
        <v>74</v>
      </c>
      <c r="BR117" s="9" t="s">
        <v>12946</v>
      </c>
      <c r="BS117" s="9" t="s">
        <v>6343</v>
      </c>
      <c r="BT117" s="9">
        <v>0</v>
      </c>
    </row>
    <row r="118" spans="1:72" x14ac:dyDescent="0.25">
      <c r="A118" s="9" t="s">
        <v>72</v>
      </c>
      <c r="B118" s="9" t="s">
        <v>6527</v>
      </c>
      <c r="C118" s="9" t="s">
        <v>74</v>
      </c>
      <c r="D118" s="9" t="s">
        <v>74</v>
      </c>
      <c r="E118" s="9" t="s">
        <v>74</v>
      </c>
      <c r="F118" s="9" t="s">
        <v>6528</v>
      </c>
      <c r="G118" s="9" t="s">
        <v>74</v>
      </c>
      <c r="H118" s="9" t="s">
        <v>74</v>
      </c>
      <c r="I118" s="9" t="s">
        <v>6529</v>
      </c>
      <c r="J118" s="9" t="s">
        <v>6530</v>
      </c>
      <c r="K118" s="9" t="s">
        <v>74</v>
      </c>
      <c r="L118" s="9" t="s">
        <v>74</v>
      </c>
      <c r="M118" s="9" t="s">
        <v>78</v>
      </c>
      <c r="N118" s="9" t="s">
        <v>79</v>
      </c>
      <c r="O118" s="9" t="s">
        <v>74</v>
      </c>
      <c r="P118" s="9" t="s">
        <v>74</v>
      </c>
      <c r="Q118" s="9" t="s">
        <v>74</v>
      </c>
      <c r="R118" s="9" t="s">
        <v>74</v>
      </c>
      <c r="S118" s="9" t="s">
        <v>74</v>
      </c>
      <c r="T118" s="9" t="s">
        <v>6531</v>
      </c>
      <c r="U118" s="9" t="s">
        <v>74</v>
      </c>
      <c r="V118" s="9" t="s">
        <v>6532</v>
      </c>
      <c r="W118" s="9" t="s">
        <v>6533</v>
      </c>
      <c r="X118" s="9" t="s">
        <v>5974</v>
      </c>
      <c r="Y118" s="9" t="s">
        <v>6534</v>
      </c>
      <c r="Z118" s="9" t="s">
        <v>6535</v>
      </c>
      <c r="AA118" s="9" t="s">
        <v>13087</v>
      </c>
      <c r="AB118" s="9" t="s">
        <v>13088</v>
      </c>
      <c r="AC118" s="9" t="s">
        <v>6538</v>
      </c>
      <c r="AD118" s="9" t="s">
        <v>6539</v>
      </c>
      <c r="AE118" s="9" t="s">
        <v>6540</v>
      </c>
      <c r="AF118" s="9" t="s">
        <v>74</v>
      </c>
      <c r="AG118" s="9">
        <v>55</v>
      </c>
      <c r="AH118" s="9">
        <v>4</v>
      </c>
      <c r="AI118" s="9">
        <v>4</v>
      </c>
      <c r="AJ118" s="9">
        <v>4</v>
      </c>
      <c r="AK118" s="9">
        <v>31</v>
      </c>
      <c r="AL118" s="9" t="s">
        <v>715</v>
      </c>
      <c r="AM118" s="9" t="s">
        <v>716</v>
      </c>
      <c r="AN118" s="9" t="s">
        <v>717</v>
      </c>
      <c r="AO118" s="9" t="s">
        <v>6541</v>
      </c>
      <c r="AP118" s="9" t="s">
        <v>6542</v>
      </c>
      <c r="AQ118" s="9" t="s">
        <v>74</v>
      </c>
      <c r="AR118" s="9" t="s">
        <v>6543</v>
      </c>
      <c r="AS118" s="9" t="s">
        <v>6544</v>
      </c>
      <c r="AT118" s="9" t="s">
        <v>6545</v>
      </c>
      <c r="AU118" s="9">
        <v>2021</v>
      </c>
      <c r="AV118" s="9">
        <v>70</v>
      </c>
      <c r="AW118" s="9">
        <v>5</v>
      </c>
      <c r="AX118" s="9" t="s">
        <v>74</v>
      </c>
      <c r="AY118" s="9" t="s">
        <v>74</v>
      </c>
      <c r="AZ118" s="9" t="s">
        <v>74</v>
      </c>
      <c r="BA118" s="9" t="s">
        <v>74</v>
      </c>
      <c r="BB118" s="9">
        <v>1072</v>
      </c>
      <c r="BC118" s="9">
        <v>1091</v>
      </c>
      <c r="BD118" s="9" t="s">
        <v>74</v>
      </c>
      <c r="BE118" s="9" t="s">
        <v>6546</v>
      </c>
      <c r="BF118" s="9">
        <v>0</v>
      </c>
      <c r="BG118" s="9" t="s">
        <v>74</v>
      </c>
      <c r="BH118" s="9" t="s">
        <v>6460</v>
      </c>
      <c r="BI118" s="9">
        <v>20</v>
      </c>
      <c r="BJ118" s="9" t="s">
        <v>315</v>
      </c>
      <c r="BK118" s="9" t="s">
        <v>183</v>
      </c>
      <c r="BL118" s="9" t="s">
        <v>265</v>
      </c>
      <c r="BM118" s="9" t="s">
        <v>6547</v>
      </c>
      <c r="BN118" s="9" t="s">
        <v>74</v>
      </c>
      <c r="BO118" s="9" t="s">
        <v>74</v>
      </c>
      <c r="BP118" s="9" t="s">
        <v>74</v>
      </c>
      <c r="BQ118" s="9" t="s">
        <v>74</v>
      </c>
      <c r="BR118" s="9" t="s">
        <v>12946</v>
      </c>
      <c r="BS118" s="9" t="s">
        <v>6548</v>
      </c>
      <c r="BT118" s="9">
        <v>0</v>
      </c>
    </row>
    <row r="119" spans="1:72" x14ac:dyDescent="0.25">
      <c r="A119" s="9" t="s">
        <v>72</v>
      </c>
      <c r="B119" s="9" t="s">
        <v>6783</v>
      </c>
      <c r="C119" s="9" t="s">
        <v>74</v>
      </c>
      <c r="D119" s="9" t="s">
        <v>74</v>
      </c>
      <c r="E119" s="9" t="s">
        <v>74</v>
      </c>
      <c r="F119" s="9" t="s">
        <v>6784</v>
      </c>
      <c r="G119" s="9" t="s">
        <v>74</v>
      </c>
      <c r="H119" s="9" t="s">
        <v>74</v>
      </c>
      <c r="I119" s="9" t="s">
        <v>6785</v>
      </c>
      <c r="J119" s="9" t="s">
        <v>6786</v>
      </c>
      <c r="K119" s="9" t="s">
        <v>74</v>
      </c>
      <c r="L119" s="9" t="s">
        <v>74</v>
      </c>
      <c r="M119" s="9" t="s">
        <v>78</v>
      </c>
      <c r="N119" s="9" t="s">
        <v>79</v>
      </c>
      <c r="O119" s="9" t="s">
        <v>74</v>
      </c>
      <c r="P119" s="9" t="s">
        <v>74</v>
      </c>
      <c r="Q119" s="9" t="s">
        <v>74</v>
      </c>
      <c r="R119" s="9" t="s">
        <v>74</v>
      </c>
      <c r="S119" s="9" t="s">
        <v>74</v>
      </c>
      <c r="T119" s="9" t="s">
        <v>6787</v>
      </c>
      <c r="U119" s="9" t="s">
        <v>74</v>
      </c>
      <c r="V119" s="9" t="s">
        <v>6788</v>
      </c>
      <c r="W119" s="9" t="s">
        <v>6789</v>
      </c>
      <c r="X119" s="9" t="s">
        <v>13089</v>
      </c>
      <c r="Y119" s="9" t="s">
        <v>6790</v>
      </c>
      <c r="Z119" s="9" t="s">
        <v>6791</v>
      </c>
      <c r="AA119" s="9" t="s">
        <v>74</v>
      </c>
      <c r="AB119" s="9" t="s">
        <v>74</v>
      </c>
      <c r="AC119" s="9" t="s">
        <v>74</v>
      </c>
      <c r="AD119" s="9" t="s">
        <v>74</v>
      </c>
      <c r="AE119" s="9" t="s">
        <v>74</v>
      </c>
      <c r="AF119" s="9" t="s">
        <v>74</v>
      </c>
      <c r="AG119" s="9">
        <v>76</v>
      </c>
      <c r="AH119" s="9">
        <v>4</v>
      </c>
      <c r="AI119" s="9">
        <v>4</v>
      </c>
      <c r="AJ119" s="9">
        <v>1</v>
      </c>
      <c r="AK119" s="9">
        <v>18</v>
      </c>
      <c r="AL119" s="9" t="s">
        <v>254</v>
      </c>
      <c r="AM119" s="9" t="s">
        <v>255</v>
      </c>
      <c r="AN119" s="9" t="s">
        <v>256</v>
      </c>
      <c r="AO119" s="9" t="s">
        <v>6792</v>
      </c>
      <c r="AP119" s="9" t="s">
        <v>6793</v>
      </c>
      <c r="AQ119" s="9" t="s">
        <v>74</v>
      </c>
      <c r="AR119" s="9" t="s">
        <v>6794</v>
      </c>
      <c r="AS119" s="9" t="s">
        <v>6795</v>
      </c>
      <c r="AT119" s="9" t="s">
        <v>1904</v>
      </c>
      <c r="AU119" s="9">
        <v>2021</v>
      </c>
      <c r="AV119" s="9">
        <v>30</v>
      </c>
      <c r="AW119" s="9">
        <v>1</v>
      </c>
      <c r="AX119" s="9" t="s">
        <v>74</v>
      </c>
      <c r="AY119" s="9" t="s">
        <v>74</v>
      </c>
      <c r="AZ119" s="9" t="s">
        <v>74</v>
      </c>
      <c r="BA119" s="9" t="s">
        <v>74</v>
      </c>
      <c r="BB119" s="9">
        <v>59</v>
      </c>
      <c r="BC119" s="9">
        <v>84</v>
      </c>
      <c r="BD119" s="9" t="s">
        <v>74</v>
      </c>
      <c r="BE119" s="9" t="s">
        <v>6796</v>
      </c>
      <c r="BF119" s="9">
        <v>0</v>
      </c>
      <c r="BG119" s="9" t="s">
        <v>74</v>
      </c>
      <c r="BH119" s="9" t="s">
        <v>6797</v>
      </c>
      <c r="BI119" s="9">
        <v>26</v>
      </c>
      <c r="BJ119" s="9" t="s">
        <v>6503</v>
      </c>
      <c r="BK119" s="9" t="s">
        <v>102</v>
      </c>
      <c r="BL119" s="9" t="s">
        <v>6503</v>
      </c>
      <c r="BM119" s="9" t="s">
        <v>6798</v>
      </c>
      <c r="BN119" s="9" t="s">
        <v>74</v>
      </c>
      <c r="BO119" s="9" t="s">
        <v>74</v>
      </c>
      <c r="BP119" s="9" t="s">
        <v>74</v>
      </c>
      <c r="BQ119" s="9" t="s">
        <v>74</v>
      </c>
      <c r="BR119" s="9" t="s">
        <v>12946</v>
      </c>
      <c r="BS119" s="9" t="s">
        <v>6799</v>
      </c>
      <c r="BT119" s="9">
        <v>0</v>
      </c>
    </row>
    <row r="120" spans="1:72" x14ac:dyDescent="0.25">
      <c r="A120" s="9" t="s">
        <v>72</v>
      </c>
      <c r="B120" s="9" t="s">
        <v>445</v>
      </c>
      <c r="C120" s="9" t="s">
        <v>74</v>
      </c>
      <c r="D120" s="9" t="s">
        <v>74</v>
      </c>
      <c r="E120" s="9" t="s">
        <v>74</v>
      </c>
      <c r="F120" s="9" t="s">
        <v>446</v>
      </c>
      <c r="G120" s="9" t="s">
        <v>74</v>
      </c>
      <c r="H120" s="9" t="s">
        <v>74</v>
      </c>
      <c r="I120" s="9" t="s">
        <v>447</v>
      </c>
      <c r="J120" s="9" t="s">
        <v>191</v>
      </c>
      <c r="K120" s="9" t="s">
        <v>74</v>
      </c>
      <c r="L120" s="9" t="s">
        <v>74</v>
      </c>
      <c r="M120" s="9" t="s">
        <v>78</v>
      </c>
      <c r="N120" s="9" t="s">
        <v>79</v>
      </c>
      <c r="O120" s="9" t="s">
        <v>74</v>
      </c>
      <c r="P120" s="9" t="s">
        <v>74</v>
      </c>
      <c r="Q120" s="9" t="s">
        <v>74</v>
      </c>
      <c r="R120" s="9" t="s">
        <v>74</v>
      </c>
      <c r="S120" s="9" t="s">
        <v>74</v>
      </c>
      <c r="T120" s="9" t="s">
        <v>448</v>
      </c>
      <c r="U120" s="9" t="s">
        <v>74</v>
      </c>
      <c r="V120" s="9" t="s">
        <v>449</v>
      </c>
      <c r="W120" s="9" t="s">
        <v>450</v>
      </c>
      <c r="X120" s="9" t="s">
        <v>451</v>
      </c>
      <c r="Y120" s="9" t="s">
        <v>452</v>
      </c>
      <c r="Z120" s="9" t="s">
        <v>453</v>
      </c>
      <c r="AA120" s="9" t="s">
        <v>74</v>
      </c>
      <c r="AB120" s="9" t="s">
        <v>13090</v>
      </c>
      <c r="AC120" s="9" t="s">
        <v>454</v>
      </c>
      <c r="AD120" s="9" t="s">
        <v>454</v>
      </c>
      <c r="AE120" s="9" t="s">
        <v>454</v>
      </c>
      <c r="AF120" s="9" t="s">
        <v>74</v>
      </c>
      <c r="AG120" s="9">
        <v>47</v>
      </c>
      <c r="AH120" s="9">
        <v>3</v>
      </c>
      <c r="AI120" s="9">
        <v>3</v>
      </c>
      <c r="AJ120" s="9">
        <v>64</v>
      </c>
      <c r="AK120" s="9">
        <v>134</v>
      </c>
      <c r="AL120" s="9" t="s">
        <v>202</v>
      </c>
      <c r="AM120" s="9" t="s">
        <v>203</v>
      </c>
      <c r="AN120" s="9" t="s">
        <v>204</v>
      </c>
      <c r="AO120" s="9" t="s">
        <v>74</v>
      </c>
      <c r="AP120" s="9" t="s">
        <v>205</v>
      </c>
      <c r="AQ120" s="9" t="s">
        <v>74</v>
      </c>
      <c r="AR120" s="9" t="s">
        <v>206</v>
      </c>
      <c r="AS120" s="9" t="s">
        <v>207</v>
      </c>
      <c r="AT120" s="9" t="s">
        <v>356</v>
      </c>
      <c r="AU120" s="9">
        <v>2023</v>
      </c>
      <c r="AV120" s="9">
        <v>15</v>
      </c>
      <c r="AW120" s="9">
        <v>18</v>
      </c>
      <c r="AX120" s="9" t="s">
        <v>74</v>
      </c>
      <c r="AY120" s="9" t="s">
        <v>74</v>
      </c>
      <c r="AZ120" s="9" t="s">
        <v>74</v>
      </c>
      <c r="BA120" s="9" t="s">
        <v>74</v>
      </c>
      <c r="BB120" s="9" t="s">
        <v>74</v>
      </c>
      <c r="BC120" s="9" t="s">
        <v>74</v>
      </c>
      <c r="BD120" s="9">
        <v>13607</v>
      </c>
      <c r="BE120" s="9" t="s">
        <v>455</v>
      </c>
      <c r="BF120" s="9">
        <v>0</v>
      </c>
      <c r="BG120" s="9" t="s">
        <v>74</v>
      </c>
      <c r="BH120" s="9" t="s">
        <v>74</v>
      </c>
      <c r="BI120" s="9">
        <v>16</v>
      </c>
      <c r="BJ120" s="9" t="s">
        <v>210</v>
      </c>
      <c r="BK120" s="9" t="s">
        <v>211</v>
      </c>
      <c r="BL120" s="9" t="s">
        <v>212</v>
      </c>
      <c r="BM120" s="9" t="s">
        <v>456</v>
      </c>
      <c r="BN120" s="9" t="s">
        <v>74</v>
      </c>
      <c r="BO120" s="9" t="s">
        <v>186</v>
      </c>
      <c r="BP120" s="9" t="s">
        <v>74</v>
      </c>
      <c r="BQ120" s="9" t="s">
        <v>74</v>
      </c>
      <c r="BR120" s="9" t="s">
        <v>12946</v>
      </c>
      <c r="BS120" s="9" t="s">
        <v>457</v>
      </c>
      <c r="BT120" s="9">
        <v>0</v>
      </c>
    </row>
    <row r="121" spans="1:72" x14ac:dyDescent="0.25">
      <c r="A121" s="9" t="s">
        <v>72</v>
      </c>
      <c r="B121" s="9" t="s">
        <v>1268</v>
      </c>
      <c r="C121" s="9" t="s">
        <v>74</v>
      </c>
      <c r="D121" s="9" t="s">
        <v>74</v>
      </c>
      <c r="E121" s="9" t="s">
        <v>74</v>
      </c>
      <c r="F121" s="9" t="s">
        <v>1269</v>
      </c>
      <c r="G121" s="9" t="s">
        <v>74</v>
      </c>
      <c r="H121" s="9" t="s">
        <v>74</v>
      </c>
      <c r="I121" s="9" t="s">
        <v>1270</v>
      </c>
      <c r="J121" s="9" t="s">
        <v>866</v>
      </c>
      <c r="K121" s="9" t="s">
        <v>74</v>
      </c>
      <c r="L121" s="9" t="s">
        <v>74</v>
      </c>
      <c r="M121" s="9" t="s">
        <v>78</v>
      </c>
      <c r="N121" s="9" t="s">
        <v>79</v>
      </c>
      <c r="O121" s="9" t="s">
        <v>74</v>
      </c>
      <c r="P121" s="9" t="s">
        <v>74</v>
      </c>
      <c r="Q121" s="9" t="s">
        <v>74</v>
      </c>
      <c r="R121" s="9" t="s">
        <v>74</v>
      </c>
      <c r="S121" s="9" t="s">
        <v>74</v>
      </c>
      <c r="T121" s="9" t="s">
        <v>1271</v>
      </c>
      <c r="U121" s="9" t="s">
        <v>74</v>
      </c>
      <c r="V121" s="9" t="s">
        <v>1272</v>
      </c>
      <c r="W121" s="9" t="s">
        <v>1273</v>
      </c>
      <c r="X121" s="9" t="s">
        <v>1274</v>
      </c>
      <c r="Y121" s="9" t="s">
        <v>1275</v>
      </c>
      <c r="Z121" s="9" t="s">
        <v>1276</v>
      </c>
      <c r="AA121" s="9" t="s">
        <v>74</v>
      </c>
      <c r="AB121" s="9" t="s">
        <v>74</v>
      </c>
      <c r="AC121" s="9" t="s">
        <v>1277</v>
      </c>
      <c r="AD121" s="9" t="s">
        <v>1278</v>
      </c>
      <c r="AE121" s="9" t="s">
        <v>1279</v>
      </c>
      <c r="AF121" s="9" t="s">
        <v>74</v>
      </c>
      <c r="AG121" s="9">
        <v>46</v>
      </c>
      <c r="AH121" s="9">
        <v>3</v>
      </c>
      <c r="AI121" s="9">
        <v>3</v>
      </c>
      <c r="AJ121" s="9">
        <v>29</v>
      </c>
      <c r="AK121" s="9">
        <v>82</v>
      </c>
      <c r="AL121" s="9" t="s">
        <v>877</v>
      </c>
      <c r="AM121" s="9" t="s">
        <v>878</v>
      </c>
      <c r="AN121" s="9" t="s">
        <v>879</v>
      </c>
      <c r="AO121" s="9" t="s">
        <v>74</v>
      </c>
      <c r="AP121" s="9" t="s">
        <v>880</v>
      </c>
      <c r="AQ121" s="9" t="s">
        <v>74</v>
      </c>
      <c r="AR121" s="9" t="s">
        <v>866</v>
      </c>
      <c r="AS121" s="9" t="s">
        <v>881</v>
      </c>
      <c r="AT121" s="9" t="s">
        <v>1280</v>
      </c>
      <c r="AU121" s="9">
        <v>2023</v>
      </c>
      <c r="AV121" s="9">
        <v>9</v>
      </c>
      <c r="AW121" s="9">
        <v>5</v>
      </c>
      <c r="AX121" s="9" t="s">
        <v>74</v>
      </c>
      <c r="AY121" s="9" t="s">
        <v>74</v>
      </c>
      <c r="AZ121" s="9" t="s">
        <v>74</v>
      </c>
      <c r="BA121" s="9" t="s">
        <v>74</v>
      </c>
      <c r="BB121" s="9" t="s">
        <v>74</v>
      </c>
      <c r="BC121" s="9" t="s">
        <v>74</v>
      </c>
      <c r="BD121" s="9" t="s">
        <v>1281</v>
      </c>
      <c r="BE121" s="9" t="s">
        <v>1282</v>
      </c>
      <c r="BF121" s="9">
        <v>0</v>
      </c>
      <c r="BG121" s="9" t="s">
        <v>74</v>
      </c>
      <c r="BH121" s="9" t="s">
        <v>1181</v>
      </c>
      <c r="BI121" s="9">
        <v>12</v>
      </c>
      <c r="BJ121" s="9" t="s">
        <v>700</v>
      </c>
      <c r="BK121" s="9" t="s">
        <v>102</v>
      </c>
      <c r="BL121" s="9" t="s">
        <v>701</v>
      </c>
      <c r="BM121" s="9" t="s">
        <v>1283</v>
      </c>
      <c r="BN121" s="9">
        <v>37251887</v>
      </c>
      <c r="BO121" s="9" t="s">
        <v>422</v>
      </c>
      <c r="BP121" s="9" t="s">
        <v>74</v>
      </c>
      <c r="BQ121" s="9" t="s">
        <v>74</v>
      </c>
      <c r="BR121" s="9" t="s">
        <v>12946</v>
      </c>
      <c r="BS121" s="9" t="s">
        <v>1284</v>
      </c>
      <c r="BT121" s="9">
        <v>0</v>
      </c>
    </row>
    <row r="122" spans="1:72" x14ac:dyDescent="0.25">
      <c r="A122" s="9" t="s">
        <v>72</v>
      </c>
      <c r="B122" s="9" t="s">
        <v>2915</v>
      </c>
      <c r="C122" s="9" t="s">
        <v>74</v>
      </c>
      <c r="D122" s="9" t="s">
        <v>74</v>
      </c>
      <c r="E122" s="9" t="s">
        <v>74</v>
      </c>
      <c r="F122" s="9" t="s">
        <v>2916</v>
      </c>
      <c r="G122" s="9" t="s">
        <v>74</v>
      </c>
      <c r="H122" s="9" t="s">
        <v>74</v>
      </c>
      <c r="I122" s="9" t="s">
        <v>2917</v>
      </c>
      <c r="J122" s="9" t="s">
        <v>191</v>
      </c>
      <c r="K122" s="9" t="s">
        <v>74</v>
      </c>
      <c r="L122" s="9" t="s">
        <v>74</v>
      </c>
      <c r="M122" s="9" t="s">
        <v>78</v>
      </c>
      <c r="N122" s="9" t="s">
        <v>79</v>
      </c>
      <c r="O122" s="9" t="s">
        <v>74</v>
      </c>
      <c r="P122" s="9" t="s">
        <v>74</v>
      </c>
      <c r="Q122" s="9" t="s">
        <v>74</v>
      </c>
      <c r="R122" s="9" t="s">
        <v>74</v>
      </c>
      <c r="S122" s="9" t="s">
        <v>74</v>
      </c>
      <c r="T122" s="9" t="s">
        <v>2918</v>
      </c>
      <c r="U122" s="9" t="s">
        <v>2919</v>
      </c>
      <c r="V122" s="9" t="s">
        <v>2920</v>
      </c>
      <c r="W122" s="9" t="s">
        <v>2921</v>
      </c>
      <c r="X122" s="9" t="s">
        <v>2922</v>
      </c>
      <c r="Y122" s="9" t="s">
        <v>2923</v>
      </c>
      <c r="Z122" s="9" t="s">
        <v>2924</v>
      </c>
      <c r="AA122" s="9" t="s">
        <v>13091</v>
      </c>
      <c r="AB122" s="9" t="s">
        <v>2925</v>
      </c>
      <c r="AC122" s="9" t="s">
        <v>2926</v>
      </c>
      <c r="AD122" s="9" t="s">
        <v>2927</v>
      </c>
      <c r="AE122" s="9" t="s">
        <v>2928</v>
      </c>
      <c r="AF122" s="9" t="s">
        <v>74</v>
      </c>
      <c r="AG122" s="9">
        <v>74</v>
      </c>
      <c r="AH122" s="9">
        <v>3</v>
      </c>
      <c r="AI122" s="9">
        <v>3</v>
      </c>
      <c r="AJ122" s="9">
        <v>15</v>
      </c>
      <c r="AK122" s="9">
        <v>83</v>
      </c>
      <c r="AL122" s="9" t="s">
        <v>202</v>
      </c>
      <c r="AM122" s="9" t="s">
        <v>203</v>
      </c>
      <c r="AN122" s="9" t="s">
        <v>204</v>
      </c>
      <c r="AO122" s="9" t="s">
        <v>74</v>
      </c>
      <c r="AP122" s="9" t="s">
        <v>205</v>
      </c>
      <c r="AQ122" s="9" t="s">
        <v>74</v>
      </c>
      <c r="AR122" s="9" t="s">
        <v>206</v>
      </c>
      <c r="AS122" s="9" t="s">
        <v>207</v>
      </c>
      <c r="AT122" s="9" t="s">
        <v>208</v>
      </c>
      <c r="AU122" s="9">
        <v>2022</v>
      </c>
      <c r="AV122" s="9">
        <v>14</v>
      </c>
      <c r="AW122" s="9">
        <v>19</v>
      </c>
      <c r="AX122" s="9" t="s">
        <v>74</v>
      </c>
      <c r="AY122" s="9" t="s">
        <v>74</v>
      </c>
      <c r="AZ122" s="9" t="s">
        <v>74</v>
      </c>
      <c r="BA122" s="9" t="s">
        <v>74</v>
      </c>
      <c r="BB122" s="9" t="s">
        <v>74</v>
      </c>
      <c r="BC122" s="9" t="s">
        <v>74</v>
      </c>
      <c r="BD122" s="9">
        <v>11954</v>
      </c>
      <c r="BE122" s="9" t="s">
        <v>2929</v>
      </c>
      <c r="BF122" s="9">
        <v>0</v>
      </c>
      <c r="BG122" s="9" t="s">
        <v>74</v>
      </c>
      <c r="BH122" s="9" t="s">
        <v>74</v>
      </c>
      <c r="BI122" s="9">
        <v>18</v>
      </c>
      <c r="BJ122" s="9" t="s">
        <v>210</v>
      </c>
      <c r="BK122" s="9" t="s">
        <v>211</v>
      </c>
      <c r="BL122" s="9" t="s">
        <v>212</v>
      </c>
      <c r="BM122" s="9" t="s">
        <v>2930</v>
      </c>
      <c r="BN122" s="9" t="s">
        <v>74</v>
      </c>
      <c r="BO122" s="9" t="s">
        <v>186</v>
      </c>
      <c r="BP122" s="9" t="s">
        <v>74</v>
      </c>
      <c r="BQ122" s="9" t="s">
        <v>74</v>
      </c>
      <c r="BR122" s="9" t="s">
        <v>12946</v>
      </c>
      <c r="BS122" s="9" t="s">
        <v>2931</v>
      </c>
      <c r="BT122" s="9">
        <v>0</v>
      </c>
    </row>
    <row r="123" spans="1:72" x14ac:dyDescent="0.25">
      <c r="A123" s="9" t="s">
        <v>72</v>
      </c>
      <c r="B123" s="9" t="s">
        <v>2948</v>
      </c>
      <c r="C123" s="9" t="s">
        <v>74</v>
      </c>
      <c r="D123" s="9" t="s">
        <v>74</v>
      </c>
      <c r="E123" s="9" t="s">
        <v>74</v>
      </c>
      <c r="F123" s="9" t="s">
        <v>2949</v>
      </c>
      <c r="G123" s="9" t="s">
        <v>74</v>
      </c>
      <c r="H123" s="9" t="s">
        <v>74</v>
      </c>
      <c r="I123" s="9" t="s">
        <v>2950</v>
      </c>
      <c r="J123" s="9" t="s">
        <v>191</v>
      </c>
      <c r="K123" s="9" t="s">
        <v>74</v>
      </c>
      <c r="L123" s="9" t="s">
        <v>74</v>
      </c>
      <c r="M123" s="9" t="s">
        <v>78</v>
      </c>
      <c r="N123" s="9" t="s">
        <v>79</v>
      </c>
      <c r="O123" s="9" t="s">
        <v>74</v>
      </c>
      <c r="P123" s="9" t="s">
        <v>74</v>
      </c>
      <c r="Q123" s="9" t="s">
        <v>74</v>
      </c>
      <c r="R123" s="9" t="s">
        <v>74</v>
      </c>
      <c r="S123" s="9" t="s">
        <v>74</v>
      </c>
      <c r="T123" s="9" t="s">
        <v>2951</v>
      </c>
      <c r="U123" s="9" t="s">
        <v>2952</v>
      </c>
      <c r="V123" s="9" t="s">
        <v>2953</v>
      </c>
      <c r="W123" s="9" t="s">
        <v>2954</v>
      </c>
      <c r="X123" s="9" t="s">
        <v>2955</v>
      </c>
      <c r="Y123" s="9" t="s">
        <v>2956</v>
      </c>
      <c r="Z123" s="9" t="s">
        <v>2957</v>
      </c>
      <c r="AA123" s="9" t="s">
        <v>13092</v>
      </c>
      <c r="AB123" s="9" t="s">
        <v>13093</v>
      </c>
      <c r="AC123" s="9" t="s">
        <v>2960</v>
      </c>
      <c r="AD123" s="9" t="s">
        <v>2961</v>
      </c>
      <c r="AE123" s="9" t="s">
        <v>2962</v>
      </c>
      <c r="AF123" s="9" t="s">
        <v>74</v>
      </c>
      <c r="AG123" s="9">
        <v>91</v>
      </c>
      <c r="AH123" s="9">
        <v>3</v>
      </c>
      <c r="AI123" s="9">
        <v>3</v>
      </c>
      <c r="AJ123" s="9">
        <v>1</v>
      </c>
      <c r="AK123" s="9">
        <v>16</v>
      </c>
      <c r="AL123" s="9" t="s">
        <v>202</v>
      </c>
      <c r="AM123" s="9" t="s">
        <v>203</v>
      </c>
      <c r="AN123" s="9" t="s">
        <v>204</v>
      </c>
      <c r="AO123" s="9" t="s">
        <v>74</v>
      </c>
      <c r="AP123" s="9" t="s">
        <v>205</v>
      </c>
      <c r="AQ123" s="9" t="s">
        <v>74</v>
      </c>
      <c r="AR123" s="9" t="s">
        <v>206</v>
      </c>
      <c r="AS123" s="9" t="s">
        <v>207</v>
      </c>
      <c r="AT123" s="9" t="s">
        <v>208</v>
      </c>
      <c r="AU123" s="9">
        <v>2022</v>
      </c>
      <c r="AV123" s="9">
        <v>14</v>
      </c>
      <c r="AW123" s="9">
        <v>20</v>
      </c>
      <c r="AX123" s="9" t="s">
        <v>74</v>
      </c>
      <c r="AY123" s="9" t="s">
        <v>74</v>
      </c>
      <c r="AZ123" s="9" t="s">
        <v>74</v>
      </c>
      <c r="BA123" s="9" t="s">
        <v>74</v>
      </c>
      <c r="BB123" s="9" t="s">
        <v>74</v>
      </c>
      <c r="BC123" s="9" t="s">
        <v>74</v>
      </c>
      <c r="BD123" s="9">
        <v>13636</v>
      </c>
      <c r="BE123" s="9" t="s">
        <v>2963</v>
      </c>
      <c r="BF123" s="9">
        <v>0</v>
      </c>
      <c r="BG123" s="9" t="s">
        <v>74</v>
      </c>
      <c r="BH123" s="9" t="s">
        <v>74</v>
      </c>
      <c r="BI123" s="9">
        <v>21</v>
      </c>
      <c r="BJ123" s="9" t="s">
        <v>210</v>
      </c>
      <c r="BK123" s="9" t="s">
        <v>211</v>
      </c>
      <c r="BL123" s="9" t="s">
        <v>212</v>
      </c>
      <c r="BM123" s="9" t="s">
        <v>2964</v>
      </c>
      <c r="BN123" s="9" t="s">
        <v>74</v>
      </c>
      <c r="BO123" s="9" t="s">
        <v>186</v>
      </c>
      <c r="BP123" s="9" t="s">
        <v>74</v>
      </c>
      <c r="BQ123" s="9" t="s">
        <v>74</v>
      </c>
      <c r="BR123" s="9" t="s">
        <v>12946</v>
      </c>
      <c r="BS123" s="9" t="s">
        <v>2965</v>
      </c>
      <c r="BT123" s="9">
        <v>0</v>
      </c>
    </row>
    <row r="124" spans="1:72" x14ac:dyDescent="0.25">
      <c r="A124" s="9" t="s">
        <v>72</v>
      </c>
      <c r="B124" s="9" t="s">
        <v>3647</v>
      </c>
      <c r="C124" s="9" t="s">
        <v>74</v>
      </c>
      <c r="D124" s="9" t="s">
        <v>74</v>
      </c>
      <c r="E124" s="9" t="s">
        <v>74</v>
      </c>
      <c r="F124" s="9" t="s">
        <v>3648</v>
      </c>
      <c r="G124" s="9" t="s">
        <v>74</v>
      </c>
      <c r="H124" s="9" t="s">
        <v>74</v>
      </c>
      <c r="I124" s="9" t="s">
        <v>3649</v>
      </c>
      <c r="J124" s="9" t="s">
        <v>1911</v>
      </c>
      <c r="K124" s="9" t="s">
        <v>74</v>
      </c>
      <c r="L124" s="9" t="s">
        <v>74</v>
      </c>
      <c r="M124" s="9" t="s">
        <v>78</v>
      </c>
      <c r="N124" s="9" t="s">
        <v>79</v>
      </c>
      <c r="O124" s="9" t="s">
        <v>74</v>
      </c>
      <c r="P124" s="9" t="s">
        <v>74</v>
      </c>
      <c r="Q124" s="9" t="s">
        <v>74</v>
      </c>
      <c r="R124" s="9" t="s">
        <v>74</v>
      </c>
      <c r="S124" s="9" t="s">
        <v>74</v>
      </c>
      <c r="T124" s="9" t="s">
        <v>3650</v>
      </c>
      <c r="U124" s="9" t="s">
        <v>3651</v>
      </c>
      <c r="V124" s="9" t="s">
        <v>3652</v>
      </c>
      <c r="W124" s="9" t="s">
        <v>3653</v>
      </c>
      <c r="X124" s="9" t="s">
        <v>3654</v>
      </c>
      <c r="Y124" s="9" t="s">
        <v>3655</v>
      </c>
      <c r="Z124" s="9" t="s">
        <v>3656</v>
      </c>
      <c r="AA124" s="9" t="s">
        <v>13094</v>
      </c>
      <c r="AB124" s="9" t="s">
        <v>3657</v>
      </c>
      <c r="AC124" s="9" t="s">
        <v>74</v>
      </c>
      <c r="AD124" s="9" t="s">
        <v>74</v>
      </c>
      <c r="AE124" s="9" t="s">
        <v>74</v>
      </c>
      <c r="AF124" s="9" t="s">
        <v>74</v>
      </c>
      <c r="AG124" s="9">
        <v>84</v>
      </c>
      <c r="AH124" s="9">
        <v>3</v>
      </c>
      <c r="AI124" s="9">
        <v>3</v>
      </c>
      <c r="AJ124" s="9">
        <v>6</v>
      </c>
      <c r="AK124" s="9">
        <v>64</v>
      </c>
      <c r="AL124" s="9" t="s">
        <v>1919</v>
      </c>
      <c r="AM124" s="9" t="s">
        <v>1920</v>
      </c>
      <c r="AN124" s="9" t="s">
        <v>1921</v>
      </c>
      <c r="AO124" s="9" t="s">
        <v>1922</v>
      </c>
      <c r="AP124" s="9" t="s">
        <v>1923</v>
      </c>
      <c r="AQ124" s="9" t="s">
        <v>74</v>
      </c>
      <c r="AR124" s="9" t="s">
        <v>1924</v>
      </c>
      <c r="AS124" s="9" t="s">
        <v>1925</v>
      </c>
      <c r="AT124" s="9" t="s">
        <v>1448</v>
      </c>
      <c r="AU124" s="9">
        <v>2022</v>
      </c>
      <c r="AV124" s="9">
        <v>26</v>
      </c>
      <c r="AW124" s="9">
        <v>3</v>
      </c>
      <c r="AX124" s="9" t="s">
        <v>74</v>
      </c>
      <c r="AY124" s="9" t="s">
        <v>74</v>
      </c>
      <c r="AZ124" s="9" t="s">
        <v>74</v>
      </c>
      <c r="BA124" s="9" t="s">
        <v>74</v>
      </c>
      <c r="BB124" s="9" t="s">
        <v>74</v>
      </c>
      <c r="BC124" s="9" t="s">
        <v>74</v>
      </c>
      <c r="BD124" s="9">
        <v>2240019</v>
      </c>
      <c r="BE124" s="9" t="s">
        <v>3658</v>
      </c>
      <c r="BF124" s="9">
        <v>0</v>
      </c>
      <c r="BG124" s="9" t="s">
        <v>74</v>
      </c>
      <c r="BH124" s="9" t="s">
        <v>3464</v>
      </c>
      <c r="BI124" s="9">
        <v>27</v>
      </c>
      <c r="BJ124" s="9" t="s">
        <v>315</v>
      </c>
      <c r="BK124" s="9" t="s">
        <v>183</v>
      </c>
      <c r="BL124" s="9" t="s">
        <v>265</v>
      </c>
      <c r="BM124" s="9" t="s">
        <v>3659</v>
      </c>
      <c r="BN124" s="9" t="s">
        <v>74</v>
      </c>
      <c r="BO124" s="9" t="s">
        <v>74</v>
      </c>
      <c r="BP124" s="9" t="s">
        <v>74</v>
      </c>
      <c r="BQ124" s="9" t="s">
        <v>74</v>
      </c>
      <c r="BR124" s="9" t="s">
        <v>12946</v>
      </c>
      <c r="BS124" s="9" t="s">
        <v>3660</v>
      </c>
      <c r="BT124" s="9">
        <v>0</v>
      </c>
    </row>
    <row r="125" spans="1:72" x14ac:dyDescent="0.25">
      <c r="A125" s="9" t="s">
        <v>72</v>
      </c>
      <c r="B125" s="9" t="s">
        <v>5266</v>
      </c>
      <c r="C125" s="9" t="s">
        <v>74</v>
      </c>
      <c r="D125" s="9" t="s">
        <v>74</v>
      </c>
      <c r="E125" s="9" t="s">
        <v>74</v>
      </c>
      <c r="F125" s="9" t="s">
        <v>5267</v>
      </c>
      <c r="G125" s="9" t="s">
        <v>74</v>
      </c>
      <c r="H125" s="9" t="s">
        <v>74</v>
      </c>
      <c r="I125" s="9" t="s">
        <v>5268</v>
      </c>
      <c r="J125" s="9" t="s">
        <v>5269</v>
      </c>
      <c r="K125" s="9" t="s">
        <v>74</v>
      </c>
      <c r="L125" s="9" t="s">
        <v>74</v>
      </c>
      <c r="M125" s="9" t="s">
        <v>78</v>
      </c>
      <c r="N125" s="9" t="s">
        <v>79</v>
      </c>
      <c r="O125" s="9" t="s">
        <v>74</v>
      </c>
      <c r="P125" s="9" t="s">
        <v>74</v>
      </c>
      <c r="Q125" s="9" t="s">
        <v>74</v>
      </c>
      <c r="R125" s="9" t="s">
        <v>74</v>
      </c>
      <c r="S125" s="9" t="s">
        <v>74</v>
      </c>
      <c r="T125" s="9" t="s">
        <v>5270</v>
      </c>
      <c r="U125" s="9" t="s">
        <v>74</v>
      </c>
      <c r="V125" s="9" t="s">
        <v>5271</v>
      </c>
      <c r="W125" s="9" t="s">
        <v>5272</v>
      </c>
      <c r="X125" s="9" t="s">
        <v>5273</v>
      </c>
      <c r="Y125" s="9" t="s">
        <v>5274</v>
      </c>
      <c r="Z125" s="9" t="s">
        <v>5275</v>
      </c>
      <c r="AA125" s="9" t="s">
        <v>13095</v>
      </c>
      <c r="AB125" s="9" t="s">
        <v>74</v>
      </c>
      <c r="AC125" s="9" t="s">
        <v>5278</v>
      </c>
      <c r="AD125" s="9" t="s">
        <v>5279</v>
      </c>
      <c r="AE125" s="9" t="s">
        <v>5280</v>
      </c>
      <c r="AF125" s="9" t="s">
        <v>74</v>
      </c>
      <c r="AG125" s="9">
        <v>34</v>
      </c>
      <c r="AH125" s="9">
        <v>3</v>
      </c>
      <c r="AI125" s="9">
        <v>3</v>
      </c>
      <c r="AJ125" s="9">
        <v>4</v>
      </c>
      <c r="AK125" s="9">
        <v>12</v>
      </c>
      <c r="AL125" s="9" t="s">
        <v>5281</v>
      </c>
      <c r="AM125" s="9" t="s">
        <v>5282</v>
      </c>
      <c r="AN125" s="9" t="s">
        <v>5283</v>
      </c>
      <c r="AO125" s="9" t="s">
        <v>5284</v>
      </c>
      <c r="AP125" s="9" t="s">
        <v>74</v>
      </c>
      <c r="AQ125" s="9" t="s">
        <v>74</v>
      </c>
      <c r="AR125" s="9" t="s">
        <v>5285</v>
      </c>
      <c r="AS125" s="9" t="s">
        <v>5286</v>
      </c>
      <c r="AT125" s="9" t="s">
        <v>74</v>
      </c>
      <c r="AU125" s="9">
        <v>2022</v>
      </c>
      <c r="AV125" s="9">
        <v>21</v>
      </c>
      <c r="AW125" s="9" t="s">
        <v>5287</v>
      </c>
      <c r="AX125" s="9" t="s">
        <v>74</v>
      </c>
      <c r="AY125" s="9" t="s">
        <v>74</v>
      </c>
      <c r="AZ125" s="9" t="s">
        <v>74</v>
      </c>
      <c r="BA125" s="9" t="s">
        <v>74</v>
      </c>
      <c r="BB125" s="9">
        <v>462</v>
      </c>
      <c r="BC125" s="9">
        <v>478</v>
      </c>
      <c r="BD125" s="9" t="s">
        <v>74</v>
      </c>
      <c r="BE125" s="9" t="s">
        <v>74</v>
      </c>
      <c r="BF125" s="9" t="s">
        <v>74</v>
      </c>
      <c r="BG125" s="9" t="s">
        <v>74</v>
      </c>
      <c r="BH125" s="9" t="s">
        <v>74</v>
      </c>
      <c r="BI125" s="9">
        <v>17</v>
      </c>
      <c r="BJ125" s="9" t="s">
        <v>5288</v>
      </c>
      <c r="BK125" s="9" t="s">
        <v>156</v>
      </c>
      <c r="BL125" s="9" t="s">
        <v>265</v>
      </c>
      <c r="BM125" s="9" t="s">
        <v>5289</v>
      </c>
      <c r="BN125" s="9" t="s">
        <v>74</v>
      </c>
      <c r="BO125" s="9" t="s">
        <v>74</v>
      </c>
      <c r="BP125" s="9" t="s">
        <v>74</v>
      </c>
      <c r="BQ125" s="9" t="s">
        <v>74</v>
      </c>
      <c r="BR125" s="9" t="s">
        <v>12946</v>
      </c>
      <c r="BS125" s="9" t="s">
        <v>5290</v>
      </c>
      <c r="BT125" s="9">
        <v>0</v>
      </c>
    </row>
    <row r="126" spans="1:72" x14ac:dyDescent="0.25">
      <c r="A126" s="9" t="s">
        <v>72</v>
      </c>
      <c r="B126" s="9" t="s">
        <v>7030</v>
      </c>
      <c r="C126" s="9" t="s">
        <v>74</v>
      </c>
      <c r="D126" s="9" t="s">
        <v>74</v>
      </c>
      <c r="E126" s="9" t="s">
        <v>74</v>
      </c>
      <c r="F126" s="9" t="s">
        <v>7031</v>
      </c>
      <c r="G126" s="9" t="s">
        <v>74</v>
      </c>
      <c r="H126" s="9" t="s">
        <v>74</v>
      </c>
      <c r="I126" s="9" t="s">
        <v>7032</v>
      </c>
      <c r="J126" s="9" t="s">
        <v>7033</v>
      </c>
      <c r="K126" s="9" t="s">
        <v>74</v>
      </c>
      <c r="L126" s="9" t="s">
        <v>74</v>
      </c>
      <c r="M126" s="9" t="s">
        <v>78</v>
      </c>
      <c r="N126" s="9" t="s">
        <v>79</v>
      </c>
      <c r="O126" s="9" t="s">
        <v>74</v>
      </c>
      <c r="P126" s="9" t="s">
        <v>74</v>
      </c>
      <c r="Q126" s="9" t="s">
        <v>74</v>
      </c>
      <c r="R126" s="9" t="s">
        <v>74</v>
      </c>
      <c r="S126" s="9" t="s">
        <v>74</v>
      </c>
      <c r="T126" s="9" t="s">
        <v>7034</v>
      </c>
      <c r="U126" s="9" t="s">
        <v>7035</v>
      </c>
      <c r="V126" s="9" t="s">
        <v>7036</v>
      </c>
      <c r="W126" s="9" t="s">
        <v>7037</v>
      </c>
      <c r="X126" s="9" t="s">
        <v>7038</v>
      </c>
      <c r="Y126" s="9" t="s">
        <v>7039</v>
      </c>
      <c r="Z126" s="9" t="s">
        <v>7040</v>
      </c>
      <c r="AA126" s="9" t="s">
        <v>74</v>
      </c>
      <c r="AB126" s="9" t="s">
        <v>7041</v>
      </c>
      <c r="AC126" s="9" t="s">
        <v>74</v>
      </c>
      <c r="AD126" s="9" t="s">
        <v>74</v>
      </c>
      <c r="AE126" s="9" t="s">
        <v>74</v>
      </c>
      <c r="AF126" s="9" t="s">
        <v>74</v>
      </c>
      <c r="AG126" s="9">
        <v>67</v>
      </c>
      <c r="AH126" s="9">
        <v>3</v>
      </c>
      <c r="AI126" s="9">
        <v>3</v>
      </c>
      <c r="AJ126" s="9">
        <v>6</v>
      </c>
      <c r="AK126" s="9">
        <v>29</v>
      </c>
      <c r="AL126" s="9" t="s">
        <v>7042</v>
      </c>
      <c r="AM126" s="9" t="s">
        <v>6673</v>
      </c>
      <c r="AN126" s="9" t="s">
        <v>7043</v>
      </c>
      <c r="AO126" s="9" t="s">
        <v>7044</v>
      </c>
      <c r="AP126" s="9" t="s">
        <v>7045</v>
      </c>
      <c r="AQ126" s="9" t="s">
        <v>74</v>
      </c>
      <c r="AR126" s="9" t="s">
        <v>7046</v>
      </c>
      <c r="AS126" s="9" t="s">
        <v>7047</v>
      </c>
      <c r="AT126" s="9" t="s">
        <v>74</v>
      </c>
      <c r="AU126" s="9">
        <v>2021</v>
      </c>
      <c r="AV126" s="9">
        <v>9</v>
      </c>
      <c r="AW126" s="9">
        <v>2</v>
      </c>
      <c r="AX126" s="9" t="s">
        <v>74</v>
      </c>
      <c r="AY126" s="9" t="s">
        <v>74</v>
      </c>
      <c r="AZ126" s="9" t="s">
        <v>74</v>
      </c>
      <c r="BA126" s="9" t="s">
        <v>74</v>
      </c>
      <c r="BB126" s="9">
        <v>65</v>
      </c>
      <c r="BC126" s="9">
        <v>80</v>
      </c>
      <c r="BD126" s="9" t="s">
        <v>74</v>
      </c>
      <c r="BE126" s="9" t="s">
        <v>7048</v>
      </c>
      <c r="BF126" s="9">
        <v>0</v>
      </c>
      <c r="BG126" s="9" t="s">
        <v>74</v>
      </c>
      <c r="BH126" s="9" t="s">
        <v>74</v>
      </c>
      <c r="BI126" s="9">
        <v>16</v>
      </c>
      <c r="BJ126" s="9" t="s">
        <v>2113</v>
      </c>
      <c r="BK126" s="9" t="s">
        <v>183</v>
      </c>
      <c r="BL126" s="9" t="s">
        <v>1685</v>
      </c>
      <c r="BM126" s="9" t="s">
        <v>7049</v>
      </c>
      <c r="BN126" s="9" t="s">
        <v>74</v>
      </c>
      <c r="BO126" s="9" t="s">
        <v>614</v>
      </c>
      <c r="BP126" s="9" t="s">
        <v>74</v>
      </c>
      <c r="BQ126" s="9" t="s">
        <v>74</v>
      </c>
      <c r="BR126" s="9" t="s">
        <v>12946</v>
      </c>
      <c r="BS126" s="9" t="s">
        <v>7050</v>
      </c>
      <c r="BT126" s="9">
        <v>0</v>
      </c>
    </row>
    <row r="127" spans="1:72" x14ac:dyDescent="0.25">
      <c r="A127" s="9" t="s">
        <v>72</v>
      </c>
      <c r="B127" s="9" t="s">
        <v>7468</v>
      </c>
      <c r="C127" s="9" t="s">
        <v>74</v>
      </c>
      <c r="D127" s="9" t="s">
        <v>74</v>
      </c>
      <c r="E127" s="9" t="s">
        <v>74</v>
      </c>
      <c r="F127" s="9" t="s">
        <v>7469</v>
      </c>
      <c r="G127" s="9" t="s">
        <v>74</v>
      </c>
      <c r="H127" s="9" t="s">
        <v>74</v>
      </c>
      <c r="I127" s="9" t="s">
        <v>7470</v>
      </c>
      <c r="J127" s="9" t="s">
        <v>7471</v>
      </c>
      <c r="K127" s="9" t="s">
        <v>74</v>
      </c>
      <c r="L127" s="9" t="s">
        <v>74</v>
      </c>
      <c r="M127" s="9" t="s">
        <v>78</v>
      </c>
      <c r="N127" s="9" t="s">
        <v>79</v>
      </c>
      <c r="O127" s="9" t="s">
        <v>74</v>
      </c>
      <c r="P127" s="9" t="s">
        <v>74</v>
      </c>
      <c r="Q127" s="9" t="s">
        <v>74</v>
      </c>
      <c r="R127" s="9" t="s">
        <v>74</v>
      </c>
      <c r="S127" s="9" t="s">
        <v>74</v>
      </c>
      <c r="T127" s="9" t="s">
        <v>7472</v>
      </c>
      <c r="U127" s="9" t="s">
        <v>74</v>
      </c>
      <c r="V127" s="9" t="s">
        <v>7473</v>
      </c>
      <c r="W127" s="9" t="s">
        <v>7474</v>
      </c>
      <c r="X127" s="9" t="s">
        <v>512</v>
      </c>
      <c r="Y127" s="9" t="s">
        <v>7475</v>
      </c>
      <c r="Z127" s="9" t="s">
        <v>7476</v>
      </c>
      <c r="AA127" s="9" t="s">
        <v>74</v>
      </c>
      <c r="AB127" s="9" t="s">
        <v>74</v>
      </c>
      <c r="AC127" s="9" t="s">
        <v>74</v>
      </c>
      <c r="AD127" s="9" t="s">
        <v>74</v>
      </c>
      <c r="AE127" s="9" t="s">
        <v>74</v>
      </c>
      <c r="AF127" s="9" t="s">
        <v>74</v>
      </c>
      <c r="AG127" s="9">
        <v>15</v>
      </c>
      <c r="AH127" s="9">
        <v>3</v>
      </c>
      <c r="AI127" s="9">
        <v>3</v>
      </c>
      <c r="AJ127" s="9">
        <v>1</v>
      </c>
      <c r="AK127" s="9">
        <v>45</v>
      </c>
      <c r="AL127" s="9" t="s">
        <v>7477</v>
      </c>
      <c r="AM127" s="9" t="s">
        <v>878</v>
      </c>
      <c r="AN127" s="9" t="s">
        <v>7478</v>
      </c>
      <c r="AO127" s="9" t="s">
        <v>7479</v>
      </c>
      <c r="AP127" s="9" t="s">
        <v>7480</v>
      </c>
      <c r="AQ127" s="9" t="s">
        <v>74</v>
      </c>
      <c r="AR127" s="9" t="s">
        <v>7481</v>
      </c>
      <c r="AS127" s="9" t="s">
        <v>7482</v>
      </c>
      <c r="AT127" s="9" t="s">
        <v>74</v>
      </c>
      <c r="AU127" s="9">
        <v>2021</v>
      </c>
      <c r="AV127" s="9">
        <v>88</v>
      </c>
      <c r="AW127" s="9">
        <v>3</v>
      </c>
      <c r="AX127" s="9" t="s">
        <v>74</v>
      </c>
      <c r="AY127" s="9" t="s">
        <v>74</v>
      </c>
      <c r="AZ127" s="9" t="s">
        <v>74</v>
      </c>
      <c r="BA127" s="9" t="s">
        <v>74</v>
      </c>
      <c r="BB127" s="9">
        <v>147</v>
      </c>
      <c r="BC127" s="9">
        <v>149</v>
      </c>
      <c r="BD127" s="9" t="s">
        <v>74</v>
      </c>
      <c r="BE127" s="9" t="s">
        <v>74</v>
      </c>
      <c r="BF127" s="9" t="s">
        <v>74</v>
      </c>
      <c r="BG127" s="9" t="s">
        <v>74</v>
      </c>
      <c r="BH127" s="9" t="s">
        <v>74</v>
      </c>
      <c r="BI127" s="9">
        <v>3</v>
      </c>
      <c r="BJ127" s="9" t="s">
        <v>7483</v>
      </c>
      <c r="BK127" s="9" t="s">
        <v>183</v>
      </c>
      <c r="BL127" s="9" t="s">
        <v>1685</v>
      </c>
      <c r="BM127" s="9" t="s">
        <v>7484</v>
      </c>
      <c r="BN127" s="9" t="s">
        <v>74</v>
      </c>
      <c r="BO127" s="9" t="s">
        <v>74</v>
      </c>
      <c r="BP127" s="9" t="s">
        <v>74</v>
      </c>
      <c r="BQ127" s="9" t="s">
        <v>74</v>
      </c>
      <c r="BR127" s="9" t="s">
        <v>12946</v>
      </c>
      <c r="BS127" s="9" t="s">
        <v>7485</v>
      </c>
      <c r="BT127" s="9">
        <v>0</v>
      </c>
    </row>
    <row r="128" spans="1:72" x14ac:dyDescent="0.25">
      <c r="A128" s="9" t="s">
        <v>7120</v>
      </c>
      <c r="B128" s="9" t="s">
        <v>1625</v>
      </c>
      <c r="C128" s="9" t="s">
        <v>74</v>
      </c>
      <c r="D128" s="9" t="s">
        <v>9288</v>
      </c>
      <c r="E128" s="9" t="s">
        <v>74</v>
      </c>
      <c r="F128" s="9" t="s">
        <v>1626</v>
      </c>
      <c r="G128" s="9" t="s">
        <v>74</v>
      </c>
      <c r="H128" s="9" t="s">
        <v>74</v>
      </c>
      <c r="I128" s="9" t="s">
        <v>9289</v>
      </c>
      <c r="J128" s="9" t="s">
        <v>9290</v>
      </c>
      <c r="K128" s="9" t="s">
        <v>9291</v>
      </c>
      <c r="L128" s="9" t="s">
        <v>74</v>
      </c>
      <c r="M128" s="9" t="s">
        <v>78</v>
      </c>
      <c r="N128" s="9" t="s">
        <v>4932</v>
      </c>
      <c r="O128" s="9" t="s">
        <v>74</v>
      </c>
      <c r="P128" s="9" t="s">
        <v>74</v>
      </c>
      <c r="Q128" s="9" t="s">
        <v>74</v>
      </c>
      <c r="R128" s="9" t="s">
        <v>74</v>
      </c>
      <c r="S128" s="9" t="s">
        <v>74</v>
      </c>
      <c r="T128" s="9" t="s">
        <v>9292</v>
      </c>
      <c r="U128" s="9" t="s">
        <v>9293</v>
      </c>
      <c r="V128" s="9" t="s">
        <v>9294</v>
      </c>
      <c r="W128" s="9" t="s">
        <v>9295</v>
      </c>
      <c r="X128" s="9" t="s">
        <v>9296</v>
      </c>
      <c r="Y128" s="9" t="s">
        <v>9297</v>
      </c>
      <c r="Z128" s="9" t="s">
        <v>74</v>
      </c>
      <c r="AA128" s="9" t="s">
        <v>13096</v>
      </c>
      <c r="AB128" s="9" t="s">
        <v>1635</v>
      </c>
      <c r="AC128" s="9" t="s">
        <v>74</v>
      </c>
      <c r="AD128" s="9" t="s">
        <v>74</v>
      </c>
      <c r="AE128" s="9" t="s">
        <v>74</v>
      </c>
      <c r="AF128" s="9" t="s">
        <v>74</v>
      </c>
      <c r="AG128" s="9">
        <v>100</v>
      </c>
      <c r="AH128" s="9">
        <v>3</v>
      </c>
      <c r="AI128" s="9">
        <v>3</v>
      </c>
      <c r="AJ128" s="9">
        <v>1</v>
      </c>
      <c r="AK128" s="9">
        <v>11</v>
      </c>
      <c r="AL128" s="9" t="s">
        <v>715</v>
      </c>
      <c r="AM128" s="9" t="s">
        <v>716</v>
      </c>
      <c r="AN128" s="9" t="s">
        <v>9298</v>
      </c>
      <c r="AO128" s="9" t="s">
        <v>9299</v>
      </c>
      <c r="AP128" s="9" t="s">
        <v>74</v>
      </c>
      <c r="AQ128" s="9" t="s">
        <v>9300</v>
      </c>
      <c r="AR128" s="9" t="s">
        <v>9301</v>
      </c>
      <c r="AS128" s="9" t="s">
        <v>74</v>
      </c>
      <c r="AT128" s="9" t="s">
        <v>74</v>
      </c>
      <c r="AU128" s="9">
        <v>2019</v>
      </c>
      <c r="AV128" s="9">
        <v>64</v>
      </c>
      <c r="AW128" s="9" t="s">
        <v>74</v>
      </c>
      <c r="AX128" s="9" t="s">
        <v>74</v>
      </c>
      <c r="AY128" s="9" t="s">
        <v>74</v>
      </c>
      <c r="AZ128" s="9" t="s">
        <v>74</v>
      </c>
      <c r="BA128" s="9" t="s">
        <v>74</v>
      </c>
      <c r="BB128" s="9">
        <v>91</v>
      </c>
      <c r="BC128" s="9">
        <v>115</v>
      </c>
      <c r="BD128" s="9" t="s">
        <v>74</v>
      </c>
      <c r="BE128" s="9" t="s">
        <v>9302</v>
      </c>
      <c r="BF128" s="9">
        <v>0</v>
      </c>
      <c r="BG128" s="9" t="s">
        <v>74</v>
      </c>
      <c r="BH128" s="9" t="s">
        <v>74</v>
      </c>
      <c r="BI128" s="9">
        <v>25</v>
      </c>
      <c r="BJ128" s="9" t="s">
        <v>9303</v>
      </c>
      <c r="BK128" s="9" t="s">
        <v>4943</v>
      </c>
      <c r="BL128" s="9" t="s">
        <v>9304</v>
      </c>
      <c r="BM128" s="9" t="s">
        <v>9305</v>
      </c>
      <c r="BN128" s="9" t="s">
        <v>74</v>
      </c>
      <c r="BO128" s="9" t="s">
        <v>2623</v>
      </c>
      <c r="BP128" s="9" t="s">
        <v>74</v>
      </c>
      <c r="BQ128" s="9" t="s">
        <v>74</v>
      </c>
      <c r="BR128" s="9" t="s">
        <v>12946</v>
      </c>
      <c r="BS128" s="9" t="s">
        <v>9306</v>
      </c>
      <c r="BT128" s="9">
        <v>0</v>
      </c>
    </row>
    <row r="129" spans="1:72" x14ac:dyDescent="0.25">
      <c r="A129" s="9" t="s">
        <v>72</v>
      </c>
      <c r="B129" s="9" t="s">
        <v>12764</v>
      </c>
      <c r="C129" s="9" t="s">
        <v>74</v>
      </c>
      <c r="D129" s="9" t="s">
        <v>74</v>
      </c>
      <c r="E129" s="9" t="s">
        <v>74</v>
      </c>
      <c r="F129" s="9" t="s">
        <v>12765</v>
      </c>
      <c r="G129" s="9" t="s">
        <v>74</v>
      </c>
      <c r="H129" s="9" t="s">
        <v>74</v>
      </c>
      <c r="I129" s="9" t="s">
        <v>12766</v>
      </c>
      <c r="J129" s="9" t="s">
        <v>12767</v>
      </c>
      <c r="K129" s="9" t="s">
        <v>74</v>
      </c>
      <c r="L129" s="9" t="s">
        <v>74</v>
      </c>
      <c r="M129" s="9" t="s">
        <v>78</v>
      </c>
      <c r="N129" s="9" t="s">
        <v>79</v>
      </c>
      <c r="O129" s="9" t="s">
        <v>74</v>
      </c>
      <c r="P129" s="9" t="s">
        <v>74</v>
      </c>
      <c r="Q129" s="9" t="s">
        <v>74</v>
      </c>
      <c r="R129" s="9" t="s">
        <v>74</v>
      </c>
      <c r="S129" s="9" t="s">
        <v>74</v>
      </c>
      <c r="T129" s="9" t="s">
        <v>74</v>
      </c>
      <c r="U129" s="9" t="s">
        <v>74</v>
      </c>
      <c r="V129" s="9" t="s">
        <v>12768</v>
      </c>
      <c r="W129" s="9" t="s">
        <v>12769</v>
      </c>
      <c r="X129" s="9" t="s">
        <v>12770</v>
      </c>
      <c r="Y129" s="9" t="s">
        <v>12771</v>
      </c>
      <c r="Z129" s="9" t="s">
        <v>12772</v>
      </c>
      <c r="AA129" s="9" t="s">
        <v>74</v>
      </c>
      <c r="AB129" s="9" t="s">
        <v>74</v>
      </c>
      <c r="AC129" s="9" t="s">
        <v>74</v>
      </c>
      <c r="AD129" s="9" t="s">
        <v>74</v>
      </c>
      <c r="AE129" s="9" t="s">
        <v>74</v>
      </c>
      <c r="AF129" s="9" t="s">
        <v>74</v>
      </c>
      <c r="AG129" s="9">
        <v>18</v>
      </c>
      <c r="AH129" s="9">
        <v>3</v>
      </c>
      <c r="AI129" s="9">
        <v>3</v>
      </c>
      <c r="AJ129" s="9">
        <v>0</v>
      </c>
      <c r="AK129" s="9">
        <v>10</v>
      </c>
      <c r="AL129" s="9" t="s">
        <v>12773</v>
      </c>
      <c r="AM129" s="9" t="s">
        <v>12774</v>
      </c>
      <c r="AN129" s="9" t="s">
        <v>12775</v>
      </c>
      <c r="AO129" s="9" t="s">
        <v>12776</v>
      </c>
      <c r="AP129" s="9" t="s">
        <v>12777</v>
      </c>
      <c r="AQ129" s="9" t="s">
        <v>74</v>
      </c>
      <c r="AR129" s="9" t="s">
        <v>12778</v>
      </c>
      <c r="AS129" s="9" t="s">
        <v>12779</v>
      </c>
      <c r="AT129" s="9" t="s">
        <v>74</v>
      </c>
      <c r="AU129" s="9">
        <v>2007</v>
      </c>
      <c r="AV129" s="9">
        <v>154</v>
      </c>
      <c r="AW129" s="9">
        <v>7</v>
      </c>
      <c r="AX129" s="9" t="s">
        <v>74</v>
      </c>
      <c r="AY129" s="9" t="s">
        <v>74</v>
      </c>
      <c r="AZ129" s="9" t="s">
        <v>74</v>
      </c>
      <c r="BA129" s="9" t="s">
        <v>74</v>
      </c>
      <c r="BB129" s="9" t="s">
        <v>12780</v>
      </c>
      <c r="BC129" s="9" t="s">
        <v>12781</v>
      </c>
      <c r="BD129" s="9" t="s">
        <v>74</v>
      </c>
      <c r="BE129" s="9" t="s">
        <v>12782</v>
      </c>
      <c r="BF129" s="9">
        <v>0</v>
      </c>
      <c r="BG129" s="9" t="s">
        <v>74</v>
      </c>
      <c r="BH129" s="9" t="s">
        <v>74</v>
      </c>
      <c r="BI129" s="9">
        <v>6</v>
      </c>
      <c r="BJ129" s="9" t="s">
        <v>12783</v>
      </c>
      <c r="BK129" s="9" t="s">
        <v>102</v>
      </c>
      <c r="BL129" s="9" t="s">
        <v>12784</v>
      </c>
      <c r="BM129" s="9" t="s">
        <v>12785</v>
      </c>
      <c r="BN129" s="9" t="s">
        <v>74</v>
      </c>
      <c r="BO129" s="9" t="s">
        <v>74</v>
      </c>
      <c r="BP129" s="9" t="s">
        <v>74</v>
      </c>
      <c r="BQ129" s="9" t="s">
        <v>74</v>
      </c>
      <c r="BR129" s="9" t="s">
        <v>12946</v>
      </c>
      <c r="BS129" s="9" t="s">
        <v>12786</v>
      </c>
      <c r="BT129" s="9">
        <v>0</v>
      </c>
    </row>
    <row r="130" spans="1:72" x14ac:dyDescent="0.25">
      <c r="A130" s="9" t="s">
        <v>72</v>
      </c>
      <c r="B130" s="9" t="s">
        <v>1329</v>
      </c>
      <c r="C130" s="9" t="s">
        <v>74</v>
      </c>
      <c r="D130" s="9" t="s">
        <v>74</v>
      </c>
      <c r="E130" s="9" t="s">
        <v>74</v>
      </c>
      <c r="F130" s="9" t="s">
        <v>1330</v>
      </c>
      <c r="G130" s="9" t="s">
        <v>74</v>
      </c>
      <c r="H130" s="9" t="s">
        <v>74</v>
      </c>
      <c r="I130" s="9" t="s">
        <v>1331</v>
      </c>
      <c r="J130" s="9" t="s">
        <v>1332</v>
      </c>
      <c r="K130" s="9" t="s">
        <v>74</v>
      </c>
      <c r="L130" s="9" t="s">
        <v>74</v>
      </c>
      <c r="M130" s="9" t="s">
        <v>78</v>
      </c>
      <c r="N130" s="9" t="s">
        <v>79</v>
      </c>
      <c r="O130" s="9" t="s">
        <v>74</v>
      </c>
      <c r="P130" s="9" t="s">
        <v>74</v>
      </c>
      <c r="Q130" s="9" t="s">
        <v>74</v>
      </c>
      <c r="R130" s="9" t="s">
        <v>74</v>
      </c>
      <c r="S130" s="9" t="s">
        <v>74</v>
      </c>
      <c r="T130" s="9" t="s">
        <v>1333</v>
      </c>
      <c r="U130" s="9" t="s">
        <v>74</v>
      </c>
      <c r="V130" s="9" t="s">
        <v>1334</v>
      </c>
      <c r="W130" s="9" t="s">
        <v>1335</v>
      </c>
      <c r="X130" s="9" t="s">
        <v>13097</v>
      </c>
      <c r="Y130" s="9" t="s">
        <v>1337</v>
      </c>
      <c r="Z130" s="9" t="s">
        <v>1338</v>
      </c>
      <c r="AA130" s="9" t="s">
        <v>13098</v>
      </c>
      <c r="AB130" s="9" t="s">
        <v>13099</v>
      </c>
      <c r="AC130" s="9" t="s">
        <v>74</v>
      </c>
      <c r="AD130" s="9" t="s">
        <v>74</v>
      </c>
      <c r="AE130" s="9" t="s">
        <v>74</v>
      </c>
      <c r="AF130" s="9" t="s">
        <v>74</v>
      </c>
      <c r="AG130" s="9">
        <v>37</v>
      </c>
      <c r="AH130" s="9">
        <v>2</v>
      </c>
      <c r="AI130" s="9">
        <v>2</v>
      </c>
      <c r="AJ130" s="9">
        <v>2</v>
      </c>
      <c r="AK130" s="9">
        <v>8</v>
      </c>
      <c r="AL130" s="9" t="s">
        <v>1341</v>
      </c>
      <c r="AM130" s="9" t="s">
        <v>1342</v>
      </c>
      <c r="AN130" s="9" t="s">
        <v>1343</v>
      </c>
      <c r="AO130" s="9" t="s">
        <v>1344</v>
      </c>
      <c r="AP130" s="9" t="s">
        <v>1345</v>
      </c>
      <c r="AQ130" s="9" t="s">
        <v>74</v>
      </c>
      <c r="AR130" s="9" t="s">
        <v>1346</v>
      </c>
      <c r="AS130" s="9" t="s">
        <v>1347</v>
      </c>
      <c r="AT130" s="9" t="s">
        <v>1348</v>
      </c>
      <c r="AU130" s="9">
        <v>2023</v>
      </c>
      <c r="AV130" s="9">
        <v>14</v>
      </c>
      <c r="AW130" s="9">
        <v>40</v>
      </c>
      <c r="AX130" s="9" t="s">
        <v>74</v>
      </c>
      <c r="AY130" s="9" t="s">
        <v>74</v>
      </c>
      <c r="AZ130" s="9" t="s">
        <v>74</v>
      </c>
      <c r="BA130" s="9" t="s">
        <v>74</v>
      </c>
      <c r="BB130" s="9">
        <v>486</v>
      </c>
      <c r="BC130" s="9">
        <v>505</v>
      </c>
      <c r="BD130" s="9" t="s">
        <v>74</v>
      </c>
      <c r="BE130" s="9" t="s">
        <v>1349</v>
      </c>
      <c r="BF130" s="9">
        <v>0</v>
      </c>
      <c r="BG130" s="9" t="s">
        <v>74</v>
      </c>
      <c r="BH130" s="9" t="s">
        <v>74</v>
      </c>
      <c r="BI130" s="9">
        <v>21</v>
      </c>
      <c r="BJ130" s="9" t="s">
        <v>942</v>
      </c>
      <c r="BK130" s="9" t="s">
        <v>183</v>
      </c>
      <c r="BL130" s="9" t="s">
        <v>943</v>
      </c>
      <c r="BM130" s="9" t="s">
        <v>1350</v>
      </c>
      <c r="BN130" s="9" t="s">
        <v>74</v>
      </c>
      <c r="BO130" s="9" t="s">
        <v>791</v>
      </c>
      <c r="BP130" s="9" t="s">
        <v>74</v>
      </c>
      <c r="BQ130" s="9" t="s">
        <v>74</v>
      </c>
      <c r="BR130" s="9" t="s">
        <v>12946</v>
      </c>
      <c r="BS130" s="9" t="s">
        <v>1352</v>
      </c>
      <c r="BT130" s="9">
        <v>0</v>
      </c>
    </row>
    <row r="131" spans="1:72" x14ac:dyDescent="0.25">
      <c r="A131" s="9" t="s">
        <v>72</v>
      </c>
      <c r="B131" s="9" t="s">
        <v>1625</v>
      </c>
      <c r="C131" s="9" t="s">
        <v>74</v>
      </c>
      <c r="D131" s="9" t="s">
        <v>74</v>
      </c>
      <c r="E131" s="9" t="s">
        <v>74</v>
      </c>
      <c r="F131" s="9" t="s">
        <v>1626</v>
      </c>
      <c r="G131" s="9" t="s">
        <v>74</v>
      </c>
      <c r="H131" s="9" t="s">
        <v>74</v>
      </c>
      <c r="I131" s="9" t="s">
        <v>1627</v>
      </c>
      <c r="J131" s="9" t="s">
        <v>1628</v>
      </c>
      <c r="K131" s="9" t="s">
        <v>74</v>
      </c>
      <c r="L131" s="9" t="s">
        <v>74</v>
      </c>
      <c r="M131" s="9" t="s">
        <v>78</v>
      </c>
      <c r="N131" s="9" t="s">
        <v>79</v>
      </c>
      <c r="O131" s="9" t="s">
        <v>74</v>
      </c>
      <c r="P131" s="9" t="s">
        <v>74</v>
      </c>
      <c r="Q131" s="9" t="s">
        <v>74</v>
      </c>
      <c r="R131" s="9" t="s">
        <v>74</v>
      </c>
      <c r="S131" s="9" t="s">
        <v>74</v>
      </c>
      <c r="T131" s="9" t="s">
        <v>74</v>
      </c>
      <c r="U131" s="9" t="s">
        <v>1629</v>
      </c>
      <c r="V131" s="9" t="s">
        <v>1630</v>
      </c>
      <c r="W131" s="9" t="s">
        <v>1631</v>
      </c>
      <c r="X131" s="9" t="s">
        <v>1632</v>
      </c>
      <c r="Y131" s="9" t="s">
        <v>1633</v>
      </c>
      <c r="Z131" s="9" t="s">
        <v>1634</v>
      </c>
      <c r="AA131" s="9" t="s">
        <v>13096</v>
      </c>
      <c r="AB131" s="9" t="s">
        <v>1635</v>
      </c>
      <c r="AC131" s="9" t="s">
        <v>74</v>
      </c>
      <c r="AD131" s="9" t="s">
        <v>74</v>
      </c>
      <c r="AE131" s="9" t="s">
        <v>74</v>
      </c>
      <c r="AF131" s="9" t="s">
        <v>74</v>
      </c>
      <c r="AG131" s="9">
        <v>116</v>
      </c>
      <c r="AH131" s="9">
        <v>2</v>
      </c>
      <c r="AI131" s="9">
        <v>2</v>
      </c>
      <c r="AJ131" s="9">
        <v>8</v>
      </c>
      <c r="AK131" s="9">
        <v>34</v>
      </c>
      <c r="AL131" s="9" t="s">
        <v>1636</v>
      </c>
      <c r="AM131" s="9" t="s">
        <v>13100</v>
      </c>
      <c r="AN131" s="9" t="s">
        <v>13101</v>
      </c>
      <c r="AO131" s="9" t="s">
        <v>1638</v>
      </c>
      <c r="AP131" s="9" t="s">
        <v>1639</v>
      </c>
      <c r="AQ131" s="9" t="s">
        <v>74</v>
      </c>
      <c r="AR131" s="9" t="s">
        <v>1640</v>
      </c>
      <c r="AS131" s="9" t="s">
        <v>1641</v>
      </c>
      <c r="AT131" s="9" t="s">
        <v>1448</v>
      </c>
      <c r="AU131" s="9">
        <v>2023</v>
      </c>
      <c r="AV131" s="9">
        <v>56</v>
      </c>
      <c r="AW131" s="9">
        <v>2</v>
      </c>
      <c r="AX131" s="9" t="s">
        <v>74</v>
      </c>
      <c r="AY131" s="9" t="s">
        <v>74</v>
      </c>
      <c r="AZ131" s="9" t="s">
        <v>74</v>
      </c>
      <c r="BA131" s="9" t="s">
        <v>74</v>
      </c>
      <c r="BB131" s="9" t="s">
        <v>74</v>
      </c>
      <c r="BC131" s="9" t="s">
        <v>74</v>
      </c>
      <c r="BD131" s="9">
        <v>102271</v>
      </c>
      <c r="BE131" s="9" t="s">
        <v>1642</v>
      </c>
      <c r="BF131" s="9">
        <v>0</v>
      </c>
      <c r="BG131" s="9" t="s">
        <v>74</v>
      </c>
      <c r="BH131" s="9" t="s">
        <v>1476</v>
      </c>
      <c r="BI131" s="9">
        <v>18</v>
      </c>
      <c r="BJ131" s="9" t="s">
        <v>1643</v>
      </c>
      <c r="BK131" s="9" t="s">
        <v>156</v>
      </c>
      <c r="BL131" s="9" t="s">
        <v>1265</v>
      </c>
      <c r="BM131" s="9" t="s">
        <v>1644</v>
      </c>
      <c r="BN131" s="9" t="s">
        <v>74</v>
      </c>
      <c r="BO131" s="9" t="s">
        <v>105</v>
      </c>
      <c r="BP131" s="9" t="s">
        <v>74</v>
      </c>
      <c r="BQ131" s="9" t="s">
        <v>74</v>
      </c>
      <c r="BR131" s="9" t="s">
        <v>12946</v>
      </c>
      <c r="BS131" s="9" t="s">
        <v>1645</v>
      </c>
      <c r="BT131" s="9">
        <v>0</v>
      </c>
    </row>
    <row r="132" spans="1:72" x14ac:dyDescent="0.25">
      <c r="A132" s="9" t="s">
        <v>72</v>
      </c>
      <c r="B132" s="9" t="s">
        <v>2452</v>
      </c>
      <c r="C132" s="9" t="s">
        <v>74</v>
      </c>
      <c r="D132" s="9" t="s">
        <v>74</v>
      </c>
      <c r="E132" s="9" t="s">
        <v>74</v>
      </c>
      <c r="F132" s="9" t="s">
        <v>2453</v>
      </c>
      <c r="G132" s="9" t="s">
        <v>74</v>
      </c>
      <c r="H132" s="9" t="s">
        <v>74</v>
      </c>
      <c r="I132" s="9" t="s">
        <v>2454</v>
      </c>
      <c r="J132" s="9" t="s">
        <v>2455</v>
      </c>
      <c r="K132" s="9" t="s">
        <v>74</v>
      </c>
      <c r="L132" s="9" t="s">
        <v>74</v>
      </c>
      <c r="M132" s="9" t="s">
        <v>78</v>
      </c>
      <c r="N132" s="9" t="s">
        <v>79</v>
      </c>
      <c r="O132" s="9" t="s">
        <v>74</v>
      </c>
      <c r="P132" s="9" t="s">
        <v>74</v>
      </c>
      <c r="Q132" s="9" t="s">
        <v>74</v>
      </c>
      <c r="R132" s="9" t="s">
        <v>74</v>
      </c>
      <c r="S132" s="9" t="s">
        <v>74</v>
      </c>
      <c r="T132" s="9" t="s">
        <v>2456</v>
      </c>
      <c r="U132" s="9" t="s">
        <v>2457</v>
      </c>
      <c r="V132" s="9" t="s">
        <v>2458</v>
      </c>
      <c r="W132" s="9" t="s">
        <v>2459</v>
      </c>
      <c r="X132" s="9" t="s">
        <v>74</v>
      </c>
      <c r="Y132" s="9" t="s">
        <v>2460</v>
      </c>
      <c r="Z132" s="9" t="s">
        <v>2461</v>
      </c>
      <c r="AA132" s="9" t="s">
        <v>2462</v>
      </c>
      <c r="AB132" s="9" t="s">
        <v>74</v>
      </c>
      <c r="AC132" s="9" t="s">
        <v>74</v>
      </c>
      <c r="AD132" s="9" t="s">
        <v>74</v>
      </c>
      <c r="AE132" s="9" t="s">
        <v>74</v>
      </c>
      <c r="AF132" s="9" t="s">
        <v>74</v>
      </c>
      <c r="AG132" s="9">
        <v>98</v>
      </c>
      <c r="AH132" s="9">
        <v>2</v>
      </c>
      <c r="AI132" s="9">
        <v>2</v>
      </c>
      <c r="AJ132" s="9">
        <v>10</v>
      </c>
      <c r="AK132" s="9">
        <v>52</v>
      </c>
      <c r="AL132" s="9" t="s">
        <v>715</v>
      </c>
      <c r="AM132" s="9" t="s">
        <v>4411</v>
      </c>
      <c r="AN132" s="9" t="s">
        <v>12985</v>
      </c>
      <c r="AO132" s="9" t="s">
        <v>2463</v>
      </c>
      <c r="AP132" s="9" t="s">
        <v>2464</v>
      </c>
      <c r="AQ132" s="9" t="s">
        <v>74</v>
      </c>
      <c r="AR132" s="9" t="s">
        <v>2465</v>
      </c>
      <c r="AS132" s="9" t="s">
        <v>2466</v>
      </c>
      <c r="AT132" s="9" t="s">
        <v>13102</v>
      </c>
      <c r="AU132" s="9">
        <v>2024</v>
      </c>
      <c r="AV132" s="9">
        <v>27</v>
      </c>
      <c r="AW132" s="9">
        <v>4</v>
      </c>
      <c r="AX132" s="9" t="s">
        <v>74</v>
      </c>
      <c r="AY132" s="9" t="s">
        <v>74</v>
      </c>
      <c r="AZ132" s="9" t="s">
        <v>74</v>
      </c>
      <c r="BA132" s="9" t="s">
        <v>74</v>
      </c>
      <c r="BB132" s="9">
        <v>1381</v>
      </c>
      <c r="BC132" s="9">
        <v>1402</v>
      </c>
      <c r="BD132" s="9" t="s">
        <v>74</v>
      </c>
      <c r="BE132" s="9" t="s">
        <v>2468</v>
      </c>
      <c r="BF132" s="9">
        <v>0</v>
      </c>
      <c r="BG132" s="9" t="s">
        <v>74</v>
      </c>
      <c r="BH132" s="9" t="s">
        <v>2368</v>
      </c>
      <c r="BI132" s="9">
        <v>22</v>
      </c>
      <c r="BJ132" s="9" t="s">
        <v>264</v>
      </c>
      <c r="BK132" s="9" t="s">
        <v>156</v>
      </c>
      <c r="BL132" s="9" t="s">
        <v>265</v>
      </c>
      <c r="BM132" s="9" t="s">
        <v>13103</v>
      </c>
      <c r="BN132" s="9" t="s">
        <v>74</v>
      </c>
      <c r="BO132" s="9" t="s">
        <v>74</v>
      </c>
      <c r="BP132" s="9" t="s">
        <v>74</v>
      </c>
      <c r="BQ132" s="9" t="s">
        <v>74</v>
      </c>
      <c r="BR132" s="9" t="s">
        <v>12946</v>
      </c>
      <c r="BS132" s="9" t="s">
        <v>2470</v>
      </c>
      <c r="BT132" s="9">
        <v>0</v>
      </c>
    </row>
    <row r="133" spans="1:72" x14ac:dyDescent="0.25">
      <c r="A133" s="9" t="s">
        <v>72</v>
      </c>
      <c r="B133" s="9" t="s">
        <v>2932</v>
      </c>
      <c r="C133" s="9" t="s">
        <v>74</v>
      </c>
      <c r="D133" s="9" t="s">
        <v>74</v>
      </c>
      <c r="E133" s="9" t="s">
        <v>74</v>
      </c>
      <c r="F133" s="9" t="s">
        <v>2933</v>
      </c>
      <c r="G133" s="9" t="s">
        <v>74</v>
      </c>
      <c r="H133" s="9" t="s">
        <v>74</v>
      </c>
      <c r="I133" s="9" t="s">
        <v>2934</v>
      </c>
      <c r="J133" s="9" t="s">
        <v>191</v>
      </c>
      <c r="K133" s="9" t="s">
        <v>74</v>
      </c>
      <c r="L133" s="9" t="s">
        <v>74</v>
      </c>
      <c r="M133" s="9" t="s">
        <v>78</v>
      </c>
      <c r="N133" s="9" t="s">
        <v>79</v>
      </c>
      <c r="O133" s="9" t="s">
        <v>74</v>
      </c>
      <c r="P133" s="9" t="s">
        <v>74</v>
      </c>
      <c r="Q133" s="9" t="s">
        <v>74</v>
      </c>
      <c r="R133" s="9" t="s">
        <v>74</v>
      </c>
      <c r="S133" s="9" t="s">
        <v>74</v>
      </c>
      <c r="T133" s="9" t="s">
        <v>2935</v>
      </c>
      <c r="U133" s="9" t="s">
        <v>2936</v>
      </c>
      <c r="V133" s="9" t="s">
        <v>2937</v>
      </c>
      <c r="W133" s="9" t="s">
        <v>2938</v>
      </c>
      <c r="X133" s="9" t="s">
        <v>2939</v>
      </c>
      <c r="Y133" s="9" t="s">
        <v>2940</v>
      </c>
      <c r="Z133" s="9" t="s">
        <v>2941</v>
      </c>
      <c r="AA133" s="9" t="s">
        <v>13104</v>
      </c>
      <c r="AB133" s="9" t="s">
        <v>13105</v>
      </c>
      <c r="AC133" s="9" t="s">
        <v>74</v>
      </c>
      <c r="AD133" s="9" t="s">
        <v>74</v>
      </c>
      <c r="AE133" s="9" t="s">
        <v>74</v>
      </c>
      <c r="AF133" s="9" t="s">
        <v>74</v>
      </c>
      <c r="AG133" s="9">
        <v>77</v>
      </c>
      <c r="AH133" s="9">
        <v>2</v>
      </c>
      <c r="AI133" s="9">
        <v>2</v>
      </c>
      <c r="AJ133" s="9">
        <v>3</v>
      </c>
      <c r="AK133" s="9">
        <v>18</v>
      </c>
      <c r="AL133" s="9" t="s">
        <v>202</v>
      </c>
      <c r="AM133" s="9" t="s">
        <v>203</v>
      </c>
      <c r="AN133" s="9" t="s">
        <v>204</v>
      </c>
      <c r="AO133" s="9" t="s">
        <v>74</v>
      </c>
      <c r="AP133" s="9" t="s">
        <v>205</v>
      </c>
      <c r="AQ133" s="9" t="s">
        <v>74</v>
      </c>
      <c r="AR133" s="9" t="s">
        <v>206</v>
      </c>
      <c r="AS133" s="9" t="s">
        <v>207</v>
      </c>
      <c r="AT133" s="9" t="s">
        <v>208</v>
      </c>
      <c r="AU133" s="9">
        <v>2022</v>
      </c>
      <c r="AV133" s="9">
        <v>14</v>
      </c>
      <c r="AW133" s="9">
        <v>20</v>
      </c>
      <c r="AX133" s="9" t="s">
        <v>74</v>
      </c>
      <c r="AY133" s="9" t="s">
        <v>74</v>
      </c>
      <c r="AZ133" s="9" t="s">
        <v>74</v>
      </c>
      <c r="BA133" s="9" t="s">
        <v>74</v>
      </c>
      <c r="BB133" s="9" t="s">
        <v>74</v>
      </c>
      <c r="BC133" s="9" t="s">
        <v>74</v>
      </c>
      <c r="BD133" s="9">
        <v>13549</v>
      </c>
      <c r="BE133" s="9" t="s">
        <v>2944</v>
      </c>
      <c r="BF133" s="9">
        <v>0</v>
      </c>
      <c r="BG133" s="9" t="s">
        <v>74</v>
      </c>
      <c r="BH133" s="9" t="s">
        <v>74</v>
      </c>
      <c r="BI133" s="9">
        <v>14</v>
      </c>
      <c r="BJ133" s="9" t="s">
        <v>210</v>
      </c>
      <c r="BK133" s="9" t="s">
        <v>211</v>
      </c>
      <c r="BL133" s="9" t="s">
        <v>212</v>
      </c>
      <c r="BM133" s="9" t="s">
        <v>2945</v>
      </c>
      <c r="BN133" s="9" t="s">
        <v>74</v>
      </c>
      <c r="BO133" s="9" t="s">
        <v>10789</v>
      </c>
      <c r="BP133" s="9" t="s">
        <v>74</v>
      </c>
      <c r="BQ133" s="9" t="s">
        <v>74</v>
      </c>
      <c r="BR133" s="9" t="s">
        <v>12946</v>
      </c>
      <c r="BS133" s="9" t="s">
        <v>2947</v>
      </c>
      <c r="BT133" s="9">
        <v>0</v>
      </c>
    </row>
    <row r="134" spans="1:72" x14ac:dyDescent="0.25">
      <c r="A134" s="9" t="s">
        <v>72</v>
      </c>
      <c r="B134" s="9" t="s">
        <v>3262</v>
      </c>
      <c r="C134" s="9" t="s">
        <v>74</v>
      </c>
      <c r="D134" s="9" t="s">
        <v>74</v>
      </c>
      <c r="E134" s="9" t="s">
        <v>74</v>
      </c>
      <c r="F134" s="9" t="s">
        <v>3263</v>
      </c>
      <c r="G134" s="9" t="s">
        <v>74</v>
      </c>
      <c r="H134" s="9" t="s">
        <v>74</v>
      </c>
      <c r="I134" s="9" t="s">
        <v>3264</v>
      </c>
      <c r="J134" s="9" t="s">
        <v>191</v>
      </c>
      <c r="K134" s="9" t="s">
        <v>74</v>
      </c>
      <c r="L134" s="9" t="s">
        <v>74</v>
      </c>
      <c r="M134" s="9" t="s">
        <v>78</v>
      </c>
      <c r="N134" s="9" t="s">
        <v>79</v>
      </c>
      <c r="O134" s="9" t="s">
        <v>74</v>
      </c>
      <c r="P134" s="9" t="s">
        <v>74</v>
      </c>
      <c r="Q134" s="9" t="s">
        <v>74</v>
      </c>
      <c r="R134" s="9" t="s">
        <v>74</v>
      </c>
      <c r="S134" s="9" t="s">
        <v>74</v>
      </c>
      <c r="T134" s="9" t="s">
        <v>3265</v>
      </c>
      <c r="U134" s="9" t="s">
        <v>3266</v>
      </c>
      <c r="V134" s="9" t="s">
        <v>3267</v>
      </c>
      <c r="W134" s="9" t="s">
        <v>3268</v>
      </c>
      <c r="X134" s="9" t="s">
        <v>3269</v>
      </c>
      <c r="Y134" s="9" t="s">
        <v>3270</v>
      </c>
      <c r="Z134" s="9" t="s">
        <v>3271</v>
      </c>
      <c r="AA134" s="9" t="s">
        <v>3272</v>
      </c>
      <c r="AB134" s="9" t="s">
        <v>13106</v>
      </c>
      <c r="AC134" s="9" t="s">
        <v>74</v>
      </c>
      <c r="AD134" s="9" t="s">
        <v>74</v>
      </c>
      <c r="AE134" s="9" t="s">
        <v>74</v>
      </c>
      <c r="AF134" s="9" t="s">
        <v>74</v>
      </c>
      <c r="AG134" s="9">
        <v>83</v>
      </c>
      <c r="AH134" s="9">
        <v>2</v>
      </c>
      <c r="AI134" s="9">
        <v>2</v>
      </c>
      <c r="AJ134" s="9">
        <v>1</v>
      </c>
      <c r="AK134" s="9">
        <v>14</v>
      </c>
      <c r="AL134" s="9" t="s">
        <v>202</v>
      </c>
      <c r="AM134" s="9" t="s">
        <v>203</v>
      </c>
      <c r="AN134" s="9" t="s">
        <v>204</v>
      </c>
      <c r="AO134" s="9" t="s">
        <v>74</v>
      </c>
      <c r="AP134" s="9" t="s">
        <v>205</v>
      </c>
      <c r="AQ134" s="9" t="s">
        <v>74</v>
      </c>
      <c r="AR134" s="9" t="s">
        <v>206</v>
      </c>
      <c r="AS134" s="9" t="s">
        <v>207</v>
      </c>
      <c r="AT134" s="9" t="s">
        <v>356</v>
      </c>
      <c r="AU134" s="9">
        <v>2022</v>
      </c>
      <c r="AV134" s="9">
        <v>14</v>
      </c>
      <c r="AW134" s="9">
        <v>18</v>
      </c>
      <c r="AX134" s="9" t="s">
        <v>74</v>
      </c>
      <c r="AY134" s="9" t="s">
        <v>74</v>
      </c>
      <c r="AZ134" s="9" t="s">
        <v>74</v>
      </c>
      <c r="BA134" s="9" t="s">
        <v>74</v>
      </c>
      <c r="BB134" s="9" t="s">
        <v>74</v>
      </c>
      <c r="BC134" s="9" t="s">
        <v>74</v>
      </c>
      <c r="BD134" s="9">
        <v>11767</v>
      </c>
      <c r="BE134" s="9" t="s">
        <v>3274</v>
      </c>
      <c r="BF134" s="9">
        <v>0</v>
      </c>
      <c r="BG134" s="9" t="s">
        <v>74</v>
      </c>
      <c r="BH134" s="9" t="s">
        <v>74</v>
      </c>
      <c r="BI134" s="9">
        <v>26</v>
      </c>
      <c r="BJ134" s="9" t="s">
        <v>210</v>
      </c>
      <c r="BK134" s="9" t="s">
        <v>211</v>
      </c>
      <c r="BL134" s="9" t="s">
        <v>212</v>
      </c>
      <c r="BM134" s="9" t="s">
        <v>3275</v>
      </c>
      <c r="BN134" s="9" t="s">
        <v>74</v>
      </c>
      <c r="BO134" s="9" t="s">
        <v>186</v>
      </c>
      <c r="BP134" s="9" t="s">
        <v>74</v>
      </c>
      <c r="BQ134" s="9" t="s">
        <v>74</v>
      </c>
      <c r="BR134" s="9" t="s">
        <v>12946</v>
      </c>
      <c r="BS134" s="9" t="s">
        <v>3276</v>
      </c>
      <c r="BT134" s="9">
        <v>0</v>
      </c>
    </row>
    <row r="135" spans="1:72" x14ac:dyDescent="0.25">
      <c r="A135" s="9" t="s">
        <v>72</v>
      </c>
      <c r="B135" s="9" t="s">
        <v>3387</v>
      </c>
      <c r="C135" s="9" t="s">
        <v>74</v>
      </c>
      <c r="D135" s="9" t="s">
        <v>74</v>
      </c>
      <c r="E135" s="9" t="s">
        <v>74</v>
      </c>
      <c r="F135" s="9" t="s">
        <v>3388</v>
      </c>
      <c r="G135" s="9" t="s">
        <v>74</v>
      </c>
      <c r="H135" s="9" t="s">
        <v>74</v>
      </c>
      <c r="I135" s="9" t="s">
        <v>3389</v>
      </c>
      <c r="J135" s="9" t="s">
        <v>3390</v>
      </c>
      <c r="K135" s="9" t="s">
        <v>74</v>
      </c>
      <c r="L135" s="9" t="s">
        <v>74</v>
      </c>
      <c r="M135" s="9" t="s">
        <v>78</v>
      </c>
      <c r="N135" s="9" t="s">
        <v>79</v>
      </c>
      <c r="O135" s="9" t="s">
        <v>74</v>
      </c>
      <c r="P135" s="9" t="s">
        <v>74</v>
      </c>
      <c r="Q135" s="9" t="s">
        <v>74</v>
      </c>
      <c r="R135" s="9" t="s">
        <v>74</v>
      </c>
      <c r="S135" s="9" t="s">
        <v>74</v>
      </c>
      <c r="T135" s="9" t="s">
        <v>3391</v>
      </c>
      <c r="U135" s="9" t="s">
        <v>74</v>
      </c>
      <c r="V135" s="9" t="s">
        <v>3392</v>
      </c>
      <c r="W135" s="9" t="s">
        <v>3393</v>
      </c>
      <c r="X135" s="9" t="s">
        <v>3394</v>
      </c>
      <c r="Y135" s="9" t="s">
        <v>3395</v>
      </c>
      <c r="Z135" s="9" t="s">
        <v>3396</v>
      </c>
      <c r="AA135" s="9" t="s">
        <v>13107</v>
      </c>
      <c r="AB135" s="9" t="s">
        <v>13108</v>
      </c>
      <c r="AC135" s="9" t="s">
        <v>74</v>
      </c>
      <c r="AD135" s="9" t="s">
        <v>74</v>
      </c>
      <c r="AE135" s="9" t="s">
        <v>74</v>
      </c>
      <c r="AF135" s="9" t="s">
        <v>74</v>
      </c>
      <c r="AG135" s="9">
        <v>48</v>
      </c>
      <c r="AH135" s="9">
        <v>2</v>
      </c>
      <c r="AI135" s="9">
        <v>2</v>
      </c>
      <c r="AJ135" s="9">
        <v>1</v>
      </c>
      <c r="AK135" s="9">
        <v>6</v>
      </c>
      <c r="AL135" s="9" t="s">
        <v>1636</v>
      </c>
      <c r="AM135" s="9" t="s">
        <v>93</v>
      </c>
      <c r="AN135" s="9" t="s">
        <v>1637</v>
      </c>
      <c r="AO135" s="9" t="s">
        <v>3399</v>
      </c>
      <c r="AP135" s="9" t="s">
        <v>3400</v>
      </c>
      <c r="AQ135" s="9" t="s">
        <v>74</v>
      </c>
      <c r="AR135" s="9" t="s">
        <v>3401</v>
      </c>
      <c r="AS135" s="9" t="s">
        <v>3402</v>
      </c>
      <c r="AT135" s="9" t="s">
        <v>356</v>
      </c>
      <c r="AU135" s="9">
        <v>2022</v>
      </c>
      <c r="AV135" s="9">
        <v>46</v>
      </c>
      <c r="AW135" s="9">
        <v>8</v>
      </c>
      <c r="AX135" s="9" t="s">
        <v>74</v>
      </c>
      <c r="AY135" s="9" t="s">
        <v>74</v>
      </c>
      <c r="AZ135" s="9" t="s">
        <v>74</v>
      </c>
      <c r="BA135" s="9" t="s">
        <v>74</v>
      </c>
      <c r="BB135" s="9" t="s">
        <v>74</v>
      </c>
      <c r="BC135" s="9" t="s">
        <v>74</v>
      </c>
      <c r="BD135" s="9">
        <v>102367</v>
      </c>
      <c r="BE135" s="9" t="s">
        <v>3403</v>
      </c>
      <c r="BF135" s="9">
        <v>0</v>
      </c>
      <c r="BG135" s="9" t="s">
        <v>74</v>
      </c>
      <c r="BH135" s="9" t="s">
        <v>74</v>
      </c>
      <c r="BI135" s="9">
        <v>14</v>
      </c>
      <c r="BJ135" s="9" t="s">
        <v>3404</v>
      </c>
      <c r="BK135" s="9" t="s">
        <v>211</v>
      </c>
      <c r="BL135" s="9" t="s">
        <v>3404</v>
      </c>
      <c r="BM135" s="9" t="s">
        <v>3405</v>
      </c>
      <c r="BN135" s="9" t="s">
        <v>74</v>
      </c>
      <c r="BO135" s="9" t="s">
        <v>74</v>
      </c>
      <c r="BP135" s="9" t="s">
        <v>74</v>
      </c>
      <c r="BQ135" s="9" t="s">
        <v>74</v>
      </c>
      <c r="BR135" s="9" t="s">
        <v>12946</v>
      </c>
      <c r="BS135" s="9" t="s">
        <v>3406</v>
      </c>
      <c r="BT135" s="9">
        <v>0</v>
      </c>
    </row>
    <row r="136" spans="1:72" x14ac:dyDescent="0.25">
      <c r="A136" s="9" t="s">
        <v>72</v>
      </c>
      <c r="B136" s="9" t="s">
        <v>3443</v>
      </c>
      <c r="C136" s="9" t="s">
        <v>74</v>
      </c>
      <c r="D136" s="9" t="s">
        <v>74</v>
      </c>
      <c r="E136" s="9" t="s">
        <v>74</v>
      </c>
      <c r="F136" s="9" t="s">
        <v>3444</v>
      </c>
      <c r="G136" s="9" t="s">
        <v>74</v>
      </c>
      <c r="H136" s="9" t="s">
        <v>74</v>
      </c>
      <c r="I136" s="9" t="s">
        <v>3445</v>
      </c>
      <c r="J136" s="9" t="s">
        <v>3446</v>
      </c>
      <c r="K136" s="9" t="s">
        <v>74</v>
      </c>
      <c r="L136" s="9" t="s">
        <v>74</v>
      </c>
      <c r="M136" s="9" t="s">
        <v>78</v>
      </c>
      <c r="N136" s="9" t="s">
        <v>79</v>
      </c>
      <c r="O136" s="9" t="s">
        <v>74</v>
      </c>
      <c r="P136" s="9" t="s">
        <v>74</v>
      </c>
      <c r="Q136" s="9" t="s">
        <v>74</v>
      </c>
      <c r="R136" s="9" t="s">
        <v>74</v>
      </c>
      <c r="S136" s="9" t="s">
        <v>74</v>
      </c>
      <c r="T136" s="9" t="s">
        <v>3447</v>
      </c>
      <c r="U136" s="9" t="s">
        <v>13109</v>
      </c>
      <c r="V136" s="9" t="s">
        <v>3449</v>
      </c>
      <c r="W136" s="9" t="s">
        <v>3450</v>
      </c>
      <c r="X136" s="9" t="s">
        <v>3451</v>
      </c>
      <c r="Y136" s="9" t="s">
        <v>3452</v>
      </c>
      <c r="Z136" s="9" t="s">
        <v>3453</v>
      </c>
      <c r="AA136" s="9" t="s">
        <v>13110</v>
      </c>
      <c r="AB136" s="9" t="s">
        <v>3454</v>
      </c>
      <c r="AC136" s="9" t="s">
        <v>3455</v>
      </c>
      <c r="AD136" s="9" t="s">
        <v>3456</v>
      </c>
      <c r="AE136" s="9" t="s">
        <v>3457</v>
      </c>
      <c r="AF136" s="9" t="s">
        <v>74</v>
      </c>
      <c r="AG136" s="9">
        <v>138</v>
      </c>
      <c r="AH136" s="9">
        <v>2</v>
      </c>
      <c r="AI136" s="9">
        <v>2</v>
      </c>
      <c r="AJ136" s="9">
        <v>7</v>
      </c>
      <c r="AK136" s="9">
        <v>31</v>
      </c>
      <c r="AL136" s="9" t="s">
        <v>1013</v>
      </c>
      <c r="AM136" s="9" t="s">
        <v>493</v>
      </c>
      <c r="AN136" s="9" t="s">
        <v>1014</v>
      </c>
      <c r="AO136" s="9" t="s">
        <v>3458</v>
      </c>
      <c r="AP136" s="9" t="s">
        <v>3459</v>
      </c>
      <c r="AQ136" s="9" t="s">
        <v>74</v>
      </c>
      <c r="AR136" s="9" t="s">
        <v>3460</v>
      </c>
      <c r="AS136" s="9" t="s">
        <v>3461</v>
      </c>
      <c r="AT136" s="9" t="s">
        <v>8872</v>
      </c>
      <c r="AU136" s="9">
        <v>2024</v>
      </c>
      <c r="AV136" s="9">
        <v>24</v>
      </c>
      <c r="AW136" s="9">
        <v>12</v>
      </c>
      <c r="AX136" s="9" t="s">
        <v>74</v>
      </c>
      <c r="AY136" s="9" t="s">
        <v>74</v>
      </c>
      <c r="AZ136" s="9" t="s">
        <v>74</v>
      </c>
      <c r="BA136" s="9" t="s">
        <v>74</v>
      </c>
      <c r="BB136" s="9">
        <v>1295</v>
      </c>
      <c r="BC136" s="9">
        <v>1304</v>
      </c>
      <c r="BD136" s="9" t="s">
        <v>74</v>
      </c>
      <c r="BE136" s="9" t="s">
        <v>3463</v>
      </c>
      <c r="BF136" s="9">
        <v>0</v>
      </c>
      <c r="BG136" s="9" t="s">
        <v>74</v>
      </c>
      <c r="BH136" s="9" t="s">
        <v>3464</v>
      </c>
      <c r="BI136" s="9">
        <v>10</v>
      </c>
      <c r="BJ136" s="9" t="s">
        <v>13111</v>
      </c>
      <c r="BK136" s="9" t="s">
        <v>183</v>
      </c>
      <c r="BL136" s="9" t="s">
        <v>13112</v>
      </c>
      <c r="BM136" s="9" t="s">
        <v>13113</v>
      </c>
      <c r="BN136" s="9" t="s">
        <v>74</v>
      </c>
      <c r="BO136" s="9" t="s">
        <v>74</v>
      </c>
      <c r="BP136" s="9" t="s">
        <v>74</v>
      </c>
      <c r="BQ136" s="9" t="s">
        <v>74</v>
      </c>
      <c r="BR136" s="9" t="s">
        <v>12946</v>
      </c>
      <c r="BS136" s="9" t="s">
        <v>3466</v>
      </c>
      <c r="BT136" s="9">
        <v>0</v>
      </c>
    </row>
    <row r="137" spans="1:72" x14ac:dyDescent="0.25">
      <c r="A137" s="9" t="s">
        <v>72</v>
      </c>
      <c r="B137" s="9" t="s">
        <v>3798</v>
      </c>
      <c r="C137" s="9" t="s">
        <v>74</v>
      </c>
      <c r="D137" s="9" t="s">
        <v>74</v>
      </c>
      <c r="E137" s="9" t="s">
        <v>74</v>
      </c>
      <c r="F137" s="9" t="s">
        <v>3799</v>
      </c>
      <c r="G137" s="9" t="s">
        <v>74</v>
      </c>
      <c r="H137" s="9" t="s">
        <v>74</v>
      </c>
      <c r="I137" s="9" t="s">
        <v>3800</v>
      </c>
      <c r="J137" s="9" t="s">
        <v>3608</v>
      </c>
      <c r="K137" s="9" t="s">
        <v>74</v>
      </c>
      <c r="L137" s="9" t="s">
        <v>74</v>
      </c>
      <c r="M137" s="9" t="s">
        <v>78</v>
      </c>
      <c r="N137" s="9" t="s">
        <v>79</v>
      </c>
      <c r="O137" s="9" t="s">
        <v>74</v>
      </c>
      <c r="P137" s="9" t="s">
        <v>74</v>
      </c>
      <c r="Q137" s="9" t="s">
        <v>74</v>
      </c>
      <c r="R137" s="9" t="s">
        <v>74</v>
      </c>
      <c r="S137" s="9" t="s">
        <v>74</v>
      </c>
      <c r="T137" s="9" t="s">
        <v>74</v>
      </c>
      <c r="U137" s="9" t="s">
        <v>74</v>
      </c>
      <c r="V137" s="9" t="s">
        <v>3801</v>
      </c>
      <c r="W137" s="9" t="s">
        <v>3802</v>
      </c>
      <c r="X137" s="9" t="s">
        <v>74</v>
      </c>
      <c r="Y137" s="9" t="s">
        <v>3803</v>
      </c>
      <c r="Z137" s="9" t="s">
        <v>3804</v>
      </c>
      <c r="AA137" s="9" t="s">
        <v>13114</v>
      </c>
      <c r="AB137" s="9" t="s">
        <v>13115</v>
      </c>
      <c r="AC137" s="9" t="s">
        <v>74</v>
      </c>
      <c r="AD137" s="9" t="s">
        <v>74</v>
      </c>
      <c r="AE137" s="9" t="s">
        <v>74</v>
      </c>
      <c r="AF137" s="9" t="s">
        <v>74</v>
      </c>
      <c r="AG137" s="9">
        <v>24</v>
      </c>
      <c r="AH137" s="9">
        <v>2</v>
      </c>
      <c r="AI137" s="9">
        <v>3</v>
      </c>
      <c r="AJ137" s="9">
        <v>13</v>
      </c>
      <c r="AK137" s="9">
        <v>84</v>
      </c>
      <c r="AL137" s="9" t="s">
        <v>3146</v>
      </c>
      <c r="AM137" s="9" t="s">
        <v>175</v>
      </c>
      <c r="AN137" s="9" t="s">
        <v>3147</v>
      </c>
      <c r="AO137" s="9" t="s">
        <v>3618</v>
      </c>
      <c r="AP137" s="9" t="s">
        <v>3619</v>
      </c>
      <c r="AQ137" s="9" t="s">
        <v>74</v>
      </c>
      <c r="AR137" s="9" t="s">
        <v>3620</v>
      </c>
      <c r="AS137" s="9" t="s">
        <v>3621</v>
      </c>
      <c r="AT137" s="9" t="s">
        <v>3805</v>
      </c>
      <c r="AU137" s="9">
        <v>2022</v>
      </c>
      <c r="AV137" s="9">
        <v>2022</v>
      </c>
      <c r="AW137" s="9" t="s">
        <v>74</v>
      </c>
      <c r="AX137" s="9" t="s">
        <v>74</v>
      </c>
      <c r="AY137" s="9" t="s">
        <v>74</v>
      </c>
      <c r="AZ137" s="9" t="s">
        <v>74</v>
      </c>
      <c r="BA137" s="9" t="s">
        <v>74</v>
      </c>
      <c r="BB137" s="9" t="s">
        <v>74</v>
      </c>
      <c r="BC137" s="9" t="s">
        <v>74</v>
      </c>
      <c r="BD137" s="9">
        <v>7085322</v>
      </c>
      <c r="BE137" s="9" t="s">
        <v>3806</v>
      </c>
      <c r="BF137" s="9">
        <v>0</v>
      </c>
      <c r="BG137" s="9" t="s">
        <v>74</v>
      </c>
      <c r="BH137" s="9" t="s">
        <v>74</v>
      </c>
      <c r="BI137" s="9">
        <v>11</v>
      </c>
      <c r="BJ137" s="9" t="s">
        <v>3624</v>
      </c>
      <c r="BK137" s="9" t="s">
        <v>102</v>
      </c>
      <c r="BL137" s="9" t="s">
        <v>3625</v>
      </c>
      <c r="BM137" s="9" t="s">
        <v>3807</v>
      </c>
      <c r="BN137" s="9" t="s">
        <v>74</v>
      </c>
      <c r="BO137" s="9" t="s">
        <v>186</v>
      </c>
      <c r="BP137" s="9" t="s">
        <v>74</v>
      </c>
      <c r="BQ137" s="9" t="s">
        <v>74</v>
      </c>
      <c r="BR137" s="9" t="s">
        <v>12946</v>
      </c>
      <c r="BS137" s="9" t="s">
        <v>3808</v>
      </c>
      <c r="BT137" s="9">
        <v>0</v>
      </c>
    </row>
    <row r="138" spans="1:72" x14ac:dyDescent="0.25">
      <c r="A138" s="9" t="s">
        <v>72</v>
      </c>
      <c r="B138" s="9" t="s">
        <v>4256</v>
      </c>
      <c r="C138" s="9" t="s">
        <v>74</v>
      </c>
      <c r="D138" s="9" t="s">
        <v>74</v>
      </c>
      <c r="E138" s="9" t="s">
        <v>74</v>
      </c>
      <c r="F138" s="9" t="s">
        <v>4257</v>
      </c>
      <c r="G138" s="9" t="s">
        <v>74</v>
      </c>
      <c r="H138" s="9" t="s">
        <v>74</v>
      </c>
      <c r="I138" s="9" t="s">
        <v>4258</v>
      </c>
      <c r="J138" s="9" t="s">
        <v>191</v>
      </c>
      <c r="K138" s="9" t="s">
        <v>74</v>
      </c>
      <c r="L138" s="9" t="s">
        <v>74</v>
      </c>
      <c r="M138" s="9" t="s">
        <v>78</v>
      </c>
      <c r="N138" s="9" t="s">
        <v>79</v>
      </c>
      <c r="O138" s="9" t="s">
        <v>74</v>
      </c>
      <c r="P138" s="9" t="s">
        <v>74</v>
      </c>
      <c r="Q138" s="9" t="s">
        <v>74</v>
      </c>
      <c r="R138" s="9" t="s">
        <v>74</v>
      </c>
      <c r="S138" s="9" t="s">
        <v>74</v>
      </c>
      <c r="T138" s="9" t="s">
        <v>4259</v>
      </c>
      <c r="U138" s="9" t="s">
        <v>4260</v>
      </c>
      <c r="V138" s="9" t="s">
        <v>4261</v>
      </c>
      <c r="W138" s="9" t="s">
        <v>4262</v>
      </c>
      <c r="X138" s="9" t="s">
        <v>4263</v>
      </c>
      <c r="Y138" s="9" t="s">
        <v>4264</v>
      </c>
      <c r="Z138" s="9" t="s">
        <v>4265</v>
      </c>
      <c r="AA138" s="9" t="s">
        <v>74</v>
      </c>
      <c r="AB138" s="9" t="s">
        <v>4266</v>
      </c>
      <c r="AC138" s="9" t="s">
        <v>4267</v>
      </c>
      <c r="AD138" s="9" t="s">
        <v>13116</v>
      </c>
      <c r="AE138" s="9" t="s">
        <v>4269</v>
      </c>
      <c r="AF138" s="9" t="s">
        <v>74</v>
      </c>
      <c r="AG138" s="9">
        <v>85</v>
      </c>
      <c r="AH138" s="9">
        <v>2</v>
      </c>
      <c r="AI138" s="9">
        <v>2</v>
      </c>
      <c r="AJ138" s="9">
        <v>6</v>
      </c>
      <c r="AK138" s="9">
        <v>43</v>
      </c>
      <c r="AL138" s="9" t="s">
        <v>202</v>
      </c>
      <c r="AM138" s="9" t="s">
        <v>203</v>
      </c>
      <c r="AN138" s="9" t="s">
        <v>204</v>
      </c>
      <c r="AO138" s="9" t="s">
        <v>74</v>
      </c>
      <c r="AP138" s="9" t="s">
        <v>205</v>
      </c>
      <c r="AQ138" s="9" t="s">
        <v>74</v>
      </c>
      <c r="AR138" s="9" t="s">
        <v>206</v>
      </c>
      <c r="AS138" s="9" t="s">
        <v>207</v>
      </c>
      <c r="AT138" s="9" t="s">
        <v>1280</v>
      </c>
      <c r="AU138" s="9">
        <v>2022</v>
      </c>
      <c r="AV138" s="9">
        <v>14</v>
      </c>
      <c r="AW138" s="9">
        <v>10</v>
      </c>
      <c r="AX138" s="9" t="s">
        <v>74</v>
      </c>
      <c r="AY138" s="9" t="s">
        <v>74</v>
      </c>
      <c r="AZ138" s="9" t="s">
        <v>74</v>
      </c>
      <c r="BA138" s="9" t="s">
        <v>74</v>
      </c>
      <c r="BB138" s="9" t="s">
        <v>74</v>
      </c>
      <c r="BC138" s="9" t="s">
        <v>74</v>
      </c>
      <c r="BD138" s="9">
        <v>6121</v>
      </c>
      <c r="BE138" s="9" t="s">
        <v>4270</v>
      </c>
      <c r="BF138" s="9">
        <v>0</v>
      </c>
      <c r="BG138" s="9" t="s">
        <v>74</v>
      </c>
      <c r="BH138" s="9" t="s">
        <v>74</v>
      </c>
      <c r="BI138" s="9">
        <v>20</v>
      </c>
      <c r="BJ138" s="9" t="s">
        <v>210</v>
      </c>
      <c r="BK138" s="9" t="s">
        <v>211</v>
      </c>
      <c r="BL138" s="9" t="s">
        <v>212</v>
      </c>
      <c r="BM138" s="9" t="s">
        <v>4271</v>
      </c>
      <c r="BN138" s="9" t="s">
        <v>74</v>
      </c>
      <c r="BO138" s="9" t="s">
        <v>186</v>
      </c>
      <c r="BP138" s="9" t="s">
        <v>74</v>
      </c>
      <c r="BQ138" s="9" t="s">
        <v>74</v>
      </c>
      <c r="BR138" s="9" t="s">
        <v>12946</v>
      </c>
      <c r="BS138" s="9" t="s">
        <v>4272</v>
      </c>
      <c r="BT138" s="9">
        <v>0</v>
      </c>
    </row>
    <row r="139" spans="1:72" x14ac:dyDescent="0.25">
      <c r="A139" s="9" t="s">
        <v>72</v>
      </c>
      <c r="B139" s="9" t="s">
        <v>4324</v>
      </c>
      <c r="C139" s="9" t="s">
        <v>74</v>
      </c>
      <c r="D139" s="9" t="s">
        <v>74</v>
      </c>
      <c r="E139" s="9" t="s">
        <v>74</v>
      </c>
      <c r="F139" s="9" t="s">
        <v>4325</v>
      </c>
      <c r="G139" s="9" t="s">
        <v>74</v>
      </c>
      <c r="H139" s="9" t="s">
        <v>74</v>
      </c>
      <c r="I139" s="9" t="s">
        <v>4326</v>
      </c>
      <c r="J139" s="9" t="s">
        <v>3180</v>
      </c>
      <c r="K139" s="9" t="s">
        <v>74</v>
      </c>
      <c r="L139" s="9" t="s">
        <v>74</v>
      </c>
      <c r="M139" s="9" t="s">
        <v>78</v>
      </c>
      <c r="N139" s="9" t="s">
        <v>79</v>
      </c>
      <c r="O139" s="9" t="s">
        <v>74</v>
      </c>
      <c r="P139" s="9" t="s">
        <v>74</v>
      </c>
      <c r="Q139" s="9" t="s">
        <v>74</v>
      </c>
      <c r="R139" s="9" t="s">
        <v>74</v>
      </c>
      <c r="S139" s="9" t="s">
        <v>74</v>
      </c>
      <c r="T139" s="9" t="s">
        <v>4327</v>
      </c>
      <c r="U139" s="9" t="s">
        <v>4328</v>
      </c>
      <c r="V139" s="9" t="s">
        <v>4329</v>
      </c>
      <c r="W139" s="9" t="s">
        <v>4330</v>
      </c>
      <c r="X139" s="9" t="s">
        <v>4331</v>
      </c>
      <c r="Y139" s="9" t="s">
        <v>4332</v>
      </c>
      <c r="Z139" s="9" t="s">
        <v>4333</v>
      </c>
      <c r="AA139" s="9" t="s">
        <v>74</v>
      </c>
      <c r="AB139" s="9" t="s">
        <v>4334</v>
      </c>
      <c r="AC139" s="9" t="s">
        <v>74</v>
      </c>
      <c r="AD139" s="9" t="s">
        <v>74</v>
      </c>
      <c r="AE139" s="9" t="s">
        <v>74</v>
      </c>
      <c r="AF139" s="9" t="s">
        <v>74</v>
      </c>
      <c r="AG139" s="9">
        <v>56</v>
      </c>
      <c r="AH139" s="9">
        <v>2</v>
      </c>
      <c r="AI139" s="9">
        <v>3</v>
      </c>
      <c r="AJ139" s="9">
        <v>13</v>
      </c>
      <c r="AK139" s="9">
        <v>56</v>
      </c>
      <c r="AL139" s="9" t="s">
        <v>3188</v>
      </c>
      <c r="AM139" s="9" t="s">
        <v>3189</v>
      </c>
      <c r="AN139" s="9" t="s">
        <v>3190</v>
      </c>
      <c r="AO139" s="9" t="s">
        <v>3191</v>
      </c>
      <c r="AP139" s="9" t="s">
        <v>3192</v>
      </c>
      <c r="AQ139" s="9" t="s">
        <v>74</v>
      </c>
      <c r="AR139" s="9" t="s">
        <v>3193</v>
      </c>
      <c r="AS139" s="9" t="s">
        <v>3194</v>
      </c>
      <c r="AT139" s="9" t="s">
        <v>4335</v>
      </c>
      <c r="AU139" s="9">
        <v>2023</v>
      </c>
      <c r="AV139" s="9">
        <v>63</v>
      </c>
      <c r="AW139" s="9">
        <v>2</v>
      </c>
      <c r="AX139" s="9" t="s">
        <v>74</v>
      </c>
      <c r="AY139" s="9" t="s">
        <v>74</v>
      </c>
      <c r="AZ139" s="9" t="s">
        <v>74</v>
      </c>
      <c r="BA139" s="9" t="s">
        <v>74</v>
      </c>
      <c r="BB139" s="9">
        <v>281</v>
      </c>
      <c r="BC139" s="9">
        <v>292</v>
      </c>
      <c r="BD139" s="9" t="s">
        <v>74</v>
      </c>
      <c r="BE139" s="9" t="s">
        <v>4336</v>
      </c>
      <c r="BF139" s="9">
        <v>0</v>
      </c>
      <c r="BG139" s="9" t="s">
        <v>74</v>
      </c>
      <c r="BH139" s="9" t="s">
        <v>4337</v>
      </c>
      <c r="BI139" s="9">
        <v>12</v>
      </c>
      <c r="BJ139" s="9" t="s">
        <v>1217</v>
      </c>
      <c r="BK139" s="9" t="s">
        <v>102</v>
      </c>
      <c r="BL139" s="9" t="s">
        <v>399</v>
      </c>
      <c r="BM139" s="9" t="s">
        <v>4338</v>
      </c>
      <c r="BN139" s="9" t="s">
        <v>74</v>
      </c>
      <c r="BO139" s="9" t="s">
        <v>1539</v>
      </c>
      <c r="BP139" s="9" t="s">
        <v>74</v>
      </c>
      <c r="BQ139" s="9" t="s">
        <v>74</v>
      </c>
      <c r="BR139" s="9" t="s">
        <v>12946</v>
      </c>
      <c r="BS139" s="9" t="s">
        <v>4339</v>
      </c>
      <c r="BT139" s="9">
        <v>0</v>
      </c>
    </row>
    <row r="140" spans="1:72" x14ac:dyDescent="0.25">
      <c r="A140" s="9" t="s">
        <v>477</v>
      </c>
      <c r="B140" s="9" t="s">
        <v>4926</v>
      </c>
      <c r="C140" s="9" t="s">
        <v>74</v>
      </c>
      <c r="D140" s="9" t="s">
        <v>4927</v>
      </c>
      <c r="E140" s="9" t="s">
        <v>74</v>
      </c>
      <c r="F140" s="9" t="s">
        <v>4928</v>
      </c>
      <c r="G140" s="9" t="s">
        <v>74</v>
      </c>
      <c r="H140" s="9" t="s">
        <v>74</v>
      </c>
      <c r="I140" s="9" t="s">
        <v>4929</v>
      </c>
      <c r="J140" s="9" t="s">
        <v>4930</v>
      </c>
      <c r="K140" s="9" t="s">
        <v>4931</v>
      </c>
      <c r="L140" s="9" t="s">
        <v>74</v>
      </c>
      <c r="M140" s="9" t="s">
        <v>78</v>
      </c>
      <c r="N140" s="9" t="s">
        <v>4932</v>
      </c>
      <c r="O140" s="9" t="s">
        <v>74</v>
      </c>
      <c r="P140" s="9" t="s">
        <v>74</v>
      </c>
      <c r="Q140" s="9" t="s">
        <v>74</v>
      </c>
      <c r="R140" s="9" t="s">
        <v>74</v>
      </c>
      <c r="S140" s="9" t="s">
        <v>74</v>
      </c>
      <c r="T140" s="9" t="s">
        <v>74</v>
      </c>
      <c r="U140" s="9" t="s">
        <v>74</v>
      </c>
      <c r="V140" s="9" t="s">
        <v>74</v>
      </c>
      <c r="W140" s="9" t="s">
        <v>4933</v>
      </c>
      <c r="X140" s="9" t="s">
        <v>4934</v>
      </c>
      <c r="Y140" s="9" t="s">
        <v>4935</v>
      </c>
      <c r="Z140" s="9" t="s">
        <v>74</v>
      </c>
      <c r="AA140" s="9" t="s">
        <v>74</v>
      </c>
      <c r="AB140" s="9" t="s">
        <v>74</v>
      </c>
      <c r="AC140" s="9" t="s">
        <v>74</v>
      </c>
      <c r="AD140" s="9" t="s">
        <v>74</v>
      </c>
      <c r="AE140" s="9" t="s">
        <v>74</v>
      </c>
      <c r="AF140" s="9" t="s">
        <v>74</v>
      </c>
      <c r="AG140" s="9">
        <v>47</v>
      </c>
      <c r="AH140" s="9">
        <v>2</v>
      </c>
      <c r="AI140" s="9">
        <v>2</v>
      </c>
      <c r="AJ140" s="9">
        <v>0</v>
      </c>
      <c r="AK140" s="9">
        <v>1</v>
      </c>
      <c r="AL140" s="9" t="s">
        <v>4936</v>
      </c>
      <c r="AM140" s="9" t="s">
        <v>493</v>
      </c>
      <c r="AN140" s="9" t="s">
        <v>4937</v>
      </c>
      <c r="AO140" s="9" t="s">
        <v>74</v>
      </c>
      <c r="AP140" s="9" t="s">
        <v>74</v>
      </c>
      <c r="AQ140" s="9" t="s">
        <v>4938</v>
      </c>
      <c r="AR140" s="9" t="s">
        <v>4939</v>
      </c>
      <c r="AS140" s="9" t="s">
        <v>74</v>
      </c>
      <c r="AT140" s="9" t="s">
        <v>74</v>
      </c>
      <c r="AU140" s="9">
        <v>2022</v>
      </c>
      <c r="AV140" s="9" t="s">
        <v>74</v>
      </c>
      <c r="AW140" s="9" t="s">
        <v>74</v>
      </c>
      <c r="AX140" s="9" t="s">
        <v>74</v>
      </c>
      <c r="AY140" s="9" t="s">
        <v>74</v>
      </c>
      <c r="AZ140" s="9" t="s">
        <v>74</v>
      </c>
      <c r="BA140" s="9" t="s">
        <v>74</v>
      </c>
      <c r="BB140" s="9">
        <v>183</v>
      </c>
      <c r="BC140" s="9">
        <v>197</v>
      </c>
      <c r="BD140" s="9" t="s">
        <v>74</v>
      </c>
      <c r="BE140" s="9" t="s">
        <v>4940</v>
      </c>
      <c r="BF140" s="9">
        <v>0</v>
      </c>
      <c r="BG140" s="9" t="s">
        <v>4941</v>
      </c>
      <c r="BH140" s="9" t="s">
        <v>74</v>
      </c>
      <c r="BI140" s="9">
        <v>15</v>
      </c>
      <c r="BJ140" s="9" t="s">
        <v>4942</v>
      </c>
      <c r="BK140" s="9" t="s">
        <v>4943</v>
      </c>
      <c r="BL140" s="9" t="s">
        <v>4944</v>
      </c>
      <c r="BM140" s="9" t="s">
        <v>4945</v>
      </c>
      <c r="BN140" s="9" t="s">
        <v>74</v>
      </c>
      <c r="BO140" s="9" t="s">
        <v>74</v>
      </c>
      <c r="BP140" s="9" t="s">
        <v>74</v>
      </c>
      <c r="BQ140" s="9" t="s">
        <v>74</v>
      </c>
      <c r="BR140" s="9" t="s">
        <v>12946</v>
      </c>
      <c r="BS140" s="9" t="s">
        <v>4946</v>
      </c>
      <c r="BT140" s="9">
        <v>0</v>
      </c>
    </row>
    <row r="141" spans="1:72" x14ac:dyDescent="0.25">
      <c r="A141" s="9" t="s">
        <v>72</v>
      </c>
      <c r="B141" s="9" t="s">
        <v>9723</v>
      </c>
      <c r="C141" s="9" t="s">
        <v>74</v>
      </c>
      <c r="D141" s="9" t="s">
        <v>74</v>
      </c>
      <c r="E141" s="9" t="s">
        <v>74</v>
      </c>
      <c r="F141" s="9" t="s">
        <v>9724</v>
      </c>
      <c r="G141" s="9" t="s">
        <v>74</v>
      </c>
      <c r="H141" s="9" t="s">
        <v>74</v>
      </c>
      <c r="I141" s="9" t="s">
        <v>9725</v>
      </c>
      <c r="J141" s="9" t="s">
        <v>9726</v>
      </c>
      <c r="K141" s="9" t="s">
        <v>74</v>
      </c>
      <c r="L141" s="9" t="s">
        <v>74</v>
      </c>
      <c r="M141" s="9" t="s">
        <v>78</v>
      </c>
      <c r="N141" s="9" t="s">
        <v>79</v>
      </c>
      <c r="O141" s="9" t="s">
        <v>74</v>
      </c>
      <c r="P141" s="9" t="s">
        <v>74</v>
      </c>
      <c r="Q141" s="9" t="s">
        <v>74</v>
      </c>
      <c r="R141" s="9" t="s">
        <v>74</v>
      </c>
      <c r="S141" s="9" t="s">
        <v>74</v>
      </c>
      <c r="T141" s="9" t="s">
        <v>9727</v>
      </c>
      <c r="U141" s="9" t="s">
        <v>9728</v>
      </c>
      <c r="V141" s="9" t="s">
        <v>9729</v>
      </c>
      <c r="W141" s="9" t="s">
        <v>9730</v>
      </c>
      <c r="X141" s="9" t="s">
        <v>74</v>
      </c>
      <c r="Y141" s="9" t="s">
        <v>9731</v>
      </c>
      <c r="Z141" s="9" t="s">
        <v>9732</v>
      </c>
      <c r="AA141" s="9" t="s">
        <v>13117</v>
      </c>
      <c r="AB141" s="9" t="s">
        <v>13118</v>
      </c>
      <c r="AC141" s="9" t="s">
        <v>74</v>
      </c>
      <c r="AD141" s="9" t="s">
        <v>74</v>
      </c>
      <c r="AE141" s="9" t="s">
        <v>74</v>
      </c>
      <c r="AF141" s="9" t="s">
        <v>74</v>
      </c>
      <c r="AG141" s="9">
        <v>47</v>
      </c>
      <c r="AH141" s="9">
        <v>2</v>
      </c>
      <c r="AI141" s="9">
        <v>2</v>
      </c>
      <c r="AJ141" s="9">
        <v>2</v>
      </c>
      <c r="AK141" s="9">
        <v>74</v>
      </c>
      <c r="AL141" s="9" t="s">
        <v>9735</v>
      </c>
      <c r="AM141" s="9" t="s">
        <v>9736</v>
      </c>
      <c r="AN141" s="9" t="s">
        <v>9737</v>
      </c>
      <c r="AO141" s="9" t="s">
        <v>9738</v>
      </c>
      <c r="AP141" s="9" t="s">
        <v>74</v>
      </c>
      <c r="AQ141" s="9" t="s">
        <v>74</v>
      </c>
      <c r="AR141" s="9" t="s">
        <v>9739</v>
      </c>
      <c r="AS141" s="9" t="s">
        <v>9740</v>
      </c>
      <c r="AT141" s="9" t="s">
        <v>376</v>
      </c>
      <c r="AU141" s="9">
        <v>2018</v>
      </c>
      <c r="AV141" s="9">
        <v>11</v>
      </c>
      <c r="AW141" s="9">
        <v>3</v>
      </c>
      <c r="AX141" s="9" t="s">
        <v>74</v>
      </c>
      <c r="AY141" s="9" t="s">
        <v>74</v>
      </c>
      <c r="AZ141" s="9" t="s">
        <v>74</v>
      </c>
      <c r="BA141" s="9" t="s">
        <v>74</v>
      </c>
      <c r="BB141" s="9">
        <v>265</v>
      </c>
      <c r="BC141" s="9">
        <v>283</v>
      </c>
      <c r="BD141" s="9" t="s">
        <v>74</v>
      </c>
      <c r="BE141" s="9" t="s">
        <v>9741</v>
      </c>
      <c r="BF141" s="9">
        <v>0</v>
      </c>
      <c r="BG141" s="9" t="s">
        <v>74</v>
      </c>
      <c r="BH141" s="9" t="s">
        <v>74</v>
      </c>
      <c r="BI141" s="9">
        <v>19</v>
      </c>
      <c r="BJ141" s="9" t="s">
        <v>315</v>
      </c>
      <c r="BK141" s="9" t="s">
        <v>183</v>
      </c>
      <c r="BL141" s="9" t="s">
        <v>265</v>
      </c>
      <c r="BM141" s="9" t="s">
        <v>9742</v>
      </c>
      <c r="BN141" s="9" t="s">
        <v>74</v>
      </c>
      <c r="BO141" s="9" t="s">
        <v>422</v>
      </c>
      <c r="BP141" s="9" t="s">
        <v>74</v>
      </c>
      <c r="BQ141" s="9" t="s">
        <v>74</v>
      </c>
      <c r="BR141" s="9" t="s">
        <v>12946</v>
      </c>
      <c r="BS141" s="9" t="s">
        <v>9743</v>
      </c>
      <c r="BT141" s="9">
        <v>0</v>
      </c>
    </row>
    <row r="142" spans="1:72" x14ac:dyDescent="0.25">
      <c r="A142" s="9" t="s">
        <v>72</v>
      </c>
      <c r="B142" s="9" t="s">
        <v>11198</v>
      </c>
      <c r="C142" s="9" t="s">
        <v>74</v>
      </c>
      <c r="D142" s="9" t="s">
        <v>74</v>
      </c>
      <c r="E142" s="9" t="s">
        <v>74</v>
      </c>
      <c r="F142" s="9" t="s">
        <v>11199</v>
      </c>
      <c r="G142" s="9" t="s">
        <v>74</v>
      </c>
      <c r="H142" s="9" t="s">
        <v>74</v>
      </c>
      <c r="I142" s="9" t="s">
        <v>11200</v>
      </c>
      <c r="J142" s="9" t="s">
        <v>11201</v>
      </c>
      <c r="K142" s="9" t="s">
        <v>74</v>
      </c>
      <c r="L142" s="9" t="s">
        <v>74</v>
      </c>
      <c r="M142" s="9" t="s">
        <v>78</v>
      </c>
      <c r="N142" s="9" t="s">
        <v>79</v>
      </c>
      <c r="O142" s="9" t="s">
        <v>74</v>
      </c>
      <c r="P142" s="9" t="s">
        <v>74</v>
      </c>
      <c r="Q142" s="9" t="s">
        <v>74</v>
      </c>
      <c r="R142" s="9" t="s">
        <v>74</v>
      </c>
      <c r="S142" s="9" t="s">
        <v>74</v>
      </c>
      <c r="T142" s="9" t="s">
        <v>11202</v>
      </c>
      <c r="U142" s="9" t="s">
        <v>11203</v>
      </c>
      <c r="V142" s="9" t="s">
        <v>11204</v>
      </c>
      <c r="W142" s="9" t="s">
        <v>11205</v>
      </c>
      <c r="X142" s="9" t="s">
        <v>11206</v>
      </c>
      <c r="Y142" s="9" t="s">
        <v>11207</v>
      </c>
      <c r="Z142" s="9" t="s">
        <v>11208</v>
      </c>
      <c r="AA142" s="9" t="s">
        <v>74</v>
      </c>
      <c r="AB142" s="9" t="s">
        <v>74</v>
      </c>
      <c r="AC142" s="9" t="s">
        <v>11210</v>
      </c>
      <c r="AD142" s="9" t="s">
        <v>11211</v>
      </c>
      <c r="AE142" s="9" t="s">
        <v>11212</v>
      </c>
      <c r="AF142" s="9" t="s">
        <v>74</v>
      </c>
      <c r="AG142" s="9">
        <v>13</v>
      </c>
      <c r="AH142" s="9">
        <v>2</v>
      </c>
      <c r="AI142" s="9">
        <v>2</v>
      </c>
      <c r="AJ142" s="9">
        <v>0</v>
      </c>
      <c r="AK142" s="9">
        <v>13</v>
      </c>
      <c r="AL142" s="9" t="s">
        <v>2153</v>
      </c>
      <c r="AM142" s="9" t="s">
        <v>2154</v>
      </c>
      <c r="AN142" s="9" t="s">
        <v>2155</v>
      </c>
      <c r="AO142" s="9" t="s">
        <v>11213</v>
      </c>
      <c r="AP142" s="9" t="s">
        <v>11214</v>
      </c>
      <c r="AQ142" s="9" t="s">
        <v>74</v>
      </c>
      <c r="AR142" s="9" t="s">
        <v>11215</v>
      </c>
      <c r="AS142" s="9" t="s">
        <v>11216</v>
      </c>
      <c r="AT142" s="9" t="s">
        <v>1138</v>
      </c>
      <c r="AU142" s="9">
        <v>2016</v>
      </c>
      <c r="AV142" s="9">
        <v>26</v>
      </c>
      <c r="AW142" s="9">
        <v>4</v>
      </c>
      <c r="AX142" s="9" t="s">
        <v>74</v>
      </c>
      <c r="AY142" s="9" t="s">
        <v>74</v>
      </c>
      <c r="AZ142" s="9" t="s">
        <v>74</v>
      </c>
      <c r="BA142" s="9" t="s">
        <v>74</v>
      </c>
      <c r="BB142" s="9" t="s">
        <v>74</v>
      </c>
      <c r="BC142" s="9" t="s">
        <v>74</v>
      </c>
      <c r="BD142" s="9">
        <v>600105</v>
      </c>
      <c r="BE142" s="9" t="s">
        <v>11217</v>
      </c>
      <c r="BF142" s="9">
        <v>0</v>
      </c>
      <c r="BG142" s="9" t="s">
        <v>74</v>
      </c>
      <c r="BH142" s="9" t="s">
        <v>74</v>
      </c>
      <c r="BI142" s="9">
        <v>5</v>
      </c>
      <c r="BJ142" s="9" t="s">
        <v>11218</v>
      </c>
      <c r="BK142" s="9" t="s">
        <v>102</v>
      </c>
      <c r="BL142" s="9" t="s">
        <v>11219</v>
      </c>
      <c r="BM142" s="9" t="s">
        <v>11220</v>
      </c>
      <c r="BN142" s="9" t="s">
        <v>74</v>
      </c>
      <c r="BO142" s="9" t="s">
        <v>74</v>
      </c>
      <c r="BP142" s="9" t="s">
        <v>74</v>
      </c>
      <c r="BQ142" s="9" t="s">
        <v>74</v>
      </c>
      <c r="BR142" s="9" t="s">
        <v>12946</v>
      </c>
      <c r="BS142" s="9" t="s">
        <v>11221</v>
      </c>
      <c r="BT142" s="9">
        <v>0</v>
      </c>
    </row>
    <row r="143" spans="1:72" x14ac:dyDescent="0.25">
      <c r="A143" s="9" t="s">
        <v>72</v>
      </c>
      <c r="B143" s="9" t="s">
        <v>188</v>
      </c>
      <c r="C143" s="9" t="s">
        <v>74</v>
      </c>
      <c r="D143" s="9" t="s">
        <v>74</v>
      </c>
      <c r="E143" s="9" t="s">
        <v>74</v>
      </c>
      <c r="F143" s="9" t="s">
        <v>189</v>
      </c>
      <c r="G143" s="9" t="s">
        <v>74</v>
      </c>
      <c r="H143" s="9" t="s">
        <v>74</v>
      </c>
      <c r="I143" s="9" t="s">
        <v>190</v>
      </c>
      <c r="J143" s="9" t="s">
        <v>191</v>
      </c>
      <c r="K143" s="9" t="s">
        <v>74</v>
      </c>
      <c r="L143" s="9" t="s">
        <v>74</v>
      </c>
      <c r="M143" s="9" t="s">
        <v>78</v>
      </c>
      <c r="N143" s="9" t="s">
        <v>79</v>
      </c>
      <c r="O143" s="9" t="s">
        <v>74</v>
      </c>
      <c r="P143" s="9" t="s">
        <v>74</v>
      </c>
      <c r="Q143" s="9" t="s">
        <v>74</v>
      </c>
      <c r="R143" s="9" t="s">
        <v>74</v>
      </c>
      <c r="S143" s="9" t="s">
        <v>74</v>
      </c>
      <c r="T143" s="9" t="s">
        <v>192</v>
      </c>
      <c r="U143" s="9" t="s">
        <v>193</v>
      </c>
      <c r="V143" s="9" t="s">
        <v>194</v>
      </c>
      <c r="W143" s="9" t="s">
        <v>195</v>
      </c>
      <c r="X143" s="9" t="s">
        <v>196</v>
      </c>
      <c r="Y143" s="9" t="s">
        <v>197</v>
      </c>
      <c r="Z143" s="9" t="s">
        <v>198</v>
      </c>
      <c r="AA143" s="9" t="s">
        <v>74</v>
      </c>
      <c r="AB143" s="9" t="s">
        <v>13119</v>
      </c>
      <c r="AC143" s="9" t="s">
        <v>199</v>
      </c>
      <c r="AD143" s="9" t="s">
        <v>200</v>
      </c>
      <c r="AE143" s="9" t="s">
        <v>201</v>
      </c>
      <c r="AF143" s="9" t="s">
        <v>74</v>
      </c>
      <c r="AG143" s="9">
        <v>60</v>
      </c>
      <c r="AH143" s="9">
        <v>1</v>
      </c>
      <c r="AI143" s="9">
        <v>1</v>
      </c>
      <c r="AJ143" s="9">
        <v>40</v>
      </c>
      <c r="AK143" s="9">
        <v>97</v>
      </c>
      <c r="AL143" s="9" t="s">
        <v>202</v>
      </c>
      <c r="AM143" s="9" t="s">
        <v>203</v>
      </c>
      <c r="AN143" s="9" t="s">
        <v>204</v>
      </c>
      <c r="AO143" s="9" t="s">
        <v>74</v>
      </c>
      <c r="AP143" s="9" t="s">
        <v>205</v>
      </c>
      <c r="AQ143" s="9" t="s">
        <v>74</v>
      </c>
      <c r="AR143" s="9" t="s">
        <v>206</v>
      </c>
      <c r="AS143" s="9" t="s">
        <v>207</v>
      </c>
      <c r="AT143" s="9" t="s">
        <v>208</v>
      </c>
      <c r="AU143" s="9">
        <v>2023</v>
      </c>
      <c r="AV143" s="9">
        <v>15</v>
      </c>
      <c r="AW143" s="9">
        <v>19</v>
      </c>
      <c r="AX143" s="9" t="s">
        <v>74</v>
      </c>
      <c r="AY143" s="9" t="s">
        <v>74</v>
      </c>
      <c r="AZ143" s="9" t="s">
        <v>74</v>
      </c>
      <c r="BA143" s="9" t="s">
        <v>74</v>
      </c>
      <c r="BB143" s="9" t="s">
        <v>74</v>
      </c>
      <c r="BC143" s="9" t="s">
        <v>74</v>
      </c>
      <c r="BD143" s="9">
        <v>14168</v>
      </c>
      <c r="BE143" s="9" t="s">
        <v>209</v>
      </c>
      <c r="BF143" s="9">
        <v>0</v>
      </c>
      <c r="BG143" s="9" t="s">
        <v>74</v>
      </c>
      <c r="BH143" s="9" t="s">
        <v>74</v>
      </c>
      <c r="BI143" s="9">
        <v>37</v>
      </c>
      <c r="BJ143" s="9" t="s">
        <v>210</v>
      </c>
      <c r="BK143" s="9" t="s">
        <v>211</v>
      </c>
      <c r="BL143" s="9" t="s">
        <v>212</v>
      </c>
      <c r="BM143" s="9" t="s">
        <v>213</v>
      </c>
      <c r="BN143" s="9" t="s">
        <v>74</v>
      </c>
      <c r="BO143" s="9" t="s">
        <v>186</v>
      </c>
      <c r="BP143" s="9" t="s">
        <v>74</v>
      </c>
      <c r="BQ143" s="9" t="s">
        <v>74</v>
      </c>
      <c r="BR143" s="9" t="s">
        <v>12946</v>
      </c>
      <c r="BS143" s="9" t="s">
        <v>214</v>
      </c>
      <c r="BT143" s="9">
        <v>0</v>
      </c>
    </row>
    <row r="144" spans="1:72" x14ac:dyDescent="0.25">
      <c r="A144" s="9" t="s">
        <v>72</v>
      </c>
      <c r="B144" s="9" t="s">
        <v>343</v>
      </c>
      <c r="C144" s="9" t="s">
        <v>74</v>
      </c>
      <c r="D144" s="9" t="s">
        <v>74</v>
      </c>
      <c r="E144" s="9" t="s">
        <v>74</v>
      </c>
      <c r="F144" s="9" t="s">
        <v>344</v>
      </c>
      <c r="G144" s="9" t="s">
        <v>74</v>
      </c>
      <c r="H144" s="9" t="s">
        <v>74</v>
      </c>
      <c r="I144" s="9" t="s">
        <v>345</v>
      </c>
      <c r="J144" s="9" t="s">
        <v>191</v>
      </c>
      <c r="K144" s="9" t="s">
        <v>74</v>
      </c>
      <c r="L144" s="9" t="s">
        <v>74</v>
      </c>
      <c r="M144" s="9" t="s">
        <v>78</v>
      </c>
      <c r="N144" s="9" t="s">
        <v>79</v>
      </c>
      <c r="O144" s="9" t="s">
        <v>74</v>
      </c>
      <c r="P144" s="9" t="s">
        <v>74</v>
      </c>
      <c r="Q144" s="9" t="s">
        <v>74</v>
      </c>
      <c r="R144" s="9" t="s">
        <v>74</v>
      </c>
      <c r="S144" s="9" t="s">
        <v>74</v>
      </c>
      <c r="T144" s="9" t="s">
        <v>346</v>
      </c>
      <c r="U144" s="9" t="s">
        <v>347</v>
      </c>
      <c r="V144" s="9" t="s">
        <v>348</v>
      </c>
      <c r="W144" s="9" t="s">
        <v>349</v>
      </c>
      <c r="X144" s="9" t="s">
        <v>350</v>
      </c>
      <c r="Y144" s="9" t="s">
        <v>351</v>
      </c>
      <c r="Z144" s="9" t="s">
        <v>352</v>
      </c>
      <c r="AA144" s="9" t="s">
        <v>13120</v>
      </c>
      <c r="AB144" s="9" t="s">
        <v>353</v>
      </c>
      <c r="AC144" s="9" t="s">
        <v>354</v>
      </c>
      <c r="AD144" s="9" t="s">
        <v>354</v>
      </c>
      <c r="AE144" s="9" t="s">
        <v>355</v>
      </c>
      <c r="AF144" s="9" t="s">
        <v>74</v>
      </c>
      <c r="AG144" s="9">
        <v>97</v>
      </c>
      <c r="AH144" s="9">
        <v>1</v>
      </c>
      <c r="AI144" s="9">
        <v>1</v>
      </c>
      <c r="AJ144" s="9">
        <v>16</v>
      </c>
      <c r="AK144" s="9">
        <v>34</v>
      </c>
      <c r="AL144" s="9" t="s">
        <v>202</v>
      </c>
      <c r="AM144" s="9" t="s">
        <v>203</v>
      </c>
      <c r="AN144" s="9" t="s">
        <v>204</v>
      </c>
      <c r="AO144" s="9" t="s">
        <v>74</v>
      </c>
      <c r="AP144" s="9" t="s">
        <v>205</v>
      </c>
      <c r="AQ144" s="9" t="s">
        <v>74</v>
      </c>
      <c r="AR144" s="9" t="s">
        <v>206</v>
      </c>
      <c r="AS144" s="9" t="s">
        <v>207</v>
      </c>
      <c r="AT144" s="9" t="s">
        <v>356</v>
      </c>
      <c r="AU144" s="9">
        <v>2023</v>
      </c>
      <c r="AV144" s="9">
        <v>15</v>
      </c>
      <c r="AW144" s="9">
        <v>18</v>
      </c>
      <c r="AX144" s="9" t="s">
        <v>74</v>
      </c>
      <c r="AY144" s="9" t="s">
        <v>74</v>
      </c>
      <c r="AZ144" s="9" t="s">
        <v>74</v>
      </c>
      <c r="BA144" s="9" t="s">
        <v>74</v>
      </c>
      <c r="BB144" s="9" t="s">
        <v>74</v>
      </c>
      <c r="BC144" s="9" t="s">
        <v>74</v>
      </c>
      <c r="BD144" s="9">
        <v>13809</v>
      </c>
      <c r="BE144" s="9" t="s">
        <v>357</v>
      </c>
      <c r="BF144" s="9">
        <v>0</v>
      </c>
      <c r="BG144" s="9" t="s">
        <v>74</v>
      </c>
      <c r="BH144" s="9" t="s">
        <v>74</v>
      </c>
      <c r="BI144" s="9">
        <v>18</v>
      </c>
      <c r="BJ144" s="9" t="s">
        <v>210</v>
      </c>
      <c r="BK144" s="9" t="s">
        <v>211</v>
      </c>
      <c r="BL144" s="9" t="s">
        <v>212</v>
      </c>
      <c r="BM144" s="9" t="s">
        <v>358</v>
      </c>
      <c r="BN144" s="9" t="s">
        <v>74</v>
      </c>
      <c r="BO144" s="9" t="s">
        <v>614</v>
      </c>
      <c r="BP144" s="9" t="s">
        <v>74</v>
      </c>
      <c r="BQ144" s="9" t="s">
        <v>74</v>
      </c>
      <c r="BR144" s="9" t="s">
        <v>12946</v>
      </c>
      <c r="BS144" s="9" t="s">
        <v>359</v>
      </c>
      <c r="BT144" s="9">
        <v>0</v>
      </c>
    </row>
    <row r="145" spans="1:72" x14ac:dyDescent="0.25">
      <c r="A145" s="9" t="s">
        <v>72</v>
      </c>
      <c r="B145" s="9" t="s">
        <v>1413</v>
      </c>
      <c r="C145" s="9" t="s">
        <v>74</v>
      </c>
      <c r="D145" s="9" t="s">
        <v>74</v>
      </c>
      <c r="E145" s="9" t="s">
        <v>74</v>
      </c>
      <c r="F145" s="9" t="s">
        <v>1414</v>
      </c>
      <c r="G145" s="9" t="s">
        <v>74</v>
      </c>
      <c r="H145" s="9" t="s">
        <v>74</v>
      </c>
      <c r="I145" s="9" t="s">
        <v>1415</v>
      </c>
      <c r="J145" s="9" t="s">
        <v>1416</v>
      </c>
      <c r="K145" s="9" t="s">
        <v>74</v>
      </c>
      <c r="L145" s="9" t="s">
        <v>74</v>
      </c>
      <c r="M145" s="9" t="s">
        <v>78</v>
      </c>
      <c r="N145" s="9" t="s">
        <v>79</v>
      </c>
      <c r="O145" s="9" t="s">
        <v>74</v>
      </c>
      <c r="P145" s="9" t="s">
        <v>74</v>
      </c>
      <c r="Q145" s="9" t="s">
        <v>74</v>
      </c>
      <c r="R145" s="9" t="s">
        <v>74</v>
      </c>
      <c r="S145" s="9" t="s">
        <v>74</v>
      </c>
      <c r="T145" s="9" t="s">
        <v>1417</v>
      </c>
      <c r="U145" s="9" t="s">
        <v>1418</v>
      </c>
      <c r="V145" s="9" t="s">
        <v>1419</v>
      </c>
      <c r="W145" s="9" t="s">
        <v>1420</v>
      </c>
      <c r="X145" s="9" t="s">
        <v>1421</v>
      </c>
      <c r="Y145" s="9" t="s">
        <v>1422</v>
      </c>
      <c r="Z145" s="9" t="s">
        <v>74</v>
      </c>
      <c r="AA145" s="9" t="s">
        <v>13121</v>
      </c>
      <c r="AB145" s="9" t="s">
        <v>74</v>
      </c>
      <c r="AC145" s="9" t="s">
        <v>74</v>
      </c>
      <c r="AD145" s="9" t="s">
        <v>74</v>
      </c>
      <c r="AE145" s="9" t="s">
        <v>74</v>
      </c>
      <c r="AF145" s="9" t="s">
        <v>74</v>
      </c>
      <c r="AG145" s="9">
        <v>131</v>
      </c>
      <c r="AH145" s="9">
        <v>1</v>
      </c>
      <c r="AI145" s="9">
        <v>1</v>
      </c>
      <c r="AJ145" s="9">
        <v>21</v>
      </c>
      <c r="AK145" s="9">
        <v>70</v>
      </c>
      <c r="AL145" s="9" t="s">
        <v>1423</v>
      </c>
      <c r="AM145" s="9" t="s">
        <v>1424</v>
      </c>
      <c r="AN145" s="9" t="s">
        <v>1425</v>
      </c>
      <c r="AO145" s="9" t="s">
        <v>1426</v>
      </c>
      <c r="AP145" s="9" t="s">
        <v>1427</v>
      </c>
      <c r="AQ145" s="9" t="s">
        <v>74</v>
      </c>
      <c r="AR145" s="9" t="s">
        <v>1428</v>
      </c>
      <c r="AS145" s="9" t="s">
        <v>1429</v>
      </c>
      <c r="AT145" s="9" t="s">
        <v>1430</v>
      </c>
      <c r="AU145" s="9">
        <v>2023</v>
      </c>
      <c r="AV145" s="9">
        <v>18</v>
      </c>
      <c r="AW145" s="9">
        <v>1</v>
      </c>
      <c r="AX145" s="9" t="s">
        <v>74</v>
      </c>
      <c r="AY145" s="9" t="s">
        <v>74</v>
      </c>
      <c r="AZ145" s="9" t="s">
        <v>74</v>
      </c>
      <c r="BA145" s="9" t="s">
        <v>74</v>
      </c>
      <c r="BB145" s="9">
        <v>149</v>
      </c>
      <c r="BC145" s="9">
        <v>170</v>
      </c>
      <c r="BD145" s="9" t="s">
        <v>74</v>
      </c>
      <c r="BE145" s="9" t="s">
        <v>1431</v>
      </c>
      <c r="BF145" s="9">
        <v>0</v>
      </c>
      <c r="BG145" s="9" t="s">
        <v>74</v>
      </c>
      <c r="BH145" s="9" t="s">
        <v>74</v>
      </c>
      <c r="BI145" s="9">
        <v>22</v>
      </c>
      <c r="BJ145" s="9" t="s">
        <v>521</v>
      </c>
      <c r="BK145" s="9" t="s">
        <v>183</v>
      </c>
      <c r="BL145" s="9" t="s">
        <v>265</v>
      </c>
      <c r="BM145" s="9" t="s">
        <v>1432</v>
      </c>
      <c r="BN145" s="9" t="s">
        <v>74</v>
      </c>
      <c r="BO145" s="9" t="s">
        <v>186</v>
      </c>
      <c r="BP145" s="9" t="s">
        <v>74</v>
      </c>
      <c r="BQ145" s="9" t="s">
        <v>74</v>
      </c>
      <c r="BR145" s="9" t="s">
        <v>12946</v>
      </c>
      <c r="BS145" s="9" t="s">
        <v>1433</v>
      </c>
      <c r="BT145" s="9">
        <v>0</v>
      </c>
    </row>
    <row r="146" spans="1:72" x14ac:dyDescent="0.25">
      <c r="A146" s="9" t="s">
        <v>72</v>
      </c>
      <c r="B146" s="9" t="s">
        <v>4378</v>
      </c>
      <c r="C146" s="9" t="s">
        <v>74</v>
      </c>
      <c r="D146" s="9" t="s">
        <v>74</v>
      </c>
      <c r="E146" s="9" t="s">
        <v>74</v>
      </c>
      <c r="F146" s="9" t="s">
        <v>4379</v>
      </c>
      <c r="G146" s="9" t="s">
        <v>74</v>
      </c>
      <c r="H146" s="9" t="s">
        <v>74</v>
      </c>
      <c r="I146" s="9" t="s">
        <v>4380</v>
      </c>
      <c r="J146" s="9" t="s">
        <v>4381</v>
      </c>
      <c r="K146" s="9" t="s">
        <v>74</v>
      </c>
      <c r="L146" s="9" t="s">
        <v>74</v>
      </c>
      <c r="M146" s="9" t="s">
        <v>78</v>
      </c>
      <c r="N146" s="9" t="s">
        <v>79</v>
      </c>
      <c r="O146" s="9" t="s">
        <v>74</v>
      </c>
      <c r="P146" s="9" t="s">
        <v>74</v>
      </c>
      <c r="Q146" s="9" t="s">
        <v>74</v>
      </c>
      <c r="R146" s="9" t="s">
        <v>74</v>
      </c>
      <c r="S146" s="9" t="s">
        <v>74</v>
      </c>
      <c r="T146" s="9" t="s">
        <v>4382</v>
      </c>
      <c r="U146" s="9" t="s">
        <v>4383</v>
      </c>
      <c r="V146" s="9" t="s">
        <v>4384</v>
      </c>
      <c r="W146" s="9" t="s">
        <v>4385</v>
      </c>
      <c r="X146" s="9" t="s">
        <v>4386</v>
      </c>
      <c r="Y146" s="9" t="s">
        <v>4387</v>
      </c>
      <c r="Z146" s="9" t="s">
        <v>4388</v>
      </c>
      <c r="AA146" s="9" t="s">
        <v>13122</v>
      </c>
      <c r="AB146" s="9" t="s">
        <v>4390</v>
      </c>
      <c r="AC146" s="9" t="s">
        <v>4391</v>
      </c>
      <c r="AD146" s="9" t="s">
        <v>4391</v>
      </c>
      <c r="AE146" s="9" t="s">
        <v>4392</v>
      </c>
      <c r="AF146" s="9" t="s">
        <v>74</v>
      </c>
      <c r="AG146" s="9">
        <v>48</v>
      </c>
      <c r="AH146" s="9">
        <v>1</v>
      </c>
      <c r="AI146" s="9">
        <v>1</v>
      </c>
      <c r="AJ146" s="9">
        <v>5</v>
      </c>
      <c r="AK146" s="9">
        <v>26</v>
      </c>
      <c r="AL146" s="9" t="s">
        <v>715</v>
      </c>
      <c r="AM146" s="9" t="s">
        <v>716</v>
      </c>
      <c r="AN146" s="9" t="s">
        <v>717</v>
      </c>
      <c r="AO146" s="9" t="s">
        <v>4393</v>
      </c>
      <c r="AP146" s="9" t="s">
        <v>4394</v>
      </c>
      <c r="AQ146" s="9" t="s">
        <v>74</v>
      </c>
      <c r="AR146" s="9" t="s">
        <v>4395</v>
      </c>
      <c r="AS146" s="9" t="s">
        <v>4396</v>
      </c>
      <c r="AT146" s="9" t="s">
        <v>1582</v>
      </c>
      <c r="AU146" s="9">
        <v>2023</v>
      </c>
      <c r="AV146" s="9">
        <v>27</v>
      </c>
      <c r="AW146" s="9">
        <v>2</v>
      </c>
      <c r="AX146" s="9" t="s">
        <v>74</v>
      </c>
      <c r="AY146" s="9" t="s">
        <v>74</v>
      </c>
      <c r="AZ146" s="9" t="s">
        <v>74</v>
      </c>
      <c r="BA146" s="9" t="s">
        <v>74</v>
      </c>
      <c r="BB146" s="9">
        <v>201</v>
      </c>
      <c r="BC146" s="9">
        <v>219</v>
      </c>
      <c r="BD146" s="9" t="s">
        <v>74</v>
      </c>
      <c r="BE146" s="9" t="s">
        <v>4397</v>
      </c>
      <c r="BF146" s="9">
        <v>0</v>
      </c>
      <c r="BG146" s="9" t="s">
        <v>74</v>
      </c>
      <c r="BH146" s="9" t="s">
        <v>4337</v>
      </c>
      <c r="BI146" s="9">
        <v>19</v>
      </c>
      <c r="BJ146" s="9" t="s">
        <v>264</v>
      </c>
      <c r="BK146" s="9" t="s">
        <v>156</v>
      </c>
      <c r="BL146" s="9" t="s">
        <v>265</v>
      </c>
      <c r="BM146" s="9" t="s">
        <v>4398</v>
      </c>
      <c r="BN146" s="9" t="s">
        <v>74</v>
      </c>
      <c r="BO146" s="9" t="s">
        <v>74</v>
      </c>
      <c r="BP146" s="9" t="s">
        <v>74</v>
      </c>
      <c r="BQ146" s="9" t="s">
        <v>74</v>
      </c>
      <c r="BR146" s="9" t="s">
        <v>12946</v>
      </c>
      <c r="BS146" s="9" t="s">
        <v>4399</v>
      </c>
      <c r="BT146" s="9">
        <v>0</v>
      </c>
    </row>
    <row r="147" spans="1:72" x14ac:dyDescent="0.25">
      <c r="A147" s="9" t="s">
        <v>72</v>
      </c>
      <c r="B147" s="9" t="s">
        <v>5832</v>
      </c>
      <c r="C147" s="9" t="s">
        <v>74</v>
      </c>
      <c r="D147" s="9" t="s">
        <v>74</v>
      </c>
      <c r="E147" s="9" t="s">
        <v>74</v>
      </c>
      <c r="F147" s="9" t="s">
        <v>5833</v>
      </c>
      <c r="G147" s="9" t="s">
        <v>74</v>
      </c>
      <c r="H147" s="9" t="s">
        <v>74</v>
      </c>
      <c r="I147" s="9" t="s">
        <v>5834</v>
      </c>
      <c r="J147" s="9" t="s">
        <v>5835</v>
      </c>
      <c r="K147" s="9" t="s">
        <v>74</v>
      </c>
      <c r="L147" s="9" t="s">
        <v>74</v>
      </c>
      <c r="M147" s="9" t="s">
        <v>78</v>
      </c>
      <c r="N147" s="9" t="s">
        <v>79</v>
      </c>
      <c r="O147" s="9" t="s">
        <v>74</v>
      </c>
      <c r="P147" s="9" t="s">
        <v>74</v>
      </c>
      <c r="Q147" s="9" t="s">
        <v>74</v>
      </c>
      <c r="R147" s="9" t="s">
        <v>74</v>
      </c>
      <c r="S147" s="9" t="s">
        <v>74</v>
      </c>
      <c r="T147" s="9" t="s">
        <v>5836</v>
      </c>
      <c r="U147" s="9" t="s">
        <v>74</v>
      </c>
      <c r="V147" s="9" t="s">
        <v>5837</v>
      </c>
      <c r="W147" s="9" t="s">
        <v>5838</v>
      </c>
      <c r="X147" s="9" t="s">
        <v>5839</v>
      </c>
      <c r="Y147" s="9" t="s">
        <v>5840</v>
      </c>
      <c r="Z147" s="9" t="s">
        <v>74</v>
      </c>
      <c r="AA147" s="9" t="s">
        <v>74</v>
      </c>
      <c r="AB147" s="9" t="s">
        <v>74</v>
      </c>
      <c r="AC147" s="9" t="s">
        <v>74</v>
      </c>
      <c r="AD147" s="9" t="s">
        <v>74</v>
      </c>
      <c r="AE147" s="9" t="s">
        <v>74</v>
      </c>
      <c r="AF147" s="9" t="s">
        <v>74</v>
      </c>
      <c r="AG147" s="9">
        <v>1</v>
      </c>
      <c r="AH147" s="9">
        <v>1</v>
      </c>
      <c r="AI147" s="9">
        <v>1</v>
      </c>
      <c r="AJ147" s="9">
        <v>2</v>
      </c>
      <c r="AK147" s="9">
        <v>47</v>
      </c>
      <c r="AL147" s="9" t="s">
        <v>5841</v>
      </c>
      <c r="AM147" s="9" t="s">
        <v>5842</v>
      </c>
      <c r="AN147" s="9" t="s">
        <v>5843</v>
      </c>
      <c r="AO147" s="9" t="s">
        <v>5844</v>
      </c>
      <c r="AP147" s="9" t="s">
        <v>5845</v>
      </c>
      <c r="AQ147" s="9" t="s">
        <v>74</v>
      </c>
      <c r="AR147" s="9" t="s">
        <v>5846</v>
      </c>
      <c r="AS147" s="9" t="s">
        <v>5847</v>
      </c>
      <c r="AT147" s="9" t="s">
        <v>5848</v>
      </c>
      <c r="AU147" s="9">
        <v>2021</v>
      </c>
      <c r="AV147" s="9">
        <v>23</v>
      </c>
      <c r="AW147" s="9">
        <v>5</v>
      </c>
      <c r="AX147" s="9" t="s">
        <v>74</v>
      </c>
      <c r="AY147" s="9" t="s">
        <v>74</v>
      </c>
      <c r="AZ147" s="9" t="s">
        <v>74</v>
      </c>
      <c r="BA147" s="9" t="s">
        <v>74</v>
      </c>
      <c r="BB147" s="9">
        <v>17</v>
      </c>
      <c r="BC147" s="9">
        <v>22</v>
      </c>
      <c r="BD147" s="9" t="s">
        <v>74</v>
      </c>
      <c r="BE147" s="9" t="s">
        <v>5849</v>
      </c>
      <c r="BF147" s="9">
        <v>0</v>
      </c>
      <c r="BG147" s="9" t="s">
        <v>74</v>
      </c>
      <c r="BH147" s="9" t="s">
        <v>74</v>
      </c>
      <c r="BI147" s="9">
        <v>6</v>
      </c>
      <c r="BJ147" s="9" t="s">
        <v>5850</v>
      </c>
      <c r="BK147" s="9" t="s">
        <v>102</v>
      </c>
      <c r="BL147" s="9" t="s">
        <v>3155</v>
      </c>
      <c r="BM147" s="9" t="s">
        <v>5851</v>
      </c>
      <c r="BN147" s="9" t="s">
        <v>74</v>
      </c>
      <c r="BO147" s="9" t="s">
        <v>74</v>
      </c>
      <c r="BP147" s="9" t="s">
        <v>74</v>
      </c>
      <c r="BQ147" s="9" t="s">
        <v>74</v>
      </c>
      <c r="BR147" s="9" t="s">
        <v>12946</v>
      </c>
      <c r="BS147" s="9" t="s">
        <v>5852</v>
      </c>
      <c r="BT147" s="9">
        <v>0</v>
      </c>
    </row>
    <row r="148" spans="1:72" x14ac:dyDescent="0.25">
      <c r="A148" s="9" t="s">
        <v>72</v>
      </c>
      <c r="B148" s="9" t="s">
        <v>6063</v>
      </c>
      <c r="C148" s="9" t="s">
        <v>74</v>
      </c>
      <c r="D148" s="9" t="s">
        <v>74</v>
      </c>
      <c r="E148" s="9" t="s">
        <v>74</v>
      </c>
      <c r="F148" s="9" t="s">
        <v>6064</v>
      </c>
      <c r="G148" s="9" t="s">
        <v>74</v>
      </c>
      <c r="H148" s="9" t="s">
        <v>74</v>
      </c>
      <c r="I148" s="9" t="s">
        <v>6065</v>
      </c>
      <c r="J148" s="9" t="s">
        <v>6066</v>
      </c>
      <c r="K148" s="9" t="s">
        <v>74</v>
      </c>
      <c r="L148" s="9" t="s">
        <v>74</v>
      </c>
      <c r="M148" s="9" t="s">
        <v>78</v>
      </c>
      <c r="N148" s="9" t="s">
        <v>79</v>
      </c>
      <c r="O148" s="9" t="s">
        <v>74</v>
      </c>
      <c r="P148" s="9" t="s">
        <v>74</v>
      </c>
      <c r="Q148" s="9" t="s">
        <v>74</v>
      </c>
      <c r="R148" s="9" t="s">
        <v>74</v>
      </c>
      <c r="S148" s="9" t="s">
        <v>74</v>
      </c>
      <c r="T148" s="9" t="s">
        <v>6067</v>
      </c>
      <c r="U148" s="9" t="s">
        <v>74</v>
      </c>
      <c r="V148" s="9" t="s">
        <v>6068</v>
      </c>
      <c r="W148" s="9" t="s">
        <v>6069</v>
      </c>
      <c r="X148" s="9" t="s">
        <v>6070</v>
      </c>
      <c r="Y148" s="9" t="s">
        <v>6071</v>
      </c>
      <c r="Z148" s="9" t="s">
        <v>6072</v>
      </c>
      <c r="AA148" s="9" t="s">
        <v>74</v>
      </c>
      <c r="AB148" s="9" t="s">
        <v>74</v>
      </c>
      <c r="AC148" s="9" t="s">
        <v>74</v>
      </c>
      <c r="AD148" s="9" t="s">
        <v>74</v>
      </c>
      <c r="AE148" s="9" t="s">
        <v>74</v>
      </c>
      <c r="AF148" s="9" t="s">
        <v>74</v>
      </c>
      <c r="AG148" s="9">
        <v>39</v>
      </c>
      <c r="AH148" s="9">
        <v>1</v>
      </c>
      <c r="AI148" s="9">
        <v>1</v>
      </c>
      <c r="AJ148" s="9">
        <v>1</v>
      </c>
      <c r="AK148" s="9">
        <v>16</v>
      </c>
      <c r="AL148" s="9" t="s">
        <v>1856</v>
      </c>
      <c r="AM148" s="9" t="s">
        <v>1857</v>
      </c>
      <c r="AN148" s="9" t="s">
        <v>1858</v>
      </c>
      <c r="AO148" s="9" t="s">
        <v>6073</v>
      </c>
      <c r="AP148" s="9" t="s">
        <v>6074</v>
      </c>
      <c r="AQ148" s="9" t="s">
        <v>74</v>
      </c>
      <c r="AR148" s="9" t="s">
        <v>6075</v>
      </c>
      <c r="AS148" s="9" t="s">
        <v>6076</v>
      </c>
      <c r="AT148" s="9" t="s">
        <v>476</v>
      </c>
      <c r="AU148" s="9">
        <v>2022</v>
      </c>
      <c r="AV148" s="9">
        <v>23</v>
      </c>
      <c r="AW148" s="9">
        <v>4</v>
      </c>
      <c r="AX148" s="9" t="s">
        <v>74</v>
      </c>
      <c r="AY148" s="9" t="s">
        <v>74</v>
      </c>
      <c r="AZ148" s="9" t="s">
        <v>74</v>
      </c>
      <c r="BA148" s="9" t="s">
        <v>74</v>
      </c>
      <c r="BB148" s="9">
        <v>351</v>
      </c>
      <c r="BC148" s="9">
        <v>367</v>
      </c>
      <c r="BD148" s="9" t="s">
        <v>74</v>
      </c>
      <c r="BE148" s="9" t="s">
        <v>6077</v>
      </c>
      <c r="BF148" s="9">
        <v>0</v>
      </c>
      <c r="BG148" s="9" t="s">
        <v>74</v>
      </c>
      <c r="BH148" s="9" t="s">
        <v>6012</v>
      </c>
      <c r="BI148" s="9">
        <v>17</v>
      </c>
      <c r="BJ148" s="9" t="s">
        <v>479</v>
      </c>
      <c r="BK148" s="9" t="s">
        <v>183</v>
      </c>
      <c r="BL148" s="9" t="s">
        <v>265</v>
      </c>
      <c r="BM148" s="9" t="s">
        <v>6078</v>
      </c>
      <c r="BN148" s="9" t="s">
        <v>74</v>
      </c>
      <c r="BO148" s="9" t="s">
        <v>74</v>
      </c>
      <c r="BP148" s="9" t="s">
        <v>74</v>
      </c>
      <c r="BQ148" s="9" t="s">
        <v>74</v>
      </c>
      <c r="BR148" s="9" t="s">
        <v>12946</v>
      </c>
      <c r="BS148" s="9" t="s">
        <v>6079</v>
      </c>
      <c r="BT148" s="9">
        <v>0</v>
      </c>
    </row>
    <row r="149" spans="1:72" x14ac:dyDescent="0.25">
      <c r="A149" s="9" t="s">
        <v>72</v>
      </c>
      <c r="B149" s="9" t="s">
        <v>10824</v>
      </c>
      <c r="C149" s="9" t="s">
        <v>74</v>
      </c>
      <c r="D149" s="9" t="s">
        <v>74</v>
      </c>
      <c r="E149" s="9" t="s">
        <v>74</v>
      </c>
      <c r="F149" s="9" t="s">
        <v>10825</v>
      </c>
      <c r="G149" s="9" t="s">
        <v>74</v>
      </c>
      <c r="H149" s="9" t="s">
        <v>74</v>
      </c>
      <c r="I149" s="9" t="s">
        <v>10826</v>
      </c>
      <c r="J149" s="9" t="s">
        <v>10827</v>
      </c>
      <c r="K149" s="9" t="s">
        <v>74</v>
      </c>
      <c r="L149" s="9" t="s">
        <v>74</v>
      </c>
      <c r="M149" s="9" t="s">
        <v>78</v>
      </c>
      <c r="N149" s="9" t="s">
        <v>79</v>
      </c>
      <c r="O149" s="9" t="s">
        <v>74</v>
      </c>
      <c r="P149" s="9" t="s">
        <v>74</v>
      </c>
      <c r="Q149" s="9" t="s">
        <v>74</v>
      </c>
      <c r="R149" s="9" t="s">
        <v>74</v>
      </c>
      <c r="S149" s="9" t="s">
        <v>74</v>
      </c>
      <c r="T149" s="9" t="s">
        <v>10828</v>
      </c>
      <c r="U149" s="9" t="s">
        <v>74</v>
      </c>
      <c r="V149" s="9" t="s">
        <v>10829</v>
      </c>
      <c r="W149" s="9" t="s">
        <v>10830</v>
      </c>
      <c r="X149" s="9" t="s">
        <v>74</v>
      </c>
      <c r="Y149" s="9" t="s">
        <v>10831</v>
      </c>
      <c r="Z149" s="9" t="s">
        <v>10832</v>
      </c>
      <c r="AA149" s="9" t="s">
        <v>74</v>
      </c>
      <c r="AB149" s="9" t="s">
        <v>74</v>
      </c>
      <c r="AC149" s="9" t="s">
        <v>74</v>
      </c>
      <c r="AD149" s="9" t="s">
        <v>74</v>
      </c>
      <c r="AE149" s="9" t="s">
        <v>74</v>
      </c>
      <c r="AF149" s="9" t="s">
        <v>74</v>
      </c>
      <c r="AG149" s="9">
        <v>34</v>
      </c>
      <c r="AH149" s="9">
        <v>1</v>
      </c>
      <c r="AI149" s="9">
        <v>2</v>
      </c>
      <c r="AJ149" s="9">
        <v>0</v>
      </c>
      <c r="AK149" s="9">
        <v>10</v>
      </c>
      <c r="AL149" s="9" t="s">
        <v>10833</v>
      </c>
      <c r="AM149" s="9" t="s">
        <v>3016</v>
      </c>
      <c r="AN149" s="9" t="s">
        <v>3017</v>
      </c>
      <c r="AO149" s="9" t="s">
        <v>10834</v>
      </c>
      <c r="AP149" s="9" t="s">
        <v>10835</v>
      </c>
      <c r="AQ149" s="9" t="s">
        <v>74</v>
      </c>
      <c r="AR149" s="9" t="s">
        <v>10836</v>
      </c>
      <c r="AS149" s="9" t="s">
        <v>10837</v>
      </c>
      <c r="AT149" s="9" t="s">
        <v>74</v>
      </c>
      <c r="AU149" s="9">
        <v>2017</v>
      </c>
      <c r="AV149" s="9">
        <v>28</v>
      </c>
      <c r="AW149" s="9">
        <v>2</v>
      </c>
      <c r="AX149" s="9" t="s">
        <v>74</v>
      </c>
      <c r="AY149" s="9" t="s">
        <v>74</v>
      </c>
      <c r="AZ149" s="9" t="s">
        <v>74</v>
      </c>
      <c r="BA149" s="9" t="s">
        <v>74</v>
      </c>
      <c r="BB149" s="9">
        <v>11</v>
      </c>
      <c r="BC149" s="9">
        <v>26</v>
      </c>
      <c r="BD149" s="9" t="s">
        <v>74</v>
      </c>
      <c r="BE149" s="9" t="s">
        <v>10838</v>
      </c>
      <c r="BF149" s="9">
        <v>0</v>
      </c>
      <c r="BG149" s="9" t="s">
        <v>74</v>
      </c>
      <c r="BH149" s="9" t="s">
        <v>74</v>
      </c>
      <c r="BI149" s="9">
        <v>16</v>
      </c>
      <c r="BJ149" s="9" t="s">
        <v>2192</v>
      </c>
      <c r="BK149" s="9" t="s">
        <v>183</v>
      </c>
      <c r="BL149" s="9" t="s">
        <v>2193</v>
      </c>
      <c r="BM149" s="9" t="s">
        <v>10839</v>
      </c>
      <c r="BN149" s="9" t="s">
        <v>74</v>
      </c>
      <c r="BO149" s="9" t="s">
        <v>74</v>
      </c>
      <c r="BP149" s="9" t="s">
        <v>74</v>
      </c>
      <c r="BQ149" s="9" t="s">
        <v>74</v>
      </c>
      <c r="BR149" s="9" t="s">
        <v>12946</v>
      </c>
      <c r="BS149" s="9" t="s">
        <v>10840</v>
      </c>
      <c r="BT149" s="9">
        <v>0</v>
      </c>
    </row>
    <row r="150" spans="1:72" x14ac:dyDescent="0.25">
      <c r="A150" s="9" t="s">
        <v>72</v>
      </c>
      <c r="B150" s="9" t="s">
        <v>12156</v>
      </c>
      <c r="C150" s="9" t="s">
        <v>74</v>
      </c>
      <c r="D150" s="9" t="s">
        <v>74</v>
      </c>
      <c r="E150" s="9" t="s">
        <v>74</v>
      </c>
      <c r="F150" s="9" t="s">
        <v>12157</v>
      </c>
      <c r="G150" s="9" t="s">
        <v>74</v>
      </c>
      <c r="H150" s="9" t="s">
        <v>74</v>
      </c>
      <c r="I150" s="9" t="s">
        <v>12158</v>
      </c>
      <c r="J150" s="9" t="s">
        <v>12159</v>
      </c>
      <c r="K150" s="9" t="s">
        <v>74</v>
      </c>
      <c r="L150" s="9" t="s">
        <v>74</v>
      </c>
      <c r="M150" s="9" t="s">
        <v>78</v>
      </c>
      <c r="N150" s="9" t="s">
        <v>79</v>
      </c>
      <c r="O150" s="9" t="s">
        <v>74</v>
      </c>
      <c r="P150" s="9" t="s">
        <v>74</v>
      </c>
      <c r="Q150" s="9" t="s">
        <v>74</v>
      </c>
      <c r="R150" s="9" t="s">
        <v>74</v>
      </c>
      <c r="S150" s="9" t="s">
        <v>74</v>
      </c>
      <c r="T150" s="9" t="s">
        <v>12160</v>
      </c>
      <c r="U150" s="9" t="s">
        <v>12161</v>
      </c>
      <c r="V150" s="9" t="s">
        <v>12162</v>
      </c>
      <c r="W150" s="9" t="s">
        <v>12163</v>
      </c>
      <c r="X150" s="9" t="s">
        <v>12164</v>
      </c>
      <c r="Y150" s="9" t="s">
        <v>12165</v>
      </c>
      <c r="Z150" s="9" t="s">
        <v>12166</v>
      </c>
      <c r="AA150" s="9" t="s">
        <v>74</v>
      </c>
      <c r="AB150" s="9" t="s">
        <v>74</v>
      </c>
      <c r="AC150" s="9" t="s">
        <v>74</v>
      </c>
      <c r="AD150" s="9" t="s">
        <v>74</v>
      </c>
      <c r="AE150" s="9" t="s">
        <v>74</v>
      </c>
      <c r="AF150" s="9" t="s">
        <v>74</v>
      </c>
      <c r="AG150" s="9">
        <v>57</v>
      </c>
      <c r="AH150" s="9">
        <v>1</v>
      </c>
      <c r="AI150" s="9">
        <v>1</v>
      </c>
      <c r="AJ150" s="9">
        <v>0</v>
      </c>
      <c r="AK150" s="9">
        <v>2</v>
      </c>
      <c r="AL150" s="9" t="s">
        <v>12167</v>
      </c>
      <c r="AM150" s="9" t="s">
        <v>7643</v>
      </c>
      <c r="AN150" s="9" t="s">
        <v>12168</v>
      </c>
      <c r="AO150" s="9" t="s">
        <v>12169</v>
      </c>
      <c r="AP150" s="9" t="s">
        <v>74</v>
      </c>
      <c r="AQ150" s="9" t="s">
        <v>74</v>
      </c>
      <c r="AR150" s="9" t="s">
        <v>12170</v>
      </c>
      <c r="AS150" s="9" t="s">
        <v>12171</v>
      </c>
      <c r="AT150" s="9" t="s">
        <v>1138</v>
      </c>
      <c r="AU150" s="9">
        <v>2013</v>
      </c>
      <c r="AV150" s="9">
        <v>15</v>
      </c>
      <c r="AW150" s="9">
        <v>2</v>
      </c>
      <c r="AX150" s="9" t="s">
        <v>74</v>
      </c>
      <c r="AY150" s="9" t="s">
        <v>74</v>
      </c>
      <c r="AZ150" s="9" t="s">
        <v>74</v>
      </c>
      <c r="BA150" s="9" t="s">
        <v>74</v>
      </c>
      <c r="BB150" s="9">
        <v>54</v>
      </c>
      <c r="BC150" s="9">
        <v>66</v>
      </c>
      <c r="BD150" s="9" t="s">
        <v>74</v>
      </c>
      <c r="BE150" s="9" t="s">
        <v>74</v>
      </c>
      <c r="BF150" s="9" t="s">
        <v>74</v>
      </c>
      <c r="BG150" s="9" t="s">
        <v>74</v>
      </c>
      <c r="BH150" s="9" t="s">
        <v>74</v>
      </c>
      <c r="BI150" s="9">
        <v>13</v>
      </c>
      <c r="BJ150" s="9" t="s">
        <v>12172</v>
      </c>
      <c r="BK150" s="9" t="s">
        <v>102</v>
      </c>
      <c r="BL150" s="9" t="s">
        <v>12172</v>
      </c>
      <c r="BM150" s="9" t="s">
        <v>12173</v>
      </c>
      <c r="BN150" s="9" t="s">
        <v>74</v>
      </c>
      <c r="BO150" s="9" t="s">
        <v>74</v>
      </c>
      <c r="BP150" s="9" t="s">
        <v>74</v>
      </c>
      <c r="BQ150" s="9" t="s">
        <v>74</v>
      </c>
      <c r="BR150" s="9" t="s">
        <v>12946</v>
      </c>
      <c r="BS150" s="9" t="s">
        <v>12174</v>
      </c>
      <c r="BT150" s="9">
        <v>0</v>
      </c>
    </row>
    <row r="151" spans="1:72" x14ac:dyDescent="0.25">
      <c r="A151" s="9" t="s">
        <v>72</v>
      </c>
      <c r="B151" s="9" t="s">
        <v>243</v>
      </c>
      <c r="C151" s="9" t="s">
        <v>74</v>
      </c>
      <c r="D151" s="9" t="s">
        <v>74</v>
      </c>
      <c r="E151" s="9" t="s">
        <v>74</v>
      </c>
      <c r="F151" s="9" t="s">
        <v>244</v>
      </c>
      <c r="G151" s="9" t="s">
        <v>74</v>
      </c>
      <c r="H151" s="9" t="s">
        <v>74</v>
      </c>
      <c r="I151" s="9" t="s">
        <v>245</v>
      </c>
      <c r="J151" s="9" t="s">
        <v>246</v>
      </c>
      <c r="K151" s="9" t="s">
        <v>74</v>
      </c>
      <c r="L151" s="9" t="s">
        <v>74</v>
      </c>
      <c r="M151" s="9" t="s">
        <v>78</v>
      </c>
      <c r="N151" s="9" t="s">
        <v>79</v>
      </c>
      <c r="O151" s="9" t="s">
        <v>74</v>
      </c>
      <c r="P151" s="9" t="s">
        <v>74</v>
      </c>
      <c r="Q151" s="9" t="s">
        <v>74</v>
      </c>
      <c r="R151" s="9" t="s">
        <v>74</v>
      </c>
      <c r="S151" s="9" t="s">
        <v>74</v>
      </c>
      <c r="T151" s="9" t="s">
        <v>247</v>
      </c>
      <c r="U151" s="9" t="s">
        <v>248</v>
      </c>
      <c r="V151" s="9" t="s">
        <v>249</v>
      </c>
      <c r="W151" s="9" t="s">
        <v>250</v>
      </c>
      <c r="X151" s="9" t="s">
        <v>13123</v>
      </c>
      <c r="Y151" s="9" t="s">
        <v>252</v>
      </c>
      <c r="Z151" s="9" t="s">
        <v>253</v>
      </c>
      <c r="AA151" s="9" t="s">
        <v>13124</v>
      </c>
      <c r="AB151" s="9" t="s">
        <v>74</v>
      </c>
      <c r="AC151" s="9" t="s">
        <v>74</v>
      </c>
      <c r="AD151" s="9" t="s">
        <v>74</v>
      </c>
      <c r="AE151" s="9" t="s">
        <v>74</v>
      </c>
      <c r="AF151" s="9" t="s">
        <v>74</v>
      </c>
      <c r="AG151" s="9">
        <v>144</v>
      </c>
      <c r="AH151" s="9">
        <v>0</v>
      </c>
      <c r="AI151" s="9">
        <v>0</v>
      </c>
      <c r="AJ151" s="9">
        <v>10</v>
      </c>
      <c r="AK151" s="9">
        <v>21</v>
      </c>
      <c r="AL151" s="9" t="s">
        <v>254</v>
      </c>
      <c r="AM151" s="9" t="s">
        <v>255</v>
      </c>
      <c r="AN151" s="9" t="s">
        <v>256</v>
      </c>
      <c r="AO151" s="9" t="s">
        <v>257</v>
      </c>
      <c r="AP151" s="9" t="s">
        <v>258</v>
      </c>
      <c r="AQ151" s="9" t="s">
        <v>74</v>
      </c>
      <c r="AR151" s="9" t="s">
        <v>259</v>
      </c>
      <c r="AS151" s="9" t="s">
        <v>260</v>
      </c>
      <c r="AT151" s="9" t="s">
        <v>476</v>
      </c>
      <c r="AU151" s="9">
        <v>2023</v>
      </c>
      <c r="AV151" s="9">
        <v>21</v>
      </c>
      <c r="AW151" s="9">
        <v>4</v>
      </c>
      <c r="AX151" s="9" t="s">
        <v>74</v>
      </c>
      <c r="AY151" s="9" t="s">
        <v>74</v>
      </c>
      <c r="AZ151" s="9" t="s">
        <v>74</v>
      </c>
      <c r="BA151" s="9" t="s">
        <v>74</v>
      </c>
      <c r="BB151" s="9">
        <v>797</v>
      </c>
      <c r="BC151" s="9">
        <v>835</v>
      </c>
      <c r="BD151" s="9" t="s">
        <v>74</v>
      </c>
      <c r="BE151" s="9" t="s">
        <v>262</v>
      </c>
      <c r="BF151" s="9">
        <v>0</v>
      </c>
      <c r="BG151" s="9" t="s">
        <v>74</v>
      </c>
      <c r="BH151" s="9" t="s">
        <v>263</v>
      </c>
      <c r="BI151" s="9">
        <v>39</v>
      </c>
      <c r="BJ151" s="9" t="s">
        <v>264</v>
      </c>
      <c r="BK151" s="9" t="s">
        <v>156</v>
      </c>
      <c r="BL151" s="9" t="s">
        <v>265</v>
      </c>
      <c r="BM151" s="9" t="s">
        <v>13125</v>
      </c>
      <c r="BN151" s="9" t="s">
        <v>74</v>
      </c>
      <c r="BO151" s="9" t="s">
        <v>74</v>
      </c>
      <c r="BP151" s="9" t="s">
        <v>74</v>
      </c>
      <c r="BQ151" s="9" t="s">
        <v>74</v>
      </c>
      <c r="BR151" s="9" t="s">
        <v>12946</v>
      </c>
      <c r="BS151" s="9" t="s">
        <v>267</v>
      </c>
      <c r="BT151" s="9">
        <v>0</v>
      </c>
    </row>
    <row r="152" spans="1:72" x14ac:dyDescent="0.25">
      <c r="A152" s="9" t="s">
        <v>72</v>
      </c>
      <c r="B152" s="9" t="s">
        <v>295</v>
      </c>
      <c r="C152" s="9" t="s">
        <v>74</v>
      </c>
      <c r="D152" s="9" t="s">
        <v>74</v>
      </c>
      <c r="E152" s="9" t="s">
        <v>74</v>
      </c>
      <c r="F152" s="9" t="s">
        <v>296</v>
      </c>
      <c r="G152" s="9" t="s">
        <v>74</v>
      </c>
      <c r="H152" s="9" t="s">
        <v>74</v>
      </c>
      <c r="I152" s="9" t="s">
        <v>297</v>
      </c>
      <c r="J152" s="9" t="s">
        <v>298</v>
      </c>
      <c r="K152" s="9" t="s">
        <v>74</v>
      </c>
      <c r="L152" s="9" t="s">
        <v>74</v>
      </c>
      <c r="M152" s="9" t="s">
        <v>78</v>
      </c>
      <c r="N152" s="9" t="s">
        <v>79</v>
      </c>
      <c r="O152" s="9" t="s">
        <v>74</v>
      </c>
      <c r="P152" s="9" t="s">
        <v>74</v>
      </c>
      <c r="Q152" s="9" t="s">
        <v>74</v>
      </c>
      <c r="R152" s="9" t="s">
        <v>74</v>
      </c>
      <c r="S152" s="9" t="s">
        <v>74</v>
      </c>
      <c r="T152" s="9" t="s">
        <v>74</v>
      </c>
      <c r="U152" s="9" t="s">
        <v>299</v>
      </c>
      <c r="V152" s="9" t="s">
        <v>300</v>
      </c>
      <c r="W152" s="9" t="s">
        <v>301</v>
      </c>
      <c r="X152" s="9" t="s">
        <v>302</v>
      </c>
      <c r="Y152" s="9" t="s">
        <v>303</v>
      </c>
      <c r="Z152" s="9" t="s">
        <v>304</v>
      </c>
      <c r="AA152" s="9" t="s">
        <v>305</v>
      </c>
      <c r="AB152" s="9" t="s">
        <v>306</v>
      </c>
      <c r="AC152" s="9" t="s">
        <v>307</v>
      </c>
      <c r="AD152" s="9" t="s">
        <v>307</v>
      </c>
      <c r="AE152" s="9" t="s">
        <v>308</v>
      </c>
      <c r="AF152" s="9" t="s">
        <v>74</v>
      </c>
      <c r="AG152" s="9">
        <v>69</v>
      </c>
      <c r="AH152" s="9">
        <v>0</v>
      </c>
      <c r="AI152" s="9">
        <v>0</v>
      </c>
      <c r="AJ152" s="9">
        <v>2</v>
      </c>
      <c r="AK152" s="9">
        <v>2</v>
      </c>
      <c r="AL152" s="9" t="s">
        <v>146</v>
      </c>
      <c r="AM152" s="9" t="s">
        <v>147</v>
      </c>
      <c r="AN152" s="9" t="s">
        <v>148</v>
      </c>
      <c r="AO152" s="9" t="s">
        <v>309</v>
      </c>
      <c r="AP152" s="9" t="s">
        <v>310</v>
      </c>
      <c r="AQ152" s="9" t="s">
        <v>74</v>
      </c>
      <c r="AR152" s="9" t="s">
        <v>311</v>
      </c>
      <c r="AS152" s="9" t="s">
        <v>312</v>
      </c>
      <c r="AT152" s="9" t="s">
        <v>2068</v>
      </c>
      <c r="AU152" s="9">
        <v>2024</v>
      </c>
      <c r="AV152" s="9">
        <v>31</v>
      </c>
      <c r="AW152" s="9">
        <v>1</v>
      </c>
      <c r="AX152" s="9" t="s">
        <v>74</v>
      </c>
      <c r="AY152" s="9" t="s">
        <v>74</v>
      </c>
      <c r="AZ152" s="9" t="s">
        <v>74</v>
      </c>
      <c r="BA152" s="9" t="s">
        <v>74</v>
      </c>
      <c r="BB152" s="9">
        <v>69</v>
      </c>
      <c r="BC152" s="9">
        <v>80</v>
      </c>
      <c r="BD152" s="9" t="s">
        <v>74</v>
      </c>
      <c r="BE152" s="9" t="s">
        <v>314</v>
      </c>
      <c r="BF152" s="9">
        <v>0</v>
      </c>
      <c r="BG152" s="9" t="s">
        <v>74</v>
      </c>
      <c r="BH152" s="9" t="s">
        <v>263</v>
      </c>
      <c r="BI152" s="9">
        <v>12</v>
      </c>
      <c r="BJ152" s="9" t="s">
        <v>315</v>
      </c>
      <c r="BK152" s="9" t="s">
        <v>183</v>
      </c>
      <c r="BL152" s="9" t="s">
        <v>265</v>
      </c>
      <c r="BM152" s="9" t="s">
        <v>13126</v>
      </c>
      <c r="BN152" s="9" t="s">
        <v>74</v>
      </c>
      <c r="BO152" s="9" t="s">
        <v>105</v>
      </c>
      <c r="BP152" s="9" t="s">
        <v>74</v>
      </c>
      <c r="BQ152" s="9" t="s">
        <v>74</v>
      </c>
      <c r="BR152" s="9" t="s">
        <v>12946</v>
      </c>
      <c r="BS152" s="9" t="s">
        <v>317</v>
      </c>
      <c r="BT152" s="9">
        <v>0</v>
      </c>
    </row>
    <row r="153" spans="1:72" x14ac:dyDescent="0.25">
      <c r="A153" s="9" t="s">
        <v>72</v>
      </c>
      <c r="B153" s="9" t="s">
        <v>482</v>
      </c>
      <c r="C153" s="9" t="s">
        <v>74</v>
      </c>
      <c r="D153" s="9" t="s">
        <v>74</v>
      </c>
      <c r="E153" s="9" t="s">
        <v>74</v>
      </c>
      <c r="F153" s="9" t="s">
        <v>483</v>
      </c>
      <c r="G153" s="9" t="s">
        <v>74</v>
      </c>
      <c r="H153" s="9" t="s">
        <v>74</v>
      </c>
      <c r="I153" s="9" t="s">
        <v>484</v>
      </c>
      <c r="J153" s="9" t="s">
        <v>485</v>
      </c>
      <c r="K153" s="9" t="s">
        <v>74</v>
      </c>
      <c r="L153" s="9" t="s">
        <v>74</v>
      </c>
      <c r="M153" s="9" t="s">
        <v>78</v>
      </c>
      <c r="N153" s="9" t="s">
        <v>112</v>
      </c>
      <c r="O153" s="9" t="s">
        <v>74</v>
      </c>
      <c r="P153" s="9" t="s">
        <v>74</v>
      </c>
      <c r="Q153" s="9" t="s">
        <v>74</v>
      </c>
      <c r="R153" s="9" t="s">
        <v>74</v>
      </c>
      <c r="S153" s="9" t="s">
        <v>74</v>
      </c>
      <c r="T153" s="9" t="s">
        <v>486</v>
      </c>
      <c r="U153" s="9" t="s">
        <v>487</v>
      </c>
      <c r="V153" s="9" t="s">
        <v>488</v>
      </c>
      <c r="W153" s="9" t="s">
        <v>489</v>
      </c>
      <c r="X153" s="9" t="s">
        <v>490</v>
      </c>
      <c r="Y153" s="9" t="s">
        <v>491</v>
      </c>
      <c r="Z153" s="9" t="s">
        <v>74</v>
      </c>
      <c r="AA153" s="9" t="s">
        <v>13127</v>
      </c>
      <c r="AB153" s="9" t="s">
        <v>13128</v>
      </c>
      <c r="AC153" s="9" t="s">
        <v>74</v>
      </c>
      <c r="AD153" s="9" t="s">
        <v>74</v>
      </c>
      <c r="AE153" s="9" t="s">
        <v>74</v>
      </c>
      <c r="AF153" s="9" t="s">
        <v>74</v>
      </c>
      <c r="AG153" s="9">
        <v>208</v>
      </c>
      <c r="AH153" s="9">
        <v>0</v>
      </c>
      <c r="AI153" s="9">
        <v>0</v>
      </c>
      <c r="AJ153" s="9">
        <v>15</v>
      </c>
      <c r="AK153" s="9">
        <v>44</v>
      </c>
      <c r="AL153" s="9" t="s">
        <v>492</v>
      </c>
      <c r="AM153" s="9" t="s">
        <v>493</v>
      </c>
      <c r="AN153" s="9" t="s">
        <v>494</v>
      </c>
      <c r="AO153" s="9" t="s">
        <v>495</v>
      </c>
      <c r="AP153" s="9" t="s">
        <v>496</v>
      </c>
      <c r="AQ153" s="9" t="s">
        <v>74</v>
      </c>
      <c r="AR153" s="9" t="s">
        <v>497</v>
      </c>
      <c r="AS153" s="9" t="s">
        <v>498</v>
      </c>
      <c r="AT153" s="9" t="s">
        <v>499</v>
      </c>
      <c r="AU153" s="9">
        <v>2023</v>
      </c>
      <c r="AV153" s="9" t="s">
        <v>74</v>
      </c>
      <c r="AW153" s="9" t="s">
        <v>74</v>
      </c>
      <c r="AX153" s="9" t="s">
        <v>74</v>
      </c>
      <c r="AY153" s="9" t="s">
        <v>74</v>
      </c>
      <c r="AZ153" s="9" t="s">
        <v>74</v>
      </c>
      <c r="BA153" s="9" t="s">
        <v>74</v>
      </c>
      <c r="BB153" s="9" t="s">
        <v>74</v>
      </c>
      <c r="BC153" s="9" t="s">
        <v>74</v>
      </c>
      <c r="BD153" s="9" t="s">
        <v>74</v>
      </c>
      <c r="BE153" s="9" t="s">
        <v>500</v>
      </c>
      <c r="BF153" s="9">
        <v>0</v>
      </c>
      <c r="BG153" s="9" t="s">
        <v>74</v>
      </c>
      <c r="BH153" s="9" t="s">
        <v>501</v>
      </c>
      <c r="BI153" s="9">
        <v>36</v>
      </c>
      <c r="BJ153" s="9" t="s">
        <v>479</v>
      </c>
      <c r="BK153" s="9" t="s">
        <v>156</v>
      </c>
      <c r="BL153" s="9" t="s">
        <v>265</v>
      </c>
      <c r="BM153" s="9" t="s">
        <v>502</v>
      </c>
      <c r="BN153" s="9" t="s">
        <v>74</v>
      </c>
      <c r="BO153" s="9" t="s">
        <v>74</v>
      </c>
      <c r="BP153" s="9" t="s">
        <v>74</v>
      </c>
      <c r="BQ153" s="9" t="s">
        <v>74</v>
      </c>
      <c r="BR153" s="9" t="s">
        <v>12946</v>
      </c>
      <c r="BS153" s="9" t="s">
        <v>503</v>
      </c>
      <c r="BT153" s="9">
        <v>0</v>
      </c>
    </row>
    <row r="154" spans="1:72" x14ac:dyDescent="0.25">
      <c r="A154" s="9" t="s">
        <v>72</v>
      </c>
      <c r="B154" s="9" t="s">
        <v>504</v>
      </c>
      <c r="C154" s="9" t="s">
        <v>74</v>
      </c>
      <c r="D154" s="9" t="s">
        <v>74</v>
      </c>
      <c r="E154" s="9" t="s">
        <v>74</v>
      </c>
      <c r="F154" s="9" t="s">
        <v>505</v>
      </c>
      <c r="G154" s="9" t="s">
        <v>74</v>
      </c>
      <c r="H154" s="9" t="s">
        <v>74</v>
      </c>
      <c r="I154" s="9" t="s">
        <v>506</v>
      </c>
      <c r="J154" s="9" t="s">
        <v>507</v>
      </c>
      <c r="K154" s="9" t="s">
        <v>74</v>
      </c>
      <c r="L154" s="9" t="s">
        <v>74</v>
      </c>
      <c r="M154" s="9" t="s">
        <v>78</v>
      </c>
      <c r="N154" s="9" t="s">
        <v>79</v>
      </c>
      <c r="O154" s="9" t="s">
        <v>74</v>
      </c>
      <c r="P154" s="9" t="s">
        <v>74</v>
      </c>
      <c r="Q154" s="9" t="s">
        <v>74</v>
      </c>
      <c r="R154" s="9" t="s">
        <v>74</v>
      </c>
      <c r="S154" s="9" t="s">
        <v>74</v>
      </c>
      <c r="T154" s="9" t="s">
        <v>508</v>
      </c>
      <c r="U154" s="9" t="s">
        <v>509</v>
      </c>
      <c r="V154" s="9" t="s">
        <v>510</v>
      </c>
      <c r="W154" s="9" t="s">
        <v>511</v>
      </c>
      <c r="X154" s="9" t="s">
        <v>512</v>
      </c>
      <c r="Y154" s="9" t="s">
        <v>513</v>
      </c>
      <c r="Z154" s="9" t="s">
        <v>514</v>
      </c>
      <c r="AA154" s="9" t="s">
        <v>13129</v>
      </c>
      <c r="AB154" s="9" t="s">
        <v>13130</v>
      </c>
      <c r="AC154" s="9" t="s">
        <v>74</v>
      </c>
      <c r="AD154" s="9" t="s">
        <v>74</v>
      </c>
      <c r="AE154" s="9" t="s">
        <v>74</v>
      </c>
      <c r="AF154" s="9" t="s">
        <v>74</v>
      </c>
      <c r="AG154" s="9">
        <v>64</v>
      </c>
      <c r="AH154" s="9">
        <v>0</v>
      </c>
      <c r="AI154" s="9">
        <v>0</v>
      </c>
      <c r="AJ154" s="9">
        <v>9</v>
      </c>
      <c r="AK154" s="9">
        <v>21</v>
      </c>
      <c r="AL154" s="9" t="s">
        <v>121</v>
      </c>
      <c r="AM154" s="9" t="s">
        <v>122</v>
      </c>
      <c r="AN154" s="9" t="s">
        <v>123</v>
      </c>
      <c r="AO154" s="9" t="s">
        <v>515</v>
      </c>
      <c r="AP154" s="9" t="s">
        <v>516</v>
      </c>
      <c r="AQ154" s="9" t="s">
        <v>74</v>
      </c>
      <c r="AR154" s="9" t="s">
        <v>517</v>
      </c>
      <c r="AS154" s="9" t="s">
        <v>518</v>
      </c>
      <c r="AT154" s="9" t="s">
        <v>1138</v>
      </c>
      <c r="AU154" s="9">
        <v>2024</v>
      </c>
      <c r="AV154" s="9">
        <v>15</v>
      </c>
      <c r="AW154" s="9">
        <v>2</v>
      </c>
      <c r="AX154" s="9" t="s">
        <v>74</v>
      </c>
      <c r="AY154" s="9" t="s">
        <v>74</v>
      </c>
      <c r="AZ154" s="9" t="s">
        <v>74</v>
      </c>
      <c r="BA154" s="9" t="s">
        <v>74</v>
      </c>
      <c r="BB154" s="9">
        <v>9576</v>
      </c>
      <c r="BC154" s="9">
        <v>9596</v>
      </c>
      <c r="BD154" s="9" t="s">
        <v>74</v>
      </c>
      <c r="BE154" s="9" t="s">
        <v>520</v>
      </c>
      <c r="BF154" s="9">
        <v>0</v>
      </c>
      <c r="BG154" s="9" t="s">
        <v>74</v>
      </c>
      <c r="BH154" s="9" t="s">
        <v>501</v>
      </c>
      <c r="BI154" s="9">
        <v>21</v>
      </c>
      <c r="BJ154" s="9" t="s">
        <v>521</v>
      </c>
      <c r="BK154" s="9" t="s">
        <v>156</v>
      </c>
      <c r="BL154" s="9" t="s">
        <v>265</v>
      </c>
      <c r="BM154" s="9" t="s">
        <v>13131</v>
      </c>
      <c r="BN154" s="9" t="s">
        <v>74</v>
      </c>
      <c r="BO154" s="9" t="s">
        <v>105</v>
      </c>
      <c r="BP154" s="9" t="s">
        <v>74</v>
      </c>
      <c r="BQ154" s="9" t="s">
        <v>74</v>
      </c>
      <c r="BR154" s="9" t="s">
        <v>12946</v>
      </c>
      <c r="BS154" s="9" t="s">
        <v>523</v>
      </c>
      <c r="BT154" s="9">
        <v>0</v>
      </c>
    </row>
    <row r="155" spans="1:72" x14ac:dyDescent="0.25">
      <c r="A155" s="9" t="s">
        <v>72</v>
      </c>
      <c r="B155" s="9" t="s">
        <v>1125</v>
      </c>
      <c r="C155" s="9" t="s">
        <v>74</v>
      </c>
      <c r="D155" s="9" t="s">
        <v>74</v>
      </c>
      <c r="E155" s="9" t="s">
        <v>74</v>
      </c>
      <c r="F155" s="9" t="s">
        <v>1126</v>
      </c>
      <c r="G155" s="9" t="s">
        <v>74</v>
      </c>
      <c r="H155" s="9" t="s">
        <v>74</v>
      </c>
      <c r="I155" s="9" t="s">
        <v>1127</v>
      </c>
      <c r="J155" s="9" t="s">
        <v>1128</v>
      </c>
      <c r="K155" s="9" t="s">
        <v>74</v>
      </c>
      <c r="L155" s="9" t="s">
        <v>74</v>
      </c>
      <c r="M155" s="9" t="s">
        <v>78</v>
      </c>
      <c r="N155" s="9" t="s">
        <v>79</v>
      </c>
      <c r="O155" s="9" t="s">
        <v>74</v>
      </c>
      <c r="P155" s="9" t="s">
        <v>74</v>
      </c>
      <c r="Q155" s="9" t="s">
        <v>74</v>
      </c>
      <c r="R155" s="9" t="s">
        <v>74</v>
      </c>
      <c r="S155" s="9" t="s">
        <v>74</v>
      </c>
      <c r="T155" s="9" t="s">
        <v>1129</v>
      </c>
      <c r="U155" s="9" t="s">
        <v>1130</v>
      </c>
      <c r="V155" s="9" t="s">
        <v>1131</v>
      </c>
      <c r="W155" s="9" t="s">
        <v>1132</v>
      </c>
      <c r="X155" s="9" t="s">
        <v>74</v>
      </c>
      <c r="Y155" s="9" t="s">
        <v>1133</v>
      </c>
      <c r="Z155" s="9" t="s">
        <v>1134</v>
      </c>
      <c r="AA155" s="9" t="s">
        <v>13132</v>
      </c>
      <c r="AB155" s="9" t="s">
        <v>1135</v>
      </c>
      <c r="AC155" s="9" t="s">
        <v>74</v>
      </c>
      <c r="AD155" s="9" t="s">
        <v>74</v>
      </c>
      <c r="AE155" s="9" t="s">
        <v>74</v>
      </c>
      <c r="AF155" s="9" t="s">
        <v>74</v>
      </c>
      <c r="AG155" s="9">
        <v>125</v>
      </c>
      <c r="AH155" s="9">
        <v>0</v>
      </c>
      <c r="AI155" s="9">
        <v>0</v>
      </c>
      <c r="AJ155" s="9">
        <v>5</v>
      </c>
      <c r="AK155" s="9">
        <v>14</v>
      </c>
      <c r="AL155" s="9" t="s">
        <v>202</v>
      </c>
      <c r="AM155" s="9" t="s">
        <v>203</v>
      </c>
      <c r="AN155" s="9" t="s">
        <v>204</v>
      </c>
      <c r="AO155" s="9" t="s">
        <v>74</v>
      </c>
      <c r="AP155" s="9" t="s">
        <v>1136</v>
      </c>
      <c r="AQ155" s="9" t="s">
        <v>74</v>
      </c>
      <c r="AR155" s="9" t="s">
        <v>1128</v>
      </c>
      <c r="AS155" s="9" t="s">
        <v>1137</v>
      </c>
      <c r="AT155" s="9" t="s">
        <v>1138</v>
      </c>
      <c r="AU155" s="9">
        <v>2023</v>
      </c>
      <c r="AV155" s="9">
        <v>11</v>
      </c>
      <c r="AW155" s="9">
        <v>6</v>
      </c>
      <c r="AX155" s="9" t="s">
        <v>74</v>
      </c>
      <c r="AY155" s="9" t="s">
        <v>74</v>
      </c>
      <c r="AZ155" s="9" t="s">
        <v>74</v>
      </c>
      <c r="BA155" s="9" t="s">
        <v>74</v>
      </c>
      <c r="BB155" s="9" t="s">
        <v>74</v>
      </c>
      <c r="BC155" s="9" t="s">
        <v>74</v>
      </c>
      <c r="BD155" s="9">
        <v>106</v>
      </c>
      <c r="BE155" s="9" t="s">
        <v>1139</v>
      </c>
      <c r="BF155" s="9">
        <v>0</v>
      </c>
      <c r="BG155" s="9" t="s">
        <v>74</v>
      </c>
      <c r="BH155" s="9" t="s">
        <v>74</v>
      </c>
      <c r="BI155" s="9">
        <v>23</v>
      </c>
      <c r="BJ155" s="9" t="s">
        <v>479</v>
      </c>
      <c r="BK155" s="9" t="s">
        <v>183</v>
      </c>
      <c r="BL155" s="9" t="s">
        <v>265</v>
      </c>
      <c r="BM155" s="9" t="s">
        <v>1140</v>
      </c>
      <c r="BN155" s="9" t="s">
        <v>74</v>
      </c>
      <c r="BO155" s="9" t="s">
        <v>186</v>
      </c>
      <c r="BP155" s="9" t="s">
        <v>74</v>
      </c>
      <c r="BQ155" s="9" t="s">
        <v>74</v>
      </c>
      <c r="BR155" s="9" t="s">
        <v>12946</v>
      </c>
      <c r="BS155" s="9" t="s">
        <v>1141</v>
      </c>
      <c r="BT155" s="9">
        <v>0</v>
      </c>
    </row>
    <row r="156" spans="1:72" x14ac:dyDescent="0.25">
      <c r="A156" s="9" t="s">
        <v>72</v>
      </c>
      <c r="B156" s="9" t="s">
        <v>1688</v>
      </c>
      <c r="C156" s="9" t="s">
        <v>74</v>
      </c>
      <c r="D156" s="9" t="s">
        <v>74</v>
      </c>
      <c r="E156" s="9" t="s">
        <v>74</v>
      </c>
      <c r="F156" s="9" t="s">
        <v>1689</v>
      </c>
      <c r="G156" s="9" t="s">
        <v>74</v>
      </c>
      <c r="H156" s="9" t="s">
        <v>74</v>
      </c>
      <c r="I156" s="9" t="s">
        <v>1690</v>
      </c>
      <c r="J156" s="9" t="s">
        <v>1691</v>
      </c>
      <c r="K156" s="9" t="s">
        <v>74</v>
      </c>
      <c r="L156" s="9" t="s">
        <v>74</v>
      </c>
      <c r="M156" s="9" t="s">
        <v>78</v>
      </c>
      <c r="N156" s="9" t="s">
        <v>79</v>
      </c>
      <c r="O156" s="9" t="s">
        <v>74</v>
      </c>
      <c r="P156" s="9" t="s">
        <v>74</v>
      </c>
      <c r="Q156" s="9" t="s">
        <v>74</v>
      </c>
      <c r="R156" s="9" t="s">
        <v>74</v>
      </c>
      <c r="S156" s="9" t="s">
        <v>74</v>
      </c>
      <c r="T156" s="9" t="s">
        <v>1692</v>
      </c>
      <c r="U156" s="9" t="s">
        <v>1693</v>
      </c>
      <c r="V156" s="9" t="s">
        <v>1694</v>
      </c>
      <c r="W156" s="9" t="s">
        <v>1695</v>
      </c>
      <c r="X156" s="9" t="s">
        <v>1696</v>
      </c>
      <c r="Y156" s="9" t="s">
        <v>1697</v>
      </c>
      <c r="Z156" s="9" t="s">
        <v>74</v>
      </c>
      <c r="AA156" s="9" t="s">
        <v>74</v>
      </c>
      <c r="AB156" s="9" t="s">
        <v>74</v>
      </c>
      <c r="AC156" s="9" t="s">
        <v>1698</v>
      </c>
      <c r="AD156" s="9" t="s">
        <v>1699</v>
      </c>
      <c r="AE156" s="9" t="s">
        <v>1700</v>
      </c>
      <c r="AF156" s="9" t="s">
        <v>74</v>
      </c>
      <c r="AG156" s="9">
        <v>49</v>
      </c>
      <c r="AH156" s="9">
        <v>0</v>
      </c>
      <c r="AI156" s="9">
        <v>0</v>
      </c>
      <c r="AJ156" s="9">
        <v>7</v>
      </c>
      <c r="AK156" s="9">
        <v>10</v>
      </c>
      <c r="AL156" s="9" t="s">
        <v>1701</v>
      </c>
      <c r="AM156" s="9" t="s">
        <v>1702</v>
      </c>
      <c r="AN156" s="9" t="s">
        <v>1703</v>
      </c>
      <c r="AO156" s="9" t="s">
        <v>1704</v>
      </c>
      <c r="AP156" s="9" t="s">
        <v>1705</v>
      </c>
      <c r="AQ156" s="9" t="s">
        <v>74</v>
      </c>
      <c r="AR156" s="9" t="s">
        <v>1706</v>
      </c>
      <c r="AS156" s="9" t="s">
        <v>1707</v>
      </c>
      <c r="AT156" s="9" t="s">
        <v>1683</v>
      </c>
      <c r="AU156" s="9">
        <v>2023</v>
      </c>
      <c r="AV156" s="9">
        <v>17</v>
      </c>
      <c r="AW156" s="9">
        <v>1</v>
      </c>
      <c r="AX156" s="9" t="s">
        <v>74</v>
      </c>
      <c r="AY156" s="9" t="s">
        <v>74</v>
      </c>
      <c r="AZ156" s="9" t="s">
        <v>74</v>
      </c>
      <c r="BA156" s="9" t="s">
        <v>74</v>
      </c>
      <c r="BB156" s="9">
        <v>74</v>
      </c>
      <c r="BC156" s="9">
        <v>125</v>
      </c>
      <c r="BD156" s="9" t="s">
        <v>74</v>
      </c>
      <c r="BE156" s="9" t="s">
        <v>1708</v>
      </c>
      <c r="BF156" s="9">
        <v>0</v>
      </c>
      <c r="BG156" s="9" t="s">
        <v>74</v>
      </c>
      <c r="BH156" s="9" t="s">
        <v>74</v>
      </c>
      <c r="BI156" s="9">
        <v>52</v>
      </c>
      <c r="BJ156" s="9" t="s">
        <v>1023</v>
      </c>
      <c r="BK156" s="9" t="s">
        <v>183</v>
      </c>
      <c r="BL156" s="9" t="s">
        <v>265</v>
      </c>
      <c r="BM156" s="9" t="s">
        <v>1709</v>
      </c>
      <c r="BN156" s="9" t="s">
        <v>74</v>
      </c>
      <c r="BO156" s="9" t="s">
        <v>74</v>
      </c>
      <c r="BP156" s="9" t="s">
        <v>74</v>
      </c>
      <c r="BQ156" s="9" t="s">
        <v>74</v>
      </c>
      <c r="BR156" s="9" t="s">
        <v>12946</v>
      </c>
      <c r="BS156" s="9" t="s">
        <v>1710</v>
      </c>
      <c r="BT156" s="9">
        <v>0</v>
      </c>
    </row>
    <row r="157" spans="1:72" x14ac:dyDescent="0.25">
      <c r="A157" s="9" t="s">
        <v>72</v>
      </c>
      <c r="B157" s="9" t="s">
        <v>1908</v>
      </c>
      <c r="C157" s="9" t="s">
        <v>74</v>
      </c>
      <c r="D157" s="9" t="s">
        <v>74</v>
      </c>
      <c r="E157" s="9" t="s">
        <v>74</v>
      </c>
      <c r="F157" s="9" t="s">
        <v>1909</v>
      </c>
      <c r="G157" s="9" t="s">
        <v>74</v>
      </c>
      <c r="H157" s="9" t="s">
        <v>74</v>
      </c>
      <c r="I157" s="9" t="s">
        <v>1910</v>
      </c>
      <c r="J157" s="9" t="s">
        <v>1911</v>
      </c>
      <c r="K157" s="9" t="s">
        <v>74</v>
      </c>
      <c r="L157" s="9" t="s">
        <v>74</v>
      </c>
      <c r="M157" s="9" t="s">
        <v>78</v>
      </c>
      <c r="N157" s="9" t="s">
        <v>79</v>
      </c>
      <c r="O157" s="9" t="s">
        <v>74</v>
      </c>
      <c r="P157" s="9" t="s">
        <v>74</v>
      </c>
      <c r="Q157" s="9" t="s">
        <v>74</v>
      </c>
      <c r="R157" s="9" t="s">
        <v>74</v>
      </c>
      <c r="S157" s="9" t="s">
        <v>74</v>
      </c>
      <c r="T157" s="9" t="s">
        <v>1912</v>
      </c>
      <c r="U157" s="9" t="s">
        <v>1913</v>
      </c>
      <c r="V157" s="9" t="s">
        <v>1914</v>
      </c>
      <c r="W157" s="9" t="s">
        <v>1915</v>
      </c>
      <c r="X157" s="9" t="s">
        <v>1916</v>
      </c>
      <c r="Y157" s="9" t="s">
        <v>1917</v>
      </c>
      <c r="Z157" s="9" t="s">
        <v>1918</v>
      </c>
      <c r="AA157" s="9" t="s">
        <v>74</v>
      </c>
      <c r="AB157" s="9" t="s">
        <v>74</v>
      </c>
      <c r="AC157" s="9" t="s">
        <v>74</v>
      </c>
      <c r="AD157" s="9" t="s">
        <v>74</v>
      </c>
      <c r="AE157" s="9" t="s">
        <v>74</v>
      </c>
      <c r="AF157" s="9" t="s">
        <v>74</v>
      </c>
      <c r="AG157" s="9">
        <v>129</v>
      </c>
      <c r="AH157" s="9">
        <v>0</v>
      </c>
      <c r="AI157" s="9">
        <v>0</v>
      </c>
      <c r="AJ157" s="9">
        <v>8</v>
      </c>
      <c r="AK157" s="9">
        <v>24</v>
      </c>
      <c r="AL157" s="9" t="s">
        <v>1919</v>
      </c>
      <c r="AM157" s="9" t="s">
        <v>1920</v>
      </c>
      <c r="AN157" s="9" t="s">
        <v>1921</v>
      </c>
      <c r="AO157" s="9" t="s">
        <v>1922</v>
      </c>
      <c r="AP157" s="9" t="s">
        <v>1923</v>
      </c>
      <c r="AQ157" s="9" t="s">
        <v>74</v>
      </c>
      <c r="AR157" s="9" t="s">
        <v>1924</v>
      </c>
      <c r="AS157" s="9" t="s">
        <v>1925</v>
      </c>
      <c r="AT157" s="9" t="s">
        <v>1904</v>
      </c>
      <c r="AU157" s="9">
        <v>2023</v>
      </c>
      <c r="AV157" s="9">
        <v>27</v>
      </c>
      <c r="AW157" s="9" t="s">
        <v>1926</v>
      </c>
      <c r="AX157" s="9" t="s">
        <v>74</v>
      </c>
      <c r="AY157" s="9" t="s">
        <v>74</v>
      </c>
      <c r="AZ157" s="9" t="s">
        <v>74</v>
      </c>
      <c r="BA157" s="9" t="s">
        <v>74</v>
      </c>
      <c r="BB157" s="9" t="s">
        <v>74</v>
      </c>
      <c r="BC157" s="9" t="s">
        <v>74</v>
      </c>
      <c r="BD157" s="9">
        <v>2350011</v>
      </c>
      <c r="BE157" s="9" t="s">
        <v>1927</v>
      </c>
      <c r="BF157" s="9">
        <v>0</v>
      </c>
      <c r="BG157" s="9" t="s">
        <v>74</v>
      </c>
      <c r="BH157" s="9" t="s">
        <v>74</v>
      </c>
      <c r="BI157" s="9">
        <v>34</v>
      </c>
      <c r="BJ157" s="9" t="s">
        <v>315</v>
      </c>
      <c r="BK157" s="9" t="s">
        <v>183</v>
      </c>
      <c r="BL157" s="9" t="s">
        <v>265</v>
      </c>
      <c r="BM157" s="9" t="s">
        <v>1928</v>
      </c>
      <c r="BN157" s="9" t="s">
        <v>74</v>
      </c>
      <c r="BO157" s="9" t="s">
        <v>74</v>
      </c>
      <c r="BP157" s="9" t="s">
        <v>74</v>
      </c>
      <c r="BQ157" s="9" t="s">
        <v>74</v>
      </c>
      <c r="BR157" s="9" t="s">
        <v>12946</v>
      </c>
      <c r="BS157" s="9" t="s">
        <v>1929</v>
      </c>
      <c r="BT157" s="9">
        <v>0</v>
      </c>
    </row>
    <row r="158" spans="1:72" x14ac:dyDescent="0.25">
      <c r="A158" s="9" t="s">
        <v>72</v>
      </c>
      <c r="B158" s="9" t="s">
        <v>2164</v>
      </c>
      <c r="C158" s="9" t="s">
        <v>74</v>
      </c>
      <c r="D158" s="9" t="s">
        <v>74</v>
      </c>
      <c r="E158" s="9" t="s">
        <v>74</v>
      </c>
      <c r="F158" s="9" t="s">
        <v>2165</v>
      </c>
      <c r="G158" s="9" t="s">
        <v>74</v>
      </c>
      <c r="H158" s="9" t="s">
        <v>74</v>
      </c>
      <c r="I158" s="9" t="s">
        <v>2166</v>
      </c>
      <c r="J158" s="9" t="s">
        <v>191</v>
      </c>
      <c r="K158" s="9" t="s">
        <v>74</v>
      </c>
      <c r="L158" s="9" t="s">
        <v>74</v>
      </c>
      <c r="M158" s="9" t="s">
        <v>78</v>
      </c>
      <c r="N158" s="9" t="s">
        <v>79</v>
      </c>
      <c r="O158" s="9" t="s">
        <v>74</v>
      </c>
      <c r="P158" s="9" t="s">
        <v>74</v>
      </c>
      <c r="Q158" s="9" t="s">
        <v>74</v>
      </c>
      <c r="R158" s="9" t="s">
        <v>74</v>
      </c>
      <c r="S158" s="9" t="s">
        <v>74</v>
      </c>
      <c r="T158" s="9" t="s">
        <v>2167</v>
      </c>
      <c r="U158" s="9" t="s">
        <v>2168</v>
      </c>
      <c r="V158" s="9" t="s">
        <v>2169</v>
      </c>
      <c r="W158" s="9" t="s">
        <v>2170</v>
      </c>
      <c r="X158" s="9" t="s">
        <v>2171</v>
      </c>
      <c r="Y158" s="9" t="s">
        <v>2172</v>
      </c>
      <c r="Z158" s="9" t="s">
        <v>2173</v>
      </c>
      <c r="AA158" s="9" t="s">
        <v>74</v>
      </c>
      <c r="AB158" s="9" t="s">
        <v>2174</v>
      </c>
      <c r="AC158" s="9" t="s">
        <v>74</v>
      </c>
      <c r="AD158" s="9" t="s">
        <v>74</v>
      </c>
      <c r="AE158" s="9" t="s">
        <v>74</v>
      </c>
      <c r="AF158" s="9" t="s">
        <v>74</v>
      </c>
      <c r="AG158" s="9">
        <v>49</v>
      </c>
      <c r="AH158" s="9">
        <v>0</v>
      </c>
      <c r="AI158" s="9">
        <v>0</v>
      </c>
      <c r="AJ158" s="9">
        <v>8</v>
      </c>
      <c r="AK158" s="9">
        <v>38</v>
      </c>
      <c r="AL158" s="9" t="s">
        <v>202</v>
      </c>
      <c r="AM158" s="9" t="s">
        <v>203</v>
      </c>
      <c r="AN158" s="9" t="s">
        <v>204</v>
      </c>
      <c r="AO158" s="9" t="s">
        <v>74</v>
      </c>
      <c r="AP158" s="9" t="s">
        <v>205</v>
      </c>
      <c r="AQ158" s="9" t="s">
        <v>74</v>
      </c>
      <c r="AR158" s="9" t="s">
        <v>206</v>
      </c>
      <c r="AS158" s="9" t="s">
        <v>207</v>
      </c>
      <c r="AT158" s="9" t="s">
        <v>2068</v>
      </c>
      <c r="AU158" s="9">
        <v>2023</v>
      </c>
      <c r="AV158" s="9">
        <v>15</v>
      </c>
      <c r="AW158" s="9">
        <v>1</v>
      </c>
      <c r="AX158" s="9" t="s">
        <v>74</v>
      </c>
      <c r="AY158" s="9" t="s">
        <v>74</v>
      </c>
      <c r="AZ158" s="9" t="s">
        <v>74</v>
      </c>
      <c r="BA158" s="9" t="s">
        <v>74</v>
      </c>
      <c r="BB158" s="9" t="s">
        <v>74</v>
      </c>
      <c r="BC158" s="9" t="s">
        <v>74</v>
      </c>
      <c r="BD158" s="9">
        <v>483</v>
      </c>
      <c r="BE158" s="9" t="s">
        <v>2175</v>
      </c>
      <c r="BF158" s="9">
        <v>0</v>
      </c>
      <c r="BG158" s="9" t="s">
        <v>74</v>
      </c>
      <c r="BH158" s="9" t="s">
        <v>74</v>
      </c>
      <c r="BI158" s="9">
        <v>19</v>
      </c>
      <c r="BJ158" s="9" t="s">
        <v>210</v>
      </c>
      <c r="BK158" s="9" t="s">
        <v>211</v>
      </c>
      <c r="BL158" s="9" t="s">
        <v>212</v>
      </c>
      <c r="BM158" s="9" t="s">
        <v>2176</v>
      </c>
      <c r="BN158" s="9" t="s">
        <v>74</v>
      </c>
      <c r="BO158" s="9" t="s">
        <v>186</v>
      </c>
      <c r="BP158" s="9" t="s">
        <v>74</v>
      </c>
      <c r="BQ158" s="9" t="s">
        <v>74</v>
      </c>
      <c r="BR158" s="9" t="s">
        <v>12946</v>
      </c>
      <c r="BS158" s="9" t="s">
        <v>2177</v>
      </c>
      <c r="BT158" s="9">
        <v>0</v>
      </c>
    </row>
    <row r="159" spans="1:72" x14ac:dyDescent="0.25">
      <c r="A159" s="9" t="s">
        <v>72</v>
      </c>
      <c r="B159" s="9" t="s">
        <v>2584</v>
      </c>
      <c r="C159" s="9" t="s">
        <v>74</v>
      </c>
      <c r="D159" s="9" t="s">
        <v>74</v>
      </c>
      <c r="E159" s="9" t="s">
        <v>74</v>
      </c>
      <c r="F159" s="9" t="s">
        <v>2585</v>
      </c>
      <c r="G159" s="9" t="s">
        <v>74</v>
      </c>
      <c r="H159" s="9" t="s">
        <v>74</v>
      </c>
      <c r="I159" s="9" t="s">
        <v>2586</v>
      </c>
      <c r="J159" s="9" t="s">
        <v>2587</v>
      </c>
      <c r="K159" s="9" t="s">
        <v>74</v>
      </c>
      <c r="L159" s="9" t="s">
        <v>74</v>
      </c>
      <c r="M159" s="9" t="s">
        <v>78</v>
      </c>
      <c r="N159" s="9" t="s">
        <v>79</v>
      </c>
      <c r="O159" s="9" t="s">
        <v>74</v>
      </c>
      <c r="P159" s="9" t="s">
        <v>74</v>
      </c>
      <c r="Q159" s="9" t="s">
        <v>74</v>
      </c>
      <c r="R159" s="9" t="s">
        <v>74</v>
      </c>
      <c r="S159" s="9" t="s">
        <v>74</v>
      </c>
      <c r="T159" s="9" t="s">
        <v>2588</v>
      </c>
      <c r="U159" s="9" t="s">
        <v>2589</v>
      </c>
      <c r="V159" s="9" t="s">
        <v>2590</v>
      </c>
      <c r="W159" s="9" t="s">
        <v>2591</v>
      </c>
      <c r="X159" s="9" t="s">
        <v>2592</v>
      </c>
      <c r="Y159" s="9" t="s">
        <v>2593</v>
      </c>
      <c r="Z159" s="9" t="s">
        <v>2594</v>
      </c>
      <c r="AA159" s="9" t="s">
        <v>13133</v>
      </c>
      <c r="AB159" s="9" t="s">
        <v>74</v>
      </c>
      <c r="AC159" s="9" t="s">
        <v>74</v>
      </c>
      <c r="AD159" s="9" t="s">
        <v>74</v>
      </c>
      <c r="AE159" s="9" t="s">
        <v>74</v>
      </c>
      <c r="AF159" s="9" t="s">
        <v>74</v>
      </c>
      <c r="AG159" s="9">
        <v>106</v>
      </c>
      <c r="AH159" s="9">
        <v>0</v>
      </c>
      <c r="AI159" s="9">
        <v>0</v>
      </c>
      <c r="AJ159" s="9">
        <v>31</v>
      </c>
      <c r="AK159" s="9">
        <v>233</v>
      </c>
      <c r="AL159" s="9" t="s">
        <v>2595</v>
      </c>
      <c r="AM159" s="9" t="s">
        <v>2596</v>
      </c>
      <c r="AN159" s="9" t="s">
        <v>2597</v>
      </c>
      <c r="AO159" s="9" t="s">
        <v>2598</v>
      </c>
      <c r="AP159" s="9" t="s">
        <v>74</v>
      </c>
      <c r="AQ159" s="9" t="s">
        <v>74</v>
      </c>
      <c r="AR159" s="9" t="s">
        <v>2599</v>
      </c>
      <c r="AS159" s="9" t="s">
        <v>2600</v>
      </c>
      <c r="AT159" s="9" t="s">
        <v>476</v>
      </c>
      <c r="AU159" s="9">
        <v>2022</v>
      </c>
      <c r="AV159" s="9">
        <v>46</v>
      </c>
      <c r="AW159" s="9">
        <v>4</v>
      </c>
      <c r="AX159" s="9" t="s">
        <v>74</v>
      </c>
      <c r="AY159" s="9" t="s">
        <v>74</v>
      </c>
      <c r="AZ159" s="9" t="s">
        <v>74</v>
      </c>
      <c r="BA159" s="9" t="s">
        <v>74</v>
      </c>
      <c r="BB159" s="9">
        <v>2289</v>
      </c>
      <c r="BC159" s="9">
        <v>2316</v>
      </c>
      <c r="BD159" s="9" t="s">
        <v>74</v>
      </c>
      <c r="BE159" s="9" t="s">
        <v>2601</v>
      </c>
      <c r="BF159" s="9">
        <v>0</v>
      </c>
      <c r="BG159" s="9" t="s">
        <v>74</v>
      </c>
      <c r="BH159" s="9" t="s">
        <v>74</v>
      </c>
      <c r="BI159" s="9">
        <v>28</v>
      </c>
      <c r="BJ159" s="9" t="s">
        <v>2581</v>
      </c>
      <c r="BK159" s="9" t="s">
        <v>211</v>
      </c>
      <c r="BL159" s="9" t="s">
        <v>767</v>
      </c>
      <c r="BM159" s="9" t="s">
        <v>2602</v>
      </c>
      <c r="BN159" s="9" t="s">
        <v>74</v>
      </c>
      <c r="BO159" s="9" t="s">
        <v>74</v>
      </c>
      <c r="BP159" s="9" t="s">
        <v>74</v>
      </c>
      <c r="BQ159" s="9" t="s">
        <v>74</v>
      </c>
      <c r="BR159" s="9" t="s">
        <v>12946</v>
      </c>
      <c r="BS159" s="9" t="s">
        <v>2603</v>
      </c>
      <c r="BT159" s="9">
        <v>0</v>
      </c>
    </row>
    <row r="160" spans="1:72" x14ac:dyDescent="0.25">
      <c r="A160" s="9" t="s">
        <v>72</v>
      </c>
      <c r="B160" s="9" t="s">
        <v>2966</v>
      </c>
      <c r="C160" s="9" t="s">
        <v>74</v>
      </c>
      <c r="D160" s="9" t="s">
        <v>74</v>
      </c>
      <c r="E160" s="9" t="s">
        <v>74</v>
      </c>
      <c r="F160" s="9" t="s">
        <v>2967</v>
      </c>
      <c r="G160" s="9" t="s">
        <v>74</v>
      </c>
      <c r="H160" s="9" t="s">
        <v>74</v>
      </c>
      <c r="I160" s="9" t="s">
        <v>2968</v>
      </c>
      <c r="J160" s="9" t="s">
        <v>2969</v>
      </c>
      <c r="K160" s="9" t="s">
        <v>74</v>
      </c>
      <c r="L160" s="9" t="s">
        <v>74</v>
      </c>
      <c r="M160" s="9" t="s">
        <v>78</v>
      </c>
      <c r="N160" s="9" t="s">
        <v>79</v>
      </c>
      <c r="O160" s="9" t="s">
        <v>74</v>
      </c>
      <c r="P160" s="9" t="s">
        <v>74</v>
      </c>
      <c r="Q160" s="9" t="s">
        <v>74</v>
      </c>
      <c r="R160" s="9" t="s">
        <v>74</v>
      </c>
      <c r="S160" s="9" t="s">
        <v>74</v>
      </c>
      <c r="T160" s="9" t="s">
        <v>2970</v>
      </c>
      <c r="U160" s="9" t="s">
        <v>2971</v>
      </c>
      <c r="V160" s="9" t="s">
        <v>2972</v>
      </c>
      <c r="W160" s="9" t="s">
        <v>2973</v>
      </c>
      <c r="X160" s="9" t="s">
        <v>2974</v>
      </c>
      <c r="Y160" s="9" t="s">
        <v>2975</v>
      </c>
      <c r="Z160" s="9" t="s">
        <v>2976</v>
      </c>
      <c r="AA160" s="9" t="s">
        <v>74</v>
      </c>
      <c r="AB160" s="9" t="s">
        <v>2977</v>
      </c>
      <c r="AC160" s="9" t="s">
        <v>74</v>
      </c>
      <c r="AD160" s="9" t="s">
        <v>74</v>
      </c>
      <c r="AE160" s="9" t="s">
        <v>74</v>
      </c>
      <c r="AF160" s="9" t="s">
        <v>74</v>
      </c>
      <c r="AG160" s="9">
        <v>42</v>
      </c>
      <c r="AH160" s="9">
        <v>0</v>
      </c>
      <c r="AI160" s="9">
        <v>0</v>
      </c>
      <c r="AJ160" s="9">
        <v>5</v>
      </c>
      <c r="AK160" s="9">
        <v>23</v>
      </c>
      <c r="AL160" s="9" t="s">
        <v>202</v>
      </c>
      <c r="AM160" s="9" t="s">
        <v>203</v>
      </c>
      <c r="AN160" s="9" t="s">
        <v>204</v>
      </c>
      <c r="AO160" s="9" t="s">
        <v>74</v>
      </c>
      <c r="AP160" s="9" t="s">
        <v>2978</v>
      </c>
      <c r="AQ160" s="9" t="s">
        <v>74</v>
      </c>
      <c r="AR160" s="9" t="s">
        <v>2979</v>
      </c>
      <c r="AS160" s="9" t="s">
        <v>2980</v>
      </c>
      <c r="AT160" s="9" t="s">
        <v>208</v>
      </c>
      <c r="AU160" s="9">
        <v>2022</v>
      </c>
      <c r="AV160" s="9">
        <v>12</v>
      </c>
      <c r="AW160" s="9">
        <v>10</v>
      </c>
      <c r="AX160" s="9" t="s">
        <v>74</v>
      </c>
      <c r="AY160" s="9" t="s">
        <v>74</v>
      </c>
      <c r="AZ160" s="9" t="s">
        <v>74</v>
      </c>
      <c r="BA160" s="9" t="s">
        <v>74</v>
      </c>
      <c r="BB160" s="9" t="s">
        <v>74</v>
      </c>
      <c r="BC160" s="9" t="s">
        <v>74</v>
      </c>
      <c r="BD160" s="9">
        <v>711</v>
      </c>
      <c r="BE160" s="9" t="s">
        <v>2981</v>
      </c>
      <c r="BF160" s="9">
        <v>0</v>
      </c>
      <c r="BG160" s="9" t="s">
        <v>74</v>
      </c>
      <c r="BH160" s="9" t="s">
        <v>74</v>
      </c>
      <c r="BI160" s="9">
        <v>15</v>
      </c>
      <c r="BJ160" s="9" t="s">
        <v>1326</v>
      </c>
      <c r="BK160" s="9" t="s">
        <v>183</v>
      </c>
      <c r="BL160" s="9" t="s">
        <v>1326</v>
      </c>
      <c r="BM160" s="9" t="s">
        <v>2982</v>
      </c>
      <c r="BN160" s="9" t="s">
        <v>74</v>
      </c>
      <c r="BO160" s="9" t="s">
        <v>186</v>
      </c>
      <c r="BP160" s="9" t="s">
        <v>74</v>
      </c>
      <c r="BQ160" s="9" t="s">
        <v>74</v>
      </c>
      <c r="BR160" s="9" t="s">
        <v>12946</v>
      </c>
      <c r="BS160" s="9" t="s">
        <v>2983</v>
      </c>
      <c r="BT160" s="9">
        <v>0</v>
      </c>
    </row>
    <row r="161" spans="1:72" x14ac:dyDescent="0.25">
      <c r="A161" s="9" t="s">
        <v>72</v>
      </c>
      <c r="B161" s="9" t="s">
        <v>3137</v>
      </c>
      <c r="C161" s="9" t="s">
        <v>74</v>
      </c>
      <c r="D161" s="9" t="s">
        <v>74</v>
      </c>
      <c r="E161" s="9" t="s">
        <v>74</v>
      </c>
      <c r="F161" s="9" t="s">
        <v>3138</v>
      </c>
      <c r="G161" s="9" t="s">
        <v>74</v>
      </c>
      <c r="H161" s="9" t="s">
        <v>74</v>
      </c>
      <c r="I161" s="9" t="s">
        <v>3139</v>
      </c>
      <c r="J161" s="9" t="s">
        <v>3140</v>
      </c>
      <c r="K161" s="9" t="s">
        <v>74</v>
      </c>
      <c r="L161" s="9" t="s">
        <v>74</v>
      </c>
      <c r="M161" s="9" t="s">
        <v>78</v>
      </c>
      <c r="N161" s="9" t="s">
        <v>79</v>
      </c>
      <c r="O161" s="9" t="s">
        <v>74</v>
      </c>
      <c r="P161" s="9" t="s">
        <v>74</v>
      </c>
      <c r="Q161" s="9" t="s">
        <v>74</v>
      </c>
      <c r="R161" s="9" t="s">
        <v>74</v>
      </c>
      <c r="S161" s="9" t="s">
        <v>74</v>
      </c>
      <c r="T161" s="9" t="s">
        <v>74</v>
      </c>
      <c r="U161" s="9" t="s">
        <v>74</v>
      </c>
      <c r="V161" s="9" t="s">
        <v>3141</v>
      </c>
      <c r="W161" s="9" t="s">
        <v>3142</v>
      </c>
      <c r="X161" s="9" t="s">
        <v>3143</v>
      </c>
      <c r="Y161" s="9" t="s">
        <v>3144</v>
      </c>
      <c r="Z161" s="9" t="s">
        <v>3145</v>
      </c>
      <c r="AA161" s="9" t="s">
        <v>74</v>
      </c>
      <c r="AB161" s="9" t="s">
        <v>74</v>
      </c>
      <c r="AC161" s="9" t="s">
        <v>74</v>
      </c>
      <c r="AD161" s="9" t="s">
        <v>74</v>
      </c>
      <c r="AE161" s="9" t="s">
        <v>74</v>
      </c>
      <c r="AF161" s="9" t="s">
        <v>74</v>
      </c>
      <c r="AG161" s="9">
        <v>20</v>
      </c>
      <c r="AH161" s="9">
        <v>0</v>
      </c>
      <c r="AI161" s="9">
        <v>0</v>
      </c>
      <c r="AJ161" s="9">
        <v>7</v>
      </c>
      <c r="AK161" s="9">
        <v>35</v>
      </c>
      <c r="AL161" s="9" t="s">
        <v>3146</v>
      </c>
      <c r="AM161" s="9" t="s">
        <v>175</v>
      </c>
      <c r="AN161" s="9" t="s">
        <v>3147</v>
      </c>
      <c r="AO161" s="9" t="s">
        <v>3148</v>
      </c>
      <c r="AP161" s="9" t="s">
        <v>3149</v>
      </c>
      <c r="AQ161" s="9" t="s">
        <v>74</v>
      </c>
      <c r="AR161" s="9" t="s">
        <v>3150</v>
      </c>
      <c r="AS161" s="9" t="s">
        <v>3151</v>
      </c>
      <c r="AT161" s="9" t="s">
        <v>3152</v>
      </c>
      <c r="AU161" s="9">
        <v>2022</v>
      </c>
      <c r="AV161" s="9">
        <v>2022</v>
      </c>
      <c r="AW161" s="9" t="s">
        <v>74</v>
      </c>
      <c r="AX161" s="9" t="s">
        <v>74</v>
      </c>
      <c r="AY161" s="9" t="s">
        <v>74</v>
      </c>
      <c r="AZ161" s="9" t="s">
        <v>74</v>
      </c>
      <c r="BA161" s="9" t="s">
        <v>74</v>
      </c>
      <c r="BB161" s="9" t="s">
        <v>74</v>
      </c>
      <c r="BC161" s="9" t="s">
        <v>74</v>
      </c>
      <c r="BD161" s="9">
        <v>2380100</v>
      </c>
      <c r="BE161" s="9" t="s">
        <v>3153</v>
      </c>
      <c r="BF161" s="9">
        <v>0</v>
      </c>
      <c r="BG161" s="9" t="s">
        <v>74</v>
      </c>
      <c r="BH161" s="9" t="s">
        <v>74</v>
      </c>
      <c r="BI161" s="9">
        <v>9</v>
      </c>
      <c r="BJ161" s="9" t="s">
        <v>3154</v>
      </c>
      <c r="BK161" s="9" t="s">
        <v>102</v>
      </c>
      <c r="BL161" s="9" t="s">
        <v>3155</v>
      </c>
      <c r="BM161" s="9" t="s">
        <v>3156</v>
      </c>
      <c r="BN161" s="9" t="s">
        <v>74</v>
      </c>
      <c r="BO161" s="9" t="s">
        <v>186</v>
      </c>
      <c r="BP161" s="9" t="s">
        <v>74</v>
      </c>
      <c r="BQ161" s="9" t="s">
        <v>74</v>
      </c>
      <c r="BR161" s="9" t="s">
        <v>12946</v>
      </c>
      <c r="BS161" s="9" t="s">
        <v>3157</v>
      </c>
      <c r="BT161" s="9">
        <v>0</v>
      </c>
    </row>
    <row r="162" spans="1:72" x14ac:dyDescent="0.25">
      <c r="A162" s="9" t="s">
        <v>72</v>
      </c>
      <c r="B162" s="9" t="s">
        <v>3605</v>
      </c>
      <c r="C162" s="9" t="s">
        <v>74</v>
      </c>
      <c r="D162" s="9" t="s">
        <v>74</v>
      </c>
      <c r="E162" s="9" t="s">
        <v>74</v>
      </c>
      <c r="F162" s="9" t="s">
        <v>3606</v>
      </c>
      <c r="G162" s="9" t="s">
        <v>74</v>
      </c>
      <c r="H162" s="9" t="s">
        <v>74</v>
      </c>
      <c r="I162" s="9" t="s">
        <v>3607</v>
      </c>
      <c r="J162" s="9" t="s">
        <v>3608</v>
      </c>
      <c r="K162" s="9" t="s">
        <v>74</v>
      </c>
      <c r="L162" s="9" t="s">
        <v>74</v>
      </c>
      <c r="M162" s="9" t="s">
        <v>78</v>
      </c>
      <c r="N162" s="9" t="s">
        <v>79</v>
      </c>
      <c r="O162" s="9" t="s">
        <v>74</v>
      </c>
      <c r="P162" s="9" t="s">
        <v>74</v>
      </c>
      <c r="Q162" s="9" t="s">
        <v>74</v>
      </c>
      <c r="R162" s="9" t="s">
        <v>74</v>
      </c>
      <c r="S162" s="9" t="s">
        <v>74</v>
      </c>
      <c r="T162" s="9" t="s">
        <v>74</v>
      </c>
      <c r="U162" s="9" t="s">
        <v>3609</v>
      </c>
      <c r="V162" s="9" t="s">
        <v>3610</v>
      </c>
      <c r="W162" s="9" t="s">
        <v>3611</v>
      </c>
      <c r="X162" s="9" t="s">
        <v>3612</v>
      </c>
      <c r="Y162" s="9" t="s">
        <v>3613</v>
      </c>
      <c r="Z162" s="9" t="s">
        <v>3614</v>
      </c>
      <c r="AA162" s="9" t="s">
        <v>74</v>
      </c>
      <c r="AB162" s="9" t="s">
        <v>74</v>
      </c>
      <c r="AC162" s="9" t="s">
        <v>3615</v>
      </c>
      <c r="AD162" s="9" t="s">
        <v>3616</v>
      </c>
      <c r="AE162" s="9" t="s">
        <v>3617</v>
      </c>
      <c r="AF162" s="9" t="s">
        <v>74</v>
      </c>
      <c r="AG162" s="9">
        <v>25</v>
      </c>
      <c r="AH162" s="9">
        <v>0</v>
      </c>
      <c r="AI162" s="9">
        <v>0</v>
      </c>
      <c r="AJ162" s="9">
        <v>7</v>
      </c>
      <c r="AK162" s="9">
        <v>43</v>
      </c>
      <c r="AL162" s="9" t="s">
        <v>3146</v>
      </c>
      <c r="AM162" s="9" t="s">
        <v>175</v>
      </c>
      <c r="AN162" s="9" t="s">
        <v>3147</v>
      </c>
      <c r="AO162" s="9" t="s">
        <v>3618</v>
      </c>
      <c r="AP162" s="9" t="s">
        <v>3619</v>
      </c>
      <c r="AQ162" s="9" t="s">
        <v>74</v>
      </c>
      <c r="AR162" s="9" t="s">
        <v>3620</v>
      </c>
      <c r="AS162" s="9" t="s">
        <v>3621</v>
      </c>
      <c r="AT162" s="9" t="s">
        <v>3622</v>
      </c>
      <c r="AU162" s="9">
        <v>2022</v>
      </c>
      <c r="AV162" s="9">
        <v>2022</v>
      </c>
      <c r="AW162" s="9" t="s">
        <v>74</v>
      </c>
      <c r="AX162" s="9" t="s">
        <v>74</v>
      </c>
      <c r="AY162" s="9" t="s">
        <v>74</v>
      </c>
      <c r="AZ162" s="9" t="s">
        <v>74</v>
      </c>
      <c r="BA162" s="9" t="s">
        <v>74</v>
      </c>
      <c r="BB162" s="9" t="s">
        <v>74</v>
      </c>
      <c r="BC162" s="9" t="s">
        <v>74</v>
      </c>
      <c r="BD162" s="9">
        <v>2263222</v>
      </c>
      <c r="BE162" s="9" t="s">
        <v>3623</v>
      </c>
      <c r="BF162" s="9">
        <v>0</v>
      </c>
      <c r="BG162" s="9" t="s">
        <v>74</v>
      </c>
      <c r="BH162" s="9" t="s">
        <v>74</v>
      </c>
      <c r="BI162" s="9">
        <v>10</v>
      </c>
      <c r="BJ162" s="9" t="s">
        <v>3624</v>
      </c>
      <c r="BK162" s="9" t="s">
        <v>102</v>
      </c>
      <c r="BL162" s="9" t="s">
        <v>3625</v>
      </c>
      <c r="BM162" s="9" t="s">
        <v>3626</v>
      </c>
      <c r="BN162" s="9" t="s">
        <v>74</v>
      </c>
      <c r="BO162" s="9" t="s">
        <v>186</v>
      </c>
      <c r="BP162" s="9" t="s">
        <v>74</v>
      </c>
      <c r="BQ162" s="9" t="s">
        <v>74</v>
      </c>
      <c r="BR162" s="9" t="s">
        <v>12946</v>
      </c>
      <c r="BS162" s="9" t="s">
        <v>3627</v>
      </c>
      <c r="BT162" s="9">
        <v>0</v>
      </c>
    </row>
    <row r="163" spans="1:72" x14ac:dyDescent="0.25">
      <c r="A163" s="9" t="s">
        <v>72</v>
      </c>
      <c r="B163" s="9" t="s">
        <v>3858</v>
      </c>
      <c r="C163" s="9" t="s">
        <v>74</v>
      </c>
      <c r="D163" s="9" t="s">
        <v>74</v>
      </c>
      <c r="E163" s="9" t="s">
        <v>74</v>
      </c>
      <c r="F163" s="9" t="s">
        <v>3859</v>
      </c>
      <c r="G163" s="9" t="s">
        <v>74</v>
      </c>
      <c r="H163" s="9" t="s">
        <v>74</v>
      </c>
      <c r="I163" s="9" t="s">
        <v>3860</v>
      </c>
      <c r="J163" s="9" t="s">
        <v>3861</v>
      </c>
      <c r="K163" s="9" t="s">
        <v>74</v>
      </c>
      <c r="L163" s="9" t="s">
        <v>74</v>
      </c>
      <c r="M163" s="9" t="s">
        <v>78</v>
      </c>
      <c r="N163" s="9" t="s">
        <v>79</v>
      </c>
      <c r="O163" s="9" t="s">
        <v>74</v>
      </c>
      <c r="P163" s="9" t="s">
        <v>74</v>
      </c>
      <c r="Q163" s="9" t="s">
        <v>74</v>
      </c>
      <c r="R163" s="9" t="s">
        <v>74</v>
      </c>
      <c r="S163" s="9" t="s">
        <v>74</v>
      </c>
      <c r="T163" s="9" t="s">
        <v>3862</v>
      </c>
      <c r="U163" s="9" t="s">
        <v>74</v>
      </c>
      <c r="V163" s="9" t="s">
        <v>3863</v>
      </c>
      <c r="W163" s="9" t="s">
        <v>3864</v>
      </c>
      <c r="X163" s="9" t="s">
        <v>3865</v>
      </c>
      <c r="Y163" s="9" t="s">
        <v>3866</v>
      </c>
      <c r="Z163" s="9" t="s">
        <v>3867</v>
      </c>
      <c r="AA163" s="9" t="s">
        <v>13134</v>
      </c>
      <c r="AB163" s="9" t="s">
        <v>3869</v>
      </c>
      <c r="AC163" s="9" t="s">
        <v>74</v>
      </c>
      <c r="AD163" s="9" t="s">
        <v>74</v>
      </c>
      <c r="AE163" s="9" t="s">
        <v>74</v>
      </c>
      <c r="AF163" s="9" t="s">
        <v>74</v>
      </c>
      <c r="AG163" s="9">
        <v>26</v>
      </c>
      <c r="AH163" s="9">
        <v>0</v>
      </c>
      <c r="AI163" s="9">
        <v>0</v>
      </c>
      <c r="AJ163" s="9">
        <v>1</v>
      </c>
      <c r="AK163" s="9">
        <v>8</v>
      </c>
      <c r="AL163" s="9" t="s">
        <v>146</v>
      </c>
      <c r="AM163" s="9" t="s">
        <v>147</v>
      </c>
      <c r="AN163" s="9" t="s">
        <v>148</v>
      </c>
      <c r="AO163" s="9" t="s">
        <v>74</v>
      </c>
      <c r="AP163" s="9" t="s">
        <v>3870</v>
      </c>
      <c r="AQ163" s="9" t="s">
        <v>74</v>
      </c>
      <c r="AR163" s="9" t="s">
        <v>3871</v>
      </c>
      <c r="AS163" s="9" t="s">
        <v>3872</v>
      </c>
      <c r="AT163" s="9" t="s">
        <v>1904</v>
      </c>
      <c r="AU163" s="9">
        <v>2023</v>
      </c>
      <c r="AV163" s="9">
        <v>5</v>
      </c>
      <c r="AW163" s="9">
        <v>2</v>
      </c>
      <c r="AX163" s="9" t="s">
        <v>74</v>
      </c>
      <c r="AY163" s="9" t="s">
        <v>74</v>
      </c>
      <c r="AZ163" s="9" t="s">
        <v>74</v>
      </c>
      <c r="BA163" s="9" t="s">
        <v>74</v>
      </c>
      <c r="BB163" s="9" t="s">
        <v>74</v>
      </c>
      <c r="BC163" s="9" t="s">
        <v>74</v>
      </c>
      <c r="BD163" s="9" t="s">
        <v>3873</v>
      </c>
      <c r="BE163" s="9" t="s">
        <v>3874</v>
      </c>
      <c r="BF163" s="9">
        <v>0</v>
      </c>
      <c r="BG163" s="9" t="s">
        <v>74</v>
      </c>
      <c r="BH163" s="9" t="s">
        <v>3875</v>
      </c>
      <c r="BI163" s="9">
        <v>9</v>
      </c>
      <c r="BJ163" s="9" t="s">
        <v>3876</v>
      </c>
      <c r="BK163" s="9" t="s">
        <v>183</v>
      </c>
      <c r="BL163" s="9" t="s">
        <v>3877</v>
      </c>
      <c r="BM163" s="9" t="s">
        <v>3878</v>
      </c>
      <c r="BN163" s="9" t="s">
        <v>74</v>
      </c>
      <c r="BO163" s="9" t="s">
        <v>186</v>
      </c>
      <c r="BP163" s="9" t="s">
        <v>74</v>
      </c>
      <c r="BQ163" s="9" t="s">
        <v>74</v>
      </c>
      <c r="BR163" s="9" t="s">
        <v>12946</v>
      </c>
      <c r="BS163" s="9" t="s">
        <v>3879</v>
      </c>
      <c r="BT163" s="9">
        <v>0</v>
      </c>
    </row>
    <row r="164" spans="1:72" x14ac:dyDescent="0.25">
      <c r="A164" s="9" t="s">
        <v>72</v>
      </c>
      <c r="B164" s="9" t="s">
        <v>4004</v>
      </c>
      <c r="C164" s="9" t="s">
        <v>74</v>
      </c>
      <c r="D164" s="9" t="s">
        <v>74</v>
      </c>
      <c r="E164" s="9" t="s">
        <v>74</v>
      </c>
      <c r="F164" s="9" t="s">
        <v>4005</v>
      </c>
      <c r="G164" s="9" t="s">
        <v>74</v>
      </c>
      <c r="H164" s="9" t="s">
        <v>74</v>
      </c>
      <c r="I164" s="9" t="s">
        <v>4006</v>
      </c>
      <c r="J164" s="9" t="s">
        <v>1691</v>
      </c>
      <c r="K164" s="9" t="s">
        <v>74</v>
      </c>
      <c r="L164" s="9" t="s">
        <v>74</v>
      </c>
      <c r="M164" s="9" t="s">
        <v>78</v>
      </c>
      <c r="N164" s="9" t="s">
        <v>79</v>
      </c>
      <c r="O164" s="9" t="s">
        <v>74</v>
      </c>
      <c r="P164" s="9" t="s">
        <v>74</v>
      </c>
      <c r="Q164" s="9" t="s">
        <v>74</v>
      </c>
      <c r="R164" s="9" t="s">
        <v>74</v>
      </c>
      <c r="S164" s="9" t="s">
        <v>74</v>
      </c>
      <c r="T164" s="9" t="s">
        <v>4007</v>
      </c>
      <c r="U164" s="9" t="s">
        <v>4008</v>
      </c>
      <c r="V164" s="9" t="s">
        <v>4009</v>
      </c>
      <c r="W164" s="9" t="s">
        <v>4010</v>
      </c>
      <c r="X164" s="9" t="s">
        <v>4011</v>
      </c>
      <c r="Y164" s="9" t="s">
        <v>4012</v>
      </c>
      <c r="Z164" s="9" t="s">
        <v>74</v>
      </c>
      <c r="AA164" s="9" t="s">
        <v>74</v>
      </c>
      <c r="AB164" s="9" t="s">
        <v>74</v>
      </c>
      <c r="AC164" s="9" t="s">
        <v>4013</v>
      </c>
      <c r="AD164" s="9" t="s">
        <v>4014</v>
      </c>
      <c r="AE164" s="9" t="s">
        <v>4015</v>
      </c>
      <c r="AF164" s="9" t="s">
        <v>74</v>
      </c>
      <c r="AG164" s="9">
        <v>41</v>
      </c>
      <c r="AH164" s="9">
        <v>0</v>
      </c>
      <c r="AI164" s="9">
        <v>0</v>
      </c>
      <c r="AJ164" s="9">
        <v>23</v>
      </c>
      <c r="AK164" s="9">
        <v>73</v>
      </c>
      <c r="AL164" s="9" t="s">
        <v>1701</v>
      </c>
      <c r="AM164" s="9" t="s">
        <v>1702</v>
      </c>
      <c r="AN164" s="9" t="s">
        <v>1703</v>
      </c>
      <c r="AO164" s="9" t="s">
        <v>1704</v>
      </c>
      <c r="AP164" s="9" t="s">
        <v>1705</v>
      </c>
      <c r="AQ164" s="9" t="s">
        <v>74</v>
      </c>
      <c r="AR164" s="9" t="s">
        <v>1706</v>
      </c>
      <c r="AS164" s="9" t="s">
        <v>1707</v>
      </c>
      <c r="AT164" s="9" t="s">
        <v>1138</v>
      </c>
      <c r="AU164" s="9">
        <v>2022</v>
      </c>
      <c r="AV164" s="9">
        <v>16</v>
      </c>
      <c r="AW164" s="9">
        <v>2</v>
      </c>
      <c r="AX164" s="9" t="s">
        <v>74</v>
      </c>
      <c r="AY164" s="9" t="s">
        <v>74</v>
      </c>
      <c r="AZ164" s="9" t="s">
        <v>74</v>
      </c>
      <c r="BA164" s="9" t="s">
        <v>74</v>
      </c>
      <c r="BB164" s="9">
        <v>126</v>
      </c>
      <c r="BC164" s="9">
        <v>150</v>
      </c>
      <c r="BD164" s="9" t="s">
        <v>74</v>
      </c>
      <c r="BE164" s="9" t="s">
        <v>4016</v>
      </c>
      <c r="BF164" s="9">
        <v>0</v>
      </c>
      <c r="BG164" s="9" t="s">
        <v>74</v>
      </c>
      <c r="BH164" s="9" t="s">
        <v>74</v>
      </c>
      <c r="BI164" s="9">
        <v>25</v>
      </c>
      <c r="BJ164" s="9" t="s">
        <v>1023</v>
      </c>
      <c r="BK164" s="9" t="s">
        <v>183</v>
      </c>
      <c r="BL164" s="9" t="s">
        <v>265</v>
      </c>
      <c r="BM164" s="9" t="s">
        <v>4017</v>
      </c>
      <c r="BN164" s="9" t="s">
        <v>74</v>
      </c>
      <c r="BO164" s="9" t="s">
        <v>74</v>
      </c>
      <c r="BP164" s="9" t="s">
        <v>74</v>
      </c>
      <c r="BQ164" s="9" t="s">
        <v>74</v>
      </c>
      <c r="BR164" s="9" t="s">
        <v>12946</v>
      </c>
      <c r="BS164" s="9" t="s">
        <v>4018</v>
      </c>
      <c r="BT164" s="9">
        <v>0</v>
      </c>
    </row>
    <row r="165" spans="1:72" x14ac:dyDescent="0.25">
      <c r="A165" s="9" t="s">
        <v>72</v>
      </c>
      <c r="B165" s="9" t="s">
        <v>5040</v>
      </c>
      <c r="C165" s="9" t="s">
        <v>74</v>
      </c>
      <c r="D165" s="9" t="s">
        <v>74</v>
      </c>
      <c r="E165" s="9" t="s">
        <v>74</v>
      </c>
      <c r="F165" s="9" t="s">
        <v>5041</v>
      </c>
      <c r="G165" s="9" t="s">
        <v>74</v>
      </c>
      <c r="H165" s="9" t="s">
        <v>74</v>
      </c>
      <c r="I165" s="9" t="s">
        <v>5042</v>
      </c>
      <c r="J165" s="9" t="s">
        <v>5043</v>
      </c>
      <c r="K165" s="9" t="s">
        <v>74</v>
      </c>
      <c r="L165" s="9" t="s">
        <v>74</v>
      </c>
      <c r="M165" s="9" t="s">
        <v>78</v>
      </c>
      <c r="N165" s="9" t="s">
        <v>79</v>
      </c>
      <c r="O165" s="9" t="s">
        <v>74</v>
      </c>
      <c r="P165" s="9" t="s">
        <v>74</v>
      </c>
      <c r="Q165" s="9" t="s">
        <v>74</v>
      </c>
      <c r="R165" s="9" t="s">
        <v>74</v>
      </c>
      <c r="S165" s="9" t="s">
        <v>74</v>
      </c>
      <c r="T165" s="9" t="s">
        <v>5044</v>
      </c>
      <c r="U165" s="9" t="s">
        <v>5045</v>
      </c>
      <c r="V165" s="9" t="s">
        <v>5046</v>
      </c>
      <c r="W165" s="9" t="s">
        <v>5047</v>
      </c>
      <c r="X165" s="9" t="s">
        <v>5048</v>
      </c>
      <c r="Y165" s="9" t="s">
        <v>5049</v>
      </c>
      <c r="Z165" s="9" t="s">
        <v>5050</v>
      </c>
      <c r="AA165" s="9" t="s">
        <v>74</v>
      </c>
      <c r="AB165" s="9" t="s">
        <v>74</v>
      </c>
      <c r="AC165" s="9" t="s">
        <v>74</v>
      </c>
      <c r="AD165" s="9" t="s">
        <v>74</v>
      </c>
      <c r="AE165" s="9" t="s">
        <v>74</v>
      </c>
      <c r="AF165" s="9" t="s">
        <v>74</v>
      </c>
      <c r="AG165" s="9">
        <v>31</v>
      </c>
      <c r="AH165" s="9">
        <v>0</v>
      </c>
      <c r="AI165" s="9">
        <v>0</v>
      </c>
      <c r="AJ165" s="9">
        <v>2</v>
      </c>
      <c r="AK165" s="9">
        <v>3</v>
      </c>
      <c r="AL165" s="9" t="s">
        <v>5051</v>
      </c>
      <c r="AM165" s="9" t="s">
        <v>5052</v>
      </c>
      <c r="AN165" s="9" t="s">
        <v>5053</v>
      </c>
      <c r="AO165" s="9" t="s">
        <v>5054</v>
      </c>
      <c r="AP165" s="9" t="s">
        <v>74</v>
      </c>
      <c r="AQ165" s="9" t="s">
        <v>74</v>
      </c>
      <c r="AR165" s="9" t="s">
        <v>5043</v>
      </c>
      <c r="AS165" s="9" t="s">
        <v>5055</v>
      </c>
      <c r="AT165" s="9" t="s">
        <v>74</v>
      </c>
      <c r="AU165" s="9">
        <v>2022</v>
      </c>
      <c r="AV165" s="9">
        <v>26</v>
      </c>
      <c r="AW165" s="9">
        <v>3</v>
      </c>
      <c r="AX165" s="9" t="s">
        <v>74</v>
      </c>
      <c r="AY165" s="9" t="s">
        <v>74</v>
      </c>
      <c r="AZ165" s="9" t="s">
        <v>74</v>
      </c>
      <c r="BA165" s="9" t="s">
        <v>74</v>
      </c>
      <c r="BB165" s="9">
        <v>91</v>
      </c>
      <c r="BC165" s="9">
        <v>97</v>
      </c>
      <c r="BD165" s="9" t="s">
        <v>74</v>
      </c>
      <c r="BE165" s="9" t="s">
        <v>74</v>
      </c>
      <c r="BF165" s="9" t="s">
        <v>74</v>
      </c>
      <c r="BG165" s="9" t="s">
        <v>74</v>
      </c>
      <c r="BH165" s="9" t="s">
        <v>74</v>
      </c>
      <c r="BI165" s="9">
        <v>7</v>
      </c>
      <c r="BJ165" s="9" t="s">
        <v>840</v>
      </c>
      <c r="BK165" s="9" t="s">
        <v>102</v>
      </c>
      <c r="BL165" s="9" t="s">
        <v>841</v>
      </c>
      <c r="BM165" s="9" t="s">
        <v>5056</v>
      </c>
      <c r="BN165" s="9">
        <v>37324045</v>
      </c>
      <c r="BO165" s="9" t="s">
        <v>74</v>
      </c>
      <c r="BP165" s="9" t="s">
        <v>74</v>
      </c>
      <c r="BQ165" s="9" t="s">
        <v>74</v>
      </c>
      <c r="BR165" s="9" t="s">
        <v>12946</v>
      </c>
      <c r="BS165" s="9" t="s">
        <v>5057</v>
      </c>
      <c r="BT165" s="9">
        <v>0</v>
      </c>
    </row>
    <row r="166" spans="1:72" x14ac:dyDescent="0.25">
      <c r="A166" s="9" t="s">
        <v>72</v>
      </c>
      <c r="B166" s="9" t="s">
        <v>5626</v>
      </c>
      <c r="C166" s="9" t="s">
        <v>74</v>
      </c>
      <c r="D166" s="9" t="s">
        <v>74</v>
      </c>
      <c r="E166" s="9" t="s">
        <v>74</v>
      </c>
      <c r="F166" s="9" t="s">
        <v>5627</v>
      </c>
      <c r="G166" s="9" t="s">
        <v>74</v>
      </c>
      <c r="H166" s="9" t="s">
        <v>74</v>
      </c>
      <c r="I166" s="9" t="s">
        <v>5628</v>
      </c>
      <c r="J166" s="9" t="s">
        <v>5629</v>
      </c>
      <c r="K166" s="9" t="s">
        <v>74</v>
      </c>
      <c r="L166" s="9" t="s">
        <v>74</v>
      </c>
      <c r="M166" s="9" t="s">
        <v>78</v>
      </c>
      <c r="N166" s="9" t="s">
        <v>79</v>
      </c>
      <c r="O166" s="9" t="s">
        <v>74</v>
      </c>
      <c r="P166" s="9" t="s">
        <v>74</v>
      </c>
      <c r="Q166" s="9" t="s">
        <v>74</v>
      </c>
      <c r="R166" s="9" t="s">
        <v>74</v>
      </c>
      <c r="S166" s="9" t="s">
        <v>74</v>
      </c>
      <c r="T166" s="9" t="s">
        <v>5630</v>
      </c>
      <c r="U166" s="9" t="s">
        <v>74</v>
      </c>
      <c r="V166" s="9" t="s">
        <v>5631</v>
      </c>
      <c r="W166" s="9" t="s">
        <v>5632</v>
      </c>
      <c r="X166" s="9" t="s">
        <v>5633</v>
      </c>
      <c r="Y166" s="9" t="s">
        <v>5634</v>
      </c>
      <c r="Z166" s="9" t="s">
        <v>5635</v>
      </c>
      <c r="AA166" s="9" t="s">
        <v>13135</v>
      </c>
      <c r="AB166" s="9" t="s">
        <v>74</v>
      </c>
      <c r="AC166" s="9" t="s">
        <v>74</v>
      </c>
      <c r="AD166" s="9" t="s">
        <v>74</v>
      </c>
      <c r="AE166" s="9" t="s">
        <v>74</v>
      </c>
      <c r="AF166" s="9" t="s">
        <v>74</v>
      </c>
      <c r="AG166" s="9">
        <v>22</v>
      </c>
      <c r="AH166" s="9">
        <v>0</v>
      </c>
      <c r="AI166" s="9">
        <v>0</v>
      </c>
      <c r="AJ166" s="9">
        <v>0</v>
      </c>
      <c r="AK166" s="9">
        <v>22</v>
      </c>
      <c r="AL166" s="9" t="s">
        <v>5636</v>
      </c>
      <c r="AM166" s="9" t="s">
        <v>2281</v>
      </c>
      <c r="AN166" s="9" t="s">
        <v>5637</v>
      </c>
      <c r="AO166" s="9" t="s">
        <v>5638</v>
      </c>
      <c r="AP166" s="9" t="s">
        <v>74</v>
      </c>
      <c r="AQ166" s="9" t="s">
        <v>74</v>
      </c>
      <c r="AR166" s="9" t="s">
        <v>5639</v>
      </c>
      <c r="AS166" s="9" t="s">
        <v>5639</v>
      </c>
      <c r="AT166" s="9" t="s">
        <v>5640</v>
      </c>
      <c r="AU166" s="9">
        <v>2021</v>
      </c>
      <c r="AV166" s="9">
        <v>12</v>
      </c>
      <c r="AW166" s="9">
        <v>4</v>
      </c>
      <c r="AX166" s="9" t="s">
        <v>74</v>
      </c>
      <c r="AY166" s="9" t="s">
        <v>74</v>
      </c>
      <c r="AZ166" s="9" t="s">
        <v>74</v>
      </c>
      <c r="BA166" s="9" t="s">
        <v>74</v>
      </c>
      <c r="BB166" s="9">
        <v>29</v>
      </c>
      <c r="BC166" s="9">
        <v>35</v>
      </c>
      <c r="BD166" s="9" t="s">
        <v>74</v>
      </c>
      <c r="BE166" s="9" t="s">
        <v>5641</v>
      </c>
      <c r="BF166" s="9">
        <v>0</v>
      </c>
      <c r="BG166" s="9" t="s">
        <v>74</v>
      </c>
      <c r="BH166" s="9" t="s">
        <v>74</v>
      </c>
      <c r="BI166" s="9">
        <v>7</v>
      </c>
      <c r="BJ166" s="9" t="s">
        <v>315</v>
      </c>
      <c r="BK166" s="9" t="s">
        <v>183</v>
      </c>
      <c r="BL166" s="9" t="s">
        <v>265</v>
      </c>
      <c r="BM166" s="9" t="s">
        <v>5642</v>
      </c>
      <c r="BN166" s="9" t="s">
        <v>74</v>
      </c>
      <c r="BO166" s="9" t="s">
        <v>186</v>
      </c>
      <c r="BP166" s="9" t="s">
        <v>74</v>
      </c>
      <c r="BQ166" s="9" t="s">
        <v>74</v>
      </c>
      <c r="BR166" s="9" t="s">
        <v>12946</v>
      </c>
      <c r="BS166" s="9" t="s">
        <v>5643</v>
      </c>
      <c r="BT166" s="9">
        <v>0</v>
      </c>
    </row>
    <row r="167" spans="1:72" x14ac:dyDescent="0.25">
      <c r="A167" s="9" t="s">
        <v>72</v>
      </c>
      <c r="B167" s="9" t="s">
        <v>11827</v>
      </c>
      <c r="C167" s="9" t="s">
        <v>74</v>
      </c>
      <c r="D167" s="9" t="s">
        <v>74</v>
      </c>
      <c r="E167" s="9" t="s">
        <v>74</v>
      </c>
      <c r="F167" s="9" t="s">
        <v>11828</v>
      </c>
      <c r="G167" s="9" t="s">
        <v>74</v>
      </c>
      <c r="H167" s="9" t="s">
        <v>74</v>
      </c>
      <c r="I167" s="9" t="s">
        <v>11829</v>
      </c>
      <c r="J167" s="9" t="s">
        <v>10484</v>
      </c>
      <c r="K167" s="9" t="s">
        <v>74</v>
      </c>
      <c r="L167" s="9" t="s">
        <v>74</v>
      </c>
      <c r="M167" s="9" t="s">
        <v>78</v>
      </c>
      <c r="N167" s="9" t="s">
        <v>79</v>
      </c>
      <c r="O167" s="9" t="s">
        <v>74</v>
      </c>
      <c r="P167" s="9" t="s">
        <v>74</v>
      </c>
      <c r="Q167" s="9" t="s">
        <v>74</v>
      </c>
      <c r="R167" s="9" t="s">
        <v>74</v>
      </c>
      <c r="S167" s="9" t="s">
        <v>74</v>
      </c>
      <c r="T167" s="9" t="s">
        <v>74</v>
      </c>
      <c r="U167" s="9" t="s">
        <v>74</v>
      </c>
      <c r="V167" s="9" t="s">
        <v>11830</v>
      </c>
      <c r="W167" s="9" t="s">
        <v>11831</v>
      </c>
      <c r="X167" s="9" t="s">
        <v>11832</v>
      </c>
      <c r="Y167" s="9" t="s">
        <v>11833</v>
      </c>
      <c r="Z167" s="9" t="s">
        <v>74</v>
      </c>
      <c r="AA167" s="9" t="s">
        <v>74</v>
      </c>
      <c r="AB167" s="9" t="s">
        <v>74</v>
      </c>
      <c r="AC167" s="9" t="s">
        <v>74</v>
      </c>
      <c r="AD167" s="9" t="s">
        <v>74</v>
      </c>
      <c r="AE167" s="9" t="s">
        <v>74</v>
      </c>
      <c r="AF167" s="9" t="s">
        <v>74</v>
      </c>
      <c r="AG167" s="9">
        <v>33</v>
      </c>
      <c r="AH167" s="9">
        <v>0</v>
      </c>
      <c r="AI167" s="9">
        <v>0</v>
      </c>
      <c r="AJ167" s="9">
        <v>0</v>
      </c>
      <c r="AK167" s="9">
        <v>9</v>
      </c>
      <c r="AL167" s="9" t="s">
        <v>11834</v>
      </c>
      <c r="AM167" s="9" t="s">
        <v>11835</v>
      </c>
      <c r="AN167" s="9" t="s">
        <v>11836</v>
      </c>
      <c r="AO167" s="9" t="s">
        <v>10493</v>
      </c>
      <c r="AP167" s="9" t="s">
        <v>74</v>
      </c>
      <c r="AQ167" s="9" t="s">
        <v>74</v>
      </c>
      <c r="AR167" s="9" t="s">
        <v>10495</v>
      </c>
      <c r="AS167" s="9" t="s">
        <v>10496</v>
      </c>
      <c r="AT167" s="9" t="s">
        <v>1280</v>
      </c>
      <c r="AU167" s="9">
        <v>2014</v>
      </c>
      <c r="AV167" s="9" t="s">
        <v>74</v>
      </c>
      <c r="AW167" s="9">
        <v>151</v>
      </c>
      <c r="AX167" s="9" t="s">
        <v>74</v>
      </c>
      <c r="AY167" s="9" t="s">
        <v>74</v>
      </c>
      <c r="AZ167" s="9" t="s">
        <v>74</v>
      </c>
      <c r="BA167" s="9" t="s">
        <v>74</v>
      </c>
      <c r="BB167" s="9">
        <v>146</v>
      </c>
      <c r="BC167" s="9">
        <v>156</v>
      </c>
      <c r="BD167" s="9" t="s">
        <v>74</v>
      </c>
      <c r="BE167" s="9" t="s">
        <v>74</v>
      </c>
      <c r="BF167" s="9" t="s">
        <v>74</v>
      </c>
      <c r="BG167" s="9" t="s">
        <v>74</v>
      </c>
      <c r="BH167" s="9" t="s">
        <v>74</v>
      </c>
      <c r="BI167" s="9">
        <v>11</v>
      </c>
      <c r="BJ167" s="9" t="s">
        <v>2218</v>
      </c>
      <c r="BK167" s="9" t="s">
        <v>156</v>
      </c>
      <c r="BL167" s="9" t="s">
        <v>2218</v>
      </c>
      <c r="BM167" s="9" t="s">
        <v>11837</v>
      </c>
      <c r="BN167" s="9" t="s">
        <v>74</v>
      </c>
      <c r="BO167" s="9" t="s">
        <v>74</v>
      </c>
      <c r="BP167" s="9" t="s">
        <v>74</v>
      </c>
      <c r="BQ167" s="9" t="s">
        <v>74</v>
      </c>
      <c r="BR167" s="9" t="s">
        <v>12946</v>
      </c>
      <c r="BS167" s="9" t="s">
        <v>11838</v>
      </c>
      <c r="BT167" s="9">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102"/>
  <sheetViews>
    <sheetView topLeftCell="A81" workbookViewId="0">
      <selection activeCell="A2" sqref="A2:A102"/>
    </sheetView>
  </sheetViews>
  <sheetFormatPr baseColWidth="10" defaultColWidth="8.7265625" defaultRowHeight="12.5" x14ac:dyDescent="0.25"/>
  <sheetData>
    <row r="1" spans="1:72" x14ac:dyDescent="0.25">
      <c r="A1" s="10" t="s">
        <v>0</v>
      </c>
      <c r="B1" s="10"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0" t="s">
        <v>24</v>
      </c>
      <c r="Z1" s="10" t="s">
        <v>25</v>
      </c>
      <c r="AA1" s="10" t="s">
        <v>26</v>
      </c>
      <c r="AB1" s="10" t="s">
        <v>27</v>
      </c>
      <c r="AC1" s="10" t="s">
        <v>28</v>
      </c>
      <c r="AD1" s="10" t="s">
        <v>29</v>
      </c>
      <c r="AE1" s="10" t="s">
        <v>30</v>
      </c>
      <c r="AF1" s="10" t="s">
        <v>31</v>
      </c>
      <c r="AG1" s="10" t="s">
        <v>32</v>
      </c>
      <c r="AH1" s="10" t="s">
        <v>33</v>
      </c>
      <c r="AI1" s="10" t="s">
        <v>34</v>
      </c>
      <c r="AJ1" s="10" t="s">
        <v>35</v>
      </c>
      <c r="AK1" s="10" t="s">
        <v>36</v>
      </c>
      <c r="AL1" s="10" t="s">
        <v>37</v>
      </c>
      <c r="AM1" s="10" t="s">
        <v>38</v>
      </c>
      <c r="AN1" s="10" t="s">
        <v>39</v>
      </c>
      <c r="AO1" s="10" t="s">
        <v>40</v>
      </c>
      <c r="AP1" s="10" t="s">
        <v>41</v>
      </c>
      <c r="AQ1" s="10" t="s">
        <v>42</v>
      </c>
      <c r="AR1" s="10" t="s">
        <v>43</v>
      </c>
      <c r="AS1" s="10" t="s">
        <v>44</v>
      </c>
      <c r="AT1" s="10" t="s">
        <v>45</v>
      </c>
      <c r="AU1" s="10" t="s">
        <v>46</v>
      </c>
      <c r="AV1" s="10" t="s">
        <v>47</v>
      </c>
      <c r="AW1" s="10" t="s">
        <v>48</v>
      </c>
      <c r="AX1" s="10" t="s">
        <v>49</v>
      </c>
      <c r="AY1" s="10" t="s">
        <v>50</v>
      </c>
      <c r="AZ1" s="10" t="s">
        <v>51</v>
      </c>
      <c r="BA1" s="10" t="s">
        <v>52</v>
      </c>
      <c r="BB1" s="10" t="s">
        <v>53</v>
      </c>
      <c r="BC1" s="10" t="s">
        <v>54</v>
      </c>
      <c r="BD1" s="10" t="s">
        <v>55</v>
      </c>
      <c r="BE1" s="10" t="s">
        <v>56</v>
      </c>
      <c r="BF1" s="10" t="s">
        <v>57</v>
      </c>
      <c r="BG1" s="10" t="s">
        <v>58</v>
      </c>
      <c r="BH1" s="10" t="s">
        <v>59</v>
      </c>
      <c r="BI1" s="10" t="s">
        <v>60</v>
      </c>
      <c r="BJ1" s="10" t="s">
        <v>61</v>
      </c>
      <c r="BK1" s="10" t="s">
        <v>62</v>
      </c>
      <c r="BL1" s="10" t="s">
        <v>63</v>
      </c>
      <c r="BM1" s="10" t="s">
        <v>64</v>
      </c>
      <c r="BN1" s="10" t="s">
        <v>65</v>
      </c>
      <c r="BO1" s="10" t="s">
        <v>66</v>
      </c>
      <c r="BP1" s="10" t="s">
        <v>67</v>
      </c>
      <c r="BQ1" s="10" t="s">
        <v>68</v>
      </c>
      <c r="BR1" s="10" t="s">
        <v>69</v>
      </c>
      <c r="BS1" s="10" t="s">
        <v>70</v>
      </c>
      <c r="BT1" s="10" t="s">
        <v>71</v>
      </c>
    </row>
    <row r="2" spans="1:72" x14ac:dyDescent="0.25">
      <c r="A2" s="10" t="s">
        <v>72</v>
      </c>
      <c r="B2" s="10" t="s">
        <v>9700</v>
      </c>
      <c r="C2" s="10" t="s">
        <v>74</v>
      </c>
      <c r="D2" s="10" t="s">
        <v>74</v>
      </c>
      <c r="E2" s="10" t="s">
        <v>74</v>
      </c>
      <c r="F2" s="10" t="s">
        <v>9701</v>
      </c>
      <c r="G2" s="10" t="s">
        <v>74</v>
      </c>
      <c r="H2" s="10" t="s">
        <v>74</v>
      </c>
      <c r="I2" s="10" t="s">
        <v>9702</v>
      </c>
      <c r="J2" s="10" t="s">
        <v>9703</v>
      </c>
      <c r="K2" s="10" t="s">
        <v>74</v>
      </c>
      <c r="L2" s="10" t="s">
        <v>74</v>
      </c>
      <c r="M2" s="10" t="s">
        <v>78</v>
      </c>
      <c r="N2" s="10" t="s">
        <v>79</v>
      </c>
      <c r="O2" s="10" t="s">
        <v>74</v>
      </c>
      <c r="P2" s="10" t="s">
        <v>74</v>
      </c>
      <c r="Q2" s="10" t="s">
        <v>74</v>
      </c>
      <c r="R2" s="10" t="s">
        <v>74</v>
      </c>
      <c r="S2" s="10" t="s">
        <v>74</v>
      </c>
      <c r="T2" s="10" t="s">
        <v>9704</v>
      </c>
      <c r="U2" s="10" t="s">
        <v>13136</v>
      </c>
      <c r="V2" s="10" t="s">
        <v>9706</v>
      </c>
      <c r="W2" s="10" t="s">
        <v>9707</v>
      </c>
      <c r="X2" s="10" t="s">
        <v>9708</v>
      </c>
      <c r="Y2" s="10" t="s">
        <v>9709</v>
      </c>
      <c r="Z2" s="10" t="s">
        <v>9710</v>
      </c>
      <c r="AA2" s="10" t="s">
        <v>13137</v>
      </c>
      <c r="AB2" s="10" t="s">
        <v>13138</v>
      </c>
      <c r="AC2" s="10" t="s">
        <v>13139</v>
      </c>
      <c r="AD2" s="10" t="s">
        <v>13140</v>
      </c>
      <c r="AE2" s="10" t="s">
        <v>9715</v>
      </c>
      <c r="AF2" s="10" t="s">
        <v>74</v>
      </c>
      <c r="AG2" s="10">
        <v>43</v>
      </c>
      <c r="AH2" s="10">
        <v>115</v>
      </c>
      <c r="AI2" s="10">
        <v>121</v>
      </c>
      <c r="AJ2" s="10">
        <v>1</v>
      </c>
      <c r="AK2" s="10">
        <v>14</v>
      </c>
      <c r="AL2" s="10" t="s">
        <v>8190</v>
      </c>
      <c r="AM2" s="10" t="s">
        <v>93</v>
      </c>
      <c r="AN2" s="10" t="s">
        <v>8191</v>
      </c>
      <c r="AO2" s="10" t="s">
        <v>9716</v>
      </c>
      <c r="AP2" s="10" t="s">
        <v>9717</v>
      </c>
      <c r="AQ2" s="10" t="s">
        <v>74</v>
      </c>
      <c r="AR2" s="10" t="s">
        <v>9718</v>
      </c>
      <c r="AS2" s="10" t="s">
        <v>9719</v>
      </c>
      <c r="AT2" s="10" t="s">
        <v>356</v>
      </c>
      <c r="AU2" s="10">
        <v>2018</v>
      </c>
      <c r="AV2" s="10">
        <v>44</v>
      </c>
      <c r="AW2" s="10">
        <v>5</v>
      </c>
      <c r="AX2" s="10" t="s">
        <v>74</v>
      </c>
      <c r="AY2" s="10" t="s">
        <v>74</v>
      </c>
      <c r="AZ2" s="10" t="s">
        <v>74</v>
      </c>
      <c r="BA2" s="10" t="s">
        <v>74</v>
      </c>
      <c r="BB2" s="10">
        <v>1070</v>
      </c>
      <c r="BC2" s="10">
        <v>1080</v>
      </c>
      <c r="BD2" s="10" t="s">
        <v>74</v>
      </c>
      <c r="BE2" s="10" t="s">
        <v>9720</v>
      </c>
      <c r="BF2" s="10">
        <v>0</v>
      </c>
      <c r="BG2" s="10" t="s">
        <v>74</v>
      </c>
      <c r="BH2" s="10" t="s">
        <v>74</v>
      </c>
      <c r="BI2" s="10">
        <v>11</v>
      </c>
      <c r="BJ2" s="10" t="s">
        <v>4060</v>
      </c>
      <c r="BK2" s="10" t="s">
        <v>211</v>
      </c>
      <c r="BL2" s="10" t="s">
        <v>4060</v>
      </c>
      <c r="BM2" s="10" t="s">
        <v>9721</v>
      </c>
      <c r="BN2" s="10">
        <v>29566206</v>
      </c>
      <c r="BO2" s="10" t="s">
        <v>1539</v>
      </c>
      <c r="BP2" s="10" t="s">
        <v>74</v>
      </c>
      <c r="BQ2" s="10" t="s">
        <v>74</v>
      </c>
      <c r="BR2" s="10" t="s">
        <v>12946</v>
      </c>
      <c r="BS2" s="10" t="s">
        <v>9722</v>
      </c>
      <c r="BT2" s="10">
        <v>0</v>
      </c>
    </row>
    <row r="3" spans="1:72" x14ac:dyDescent="0.25">
      <c r="A3" s="10" t="s">
        <v>72</v>
      </c>
      <c r="B3" s="10" t="s">
        <v>11119</v>
      </c>
      <c r="C3" s="10" t="s">
        <v>74</v>
      </c>
      <c r="D3" s="10" t="s">
        <v>74</v>
      </c>
      <c r="E3" s="10" t="s">
        <v>74</v>
      </c>
      <c r="F3" s="10" t="s">
        <v>11120</v>
      </c>
      <c r="G3" s="10" t="s">
        <v>74</v>
      </c>
      <c r="H3" s="10" t="s">
        <v>11121</v>
      </c>
      <c r="I3" s="10" t="s">
        <v>11122</v>
      </c>
      <c r="J3" s="10" t="s">
        <v>11123</v>
      </c>
      <c r="K3" s="10" t="s">
        <v>74</v>
      </c>
      <c r="L3" s="10" t="s">
        <v>74</v>
      </c>
      <c r="M3" s="10" t="s">
        <v>78</v>
      </c>
      <c r="N3" s="10" t="s">
        <v>79</v>
      </c>
      <c r="O3" s="10" t="s">
        <v>74</v>
      </c>
      <c r="P3" s="10" t="s">
        <v>74</v>
      </c>
      <c r="Q3" s="10" t="s">
        <v>74</v>
      </c>
      <c r="R3" s="10" t="s">
        <v>74</v>
      </c>
      <c r="S3" s="10" t="s">
        <v>74</v>
      </c>
      <c r="T3" s="10" t="s">
        <v>11124</v>
      </c>
      <c r="U3" s="10" t="s">
        <v>11125</v>
      </c>
      <c r="V3" s="10" t="s">
        <v>74</v>
      </c>
      <c r="W3" s="10" t="s">
        <v>74</v>
      </c>
      <c r="X3" s="10" t="s">
        <v>74</v>
      </c>
      <c r="Y3" s="10" t="s">
        <v>74</v>
      </c>
      <c r="Z3" s="10" t="s">
        <v>74</v>
      </c>
      <c r="AA3" s="10" t="s">
        <v>13141</v>
      </c>
      <c r="AB3" s="10" t="s">
        <v>13142</v>
      </c>
      <c r="AC3" s="10" t="s">
        <v>74</v>
      </c>
      <c r="AD3" s="10" t="s">
        <v>74</v>
      </c>
      <c r="AE3" s="10" t="s">
        <v>74</v>
      </c>
      <c r="AF3" s="10" t="s">
        <v>74</v>
      </c>
      <c r="AG3" s="10">
        <v>147</v>
      </c>
      <c r="AH3" s="10">
        <v>76</v>
      </c>
      <c r="AI3" s="10">
        <v>80</v>
      </c>
      <c r="AJ3" s="10">
        <v>2</v>
      </c>
      <c r="AK3" s="10">
        <v>34</v>
      </c>
      <c r="AL3" s="10" t="s">
        <v>3844</v>
      </c>
      <c r="AM3" s="10" t="s">
        <v>3189</v>
      </c>
      <c r="AN3" s="10" t="s">
        <v>3845</v>
      </c>
      <c r="AO3" s="10" t="s">
        <v>11128</v>
      </c>
      <c r="AP3" s="10" t="s">
        <v>11129</v>
      </c>
      <c r="AQ3" s="10" t="s">
        <v>74</v>
      </c>
      <c r="AR3" s="10" t="s">
        <v>11123</v>
      </c>
      <c r="AS3" s="10" t="s">
        <v>11130</v>
      </c>
      <c r="AT3" s="10" t="s">
        <v>11131</v>
      </c>
      <c r="AU3" s="10">
        <v>2016</v>
      </c>
      <c r="AV3" s="10">
        <v>134</v>
      </c>
      <c r="AW3" s="10">
        <v>8</v>
      </c>
      <c r="AX3" s="10" t="s">
        <v>74</v>
      </c>
      <c r="AY3" s="10" t="s">
        <v>74</v>
      </c>
      <c r="AZ3" s="10" t="s">
        <v>74</v>
      </c>
      <c r="BA3" s="10" t="s">
        <v>74</v>
      </c>
      <c r="BB3" s="10" t="s">
        <v>11132</v>
      </c>
      <c r="BC3" s="10" t="s">
        <v>11133</v>
      </c>
      <c r="BD3" s="10" t="s">
        <v>74</v>
      </c>
      <c r="BE3" s="10" t="s">
        <v>11134</v>
      </c>
      <c r="BF3" s="10">
        <v>0</v>
      </c>
      <c r="BG3" s="10" t="s">
        <v>74</v>
      </c>
      <c r="BH3" s="10" t="s">
        <v>74</v>
      </c>
      <c r="BI3" s="10">
        <v>22</v>
      </c>
      <c r="BJ3" s="10" t="s">
        <v>11135</v>
      </c>
      <c r="BK3" s="10" t="s">
        <v>211</v>
      </c>
      <c r="BL3" s="10" t="s">
        <v>11136</v>
      </c>
      <c r="BM3" s="10" t="s">
        <v>11137</v>
      </c>
      <c r="BN3" s="10">
        <v>27334603</v>
      </c>
      <c r="BO3" s="10" t="s">
        <v>791</v>
      </c>
      <c r="BP3" s="10" t="s">
        <v>74</v>
      </c>
      <c r="BQ3" s="10" t="s">
        <v>74</v>
      </c>
      <c r="BR3" s="10" t="s">
        <v>12946</v>
      </c>
      <c r="BS3" s="10" t="s">
        <v>11138</v>
      </c>
      <c r="BT3" s="10">
        <v>0</v>
      </c>
    </row>
    <row r="4" spans="1:72" x14ac:dyDescent="0.25">
      <c r="A4" s="10" t="s">
        <v>72</v>
      </c>
      <c r="B4" s="10" t="s">
        <v>10753</v>
      </c>
      <c r="C4" s="10" t="s">
        <v>74</v>
      </c>
      <c r="D4" s="10" t="s">
        <v>74</v>
      </c>
      <c r="E4" s="10" t="s">
        <v>74</v>
      </c>
      <c r="F4" s="10" t="s">
        <v>10754</v>
      </c>
      <c r="G4" s="10" t="s">
        <v>74</v>
      </c>
      <c r="H4" s="10" t="s">
        <v>74</v>
      </c>
      <c r="I4" s="10" t="s">
        <v>10755</v>
      </c>
      <c r="J4" s="10" t="s">
        <v>573</v>
      </c>
      <c r="K4" s="10" t="s">
        <v>74</v>
      </c>
      <c r="L4" s="10" t="s">
        <v>74</v>
      </c>
      <c r="M4" s="10" t="s">
        <v>78</v>
      </c>
      <c r="N4" s="10" t="s">
        <v>79</v>
      </c>
      <c r="O4" s="10" t="s">
        <v>74</v>
      </c>
      <c r="P4" s="10" t="s">
        <v>74</v>
      </c>
      <c r="Q4" s="10" t="s">
        <v>74</v>
      </c>
      <c r="R4" s="10" t="s">
        <v>74</v>
      </c>
      <c r="S4" s="10" t="s">
        <v>74</v>
      </c>
      <c r="T4" s="10" t="s">
        <v>10756</v>
      </c>
      <c r="U4" s="10" t="s">
        <v>10757</v>
      </c>
      <c r="V4" s="10" t="s">
        <v>10758</v>
      </c>
      <c r="W4" s="10" t="s">
        <v>10759</v>
      </c>
      <c r="X4" s="10" t="s">
        <v>10760</v>
      </c>
      <c r="Y4" s="10" t="s">
        <v>10761</v>
      </c>
      <c r="Z4" s="10" t="s">
        <v>10762</v>
      </c>
      <c r="AA4" s="10" t="s">
        <v>10763</v>
      </c>
      <c r="AB4" s="10" t="s">
        <v>10764</v>
      </c>
      <c r="AC4" s="10" t="s">
        <v>74</v>
      </c>
      <c r="AD4" s="10" t="s">
        <v>74</v>
      </c>
      <c r="AE4" s="10" t="s">
        <v>74</v>
      </c>
      <c r="AF4" s="10" t="s">
        <v>74</v>
      </c>
      <c r="AG4" s="10">
        <v>45</v>
      </c>
      <c r="AH4" s="10">
        <v>44</v>
      </c>
      <c r="AI4" s="10">
        <v>54</v>
      </c>
      <c r="AJ4" s="10">
        <v>5</v>
      </c>
      <c r="AK4" s="10">
        <v>47</v>
      </c>
      <c r="AL4" s="10" t="s">
        <v>492</v>
      </c>
      <c r="AM4" s="10" t="s">
        <v>493</v>
      </c>
      <c r="AN4" s="10" t="s">
        <v>494</v>
      </c>
      <c r="AO4" s="10" t="s">
        <v>583</v>
      </c>
      <c r="AP4" s="10" t="s">
        <v>584</v>
      </c>
      <c r="AQ4" s="10" t="s">
        <v>74</v>
      </c>
      <c r="AR4" s="10" t="s">
        <v>585</v>
      </c>
      <c r="AS4" s="10" t="s">
        <v>586</v>
      </c>
      <c r="AT4" s="10" t="s">
        <v>74</v>
      </c>
      <c r="AU4" s="10">
        <v>2017</v>
      </c>
      <c r="AV4" s="10">
        <v>20</v>
      </c>
      <c r="AW4" s="10">
        <v>5</v>
      </c>
      <c r="AX4" s="10" t="s">
        <v>74</v>
      </c>
      <c r="AY4" s="10" t="s">
        <v>74</v>
      </c>
      <c r="AZ4" s="10" t="s">
        <v>74</v>
      </c>
      <c r="BA4" s="10" t="s">
        <v>74</v>
      </c>
      <c r="BB4" s="10">
        <v>770</v>
      </c>
      <c r="BC4" s="10">
        <v>783</v>
      </c>
      <c r="BD4" s="10" t="s">
        <v>74</v>
      </c>
      <c r="BE4" s="10" t="s">
        <v>10765</v>
      </c>
      <c r="BF4" s="10">
        <v>0</v>
      </c>
      <c r="BG4" s="10" t="s">
        <v>74</v>
      </c>
      <c r="BH4" s="10" t="s">
        <v>74</v>
      </c>
      <c r="BI4" s="10">
        <v>14</v>
      </c>
      <c r="BJ4" s="10" t="s">
        <v>589</v>
      </c>
      <c r="BK4" s="10" t="s">
        <v>156</v>
      </c>
      <c r="BL4" s="10" t="s">
        <v>589</v>
      </c>
      <c r="BM4" s="10" t="s">
        <v>10766</v>
      </c>
      <c r="BN4" s="10" t="s">
        <v>74</v>
      </c>
      <c r="BO4" s="10" t="s">
        <v>74</v>
      </c>
      <c r="BP4" s="10" t="s">
        <v>74</v>
      </c>
      <c r="BQ4" s="10" t="s">
        <v>74</v>
      </c>
      <c r="BR4" s="10" t="s">
        <v>12946</v>
      </c>
      <c r="BS4" s="10" t="s">
        <v>10767</v>
      </c>
      <c r="BT4" s="10">
        <v>0</v>
      </c>
    </row>
    <row r="5" spans="1:72" x14ac:dyDescent="0.25">
      <c r="A5" s="10" t="s">
        <v>72</v>
      </c>
      <c r="B5" s="10" t="s">
        <v>6681</v>
      </c>
      <c r="C5" s="10" t="s">
        <v>74</v>
      </c>
      <c r="D5" s="10" t="s">
        <v>74</v>
      </c>
      <c r="E5" s="10" t="s">
        <v>74</v>
      </c>
      <c r="F5" s="10" t="s">
        <v>6682</v>
      </c>
      <c r="G5" s="10" t="s">
        <v>74</v>
      </c>
      <c r="H5" s="10" t="s">
        <v>74</v>
      </c>
      <c r="I5" s="10" t="s">
        <v>6683</v>
      </c>
      <c r="J5" s="10" t="s">
        <v>6684</v>
      </c>
      <c r="K5" s="10" t="s">
        <v>74</v>
      </c>
      <c r="L5" s="10" t="s">
        <v>74</v>
      </c>
      <c r="M5" s="10" t="s">
        <v>78</v>
      </c>
      <c r="N5" s="10" t="s">
        <v>79</v>
      </c>
      <c r="O5" s="10" t="s">
        <v>74</v>
      </c>
      <c r="P5" s="10" t="s">
        <v>74</v>
      </c>
      <c r="Q5" s="10" t="s">
        <v>74</v>
      </c>
      <c r="R5" s="10" t="s">
        <v>74</v>
      </c>
      <c r="S5" s="10" t="s">
        <v>74</v>
      </c>
      <c r="T5" s="10" t="s">
        <v>74</v>
      </c>
      <c r="U5" s="10" t="s">
        <v>6685</v>
      </c>
      <c r="V5" s="10" t="s">
        <v>6686</v>
      </c>
      <c r="W5" s="10" t="s">
        <v>6687</v>
      </c>
      <c r="X5" s="10" t="s">
        <v>6688</v>
      </c>
      <c r="Y5" s="10" t="s">
        <v>6689</v>
      </c>
      <c r="Z5" s="10" t="s">
        <v>6690</v>
      </c>
      <c r="AA5" s="10" t="s">
        <v>74</v>
      </c>
      <c r="AB5" s="10" t="s">
        <v>6691</v>
      </c>
      <c r="AC5" s="10" t="s">
        <v>6692</v>
      </c>
      <c r="AD5" s="10" t="s">
        <v>6693</v>
      </c>
      <c r="AE5" s="10" t="s">
        <v>6694</v>
      </c>
      <c r="AF5" s="10" t="s">
        <v>74</v>
      </c>
      <c r="AG5" s="10">
        <v>26</v>
      </c>
      <c r="AH5" s="10">
        <v>42</v>
      </c>
      <c r="AI5" s="10">
        <v>47</v>
      </c>
      <c r="AJ5" s="10">
        <v>0</v>
      </c>
      <c r="AK5" s="10">
        <v>6</v>
      </c>
      <c r="AL5" s="10" t="s">
        <v>6695</v>
      </c>
      <c r="AM5" s="10" t="s">
        <v>3189</v>
      </c>
      <c r="AN5" s="10" t="s">
        <v>6696</v>
      </c>
      <c r="AO5" s="10" t="s">
        <v>6697</v>
      </c>
      <c r="AP5" s="10" t="s">
        <v>6698</v>
      </c>
      <c r="AQ5" s="10" t="s">
        <v>74</v>
      </c>
      <c r="AR5" s="10" t="s">
        <v>6699</v>
      </c>
      <c r="AS5" s="10" t="s">
        <v>6700</v>
      </c>
      <c r="AT5" s="10" t="s">
        <v>6701</v>
      </c>
      <c r="AU5" s="10">
        <v>2021</v>
      </c>
      <c r="AV5" s="10">
        <v>27</v>
      </c>
      <c r="AW5" s="10">
        <v>4</v>
      </c>
      <c r="AX5" s="10" t="s">
        <v>74</v>
      </c>
      <c r="AY5" s="10" t="s">
        <v>74</v>
      </c>
      <c r="AZ5" s="10" t="s">
        <v>74</v>
      </c>
      <c r="BA5" s="10" t="s">
        <v>74</v>
      </c>
      <c r="BB5" s="10">
        <v>933</v>
      </c>
      <c r="BC5" s="10">
        <v>936</v>
      </c>
      <c r="BD5" s="10" t="s">
        <v>74</v>
      </c>
      <c r="BE5" s="10" t="s">
        <v>6702</v>
      </c>
      <c r="BF5" s="10">
        <v>0</v>
      </c>
      <c r="BG5" s="10" t="s">
        <v>74</v>
      </c>
      <c r="BH5" s="10" t="s">
        <v>74</v>
      </c>
      <c r="BI5" s="10">
        <v>4</v>
      </c>
      <c r="BJ5" s="10" t="s">
        <v>6703</v>
      </c>
      <c r="BK5" s="10" t="s">
        <v>102</v>
      </c>
      <c r="BL5" s="10" t="s">
        <v>6703</v>
      </c>
      <c r="BM5" s="10" t="s">
        <v>6704</v>
      </c>
      <c r="BN5" s="10">
        <v>33229457</v>
      </c>
      <c r="BO5" s="10" t="s">
        <v>3856</v>
      </c>
      <c r="BP5" s="10" t="s">
        <v>74</v>
      </c>
      <c r="BQ5" s="10" t="s">
        <v>74</v>
      </c>
      <c r="BR5" s="10" t="s">
        <v>12946</v>
      </c>
      <c r="BS5" s="10" t="s">
        <v>6706</v>
      </c>
      <c r="BT5" s="10">
        <v>0</v>
      </c>
    </row>
    <row r="6" spans="1:72" x14ac:dyDescent="0.25">
      <c r="A6" s="10" t="s">
        <v>72</v>
      </c>
      <c r="B6" s="10" t="s">
        <v>8806</v>
      </c>
      <c r="C6" s="10" t="s">
        <v>74</v>
      </c>
      <c r="D6" s="10" t="s">
        <v>74</v>
      </c>
      <c r="E6" s="10" t="s">
        <v>74</v>
      </c>
      <c r="F6" s="10" t="s">
        <v>8807</v>
      </c>
      <c r="G6" s="10" t="s">
        <v>74</v>
      </c>
      <c r="H6" s="10" t="s">
        <v>74</v>
      </c>
      <c r="I6" s="10" t="s">
        <v>8808</v>
      </c>
      <c r="J6" s="10" t="s">
        <v>8809</v>
      </c>
      <c r="K6" s="10" t="s">
        <v>74</v>
      </c>
      <c r="L6" s="10" t="s">
        <v>74</v>
      </c>
      <c r="M6" s="10" t="s">
        <v>78</v>
      </c>
      <c r="N6" s="10" t="s">
        <v>79</v>
      </c>
      <c r="O6" s="10" t="s">
        <v>74</v>
      </c>
      <c r="P6" s="10" t="s">
        <v>74</v>
      </c>
      <c r="Q6" s="10" t="s">
        <v>74</v>
      </c>
      <c r="R6" s="10" t="s">
        <v>74</v>
      </c>
      <c r="S6" s="10" t="s">
        <v>74</v>
      </c>
      <c r="T6" s="10" t="s">
        <v>74</v>
      </c>
      <c r="U6" s="10" t="s">
        <v>8810</v>
      </c>
      <c r="V6" s="10" t="s">
        <v>8811</v>
      </c>
      <c r="W6" s="10" t="s">
        <v>8812</v>
      </c>
      <c r="X6" s="10" t="s">
        <v>8813</v>
      </c>
      <c r="Y6" s="10" t="s">
        <v>8814</v>
      </c>
      <c r="Z6" s="10" t="s">
        <v>8815</v>
      </c>
      <c r="AA6" s="10" t="s">
        <v>8816</v>
      </c>
      <c r="AB6" s="10" t="s">
        <v>74</v>
      </c>
      <c r="AC6" s="10" t="s">
        <v>8817</v>
      </c>
      <c r="AD6" s="10" t="s">
        <v>8818</v>
      </c>
      <c r="AE6" s="10" t="s">
        <v>8819</v>
      </c>
      <c r="AF6" s="10" t="s">
        <v>74</v>
      </c>
      <c r="AG6" s="10">
        <v>24</v>
      </c>
      <c r="AH6" s="10">
        <v>38</v>
      </c>
      <c r="AI6" s="10">
        <v>43</v>
      </c>
      <c r="AJ6" s="10">
        <v>4</v>
      </c>
      <c r="AK6" s="10">
        <v>22</v>
      </c>
      <c r="AL6" s="10" t="s">
        <v>8820</v>
      </c>
      <c r="AM6" s="10" t="s">
        <v>2842</v>
      </c>
      <c r="AN6" s="10" t="s">
        <v>8821</v>
      </c>
      <c r="AO6" s="10" t="s">
        <v>8822</v>
      </c>
      <c r="AP6" s="10" t="s">
        <v>74</v>
      </c>
      <c r="AQ6" s="10" t="s">
        <v>74</v>
      </c>
      <c r="AR6" s="10" t="s">
        <v>8823</v>
      </c>
      <c r="AS6" s="10" t="s">
        <v>8824</v>
      </c>
      <c r="AT6" s="10" t="s">
        <v>8825</v>
      </c>
      <c r="AU6" s="10">
        <v>2019</v>
      </c>
      <c r="AV6" s="10">
        <v>27</v>
      </c>
      <c r="AW6" s="10">
        <v>22</v>
      </c>
      <c r="AX6" s="10" t="s">
        <v>74</v>
      </c>
      <c r="AY6" s="10" t="s">
        <v>74</v>
      </c>
      <c r="AZ6" s="10" t="s">
        <v>74</v>
      </c>
      <c r="BA6" s="10" t="s">
        <v>74</v>
      </c>
      <c r="BB6" s="10">
        <v>31956</v>
      </c>
      <c r="BC6" s="10">
        <v>31966</v>
      </c>
      <c r="BD6" s="10" t="s">
        <v>74</v>
      </c>
      <c r="BE6" s="10" t="s">
        <v>8826</v>
      </c>
      <c r="BF6" s="10">
        <v>0</v>
      </c>
      <c r="BG6" s="10" t="s">
        <v>74</v>
      </c>
      <c r="BH6" s="10" t="s">
        <v>74</v>
      </c>
      <c r="BI6" s="10">
        <v>11</v>
      </c>
      <c r="BJ6" s="10" t="s">
        <v>8827</v>
      </c>
      <c r="BK6" s="10" t="s">
        <v>102</v>
      </c>
      <c r="BL6" s="10" t="s">
        <v>8827</v>
      </c>
      <c r="BM6" s="10" t="s">
        <v>8828</v>
      </c>
      <c r="BN6" s="10">
        <v>31684417</v>
      </c>
      <c r="BO6" s="10" t="s">
        <v>186</v>
      </c>
      <c r="BP6" s="10" t="s">
        <v>74</v>
      </c>
      <c r="BQ6" s="10" t="s">
        <v>74</v>
      </c>
      <c r="BR6" s="10" t="s">
        <v>12946</v>
      </c>
      <c r="BS6" s="10" t="s">
        <v>8829</v>
      </c>
      <c r="BT6" s="10">
        <v>0</v>
      </c>
    </row>
    <row r="7" spans="1:72" x14ac:dyDescent="0.25">
      <c r="A7" s="10" t="s">
        <v>72</v>
      </c>
      <c r="B7" s="10" t="s">
        <v>4597</v>
      </c>
      <c r="C7" s="10" t="s">
        <v>74</v>
      </c>
      <c r="D7" s="10" t="s">
        <v>74</v>
      </c>
      <c r="E7" s="10" t="s">
        <v>74</v>
      </c>
      <c r="F7" s="10" t="s">
        <v>4598</v>
      </c>
      <c r="G7" s="10" t="s">
        <v>74</v>
      </c>
      <c r="H7" s="10" t="s">
        <v>74</v>
      </c>
      <c r="I7" s="10" t="s">
        <v>4599</v>
      </c>
      <c r="J7" s="10" t="s">
        <v>1567</v>
      </c>
      <c r="K7" s="10" t="s">
        <v>74</v>
      </c>
      <c r="L7" s="10" t="s">
        <v>74</v>
      </c>
      <c r="M7" s="10" t="s">
        <v>78</v>
      </c>
      <c r="N7" s="10" t="s">
        <v>79</v>
      </c>
      <c r="O7" s="10" t="s">
        <v>74</v>
      </c>
      <c r="P7" s="10" t="s">
        <v>74</v>
      </c>
      <c r="Q7" s="10" t="s">
        <v>74</v>
      </c>
      <c r="R7" s="10" t="s">
        <v>74</v>
      </c>
      <c r="S7" s="10" t="s">
        <v>74</v>
      </c>
      <c r="T7" s="10" t="s">
        <v>4600</v>
      </c>
      <c r="U7" s="10" t="s">
        <v>597</v>
      </c>
      <c r="V7" s="10" t="s">
        <v>4601</v>
      </c>
      <c r="W7" s="10" t="s">
        <v>4602</v>
      </c>
      <c r="X7" s="10" t="s">
        <v>4603</v>
      </c>
      <c r="Y7" s="10" t="s">
        <v>4604</v>
      </c>
      <c r="Z7" s="10" t="s">
        <v>4605</v>
      </c>
      <c r="AA7" s="10" t="s">
        <v>4606</v>
      </c>
      <c r="AB7" s="10" t="s">
        <v>74</v>
      </c>
      <c r="AC7" s="10" t="s">
        <v>74</v>
      </c>
      <c r="AD7" s="10" t="s">
        <v>74</v>
      </c>
      <c r="AE7" s="10" t="s">
        <v>74</v>
      </c>
      <c r="AF7" s="10" t="s">
        <v>74</v>
      </c>
      <c r="AG7" s="10">
        <v>45</v>
      </c>
      <c r="AH7" s="10">
        <v>36</v>
      </c>
      <c r="AI7" s="10">
        <v>39</v>
      </c>
      <c r="AJ7" s="10">
        <v>0</v>
      </c>
      <c r="AK7" s="10">
        <v>49</v>
      </c>
      <c r="AL7" s="10" t="s">
        <v>1382</v>
      </c>
      <c r="AM7" s="10" t="s">
        <v>1383</v>
      </c>
      <c r="AN7" s="10" t="s">
        <v>1384</v>
      </c>
      <c r="AO7" s="10" t="s">
        <v>74</v>
      </c>
      <c r="AP7" s="10" t="s">
        <v>1579</v>
      </c>
      <c r="AQ7" s="10" t="s">
        <v>74</v>
      </c>
      <c r="AR7" s="10" t="s">
        <v>1580</v>
      </c>
      <c r="AS7" s="10" t="s">
        <v>1581</v>
      </c>
      <c r="AT7" s="10" t="s">
        <v>4608</v>
      </c>
      <c r="AU7" s="10">
        <v>2022</v>
      </c>
      <c r="AV7" s="10">
        <v>10</v>
      </c>
      <c r="AW7" s="10" t="s">
        <v>74</v>
      </c>
      <c r="AX7" s="10" t="s">
        <v>74</v>
      </c>
      <c r="AY7" s="10" t="s">
        <v>74</v>
      </c>
      <c r="AZ7" s="10" t="s">
        <v>74</v>
      </c>
      <c r="BA7" s="10" t="s">
        <v>74</v>
      </c>
      <c r="BB7" s="10" t="s">
        <v>74</v>
      </c>
      <c r="BC7" s="10" t="s">
        <v>74</v>
      </c>
      <c r="BD7" s="10">
        <v>857003</v>
      </c>
      <c r="BE7" s="10" t="s">
        <v>4609</v>
      </c>
      <c r="BF7" s="10">
        <v>0</v>
      </c>
      <c r="BG7" s="10" t="s">
        <v>74</v>
      </c>
      <c r="BH7" s="10" t="s">
        <v>74</v>
      </c>
      <c r="BI7" s="10">
        <v>10</v>
      </c>
      <c r="BJ7" s="10" t="s">
        <v>1584</v>
      </c>
      <c r="BK7" s="10" t="s">
        <v>211</v>
      </c>
      <c r="BL7" s="10" t="s">
        <v>1584</v>
      </c>
      <c r="BM7" s="10" t="s">
        <v>4610</v>
      </c>
      <c r="BN7" s="10">
        <v>35359767</v>
      </c>
      <c r="BO7" s="10" t="s">
        <v>614</v>
      </c>
      <c r="BP7" s="10" t="s">
        <v>74</v>
      </c>
      <c r="BQ7" s="10" t="s">
        <v>74</v>
      </c>
      <c r="BR7" s="10" t="s">
        <v>12946</v>
      </c>
      <c r="BS7" s="10" t="s">
        <v>4611</v>
      </c>
      <c r="BT7" s="10">
        <v>0</v>
      </c>
    </row>
    <row r="8" spans="1:72" x14ac:dyDescent="0.25">
      <c r="A8" s="10" t="s">
        <v>72</v>
      </c>
      <c r="B8" s="10" t="s">
        <v>12106</v>
      </c>
      <c r="C8" s="10" t="s">
        <v>74</v>
      </c>
      <c r="D8" s="10" t="s">
        <v>74</v>
      </c>
      <c r="E8" s="10" t="s">
        <v>74</v>
      </c>
      <c r="F8" s="10" t="s">
        <v>12107</v>
      </c>
      <c r="G8" s="10" t="s">
        <v>74</v>
      </c>
      <c r="H8" s="10" t="s">
        <v>74</v>
      </c>
      <c r="I8" s="10" t="s">
        <v>12108</v>
      </c>
      <c r="J8" s="10" t="s">
        <v>12109</v>
      </c>
      <c r="K8" s="10" t="s">
        <v>74</v>
      </c>
      <c r="L8" s="10" t="s">
        <v>74</v>
      </c>
      <c r="M8" s="10" t="s">
        <v>78</v>
      </c>
      <c r="N8" s="10" t="s">
        <v>79</v>
      </c>
      <c r="O8" s="10" t="s">
        <v>74</v>
      </c>
      <c r="P8" s="10" t="s">
        <v>74</v>
      </c>
      <c r="Q8" s="10" t="s">
        <v>74</v>
      </c>
      <c r="R8" s="10" t="s">
        <v>74</v>
      </c>
      <c r="S8" s="10" t="s">
        <v>74</v>
      </c>
      <c r="T8" s="10" t="s">
        <v>12110</v>
      </c>
      <c r="U8" s="10" t="s">
        <v>12111</v>
      </c>
      <c r="V8" s="10" t="s">
        <v>12112</v>
      </c>
      <c r="W8" s="10" t="s">
        <v>12113</v>
      </c>
      <c r="X8" s="10" t="s">
        <v>74</v>
      </c>
      <c r="Y8" s="10" t="s">
        <v>12114</v>
      </c>
      <c r="Z8" s="10" t="s">
        <v>12115</v>
      </c>
      <c r="AA8" s="10" t="s">
        <v>74</v>
      </c>
      <c r="AB8" s="10" t="s">
        <v>74</v>
      </c>
      <c r="AC8" s="10" t="s">
        <v>13143</v>
      </c>
      <c r="AD8" s="10" t="s">
        <v>12117</v>
      </c>
      <c r="AE8" s="10" t="s">
        <v>74</v>
      </c>
      <c r="AF8" s="10" t="s">
        <v>74</v>
      </c>
      <c r="AG8" s="10">
        <v>14</v>
      </c>
      <c r="AH8" s="10">
        <v>36</v>
      </c>
      <c r="AI8" s="10">
        <v>37</v>
      </c>
      <c r="AJ8" s="10">
        <v>0</v>
      </c>
      <c r="AK8" s="10">
        <v>28</v>
      </c>
      <c r="AL8" s="10" t="s">
        <v>12118</v>
      </c>
      <c r="AM8" s="10" t="s">
        <v>3189</v>
      </c>
      <c r="AN8" s="10" t="s">
        <v>12119</v>
      </c>
      <c r="AO8" s="10" t="s">
        <v>12120</v>
      </c>
      <c r="AP8" s="10" t="s">
        <v>74</v>
      </c>
      <c r="AQ8" s="10" t="s">
        <v>74</v>
      </c>
      <c r="AR8" s="10" t="s">
        <v>12121</v>
      </c>
      <c r="AS8" s="10" t="s">
        <v>12122</v>
      </c>
      <c r="AT8" s="10" t="s">
        <v>837</v>
      </c>
      <c r="AU8" s="10">
        <v>2013</v>
      </c>
      <c r="AV8" s="10">
        <v>20</v>
      </c>
      <c r="AW8" s="10">
        <v>4</v>
      </c>
      <c r="AX8" s="10" t="s">
        <v>74</v>
      </c>
      <c r="AY8" s="10" t="s">
        <v>74</v>
      </c>
      <c r="AZ8" s="10" t="s">
        <v>74</v>
      </c>
      <c r="BA8" s="10" t="s">
        <v>74</v>
      </c>
      <c r="BB8" s="10">
        <v>364</v>
      </c>
      <c r="BC8" s="10">
        <v>369</v>
      </c>
      <c r="BD8" s="10" t="s">
        <v>74</v>
      </c>
      <c r="BE8" s="10" t="s">
        <v>12123</v>
      </c>
      <c r="BF8" s="10">
        <v>0</v>
      </c>
      <c r="BG8" s="10" t="s">
        <v>74</v>
      </c>
      <c r="BH8" s="10" t="s">
        <v>74</v>
      </c>
      <c r="BI8" s="10">
        <v>6</v>
      </c>
      <c r="BJ8" s="10" t="s">
        <v>12124</v>
      </c>
      <c r="BK8" s="10" t="s">
        <v>211</v>
      </c>
      <c r="BL8" s="10" t="s">
        <v>12124</v>
      </c>
      <c r="BM8" s="10" t="s">
        <v>12125</v>
      </c>
      <c r="BN8" s="10">
        <v>23809289</v>
      </c>
      <c r="BO8" s="10" t="s">
        <v>6705</v>
      </c>
      <c r="BP8" s="10" t="s">
        <v>74</v>
      </c>
      <c r="BQ8" s="10" t="s">
        <v>74</v>
      </c>
      <c r="BR8" s="10" t="s">
        <v>12946</v>
      </c>
      <c r="BS8" s="10" t="s">
        <v>12126</v>
      </c>
      <c r="BT8" s="10">
        <v>0</v>
      </c>
    </row>
    <row r="9" spans="1:72" x14ac:dyDescent="0.25">
      <c r="A9" s="10" t="s">
        <v>72</v>
      </c>
      <c r="B9" s="10" t="s">
        <v>9940</v>
      </c>
      <c r="C9" s="10" t="s">
        <v>74</v>
      </c>
      <c r="D9" s="10" t="s">
        <v>74</v>
      </c>
      <c r="E9" s="10" t="s">
        <v>74</v>
      </c>
      <c r="F9" s="10" t="s">
        <v>9941</v>
      </c>
      <c r="G9" s="10" t="s">
        <v>74</v>
      </c>
      <c r="H9" s="10" t="s">
        <v>74</v>
      </c>
      <c r="I9" s="10" t="s">
        <v>9942</v>
      </c>
      <c r="J9" s="10" t="s">
        <v>9943</v>
      </c>
      <c r="K9" s="10" t="s">
        <v>74</v>
      </c>
      <c r="L9" s="10" t="s">
        <v>74</v>
      </c>
      <c r="M9" s="10" t="s">
        <v>78</v>
      </c>
      <c r="N9" s="10" t="s">
        <v>79</v>
      </c>
      <c r="O9" s="10" t="s">
        <v>74</v>
      </c>
      <c r="P9" s="10" t="s">
        <v>74</v>
      </c>
      <c r="Q9" s="10" t="s">
        <v>74</v>
      </c>
      <c r="R9" s="10" t="s">
        <v>74</v>
      </c>
      <c r="S9" s="10" t="s">
        <v>74</v>
      </c>
      <c r="T9" s="10" t="s">
        <v>74</v>
      </c>
      <c r="U9" s="10" t="s">
        <v>9944</v>
      </c>
      <c r="V9" s="10" t="s">
        <v>9945</v>
      </c>
      <c r="W9" s="10" t="s">
        <v>9946</v>
      </c>
      <c r="X9" s="10" t="s">
        <v>9947</v>
      </c>
      <c r="Y9" s="10" t="s">
        <v>9948</v>
      </c>
      <c r="Z9" s="10" t="s">
        <v>9949</v>
      </c>
      <c r="AA9" s="10" t="s">
        <v>74</v>
      </c>
      <c r="AB9" s="10" t="s">
        <v>13144</v>
      </c>
      <c r="AC9" s="10" t="s">
        <v>74</v>
      </c>
      <c r="AD9" s="10" t="s">
        <v>74</v>
      </c>
      <c r="AE9" s="10" t="s">
        <v>74</v>
      </c>
      <c r="AF9" s="10" t="s">
        <v>74</v>
      </c>
      <c r="AG9" s="10">
        <v>26</v>
      </c>
      <c r="AH9" s="10">
        <v>35</v>
      </c>
      <c r="AI9" s="10">
        <v>46</v>
      </c>
      <c r="AJ9" s="10">
        <v>1</v>
      </c>
      <c r="AK9" s="10">
        <v>6</v>
      </c>
      <c r="AL9" s="10" t="s">
        <v>3844</v>
      </c>
      <c r="AM9" s="10" t="s">
        <v>3189</v>
      </c>
      <c r="AN9" s="10" t="s">
        <v>3845</v>
      </c>
      <c r="AO9" s="10" t="s">
        <v>9950</v>
      </c>
      <c r="AP9" s="10" t="s">
        <v>9951</v>
      </c>
      <c r="AQ9" s="10" t="s">
        <v>74</v>
      </c>
      <c r="AR9" s="10" t="s">
        <v>9952</v>
      </c>
      <c r="AS9" s="10" t="s">
        <v>9953</v>
      </c>
      <c r="AT9" s="10" t="s">
        <v>1448</v>
      </c>
      <c r="AU9" s="10">
        <v>2018</v>
      </c>
      <c r="AV9" s="10">
        <v>48</v>
      </c>
      <c r="AW9" s="10">
        <v>4</v>
      </c>
      <c r="AX9" s="10" t="s">
        <v>74</v>
      </c>
      <c r="AY9" s="10" t="s">
        <v>74</v>
      </c>
      <c r="AZ9" s="10" t="s">
        <v>74</v>
      </c>
      <c r="BA9" s="10" t="s">
        <v>74</v>
      </c>
      <c r="BB9" s="10">
        <v>191</v>
      </c>
      <c r="BC9" s="10">
        <v>196</v>
      </c>
      <c r="BD9" s="10" t="s">
        <v>74</v>
      </c>
      <c r="BE9" s="10" t="s">
        <v>9954</v>
      </c>
      <c r="BF9" s="10">
        <v>0</v>
      </c>
      <c r="BG9" s="10" t="s">
        <v>74</v>
      </c>
      <c r="BH9" s="10" t="s">
        <v>74</v>
      </c>
      <c r="BI9" s="10">
        <v>6</v>
      </c>
      <c r="BJ9" s="10" t="s">
        <v>9955</v>
      </c>
      <c r="BK9" s="10" t="s">
        <v>211</v>
      </c>
      <c r="BL9" s="10" t="s">
        <v>9955</v>
      </c>
      <c r="BM9" s="10" t="s">
        <v>9956</v>
      </c>
      <c r="BN9" s="10">
        <v>29570144</v>
      </c>
      <c r="BO9" s="10" t="s">
        <v>74</v>
      </c>
      <c r="BP9" s="10" t="s">
        <v>74</v>
      </c>
      <c r="BQ9" s="10" t="s">
        <v>74</v>
      </c>
      <c r="BR9" s="10" t="s">
        <v>12946</v>
      </c>
      <c r="BS9" s="10" t="s">
        <v>9957</v>
      </c>
      <c r="BT9" s="10">
        <v>0</v>
      </c>
    </row>
    <row r="10" spans="1:72" x14ac:dyDescent="0.25">
      <c r="A10" s="10" t="s">
        <v>72</v>
      </c>
      <c r="B10" s="10" t="s">
        <v>8830</v>
      </c>
      <c r="C10" s="10" t="s">
        <v>74</v>
      </c>
      <c r="D10" s="10" t="s">
        <v>74</v>
      </c>
      <c r="E10" s="10" t="s">
        <v>74</v>
      </c>
      <c r="F10" s="10" t="s">
        <v>8831</v>
      </c>
      <c r="G10" s="10" t="s">
        <v>74</v>
      </c>
      <c r="H10" s="10" t="s">
        <v>74</v>
      </c>
      <c r="I10" s="10" t="s">
        <v>8832</v>
      </c>
      <c r="J10" s="10" t="s">
        <v>8833</v>
      </c>
      <c r="K10" s="10" t="s">
        <v>74</v>
      </c>
      <c r="L10" s="10" t="s">
        <v>74</v>
      </c>
      <c r="M10" s="10" t="s">
        <v>78</v>
      </c>
      <c r="N10" s="10" t="s">
        <v>79</v>
      </c>
      <c r="O10" s="10" t="s">
        <v>74</v>
      </c>
      <c r="P10" s="10" t="s">
        <v>74</v>
      </c>
      <c r="Q10" s="10" t="s">
        <v>74</v>
      </c>
      <c r="R10" s="10" t="s">
        <v>74</v>
      </c>
      <c r="S10" s="10" t="s">
        <v>74</v>
      </c>
      <c r="T10" s="10" t="s">
        <v>8834</v>
      </c>
      <c r="U10" s="10" t="s">
        <v>8835</v>
      </c>
      <c r="V10" s="10" t="s">
        <v>8836</v>
      </c>
      <c r="W10" s="10" t="s">
        <v>8837</v>
      </c>
      <c r="X10" s="10" t="s">
        <v>8838</v>
      </c>
      <c r="Y10" s="10" t="s">
        <v>8839</v>
      </c>
      <c r="Z10" s="10" t="s">
        <v>8840</v>
      </c>
      <c r="AA10" s="10" t="s">
        <v>8841</v>
      </c>
      <c r="AB10" s="10" t="s">
        <v>13145</v>
      </c>
      <c r="AC10" s="10" t="s">
        <v>8843</v>
      </c>
      <c r="AD10" s="10" t="s">
        <v>8844</v>
      </c>
      <c r="AE10" s="10" t="s">
        <v>8845</v>
      </c>
      <c r="AF10" s="10" t="s">
        <v>74</v>
      </c>
      <c r="AG10" s="10">
        <v>66</v>
      </c>
      <c r="AH10" s="10">
        <v>31</v>
      </c>
      <c r="AI10" s="10">
        <v>34</v>
      </c>
      <c r="AJ10" s="10">
        <v>7</v>
      </c>
      <c r="AK10" s="10">
        <v>63</v>
      </c>
      <c r="AL10" s="10" t="s">
        <v>146</v>
      </c>
      <c r="AM10" s="10" t="s">
        <v>147</v>
      </c>
      <c r="AN10" s="10" t="s">
        <v>148</v>
      </c>
      <c r="AO10" s="10" t="s">
        <v>8846</v>
      </c>
      <c r="AP10" s="10" t="s">
        <v>8847</v>
      </c>
      <c r="AQ10" s="10" t="s">
        <v>74</v>
      </c>
      <c r="AR10" s="10" t="s">
        <v>8848</v>
      </c>
      <c r="AS10" s="10" t="s">
        <v>8849</v>
      </c>
      <c r="AT10" s="10" t="s">
        <v>208</v>
      </c>
      <c r="AU10" s="10">
        <v>2019</v>
      </c>
      <c r="AV10" s="10">
        <v>41</v>
      </c>
      <c r="AW10" s="10" t="s">
        <v>74</v>
      </c>
      <c r="AX10" s="10" t="s">
        <v>74</v>
      </c>
      <c r="AY10" s="10">
        <v>1</v>
      </c>
      <c r="AZ10" s="10" t="s">
        <v>1020</v>
      </c>
      <c r="BA10" s="10" t="s">
        <v>74</v>
      </c>
      <c r="BB10" s="10">
        <v>31</v>
      </c>
      <c r="BC10" s="10">
        <v>49</v>
      </c>
      <c r="BD10" s="10" t="s">
        <v>74</v>
      </c>
      <c r="BE10" s="10" t="s">
        <v>8850</v>
      </c>
      <c r="BF10" s="10">
        <v>0</v>
      </c>
      <c r="BG10" s="10" t="s">
        <v>74</v>
      </c>
      <c r="BH10" s="10" t="s">
        <v>74</v>
      </c>
      <c r="BI10" s="10">
        <v>19</v>
      </c>
      <c r="BJ10" s="10" t="s">
        <v>8851</v>
      </c>
      <c r="BK10" s="10" t="s">
        <v>156</v>
      </c>
      <c r="BL10" s="10" t="s">
        <v>8852</v>
      </c>
      <c r="BM10" s="10" t="s">
        <v>8853</v>
      </c>
      <c r="BN10" s="10">
        <v>31599987</v>
      </c>
      <c r="BO10" s="10" t="s">
        <v>1539</v>
      </c>
      <c r="BP10" s="10" t="s">
        <v>74</v>
      </c>
      <c r="BQ10" s="10" t="s">
        <v>74</v>
      </c>
      <c r="BR10" s="10" t="s">
        <v>12946</v>
      </c>
      <c r="BS10" s="10" t="s">
        <v>8854</v>
      </c>
      <c r="BT10" s="10">
        <v>0</v>
      </c>
    </row>
    <row r="11" spans="1:72" x14ac:dyDescent="0.25">
      <c r="A11" s="10" t="s">
        <v>72</v>
      </c>
      <c r="B11" s="10" t="s">
        <v>9656</v>
      </c>
      <c r="C11" s="10" t="s">
        <v>74</v>
      </c>
      <c r="D11" s="10" t="s">
        <v>74</v>
      </c>
      <c r="E11" s="10" t="s">
        <v>74</v>
      </c>
      <c r="F11" s="10" t="s">
        <v>9657</v>
      </c>
      <c r="G11" s="10" t="s">
        <v>74</v>
      </c>
      <c r="H11" s="10" t="s">
        <v>74</v>
      </c>
      <c r="I11" s="10" t="s">
        <v>9658</v>
      </c>
      <c r="J11" s="10" t="s">
        <v>9633</v>
      </c>
      <c r="K11" s="10" t="s">
        <v>74</v>
      </c>
      <c r="L11" s="10" t="s">
        <v>74</v>
      </c>
      <c r="M11" s="10" t="s">
        <v>78</v>
      </c>
      <c r="N11" s="10" t="s">
        <v>79</v>
      </c>
      <c r="O11" s="10" t="s">
        <v>74</v>
      </c>
      <c r="P11" s="10" t="s">
        <v>74</v>
      </c>
      <c r="Q11" s="10" t="s">
        <v>74</v>
      </c>
      <c r="R11" s="10" t="s">
        <v>74</v>
      </c>
      <c r="S11" s="10" t="s">
        <v>74</v>
      </c>
      <c r="T11" s="10" t="s">
        <v>74</v>
      </c>
      <c r="U11" s="10" t="s">
        <v>9659</v>
      </c>
      <c r="V11" s="10" t="s">
        <v>9660</v>
      </c>
      <c r="W11" s="10" t="s">
        <v>9661</v>
      </c>
      <c r="X11" s="10" t="s">
        <v>9662</v>
      </c>
      <c r="Y11" s="10" t="s">
        <v>9663</v>
      </c>
      <c r="Z11" s="10" t="s">
        <v>9664</v>
      </c>
      <c r="AA11" s="10" t="s">
        <v>9665</v>
      </c>
      <c r="AB11" s="10" t="s">
        <v>13146</v>
      </c>
      <c r="AC11" s="10" t="s">
        <v>9667</v>
      </c>
      <c r="AD11" s="10" t="s">
        <v>9668</v>
      </c>
      <c r="AE11" s="10" t="s">
        <v>9669</v>
      </c>
      <c r="AF11" s="10" t="s">
        <v>74</v>
      </c>
      <c r="AG11" s="10">
        <v>69</v>
      </c>
      <c r="AH11" s="10">
        <v>28</v>
      </c>
      <c r="AI11" s="10">
        <v>32</v>
      </c>
      <c r="AJ11" s="10">
        <v>0</v>
      </c>
      <c r="AK11" s="10">
        <v>4</v>
      </c>
      <c r="AL11" s="10" t="s">
        <v>9670</v>
      </c>
      <c r="AM11" s="10" t="s">
        <v>9646</v>
      </c>
      <c r="AN11" s="10" t="s">
        <v>9671</v>
      </c>
      <c r="AO11" s="10" t="s">
        <v>9648</v>
      </c>
      <c r="AP11" s="10" t="s">
        <v>74</v>
      </c>
      <c r="AQ11" s="10" t="s">
        <v>74</v>
      </c>
      <c r="AR11" s="10" t="s">
        <v>9649</v>
      </c>
      <c r="AS11" s="10" t="s">
        <v>9650</v>
      </c>
      <c r="AT11" s="10" t="s">
        <v>2871</v>
      </c>
      <c r="AU11" s="10">
        <v>2018</v>
      </c>
      <c r="AV11" s="10">
        <v>6</v>
      </c>
      <c r="AW11" s="10" t="s">
        <v>74</v>
      </c>
      <c r="AX11" s="10" t="s">
        <v>74</v>
      </c>
      <c r="AY11" s="10">
        <v>1</v>
      </c>
      <c r="AZ11" s="10" t="s">
        <v>74</v>
      </c>
      <c r="BA11" s="10" t="s">
        <v>74</v>
      </c>
      <c r="BB11" s="10" t="s">
        <v>9672</v>
      </c>
      <c r="BC11" s="10" t="s">
        <v>9673</v>
      </c>
      <c r="BD11" s="10" t="s">
        <v>74</v>
      </c>
      <c r="BE11" s="10" t="s">
        <v>9674</v>
      </c>
      <c r="BF11" s="10">
        <v>0</v>
      </c>
      <c r="BG11" s="10" t="s">
        <v>74</v>
      </c>
      <c r="BH11" s="10" t="s">
        <v>74</v>
      </c>
      <c r="BI11" s="10">
        <v>11</v>
      </c>
      <c r="BJ11" s="10" t="s">
        <v>1584</v>
      </c>
      <c r="BK11" s="10" t="s">
        <v>211</v>
      </c>
      <c r="BL11" s="10" t="s">
        <v>1584</v>
      </c>
      <c r="BM11" s="10" t="s">
        <v>9654</v>
      </c>
      <c r="BN11" s="10">
        <v>30305340</v>
      </c>
      <c r="BO11" s="10" t="s">
        <v>422</v>
      </c>
      <c r="BP11" s="10" t="s">
        <v>74</v>
      </c>
      <c r="BQ11" s="10" t="s">
        <v>74</v>
      </c>
      <c r="BR11" s="10" t="s">
        <v>12946</v>
      </c>
      <c r="BS11" s="10" t="s">
        <v>9675</v>
      </c>
      <c r="BT11" s="10">
        <v>0</v>
      </c>
    </row>
    <row r="12" spans="1:72" x14ac:dyDescent="0.25">
      <c r="A12" s="10" t="s">
        <v>72</v>
      </c>
      <c r="B12" s="10" t="s">
        <v>9365</v>
      </c>
      <c r="C12" s="10" t="s">
        <v>74</v>
      </c>
      <c r="D12" s="10" t="s">
        <v>74</v>
      </c>
      <c r="E12" s="10" t="s">
        <v>74</v>
      </c>
      <c r="F12" s="10" t="s">
        <v>9366</v>
      </c>
      <c r="G12" s="10" t="s">
        <v>74</v>
      </c>
      <c r="H12" s="10" t="s">
        <v>74</v>
      </c>
      <c r="I12" s="10" t="s">
        <v>9367</v>
      </c>
      <c r="J12" s="10" t="s">
        <v>633</v>
      </c>
      <c r="K12" s="10" t="s">
        <v>74</v>
      </c>
      <c r="L12" s="10" t="s">
        <v>74</v>
      </c>
      <c r="M12" s="10" t="s">
        <v>78</v>
      </c>
      <c r="N12" s="10" t="s">
        <v>79</v>
      </c>
      <c r="O12" s="10" t="s">
        <v>74</v>
      </c>
      <c r="P12" s="10" t="s">
        <v>74</v>
      </c>
      <c r="Q12" s="10" t="s">
        <v>74</v>
      </c>
      <c r="R12" s="10" t="s">
        <v>74</v>
      </c>
      <c r="S12" s="10" t="s">
        <v>74</v>
      </c>
      <c r="T12" s="10" t="s">
        <v>9368</v>
      </c>
      <c r="U12" s="10" t="s">
        <v>9369</v>
      </c>
      <c r="V12" s="10" t="s">
        <v>9370</v>
      </c>
      <c r="W12" s="10" t="s">
        <v>9371</v>
      </c>
      <c r="X12" s="10" t="s">
        <v>9372</v>
      </c>
      <c r="Y12" s="10" t="s">
        <v>9373</v>
      </c>
      <c r="Z12" s="10" t="s">
        <v>9374</v>
      </c>
      <c r="AA12" s="10" t="s">
        <v>74</v>
      </c>
      <c r="AB12" s="10" t="s">
        <v>74</v>
      </c>
      <c r="AC12" s="10" t="s">
        <v>9375</v>
      </c>
      <c r="AD12" s="10" t="s">
        <v>9376</v>
      </c>
      <c r="AE12" s="10" t="s">
        <v>9377</v>
      </c>
      <c r="AF12" s="10" t="s">
        <v>74</v>
      </c>
      <c r="AG12" s="10">
        <v>44</v>
      </c>
      <c r="AH12" s="10">
        <v>23</v>
      </c>
      <c r="AI12" s="10">
        <v>23</v>
      </c>
      <c r="AJ12" s="10">
        <v>0</v>
      </c>
      <c r="AK12" s="10">
        <v>6</v>
      </c>
      <c r="AL12" s="10" t="s">
        <v>644</v>
      </c>
      <c r="AM12" s="10" t="s">
        <v>645</v>
      </c>
      <c r="AN12" s="10" t="s">
        <v>646</v>
      </c>
      <c r="AO12" s="10" t="s">
        <v>647</v>
      </c>
      <c r="AP12" s="10" t="s">
        <v>74</v>
      </c>
      <c r="AQ12" s="10" t="s">
        <v>74</v>
      </c>
      <c r="AR12" s="10" t="s">
        <v>648</v>
      </c>
      <c r="AS12" s="10" t="s">
        <v>649</v>
      </c>
      <c r="AT12" s="10" t="s">
        <v>2068</v>
      </c>
      <c r="AU12" s="10">
        <v>2019</v>
      </c>
      <c r="AV12" s="10">
        <v>10</v>
      </c>
      <c r="AW12" s="10">
        <v>1</v>
      </c>
      <c r="AX12" s="10" t="s">
        <v>74</v>
      </c>
      <c r="AY12" s="10" t="s">
        <v>74</v>
      </c>
      <c r="AZ12" s="10" t="s">
        <v>74</v>
      </c>
      <c r="BA12" s="10" t="s">
        <v>74</v>
      </c>
      <c r="BB12" s="10">
        <v>19</v>
      </c>
      <c r="BC12" s="10">
        <v>27</v>
      </c>
      <c r="BD12" s="10" t="s">
        <v>74</v>
      </c>
      <c r="BE12" s="10" t="s">
        <v>9378</v>
      </c>
      <c r="BF12" s="10">
        <v>0</v>
      </c>
      <c r="BG12" s="10" t="s">
        <v>74</v>
      </c>
      <c r="BH12" s="10" t="s">
        <v>74</v>
      </c>
      <c r="BI12" s="10">
        <v>9</v>
      </c>
      <c r="BJ12" s="10" t="s">
        <v>651</v>
      </c>
      <c r="BK12" s="10" t="s">
        <v>211</v>
      </c>
      <c r="BL12" s="10" t="s">
        <v>651</v>
      </c>
      <c r="BM12" s="10" t="s">
        <v>9379</v>
      </c>
      <c r="BN12" s="10">
        <v>30625501</v>
      </c>
      <c r="BO12" s="10" t="s">
        <v>3175</v>
      </c>
      <c r="BP12" s="10" t="s">
        <v>74</v>
      </c>
      <c r="BQ12" s="10" t="s">
        <v>74</v>
      </c>
      <c r="BR12" s="10" t="s">
        <v>12946</v>
      </c>
      <c r="BS12" s="10" t="s">
        <v>9380</v>
      </c>
      <c r="BT12" s="10">
        <v>0</v>
      </c>
    </row>
    <row r="13" spans="1:72" x14ac:dyDescent="0.25">
      <c r="A13" s="10" t="s">
        <v>72</v>
      </c>
      <c r="B13" s="10" t="s">
        <v>7855</v>
      </c>
      <c r="C13" s="10" t="s">
        <v>74</v>
      </c>
      <c r="D13" s="10" t="s">
        <v>74</v>
      </c>
      <c r="E13" s="10" t="s">
        <v>74</v>
      </c>
      <c r="F13" s="10" t="s">
        <v>7856</v>
      </c>
      <c r="G13" s="10" t="s">
        <v>74</v>
      </c>
      <c r="H13" s="10" t="s">
        <v>74</v>
      </c>
      <c r="I13" s="10" t="s">
        <v>7857</v>
      </c>
      <c r="J13" s="10" t="s">
        <v>7858</v>
      </c>
      <c r="K13" s="10" t="s">
        <v>74</v>
      </c>
      <c r="L13" s="10" t="s">
        <v>74</v>
      </c>
      <c r="M13" s="10" t="s">
        <v>78</v>
      </c>
      <c r="N13" s="10" t="s">
        <v>79</v>
      </c>
      <c r="O13" s="10" t="s">
        <v>74</v>
      </c>
      <c r="P13" s="10" t="s">
        <v>74</v>
      </c>
      <c r="Q13" s="10" t="s">
        <v>74</v>
      </c>
      <c r="R13" s="10" t="s">
        <v>74</v>
      </c>
      <c r="S13" s="10" t="s">
        <v>74</v>
      </c>
      <c r="T13" s="10" t="s">
        <v>7859</v>
      </c>
      <c r="U13" s="10" t="s">
        <v>7860</v>
      </c>
      <c r="V13" s="10" t="s">
        <v>7861</v>
      </c>
      <c r="W13" s="10" t="s">
        <v>7862</v>
      </c>
      <c r="X13" s="10" t="s">
        <v>7863</v>
      </c>
      <c r="Y13" s="10" t="s">
        <v>7864</v>
      </c>
      <c r="Z13" s="10" t="s">
        <v>7865</v>
      </c>
      <c r="AA13" s="10" t="s">
        <v>7866</v>
      </c>
      <c r="AB13" s="10" t="s">
        <v>13147</v>
      </c>
      <c r="AC13" s="10" t="s">
        <v>7868</v>
      </c>
      <c r="AD13" s="10" t="s">
        <v>7869</v>
      </c>
      <c r="AE13" s="10" t="s">
        <v>7870</v>
      </c>
      <c r="AF13" s="10" t="s">
        <v>74</v>
      </c>
      <c r="AG13" s="10">
        <v>88</v>
      </c>
      <c r="AH13" s="10">
        <v>21</v>
      </c>
      <c r="AI13" s="10">
        <v>21</v>
      </c>
      <c r="AJ13" s="10">
        <v>0</v>
      </c>
      <c r="AK13" s="10">
        <v>4</v>
      </c>
      <c r="AL13" s="10" t="s">
        <v>1382</v>
      </c>
      <c r="AM13" s="10" t="s">
        <v>1383</v>
      </c>
      <c r="AN13" s="10" t="s">
        <v>1384</v>
      </c>
      <c r="AO13" s="10" t="s">
        <v>7871</v>
      </c>
      <c r="AP13" s="10" t="s">
        <v>74</v>
      </c>
      <c r="AQ13" s="10" t="s">
        <v>74</v>
      </c>
      <c r="AR13" s="10" t="s">
        <v>7872</v>
      </c>
      <c r="AS13" s="10" t="s">
        <v>7873</v>
      </c>
      <c r="AT13" s="10" t="s">
        <v>7874</v>
      </c>
      <c r="AU13" s="10">
        <v>2020</v>
      </c>
      <c r="AV13" s="10">
        <v>11</v>
      </c>
      <c r="AW13" s="10" t="s">
        <v>74</v>
      </c>
      <c r="AX13" s="10" t="s">
        <v>74</v>
      </c>
      <c r="AY13" s="10" t="s">
        <v>74</v>
      </c>
      <c r="AZ13" s="10" t="s">
        <v>74</v>
      </c>
      <c r="BA13" s="10" t="s">
        <v>74</v>
      </c>
      <c r="BB13" s="10" t="s">
        <v>74</v>
      </c>
      <c r="BC13" s="10" t="s">
        <v>74</v>
      </c>
      <c r="BD13" s="10">
        <v>445</v>
      </c>
      <c r="BE13" s="10" t="s">
        <v>7875</v>
      </c>
      <c r="BF13" s="10">
        <v>0</v>
      </c>
      <c r="BG13" s="10" t="s">
        <v>74</v>
      </c>
      <c r="BH13" s="10" t="s">
        <v>74</v>
      </c>
      <c r="BI13" s="10">
        <v>7</v>
      </c>
      <c r="BJ13" s="10" t="s">
        <v>7876</v>
      </c>
      <c r="BK13" s="10" t="s">
        <v>102</v>
      </c>
      <c r="BL13" s="10" t="s">
        <v>7877</v>
      </c>
      <c r="BM13" s="10" t="s">
        <v>7878</v>
      </c>
      <c r="BN13" s="10">
        <v>32612566</v>
      </c>
      <c r="BO13" s="10" t="s">
        <v>614</v>
      </c>
      <c r="BP13" s="10" t="s">
        <v>74</v>
      </c>
      <c r="BQ13" s="10" t="s">
        <v>74</v>
      </c>
      <c r="BR13" s="10" t="s">
        <v>12946</v>
      </c>
      <c r="BS13" s="10" t="s">
        <v>7879</v>
      </c>
      <c r="BT13" s="10">
        <v>0</v>
      </c>
    </row>
    <row r="14" spans="1:72" x14ac:dyDescent="0.25">
      <c r="A14" s="10" t="s">
        <v>72</v>
      </c>
      <c r="B14" s="10" t="s">
        <v>9630</v>
      </c>
      <c r="C14" s="10" t="s">
        <v>74</v>
      </c>
      <c r="D14" s="10" t="s">
        <v>74</v>
      </c>
      <c r="E14" s="10" t="s">
        <v>74</v>
      </c>
      <c r="F14" s="10" t="s">
        <v>9631</v>
      </c>
      <c r="G14" s="10" t="s">
        <v>74</v>
      </c>
      <c r="H14" s="10" t="s">
        <v>74</v>
      </c>
      <c r="I14" s="10" t="s">
        <v>9632</v>
      </c>
      <c r="J14" s="10" t="s">
        <v>9633</v>
      </c>
      <c r="K14" s="10" t="s">
        <v>74</v>
      </c>
      <c r="L14" s="10" t="s">
        <v>74</v>
      </c>
      <c r="M14" s="10" t="s">
        <v>78</v>
      </c>
      <c r="N14" s="10" t="s">
        <v>79</v>
      </c>
      <c r="O14" s="10" t="s">
        <v>74</v>
      </c>
      <c r="P14" s="10" t="s">
        <v>74</v>
      </c>
      <c r="Q14" s="10" t="s">
        <v>74</v>
      </c>
      <c r="R14" s="10" t="s">
        <v>74</v>
      </c>
      <c r="S14" s="10" t="s">
        <v>74</v>
      </c>
      <c r="T14" s="10" t="s">
        <v>74</v>
      </c>
      <c r="U14" s="10" t="s">
        <v>9634</v>
      </c>
      <c r="V14" s="10" t="s">
        <v>9635</v>
      </c>
      <c r="W14" s="10" t="s">
        <v>9636</v>
      </c>
      <c r="X14" s="10" t="s">
        <v>9637</v>
      </c>
      <c r="Y14" s="10" t="s">
        <v>9638</v>
      </c>
      <c r="Z14" s="10" t="s">
        <v>9639</v>
      </c>
      <c r="AA14" s="10" t="s">
        <v>74</v>
      </c>
      <c r="AB14" s="10" t="s">
        <v>13148</v>
      </c>
      <c r="AC14" s="10" t="s">
        <v>9642</v>
      </c>
      <c r="AD14" s="10" t="s">
        <v>9643</v>
      </c>
      <c r="AE14" s="10" t="s">
        <v>9644</v>
      </c>
      <c r="AF14" s="10" t="s">
        <v>74</v>
      </c>
      <c r="AG14" s="10">
        <v>47</v>
      </c>
      <c r="AH14" s="10">
        <v>20</v>
      </c>
      <c r="AI14" s="10">
        <v>20</v>
      </c>
      <c r="AJ14" s="10">
        <v>3</v>
      </c>
      <c r="AK14" s="10">
        <v>37</v>
      </c>
      <c r="AL14" s="10" t="s">
        <v>9645</v>
      </c>
      <c r="AM14" s="10" t="s">
        <v>9646</v>
      </c>
      <c r="AN14" s="10" t="s">
        <v>9647</v>
      </c>
      <c r="AO14" s="10" t="s">
        <v>9648</v>
      </c>
      <c r="AP14" s="10" t="s">
        <v>74</v>
      </c>
      <c r="AQ14" s="10" t="s">
        <v>74</v>
      </c>
      <c r="AR14" s="10" t="s">
        <v>9649</v>
      </c>
      <c r="AS14" s="10" t="s">
        <v>9650</v>
      </c>
      <c r="AT14" s="10" t="s">
        <v>2871</v>
      </c>
      <c r="AU14" s="10">
        <v>2018</v>
      </c>
      <c r="AV14" s="10">
        <v>6</v>
      </c>
      <c r="AW14" s="10" t="s">
        <v>74</v>
      </c>
      <c r="AX14" s="10" t="s">
        <v>74</v>
      </c>
      <c r="AY14" s="10">
        <v>1</v>
      </c>
      <c r="AZ14" s="10" t="s">
        <v>74</v>
      </c>
      <c r="BA14" s="10" t="s">
        <v>74</v>
      </c>
      <c r="BB14" s="10" t="s">
        <v>9651</v>
      </c>
      <c r="BC14" s="10" t="s">
        <v>9652</v>
      </c>
      <c r="BD14" s="10" t="s">
        <v>74</v>
      </c>
      <c r="BE14" s="10" t="s">
        <v>9653</v>
      </c>
      <c r="BF14" s="10">
        <v>0</v>
      </c>
      <c r="BG14" s="10" t="s">
        <v>74</v>
      </c>
      <c r="BH14" s="10" t="s">
        <v>74</v>
      </c>
      <c r="BI14" s="10">
        <v>12</v>
      </c>
      <c r="BJ14" s="10" t="s">
        <v>1584</v>
      </c>
      <c r="BK14" s="10" t="s">
        <v>211</v>
      </c>
      <c r="BL14" s="10" t="s">
        <v>1584</v>
      </c>
      <c r="BM14" s="10" t="s">
        <v>9654</v>
      </c>
      <c r="BN14" s="10">
        <v>30305337</v>
      </c>
      <c r="BO14" s="10" t="s">
        <v>614</v>
      </c>
      <c r="BP14" s="10" t="s">
        <v>74</v>
      </c>
      <c r="BQ14" s="10" t="s">
        <v>74</v>
      </c>
      <c r="BR14" s="10" t="s">
        <v>12946</v>
      </c>
      <c r="BS14" s="10" t="s">
        <v>9655</v>
      </c>
      <c r="BT14" s="10">
        <v>0</v>
      </c>
    </row>
    <row r="15" spans="1:72" x14ac:dyDescent="0.25">
      <c r="A15" s="10" t="s">
        <v>72</v>
      </c>
      <c r="B15" s="10" t="s">
        <v>6604</v>
      </c>
      <c r="C15" s="10" t="s">
        <v>74</v>
      </c>
      <c r="D15" s="10" t="s">
        <v>74</v>
      </c>
      <c r="E15" s="10" t="s">
        <v>74</v>
      </c>
      <c r="F15" s="10" t="s">
        <v>6605</v>
      </c>
      <c r="G15" s="10" t="s">
        <v>74</v>
      </c>
      <c r="H15" s="10" t="s">
        <v>74</v>
      </c>
      <c r="I15" s="10" t="s">
        <v>6606</v>
      </c>
      <c r="J15" s="10" t="s">
        <v>6607</v>
      </c>
      <c r="K15" s="10" t="s">
        <v>74</v>
      </c>
      <c r="L15" s="10" t="s">
        <v>74</v>
      </c>
      <c r="M15" s="10" t="s">
        <v>78</v>
      </c>
      <c r="N15" s="10" t="s">
        <v>79</v>
      </c>
      <c r="O15" s="10" t="s">
        <v>74</v>
      </c>
      <c r="P15" s="10" t="s">
        <v>74</v>
      </c>
      <c r="Q15" s="10" t="s">
        <v>74</v>
      </c>
      <c r="R15" s="10" t="s">
        <v>74</v>
      </c>
      <c r="S15" s="10" t="s">
        <v>74</v>
      </c>
      <c r="T15" s="10" t="s">
        <v>6608</v>
      </c>
      <c r="U15" s="10" t="s">
        <v>6609</v>
      </c>
      <c r="V15" s="10" t="s">
        <v>6610</v>
      </c>
      <c r="W15" s="10" t="s">
        <v>6611</v>
      </c>
      <c r="X15" s="10" t="s">
        <v>6612</v>
      </c>
      <c r="Y15" s="10" t="s">
        <v>6613</v>
      </c>
      <c r="Z15" s="10" t="s">
        <v>6614</v>
      </c>
      <c r="AA15" s="10" t="s">
        <v>13149</v>
      </c>
      <c r="AB15" s="10" t="s">
        <v>13150</v>
      </c>
      <c r="AC15" s="10" t="s">
        <v>6617</v>
      </c>
      <c r="AD15" s="10" t="s">
        <v>6618</v>
      </c>
      <c r="AE15" s="10" t="s">
        <v>6619</v>
      </c>
      <c r="AF15" s="10" t="s">
        <v>74</v>
      </c>
      <c r="AG15" s="10">
        <v>36</v>
      </c>
      <c r="AH15" s="10">
        <v>17</v>
      </c>
      <c r="AI15" s="10">
        <v>17</v>
      </c>
      <c r="AJ15" s="10">
        <v>1</v>
      </c>
      <c r="AK15" s="10">
        <v>4</v>
      </c>
      <c r="AL15" s="10" t="s">
        <v>4079</v>
      </c>
      <c r="AM15" s="10" t="s">
        <v>4080</v>
      </c>
      <c r="AN15" s="10" t="s">
        <v>4081</v>
      </c>
      <c r="AO15" s="10" t="s">
        <v>6620</v>
      </c>
      <c r="AP15" s="10" t="s">
        <v>6621</v>
      </c>
      <c r="AQ15" s="10" t="s">
        <v>74</v>
      </c>
      <c r="AR15" s="10" t="s">
        <v>6622</v>
      </c>
      <c r="AS15" s="10" t="s">
        <v>6623</v>
      </c>
      <c r="AT15" s="10" t="s">
        <v>1448</v>
      </c>
      <c r="AU15" s="10">
        <v>2021</v>
      </c>
      <c r="AV15" s="10">
        <v>190</v>
      </c>
      <c r="AW15" s="10">
        <v>4</v>
      </c>
      <c r="AX15" s="10" t="s">
        <v>74</v>
      </c>
      <c r="AY15" s="10" t="s">
        <v>74</v>
      </c>
      <c r="AZ15" s="10" t="s">
        <v>74</v>
      </c>
      <c r="BA15" s="10" t="s">
        <v>74</v>
      </c>
      <c r="BB15" s="10">
        <v>681</v>
      </c>
      <c r="BC15" s="10">
        <v>695</v>
      </c>
      <c r="BD15" s="10" t="s">
        <v>74</v>
      </c>
      <c r="BE15" s="10" t="s">
        <v>6624</v>
      </c>
      <c r="BF15" s="10">
        <v>0</v>
      </c>
      <c r="BG15" s="10" t="s">
        <v>74</v>
      </c>
      <c r="BH15" s="10" t="s">
        <v>74</v>
      </c>
      <c r="BI15" s="10">
        <v>15</v>
      </c>
      <c r="BJ15" s="10" t="s">
        <v>1584</v>
      </c>
      <c r="BK15" s="10" t="s">
        <v>211</v>
      </c>
      <c r="BL15" s="10" t="s">
        <v>1584</v>
      </c>
      <c r="BM15" s="10" t="s">
        <v>6625</v>
      </c>
      <c r="BN15" s="10">
        <v>33057684</v>
      </c>
      <c r="BO15" s="10" t="s">
        <v>3068</v>
      </c>
      <c r="BP15" s="10" t="s">
        <v>74</v>
      </c>
      <c r="BQ15" s="10" t="s">
        <v>74</v>
      </c>
      <c r="BR15" s="10" t="s">
        <v>12946</v>
      </c>
      <c r="BS15" s="10" t="s">
        <v>6626</v>
      </c>
      <c r="BT15" s="10">
        <v>0</v>
      </c>
    </row>
    <row r="16" spans="1:72" x14ac:dyDescent="0.25">
      <c r="A16" s="10" t="s">
        <v>72</v>
      </c>
      <c r="B16" s="10" t="s">
        <v>12064</v>
      </c>
      <c r="C16" s="10" t="s">
        <v>74</v>
      </c>
      <c r="D16" s="10" t="s">
        <v>74</v>
      </c>
      <c r="E16" s="10" t="s">
        <v>74</v>
      </c>
      <c r="F16" s="10" t="s">
        <v>12065</v>
      </c>
      <c r="G16" s="10" t="s">
        <v>74</v>
      </c>
      <c r="H16" s="10" t="s">
        <v>74</v>
      </c>
      <c r="I16" s="10" t="s">
        <v>12066</v>
      </c>
      <c r="J16" s="10" t="s">
        <v>12067</v>
      </c>
      <c r="K16" s="10" t="s">
        <v>74</v>
      </c>
      <c r="L16" s="10" t="s">
        <v>74</v>
      </c>
      <c r="M16" s="10" t="s">
        <v>78</v>
      </c>
      <c r="N16" s="10" t="s">
        <v>79</v>
      </c>
      <c r="O16" s="10" t="s">
        <v>74</v>
      </c>
      <c r="P16" s="10" t="s">
        <v>74</v>
      </c>
      <c r="Q16" s="10" t="s">
        <v>74</v>
      </c>
      <c r="R16" s="10" t="s">
        <v>74</v>
      </c>
      <c r="S16" s="10" t="s">
        <v>74</v>
      </c>
      <c r="T16" s="10" t="s">
        <v>12068</v>
      </c>
      <c r="U16" s="10" t="s">
        <v>12069</v>
      </c>
      <c r="V16" s="10" t="s">
        <v>12070</v>
      </c>
      <c r="W16" s="10" t="s">
        <v>12071</v>
      </c>
      <c r="X16" s="10" t="s">
        <v>12072</v>
      </c>
      <c r="Y16" s="10" t="s">
        <v>12073</v>
      </c>
      <c r="Z16" s="10" t="s">
        <v>12074</v>
      </c>
      <c r="AA16" s="10" t="s">
        <v>13151</v>
      </c>
      <c r="AB16" s="10" t="s">
        <v>13152</v>
      </c>
      <c r="AC16" s="10" t="s">
        <v>74</v>
      </c>
      <c r="AD16" s="10" t="s">
        <v>74</v>
      </c>
      <c r="AE16" s="10" t="s">
        <v>74</v>
      </c>
      <c r="AF16" s="10" t="s">
        <v>74</v>
      </c>
      <c r="AG16" s="10">
        <v>11</v>
      </c>
      <c r="AH16" s="10">
        <v>15</v>
      </c>
      <c r="AI16" s="10">
        <v>17</v>
      </c>
      <c r="AJ16" s="10">
        <v>0</v>
      </c>
      <c r="AK16" s="10">
        <v>2</v>
      </c>
      <c r="AL16" s="10" t="s">
        <v>9779</v>
      </c>
      <c r="AM16" s="10" t="s">
        <v>232</v>
      </c>
      <c r="AN16" s="10" t="s">
        <v>9780</v>
      </c>
      <c r="AO16" s="10" t="s">
        <v>12077</v>
      </c>
      <c r="AP16" s="10" t="s">
        <v>74</v>
      </c>
      <c r="AQ16" s="10" t="s">
        <v>74</v>
      </c>
      <c r="AR16" s="10" t="s">
        <v>12078</v>
      </c>
      <c r="AS16" s="10" t="s">
        <v>12079</v>
      </c>
      <c r="AT16" s="10" t="s">
        <v>626</v>
      </c>
      <c r="AU16" s="10">
        <v>2013</v>
      </c>
      <c r="AV16" s="10">
        <v>115</v>
      </c>
      <c r="AW16" s="10">
        <v>8</v>
      </c>
      <c r="AX16" s="10" t="s">
        <v>74</v>
      </c>
      <c r="AY16" s="10" t="s">
        <v>74</v>
      </c>
      <c r="AZ16" s="10" t="s">
        <v>74</v>
      </c>
      <c r="BA16" s="10" t="s">
        <v>74</v>
      </c>
      <c r="BB16" s="10">
        <v>1313</v>
      </c>
      <c r="BC16" s="10">
        <v>1316</v>
      </c>
      <c r="BD16" s="10" t="s">
        <v>74</v>
      </c>
      <c r="BE16" s="10" t="s">
        <v>12080</v>
      </c>
      <c r="BF16" s="10">
        <v>0</v>
      </c>
      <c r="BG16" s="10" t="s">
        <v>74</v>
      </c>
      <c r="BH16" s="10" t="s">
        <v>74</v>
      </c>
      <c r="BI16" s="10">
        <v>4</v>
      </c>
      <c r="BJ16" s="10" t="s">
        <v>12081</v>
      </c>
      <c r="BK16" s="10" t="s">
        <v>102</v>
      </c>
      <c r="BL16" s="10" t="s">
        <v>12082</v>
      </c>
      <c r="BM16" s="10" t="s">
        <v>12083</v>
      </c>
      <c r="BN16" s="10">
        <v>23298975</v>
      </c>
      <c r="BO16" s="10" t="s">
        <v>74</v>
      </c>
      <c r="BP16" s="10" t="s">
        <v>74</v>
      </c>
      <c r="BQ16" s="10" t="s">
        <v>74</v>
      </c>
      <c r="BR16" s="10" t="s">
        <v>12946</v>
      </c>
      <c r="BS16" s="10" t="s">
        <v>12084</v>
      </c>
      <c r="BT16" s="10">
        <v>0</v>
      </c>
    </row>
    <row r="17" spans="1:72" x14ac:dyDescent="0.25">
      <c r="A17" s="10" t="s">
        <v>72</v>
      </c>
      <c r="B17" s="10" t="s">
        <v>9894</v>
      </c>
      <c r="C17" s="10" t="s">
        <v>74</v>
      </c>
      <c r="D17" s="10" t="s">
        <v>74</v>
      </c>
      <c r="E17" s="10" t="s">
        <v>74</v>
      </c>
      <c r="F17" s="10" t="s">
        <v>9895</v>
      </c>
      <c r="G17" s="10" t="s">
        <v>74</v>
      </c>
      <c r="H17" s="10" t="s">
        <v>74</v>
      </c>
      <c r="I17" s="10" t="s">
        <v>9896</v>
      </c>
      <c r="J17" s="10" t="s">
        <v>9897</v>
      </c>
      <c r="K17" s="10" t="s">
        <v>74</v>
      </c>
      <c r="L17" s="10" t="s">
        <v>74</v>
      </c>
      <c r="M17" s="10" t="s">
        <v>78</v>
      </c>
      <c r="N17" s="10" t="s">
        <v>79</v>
      </c>
      <c r="O17" s="10" t="s">
        <v>74</v>
      </c>
      <c r="P17" s="10" t="s">
        <v>74</v>
      </c>
      <c r="Q17" s="10" t="s">
        <v>74</v>
      </c>
      <c r="R17" s="10" t="s">
        <v>74</v>
      </c>
      <c r="S17" s="10" t="s">
        <v>74</v>
      </c>
      <c r="T17" s="10" t="s">
        <v>74</v>
      </c>
      <c r="U17" s="10" t="s">
        <v>9898</v>
      </c>
      <c r="V17" s="10" t="s">
        <v>9899</v>
      </c>
      <c r="W17" s="10" t="s">
        <v>9900</v>
      </c>
      <c r="X17" s="10" t="s">
        <v>9901</v>
      </c>
      <c r="Y17" s="10" t="s">
        <v>9902</v>
      </c>
      <c r="Z17" s="10" t="s">
        <v>9903</v>
      </c>
      <c r="AA17" s="10" t="s">
        <v>13153</v>
      </c>
      <c r="AB17" s="10" t="s">
        <v>9905</v>
      </c>
      <c r="AC17" s="10" t="s">
        <v>9906</v>
      </c>
      <c r="AD17" s="10" t="s">
        <v>9907</v>
      </c>
      <c r="AE17" s="10" t="s">
        <v>9908</v>
      </c>
      <c r="AF17" s="10" t="s">
        <v>74</v>
      </c>
      <c r="AG17" s="10">
        <v>63</v>
      </c>
      <c r="AH17" s="10">
        <v>14</v>
      </c>
      <c r="AI17" s="10">
        <v>14</v>
      </c>
      <c r="AJ17" s="10">
        <v>1</v>
      </c>
      <c r="AK17" s="10">
        <v>37</v>
      </c>
      <c r="AL17" s="10" t="s">
        <v>8190</v>
      </c>
      <c r="AM17" s="10" t="s">
        <v>93</v>
      </c>
      <c r="AN17" s="10" t="s">
        <v>8191</v>
      </c>
      <c r="AO17" s="10" t="s">
        <v>9909</v>
      </c>
      <c r="AP17" s="10" t="s">
        <v>9910</v>
      </c>
      <c r="AQ17" s="10" t="s">
        <v>74</v>
      </c>
      <c r="AR17" s="10" t="s">
        <v>9911</v>
      </c>
      <c r="AS17" s="10" t="s">
        <v>9912</v>
      </c>
      <c r="AT17" s="10" t="s">
        <v>1448</v>
      </c>
      <c r="AU17" s="10">
        <v>2018</v>
      </c>
      <c r="AV17" s="10">
        <v>33</v>
      </c>
      <c r="AW17" s="10">
        <v>2</v>
      </c>
      <c r="AX17" s="10" t="s">
        <v>74</v>
      </c>
      <c r="AY17" s="10" t="s">
        <v>74</v>
      </c>
      <c r="AZ17" s="10" t="s">
        <v>74</v>
      </c>
      <c r="BA17" s="10" t="s">
        <v>74</v>
      </c>
      <c r="BB17" s="10">
        <v>125</v>
      </c>
      <c r="BC17" s="10">
        <v>144</v>
      </c>
      <c r="BD17" s="10" t="s">
        <v>74</v>
      </c>
      <c r="BE17" s="10" t="s">
        <v>9913</v>
      </c>
      <c r="BF17" s="10">
        <v>0</v>
      </c>
      <c r="BG17" s="10" t="s">
        <v>74</v>
      </c>
      <c r="BH17" s="10" t="s">
        <v>74</v>
      </c>
      <c r="BI17" s="10">
        <v>20</v>
      </c>
      <c r="BJ17" s="10" t="s">
        <v>7539</v>
      </c>
      <c r="BK17" s="10" t="s">
        <v>156</v>
      </c>
      <c r="BL17" s="10" t="s">
        <v>7539</v>
      </c>
      <c r="BM17" s="10" t="s">
        <v>9914</v>
      </c>
      <c r="BN17" s="10">
        <v>29329436</v>
      </c>
      <c r="BO17" s="10" t="s">
        <v>3175</v>
      </c>
      <c r="BP17" s="10" t="s">
        <v>74</v>
      </c>
      <c r="BQ17" s="10" t="s">
        <v>74</v>
      </c>
      <c r="BR17" s="10" t="s">
        <v>12946</v>
      </c>
      <c r="BS17" s="10" t="s">
        <v>9915</v>
      </c>
      <c r="BT17" s="10">
        <v>0</v>
      </c>
    </row>
    <row r="18" spans="1:72" x14ac:dyDescent="0.25">
      <c r="A18" s="10" t="s">
        <v>72</v>
      </c>
      <c r="B18" s="10" t="s">
        <v>10272</v>
      </c>
      <c r="C18" s="10" t="s">
        <v>74</v>
      </c>
      <c r="D18" s="10" t="s">
        <v>74</v>
      </c>
      <c r="E18" s="10" t="s">
        <v>74</v>
      </c>
      <c r="F18" s="10" t="s">
        <v>10273</v>
      </c>
      <c r="G18" s="10" t="s">
        <v>74</v>
      </c>
      <c r="H18" s="10" t="s">
        <v>74</v>
      </c>
      <c r="I18" s="10" t="s">
        <v>10274</v>
      </c>
      <c r="J18" s="10" t="s">
        <v>10275</v>
      </c>
      <c r="K18" s="10" t="s">
        <v>74</v>
      </c>
      <c r="L18" s="10" t="s">
        <v>74</v>
      </c>
      <c r="M18" s="10" t="s">
        <v>78</v>
      </c>
      <c r="N18" s="10" t="s">
        <v>79</v>
      </c>
      <c r="O18" s="10" t="s">
        <v>74</v>
      </c>
      <c r="P18" s="10" t="s">
        <v>74</v>
      </c>
      <c r="Q18" s="10" t="s">
        <v>74</v>
      </c>
      <c r="R18" s="10" t="s">
        <v>74</v>
      </c>
      <c r="S18" s="10" t="s">
        <v>74</v>
      </c>
      <c r="T18" s="10" t="s">
        <v>10276</v>
      </c>
      <c r="U18" s="10" t="s">
        <v>10277</v>
      </c>
      <c r="V18" s="10" t="s">
        <v>10278</v>
      </c>
      <c r="W18" s="10" t="s">
        <v>10279</v>
      </c>
      <c r="X18" s="10" t="s">
        <v>13154</v>
      </c>
      <c r="Y18" s="10" t="s">
        <v>10281</v>
      </c>
      <c r="Z18" s="10" t="s">
        <v>10282</v>
      </c>
      <c r="AA18" s="10" t="s">
        <v>74</v>
      </c>
      <c r="AB18" s="10" t="s">
        <v>10283</v>
      </c>
      <c r="AC18" s="10" t="s">
        <v>74</v>
      </c>
      <c r="AD18" s="10" t="s">
        <v>74</v>
      </c>
      <c r="AE18" s="10" t="s">
        <v>74</v>
      </c>
      <c r="AF18" s="10" t="s">
        <v>74</v>
      </c>
      <c r="AG18" s="10">
        <v>55</v>
      </c>
      <c r="AH18" s="10">
        <v>14</v>
      </c>
      <c r="AI18" s="10">
        <v>14</v>
      </c>
      <c r="AJ18" s="10">
        <v>2</v>
      </c>
      <c r="AK18" s="10">
        <v>10</v>
      </c>
      <c r="AL18" s="10" t="s">
        <v>10284</v>
      </c>
      <c r="AM18" s="10" t="s">
        <v>10285</v>
      </c>
      <c r="AN18" s="10" t="s">
        <v>10286</v>
      </c>
      <c r="AO18" s="10" t="s">
        <v>10287</v>
      </c>
      <c r="AP18" s="10" t="s">
        <v>74</v>
      </c>
      <c r="AQ18" s="10" t="s">
        <v>74</v>
      </c>
      <c r="AR18" s="10" t="s">
        <v>10288</v>
      </c>
      <c r="AS18" s="10" t="s">
        <v>10289</v>
      </c>
      <c r="AT18" s="10" t="s">
        <v>74</v>
      </c>
      <c r="AU18" s="10">
        <v>2018</v>
      </c>
      <c r="AV18" s="10">
        <v>21</v>
      </c>
      <c r="AW18" s="10">
        <v>2</v>
      </c>
      <c r="AX18" s="10" t="s">
        <v>74</v>
      </c>
      <c r="AY18" s="10" t="s">
        <v>74</v>
      </c>
      <c r="AZ18" s="10" t="s">
        <v>74</v>
      </c>
      <c r="BA18" s="10" t="s">
        <v>74</v>
      </c>
      <c r="BB18" s="10">
        <v>115</v>
      </c>
      <c r="BC18" s="10">
        <v>131</v>
      </c>
      <c r="BD18" s="10" t="s">
        <v>74</v>
      </c>
      <c r="BE18" s="10" t="s">
        <v>74</v>
      </c>
      <c r="BF18" s="10" t="s">
        <v>74</v>
      </c>
      <c r="BG18" s="10" t="s">
        <v>74</v>
      </c>
      <c r="BH18" s="10" t="s">
        <v>74</v>
      </c>
      <c r="BI18" s="10">
        <v>17</v>
      </c>
      <c r="BJ18" s="10" t="s">
        <v>743</v>
      </c>
      <c r="BK18" s="10" t="s">
        <v>102</v>
      </c>
      <c r="BL18" s="10" t="s">
        <v>743</v>
      </c>
      <c r="BM18" s="10" t="s">
        <v>10290</v>
      </c>
      <c r="BN18" s="10">
        <v>29967904</v>
      </c>
      <c r="BO18" s="10" t="s">
        <v>74</v>
      </c>
      <c r="BP18" s="10" t="s">
        <v>74</v>
      </c>
      <c r="BQ18" s="10" t="s">
        <v>74</v>
      </c>
      <c r="BR18" s="10" t="s">
        <v>12946</v>
      </c>
      <c r="BS18" s="10" t="s">
        <v>10291</v>
      </c>
      <c r="BT18" s="10">
        <v>0</v>
      </c>
    </row>
    <row r="19" spans="1:72" x14ac:dyDescent="0.25">
      <c r="A19" s="10" t="s">
        <v>72</v>
      </c>
      <c r="B19" s="10" t="s">
        <v>6287</v>
      </c>
      <c r="C19" s="10" t="s">
        <v>74</v>
      </c>
      <c r="D19" s="10" t="s">
        <v>74</v>
      </c>
      <c r="E19" s="10" t="s">
        <v>74</v>
      </c>
      <c r="F19" s="10" t="s">
        <v>6288</v>
      </c>
      <c r="G19" s="10" t="s">
        <v>74</v>
      </c>
      <c r="H19" s="10" t="s">
        <v>74</v>
      </c>
      <c r="I19" s="10" t="s">
        <v>6289</v>
      </c>
      <c r="J19" s="10" t="s">
        <v>6290</v>
      </c>
      <c r="K19" s="10" t="s">
        <v>74</v>
      </c>
      <c r="L19" s="10" t="s">
        <v>74</v>
      </c>
      <c r="M19" s="10" t="s">
        <v>78</v>
      </c>
      <c r="N19" s="10" t="s">
        <v>79</v>
      </c>
      <c r="O19" s="10" t="s">
        <v>74</v>
      </c>
      <c r="P19" s="10" t="s">
        <v>74</v>
      </c>
      <c r="Q19" s="10" t="s">
        <v>74</v>
      </c>
      <c r="R19" s="10" t="s">
        <v>74</v>
      </c>
      <c r="S19" s="10" t="s">
        <v>74</v>
      </c>
      <c r="T19" s="10" t="s">
        <v>6291</v>
      </c>
      <c r="U19" s="10" t="s">
        <v>74</v>
      </c>
      <c r="V19" s="10" t="s">
        <v>6292</v>
      </c>
      <c r="W19" s="10" t="s">
        <v>6293</v>
      </c>
      <c r="X19" s="10" t="s">
        <v>74</v>
      </c>
      <c r="Y19" s="10" t="s">
        <v>6294</v>
      </c>
      <c r="Z19" s="10" t="s">
        <v>6295</v>
      </c>
      <c r="AA19" s="10" t="s">
        <v>13155</v>
      </c>
      <c r="AB19" s="10" t="s">
        <v>13156</v>
      </c>
      <c r="AC19" s="10" t="s">
        <v>6298</v>
      </c>
      <c r="AD19" s="10" t="s">
        <v>6299</v>
      </c>
      <c r="AE19" s="10" t="s">
        <v>6300</v>
      </c>
      <c r="AF19" s="10" t="s">
        <v>74</v>
      </c>
      <c r="AG19" s="10">
        <v>29</v>
      </c>
      <c r="AH19" s="10">
        <v>11</v>
      </c>
      <c r="AI19" s="10">
        <v>11</v>
      </c>
      <c r="AJ19" s="10">
        <v>0</v>
      </c>
      <c r="AK19" s="10">
        <v>11</v>
      </c>
      <c r="AL19" s="10" t="s">
        <v>2128</v>
      </c>
      <c r="AM19" s="10" t="s">
        <v>2129</v>
      </c>
      <c r="AN19" s="10" t="s">
        <v>3823</v>
      </c>
      <c r="AO19" s="10" t="s">
        <v>6301</v>
      </c>
      <c r="AP19" s="10" t="s">
        <v>74</v>
      </c>
      <c r="AQ19" s="10" t="s">
        <v>74</v>
      </c>
      <c r="AR19" s="10" t="s">
        <v>6302</v>
      </c>
      <c r="AS19" s="10" t="s">
        <v>6303</v>
      </c>
      <c r="AT19" s="10" t="s">
        <v>1138</v>
      </c>
      <c r="AU19" s="10">
        <v>2021</v>
      </c>
      <c r="AV19" s="10">
        <v>7</v>
      </c>
      <c r="AW19" s="10">
        <v>6</v>
      </c>
      <c r="AX19" s="10" t="s">
        <v>74</v>
      </c>
      <c r="AY19" s="10" t="s">
        <v>74</v>
      </c>
      <c r="AZ19" s="10" t="s">
        <v>74</v>
      </c>
      <c r="BA19" s="10" t="s">
        <v>74</v>
      </c>
      <c r="BB19" s="10" t="s">
        <v>74</v>
      </c>
      <c r="BC19" s="10" t="s">
        <v>74</v>
      </c>
      <c r="BD19" s="10" t="s">
        <v>6304</v>
      </c>
      <c r="BE19" s="10" t="s">
        <v>6305</v>
      </c>
      <c r="BF19" s="10">
        <v>0</v>
      </c>
      <c r="BG19" s="10" t="s">
        <v>74</v>
      </c>
      <c r="BH19" s="10" t="s">
        <v>74</v>
      </c>
      <c r="BI19" s="10">
        <v>8</v>
      </c>
      <c r="BJ19" s="10" t="s">
        <v>1584</v>
      </c>
      <c r="BK19" s="10" t="s">
        <v>211</v>
      </c>
      <c r="BL19" s="10" t="s">
        <v>1584</v>
      </c>
      <c r="BM19" s="10" t="s">
        <v>6306</v>
      </c>
      <c r="BN19" s="10">
        <v>34101613</v>
      </c>
      <c r="BO19" s="10" t="s">
        <v>614</v>
      </c>
      <c r="BP19" s="10" t="s">
        <v>74</v>
      </c>
      <c r="BQ19" s="10" t="s">
        <v>74</v>
      </c>
      <c r="BR19" s="10" t="s">
        <v>12946</v>
      </c>
      <c r="BS19" s="10" t="s">
        <v>6307</v>
      </c>
      <c r="BT19" s="10">
        <v>0</v>
      </c>
    </row>
    <row r="20" spans="1:72" x14ac:dyDescent="0.25">
      <c r="A20" s="10" t="s">
        <v>72</v>
      </c>
      <c r="B20" s="10" t="s">
        <v>5884</v>
      </c>
      <c r="C20" s="10" t="s">
        <v>74</v>
      </c>
      <c r="D20" s="10" t="s">
        <v>74</v>
      </c>
      <c r="E20" s="10" t="s">
        <v>74</v>
      </c>
      <c r="F20" s="10" t="s">
        <v>5885</v>
      </c>
      <c r="G20" s="10" t="s">
        <v>74</v>
      </c>
      <c r="H20" s="10" t="s">
        <v>74</v>
      </c>
      <c r="I20" s="10" t="s">
        <v>5886</v>
      </c>
      <c r="J20" s="10" t="s">
        <v>2052</v>
      </c>
      <c r="K20" s="10" t="s">
        <v>74</v>
      </c>
      <c r="L20" s="10" t="s">
        <v>74</v>
      </c>
      <c r="M20" s="10" t="s">
        <v>78</v>
      </c>
      <c r="N20" s="10" t="s">
        <v>79</v>
      </c>
      <c r="O20" s="10" t="s">
        <v>74</v>
      </c>
      <c r="P20" s="10" t="s">
        <v>74</v>
      </c>
      <c r="Q20" s="10" t="s">
        <v>74</v>
      </c>
      <c r="R20" s="10" t="s">
        <v>74</v>
      </c>
      <c r="S20" s="10" t="s">
        <v>74</v>
      </c>
      <c r="T20" s="10" t="s">
        <v>5887</v>
      </c>
      <c r="U20" s="10" t="s">
        <v>5888</v>
      </c>
      <c r="V20" s="10" t="s">
        <v>5889</v>
      </c>
      <c r="W20" s="10" t="s">
        <v>5890</v>
      </c>
      <c r="X20" s="10" t="s">
        <v>5891</v>
      </c>
      <c r="Y20" s="10" t="s">
        <v>5892</v>
      </c>
      <c r="Z20" s="10" t="s">
        <v>5893</v>
      </c>
      <c r="AA20" s="10" t="s">
        <v>5894</v>
      </c>
      <c r="AB20" s="10" t="s">
        <v>13157</v>
      </c>
      <c r="AC20" s="10" t="s">
        <v>74</v>
      </c>
      <c r="AD20" s="10" t="s">
        <v>74</v>
      </c>
      <c r="AE20" s="10" t="s">
        <v>74</v>
      </c>
      <c r="AF20" s="10" t="s">
        <v>74</v>
      </c>
      <c r="AG20" s="10">
        <v>52</v>
      </c>
      <c r="AH20" s="10">
        <v>10</v>
      </c>
      <c r="AI20" s="10">
        <v>10</v>
      </c>
      <c r="AJ20" s="10">
        <v>1</v>
      </c>
      <c r="AK20" s="10">
        <v>16</v>
      </c>
      <c r="AL20" s="10" t="s">
        <v>202</v>
      </c>
      <c r="AM20" s="10" t="s">
        <v>203</v>
      </c>
      <c r="AN20" s="10" t="s">
        <v>204</v>
      </c>
      <c r="AO20" s="10" t="s">
        <v>74</v>
      </c>
      <c r="AP20" s="10" t="s">
        <v>2065</v>
      </c>
      <c r="AQ20" s="10" t="s">
        <v>74</v>
      </c>
      <c r="AR20" s="10" t="s">
        <v>2066</v>
      </c>
      <c r="AS20" s="10" t="s">
        <v>2067</v>
      </c>
      <c r="AT20" s="10" t="s">
        <v>356</v>
      </c>
      <c r="AU20" s="10">
        <v>2021</v>
      </c>
      <c r="AV20" s="10">
        <v>18</v>
      </c>
      <c r="AW20" s="10">
        <v>18</v>
      </c>
      <c r="AX20" s="10" t="s">
        <v>74</v>
      </c>
      <c r="AY20" s="10" t="s">
        <v>74</v>
      </c>
      <c r="AZ20" s="10" t="s">
        <v>74</v>
      </c>
      <c r="BA20" s="10" t="s">
        <v>74</v>
      </c>
      <c r="BB20" s="10" t="s">
        <v>74</v>
      </c>
      <c r="BC20" s="10" t="s">
        <v>74</v>
      </c>
      <c r="BD20" s="10">
        <v>9844</v>
      </c>
      <c r="BE20" s="10" t="s">
        <v>5896</v>
      </c>
      <c r="BF20" s="10">
        <v>0</v>
      </c>
      <c r="BG20" s="10" t="s">
        <v>74</v>
      </c>
      <c r="BH20" s="10" t="s">
        <v>74</v>
      </c>
      <c r="BI20" s="10">
        <v>16</v>
      </c>
      <c r="BJ20" s="10" t="s">
        <v>2070</v>
      </c>
      <c r="BK20" s="10" t="s">
        <v>211</v>
      </c>
      <c r="BL20" s="10" t="s">
        <v>2071</v>
      </c>
      <c r="BM20" s="10" t="s">
        <v>5897</v>
      </c>
      <c r="BN20" s="10">
        <v>34574766</v>
      </c>
      <c r="BO20" s="10" t="s">
        <v>614</v>
      </c>
      <c r="BP20" s="10" t="s">
        <v>74</v>
      </c>
      <c r="BQ20" s="10" t="s">
        <v>74</v>
      </c>
      <c r="BR20" s="10" t="s">
        <v>12946</v>
      </c>
      <c r="BS20" s="10" t="s">
        <v>5898</v>
      </c>
      <c r="BT20" s="10">
        <v>0</v>
      </c>
    </row>
    <row r="21" spans="1:72" x14ac:dyDescent="0.25">
      <c r="A21" s="10" t="s">
        <v>72</v>
      </c>
      <c r="B21" s="10" t="s">
        <v>7523</v>
      </c>
      <c r="C21" s="10" t="s">
        <v>74</v>
      </c>
      <c r="D21" s="10" t="s">
        <v>74</v>
      </c>
      <c r="E21" s="10" t="s">
        <v>74</v>
      </c>
      <c r="F21" s="10" t="s">
        <v>7524</v>
      </c>
      <c r="G21" s="10" t="s">
        <v>74</v>
      </c>
      <c r="H21" s="10" t="s">
        <v>74</v>
      </c>
      <c r="I21" s="10" t="s">
        <v>7525</v>
      </c>
      <c r="J21" s="10" t="s">
        <v>7526</v>
      </c>
      <c r="K21" s="10" t="s">
        <v>74</v>
      </c>
      <c r="L21" s="10" t="s">
        <v>74</v>
      </c>
      <c r="M21" s="10" t="s">
        <v>78</v>
      </c>
      <c r="N21" s="10" t="s">
        <v>79</v>
      </c>
      <c r="O21" s="10" t="s">
        <v>74</v>
      </c>
      <c r="P21" s="10" t="s">
        <v>74</v>
      </c>
      <c r="Q21" s="10" t="s">
        <v>74</v>
      </c>
      <c r="R21" s="10" t="s">
        <v>74</v>
      </c>
      <c r="S21" s="10" t="s">
        <v>74</v>
      </c>
      <c r="T21" s="10" t="s">
        <v>7527</v>
      </c>
      <c r="U21" s="10" t="s">
        <v>74</v>
      </c>
      <c r="V21" s="10" t="s">
        <v>7528</v>
      </c>
      <c r="W21" s="10" t="s">
        <v>7529</v>
      </c>
      <c r="X21" s="10" t="s">
        <v>74</v>
      </c>
      <c r="Y21" s="10" t="s">
        <v>7530</v>
      </c>
      <c r="Z21" s="10" t="s">
        <v>7531</v>
      </c>
      <c r="AA21" s="10" t="s">
        <v>74</v>
      </c>
      <c r="AB21" s="10" t="s">
        <v>13158</v>
      </c>
      <c r="AC21" s="10" t="s">
        <v>7532</v>
      </c>
      <c r="AD21" s="10" t="s">
        <v>7532</v>
      </c>
      <c r="AE21" s="10" t="s">
        <v>7533</v>
      </c>
      <c r="AF21" s="10" t="s">
        <v>74</v>
      </c>
      <c r="AG21" s="10">
        <v>38</v>
      </c>
      <c r="AH21" s="10">
        <v>10</v>
      </c>
      <c r="AI21" s="10">
        <v>11</v>
      </c>
      <c r="AJ21" s="10">
        <v>2</v>
      </c>
      <c r="AK21" s="10">
        <v>16</v>
      </c>
      <c r="AL21" s="10" t="s">
        <v>1468</v>
      </c>
      <c r="AM21" s="10" t="s">
        <v>175</v>
      </c>
      <c r="AN21" s="10" t="s">
        <v>1469</v>
      </c>
      <c r="AO21" s="10" t="s">
        <v>7534</v>
      </c>
      <c r="AP21" s="10" t="s">
        <v>7535</v>
      </c>
      <c r="AQ21" s="10" t="s">
        <v>74</v>
      </c>
      <c r="AR21" s="10" t="s">
        <v>7536</v>
      </c>
      <c r="AS21" s="10" t="s">
        <v>7537</v>
      </c>
      <c r="AT21" s="10" t="s">
        <v>1138</v>
      </c>
      <c r="AU21" s="10">
        <v>2021</v>
      </c>
      <c r="AV21" s="10">
        <v>80</v>
      </c>
      <c r="AW21" s="10">
        <v>4</v>
      </c>
      <c r="AX21" s="10" t="s">
        <v>74</v>
      </c>
      <c r="AY21" s="10" t="s">
        <v>74</v>
      </c>
      <c r="AZ21" s="10" t="s">
        <v>74</v>
      </c>
      <c r="BA21" s="10" t="s">
        <v>74</v>
      </c>
      <c r="BB21" s="10">
        <v>413</v>
      </c>
      <c r="BC21" s="10">
        <v>424</v>
      </c>
      <c r="BD21" s="10">
        <v>17896920981122</v>
      </c>
      <c r="BE21" s="10" t="s">
        <v>7538</v>
      </c>
      <c r="BF21" s="10">
        <v>0</v>
      </c>
      <c r="BG21" s="10" t="s">
        <v>74</v>
      </c>
      <c r="BH21" s="10" t="s">
        <v>7520</v>
      </c>
      <c r="BI21" s="10">
        <v>12</v>
      </c>
      <c r="BJ21" s="10" t="s">
        <v>7539</v>
      </c>
      <c r="BK21" s="10" t="s">
        <v>156</v>
      </c>
      <c r="BL21" s="10" t="s">
        <v>7539</v>
      </c>
      <c r="BM21" s="10" t="s">
        <v>7540</v>
      </c>
      <c r="BN21" s="10" t="s">
        <v>74</v>
      </c>
      <c r="BO21" s="10" t="s">
        <v>74</v>
      </c>
      <c r="BP21" s="10" t="s">
        <v>74</v>
      </c>
      <c r="BQ21" s="10" t="s">
        <v>74</v>
      </c>
      <c r="BR21" s="10" t="s">
        <v>12946</v>
      </c>
      <c r="BS21" s="10" t="s">
        <v>7541</v>
      </c>
      <c r="BT21" s="10">
        <v>0</v>
      </c>
    </row>
    <row r="22" spans="1:72" x14ac:dyDescent="0.25">
      <c r="A22" s="10" t="s">
        <v>72</v>
      </c>
      <c r="B22" s="10" t="s">
        <v>2852</v>
      </c>
      <c r="C22" s="10" t="s">
        <v>74</v>
      </c>
      <c r="D22" s="10" t="s">
        <v>74</v>
      </c>
      <c r="E22" s="10" t="s">
        <v>74</v>
      </c>
      <c r="F22" s="10" t="s">
        <v>2853</v>
      </c>
      <c r="G22" s="10" t="s">
        <v>74</v>
      </c>
      <c r="H22" s="10" t="s">
        <v>74</v>
      </c>
      <c r="I22" s="10" t="s">
        <v>2854</v>
      </c>
      <c r="J22" s="10" t="s">
        <v>2855</v>
      </c>
      <c r="K22" s="10" t="s">
        <v>74</v>
      </c>
      <c r="L22" s="10" t="s">
        <v>74</v>
      </c>
      <c r="M22" s="10" t="s">
        <v>78</v>
      </c>
      <c r="N22" s="10" t="s">
        <v>79</v>
      </c>
      <c r="O22" s="10" t="s">
        <v>74</v>
      </c>
      <c r="P22" s="10" t="s">
        <v>74</v>
      </c>
      <c r="Q22" s="10" t="s">
        <v>74</v>
      </c>
      <c r="R22" s="10" t="s">
        <v>74</v>
      </c>
      <c r="S22" s="10" t="s">
        <v>74</v>
      </c>
      <c r="T22" s="10" t="s">
        <v>2856</v>
      </c>
      <c r="U22" s="10" t="s">
        <v>2857</v>
      </c>
      <c r="V22" s="10" t="s">
        <v>2858</v>
      </c>
      <c r="W22" s="10" t="s">
        <v>2859</v>
      </c>
      <c r="X22" s="10" t="s">
        <v>2860</v>
      </c>
      <c r="Y22" s="10" t="s">
        <v>2861</v>
      </c>
      <c r="Z22" s="10" t="s">
        <v>2862</v>
      </c>
      <c r="AA22" s="10" t="s">
        <v>13159</v>
      </c>
      <c r="AB22" s="10" t="s">
        <v>13160</v>
      </c>
      <c r="AC22" s="10" t="s">
        <v>2865</v>
      </c>
      <c r="AD22" s="10" t="s">
        <v>13161</v>
      </c>
      <c r="AE22" s="10" t="s">
        <v>2867</v>
      </c>
      <c r="AF22" s="10" t="s">
        <v>74</v>
      </c>
      <c r="AG22" s="10">
        <v>54</v>
      </c>
      <c r="AH22" s="10">
        <v>9</v>
      </c>
      <c r="AI22" s="10">
        <v>10</v>
      </c>
      <c r="AJ22" s="10">
        <v>4</v>
      </c>
      <c r="AK22" s="10">
        <v>18</v>
      </c>
      <c r="AL22" s="10" t="s">
        <v>174</v>
      </c>
      <c r="AM22" s="10" t="s">
        <v>175</v>
      </c>
      <c r="AN22" s="10" t="s">
        <v>176</v>
      </c>
      <c r="AO22" s="10" t="s">
        <v>2868</v>
      </c>
      <c r="AP22" s="10" t="s">
        <v>74</v>
      </c>
      <c r="AQ22" s="10" t="s">
        <v>74</v>
      </c>
      <c r="AR22" s="10" t="s">
        <v>2869</v>
      </c>
      <c r="AS22" s="10" t="s">
        <v>2870</v>
      </c>
      <c r="AT22" s="10" t="s">
        <v>2871</v>
      </c>
      <c r="AU22" s="10">
        <v>2022</v>
      </c>
      <c r="AV22" s="10">
        <v>20</v>
      </c>
      <c r="AW22" s="10">
        <v>1</v>
      </c>
      <c r="AX22" s="10" t="s">
        <v>74</v>
      </c>
      <c r="AY22" s="10" t="s">
        <v>74</v>
      </c>
      <c r="AZ22" s="10" t="s">
        <v>74</v>
      </c>
      <c r="BA22" s="10" t="s">
        <v>74</v>
      </c>
      <c r="BB22" s="10" t="s">
        <v>74</v>
      </c>
      <c r="BC22" s="10" t="s">
        <v>74</v>
      </c>
      <c r="BD22" s="10">
        <v>341</v>
      </c>
      <c r="BE22" s="10" t="s">
        <v>2872</v>
      </c>
      <c r="BF22" s="10">
        <v>0</v>
      </c>
      <c r="BG22" s="10" t="s">
        <v>74</v>
      </c>
      <c r="BH22" s="10" t="s">
        <v>74</v>
      </c>
      <c r="BI22" s="10">
        <v>15</v>
      </c>
      <c r="BJ22" s="10" t="s">
        <v>840</v>
      </c>
      <c r="BK22" s="10" t="s">
        <v>102</v>
      </c>
      <c r="BL22" s="10" t="s">
        <v>841</v>
      </c>
      <c r="BM22" s="10" t="s">
        <v>2873</v>
      </c>
      <c r="BN22" s="10">
        <v>36210434</v>
      </c>
      <c r="BO22" s="10" t="s">
        <v>2874</v>
      </c>
      <c r="BP22" s="10" t="s">
        <v>74</v>
      </c>
      <c r="BQ22" s="10" t="s">
        <v>74</v>
      </c>
      <c r="BR22" s="10" t="s">
        <v>12946</v>
      </c>
      <c r="BS22" s="10" t="s">
        <v>2875</v>
      </c>
      <c r="BT22" s="10">
        <v>0</v>
      </c>
    </row>
    <row r="23" spans="1:72" x14ac:dyDescent="0.25">
      <c r="A23" s="10" t="s">
        <v>72</v>
      </c>
      <c r="B23" s="10" t="s">
        <v>4094</v>
      </c>
      <c r="C23" s="10" t="s">
        <v>74</v>
      </c>
      <c r="D23" s="10" t="s">
        <v>74</v>
      </c>
      <c r="E23" s="10" t="s">
        <v>74</v>
      </c>
      <c r="F23" s="10" t="s">
        <v>4095</v>
      </c>
      <c r="G23" s="10" t="s">
        <v>74</v>
      </c>
      <c r="H23" s="10" t="s">
        <v>74</v>
      </c>
      <c r="I23" s="10" t="s">
        <v>4096</v>
      </c>
      <c r="J23" s="10" t="s">
        <v>4066</v>
      </c>
      <c r="K23" s="10" t="s">
        <v>74</v>
      </c>
      <c r="L23" s="10" t="s">
        <v>74</v>
      </c>
      <c r="M23" s="10" t="s">
        <v>78</v>
      </c>
      <c r="N23" s="10" t="s">
        <v>79</v>
      </c>
      <c r="O23" s="10" t="s">
        <v>74</v>
      </c>
      <c r="P23" s="10" t="s">
        <v>74</v>
      </c>
      <c r="Q23" s="10" t="s">
        <v>74</v>
      </c>
      <c r="R23" s="10" t="s">
        <v>74</v>
      </c>
      <c r="S23" s="10" t="s">
        <v>74</v>
      </c>
      <c r="T23" s="10" t="s">
        <v>4097</v>
      </c>
      <c r="U23" s="10" t="s">
        <v>4098</v>
      </c>
      <c r="V23" s="10" t="s">
        <v>4099</v>
      </c>
      <c r="W23" s="10" t="s">
        <v>4100</v>
      </c>
      <c r="X23" s="10" t="s">
        <v>4101</v>
      </c>
      <c r="Y23" s="10" t="s">
        <v>4102</v>
      </c>
      <c r="Z23" s="10" t="s">
        <v>4103</v>
      </c>
      <c r="AA23" s="10" t="s">
        <v>13162</v>
      </c>
      <c r="AB23" s="10" t="s">
        <v>13163</v>
      </c>
      <c r="AC23" s="10" t="s">
        <v>4106</v>
      </c>
      <c r="AD23" s="10" t="s">
        <v>4106</v>
      </c>
      <c r="AE23" s="10" t="s">
        <v>4107</v>
      </c>
      <c r="AF23" s="10" t="s">
        <v>74</v>
      </c>
      <c r="AG23" s="10">
        <v>40</v>
      </c>
      <c r="AH23" s="10">
        <v>9</v>
      </c>
      <c r="AI23" s="10">
        <v>9</v>
      </c>
      <c r="AJ23" s="10">
        <v>0</v>
      </c>
      <c r="AK23" s="10">
        <v>6</v>
      </c>
      <c r="AL23" s="10" t="s">
        <v>4079</v>
      </c>
      <c r="AM23" s="10" t="s">
        <v>4080</v>
      </c>
      <c r="AN23" s="10" t="s">
        <v>4081</v>
      </c>
      <c r="AO23" s="10" t="s">
        <v>4082</v>
      </c>
      <c r="AP23" s="10" t="s">
        <v>4083</v>
      </c>
      <c r="AQ23" s="10" t="s">
        <v>74</v>
      </c>
      <c r="AR23" s="10" t="s">
        <v>4084</v>
      </c>
      <c r="AS23" s="10" t="s">
        <v>4085</v>
      </c>
      <c r="AT23" s="10" t="s">
        <v>4086</v>
      </c>
      <c r="AU23" s="10">
        <v>2022</v>
      </c>
      <c r="AV23" s="10">
        <v>74</v>
      </c>
      <c r="AW23" s="10" t="s">
        <v>4087</v>
      </c>
      <c r="AX23" s="10" t="s">
        <v>74</v>
      </c>
      <c r="AY23" s="10">
        <v>3</v>
      </c>
      <c r="AZ23" s="10" t="s">
        <v>1020</v>
      </c>
      <c r="BA23" s="10" t="s">
        <v>74</v>
      </c>
      <c r="BB23" s="10" t="s">
        <v>4108</v>
      </c>
      <c r="BC23" s="10" t="s">
        <v>4109</v>
      </c>
      <c r="BD23" s="10" t="s">
        <v>74</v>
      </c>
      <c r="BE23" s="10" t="s">
        <v>4110</v>
      </c>
      <c r="BF23" s="10">
        <v>0</v>
      </c>
      <c r="BG23" s="10" t="s">
        <v>74</v>
      </c>
      <c r="BH23" s="10" t="s">
        <v>74</v>
      </c>
      <c r="BI23" s="10">
        <v>7</v>
      </c>
      <c r="BJ23" s="10" t="s">
        <v>4091</v>
      </c>
      <c r="BK23" s="10" t="s">
        <v>102</v>
      </c>
      <c r="BL23" s="10" t="s">
        <v>4091</v>
      </c>
      <c r="BM23" s="10" t="s">
        <v>4092</v>
      </c>
      <c r="BN23" s="10">
        <v>35568480</v>
      </c>
      <c r="BO23" s="10" t="s">
        <v>2033</v>
      </c>
      <c r="BP23" s="10" t="s">
        <v>74</v>
      </c>
      <c r="BQ23" s="10" t="s">
        <v>74</v>
      </c>
      <c r="BR23" s="10" t="s">
        <v>12946</v>
      </c>
      <c r="BS23" s="10" t="s">
        <v>4111</v>
      </c>
      <c r="BT23" s="10">
        <v>0</v>
      </c>
    </row>
    <row r="24" spans="1:72" x14ac:dyDescent="0.25">
      <c r="A24" s="10" t="s">
        <v>72</v>
      </c>
      <c r="B24" s="10" t="s">
        <v>12021</v>
      </c>
      <c r="C24" s="10" t="s">
        <v>74</v>
      </c>
      <c r="D24" s="10" t="s">
        <v>74</v>
      </c>
      <c r="E24" s="10" t="s">
        <v>74</v>
      </c>
      <c r="F24" s="10" t="s">
        <v>12022</v>
      </c>
      <c r="G24" s="10" t="s">
        <v>74</v>
      </c>
      <c r="H24" s="10" t="s">
        <v>74</v>
      </c>
      <c r="I24" s="10" t="s">
        <v>12023</v>
      </c>
      <c r="J24" s="10" t="s">
        <v>12024</v>
      </c>
      <c r="K24" s="10" t="s">
        <v>74</v>
      </c>
      <c r="L24" s="10" t="s">
        <v>74</v>
      </c>
      <c r="M24" s="10" t="s">
        <v>78</v>
      </c>
      <c r="N24" s="10" t="s">
        <v>79</v>
      </c>
      <c r="O24" s="10" t="s">
        <v>74</v>
      </c>
      <c r="P24" s="10" t="s">
        <v>74</v>
      </c>
      <c r="Q24" s="10" t="s">
        <v>74</v>
      </c>
      <c r="R24" s="10" t="s">
        <v>74</v>
      </c>
      <c r="S24" s="10" t="s">
        <v>74</v>
      </c>
      <c r="T24" s="10" t="s">
        <v>12025</v>
      </c>
      <c r="U24" s="10" t="s">
        <v>12026</v>
      </c>
      <c r="V24" s="10" t="s">
        <v>12027</v>
      </c>
      <c r="W24" s="10" t="s">
        <v>12028</v>
      </c>
      <c r="X24" s="10" t="s">
        <v>12029</v>
      </c>
      <c r="Y24" s="10" t="s">
        <v>12030</v>
      </c>
      <c r="Z24" s="10" t="s">
        <v>12031</v>
      </c>
      <c r="AA24" s="10" t="s">
        <v>13164</v>
      </c>
      <c r="AB24" s="10" t="s">
        <v>13165</v>
      </c>
      <c r="AC24" s="10" t="s">
        <v>12034</v>
      </c>
      <c r="AD24" s="10" t="s">
        <v>12035</v>
      </c>
      <c r="AE24" s="10" t="s">
        <v>12036</v>
      </c>
      <c r="AF24" s="10" t="s">
        <v>74</v>
      </c>
      <c r="AG24" s="10">
        <v>29</v>
      </c>
      <c r="AH24" s="10">
        <v>9</v>
      </c>
      <c r="AI24" s="10">
        <v>10</v>
      </c>
      <c r="AJ24" s="10">
        <v>0</v>
      </c>
      <c r="AK24" s="10">
        <v>10</v>
      </c>
      <c r="AL24" s="10" t="s">
        <v>121</v>
      </c>
      <c r="AM24" s="10" t="s">
        <v>122</v>
      </c>
      <c r="AN24" s="10" t="s">
        <v>11993</v>
      </c>
      <c r="AO24" s="10" t="s">
        <v>12037</v>
      </c>
      <c r="AP24" s="10" t="s">
        <v>12038</v>
      </c>
      <c r="AQ24" s="10" t="s">
        <v>74</v>
      </c>
      <c r="AR24" s="10" t="s">
        <v>12039</v>
      </c>
      <c r="AS24" s="10" t="s">
        <v>12040</v>
      </c>
      <c r="AT24" s="10" t="s">
        <v>99</v>
      </c>
      <c r="AU24" s="10">
        <v>2013</v>
      </c>
      <c r="AV24" s="10">
        <v>17</v>
      </c>
      <c r="AW24" s="10">
        <v>11</v>
      </c>
      <c r="AX24" s="10" t="s">
        <v>74</v>
      </c>
      <c r="AY24" s="10" t="s">
        <v>74</v>
      </c>
      <c r="AZ24" s="10" t="s">
        <v>1020</v>
      </c>
      <c r="BA24" s="10" t="s">
        <v>74</v>
      </c>
      <c r="BB24" s="10">
        <v>2163</v>
      </c>
      <c r="BC24" s="10">
        <v>2180</v>
      </c>
      <c r="BD24" s="10" t="s">
        <v>74</v>
      </c>
      <c r="BE24" s="10" t="s">
        <v>12041</v>
      </c>
      <c r="BF24" s="10">
        <v>0</v>
      </c>
      <c r="BG24" s="10" t="s">
        <v>74</v>
      </c>
      <c r="BH24" s="10" t="s">
        <v>74</v>
      </c>
      <c r="BI24" s="10">
        <v>18</v>
      </c>
      <c r="BJ24" s="10" t="s">
        <v>12042</v>
      </c>
      <c r="BK24" s="10" t="s">
        <v>102</v>
      </c>
      <c r="BL24" s="10" t="s">
        <v>399</v>
      </c>
      <c r="BM24" s="10" t="s">
        <v>12043</v>
      </c>
      <c r="BN24" s="10" t="s">
        <v>74</v>
      </c>
      <c r="BO24" s="10" t="s">
        <v>74</v>
      </c>
      <c r="BP24" s="10" t="s">
        <v>74</v>
      </c>
      <c r="BQ24" s="10" t="s">
        <v>74</v>
      </c>
      <c r="BR24" s="10" t="s">
        <v>12946</v>
      </c>
      <c r="BS24" s="10" t="s">
        <v>12044</v>
      </c>
      <c r="BT24" s="10">
        <v>0</v>
      </c>
    </row>
    <row r="25" spans="1:72" x14ac:dyDescent="0.25">
      <c r="A25" s="10" t="s">
        <v>72</v>
      </c>
      <c r="B25" s="10" t="s">
        <v>6854</v>
      </c>
      <c r="C25" s="10" t="s">
        <v>74</v>
      </c>
      <c r="D25" s="10" t="s">
        <v>74</v>
      </c>
      <c r="E25" s="10" t="s">
        <v>74</v>
      </c>
      <c r="F25" s="10" t="s">
        <v>6855</v>
      </c>
      <c r="G25" s="10" t="s">
        <v>74</v>
      </c>
      <c r="H25" s="10" t="s">
        <v>74</v>
      </c>
      <c r="I25" s="10" t="s">
        <v>6856</v>
      </c>
      <c r="J25" s="10" t="s">
        <v>6857</v>
      </c>
      <c r="K25" s="10" t="s">
        <v>74</v>
      </c>
      <c r="L25" s="10" t="s">
        <v>74</v>
      </c>
      <c r="M25" s="10" t="s">
        <v>78</v>
      </c>
      <c r="N25" s="10" t="s">
        <v>79</v>
      </c>
      <c r="O25" s="10" t="s">
        <v>74</v>
      </c>
      <c r="P25" s="10" t="s">
        <v>74</v>
      </c>
      <c r="Q25" s="10" t="s">
        <v>74</v>
      </c>
      <c r="R25" s="10" t="s">
        <v>74</v>
      </c>
      <c r="S25" s="10" t="s">
        <v>74</v>
      </c>
      <c r="T25" s="10" t="s">
        <v>6858</v>
      </c>
      <c r="U25" s="10" t="s">
        <v>6859</v>
      </c>
      <c r="V25" s="10" t="s">
        <v>6860</v>
      </c>
      <c r="W25" s="10" t="s">
        <v>6861</v>
      </c>
      <c r="X25" s="10" t="s">
        <v>13166</v>
      </c>
      <c r="Y25" s="10" t="s">
        <v>6863</v>
      </c>
      <c r="Z25" s="10" t="s">
        <v>6864</v>
      </c>
      <c r="AA25" s="10" t="s">
        <v>13167</v>
      </c>
      <c r="AB25" s="10" t="s">
        <v>6865</v>
      </c>
      <c r="AC25" s="10" t="s">
        <v>6866</v>
      </c>
      <c r="AD25" s="10" t="s">
        <v>6867</v>
      </c>
      <c r="AE25" s="10" t="s">
        <v>6868</v>
      </c>
      <c r="AF25" s="10" t="s">
        <v>74</v>
      </c>
      <c r="AG25" s="10">
        <v>56</v>
      </c>
      <c r="AH25" s="10">
        <v>8</v>
      </c>
      <c r="AI25" s="10">
        <v>8</v>
      </c>
      <c r="AJ25" s="10">
        <v>4</v>
      </c>
      <c r="AK25" s="10">
        <v>30</v>
      </c>
      <c r="AL25" s="10" t="s">
        <v>4079</v>
      </c>
      <c r="AM25" s="10" t="s">
        <v>4080</v>
      </c>
      <c r="AN25" s="10" t="s">
        <v>4081</v>
      </c>
      <c r="AO25" s="10" t="s">
        <v>6869</v>
      </c>
      <c r="AP25" s="10" t="s">
        <v>74</v>
      </c>
      <c r="AQ25" s="10" t="s">
        <v>74</v>
      </c>
      <c r="AR25" s="10" t="s">
        <v>6870</v>
      </c>
      <c r="AS25" s="10" t="s">
        <v>6871</v>
      </c>
      <c r="AT25" s="10" t="s">
        <v>1683</v>
      </c>
      <c r="AU25" s="10">
        <v>2021</v>
      </c>
      <c r="AV25" s="10">
        <v>26</v>
      </c>
      <c r="AW25" s="10">
        <v>2</v>
      </c>
      <c r="AX25" s="10" t="s">
        <v>74</v>
      </c>
      <c r="AY25" s="10" t="s">
        <v>74</v>
      </c>
      <c r="AZ25" s="10" t="s">
        <v>74</v>
      </c>
      <c r="BA25" s="10" t="s">
        <v>74</v>
      </c>
      <c r="BB25" s="10">
        <v>55</v>
      </c>
      <c r="BC25" s="10">
        <v>71</v>
      </c>
      <c r="BD25" s="10" t="s">
        <v>74</v>
      </c>
      <c r="BE25" s="10" t="s">
        <v>6872</v>
      </c>
      <c r="BF25" s="10">
        <v>0</v>
      </c>
      <c r="BG25" s="10" t="s">
        <v>74</v>
      </c>
      <c r="BH25" s="10" t="s">
        <v>6817</v>
      </c>
      <c r="BI25" s="10">
        <v>17</v>
      </c>
      <c r="BJ25" s="10" t="s">
        <v>6873</v>
      </c>
      <c r="BK25" s="10" t="s">
        <v>156</v>
      </c>
      <c r="BL25" s="10" t="s">
        <v>6873</v>
      </c>
      <c r="BM25" s="10" t="s">
        <v>6874</v>
      </c>
      <c r="BN25" s="10" t="s">
        <v>74</v>
      </c>
      <c r="BO25" s="10" t="s">
        <v>74</v>
      </c>
      <c r="BP25" s="10" t="s">
        <v>74</v>
      </c>
      <c r="BQ25" s="10" t="s">
        <v>74</v>
      </c>
      <c r="BR25" s="10" t="s">
        <v>12946</v>
      </c>
      <c r="BS25" s="10" t="s">
        <v>6875</v>
      </c>
      <c r="BT25" s="10">
        <v>0</v>
      </c>
    </row>
    <row r="26" spans="1:72" x14ac:dyDescent="0.25">
      <c r="A26" s="10" t="s">
        <v>72</v>
      </c>
      <c r="B26" s="10" t="s">
        <v>9088</v>
      </c>
      <c r="C26" s="10" t="s">
        <v>74</v>
      </c>
      <c r="D26" s="10" t="s">
        <v>74</v>
      </c>
      <c r="E26" s="10" t="s">
        <v>74</v>
      </c>
      <c r="F26" s="10" t="s">
        <v>9089</v>
      </c>
      <c r="G26" s="10" t="s">
        <v>74</v>
      </c>
      <c r="H26" s="10" t="s">
        <v>74</v>
      </c>
      <c r="I26" s="10" t="s">
        <v>9090</v>
      </c>
      <c r="J26" s="10" t="s">
        <v>9091</v>
      </c>
      <c r="K26" s="10" t="s">
        <v>74</v>
      </c>
      <c r="L26" s="10" t="s">
        <v>74</v>
      </c>
      <c r="M26" s="10" t="s">
        <v>1030</v>
      </c>
      <c r="N26" s="10" t="s">
        <v>79</v>
      </c>
      <c r="O26" s="10" t="s">
        <v>74</v>
      </c>
      <c r="P26" s="10" t="s">
        <v>74</v>
      </c>
      <c r="Q26" s="10" t="s">
        <v>74</v>
      </c>
      <c r="R26" s="10" t="s">
        <v>74</v>
      </c>
      <c r="S26" s="10" t="s">
        <v>74</v>
      </c>
      <c r="T26" s="10" t="s">
        <v>9092</v>
      </c>
      <c r="U26" s="10" t="s">
        <v>9093</v>
      </c>
      <c r="V26" s="10" t="s">
        <v>9094</v>
      </c>
      <c r="W26" s="10" t="s">
        <v>9095</v>
      </c>
      <c r="X26" s="10" t="s">
        <v>9096</v>
      </c>
      <c r="Y26" s="10" t="s">
        <v>9097</v>
      </c>
      <c r="Z26" s="10" t="s">
        <v>9098</v>
      </c>
      <c r="AA26" s="10" t="s">
        <v>13168</v>
      </c>
      <c r="AB26" s="10" t="s">
        <v>13169</v>
      </c>
      <c r="AC26" s="10" t="s">
        <v>74</v>
      </c>
      <c r="AD26" s="10" t="s">
        <v>74</v>
      </c>
      <c r="AE26" s="10" t="s">
        <v>74</v>
      </c>
      <c r="AF26" s="10" t="s">
        <v>74</v>
      </c>
      <c r="AG26" s="10">
        <v>25</v>
      </c>
      <c r="AH26" s="10">
        <v>8</v>
      </c>
      <c r="AI26" s="10">
        <v>8</v>
      </c>
      <c r="AJ26" s="10">
        <v>0</v>
      </c>
      <c r="AK26" s="10">
        <v>6</v>
      </c>
      <c r="AL26" s="10" t="s">
        <v>644</v>
      </c>
      <c r="AM26" s="10" t="s">
        <v>645</v>
      </c>
      <c r="AN26" s="10" t="s">
        <v>646</v>
      </c>
      <c r="AO26" s="10" t="s">
        <v>9101</v>
      </c>
      <c r="AP26" s="10" t="s">
        <v>9102</v>
      </c>
      <c r="AQ26" s="10" t="s">
        <v>74</v>
      </c>
      <c r="AR26" s="10" t="s">
        <v>9103</v>
      </c>
      <c r="AS26" s="10" t="s">
        <v>9104</v>
      </c>
      <c r="AT26" s="10" t="s">
        <v>1448</v>
      </c>
      <c r="AU26" s="10">
        <v>2019</v>
      </c>
      <c r="AV26" s="10">
        <v>144</v>
      </c>
      <c r="AW26" s="10">
        <v>7</v>
      </c>
      <c r="AX26" s="10" t="s">
        <v>74</v>
      </c>
      <c r="AY26" s="10" t="s">
        <v>74</v>
      </c>
      <c r="AZ26" s="10" t="s">
        <v>74</v>
      </c>
      <c r="BA26" s="10" t="s">
        <v>74</v>
      </c>
      <c r="BB26" s="10">
        <v>464</v>
      </c>
      <c r="BC26" s="10">
        <v>469</v>
      </c>
      <c r="BD26" s="10" t="s">
        <v>74</v>
      </c>
      <c r="BE26" s="10" t="s">
        <v>9105</v>
      </c>
      <c r="BF26" s="10">
        <v>0</v>
      </c>
      <c r="BG26" s="10" t="s">
        <v>74</v>
      </c>
      <c r="BH26" s="10" t="s">
        <v>74</v>
      </c>
      <c r="BI26" s="10">
        <v>6</v>
      </c>
      <c r="BJ26" s="10" t="s">
        <v>840</v>
      </c>
      <c r="BK26" s="10" t="s">
        <v>102</v>
      </c>
      <c r="BL26" s="10" t="s">
        <v>841</v>
      </c>
      <c r="BM26" s="10" t="s">
        <v>9106</v>
      </c>
      <c r="BN26" s="10">
        <v>30925601</v>
      </c>
      <c r="BO26" s="10" t="s">
        <v>74</v>
      </c>
      <c r="BP26" s="10" t="s">
        <v>74</v>
      </c>
      <c r="BQ26" s="10" t="s">
        <v>74</v>
      </c>
      <c r="BR26" s="10" t="s">
        <v>12946</v>
      </c>
      <c r="BS26" s="10" t="s">
        <v>9107</v>
      </c>
      <c r="BT26" s="10">
        <v>0</v>
      </c>
    </row>
    <row r="27" spans="1:72" x14ac:dyDescent="0.25">
      <c r="A27" s="10" t="s">
        <v>72</v>
      </c>
      <c r="B27" s="10" t="s">
        <v>3809</v>
      </c>
      <c r="C27" s="10" t="s">
        <v>74</v>
      </c>
      <c r="D27" s="10" t="s">
        <v>74</v>
      </c>
      <c r="E27" s="10" t="s">
        <v>74</v>
      </c>
      <c r="F27" s="10" t="s">
        <v>3810</v>
      </c>
      <c r="G27" s="10" t="s">
        <v>74</v>
      </c>
      <c r="H27" s="10" t="s">
        <v>74</v>
      </c>
      <c r="I27" s="10" t="s">
        <v>3811</v>
      </c>
      <c r="J27" s="10" t="s">
        <v>2675</v>
      </c>
      <c r="K27" s="10" t="s">
        <v>74</v>
      </c>
      <c r="L27" s="10" t="s">
        <v>74</v>
      </c>
      <c r="M27" s="10" t="s">
        <v>78</v>
      </c>
      <c r="N27" s="10" t="s">
        <v>79</v>
      </c>
      <c r="O27" s="10" t="s">
        <v>74</v>
      </c>
      <c r="P27" s="10" t="s">
        <v>74</v>
      </c>
      <c r="Q27" s="10" t="s">
        <v>74</v>
      </c>
      <c r="R27" s="10" t="s">
        <v>74</v>
      </c>
      <c r="S27" s="10" t="s">
        <v>74</v>
      </c>
      <c r="T27" s="10" t="s">
        <v>3812</v>
      </c>
      <c r="U27" s="10" t="s">
        <v>3813</v>
      </c>
      <c r="V27" s="10" t="s">
        <v>3814</v>
      </c>
      <c r="W27" s="10" t="s">
        <v>3815</v>
      </c>
      <c r="X27" s="10" t="s">
        <v>3816</v>
      </c>
      <c r="Y27" s="10" t="s">
        <v>3817</v>
      </c>
      <c r="Z27" s="10" t="s">
        <v>3818</v>
      </c>
      <c r="AA27" s="10" t="s">
        <v>13170</v>
      </c>
      <c r="AB27" s="10" t="s">
        <v>13171</v>
      </c>
      <c r="AC27" s="10" t="s">
        <v>3820</v>
      </c>
      <c r="AD27" s="10" t="s">
        <v>3821</v>
      </c>
      <c r="AE27" s="10" t="s">
        <v>3822</v>
      </c>
      <c r="AF27" s="10" t="s">
        <v>74</v>
      </c>
      <c r="AG27" s="10">
        <v>66</v>
      </c>
      <c r="AH27" s="10">
        <v>7</v>
      </c>
      <c r="AI27" s="10">
        <v>8</v>
      </c>
      <c r="AJ27" s="10">
        <v>0</v>
      </c>
      <c r="AK27" s="10">
        <v>3</v>
      </c>
      <c r="AL27" s="10" t="s">
        <v>2128</v>
      </c>
      <c r="AM27" s="10" t="s">
        <v>2129</v>
      </c>
      <c r="AN27" s="10" t="s">
        <v>2130</v>
      </c>
      <c r="AO27" s="10" t="s">
        <v>2688</v>
      </c>
      <c r="AP27" s="10" t="s">
        <v>74</v>
      </c>
      <c r="AQ27" s="10" t="s">
        <v>74</v>
      </c>
      <c r="AR27" s="10" t="s">
        <v>2689</v>
      </c>
      <c r="AS27" s="10" t="s">
        <v>2690</v>
      </c>
      <c r="AT27" s="10" t="s">
        <v>3824</v>
      </c>
      <c r="AU27" s="10">
        <v>2022</v>
      </c>
      <c r="AV27" s="10">
        <v>24</v>
      </c>
      <c r="AW27" s="10">
        <v>7</v>
      </c>
      <c r="AX27" s="10" t="s">
        <v>74</v>
      </c>
      <c r="AY27" s="10" t="s">
        <v>74</v>
      </c>
      <c r="AZ27" s="10" t="s">
        <v>74</v>
      </c>
      <c r="BA27" s="10" t="s">
        <v>74</v>
      </c>
      <c r="BB27" s="10" t="s">
        <v>74</v>
      </c>
      <c r="BC27" s="10" t="s">
        <v>74</v>
      </c>
      <c r="BD27" s="10" t="s">
        <v>3825</v>
      </c>
      <c r="BE27" s="10" t="s">
        <v>3826</v>
      </c>
      <c r="BF27" s="10">
        <v>0</v>
      </c>
      <c r="BG27" s="10" t="s">
        <v>74</v>
      </c>
      <c r="BH27" s="10" t="s">
        <v>74</v>
      </c>
      <c r="BI27" s="10">
        <v>12</v>
      </c>
      <c r="BJ27" s="10" t="s">
        <v>1390</v>
      </c>
      <c r="BK27" s="10" t="s">
        <v>102</v>
      </c>
      <c r="BL27" s="10" t="s">
        <v>1390</v>
      </c>
      <c r="BM27" s="10" t="s">
        <v>3827</v>
      </c>
      <c r="BN27" s="10">
        <v>35787512</v>
      </c>
      <c r="BO27" s="10" t="s">
        <v>9500</v>
      </c>
      <c r="BP27" s="10" t="s">
        <v>74</v>
      </c>
      <c r="BQ27" s="10" t="s">
        <v>74</v>
      </c>
      <c r="BR27" s="10" t="s">
        <v>12946</v>
      </c>
      <c r="BS27" s="10" t="s">
        <v>3829</v>
      </c>
      <c r="BT27" s="10">
        <v>0</v>
      </c>
    </row>
    <row r="28" spans="1:72" x14ac:dyDescent="0.25">
      <c r="A28" s="10" t="s">
        <v>72</v>
      </c>
      <c r="B28" s="10" t="s">
        <v>4746</v>
      </c>
      <c r="C28" s="10" t="s">
        <v>74</v>
      </c>
      <c r="D28" s="10" t="s">
        <v>74</v>
      </c>
      <c r="E28" s="10" t="s">
        <v>74</v>
      </c>
      <c r="F28" s="10" t="s">
        <v>4747</v>
      </c>
      <c r="G28" s="10" t="s">
        <v>74</v>
      </c>
      <c r="H28" s="10" t="s">
        <v>74</v>
      </c>
      <c r="I28" s="10" t="s">
        <v>4748</v>
      </c>
      <c r="J28" s="10" t="s">
        <v>2052</v>
      </c>
      <c r="K28" s="10" t="s">
        <v>74</v>
      </c>
      <c r="L28" s="10" t="s">
        <v>74</v>
      </c>
      <c r="M28" s="10" t="s">
        <v>78</v>
      </c>
      <c r="N28" s="10" t="s">
        <v>79</v>
      </c>
      <c r="O28" s="10" t="s">
        <v>74</v>
      </c>
      <c r="P28" s="10" t="s">
        <v>74</v>
      </c>
      <c r="Q28" s="10" t="s">
        <v>74</v>
      </c>
      <c r="R28" s="10" t="s">
        <v>74</v>
      </c>
      <c r="S28" s="10" t="s">
        <v>74</v>
      </c>
      <c r="T28" s="10" t="s">
        <v>4749</v>
      </c>
      <c r="U28" s="10" t="s">
        <v>4750</v>
      </c>
      <c r="V28" s="10" t="s">
        <v>4751</v>
      </c>
      <c r="W28" s="10" t="s">
        <v>4752</v>
      </c>
      <c r="X28" s="10" t="s">
        <v>4753</v>
      </c>
      <c r="Y28" s="10" t="s">
        <v>4754</v>
      </c>
      <c r="Z28" s="10" t="s">
        <v>4755</v>
      </c>
      <c r="AA28" s="10" t="s">
        <v>13172</v>
      </c>
      <c r="AB28" s="10" t="s">
        <v>13173</v>
      </c>
      <c r="AC28" s="10" t="s">
        <v>4758</v>
      </c>
      <c r="AD28" s="10" t="s">
        <v>4758</v>
      </c>
      <c r="AE28" s="10" t="s">
        <v>4759</v>
      </c>
      <c r="AF28" s="10" t="s">
        <v>74</v>
      </c>
      <c r="AG28" s="10">
        <v>71</v>
      </c>
      <c r="AH28" s="10">
        <v>7</v>
      </c>
      <c r="AI28" s="10">
        <v>7</v>
      </c>
      <c r="AJ28" s="10">
        <v>2</v>
      </c>
      <c r="AK28" s="10">
        <v>7</v>
      </c>
      <c r="AL28" s="10" t="s">
        <v>202</v>
      </c>
      <c r="AM28" s="10" t="s">
        <v>203</v>
      </c>
      <c r="AN28" s="10" t="s">
        <v>204</v>
      </c>
      <c r="AO28" s="10" t="s">
        <v>74</v>
      </c>
      <c r="AP28" s="10" t="s">
        <v>2065</v>
      </c>
      <c r="AQ28" s="10" t="s">
        <v>74</v>
      </c>
      <c r="AR28" s="10" t="s">
        <v>2066</v>
      </c>
      <c r="AS28" s="10" t="s">
        <v>2067</v>
      </c>
      <c r="AT28" s="10" t="s">
        <v>1904</v>
      </c>
      <c r="AU28" s="10">
        <v>2022</v>
      </c>
      <c r="AV28" s="10">
        <v>19</v>
      </c>
      <c r="AW28" s="10">
        <v>3</v>
      </c>
      <c r="AX28" s="10" t="s">
        <v>74</v>
      </c>
      <c r="AY28" s="10" t="s">
        <v>74</v>
      </c>
      <c r="AZ28" s="10" t="s">
        <v>74</v>
      </c>
      <c r="BA28" s="10" t="s">
        <v>74</v>
      </c>
      <c r="BB28" s="10" t="s">
        <v>74</v>
      </c>
      <c r="BC28" s="10" t="s">
        <v>74</v>
      </c>
      <c r="BD28" s="10">
        <v>1328</v>
      </c>
      <c r="BE28" s="10" t="s">
        <v>4760</v>
      </c>
      <c r="BF28" s="10">
        <v>0</v>
      </c>
      <c r="BG28" s="10" t="s">
        <v>74</v>
      </c>
      <c r="BH28" s="10" t="s">
        <v>74</v>
      </c>
      <c r="BI28" s="10">
        <v>20</v>
      </c>
      <c r="BJ28" s="10" t="s">
        <v>2070</v>
      </c>
      <c r="BK28" s="10" t="s">
        <v>211</v>
      </c>
      <c r="BL28" s="10" t="s">
        <v>2071</v>
      </c>
      <c r="BM28" s="10" t="s">
        <v>4761</v>
      </c>
      <c r="BN28" s="10">
        <v>35162351</v>
      </c>
      <c r="BO28" s="10" t="s">
        <v>614</v>
      </c>
      <c r="BP28" s="10" t="s">
        <v>74</v>
      </c>
      <c r="BQ28" s="10" t="s">
        <v>74</v>
      </c>
      <c r="BR28" s="10" t="s">
        <v>12946</v>
      </c>
      <c r="BS28" s="10" t="s">
        <v>4762</v>
      </c>
      <c r="BT28" s="10">
        <v>0</v>
      </c>
    </row>
    <row r="29" spans="1:72" x14ac:dyDescent="0.25">
      <c r="A29" s="10" t="s">
        <v>72</v>
      </c>
      <c r="B29" s="10" t="s">
        <v>7935</v>
      </c>
      <c r="C29" s="10" t="s">
        <v>74</v>
      </c>
      <c r="D29" s="10" t="s">
        <v>74</v>
      </c>
      <c r="E29" s="10" t="s">
        <v>74</v>
      </c>
      <c r="F29" s="10" t="s">
        <v>7936</v>
      </c>
      <c r="G29" s="10" t="s">
        <v>74</v>
      </c>
      <c r="H29" s="10" t="s">
        <v>74</v>
      </c>
      <c r="I29" s="10" t="s">
        <v>7937</v>
      </c>
      <c r="J29" s="10" t="s">
        <v>7938</v>
      </c>
      <c r="K29" s="10" t="s">
        <v>74</v>
      </c>
      <c r="L29" s="10" t="s">
        <v>74</v>
      </c>
      <c r="M29" s="10" t="s">
        <v>78</v>
      </c>
      <c r="N29" s="10" t="s">
        <v>79</v>
      </c>
      <c r="O29" s="10" t="s">
        <v>74</v>
      </c>
      <c r="P29" s="10" t="s">
        <v>74</v>
      </c>
      <c r="Q29" s="10" t="s">
        <v>74</v>
      </c>
      <c r="R29" s="10" t="s">
        <v>74</v>
      </c>
      <c r="S29" s="10" t="s">
        <v>74</v>
      </c>
      <c r="T29" s="10" t="s">
        <v>74</v>
      </c>
      <c r="U29" s="10" t="s">
        <v>74</v>
      </c>
      <c r="V29" s="10" t="s">
        <v>7939</v>
      </c>
      <c r="W29" s="10" t="s">
        <v>7940</v>
      </c>
      <c r="X29" s="10" t="s">
        <v>7941</v>
      </c>
      <c r="Y29" s="10" t="s">
        <v>7942</v>
      </c>
      <c r="Z29" s="10" t="s">
        <v>7943</v>
      </c>
      <c r="AA29" s="10" t="s">
        <v>13174</v>
      </c>
      <c r="AB29" s="10" t="s">
        <v>13175</v>
      </c>
      <c r="AC29" s="10" t="s">
        <v>7945</v>
      </c>
      <c r="AD29" s="10" t="s">
        <v>7946</v>
      </c>
      <c r="AE29" s="10" t="s">
        <v>7947</v>
      </c>
      <c r="AF29" s="10" t="s">
        <v>74</v>
      </c>
      <c r="AG29" s="10">
        <v>28</v>
      </c>
      <c r="AH29" s="10">
        <v>7</v>
      </c>
      <c r="AI29" s="10">
        <v>9</v>
      </c>
      <c r="AJ29" s="10">
        <v>1</v>
      </c>
      <c r="AK29" s="10">
        <v>68</v>
      </c>
      <c r="AL29" s="10" t="s">
        <v>1074</v>
      </c>
      <c r="AM29" s="10" t="s">
        <v>1075</v>
      </c>
      <c r="AN29" s="10" t="s">
        <v>1076</v>
      </c>
      <c r="AO29" s="10" t="s">
        <v>7948</v>
      </c>
      <c r="AP29" s="10" t="s">
        <v>7949</v>
      </c>
      <c r="AQ29" s="10" t="s">
        <v>74</v>
      </c>
      <c r="AR29" s="10" t="s">
        <v>7950</v>
      </c>
      <c r="AS29" s="10" t="s">
        <v>7951</v>
      </c>
      <c r="AT29" s="10" t="s">
        <v>1138</v>
      </c>
      <c r="AU29" s="10">
        <v>2020</v>
      </c>
      <c r="AV29" s="10">
        <v>2674</v>
      </c>
      <c r="AW29" s="10">
        <v>6</v>
      </c>
      <c r="AX29" s="10" t="s">
        <v>74</v>
      </c>
      <c r="AY29" s="10" t="s">
        <v>74</v>
      </c>
      <c r="AZ29" s="10" t="s">
        <v>74</v>
      </c>
      <c r="BA29" s="10" t="s">
        <v>74</v>
      </c>
      <c r="BB29" s="10">
        <v>98</v>
      </c>
      <c r="BC29" s="10">
        <v>112</v>
      </c>
      <c r="BD29" s="10">
        <v>361198120917971</v>
      </c>
      <c r="BE29" s="10" t="s">
        <v>7952</v>
      </c>
      <c r="BF29" s="10">
        <v>0</v>
      </c>
      <c r="BG29" s="10" t="s">
        <v>74</v>
      </c>
      <c r="BH29" s="10" t="s">
        <v>7953</v>
      </c>
      <c r="BI29" s="10">
        <v>15</v>
      </c>
      <c r="BJ29" s="10" t="s">
        <v>7954</v>
      </c>
      <c r="BK29" s="10" t="s">
        <v>102</v>
      </c>
      <c r="BL29" s="10" t="s">
        <v>7955</v>
      </c>
      <c r="BM29" s="10" t="s">
        <v>7956</v>
      </c>
      <c r="BN29" s="10" t="s">
        <v>74</v>
      </c>
      <c r="BO29" s="10" t="s">
        <v>74</v>
      </c>
      <c r="BP29" s="10" t="s">
        <v>74</v>
      </c>
      <c r="BQ29" s="10" t="s">
        <v>74</v>
      </c>
      <c r="BR29" s="10" t="s">
        <v>12946</v>
      </c>
      <c r="BS29" s="10" t="s">
        <v>7957</v>
      </c>
      <c r="BT29" s="10">
        <v>0</v>
      </c>
    </row>
    <row r="30" spans="1:72" x14ac:dyDescent="0.25">
      <c r="A30" s="10" t="s">
        <v>72</v>
      </c>
      <c r="B30" s="10" t="s">
        <v>10202</v>
      </c>
      <c r="C30" s="10" t="s">
        <v>74</v>
      </c>
      <c r="D30" s="10" t="s">
        <v>74</v>
      </c>
      <c r="E30" s="10" t="s">
        <v>74</v>
      </c>
      <c r="F30" s="10" t="s">
        <v>10203</v>
      </c>
      <c r="G30" s="10" t="s">
        <v>74</v>
      </c>
      <c r="H30" s="10" t="s">
        <v>74</v>
      </c>
      <c r="I30" s="10" t="s">
        <v>10204</v>
      </c>
      <c r="J30" s="10" t="s">
        <v>10205</v>
      </c>
      <c r="K30" s="10" t="s">
        <v>74</v>
      </c>
      <c r="L30" s="10" t="s">
        <v>74</v>
      </c>
      <c r="M30" s="10" t="s">
        <v>78</v>
      </c>
      <c r="N30" s="10" t="s">
        <v>79</v>
      </c>
      <c r="O30" s="10" t="s">
        <v>74</v>
      </c>
      <c r="P30" s="10" t="s">
        <v>74</v>
      </c>
      <c r="Q30" s="10" t="s">
        <v>74</v>
      </c>
      <c r="R30" s="10" t="s">
        <v>74</v>
      </c>
      <c r="S30" s="10" t="s">
        <v>74</v>
      </c>
      <c r="T30" s="10" t="s">
        <v>74</v>
      </c>
      <c r="U30" s="10" t="s">
        <v>10206</v>
      </c>
      <c r="V30" s="10" t="s">
        <v>10207</v>
      </c>
      <c r="W30" s="10" t="s">
        <v>10208</v>
      </c>
      <c r="X30" s="10" t="s">
        <v>10209</v>
      </c>
      <c r="Y30" s="10" t="s">
        <v>10210</v>
      </c>
      <c r="Z30" s="10" t="s">
        <v>10211</v>
      </c>
      <c r="AA30" s="10" t="s">
        <v>10212</v>
      </c>
      <c r="AB30" s="10" t="s">
        <v>10213</v>
      </c>
      <c r="AC30" s="10" t="s">
        <v>10214</v>
      </c>
      <c r="AD30" s="10" t="s">
        <v>10214</v>
      </c>
      <c r="AE30" s="10" t="s">
        <v>10215</v>
      </c>
      <c r="AF30" s="10" t="s">
        <v>74</v>
      </c>
      <c r="AG30" s="10">
        <v>37</v>
      </c>
      <c r="AH30" s="10">
        <v>7</v>
      </c>
      <c r="AI30" s="10">
        <v>9</v>
      </c>
      <c r="AJ30" s="10">
        <v>0</v>
      </c>
      <c r="AK30" s="10">
        <v>2</v>
      </c>
      <c r="AL30" s="10" t="s">
        <v>3146</v>
      </c>
      <c r="AM30" s="10" t="s">
        <v>175</v>
      </c>
      <c r="AN30" s="10" t="s">
        <v>3147</v>
      </c>
      <c r="AO30" s="10" t="s">
        <v>10216</v>
      </c>
      <c r="AP30" s="10" t="s">
        <v>10217</v>
      </c>
      <c r="AQ30" s="10" t="s">
        <v>74</v>
      </c>
      <c r="AR30" s="10" t="s">
        <v>10218</v>
      </c>
      <c r="AS30" s="10" t="s">
        <v>10219</v>
      </c>
      <c r="AT30" s="10" t="s">
        <v>74</v>
      </c>
      <c r="AU30" s="10">
        <v>2018</v>
      </c>
      <c r="AV30" s="10">
        <v>2018</v>
      </c>
      <c r="AW30" s="10" t="s">
        <v>74</v>
      </c>
      <c r="AX30" s="10" t="s">
        <v>74</v>
      </c>
      <c r="AY30" s="10" t="s">
        <v>74</v>
      </c>
      <c r="AZ30" s="10" t="s">
        <v>74</v>
      </c>
      <c r="BA30" s="10" t="s">
        <v>74</v>
      </c>
      <c r="BB30" s="10" t="s">
        <v>74</v>
      </c>
      <c r="BC30" s="10" t="s">
        <v>74</v>
      </c>
      <c r="BD30" s="10">
        <v>6241856</v>
      </c>
      <c r="BE30" s="10" t="s">
        <v>10220</v>
      </c>
      <c r="BF30" s="10">
        <v>0</v>
      </c>
      <c r="BG30" s="10" t="s">
        <v>74</v>
      </c>
      <c r="BH30" s="10" t="s">
        <v>74</v>
      </c>
      <c r="BI30" s="10">
        <v>12</v>
      </c>
      <c r="BJ30" s="10" t="s">
        <v>612</v>
      </c>
      <c r="BK30" s="10" t="s">
        <v>102</v>
      </c>
      <c r="BL30" s="10" t="s">
        <v>612</v>
      </c>
      <c r="BM30" s="10" t="s">
        <v>10221</v>
      </c>
      <c r="BN30" s="10">
        <v>30581549</v>
      </c>
      <c r="BO30" s="10" t="s">
        <v>13176</v>
      </c>
      <c r="BP30" s="10" t="s">
        <v>74</v>
      </c>
      <c r="BQ30" s="10" t="s">
        <v>74</v>
      </c>
      <c r="BR30" s="10" t="s">
        <v>12946</v>
      </c>
      <c r="BS30" s="10" t="s">
        <v>10223</v>
      </c>
      <c r="BT30" s="10">
        <v>0</v>
      </c>
    </row>
    <row r="31" spans="1:72" x14ac:dyDescent="0.25">
      <c r="A31" s="10" t="s">
        <v>72</v>
      </c>
      <c r="B31" s="10" t="s">
        <v>12886</v>
      </c>
      <c r="C31" s="10" t="s">
        <v>74</v>
      </c>
      <c r="D31" s="10" t="s">
        <v>74</v>
      </c>
      <c r="E31" s="10" t="s">
        <v>74</v>
      </c>
      <c r="F31" s="10" t="s">
        <v>12886</v>
      </c>
      <c r="G31" s="10" t="s">
        <v>74</v>
      </c>
      <c r="H31" s="10" t="s">
        <v>74</v>
      </c>
      <c r="I31" s="10" t="s">
        <v>12887</v>
      </c>
      <c r="J31" s="10" t="s">
        <v>7999</v>
      </c>
      <c r="K31" s="10" t="s">
        <v>74</v>
      </c>
      <c r="L31" s="10" t="s">
        <v>74</v>
      </c>
      <c r="M31" s="10" t="s">
        <v>78</v>
      </c>
      <c r="N31" s="10" t="s">
        <v>79</v>
      </c>
      <c r="O31" s="10" t="s">
        <v>74</v>
      </c>
      <c r="P31" s="10" t="s">
        <v>74</v>
      </c>
      <c r="Q31" s="10" t="s">
        <v>74</v>
      </c>
      <c r="R31" s="10" t="s">
        <v>74</v>
      </c>
      <c r="S31" s="10" t="s">
        <v>74</v>
      </c>
      <c r="T31" s="10" t="s">
        <v>74</v>
      </c>
      <c r="U31" s="10" t="s">
        <v>74</v>
      </c>
      <c r="V31" s="10" t="s">
        <v>12888</v>
      </c>
      <c r="W31" s="10" t="s">
        <v>74</v>
      </c>
      <c r="X31" s="10" t="s">
        <v>74</v>
      </c>
      <c r="Y31" s="10" t="s">
        <v>74</v>
      </c>
      <c r="Z31" s="10" t="s">
        <v>74</v>
      </c>
      <c r="AA31" s="10" t="s">
        <v>74</v>
      </c>
      <c r="AB31" s="10" t="s">
        <v>74</v>
      </c>
      <c r="AC31" s="10" t="s">
        <v>74</v>
      </c>
      <c r="AD31" s="10" t="s">
        <v>74</v>
      </c>
      <c r="AE31" s="10" t="s">
        <v>74</v>
      </c>
      <c r="AF31" s="10" t="s">
        <v>74</v>
      </c>
      <c r="AG31" s="10">
        <v>0</v>
      </c>
      <c r="AH31" s="10">
        <v>6</v>
      </c>
      <c r="AI31" s="10">
        <v>8</v>
      </c>
      <c r="AJ31" s="10">
        <v>1</v>
      </c>
      <c r="AK31" s="10">
        <v>14</v>
      </c>
      <c r="AL31" s="10" t="s">
        <v>8003</v>
      </c>
      <c r="AM31" s="10" t="s">
        <v>12889</v>
      </c>
      <c r="AN31" s="10" t="s">
        <v>12890</v>
      </c>
      <c r="AO31" s="10" t="s">
        <v>8006</v>
      </c>
      <c r="AP31" s="10" t="s">
        <v>74</v>
      </c>
      <c r="AQ31" s="10" t="s">
        <v>74</v>
      </c>
      <c r="AR31" s="10" t="s">
        <v>8007</v>
      </c>
      <c r="AS31" s="10" t="s">
        <v>8008</v>
      </c>
      <c r="AT31" s="10" t="s">
        <v>12891</v>
      </c>
      <c r="AU31" s="10">
        <v>2000</v>
      </c>
      <c r="AV31" s="10">
        <v>78</v>
      </c>
      <c r="AW31" s="10">
        <v>6</v>
      </c>
      <c r="AX31" s="10" t="s">
        <v>74</v>
      </c>
      <c r="AY31" s="10" t="s">
        <v>74</v>
      </c>
      <c r="AZ31" s="10" t="s">
        <v>74</v>
      </c>
      <c r="BA31" s="10" t="s">
        <v>74</v>
      </c>
      <c r="BB31" s="10">
        <v>37</v>
      </c>
      <c r="BC31" s="10" t="s">
        <v>11057</v>
      </c>
      <c r="BD31" s="10" t="s">
        <v>74</v>
      </c>
      <c r="BE31" s="10" t="s">
        <v>74</v>
      </c>
      <c r="BF31" s="10" t="s">
        <v>74</v>
      </c>
      <c r="BG31" s="10" t="s">
        <v>74</v>
      </c>
      <c r="BH31" s="10" t="s">
        <v>74</v>
      </c>
      <c r="BI31" s="10">
        <v>180</v>
      </c>
      <c r="BJ31" s="10" t="s">
        <v>264</v>
      </c>
      <c r="BK31" s="10" t="s">
        <v>156</v>
      </c>
      <c r="BL31" s="10" t="s">
        <v>265</v>
      </c>
      <c r="BM31" s="10" t="s">
        <v>12892</v>
      </c>
      <c r="BN31" s="10">
        <v>11184976</v>
      </c>
      <c r="BO31" s="10" t="s">
        <v>74</v>
      </c>
      <c r="BP31" s="10" t="s">
        <v>74</v>
      </c>
      <c r="BQ31" s="10" t="s">
        <v>74</v>
      </c>
      <c r="BR31" s="10" t="s">
        <v>12946</v>
      </c>
      <c r="BS31" s="10" t="s">
        <v>12893</v>
      </c>
      <c r="BT31" s="10">
        <v>0</v>
      </c>
    </row>
    <row r="32" spans="1:72" x14ac:dyDescent="0.25">
      <c r="A32" s="10" t="s">
        <v>72</v>
      </c>
      <c r="B32" s="10" t="s">
        <v>3419</v>
      </c>
      <c r="C32" s="10" t="s">
        <v>74</v>
      </c>
      <c r="D32" s="10" t="s">
        <v>74</v>
      </c>
      <c r="E32" s="10" t="s">
        <v>74</v>
      </c>
      <c r="F32" s="10" t="s">
        <v>3420</v>
      </c>
      <c r="G32" s="10" t="s">
        <v>74</v>
      </c>
      <c r="H32" s="10" t="s">
        <v>74</v>
      </c>
      <c r="I32" s="10" t="s">
        <v>3421</v>
      </c>
      <c r="J32" s="10" t="s">
        <v>3422</v>
      </c>
      <c r="K32" s="10" t="s">
        <v>74</v>
      </c>
      <c r="L32" s="10" t="s">
        <v>74</v>
      </c>
      <c r="M32" s="10" t="s">
        <v>78</v>
      </c>
      <c r="N32" s="10" t="s">
        <v>79</v>
      </c>
      <c r="O32" s="10" t="s">
        <v>74</v>
      </c>
      <c r="P32" s="10" t="s">
        <v>74</v>
      </c>
      <c r="Q32" s="10" t="s">
        <v>74</v>
      </c>
      <c r="R32" s="10" t="s">
        <v>74</v>
      </c>
      <c r="S32" s="10" t="s">
        <v>74</v>
      </c>
      <c r="T32" s="10" t="s">
        <v>3423</v>
      </c>
      <c r="U32" s="10" t="s">
        <v>74</v>
      </c>
      <c r="V32" s="10" t="s">
        <v>3424</v>
      </c>
      <c r="W32" s="10" t="s">
        <v>3425</v>
      </c>
      <c r="X32" s="10" t="s">
        <v>3426</v>
      </c>
      <c r="Y32" s="10" t="s">
        <v>3427</v>
      </c>
      <c r="Z32" s="10" t="s">
        <v>3428</v>
      </c>
      <c r="AA32" s="10" t="s">
        <v>13177</v>
      </c>
      <c r="AB32" s="10" t="s">
        <v>13178</v>
      </c>
      <c r="AC32" s="10" t="s">
        <v>3430</v>
      </c>
      <c r="AD32" s="10" t="s">
        <v>3431</v>
      </c>
      <c r="AE32" s="10" t="s">
        <v>3432</v>
      </c>
      <c r="AF32" s="10" t="s">
        <v>74</v>
      </c>
      <c r="AG32" s="10">
        <v>23</v>
      </c>
      <c r="AH32" s="10">
        <v>5</v>
      </c>
      <c r="AI32" s="10">
        <v>5</v>
      </c>
      <c r="AJ32" s="10">
        <v>0</v>
      </c>
      <c r="AK32" s="10">
        <v>2</v>
      </c>
      <c r="AL32" s="10" t="s">
        <v>3433</v>
      </c>
      <c r="AM32" s="10" t="s">
        <v>878</v>
      </c>
      <c r="AN32" s="10" t="s">
        <v>3434</v>
      </c>
      <c r="AO32" s="10" t="s">
        <v>74</v>
      </c>
      <c r="AP32" s="10" t="s">
        <v>3435</v>
      </c>
      <c r="AQ32" s="10" t="s">
        <v>74</v>
      </c>
      <c r="AR32" s="10" t="s">
        <v>3436</v>
      </c>
      <c r="AS32" s="10" t="s">
        <v>3437</v>
      </c>
      <c r="AT32" s="10" t="s">
        <v>3438</v>
      </c>
      <c r="AU32" s="10">
        <v>2022</v>
      </c>
      <c r="AV32" s="10">
        <v>6</v>
      </c>
      <c r="AW32" s="10">
        <v>1</v>
      </c>
      <c r="AX32" s="10" t="s">
        <v>74</v>
      </c>
      <c r="AY32" s="10" t="s">
        <v>74</v>
      </c>
      <c r="AZ32" s="10" t="s">
        <v>74</v>
      </c>
      <c r="BA32" s="10" t="s">
        <v>74</v>
      </c>
      <c r="BB32" s="10" t="s">
        <v>74</v>
      </c>
      <c r="BC32" s="10" t="s">
        <v>74</v>
      </c>
      <c r="BD32" s="10" t="s">
        <v>3439</v>
      </c>
      <c r="BE32" s="10" t="s">
        <v>3440</v>
      </c>
      <c r="BF32" s="10">
        <v>0</v>
      </c>
      <c r="BG32" s="10" t="s">
        <v>74</v>
      </c>
      <c r="BH32" s="10" t="s">
        <v>74</v>
      </c>
      <c r="BI32" s="10">
        <v>6</v>
      </c>
      <c r="BJ32" s="10" t="s">
        <v>182</v>
      </c>
      <c r="BK32" s="10" t="s">
        <v>183</v>
      </c>
      <c r="BL32" s="10" t="s">
        <v>184</v>
      </c>
      <c r="BM32" s="10" t="s">
        <v>3441</v>
      </c>
      <c r="BN32" s="10">
        <v>36285018</v>
      </c>
      <c r="BO32" s="10" t="s">
        <v>422</v>
      </c>
      <c r="BP32" s="10" t="s">
        <v>74</v>
      </c>
      <c r="BQ32" s="10" t="s">
        <v>74</v>
      </c>
      <c r="BR32" s="10" t="s">
        <v>12946</v>
      </c>
      <c r="BS32" s="10" t="s">
        <v>3442</v>
      </c>
      <c r="BT32" s="10">
        <v>0</v>
      </c>
    </row>
    <row r="33" spans="1:72" x14ac:dyDescent="0.25">
      <c r="A33" s="10" t="s">
        <v>72</v>
      </c>
      <c r="B33" s="10" t="s">
        <v>4273</v>
      </c>
      <c r="C33" s="10" t="s">
        <v>74</v>
      </c>
      <c r="D33" s="10" t="s">
        <v>74</v>
      </c>
      <c r="E33" s="10" t="s">
        <v>74</v>
      </c>
      <c r="F33" s="10" t="s">
        <v>4274</v>
      </c>
      <c r="G33" s="10" t="s">
        <v>74</v>
      </c>
      <c r="H33" s="10" t="s">
        <v>74</v>
      </c>
      <c r="I33" s="10" t="s">
        <v>4275</v>
      </c>
      <c r="J33" s="10" t="s">
        <v>820</v>
      </c>
      <c r="K33" s="10" t="s">
        <v>74</v>
      </c>
      <c r="L33" s="10" t="s">
        <v>74</v>
      </c>
      <c r="M33" s="10" t="s">
        <v>78</v>
      </c>
      <c r="N33" s="10" t="s">
        <v>79</v>
      </c>
      <c r="O33" s="10" t="s">
        <v>74</v>
      </c>
      <c r="P33" s="10" t="s">
        <v>74</v>
      </c>
      <c r="Q33" s="10" t="s">
        <v>74</v>
      </c>
      <c r="R33" s="10" t="s">
        <v>74</v>
      </c>
      <c r="S33" s="10" t="s">
        <v>74</v>
      </c>
      <c r="T33" s="10" t="s">
        <v>4276</v>
      </c>
      <c r="U33" s="10" t="s">
        <v>4277</v>
      </c>
      <c r="V33" s="10" t="s">
        <v>4278</v>
      </c>
      <c r="W33" s="10" t="s">
        <v>4279</v>
      </c>
      <c r="X33" s="10" t="s">
        <v>4280</v>
      </c>
      <c r="Y33" s="10" t="s">
        <v>4281</v>
      </c>
      <c r="Z33" s="10" t="s">
        <v>4282</v>
      </c>
      <c r="AA33" s="10" t="s">
        <v>13179</v>
      </c>
      <c r="AB33" s="10" t="s">
        <v>4284</v>
      </c>
      <c r="AC33" s="10" t="s">
        <v>4285</v>
      </c>
      <c r="AD33" s="10" t="s">
        <v>4285</v>
      </c>
      <c r="AE33" s="10" t="s">
        <v>4286</v>
      </c>
      <c r="AF33" s="10" t="s">
        <v>74</v>
      </c>
      <c r="AG33" s="10">
        <v>36</v>
      </c>
      <c r="AH33" s="10">
        <v>5</v>
      </c>
      <c r="AI33" s="10">
        <v>5</v>
      </c>
      <c r="AJ33" s="10">
        <v>7</v>
      </c>
      <c r="AK33" s="10">
        <v>13</v>
      </c>
      <c r="AL33" s="10" t="s">
        <v>833</v>
      </c>
      <c r="AM33" s="10" t="s">
        <v>175</v>
      </c>
      <c r="AN33" s="10" t="s">
        <v>834</v>
      </c>
      <c r="AO33" s="10" t="s">
        <v>835</v>
      </c>
      <c r="AP33" s="10" t="s">
        <v>74</v>
      </c>
      <c r="AQ33" s="10" t="s">
        <v>74</v>
      </c>
      <c r="AR33" s="10" t="s">
        <v>820</v>
      </c>
      <c r="AS33" s="10" t="s">
        <v>836</v>
      </c>
      <c r="AT33" s="10" t="s">
        <v>1280</v>
      </c>
      <c r="AU33" s="10">
        <v>2022</v>
      </c>
      <c r="AV33" s="10">
        <v>12</v>
      </c>
      <c r="AW33" s="10">
        <v>5</v>
      </c>
      <c r="AX33" s="10" t="s">
        <v>74</v>
      </c>
      <c r="AY33" s="10" t="s">
        <v>74</v>
      </c>
      <c r="AZ33" s="10" t="s">
        <v>74</v>
      </c>
      <c r="BA33" s="10" t="s">
        <v>74</v>
      </c>
      <c r="BB33" s="10" t="s">
        <v>74</v>
      </c>
      <c r="BC33" s="10" t="s">
        <v>74</v>
      </c>
      <c r="BD33" s="10" t="s">
        <v>4287</v>
      </c>
      <c r="BE33" s="10" t="s">
        <v>4288</v>
      </c>
      <c r="BF33" s="10">
        <v>0</v>
      </c>
      <c r="BG33" s="10" t="s">
        <v>74</v>
      </c>
      <c r="BH33" s="10" t="s">
        <v>74</v>
      </c>
      <c r="BI33" s="10">
        <v>11</v>
      </c>
      <c r="BJ33" s="10" t="s">
        <v>840</v>
      </c>
      <c r="BK33" s="10" t="s">
        <v>102</v>
      </c>
      <c r="BL33" s="10" t="s">
        <v>841</v>
      </c>
      <c r="BM33" s="10" t="s">
        <v>4289</v>
      </c>
      <c r="BN33" s="10">
        <v>35636787</v>
      </c>
      <c r="BO33" s="10" t="s">
        <v>614</v>
      </c>
      <c r="BP33" s="10" t="s">
        <v>74</v>
      </c>
      <c r="BQ33" s="10" t="s">
        <v>74</v>
      </c>
      <c r="BR33" s="10" t="s">
        <v>12946</v>
      </c>
      <c r="BS33" s="10" t="s">
        <v>4290</v>
      </c>
      <c r="BT33" s="10">
        <v>0</v>
      </c>
    </row>
    <row r="34" spans="1:72" x14ac:dyDescent="0.25">
      <c r="A34" s="10" t="s">
        <v>72</v>
      </c>
      <c r="B34" s="10" t="s">
        <v>5332</v>
      </c>
      <c r="C34" s="10" t="s">
        <v>74</v>
      </c>
      <c r="D34" s="10" t="s">
        <v>74</v>
      </c>
      <c r="E34" s="10" t="s">
        <v>74</v>
      </c>
      <c r="F34" s="10" t="s">
        <v>5333</v>
      </c>
      <c r="G34" s="10" t="s">
        <v>74</v>
      </c>
      <c r="H34" s="10" t="s">
        <v>74</v>
      </c>
      <c r="I34" s="10" t="s">
        <v>5334</v>
      </c>
      <c r="J34" s="10" t="s">
        <v>4043</v>
      </c>
      <c r="K34" s="10" t="s">
        <v>74</v>
      </c>
      <c r="L34" s="10" t="s">
        <v>74</v>
      </c>
      <c r="M34" s="10" t="s">
        <v>78</v>
      </c>
      <c r="N34" s="10" t="s">
        <v>79</v>
      </c>
      <c r="O34" s="10" t="s">
        <v>74</v>
      </c>
      <c r="P34" s="10" t="s">
        <v>74</v>
      </c>
      <c r="Q34" s="10" t="s">
        <v>74</v>
      </c>
      <c r="R34" s="10" t="s">
        <v>74</v>
      </c>
      <c r="S34" s="10" t="s">
        <v>74</v>
      </c>
      <c r="T34" s="10" t="s">
        <v>5335</v>
      </c>
      <c r="U34" s="10" t="s">
        <v>13180</v>
      </c>
      <c r="V34" s="10" t="s">
        <v>5336</v>
      </c>
      <c r="W34" s="10" t="s">
        <v>5337</v>
      </c>
      <c r="X34" s="10" t="s">
        <v>5338</v>
      </c>
      <c r="Y34" s="10" t="s">
        <v>5339</v>
      </c>
      <c r="Z34" s="10" t="s">
        <v>5340</v>
      </c>
      <c r="AA34" s="10" t="s">
        <v>13181</v>
      </c>
      <c r="AB34" s="10" t="s">
        <v>13182</v>
      </c>
      <c r="AC34" s="10" t="s">
        <v>5343</v>
      </c>
      <c r="AD34" s="10" t="s">
        <v>5343</v>
      </c>
      <c r="AE34" s="10" t="s">
        <v>5344</v>
      </c>
      <c r="AF34" s="10" t="s">
        <v>74</v>
      </c>
      <c r="AG34" s="10">
        <v>254</v>
      </c>
      <c r="AH34" s="10">
        <v>5</v>
      </c>
      <c r="AI34" s="10">
        <v>5</v>
      </c>
      <c r="AJ34" s="10">
        <v>1</v>
      </c>
      <c r="AK34" s="10">
        <v>1</v>
      </c>
      <c r="AL34" s="10" t="s">
        <v>1382</v>
      </c>
      <c r="AM34" s="10" t="s">
        <v>1383</v>
      </c>
      <c r="AN34" s="10" t="s">
        <v>1384</v>
      </c>
      <c r="AO34" s="10" t="s">
        <v>4055</v>
      </c>
      <c r="AP34" s="10" t="s">
        <v>74</v>
      </c>
      <c r="AQ34" s="10" t="s">
        <v>74</v>
      </c>
      <c r="AR34" s="10" t="s">
        <v>4056</v>
      </c>
      <c r="AS34" s="10" t="s">
        <v>4057</v>
      </c>
      <c r="AT34" s="10" t="s">
        <v>5345</v>
      </c>
      <c r="AU34" s="10">
        <v>2021</v>
      </c>
      <c r="AV34" s="10">
        <v>12</v>
      </c>
      <c r="AW34" s="10" t="s">
        <v>74</v>
      </c>
      <c r="AX34" s="10" t="s">
        <v>74</v>
      </c>
      <c r="AY34" s="10" t="s">
        <v>74</v>
      </c>
      <c r="AZ34" s="10" t="s">
        <v>74</v>
      </c>
      <c r="BA34" s="10" t="s">
        <v>74</v>
      </c>
      <c r="BB34" s="10" t="s">
        <v>74</v>
      </c>
      <c r="BC34" s="10" t="s">
        <v>74</v>
      </c>
      <c r="BD34" s="10">
        <v>746477</v>
      </c>
      <c r="BE34" s="10" t="s">
        <v>5346</v>
      </c>
      <c r="BF34" s="10">
        <v>0</v>
      </c>
      <c r="BG34" s="10" t="s">
        <v>74</v>
      </c>
      <c r="BH34" s="10" t="s">
        <v>74</v>
      </c>
      <c r="BI34" s="10">
        <v>23</v>
      </c>
      <c r="BJ34" s="10" t="s">
        <v>4060</v>
      </c>
      <c r="BK34" s="10" t="s">
        <v>211</v>
      </c>
      <c r="BL34" s="10" t="s">
        <v>4060</v>
      </c>
      <c r="BM34" s="10" t="s">
        <v>5347</v>
      </c>
      <c r="BN34" s="10">
        <v>34975566</v>
      </c>
      <c r="BO34" s="10" t="s">
        <v>614</v>
      </c>
      <c r="BP34" s="10" t="s">
        <v>74</v>
      </c>
      <c r="BQ34" s="10" t="s">
        <v>74</v>
      </c>
      <c r="BR34" s="10" t="s">
        <v>12946</v>
      </c>
      <c r="BS34" s="10" t="s">
        <v>5348</v>
      </c>
      <c r="BT34" s="10">
        <v>0</v>
      </c>
    </row>
    <row r="35" spans="1:72" x14ac:dyDescent="0.25">
      <c r="A35" s="10" t="s">
        <v>72</v>
      </c>
      <c r="B35" s="10" t="s">
        <v>6363</v>
      </c>
      <c r="C35" s="10" t="s">
        <v>74</v>
      </c>
      <c r="D35" s="10" t="s">
        <v>74</v>
      </c>
      <c r="E35" s="10" t="s">
        <v>74</v>
      </c>
      <c r="F35" s="10" t="s">
        <v>6364</v>
      </c>
      <c r="G35" s="10" t="s">
        <v>74</v>
      </c>
      <c r="H35" s="10" t="s">
        <v>74</v>
      </c>
      <c r="I35" s="10" t="s">
        <v>6365</v>
      </c>
      <c r="J35" s="10" t="s">
        <v>6366</v>
      </c>
      <c r="K35" s="10" t="s">
        <v>74</v>
      </c>
      <c r="L35" s="10" t="s">
        <v>74</v>
      </c>
      <c r="M35" s="10" t="s">
        <v>78</v>
      </c>
      <c r="N35" s="10" t="s">
        <v>79</v>
      </c>
      <c r="O35" s="10" t="s">
        <v>74</v>
      </c>
      <c r="P35" s="10" t="s">
        <v>74</v>
      </c>
      <c r="Q35" s="10" t="s">
        <v>74</v>
      </c>
      <c r="R35" s="10" t="s">
        <v>74</v>
      </c>
      <c r="S35" s="10" t="s">
        <v>74</v>
      </c>
      <c r="T35" s="10" t="s">
        <v>6367</v>
      </c>
      <c r="U35" s="10" t="s">
        <v>6368</v>
      </c>
      <c r="V35" s="10" t="s">
        <v>6369</v>
      </c>
      <c r="W35" s="10" t="s">
        <v>6370</v>
      </c>
      <c r="X35" s="10" t="s">
        <v>6371</v>
      </c>
      <c r="Y35" s="10" t="s">
        <v>6372</v>
      </c>
      <c r="Z35" s="10" t="s">
        <v>6373</v>
      </c>
      <c r="AA35" s="10" t="s">
        <v>13183</v>
      </c>
      <c r="AB35" s="10" t="s">
        <v>6375</v>
      </c>
      <c r="AC35" s="10" t="s">
        <v>6376</v>
      </c>
      <c r="AD35" s="10" t="s">
        <v>6376</v>
      </c>
      <c r="AE35" s="10" t="s">
        <v>6377</v>
      </c>
      <c r="AF35" s="10" t="s">
        <v>74</v>
      </c>
      <c r="AG35" s="10">
        <v>81</v>
      </c>
      <c r="AH35" s="10">
        <v>5</v>
      </c>
      <c r="AI35" s="10">
        <v>5</v>
      </c>
      <c r="AJ35" s="10">
        <v>6</v>
      </c>
      <c r="AK35" s="10">
        <v>74</v>
      </c>
      <c r="AL35" s="10" t="s">
        <v>254</v>
      </c>
      <c r="AM35" s="10" t="s">
        <v>255</v>
      </c>
      <c r="AN35" s="10" t="s">
        <v>256</v>
      </c>
      <c r="AO35" s="10" t="s">
        <v>6378</v>
      </c>
      <c r="AP35" s="10" t="s">
        <v>6379</v>
      </c>
      <c r="AQ35" s="10" t="s">
        <v>74</v>
      </c>
      <c r="AR35" s="10" t="s">
        <v>6380</v>
      </c>
      <c r="AS35" s="10" t="s">
        <v>6381</v>
      </c>
      <c r="AT35" s="10" t="s">
        <v>1138</v>
      </c>
      <c r="AU35" s="10">
        <v>2022</v>
      </c>
      <c r="AV35" s="10">
        <v>32</v>
      </c>
      <c r="AW35" s="10">
        <v>2</v>
      </c>
      <c r="AX35" s="10" t="s">
        <v>74</v>
      </c>
      <c r="AY35" s="10" t="s">
        <v>74</v>
      </c>
      <c r="AZ35" s="10" t="s">
        <v>74</v>
      </c>
      <c r="BA35" s="10" t="s">
        <v>74</v>
      </c>
      <c r="BB35" s="10">
        <v>971</v>
      </c>
      <c r="BC35" s="10">
        <v>986</v>
      </c>
      <c r="BD35" s="10" t="s">
        <v>74</v>
      </c>
      <c r="BE35" s="10" t="s">
        <v>6382</v>
      </c>
      <c r="BF35" s="10">
        <v>0</v>
      </c>
      <c r="BG35" s="10" t="s">
        <v>74</v>
      </c>
      <c r="BH35" s="10" t="s">
        <v>6383</v>
      </c>
      <c r="BI35" s="10">
        <v>16</v>
      </c>
      <c r="BJ35" s="10" t="s">
        <v>264</v>
      </c>
      <c r="BK35" s="10" t="s">
        <v>156</v>
      </c>
      <c r="BL35" s="10" t="s">
        <v>265</v>
      </c>
      <c r="BM35" s="10" t="s">
        <v>6384</v>
      </c>
      <c r="BN35" s="10" t="s">
        <v>74</v>
      </c>
      <c r="BO35" s="10" t="s">
        <v>105</v>
      </c>
      <c r="BP35" s="10" t="s">
        <v>74</v>
      </c>
      <c r="BQ35" s="10" t="s">
        <v>74</v>
      </c>
      <c r="BR35" s="10" t="s">
        <v>12946</v>
      </c>
      <c r="BS35" s="10" t="s">
        <v>6385</v>
      </c>
      <c r="BT35" s="10">
        <v>0</v>
      </c>
    </row>
    <row r="36" spans="1:72" x14ac:dyDescent="0.25">
      <c r="A36" s="10" t="s">
        <v>72</v>
      </c>
      <c r="B36" s="10" t="s">
        <v>7127</v>
      </c>
      <c r="C36" s="10" t="s">
        <v>74</v>
      </c>
      <c r="D36" s="10" t="s">
        <v>74</v>
      </c>
      <c r="E36" s="10" t="s">
        <v>74</v>
      </c>
      <c r="F36" s="10" t="s">
        <v>7128</v>
      </c>
      <c r="G36" s="10" t="s">
        <v>74</v>
      </c>
      <c r="H36" s="10" t="s">
        <v>74</v>
      </c>
      <c r="I36" s="10" t="s">
        <v>7129</v>
      </c>
      <c r="J36" s="10" t="s">
        <v>820</v>
      </c>
      <c r="K36" s="10" t="s">
        <v>74</v>
      </c>
      <c r="L36" s="10" t="s">
        <v>74</v>
      </c>
      <c r="M36" s="10" t="s">
        <v>78</v>
      </c>
      <c r="N36" s="10" t="s">
        <v>79</v>
      </c>
      <c r="O36" s="10" t="s">
        <v>74</v>
      </c>
      <c r="P36" s="10" t="s">
        <v>74</v>
      </c>
      <c r="Q36" s="10" t="s">
        <v>74</v>
      </c>
      <c r="R36" s="10" t="s">
        <v>74</v>
      </c>
      <c r="S36" s="10" t="s">
        <v>74</v>
      </c>
      <c r="T36" s="10" t="s">
        <v>7130</v>
      </c>
      <c r="U36" s="10" t="s">
        <v>7131</v>
      </c>
      <c r="V36" s="10" t="s">
        <v>7132</v>
      </c>
      <c r="W36" s="10" t="s">
        <v>7133</v>
      </c>
      <c r="X36" s="10" t="s">
        <v>13184</v>
      </c>
      <c r="Y36" s="10" t="s">
        <v>2633</v>
      </c>
      <c r="Z36" s="10" t="s">
        <v>2634</v>
      </c>
      <c r="AA36" s="10" t="s">
        <v>13185</v>
      </c>
      <c r="AB36" s="10" t="s">
        <v>13186</v>
      </c>
      <c r="AC36" s="10" t="s">
        <v>2637</v>
      </c>
      <c r="AD36" s="10" t="s">
        <v>2637</v>
      </c>
      <c r="AE36" s="10" t="s">
        <v>7137</v>
      </c>
      <c r="AF36" s="10" t="s">
        <v>74</v>
      </c>
      <c r="AG36" s="10">
        <v>53</v>
      </c>
      <c r="AH36" s="10">
        <v>5</v>
      </c>
      <c r="AI36" s="10">
        <v>5</v>
      </c>
      <c r="AJ36" s="10">
        <v>1</v>
      </c>
      <c r="AK36" s="10">
        <v>3</v>
      </c>
      <c r="AL36" s="10" t="s">
        <v>833</v>
      </c>
      <c r="AM36" s="10" t="s">
        <v>175</v>
      </c>
      <c r="AN36" s="10" t="s">
        <v>834</v>
      </c>
      <c r="AO36" s="10" t="s">
        <v>835</v>
      </c>
      <c r="AP36" s="10" t="s">
        <v>74</v>
      </c>
      <c r="AQ36" s="10" t="s">
        <v>74</v>
      </c>
      <c r="AR36" s="10" t="s">
        <v>820</v>
      </c>
      <c r="AS36" s="10" t="s">
        <v>836</v>
      </c>
      <c r="AT36" s="10" t="s">
        <v>74</v>
      </c>
      <c r="AU36" s="10">
        <v>2021</v>
      </c>
      <c r="AV36" s="10">
        <v>11</v>
      </c>
      <c r="AW36" s="10">
        <v>9</v>
      </c>
      <c r="AX36" s="10" t="s">
        <v>74</v>
      </c>
      <c r="AY36" s="10" t="s">
        <v>74</v>
      </c>
      <c r="AZ36" s="10" t="s">
        <v>74</v>
      </c>
      <c r="BA36" s="10" t="s">
        <v>74</v>
      </c>
      <c r="BB36" s="10" t="s">
        <v>74</v>
      </c>
      <c r="BC36" s="10" t="s">
        <v>74</v>
      </c>
      <c r="BD36" s="10" t="s">
        <v>7138</v>
      </c>
      <c r="BE36" s="10" t="s">
        <v>7139</v>
      </c>
      <c r="BF36" s="10">
        <v>0</v>
      </c>
      <c r="BG36" s="10" t="s">
        <v>74</v>
      </c>
      <c r="BH36" s="10" t="s">
        <v>74</v>
      </c>
      <c r="BI36" s="10">
        <v>10</v>
      </c>
      <c r="BJ36" s="10" t="s">
        <v>840</v>
      </c>
      <c r="BK36" s="10" t="s">
        <v>211</v>
      </c>
      <c r="BL36" s="10" t="s">
        <v>841</v>
      </c>
      <c r="BM36" s="10" t="s">
        <v>7140</v>
      </c>
      <c r="BN36" s="10">
        <v>34475175</v>
      </c>
      <c r="BO36" s="10" t="s">
        <v>13187</v>
      </c>
      <c r="BP36" s="10" t="s">
        <v>74</v>
      </c>
      <c r="BQ36" s="10" t="s">
        <v>74</v>
      </c>
      <c r="BR36" s="10" t="s">
        <v>12946</v>
      </c>
      <c r="BS36" s="10" t="s">
        <v>7142</v>
      </c>
      <c r="BT36" s="10">
        <v>0</v>
      </c>
    </row>
    <row r="37" spans="1:72" x14ac:dyDescent="0.25">
      <c r="A37" s="10" t="s">
        <v>72</v>
      </c>
      <c r="B37" s="10" t="s">
        <v>11745</v>
      </c>
      <c r="C37" s="10" t="s">
        <v>74</v>
      </c>
      <c r="D37" s="10" t="s">
        <v>74</v>
      </c>
      <c r="E37" s="10" t="s">
        <v>74</v>
      </c>
      <c r="F37" s="10" t="s">
        <v>11746</v>
      </c>
      <c r="G37" s="10" t="s">
        <v>74</v>
      </c>
      <c r="H37" s="10" t="s">
        <v>74</v>
      </c>
      <c r="I37" s="10" t="s">
        <v>11747</v>
      </c>
      <c r="J37" s="10" t="s">
        <v>11748</v>
      </c>
      <c r="K37" s="10" t="s">
        <v>74</v>
      </c>
      <c r="L37" s="10" t="s">
        <v>74</v>
      </c>
      <c r="M37" s="10" t="s">
        <v>78</v>
      </c>
      <c r="N37" s="10" t="s">
        <v>79</v>
      </c>
      <c r="O37" s="10" t="s">
        <v>74</v>
      </c>
      <c r="P37" s="10" t="s">
        <v>74</v>
      </c>
      <c r="Q37" s="10" t="s">
        <v>74</v>
      </c>
      <c r="R37" s="10" t="s">
        <v>74</v>
      </c>
      <c r="S37" s="10" t="s">
        <v>74</v>
      </c>
      <c r="T37" s="10" t="s">
        <v>11749</v>
      </c>
      <c r="U37" s="10" t="s">
        <v>11750</v>
      </c>
      <c r="V37" s="10" t="s">
        <v>11751</v>
      </c>
      <c r="W37" s="10" t="s">
        <v>11752</v>
      </c>
      <c r="X37" s="10" t="s">
        <v>11753</v>
      </c>
      <c r="Y37" s="10" t="s">
        <v>11754</v>
      </c>
      <c r="Z37" s="10" t="s">
        <v>11755</v>
      </c>
      <c r="AA37" s="10" t="s">
        <v>13188</v>
      </c>
      <c r="AB37" s="10" t="s">
        <v>13189</v>
      </c>
      <c r="AC37" s="10" t="s">
        <v>11757</v>
      </c>
      <c r="AD37" s="10" t="s">
        <v>11758</v>
      </c>
      <c r="AE37" s="10" t="s">
        <v>11759</v>
      </c>
      <c r="AF37" s="10" t="s">
        <v>74</v>
      </c>
      <c r="AG37" s="10">
        <v>20</v>
      </c>
      <c r="AH37" s="10">
        <v>5</v>
      </c>
      <c r="AI37" s="10">
        <v>8</v>
      </c>
      <c r="AJ37" s="10">
        <v>1</v>
      </c>
      <c r="AK37" s="10">
        <v>8</v>
      </c>
      <c r="AL37" s="10" t="s">
        <v>9779</v>
      </c>
      <c r="AM37" s="10" t="s">
        <v>232</v>
      </c>
      <c r="AN37" s="10" t="s">
        <v>9780</v>
      </c>
      <c r="AO37" s="10" t="s">
        <v>11760</v>
      </c>
      <c r="AP37" s="10" t="s">
        <v>11761</v>
      </c>
      <c r="AQ37" s="10" t="s">
        <v>74</v>
      </c>
      <c r="AR37" s="10" t="s">
        <v>11762</v>
      </c>
      <c r="AS37" s="10" t="s">
        <v>11763</v>
      </c>
      <c r="AT37" s="10" t="s">
        <v>99</v>
      </c>
      <c r="AU37" s="10">
        <v>2014</v>
      </c>
      <c r="AV37" s="10">
        <v>39</v>
      </c>
      <c r="AW37" s="10" t="s">
        <v>74</v>
      </c>
      <c r="AX37" s="10" t="s">
        <v>74</v>
      </c>
      <c r="AY37" s="10" t="s">
        <v>74</v>
      </c>
      <c r="AZ37" s="10" t="s">
        <v>74</v>
      </c>
      <c r="BA37" s="10" t="s">
        <v>74</v>
      </c>
      <c r="BB37" s="10">
        <v>366</v>
      </c>
      <c r="BC37" s="10">
        <v>374</v>
      </c>
      <c r="BD37" s="10" t="s">
        <v>74</v>
      </c>
      <c r="BE37" s="10" t="s">
        <v>11764</v>
      </c>
      <c r="BF37" s="10">
        <v>0</v>
      </c>
      <c r="BG37" s="10" t="s">
        <v>74</v>
      </c>
      <c r="BH37" s="10" t="s">
        <v>74</v>
      </c>
      <c r="BI37" s="10">
        <v>9</v>
      </c>
      <c r="BJ37" s="10" t="s">
        <v>11765</v>
      </c>
      <c r="BK37" s="10" t="s">
        <v>102</v>
      </c>
      <c r="BL37" s="10" t="s">
        <v>11766</v>
      </c>
      <c r="BM37" s="10" t="s">
        <v>11767</v>
      </c>
      <c r="BN37" s="10">
        <v>25173237</v>
      </c>
      <c r="BO37" s="10" t="s">
        <v>2805</v>
      </c>
      <c r="BP37" s="10" t="s">
        <v>74</v>
      </c>
      <c r="BQ37" s="10" t="s">
        <v>74</v>
      </c>
      <c r="BR37" s="10" t="s">
        <v>12946</v>
      </c>
      <c r="BS37" s="10" t="s">
        <v>11768</v>
      </c>
      <c r="BT37" s="10">
        <v>0</v>
      </c>
    </row>
    <row r="38" spans="1:72" x14ac:dyDescent="0.25">
      <c r="A38" s="10" t="s">
        <v>72</v>
      </c>
      <c r="B38" s="10" t="s">
        <v>630</v>
      </c>
      <c r="C38" s="10" t="s">
        <v>74</v>
      </c>
      <c r="D38" s="10" t="s">
        <v>74</v>
      </c>
      <c r="E38" s="10" t="s">
        <v>74</v>
      </c>
      <c r="F38" s="10" t="s">
        <v>631</v>
      </c>
      <c r="G38" s="10" t="s">
        <v>74</v>
      </c>
      <c r="H38" s="10" t="s">
        <v>74</v>
      </c>
      <c r="I38" s="10" t="s">
        <v>632</v>
      </c>
      <c r="J38" s="10" t="s">
        <v>633</v>
      </c>
      <c r="K38" s="10" t="s">
        <v>74</v>
      </c>
      <c r="L38" s="10" t="s">
        <v>74</v>
      </c>
      <c r="M38" s="10" t="s">
        <v>78</v>
      </c>
      <c r="N38" s="10" t="s">
        <v>79</v>
      </c>
      <c r="O38" s="10" t="s">
        <v>74</v>
      </c>
      <c r="P38" s="10" t="s">
        <v>74</v>
      </c>
      <c r="Q38" s="10" t="s">
        <v>74</v>
      </c>
      <c r="R38" s="10" t="s">
        <v>74</v>
      </c>
      <c r="S38" s="10" t="s">
        <v>74</v>
      </c>
      <c r="T38" s="10" t="s">
        <v>634</v>
      </c>
      <c r="U38" s="10" t="s">
        <v>635</v>
      </c>
      <c r="V38" s="10" t="s">
        <v>636</v>
      </c>
      <c r="W38" s="10" t="s">
        <v>637</v>
      </c>
      <c r="X38" s="10" t="s">
        <v>638</v>
      </c>
      <c r="Y38" s="10" t="s">
        <v>639</v>
      </c>
      <c r="Z38" s="10" t="s">
        <v>640</v>
      </c>
      <c r="AA38" s="10" t="s">
        <v>13190</v>
      </c>
      <c r="AB38" s="10" t="s">
        <v>13191</v>
      </c>
      <c r="AC38" s="10" t="s">
        <v>641</v>
      </c>
      <c r="AD38" s="10" t="s">
        <v>642</v>
      </c>
      <c r="AE38" s="10" t="s">
        <v>643</v>
      </c>
      <c r="AF38" s="10" t="s">
        <v>74</v>
      </c>
      <c r="AG38" s="10">
        <v>40</v>
      </c>
      <c r="AH38" s="10">
        <v>4</v>
      </c>
      <c r="AI38" s="10">
        <v>4</v>
      </c>
      <c r="AJ38" s="10">
        <v>1</v>
      </c>
      <c r="AK38" s="10">
        <v>2</v>
      </c>
      <c r="AL38" s="10" t="s">
        <v>644</v>
      </c>
      <c r="AM38" s="10" t="s">
        <v>645</v>
      </c>
      <c r="AN38" s="10" t="s">
        <v>646</v>
      </c>
      <c r="AO38" s="10" t="s">
        <v>647</v>
      </c>
      <c r="AP38" s="10" t="s">
        <v>74</v>
      </c>
      <c r="AQ38" s="10" t="s">
        <v>74</v>
      </c>
      <c r="AR38" s="10" t="s">
        <v>648</v>
      </c>
      <c r="AS38" s="10" t="s">
        <v>649</v>
      </c>
      <c r="AT38" s="10" t="s">
        <v>626</v>
      </c>
      <c r="AU38" s="10">
        <v>2023</v>
      </c>
      <c r="AV38" s="10">
        <v>14</v>
      </c>
      <c r="AW38" s="10">
        <v>4</v>
      </c>
      <c r="AX38" s="10" t="s">
        <v>74</v>
      </c>
      <c r="AY38" s="10" t="s">
        <v>74</v>
      </c>
      <c r="AZ38" s="10" t="s">
        <v>74</v>
      </c>
      <c r="BA38" s="10" t="s">
        <v>74</v>
      </c>
      <c r="BB38" s="10">
        <v>620</v>
      </c>
      <c r="BC38" s="10">
        <v>631</v>
      </c>
      <c r="BD38" s="10" t="s">
        <v>74</v>
      </c>
      <c r="BE38" s="10" t="s">
        <v>650</v>
      </c>
      <c r="BF38" s="10">
        <v>0</v>
      </c>
      <c r="BG38" s="10" t="s">
        <v>74</v>
      </c>
      <c r="BH38" s="10" t="s">
        <v>74</v>
      </c>
      <c r="BI38" s="10">
        <v>12</v>
      </c>
      <c r="BJ38" s="10" t="s">
        <v>651</v>
      </c>
      <c r="BK38" s="10" t="s">
        <v>102</v>
      </c>
      <c r="BL38" s="10" t="s">
        <v>651</v>
      </c>
      <c r="BM38" s="10" t="s">
        <v>652</v>
      </c>
      <c r="BN38" s="10">
        <v>37164328</v>
      </c>
      <c r="BO38" s="10" t="s">
        <v>74</v>
      </c>
      <c r="BP38" s="10" t="s">
        <v>74</v>
      </c>
      <c r="BQ38" s="10" t="s">
        <v>74</v>
      </c>
      <c r="BR38" s="10" t="s">
        <v>12946</v>
      </c>
      <c r="BS38" s="10" t="s">
        <v>653</v>
      </c>
      <c r="BT38" s="10">
        <v>0</v>
      </c>
    </row>
    <row r="39" spans="1:72" x14ac:dyDescent="0.25">
      <c r="A39" s="10" t="s">
        <v>72</v>
      </c>
      <c r="B39" s="10" t="s">
        <v>402</v>
      </c>
      <c r="C39" s="10" t="s">
        <v>74</v>
      </c>
      <c r="D39" s="10" t="s">
        <v>74</v>
      </c>
      <c r="E39" s="10" t="s">
        <v>74</v>
      </c>
      <c r="F39" s="10" t="s">
        <v>403</v>
      </c>
      <c r="G39" s="10" t="s">
        <v>74</v>
      </c>
      <c r="H39" s="10" t="s">
        <v>74</v>
      </c>
      <c r="I39" s="10" t="s">
        <v>404</v>
      </c>
      <c r="J39" s="10" t="s">
        <v>405</v>
      </c>
      <c r="K39" s="10" t="s">
        <v>74</v>
      </c>
      <c r="L39" s="10" t="s">
        <v>74</v>
      </c>
      <c r="M39" s="10" t="s">
        <v>78</v>
      </c>
      <c r="N39" s="10" t="s">
        <v>79</v>
      </c>
      <c r="O39" s="10" t="s">
        <v>74</v>
      </c>
      <c r="P39" s="10" t="s">
        <v>74</v>
      </c>
      <c r="Q39" s="10" t="s">
        <v>74</v>
      </c>
      <c r="R39" s="10" t="s">
        <v>74</v>
      </c>
      <c r="S39" s="10" t="s">
        <v>74</v>
      </c>
      <c r="T39" s="10" t="s">
        <v>406</v>
      </c>
      <c r="U39" s="10" t="s">
        <v>407</v>
      </c>
      <c r="V39" s="10" t="s">
        <v>408</v>
      </c>
      <c r="W39" s="10" t="s">
        <v>409</v>
      </c>
      <c r="X39" s="10" t="s">
        <v>410</v>
      </c>
      <c r="Y39" s="10" t="s">
        <v>411</v>
      </c>
      <c r="Z39" s="10" t="s">
        <v>412</v>
      </c>
      <c r="AA39" s="10" t="s">
        <v>13192</v>
      </c>
      <c r="AB39" s="10" t="s">
        <v>74</v>
      </c>
      <c r="AC39" s="10" t="s">
        <v>413</v>
      </c>
      <c r="AD39" s="10" t="s">
        <v>414</v>
      </c>
      <c r="AE39" s="10" t="s">
        <v>415</v>
      </c>
      <c r="AF39" s="10" t="s">
        <v>74</v>
      </c>
      <c r="AG39" s="10">
        <v>36</v>
      </c>
      <c r="AH39" s="10">
        <v>4</v>
      </c>
      <c r="AI39" s="10">
        <v>5</v>
      </c>
      <c r="AJ39" s="10">
        <v>6</v>
      </c>
      <c r="AK39" s="10">
        <v>20</v>
      </c>
      <c r="AL39" s="10" t="s">
        <v>231</v>
      </c>
      <c r="AM39" s="10" t="s">
        <v>232</v>
      </c>
      <c r="AN39" s="10" t="s">
        <v>233</v>
      </c>
      <c r="AO39" s="10" t="s">
        <v>74</v>
      </c>
      <c r="AP39" s="10" t="s">
        <v>416</v>
      </c>
      <c r="AQ39" s="10" t="s">
        <v>74</v>
      </c>
      <c r="AR39" s="10" t="s">
        <v>417</v>
      </c>
      <c r="AS39" s="10" t="s">
        <v>418</v>
      </c>
      <c r="AT39" s="10" t="s">
        <v>356</v>
      </c>
      <c r="AU39" s="10">
        <v>2023</v>
      </c>
      <c r="AV39" s="10">
        <v>38</v>
      </c>
      <c r="AW39" s="10" t="s">
        <v>74</v>
      </c>
      <c r="AX39" s="10" t="s">
        <v>74</v>
      </c>
      <c r="AY39" s="10" t="s">
        <v>74</v>
      </c>
      <c r="AZ39" s="10" t="s">
        <v>74</v>
      </c>
      <c r="BA39" s="10" t="s">
        <v>74</v>
      </c>
      <c r="BB39" s="10" t="s">
        <v>74</v>
      </c>
      <c r="BC39" s="10" t="s">
        <v>74</v>
      </c>
      <c r="BD39" s="10">
        <v>100837</v>
      </c>
      <c r="BE39" s="10" t="s">
        <v>419</v>
      </c>
      <c r="BF39" s="10">
        <v>0</v>
      </c>
      <c r="BG39" s="10" t="s">
        <v>74</v>
      </c>
      <c r="BH39" s="10" t="s">
        <v>675</v>
      </c>
      <c r="BI39" s="10">
        <v>10</v>
      </c>
      <c r="BJ39" s="10" t="s">
        <v>420</v>
      </c>
      <c r="BK39" s="10" t="s">
        <v>211</v>
      </c>
      <c r="BL39" s="10" t="s">
        <v>420</v>
      </c>
      <c r="BM39" s="10" t="s">
        <v>421</v>
      </c>
      <c r="BN39" s="10">
        <v>37520278</v>
      </c>
      <c r="BO39" s="10" t="s">
        <v>614</v>
      </c>
      <c r="BP39" s="10" t="s">
        <v>74</v>
      </c>
      <c r="BQ39" s="10" t="s">
        <v>74</v>
      </c>
      <c r="BR39" s="10" t="s">
        <v>12946</v>
      </c>
      <c r="BS39" s="10" t="s">
        <v>423</v>
      </c>
      <c r="BT39" s="10">
        <v>0</v>
      </c>
    </row>
    <row r="40" spans="1:72" x14ac:dyDescent="0.25">
      <c r="A40" s="10" t="s">
        <v>72</v>
      </c>
      <c r="B40" s="10" t="s">
        <v>886</v>
      </c>
      <c r="C40" s="10" t="s">
        <v>74</v>
      </c>
      <c r="D40" s="10" t="s">
        <v>74</v>
      </c>
      <c r="E40" s="10" t="s">
        <v>74</v>
      </c>
      <c r="F40" s="10" t="s">
        <v>887</v>
      </c>
      <c r="G40" s="10" t="s">
        <v>74</v>
      </c>
      <c r="H40" s="10" t="s">
        <v>74</v>
      </c>
      <c r="I40" s="10" t="s">
        <v>888</v>
      </c>
      <c r="J40" s="10" t="s">
        <v>889</v>
      </c>
      <c r="K40" s="10" t="s">
        <v>74</v>
      </c>
      <c r="L40" s="10" t="s">
        <v>74</v>
      </c>
      <c r="M40" s="10" t="s">
        <v>78</v>
      </c>
      <c r="N40" s="10" t="s">
        <v>79</v>
      </c>
      <c r="O40" s="10" t="s">
        <v>74</v>
      </c>
      <c r="P40" s="10" t="s">
        <v>74</v>
      </c>
      <c r="Q40" s="10" t="s">
        <v>74</v>
      </c>
      <c r="R40" s="10" t="s">
        <v>74</v>
      </c>
      <c r="S40" s="10" t="s">
        <v>74</v>
      </c>
      <c r="T40" s="10" t="s">
        <v>890</v>
      </c>
      <c r="U40" s="10" t="s">
        <v>891</v>
      </c>
      <c r="V40" s="10" t="s">
        <v>892</v>
      </c>
      <c r="W40" s="10" t="s">
        <v>893</v>
      </c>
      <c r="X40" s="10" t="s">
        <v>894</v>
      </c>
      <c r="Y40" s="10" t="s">
        <v>895</v>
      </c>
      <c r="Z40" s="10" t="s">
        <v>896</v>
      </c>
      <c r="AA40" s="10" t="s">
        <v>13193</v>
      </c>
      <c r="AB40" s="10" t="s">
        <v>13194</v>
      </c>
      <c r="AC40" s="10" t="s">
        <v>898</v>
      </c>
      <c r="AD40" s="10" t="s">
        <v>898</v>
      </c>
      <c r="AE40" s="10" t="s">
        <v>898</v>
      </c>
      <c r="AF40" s="10" t="s">
        <v>74</v>
      </c>
      <c r="AG40" s="10">
        <v>42</v>
      </c>
      <c r="AH40" s="10">
        <v>4</v>
      </c>
      <c r="AI40" s="10">
        <v>4</v>
      </c>
      <c r="AJ40" s="10">
        <v>1</v>
      </c>
      <c r="AK40" s="10">
        <v>2</v>
      </c>
      <c r="AL40" s="10" t="s">
        <v>231</v>
      </c>
      <c r="AM40" s="10" t="s">
        <v>232</v>
      </c>
      <c r="AN40" s="10" t="s">
        <v>233</v>
      </c>
      <c r="AO40" s="10" t="s">
        <v>899</v>
      </c>
      <c r="AP40" s="10" t="s">
        <v>74</v>
      </c>
      <c r="AQ40" s="10" t="s">
        <v>74</v>
      </c>
      <c r="AR40" s="10" t="s">
        <v>900</v>
      </c>
      <c r="AS40" s="10" t="s">
        <v>901</v>
      </c>
      <c r="AT40" s="10" t="s">
        <v>837</v>
      </c>
      <c r="AU40" s="10">
        <v>2023</v>
      </c>
      <c r="AV40" s="10">
        <v>23</v>
      </c>
      <c r="AW40" s="10" t="s">
        <v>74</v>
      </c>
      <c r="AX40" s="10" t="s">
        <v>74</v>
      </c>
      <c r="AY40" s="10" t="s">
        <v>74</v>
      </c>
      <c r="AZ40" s="10" t="s">
        <v>74</v>
      </c>
      <c r="BA40" s="10" t="s">
        <v>74</v>
      </c>
      <c r="BB40" s="10" t="s">
        <v>74</v>
      </c>
      <c r="BC40" s="10" t="s">
        <v>74</v>
      </c>
      <c r="BD40" s="10">
        <v>100534</v>
      </c>
      <c r="BE40" s="10" t="s">
        <v>902</v>
      </c>
      <c r="BF40" s="10">
        <v>0</v>
      </c>
      <c r="BG40" s="10" t="s">
        <v>74</v>
      </c>
      <c r="BH40" s="10" t="s">
        <v>675</v>
      </c>
      <c r="BI40" s="10">
        <v>10</v>
      </c>
      <c r="BJ40" s="10" t="s">
        <v>420</v>
      </c>
      <c r="BK40" s="10" t="s">
        <v>183</v>
      </c>
      <c r="BL40" s="10" t="s">
        <v>420</v>
      </c>
      <c r="BM40" s="10" t="s">
        <v>903</v>
      </c>
      <c r="BN40" s="10">
        <v>37497398</v>
      </c>
      <c r="BO40" s="10" t="s">
        <v>422</v>
      </c>
      <c r="BP40" s="10" t="s">
        <v>74</v>
      </c>
      <c r="BQ40" s="10" t="s">
        <v>74</v>
      </c>
      <c r="BR40" s="10" t="s">
        <v>12946</v>
      </c>
      <c r="BS40" s="10" t="s">
        <v>904</v>
      </c>
      <c r="BT40" s="10">
        <v>0</v>
      </c>
    </row>
    <row r="41" spans="1:72" x14ac:dyDescent="0.25">
      <c r="A41" s="10" t="s">
        <v>72</v>
      </c>
      <c r="B41" s="10" t="s">
        <v>2371</v>
      </c>
      <c r="C41" s="10" t="s">
        <v>74</v>
      </c>
      <c r="D41" s="10" t="s">
        <v>74</v>
      </c>
      <c r="E41" s="10" t="s">
        <v>74</v>
      </c>
      <c r="F41" s="10" t="s">
        <v>2372</v>
      </c>
      <c r="G41" s="10" t="s">
        <v>74</v>
      </c>
      <c r="H41" s="10" t="s">
        <v>74</v>
      </c>
      <c r="I41" s="10" t="s">
        <v>2373</v>
      </c>
      <c r="J41" s="10" t="s">
        <v>2374</v>
      </c>
      <c r="K41" s="10" t="s">
        <v>74</v>
      </c>
      <c r="L41" s="10" t="s">
        <v>74</v>
      </c>
      <c r="M41" s="10" t="s">
        <v>78</v>
      </c>
      <c r="N41" s="10" t="s">
        <v>79</v>
      </c>
      <c r="O41" s="10" t="s">
        <v>74</v>
      </c>
      <c r="P41" s="10" t="s">
        <v>74</v>
      </c>
      <c r="Q41" s="10" t="s">
        <v>74</v>
      </c>
      <c r="R41" s="10" t="s">
        <v>74</v>
      </c>
      <c r="S41" s="10" t="s">
        <v>74</v>
      </c>
      <c r="T41" s="10" t="s">
        <v>2375</v>
      </c>
      <c r="U41" s="10" t="s">
        <v>2376</v>
      </c>
      <c r="V41" s="10" t="s">
        <v>2377</v>
      </c>
      <c r="W41" s="10" t="s">
        <v>2378</v>
      </c>
      <c r="X41" s="10" t="s">
        <v>2379</v>
      </c>
      <c r="Y41" s="10" t="s">
        <v>2380</v>
      </c>
      <c r="Z41" s="10" t="s">
        <v>2381</v>
      </c>
      <c r="AA41" s="10" t="s">
        <v>74</v>
      </c>
      <c r="AB41" s="10" t="s">
        <v>2382</v>
      </c>
      <c r="AC41" s="10" t="s">
        <v>74</v>
      </c>
      <c r="AD41" s="10" t="s">
        <v>74</v>
      </c>
      <c r="AE41" s="10" t="s">
        <v>74</v>
      </c>
      <c r="AF41" s="10" t="s">
        <v>74</v>
      </c>
      <c r="AG41" s="10">
        <v>61</v>
      </c>
      <c r="AH41" s="10">
        <v>4</v>
      </c>
      <c r="AI41" s="10">
        <v>4</v>
      </c>
      <c r="AJ41" s="10">
        <v>4</v>
      </c>
      <c r="AK41" s="10">
        <v>30</v>
      </c>
      <c r="AL41" s="10" t="s">
        <v>2383</v>
      </c>
      <c r="AM41" s="10" t="s">
        <v>2384</v>
      </c>
      <c r="AN41" s="10" t="s">
        <v>2385</v>
      </c>
      <c r="AO41" s="10" t="s">
        <v>2386</v>
      </c>
      <c r="AP41" s="10" t="s">
        <v>2387</v>
      </c>
      <c r="AQ41" s="10" t="s">
        <v>74</v>
      </c>
      <c r="AR41" s="10" t="s">
        <v>2388</v>
      </c>
      <c r="AS41" s="10" t="s">
        <v>2389</v>
      </c>
      <c r="AT41" s="10" t="s">
        <v>2390</v>
      </c>
      <c r="AU41" s="10">
        <v>2023</v>
      </c>
      <c r="AV41" s="10">
        <v>26</v>
      </c>
      <c r="AW41" s="10">
        <v>1</v>
      </c>
      <c r="AX41" s="10" t="s">
        <v>74</v>
      </c>
      <c r="AY41" s="10" t="s">
        <v>74</v>
      </c>
      <c r="AZ41" s="10" t="s">
        <v>74</v>
      </c>
      <c r="BA41" s="10" t="s">
        <v>74</v>
      </c>
      <c r="BB41" s="10">
        <v>42</v>
      </c>
      <c r="BC41" s="10">
        <v>49</v>
      </c>
      <c r="BD41" s="10" t="s">
        <v>74</v>
      </c>
      <c r="BE41" s="10" t="s">
        <v>2391</v>
      </c>
      <c r="BF41" s="10">
        <v>0</v>
      </c>
      <c r="BG41" s="10" t="s">
        <v>74</v>
      </c>
      <c r="BH41" s="10" t="s">
        <v>2368</v>
      </c>
      <c r="BI41" s="10">
        <v>8</v>
      </c>
      <c r="BJ41" s="10" t="s">
        <v>2392</v>
      </c>
      <c r="BK41" s="10" t="s">
        <v>156</v>
      </c>
      <c r="BL41" s="10" t="s">
        <v>1665</v>
      </c>
      <c r="BM41" s="10" t="s">
        <v>2393</v>
      </c>
      <c r="BN41" s="10">
        <v>36577008</v>
      </c>
      <c r="BO41" s="10" t="s">
        <v>74</v>
      </c>
      <c r="BP41" s="10" t="s">
        <v>74</v>
      </c>
      <c r="BQ41" s="10" t="s">
        <v>74</v>
      </c>
      <c r="BR41" s="10" t="s">
        <v>12946</v>
      </c>
      <c r="BS41" s="10" t="s">
        <v>2394</v>
      </c>
      <c r="BT41" s="10">
        <v>0</v>
      </c>
    </row>
    <row r="42" spans="1:72" x14ac:dyDescent="0.25">
      <c r="A42" s="10" t="s">
        <v>72</v>
      </c>
      <c r="B42" s="10" t="s">
        <v>8313</v>
      </c>
      <c r="C42" s="10" t="s">
        <v>74</v>
      </c>
      <c r="D42" s="10" t="s">
        <v>74</v>
      </c>
      <c r="E42" s="10" t="s">
        <v>74</v>
      </c>
      <c r="F42" s="10" t="s">
        <v>8314</v>
      </c>
      <c r="G42" s="10" t="s">
        <v>74</v>
      </c>
      <c r="H42" s="10" t="s">
        <v>74</v>
      </c>
      <c r="I42" s="10" t="s">
        <v>8315</v>
      </c>
      <c r="J42" s="10" t="s">
        <v>820</v>
      </c>
      <c r="K42" s="10" t="s">
        <v>74</v>
      </c>
      <c r="L42" s="10" t="s">
        <v>74</v>
      </c>
      <c r="M42" s="10" t="s">
        <v>78</v>
      </c>
      <c r="N42" s="10" t="s">
        <v>79</v>
      </c>
      <c r="O42" s="10" t="s">
        <v>74</v>
      </c>
      <c r="P42" s="10" t="s">
        <v>74</v>
      </c>
      <c r="Q42" s="10" t="s">
        <v>74</v>
      </c>
      <c r="R42" s="10" t="s">
        <v>74</v>
      </c>
      <c r="S42" s="10" t="s">
        <v>74</v>
      </c>
      <c r="T42" s="10" t="s">
        <v>8316</v>
      </c>
      <c r="U42" s="10" t="s">
        <v>8317</v>
      </c>
      <c r="V42" s="10" t="s">
        <v>8318</v>
      </c>
      <c r="W42" s="10" t="s">
        <v>8319</v>
      </c>
      <c r="X42" s="10" t="s">
        <v>8320</v>
      </c>
      <c r="Y42" s="10" t="s">
        <v>8321</v>
      </c>
      <c r="Z42" s="10" t="s">
        <v>8322</v>
      </c>
      <c r="AA42" s="10" t="s">
        <v>13195</v>
      </c>
      <c r="AB42" s="10" t="s">
        <v>13196</v>
      </c>
      <c r="AC42" s="10" t="s">
        <v>8325</v>
      </c>
      <c r="AD42" s="10" t="s">
        <v>8326</v>
      </c>
      <c r="AE42" s="10" t="s">
        <v>8327</v>
      </c>
      <c r="AF42" s="10" t="s">
        <v>74</v>
      </c>
      <c r="AG42" s="10">
        <v>35</v>
      </c>
      <c r="AH42" s="10">
        <v>4</v>
      </c>
      <c r="AI42" s="10">
        <v>4</v>
      </c>
      <c r="AJ42" s="10">
        <v>0</v>
      </c>
      <c r="AK42" s="10">
        <v>3</v>
      </c>
      <c r="AL42" s="10" t="s">
        <v>833</v>
      </c>
      <c r="AM42" s="10" t="s">
        <v>175</v>
      </c>
      <c r="AN42" s="10" t="s">
        <v>834</v>
      </c>
      <c r="AO42" s="10" t="s">
        <v>835</v>
      </c>
      <c r="AP42" s="10" t="s">
        <v>74</v>
      </c>
      <c r="AQ42" s="10" t="s">
        <v>74</v>
      </c>
      <c r="AR42" s="10" t="s">
        <v>820</v>
      </c>
      <c r="AS42" s="10" t="s">
        <v>836</v>
      </c>
      <c r="AT42" s="10" t="s">
        <v>74</v>
      </c>
      <c r="AU42" s="10">
        <v>2020</v>
      </c>
      <c r="AV42" s="10">
        <v>10</v>
      </c>
      <c r="AW42" s="10">
        <v>9</v>
      </c>
      <c r="AX42" s="10" t="s">
        <v>74</v>
      </c>
      <c r="AY42" s="10" t="s">
        <v>74</v>
      </c>
      <c r="AZ42" s="10" t="s">
        <v>74</v>
      </c>
      <c r="BA42" s="10" t="s">
        <v>74</v>
      </c>
      <c r="BB42" s="10" t="s">
        <v>74</v>
      </c>
      <c r="BC42" s="10" t="s">
        <v>74</v>
      </c>
      <c r="BD42" s="10" t="s">
        <v>8328</v>
      </c>
      <c r="BE42" s="10" t="s">
        <v>8329</v>
      </c>
      <c r="BF42" s="10">
        <v>0</v>
      </c>
      <c r="BG42" s="10" t="s">
        <v>74</v>
      </c>
      <c r="BH42" s="10" t="s">
        <v>74</v>
      </c>
      <c r="BI42" s="10">
        <v>8</v>
      </c>
      <c r="BJ42" s="10" t="s">
        <v>840</v>
      </c>
      <c r="BK42" s="10" t="s">
        <v>211</v>
      </c>
      <c r="BL42" s="10" t="s">
        <v>841</v>
      </c>
      <c r="BM42" s="10" t="s">
        <v>8330</v>
      </c>
      <c r="BN42" s="10">
        <v>32994244</v>
      </c>
      <c r="BO42" s="10" t="s">
        <v>614</v>
      </c>
      <c r="BP42" s="10" t="s">
        <v>74</v>
      </c>
      <c r="BQ42" s="10" t="s">
        <v>74</v>
      </c>
      <c r="BR42" s="10" t="s">
        <v>12946</v>
      </c>
      <c r="BS42" s="10" t="s">
        <v>8331</v>
      </c>
      <c r="BT42" s="10">
        <v>0</v>
      </c>
    </row>
    <row r="43" spans="1:72" x14ac:dyDescent="0.25">
      <c r="A43" s="10" t="s">
        <v>72</v>
      </c>
      <c r="B43" s="10" t="s">
        <v>8616</v>
      </c>
      <c r="C43" s="10" t="s">
        <v>74</v>
      </c>
      <c r="D43" s="10" t="s">
        <v>74</v>
      </c>
      <c r="E43" s="10" t="s">
        <v>74</v>
      </c>
      <c r="F43" s="10" t="s">
        <v>8617</v>
      </c>
      <c r="G43" s="10" t="s">
        <v>74</v>
      </c>
      <c r="H43" s="10" t="s">
        <v>74</v>
      </c>
      <c r="I43" s="10" t="s">
        <v>8618</v>
      </c>
      <c r="J43" s="10" t="s">
        <v>8619</v>
      </c>
      <c r="K43" s="10" t="s">
        <v>74</v>
      </c>
      <c r="L43" s="10" t="s">
        <v>74</v>
      </c>
      <c r="M43" s="10" t="s">
        <v>78</v>
      </c>
      <c r="N43" s="10" t="s">
        <v>79</v>
      </c>
      <c r="O43" s="10" t="s">
        <v>74</v>
      </c>
      <c r="P43" s="10" t="s">
        <v>74</v>
      </c>
      <c r="Q43" s="10" t="s">
        <v>74</v>
      </c>
      <c r="R43" s="10" t="s">
        <v>74</v>
      </c>
      <c r="S43" s="10" t="s">
        <v>74</v>
      </c>
      <c r="T43" s="10" t="s">
        <v>8620</v>
      </c>
      <c r="U43" s="10" t="s">
        <v>8621</v>
      </c>
      <c r="V43" s="10" t="s">
        <v>8622</v>
      </c>
      <c r="W43" s="10" t="s">
        <v>8623</v>
      </c>
      <c r="X43" s="10" t="s">
        <v>8624</v>
      </c>
      <c r="Y43" s="10" t="s">
        <v>8625</v>
      </c>
      <c r="Z43" s="10" t="s">
        <v>8626</v>
      </c>
      <c r="AA43" s="10" t="s">
        <v>74</v>
      </c>
      <c r="AB43" s="10" t="s">
        <v>74</v>
      </c>
      <c r="AC43" s="10" t="s">
        <v>8627</v>
      </c>
      <c r="AD43" s="10" t="s">
        <v>8627</v>
      </c>
      <c r="AE43" s="10" t="s">
        <v>8628</v>
      </c>
      <c r="AF43" s="10" t="s">
        <v>74</v>
      </c>
      <c r="AG43" s="10">
        <v>58</v>
      </c>
      <c r="AH43" s="10">
        <v>4</v>
      </c>
      <c r="AI43" s="10">
        <v>4</v>
      </c>
      <c r="AJ43" s="10">
        <v>7</v>
      </c>
      <c r="AK43" s="10">
        <v>26</v>
      </c>
      <c r="AL43" s="10" t="s">
        <v>121</v>
      </c>
      <c r="AM43" s="10" t="s">
        <v>122</v>
      </c>
      <c r="AN43" s="10" t="s">
        <v>123</v>
      </c>
      <c r="AO43" s="10" t="s">
        <v>8629</v>
      </c>
      <c r="AP43" s="10" t="s">
        <v>8630</v>
      </c>
      <c r="AQ43" s="10" t="s">
        <v>74</v>
      </c>
      <c r="AR43" s="10" t="s">
        <v>8631</v>
      </c>
      <c r="AS43" s="10" t="s">
        <v>8632</v>
      </c>
      <c r="AT43" s="10" t="s">
        <v>476</v>
      </c>
      <c r="AU43" s="10">
        <v>2019</v>
      </c>
      <c r="AV43" s="10">
        <v>42</v>
      </c>
      <c r="AW43" s="10">
        <v>4</v>
      </c>
      <c r="AX43" s="10" t="s">
        <v>74</v>
      </c>
      <c r="AY43" s="10" t="s">
        <v>74</v>
      </c>
      <c r="AZ43" s="10" t="s">
        <v>74</v>
      </c>
      <c r="BA43" s="10" t="s">
        <v>74</v>
      </c>
      <c r="BB43" s="10">
        <v>567</v>
      </c>
      <c r="BC43" s="10">
        <v>585</v>
      </c>
      <c r="BD43" s="10" t="s">
        <v>74</v>
      </c>
      <c r="BE43" s="10" t="s">
        <v>8633</v>
      </c>
      <c r="BF43" s="10">
        <v>0</v>
      </c>
      <c r="BG43" s="10" t="s">
        <v>74</v>
      </c>
      <c r="BH43" s="10" t="s">
        <v>74</v>
      </c>
      <c r="BI43" s="10">
        <v>19</v>
      </c>
      <c r="BJ43" s="10" t="s">
        <v>5263</v>
      </c>
      <c r="BK43" s="10" t="s">
        <v>156</v>
      </c>
      <c r="BL43" s="10" t="s">
        <v>5263</v>
      </c>
      <c r="BM43" s="10" t="s">
        <v>8634</v>
      </c>
      <c r="BN43" s="10" t="s">
        <v>74</v>
      </c>
      <c r="BO43" s="10" t="s">
        <v>74</v>
      </c>
      <c r="BP43" s="10" t="s">
        <v>74</v>
      </c>
      <c r="BQ43" s="10" t="s">
        <v>74</v>
      </c>
      <c r="BR43" s="10" t="s">
        <v>12946</v>
      </c>
      <c r="BS43" s="10" t="s">
        <v>8635</v>
      </c>
      <c r="BT43" s="10">
        <v>0</v>
      </c>
    </row>
    <row r="44" spans="1:72" x14ac:dyDescent="0.25">
      <c r="A44" s="10" t="s">
        <v>72</v>
      </c>
      <c r="B44" s="10" t="s">
        <v>268</v>
      </c>
      <c r="C44" s="10" t="s">
        <v>74</v>
      </c>
      <c r="D44" s="10" t="s">
        <v>74</v>
      </c>
      <c r="E44" s="10" t="s">
        <v>74</v>
      </c>
      <c r="F44" s="10" t="s">
        <v>269</v>
      </c>
      <c r="G44" s="10" t="s">
        <v>74</v>
      </c>
      <c r="H44" s="10" t="s">
        <v>74</v>
      </c>
      <c r="I44" s="10" t="s">
        <v>270</v>
      </c>
      <c r="J44" s="10" t="s">
        <v>271</v>
      </c>
      <c r="K44" s="10" t="s">
        <v>74</v>
      </c>
      <c r="L44" s="10" t="s">
        <v>74</v>
      </c>
      <c r="M44" s="10" t="s">
        <v>78</v>
      </c>
      <c r="N44" s="10" t="s">
        <v>79</v>
      </c>
      <c r="O44" s="10" t="s">
        <v>74</v>
      </c>
      <c r="P44" s="10" t="s">
        <v>74</v>
      </c>
      <c r="Q44" s="10" t="s">
        <v>74</v>
      </c>
      <c r="R44" s="10" t="s">
        <v>74</v>
      </c>
      <c r="S44" s="10" t="s">
        <v>74</v>
      </c>
      <c r="T44" s="10" t="s">
        <v>272</v>
      </c>
      <c r="U44" s="10" t="s">
        <v>273</v>
      </c>
      <c r="V44" s="10" t="s">
        <v>274</v>
      </c>
      <c r="W44" s="10" t="s">
        <v>275</v>
      </c>
      <c r="X44" s="10" t="s">
        <v>276</v>
      </c>
      <c r="Y44" s="10" t="s">
        <v>277</v>
      </c>
      <c r="Z44" s="10" t="s">
        <v>278</v>
      </c>
      <c r="AA44" s="10" t="s">
        <v>13197</v>
      </c>
      <c r="AB44" s="10" t="s">
        <v>280</v>
      </c>
      <c r="AC44" s="10" t="s">
        <v>281</v>
      </c>
      <c r="AD44" s="10" t="s">
        <v>282</v>
      </c>
      <c r="AE44" s="10" t="s">
        <v>283</v>
      </c>
      <c r="AF44" s="10" t="s">
        <v>74</v>
      </c>
      <c r="AG44" s="10">
        <v>123</v>
      </c>
      <c r="AH44" s="10">
        <v>3</v>
      </c>
      <c r="AI44" s="10">
        <v>3</v>
      </c>
      <c r="AJ44" s="10">
        <v>30</v>
      </c>
      <c r="AK44" s="10">
        <v>71</v>
      </c>
      <c r="AL44" s="10" t="s">
        <v>284</v>
      </c>
      <c r="AM44" s="10" t="s">
        <v>285</v>
      </c>
      <c r="AN44" s="10" t="s">
        <v>286</v>
      </c>
      <c r="AO44" s="10" t="s">
        <v>287</v>
      </c>
      <c r="AP44" s="10" t="s">
        <v>288</v>
      </c>
      <c r="AQ44" s="10" t="s">
        <v>74</v>
      </c>
      <c r="AR44" s="10" t="s">
        <v>289</v>
      </c>
      <c r="AS44" s="10" t="s">
        <v>290</v>
      </c>
      <c r="AT44" s="10" t="s">
        <v>99</v>
      </c>
      <c r="AU44" s="10">
        <v>2023</v>
      </c>
      <c r="AV44" s="10">
        <v>80</v>
      </c>
      <c r="AW44" s="10" t="s">
        <v>74</v>
      </c>
      <c r="AX44" s="10" t="s">
        <v>74</v>
      </c>
      <c r="AY44" s="10" t="s">
        <v>74</v>
      </c>
      <c r="AZ44" s="10" t="s">
        <v>74</v>
      </c>
      <c r="BA44" s="10" t="s">
        <v>74</v>
      </c>
      <c r="BB44" s="10">
        <v>130</v>
      </c>
      <c r="BC44" s="10">
        <v>141</v>
      </c>
      <c r="BD44" s="10" t="s">
        <v>74</v>
      </c>
      <c r="BE44" s="10" t="s">
        <v>291</v>
      </c>
      <c r="BF44" s="10">
        <v>0</v>
      </c>
      <c r="BG44" s="10" t="s">
        <v>74</v>
      </c>
      <c r="BH44" s="10" t="s">
        <v>263</v>
      </c>
      <c r="BI44" s="10">
        <v>12</v>
      </c>
      <c r="BJ44" s="10" t="s">
        <v>292</v>
      </c>
      <c r="BK44" s="10" t="s">
        <v>102</v>
      </c>
      <c r="BL44" s="10" t="s">
        <v>292</v>
      </c>
      <c r="BM44" s="10" t="s">
        <v>293</v>
      </c>
      <c r="BN44" s="10">
        <v>37734652</v>
      </c>
      <c r="BO44" s="10" t="s">
        <v>74</v>
      </c>
      <c r="BP44" s="10" t="s">
        <v>74</v>
      </c>
      <c r="BQ44" s="10" t="s">
        <v>74</v>
      </c>
      <c r="BR44" s="10" t="s">
        <v>12946</v>
      </c>
      <c r="BS44" s="10" t="s">
        <v>294</v>
      </c>
      <c r="BT44" s="10">
        <v>0</v>
      </c>
    </row>
    <row r="45" spans="1:72" x14ac:dyDescent="0.25">
      <c r="A45" s="10" t="s">
        <v>72</v>
      </c>
      <c r="B45" s="10" t="s">
        <v>5349</v>
      </c>
      <c r="C45" s="10" t="s">
        <v>74</v>
      </c>
      <c r="D45" s="10" t="s">
        <v>74</v>
      </c>
      <c r="E45" s="10" t="s">
        <v>74</v>
      </c>
      <c r="F45" s="10" t="s">
        <v>5350</v>
      </c>
      <c r="G45" s="10" t="s">
        <v>74</v>
      </c>
      <c r="H45" s="10" t="s">
        <v>74</v>
      </c>
      <c r="I45" s="10" t="s">
        <v>5351</v>
      </c>
      <c r="J45" s="10" t="s">
        <v>2052</v>
      </c>
      <c r="K45" s="10" t="s">
        <v>74</v>
      </c>
      <c r="L45" s="10" t="s">
        <v>74</v>
      </c>
      <c r="M45" s="10" t="s">
        <v>78</v>
      </c>
      <c r="N45" s="10" t="s">
        <v>79</v>
      </c>
      <c r="O45" s="10" t="s">
        <v>74</v>
      </c>
      <c r="P45" s="10" t="s">
        <v>74</v>
      </c>
      <c r="Q45" s="10" t="s">
        <v>74</v>
      </c>
      <c r="R45" s="10" t="s">
        <v>74</v>
      </c>
      <c r="S45" s="10" t="s">
        <v>74</v>
      </c>
      <c r="T45" s="10" t="s">
        <v>5352</v>
      </c>
      <c r="U45" s="10" t="s">
        <v>5353</v>
      </c>
      <c r="V45" s="10" t="s">
        <v>5354</v>
      </c>
      <c r="W45" s="10" t="s">
        <v>5355</v>
      </c>
      <c r="X45" s="10" t="s">
        <v>5356</v>
      </c>
      <c r="Y45" s="10" t="s">
        <v>5357</v>
      </c>
      <c r="Z45" s="10" t="s">
        <v>5358</v>
      </c>
      <c r="AA45" s="10" t="s">
        <v>74</v>
      </c>
      <c r="AB45" s="10" t="s">
        <v>5359</v>
      </c>
      <c r="AC45" s="10" t="s">
        <v>74</v>
      </c>
      <c r="AD45" s="10" t="s">
        <v>74</v>
      </c>
      <c r="AE45" s="10" t="s">
        <v>74</v>
      </c>
      <c r="AF45" s="10" t="s">
        <v>74</v>
      </c>
      <c r="AG45" s="10">
        <v>58</v>
      </c>
      <c r="AH45" s="10">
        <v>3</v>
      </c>
      <c r="AI45" s="10">
        <v>3</v>
      </c>
      <c r="AJ45" s="10">
        <v>0</v>
      </c>
      <c r="AK45" s="10">
        <v>10</v>
      </c>
      <c r="AL45" s="10" t="s">
        <v>202</v>
      </c>
      <c r="AM45" s="10" t="s">
        <v>203</v>
      </c>
      <c r="AN45" s="10" t="s">
        <v>204</v>
      </c>
      <c r="AO45" s="10" t="s">
        <v>74</v>
      </c>
      <c r="AP45" s="10" t="s">
        <v>2065</v>
      </c>
      <c r="AQ45" s="10" t="s">
        <v>74</v>
      </c>
      <c r="AR45" s="10" t="s">
        <v>2066</v>
      </c>
      <c r="AS45" s="10" t="s">
        <v>2067</v>
      </c>
      <c r="AT45" s="10" t="s">
        <v>476</v>
      </c>
      <c r="AU45" s="10">
        <v>2021</v>
      </c>
      <c r="AV45" s="10">
        <v>18</v>
      </c>
      <c r="AW45" s="10">
        <v>24</v>
      </c>
      <c r="AX45" s="10" t="s">
        <v>74</v>
      </c>
      <c r="AY45" s="10" t="s">
        <v>74</v>
      </c>
      <c r="AZ45" s="10" t="s">
        <v>74</v>
      </c>
      <c r="BA45" s="10" t="s">
        <v>74</v>
      </c>
      <c r="BB45" s="10" t="s">
        <v>74</v>
      </c>
      <c r="BC45" s="10" t="s">
        <v>74</v>
      </c>
      <c r="BD45" s="10">
        <v>13354</v>
      </c>
      <c r="BE45" s="10" t="s">
        <v>5360</v>
      </c>
      <c r="BF45" s="10">
        <v>0</v>
      </c>
      <c r="BG45" s="10" t="s">
        <v>74</v>
      </c>
      <c r="BH45" s="10" t="s">
        <v>74</v>
      </c>
      <c r="BI45" s="10">
        <v>19</v>
      </c>
      <c r="BJ45" s="10" t="s">
        <v>2070</v>
      </c>
      <c r="BK45" s="10" t="s">
        <v>211</v>
      </c>
      <c r="BL45" s="10" t="s">
        <v>2071</v>
      </c>
      <c r="BM45" s="10" t="s">
        <v>5361</v>
      </c>
      <c r="BN45" s="10">
        <v>34948960</v>
      </c>
      <c r="BO45" s="10" t="s">
        <v>614</v>
      </c>
      <c r="BP45" s="10" t="s">
        <v>74</v>
      </c>
      <c r="BQ45" s="10" t="s">
        <v>74</v>
      </c>
      <c r="BR45" s="10" t="s">
        <v>12946</v>
      </c>
      <c r="BS45" s="10" t="s">
        <v>5362</v>
      </c>
      <c r="BT45" s="10">
        <v>0</v>
      </c>
    </row>
    <row r="46" spans="1:72" x14ac:dyDescent="0.25">
      <c r="A46" s="10" t="s">
        <v>72</v>
      </c>
      <c r="B46" s="10" t="s">
        <v>6180</v>
      </c>
      <c r="C46" s="10" t="s">
        <v>74</v>
      </c>
      <c r="D46" s="10" t="s">
        <v>74</v>
      </c>
      <c r="E46" s="10" t="s">
        <v>74</v>
      </c>
      <c r="F46" s="10" t="s">
        <v>6181</v>
      </c>
      <c r="G46" s="10" t="s">
        <v>74</v>
      </c>
      <c r="H46" s="10" t="s">
        <v>74</v>
      </c>
      <c r="I46" s="10" t="s">
        <v>6182</v>
      </c>
      <c r="J46" s="10" t="s">
        <v>6183</v>
      </c>
      <c r="K46" s="10" t="s">
        <v>74</v>
      </c>
      <c r="L46" s="10" t="s">
        <v>74</v>
      </c>
      <c r="M46" s="10" t="s">
        <v>78</v>
      </c>
      <c r="N46" s="10" t="s">
        <v>79</v>
      </c>
      <c r="O46" s="10" t="s">
        <v>74</v>
      </c>
      <c r="P46" s="10" t="s">
        <v>74</v>
      </c>
      <c r="Q46" s="10" t="s">
        <v>74</v>
      </c>
      <c r="R46" s="10" t="s">
        <v>74</v>
      </c>
      <c r="S46" s="10" t="s">
        <v>74</v>
      </c>
      <c r="T46" s="10" t="s">
        <v>6184</v>
      </c>
      <c r="U46" s="10" t="s">
        <v>74</v>
      </c>
      <c r="V46" s="10" t="s">
        <v>6185</v>
      </c>
      <c r="W46" s="10" t="s">
        <v>6186</v>
      </c>
      <c r="X46" s="10" t="s">
        <v>6187</v>
      </c>
      <c r="Y46" s="10" t="s">
        <v>6188</v>
      </c>
      <c r="Z46" s="10" t="s">
        <v>6189</v>
      </c>
      <c r="AA46" s="10" t="s">
        <v>13198</v>
      </c>
      <c r="AB46" s="10" t="s">
        <v>13199</v>
      </c>
      <c r="AC46" s="10" t="s">
        <v>74</v>
      </c>
      <c r="AD46" s="10" t="s">
        <v>74</v>
      </c>
      <c r="AE46" s="10" t="s">
        <v>74</v>
      </c>
      <c r="AF46" s="10" t="s">
        <v>74</v>
      </c>
      <c r="AG46" s="10">
        <v>16</v>
      </c>
      <c r="AH46" s="10">
        <v>3</v>
      </c>
      <c r="AI46" s="10">
        <v>3</v>
      </c>
      <c r="AJ46" s="10">
        <v>0</v>
      </c>
      <c r="AK46" s="10">
        <v>2</v>
      </c>
      <c r="AL46" s="10" t="s">
        <v>492</v>
      </c>
      <c r="AM46" s="10" t="s">
        <v>493</v>
      </c>
      <c r="AN46" s="10" t="s">
        <v>494</v>
      </c>
      <c r="AO46" s="10" t="s">
        <v>6192</v>
      </c>
      <c r="AP46" s="10" t="s">
        <v>6193</v>
      </c>
      <c r="AQ46" s="10" t="s">
        <v>74</v>
      </c>
      <c r="AR46" s="10" t="s">
        <v>6194</v>
      </c>
      <c r="AS46" s="10" t="s">
        <v>6195</v>
      </c>
      <c r="AT46" s="10" t="s">
        <v>5681</v>
      </c>
      <c r="AU46" s="10">
        <v>2021</v>
      </c>
      <c r="AV46" s="10">
        <v>17</v>
      </c>
      <c r="AW46" s="10">
        <v>3</v>
      </c>
      <c r="AX46" s="10" t="s">
        <v>74</v>
      </c>
      <c r="AY46" s="10" t="s">
        <v>74</v>
      </c>
      <c r="AZ46" s="10" t="s">
        <v>74</v>
      </c>
      <c r="BA46" s="10" t="s">
        <v>74</v>
      </c>
      <c r="BB46" s="10">
        <v>248</v>
      </c>
      <c r="BC46" s="10">
        <v>256</v>
      </c>
      <c r="BD46" s="10" t="s">
        <v>74</v>
      </c>
      <c r="BE46" s="10" t="s">
        <v>6196</v>
      </c>
      <c r="BF46" s="10">
        <v>0</v>
      </c>
      <c r="BG46" s="10" t="s">
        <v>74</v>
      </c>
      <c r="BH46" s="10" t="s">
        <v>6177</v>
      </c>
      <c r="BI46" s="10">
        <v>9</v>
      </c>
      <c r="BJ46" s="10" t="s">
        <v>6197</v>
      </c>
      <c r="BK46" s="10" t="s">
        <v>156</v>
      </c>
      <c r="BL46" s="10" t="s">
        <v>6198</v>
      </c>
      <c r="BM46" s="10" t="s">
        <v>6199</v>
      </c>
      <c r="BN46" s="10">
        <v>34165030</v>
      </c>
      <c r="BO46" s="10" t="s">
        <v>74</v>
      </c>
      <c r="BP46" s="10" t="s">
        <v>74</v>
      </c>
      <c r="BQ46" s="10" t="s">
        <v>74</v>
      </c>
      <c r="BR46" s="10" t="s">
        <v>12946</v>
      </c>
      <c r="BS46" s="10" t="s">
        <v>6200</v>
      </c>
      <c r="BT46" s="10">
        <v>0</v>
      </c>
    </row>
    <row r="47" spans="1:72" x14ac:dyDescent="0.25">
      <c r="A47" s="10" t="s">
        <v>72</v>
      </c>
      <c r="B47" s="10" t="s">
        <v>6584</v>
      </c>
      <c r="C47" s="10" t="s">
        <v>74</v>
      </c>
      <c r="D47" s="10" t="s">
        <v>74</v>
      </c>
      <c r="E47" s="10" t="s">
        <v>74</v>
      </c>
      <c r="F47" s="10" t="s">
        <v>6585</v>
      </c>
      <c r="G47" s="10" t="s">
        <v>74</v>
      </c>
      <c r="H47" s="10" t="s">
        <v>74</v>
      </c>
      <c r="I47" s="10" t="s">
        <v>6586</v>
      </c>
      <c r="J47" s="10" t="s">
        <v>6587</v>
      </c>
      <c r="K47" s="10" t="s">
        <v>74</v>
      </c>
      <c r="L47" s="10" t="s">
        <v>74</v>
      </c>
      <c r="M47" s="10" t="s">
        <v>78</v>
      </c>
      <c r="N47" s="10" t="s">
        <v>79</v>
      </c>
      <c r="O47" s="10" t="s">
        <v>74</v>
      </c>
      <c r="P47" s="10" t="s">
        <v>74</v>
      </c>
      <c r="Q47" s="10" t="s">
        <v>74</v>
      </c>
      <c r="R47" s="10" t="s">
        <v>74</v>
      </c>
      <c r="S47" s="10" t="s">
        <v>74</v>
      </c>
      <c r="T47" s="10" t="s">
        <v>6588</v>
      </c>
      <c r="U47" s="10" t="s">
        <v>6589</v>
      </c>
      <c r="V47" s="10" t="s">
        <v>6590</v>
      </c>
      <c r="W47" s="10" t="s">
        <v>6591</v>
      </c>
      <c r="X47" s="10" t="s">
        <v>6592</v>
      </c>
      <c r="Y47" s="10" t="s">
        <v>6593</v>
      </c>
      <c r="Z47" s="10" t="s">
        <v>6594</v>
      </c>
      <c r="AA47" s="10" t="s">
        <v>74</v>
      </c>
      <c r="AB47" s="10" t="s">
        <v>13200</v>
      </c>
      <c r="AC47" s="10" t="s">
        <v>74</v>
      </c>
      <c r="AD47" s="10" t="s">
        <v>74</v>
      </c>
      <c r="AE47" s="10" t="s">
        <v>74</v>
      </c>
      <c r="AF47" s="10" t="s">
        <v>74</v>
      </c>
      <c r="AG47" s="10">
        <v>22</v>
      </c>
      <c r="AH47" s="10">
        <v>3</v>
      </c>
      <c r="AI47" s="10">
        <v>4</v>
      </c>
      <c r="AJ47" s="10">
        <v>1</v>
      </c>
      <c r="AK47" s="10">
        <v>2</v>
      </c>
      <c r="AL47" s="10" t="s">
        <v>2128</v>
      </c>
      <c r="AM47" s="10" t="s">
        <v>2129</v>
      </c>
      <c r="AN47" s="10" t="s">
        <v>3823</v>
      </c>
      <c r="AO47" s="10" t="s">
        <v>6596</v>
      </c>
      <c r="AP47" s="10" t="s">
        <v>74</v>
      </c>
      <c r="AQ47" s="10" t="s">
        <v>74</v>
      </c>
      <c r="AR47" s="10" t="s">
        <v>6597</v>
      </c>
      <c r="AS47" s="10" t="s">
        <v>6598</v>
      </c>
      <c r="AT47" s="10" t="s">
        <v>4456</v>
      </c>
      <c r="AU47" s="10">
        <v>2021</v>
      </c>
      <c r="AV47" s="10">
        <v>4</v>
      </c>
      <c r="AW47" s="10">
        <v>2</v>
      </c>
      <c r="AX47" s="10" t="s">
        <v>74</v>
      </c>
      <c r="AY47" s="10" t="s">
        <v>74</v>
      </c>
      <c r="AZ47" s="10" t="s">
        <v>74</v>
      </c>
      <c r="BA47" s="10" t="s">
        <v>74</v>
      </c>
      <c r="BB47" s="10" t="s">
        <v>74</v>
      </c>
      <c r="BC47" s="10" t="s">
        <v>74</v>
      </c>
      <c r="BD47" s="10" t="s">
        <v>6599</v>
      </c>
      <c r="BE47" s="10" t="s">
        <v>6600</v>
      </c>
      <c r="BF47" s="10">
        <v>0</v>
      </c>
      <c r="BG47" s="10" t="s">
        <v>74</v>
      </c>
      <c r="BH47" s="10" t="s">
        <v>74</v>
      </c>
      <c r="BI47" s="10">
        <v>15</v>
      </c>
      <c r="BJ47" s="10" t="s">
        <v>6601</v>
      </c>
      <c r="BK47" s="10" t="s">
        <v>183</v>
      </c>
      <c r="BL47" s="10" t="s">
        <v>6601</v>
      </c>
      <c r="BM47" s="10" t="s">
        <v>6602</v>
      </c>
      <c r="BN47" s="10">
        <v>33904826</v>
      </c>
      <c r="BO47" s="10" t="s">
        <v>614</v>
      </c>
      <c r="BP47" s="10" t="s">
        <v>74</v>
      </c>
      <c r="BQ47" s="10" t="s">
        <v>74</v>
      </c>
      <c r="BR47" s="10" t="s">
        <v>12946</v>
      </c>
      <c r="BS47" s="10" t="s">
        <v>6603</v>
      </c>
      <c r="BT47" s="10">
        <v>0</v>
      </c>
    </row>
    <row r="48" spans="1:72" x14ac:dyDescent="0.25">
      <c r="A48" s="10" t="s">
        <v>72</v>
      </c>
      <c r="B48" s="10" t="s">
        <v>6821</v>
      </c>
      <c r="C48" s="10" t="s">
        <v>74</v>
      </c>
      <c r="D48" s="10" t="s">
        <v>74</v>
      </c>
      <c r="E48" s="10" t="s">
        <v>74</v>
      </c>
      <c r="F48" s="10" t="s">
        <v>6822</v>
      </c>
      <c r="G48" s="10" t="s">
        <v>74</v>
      </c>
      <c r="H48" s="10" t="s">
        <v>6823</v>
      </c>
      <c r="I48" s="10" t="s">
        <v>6824</v>
      </c>
      <c r="J48" s="10" t="s">
        <v>6825</v>
      </c>
      <c r="K48" s="10" t="s">
        <v>74</v>
      </c>
      <c r="L48" s="10" t="s">
        <v>74</v>
      </c>
      <c r="M48" s="10" t="s">
        <v>78</v>
      </c>
      <c r="N48" s="10" t="s">
        <v>79</v>
      </c>
      <c r="O48" s="10" t="s">
        <v>74</v>
      </c>
      <c r="P48" s="10" t="s">
        <v>74</v>
      </c>
      <c r="Q48" s="10" t="s">
        <v>74</v>
      </c>
      <c r="R48" s="10" t="s">
        <v>74</v>
      </c>
      <c r="S48" s="10" t="s">
        <v>74</v>
      </c>
      <c r="T48" s="10" t="s">
        <v>6826</v>
      </c>
      <c r="U48" s="10" t="s">
        <v>6827</v>
      </c>
      <c r="V48" s="10" t="s">
        <v>6828</v>
      </c>
      <c r="W48" s="10" t="s">
        <v>6829</v>
      </c>
      <c r="X48" s="10" t="s">
        <v>6830</v>
      </c>
      <c r="Y48" s="10" t="s">
        <v>6831</v>
      </c>
      <c r="Z48" s="10" t="s">
        <v>4073</v>
      </c>
      <c r="AA48" s="10" t="s">
        <v>13201</v>
      </c>
      <c r="AB48" s="10" t="s">
        <v>13202</v>
      </c>
      <c r="AC48" s="10" t="s">
        <v>74</v>
      </c>
      <c r="AD48" s="10" t="s">
        <v>74</v>
      </c>
      <c r="AE48" s="10" t="s">
        <v>74</v>
      </c>
      <c r="AF48" s="10" t="s">
        <v>74</v>
      </c>
      <c r="AG48" s="10">
        <v>29</v>
      </c>
      <c r="AH48" s="10">
        <v>3</v>
      </c>
      <c r="AI48" s="10">
        <v>3</v>
      </c>
      <c r="AJ48" s="10">
        <v>2</v>
      </c>
      <c r="AK48" s="10">
        <v>17</v>
      </c>
      <c r="AL48" s="10" t="s">
        <v>4079</v>
      </c>
      <c r="AM48" s="10" t="s">
        <v>4080</v>
      </c>
      <c r="AN48" s="10" t="s">
        <v>4081</v>
      </c>
      <c r="AO48" s="10" t="s">
        <v>6834</v>
      </c>
      <c r="AP48" s="10" t="s">
        <v>74</v>
      </c>
      <c r="AQ48" s="10" t="s">
        <v>74</v>
      </c>
      <c r="AR48" s="10" t="s">
        <v>6835</v>
      </c>
      <c r="AS48" s="10" t="s">
        <v>6836</v>
      </c>
      <c r="AT48" s="10" t="s">
        <v>1904</v>
      </c>
      <c r="AU48" s="10">
        <v>2021</v>
      </c>
      <c r="AV48" s="10">
        <v>8</v>
      </c>
      <c r="AW48" s="10">
        <v>2</v>
      </c>
      <c r="AX48" s="10" t="s">
        <v>74</v>
      </c>
      <c r="AY48" s="10" t="s">
        <v>74</v>
      </c>
      <c r="AZ48" s="10" t="s">
        <v>74</v>
      </c>
      <c r="BA48" s="10" t="s">
        <v>74</v>
      </c>
      <c r="BB48" s="10" t="s">
        <v>74</v>
      </c>
      <c r="BC48" s="10" t="s">
        <v>74</v>
      </c>
      <c r="BD48" s="10" t="s">
        <v>6837</v>
      </c>
      <c r="BE48" s="10" t="s">
        <v>6838</v>
      </c>
      <c r="BF48" s="10">
        <v>0</v>
      </c>
      <c r="BG48" s="10" t="s">
        <v>74</v>
      </c>
      <c r="BH48" s="10" t="s">
        <v>6817</v>
      </c>
      <c r="BI48" s="10">
        <v>6</v>
      </c>
      <c r="BJ48" s="10" t="s">
        <v>4091</v>
      </c>
      <c r="BK48" s="10" t="s">
        <v>102</v>
      </c>
      <c r="BL48" s="10" t="s">
        <v>4091</v>
      </c>
      <c r="BM48" s="10" t="s">
        <v>6839</v>
      </c>
      <c r="BN48" s="10" t="s">
        <v>74</v>
      </c>
      <c r="BO48" s="10" t="s">
        <v>422</v>
      </c>
      <c r="BP48" s="10" t="s">
        <v>74</v>
      </c>
      <c r="BQ48" s="10" t="s">
        <v>74</v>
      </c>
      <c r="BR48" s="10" t="s">
        <v>12946</v>
      </c>
      <c r="BS48" s="10" t="s">
        <v>6840</v>
      </c>
      <c r="BT48" s="10">
        <v>0</v>
      </c>
    </row>
    <row r="49" spans="1:72" x14ac:dyDescent="0.25">
      <c r="A49" s="10" t="s">
        <v>72</v>
      </c>
      <c r="B49" s="10" t="s">
        <v>10768</v>
      </c>
      <c r="C49" s="10" t="s">
        <v>74</v>
      </c>
      <c r="D49" s="10" t="s">
        <v>74</v>
      </c>
      <c r="E49" s="10" t="s">
        <v>74</v>
      </c>
      <c r="F49" s="10" t="s">
        <v>10769</v>
      </c>
      <c r="G49" s="10" t="s">
        <v>74</v>
      </c>
      <c r="H49" s="10" t="s">
        <v>74</v>
      </c>
      <c r="I49" s="10" t="s">
        <v>10770</v>
      </c>
      <c r="J49" s="10" t="s">
        <v>10771</v>
      </c>
      <c r="K49" s="10" t="s">
        <v>74</v>
      </c>
      <c r="L49" s="10" t="s">
        <v>74</v>
      </c>
      <c r="M49" s="10" t="s">
        <v>78</v>
      </c>
      <c r="N49" s="10" t="s">
        <v>79</v>
      </c>
      <c r="O49" s="10" t="s">
        <v>74</v>
      </c>
      <c r="P49" s="10" t="s">
        <v>74</v>
      </c>
      <c r="Q49" s="10" t="s">
        <v>74</v>
      </c>
      <c r="R49" s="10" t="s">
        <v>74</v>
      </c>
      <c r="S49" s="10" t="s">
        <v>74</v>
      </c>
      <c r="T49" s="10" t="s">
        <v>10772</v>
      </c>
      <c r="U49" s="10" t="s">
        <v>10773</v>
      </c>
      <c r="V49" s="10" t="s">
        <v>10774</v>
      </c>
      <c r="W49" s="10" t="s">
        <v>10775</v>
      </c>
      <c r="X49" s="10" t="s">
        <v>5409</v>
      </c>
      <c r="Y49" s="10" t="s">
        <v>10776</v>
      </c>
      <c r="Z49" s="10" t="s">
        <v>10777</v>
      </c>
      <c r="AA49" s="10" t="s">
        <v>10778</v>
      </c>
      <c r="AB49" s="10" t="s">
        <v>10779</v>
      </c>
      <c r="AC49" s="10" t="s">
        <v>74</v>
      </c>
      <c r="AD49" s="10" t="s">
        <v>74</v>
      </c>
      <c r="AE49" s="10" t="s">
        <v>74</v>
      </c>
      <c r="AF49" s="10" t="s">
        <v>74</v>
      </c>
      <c r="AG49" s="10">
        <v>43</v>
      </c>
      <c r="AH49" s="10">
        <v>3</v>
      </c>
      <c r="AI49" s="10">
        <v>3</v>
      </c>
      <c r="AJ49" s="10">
        <v>0</v>
      </c>
      <c r="AK49" s="10">
        <v>5</v>
      </c>
      <c r="AL49" s="10" t="s">
        <v>10780</v>
      </c>
      <c r="AM49" s="10" t="s">
        <v>10781</v>
      </c>
      <c r="AN49" s="10" t="s">
        <v>10782</v>
      </c>
      <c r="AO49" s="10" t="s">
        <v>10783</v>
      </c>
      <c r="AP49" s="10" t="s">
        <v>10784</v>
      </c>
      <c r="AQ49" s="10" t="s">
        <v>74</v>
      </c>
      <c r="AR49" s="10" t="s">
        <v>10785</v>
      </c>
      <c r="AS49" s="10" t="s">
        <v>10786</v>
      </c>
      <c r="AT49" s="10" t="s">
        <v>74</v>
      </c>
      <c r="AU49" s="10">
        <v>2017</v>
      </c>
      <c r="AV49" s="10">
        <v>8</v>
      </c>
      <c r="AW49" s="10">
        <v>1</v>
      </c>
      <c r="AX49" s="10" t="s">
        <v>74</v>
      </c>
      <c r="AY49" s="10" t="s">
        <v>74</v>
      </c>
      <c r="AZ49" s="10" t="s">
        <v>74</v>
      </c>
      <c r="BA49" s="10" t="s">
        <v>74</v>
      </c>
      <c r="BB49" s="10">
        <v>111</v>
      </c>
      <c r="BC49" s="10">
        <v>126</v>
      </c>
      <c r="BD49" s="10" t="s">
        <v>74</v>
      </c>
      <c r="BE49" s="10" t="s">
        <v>10787</v>
      </c>
      <c r="BF49" s="10">
        <v>0</v>
      </c>
      <c r="BG49" s="10" t="s">
        <v>74</v>
      </c>
      <c r="BH49" s="10" t="s">
        <v>74</v>
      </c>
      <c r="BI49" s="10">
        <v>16</v>
      </c>
      <c r="BJ49" s="10" t="s">
        <v>5263</v>
      </c>
      <c r="BK49" s="10" t="s">
        <v>183</v>
      </c>
      <c r="BL49" s="10" t="s">
        <v>5263</v>
      </c>
      <c r="BM49" s="10" t="s">
        <v>10788</v>
      </c>
      <c r="BN49" s="10" t="s">
        <v>74</v>
      </c>
      <c r="BO49" s="10" t="s">
        <v>10789</v>
      </c>
      <c r="BP49" s="10" t="s">
        <v>74</v>
      </c>
      <c r="BQ49" s="10" t="s">
        <v>74</v>
      </c>
      <c r="BR49" s="10" t="s">
        <v>12946</v>
      </c>
      <c r="BS49" s="10" t="s">
        <v>10790</v>
      </c>
      <c r="BT49" s="10">
        <v>0</v>
      </c>
    </row>
    <row r="50" spans="1:72" x14ac:dyDescent="0.25">
      <c r="A50" s="10" t="s">
        <v>72</v>
      </c>
      <c r="B50" s="10" t="s">
        <v>11587</v>
      </c>
      <c r="C50" s="10" t="s">
        <v>74</v>
      </c>
      <c r="D50" s="10" t="s">
        <v>74</v>
      </c>
      <c r="E50" s="10" t="s">
        <v>74</v>
      </c>
      <c r="F50" s="10" t="s">
        <v>11588</v>
      </c>
      <c r="G50" s="10" t="s">
        <v>74</v>
      </c>
      <c r="H50" s="10" t="s">
        <v>74</v>
      </c>
      <c r="I50" s="10" t="s">
        <v>11589</v>
      </c>
      <c r="J50" s="10" t="s">
        <v>11590</v>
      </c>
      <c r="K50" s="10" t="s">
        <v>74</v>
      </c>
      <c r="L50" s="10" t="s">
        <v>74</v>
      </c>
      <c r="M50" s="10" t="s">
        <v>78</v>
      </c>
      <c r="N50" s="10" t="s">
        <v>79</v>
      </c>
      <c r="O50" s="10" t="s">
        <v>74</v>
      </c>
      <c r="P50" s="10" t="s">
        <v>74</v>
      </c>
      <c r="Q50" s="10" t="s">
        <v>74</v>
      </c>
      <c r="R50" s="10" t="s">
        <v>74</v>
      </c>
      <c r="S50" s="10" t="s">
        <v>74</v>
      </c>
      <c r="T50" s="10" t="s">
        <v>74</v>
      </c>
      <c r="U50" s="10" t="s">
        <v>11591</v>
      </c>
      <c r="V50" s="10" t="s">
        <v>11592</v>
      </c>
      <c r="W50" s="10" t="s">
        <v>11593</v>
      </c>
      <c r="X50" s="10" t="s">
        <v>8462</v>
      </c>
      <c r="Y50" s="10" t="s">
        <v>11595</v>
      </c>
      <c r="Z50" s="10" t="s">
        <v>11596</v>
      </c>
      <c r="AA50" s="10" t="s">
        <v>11597</v>
      </c>
      <c r="AB50" s="10" t="s">
        <v>11598</v>
      </c>
      <c r="AC50" s="10" t="s">
        <v>74</v>
      </c>
      <c r="AD50" s="10" t="s">
        <v>74</v>
      </c>
      <c r="AE50" s="10" t="s">
        <v>74</v>
      </c>
      <c r="AF50" s="10" t="s">
        <v>74</v>
      </c>
      <c r="AG50" s="10">
        <v>42</v>
      </c>
      <c r="AH50" s="10">
        <v>3</v>
      </c>
      <c r="AI50" s="10">
        <v>3</v>
      </c>
      <c r="AJ50" s="10">
        <v>4</v>
      </c>
      <c r="AK50" s="10">
        <v>16</v>
      </c>
      <c r="AL50" s="10" t="s">
        <v>11599</v>
      </c>
      <c r="AM50" s="10" t="s">
        <v>11600</v>
      </c>
      <c r="AN50" s="10" t="s">
        <v>11601</v>
      </c>
      <c r="AO50" s="10" t="s">
        <v>11602</v>
      </c>
      <c r="AP50" s="10" t="s">
        <v>74</v>
      </c>
      <c r="AQ50" s="10" t="s">
        <v>74</v>
      </c>
      <c r="AR50" s="10" t="s">
        <v>11603</v>
      </c>
      <c r="AS50" s="10" t="s">
        <v>11604</v>
      </c>
      <c r="AT50" s="10" t="s">
        <v>2068</v>
      </c>
      <c r="AU50" s="10">
        <v>2015</v>
      </c>
      <c r="AV50" s="10">
        <v>21</v>
      </c>
      <c r="AW50" s="10">
        <v>1</v>
      </c>
      <c r="AX50" s="10" t="s">
        <v>74</v>
      </c>
      <c r="AY50" s="10" t="s">
        <v>74</v>
      </c>
      <c r="AZ50" s="10" t="s">
        <v>74</v>
      </c>
      <c r="BA50" s="10" t="s">
        <v>74</v>
      </c>
      <c r="BB50" s="10">
        <v>65</v>
      </c>
      <c r="BC50" s="10" t="s">
        <v>11057</v>
      </c>
      <c r="BD50" s="10" t="s">
        <v>74</v>
      </c>
      <c r="BE50" s="10" t="s">
        <v>74</v>
      </c>
      <c r="BF50" s="10" t="s">
        <v>74</v>
      </c>
      <c r="BG50" s="10" t="s">
        <v>74</v>
      </c>
      <c r="BH50" s="10" t="s">
        <v>74</v>
      </c>
      <c r="BI50" s="10">
        <v>14</v>
      </c>
      <c r="BJ50" s="10" t="s">
        <v>11605</v>
      </c>
      <c r="BK50" s="10" t="s">
        <v>211</v>
      </c>
      <c r="BL50" s="10" t="s">
        <v>922</v>
      </c>
      <c r="BM50" s="10" t="s">
        <v>11606</v>
      </c>
      <c r="BN50" s="10">
        <v>25880151</v>
      </c>
      <c r="BO50" s="10" t="s">
        <v>74</v>
      </c>
      <c r="BP50" s="10" t="s">
        <v>74</v>
      </c>
      <c r="BQ50" s="10" t="s">
        <v>74</v>
      </c>
      <c r="BR50" s="10" t="s">
        <v>12946</v>
      </c>
      <c r="BS50" s="10" t="s">
        <v>11607</v>
      </c>
      <c r="BT50" s="10">
        <v>0</v>
      </c>
    </row>
    <row r="51" spans="1:72" x14ac:dyDescent="0.25">
      <c r="A51" s="10" t="s">
        <v>72</v>
      </c>
      <c r="B51" s="10" t="s">
        <v>793</v>
      </c>
      <c r="C51" s="10" t="s">
        <v>74</v>
      </c>
      <c r="D51" s="10" t="s">
        <v>74</v>
      </c>
      <c r="E51" s="10" t="s">
        <v>74</v>
      </c>
      <c r="F51" s="10" t="s">
        <v>794</v>
      </c>
      <c r="G51" s="10" t="s">
        <v>74</v>
      </c>
      <c r="H51" s="10" t="s">
        <v>74</v>
      </c>
      <c r="I51" s="10" t="s">
        <v>795</v>
      </c>
      <c r="J51" s="10" t="s">
        <v>796</v>
      </c>
      <c r="K51" s="10" t="s">
        <v>74</v>
      </c>
      <c r="L51" s="10" t="s">
        <v>74</v>
      </c>
      <c r="M51" s="10" t="s">
        <v>78</v>
      </c>
      <c r="N51" s="10" t="s">
        <v>79</v>
      </c>
      <c r="O51" s="10" t="s">
        <v>74</v>
      </c>
      <c r="P51" s="10" t="s">
        <v>74</v>
      </c>
      <c r="Q51" s="10" t="s">
        <v>74</v>
      </c>
      <c r="R51" s="10" t="s">
        <v>74</v>
      </c>
      <c r="S51" s="10" t="s">
        <v>74</v>
      </c>
      <c r="T51" s="10" t="s">
        <v>797</v>
      </c>
      <c r="U51" s="10" t="s">
        <v>798</v>
      </c>
      <c r="V51" s="10" t="s">
        <v>799</v>
      </c>
      <c r="W51" s="10" t="s">
        <v>800</v>
      </c>
      <c r="X51" s="10" t="s">
        <v>801</v>
      </c>
      <c r="Y51" s="10" t="s">
        <v>802</v>
      </c>
      <c r="Z51" s="10" t="s">
        <v>803</v>
      </c>
      <c r="AA51" s="10" t="s">
        <v>13203</v>
      </c>
      <c r="AB51" s="10" t="s">
        <v>13204</v>
      </c>
      <c r="AC51" s="10" t="s">
        <v>74</v>
      </c>
      <c r="AD51" s="10" t="s">
        <v>74</v>
      </c>
      <c r="AE51" s="10" t="s">
        <v>74</v>
      </c>
      <c r="AF51" s="10" t="s">
        <v>74</v>
      </c>
      <c r="AG51" s="10">
        <v>38</v>
      </c>
      <c r="AH51" s="10">
        <v>2</v>
      </c>
      <c r="AI51" s="10">
        <v>2</v>
      </c>
      <c r="AJ51" s="10">
        <v>1</v>
      </c>
      <c r="AK51" s="10">
        <v>3</v>
      </c>
      <c r="AL51" s="10" t="s">
        <v>805</v>
      </c>
      <c r="AM51" s="10" t="s">
        <v>806</v>
      </c>
      <c r="AN51" s="10" t="s">
        <v>807</v>
      </c>
      <c r="AO51" s="10" t="s">
        <v>808</v>
      </c>
      <c r="AP51" s="10" t="s">
        <v>809</v>
      </c>
      <c r="AQ51" s="10" t="s">
        <v>74</v>
      </c>
      <c r="AR51" s="10" t="s">
        <v>810</v>
      </c>
      <c r="AS51" s="10" t="s">
        <v>811</v>
      </c>
      <c r="AT51" s="10" t="s">
        <v>74</v>
      </c>
      <c r="AU51" s="10">
        <v>2023</v>
      </c>
      <c r="AV51" s="10">
        <v>20</v>
      </c>
      <c r="AW51" s="10">
        <v>5</v>
      </c>
      <c r="AX51" s="10" t="s">
        <v>74</v>
      </c>
      <c r="AY51" s="10" t="s">
        <v>74</v>
      </c>
      <c r="AZ51" s="10" t="s">
        <v>74</v>
      </c>
      <c r="BA51" s="10" t="s">
        <v>74</v>
      </c>
      <c r="BB51" s="10">
        <v>431</v>
      </c>
      <c r="BC51" s="10">
        <v>440</v>
      </c>
      <c r="BD51" s="10" t="s">
        <v>74</v>
      </c>
      <c r="BE51" s="10" t="s">
        <v>813</v>
      </c>
      <c r="BF51" s="10">
        <v>0</v>
      </c>
      <c r="BG51" s="10" t="s">
        <v>74</v>
      </c>
      <c r="BH51" s="10" t="s">
        <v>675</v>
      </c>
      <c r="BI51" s="10">
        <v>10</v>
      </c>
      <c r="BJ51" s="10" t="s">
        <v>814</v>
      </c>
      <c r="BK51" s="10" t="s">
        <v>211</v>
      </c>
      <c r="BL51" s="10" t="s">
        <v>814</v>
      </c>
      <c r="BM51" s="10" t="s">
        <v>13205</v>
      </c>
      <c r="BN51" s="10">
        <v>37407286</v>
      </c>
      <c r="BO51" s="10" t="s">
        <v>105</v>
      </c>
      <c r="BP51" s="10" t="s">
        <v>74</v>
      </c>
      <c r="BQ51" s="10" t="s">
        <v>74</v>
      </c>
      <c r="BR51" s="10" t="s">
        <v>12946</v>
      </c>
      <c r="BS51" s="10" t="s">
        <v>816</v>
      </c>
      <c r="BT51" s="10">
        <v>0</v>
      </c>
    </row>
    <row r="52" spans="1:72" x14ac:dyDescent="0.25">
      <c r="A52" s="10" t="s">
        <v>72</v>
      </c>
      <c r="B52" s="10" t="s">
        <v>1498</v>
      </c>
      <c r="C52" s="10" t="s">
        <v>74</v>
      </c>
      <c r="D52" s="10" t="s">
        <v>74</v>
      </c>
      <c r="E52" s="10" t="s">
        <v>74</v>
      </c>
      <c r="F52" s="10" t="s">
        <v>1499</v>
      </c>
      <c r="G52" s="10" t="s">
        <v>74</v>
      </c>
      <c r="H52" s="10" t="s">
        <v>74</v>
      </c>
      <c r="I52" s="10" t="s">
        <v>1500</v>
      </c>
      <c r="J52" s="10" t="s">
        <v>1501</v>
      </c>
      <c r="K52" s="10" t="s">
        <v>74</v>
      </c>
      <c r="L52" s="10" t="s">
        <v>74</v>
      </c>
      <c r="M52" s="10" t="s">
        <v>78</v>
      </c>
      <c r="N52" s="10" t="s">
        <v>79</v>
      </c>
      <c r="O52" s="10" t="s">
        <v>74</v>
      </c>
      <c r="P52" s="10" t="s">
        <v>74</v>
      </c>
      <c r="Q52" s="10" t="s">
        <v>74</v>
      </c>
      <c r="R52" s="10" t="s">
        <v>74</v>
      </c>
      <c r="S52" s="10" t="s">
        <v>74</v>
      </c>
      <c r="T52" s="10" t="s">
        <v>1502</v>
      </c>
      <c r="U52" s="10" t="s">
        <v>1503</v>
      </c>
      <c r="V52" s="10" t="s">
        <v>1504</v>
      </c>
      <c r="W52" s="10" t="s">
        <v>1505</v>
      </c>
      <c r="X52" s="10" t="s">
        <v>1506</v>
      </c>
      <c r="Y52" s="10" t="s">
        <v>1507</v>
      </c>
      <c r="Z52" s="10" t="s">
        <v>1508</v>
      </c>
      <c r="AA52" s="10" t="s">
        <v>13206</v>
      </c>
      <c r="AB52" s="10" t="s">
        <v>13207</v>
      </c>
      <c r="AC52" s="10" t="s">
        <v>1510</v>
      </c>
      <c r="AD52" s="10" t="s">
        <v>1510</v>
      </c>
      <c r="AE52" s="10" t="s">
        <v>1511</v>
      </c>
      <c r="AF52" s="10" t="s">
        <v>74</v>
      </c>
      <c r="AG52" s="10">
        <v>49</v>
      </c>
      <c r="AH52" s="10">
        <v>2</v>
      </c>
      <c r="AI52" s="10">
        <v>2</v>
      </c>
      <c r="AJ52" s="10">
        <v>0</v>
      </c>
      <c r="AK52" s="10">
        <v>2</v>
      </c>
      <c r="AL52" s="10" t="s">
        <v>174</v>
      </c>
      <c r="AM52" s="10" t="s">
        <v>175</v>
      </c>
      <c r="AN52" s="10" t="s">
        <v>176</v>
      </c>
      <c r="AO52" s="10" t="s">
        <v>74</v>
      </c>
      <c r="AP52" s="10" t="s">
        <v>1512</v>
      </c>
      <c r="AQ52" s="10" t="s">
        <v>74</v>
      </c>
      <c r="AR52" s="10" t="s">
        <v>1513</v>
      </c>
      <c r="AS52" s="10" t="s">
        <v>1514</v>
      </c>
      <c r="AT52" s="10" t="s">
        <v>1515</v>
      </c>
      <c r="AU52" s="10">
        <v>2023</v>
      </c>
      <c r="AV52" s="10">
        <v>20</v>
      </c>
      <c r="AW52" s="10">
        <v>1</v>
      </c>
      <c r="AX52" s="10" t="s">
        <v>74</v>
      </c>
      <c r="AY52" s="10" t="s">
        <v>74</v>
      </c>
      <c r="AZ52" s="10" t="s">
        <v>74</v>
      </c>
      <c r="BA52" s="10" t="s">
        <v>74</v>
      </c>
      <c r="BB52" s="10" t="s">
        <v>74</v>
      </c>
      <c r="BC52" s="10" t="s">
        <v>74</v>
      </c>
      <c r="BD52" s="10">
        <v>40</v>
      </c>
      <c r="BE52" s="10" t="s">
        <v>1516</v>
      </c>
      <c r="BF52" s="10">
        <v>0</v>
      </c>
      <c r="BG52" s="10" t="s">
        <v>74</v>
      </c>
      <c r="BH52" s="10" t="s">
        <v>74</v>
      </c>
      <c r="BI52" s="10">
        <v>10</v>
      </c>
      <c r="BJ52" s="10" t="s">
        <v>1517</v>
      </c>
      <c r="BK52" s="10" t="s">
        <v>156</v>
      </c>
      <c r="BL52" s="10" t="s">
        <v>1517</v>
      </c>
      <c r="BM52" s="10" t="s">
        <v>1518</v>
      </c>
      <c r="BN52" s="10">
        <v>36967388</v>
      </c>
      <c r="BO52" s="10" t="s">
        <v>614</v>
      </c>
      <c r="BP52" s="10" t="s">
        <v>74</v>
      </c>
      <c r="BQ52" s="10" t="s">
        <v>74</v>
      </c>
      <c r="BR52" s="10" t="s">
        <v>12946</v>
      </c>
      <c r="BS52" s="10" t="s">
        <v>1519</v>
      </c>
      <c r="BT52" s="10">
        <v>0</v>
      </c>
    </row>
    <row r="53" spans="1:72" x14ac:dyDescent="0.25">
      <c r="A53" s="10" t="s">
        <v>72</v>
      </c>
      <c r="B53" s="10" t="s">
        <v>1587</v>
      </c>
      <c r="C53" s="10" t="s">
        <v>74</v>
      </c>
      <c r="D53" s="10" t="s">
        <v>74</v>
      </c>
      <c r="E53" s="10" t="s">
        <v>74</v>
      </c>
      <c r="F53" s="10" t="s">
        <v>1588</v>
      </c>
      <c r="G53" s="10" t="s">
        <v>74</v>
      </c>
      <c r="H53" s="10" t="s">
        <v>74</v>
      </c>
      <c r="I53" s="10" t="s">
        <v>1589</v>
      </c>
      <c r="J53" s="10" t="s">
        <v>1590</v>
      </c>
      <c r="K53" s="10" t="s">
        <v>74</v>
      </c>
      <c r="L53" s="10" t="s">
        <v>74</v>
      </c>
      <c r="M53" s="10" t="s">
        <v>78</v>
      </c>
      <c r="N53" s="10" t="s">
        <v>79</v>
      </c>
      <c r="O53" s="10" t="s">
        <v>74</v>
      </c>
      <c r="P53" s="10" t="s">
        <v>74</v>
      </c>
      <c r="Q53" s="10" t="s">
        <v>74</v>
      </c>
      <c r="R53" s="10" t="s">
        <v>74</v>
      </c>
      <c r="S53" s="10" t="s">
        <v>74</v>
      </c>
      <c r="T53" s="10" t="s">
        <v>1591</v>
      </c>
      <c r="U53" s="10" t="s">
        <v>1592</v>
      </c>
      <c r="V53" s="10" t="s">
        <v>1593</v>
      </c>
      <c r="W53" s="10" t="s">
        <v>1594</v>
      </c>
      <c r="X53" s="10" t="s">
        <v>1595</v>
      </c>
      <c r="Y53" s="10" t="s">
        <v>1596</v>
      </c>
      <c r="Z53" s="10" t="s">
        <v>1597</v>
      </c>
      <c r="AA53" s="10" t="s">
        <v>74</v>
      </c>
      <c r="AB53" s="10" t="s">
        <v>74</v>
      </c>
      <c r="AC53" s="10" t="s">
        <v>74</v>
      </c>
      <c r="AD53" s="10" t="s">
        <v>74</v>
      </c>
      <c r="AE53" s="10" t="s">
        <v>74</v>
      </c>
      <c r="AF53" s="10" t="s">
        <v>74</v>
      </c>
      <c r="AG53" s="10">
        <v>54</v>
      </c>
      <c r="AH53" s="10">
        <v>2</v>
      </c>
      <c r="AI53" s="10">
        <v>2</v>
      </c>
      <c r="AJ53" s="10">
        <v>3</v>
      </c>
      <c r="AK53" s="10">
        <v>35</v>
      </c>
      <c r="AL53" s="10" t="s">
        <v>231</v>
      </c>
      <c r="AM53" s="10" t="s">
        <v>232</v>
      </c>
      <c r="AN53" s="10" t="s">
        <v>233</v>
      </c>
      <c r="AO53" s="10" t="s">
        <v>1598</v>
      </c>
      <c r="AP53" s="10" t="s">
        <v>1599</v>
      </c>
      <c r="AQ53" s="10" t="s">
        <v>74</v>
      </c>
      <c r="AR53" s="10" t="s">
        <v>1590</v>
      </c>
      <c r="AS53" s="10" t="s">
        <v>1600</v>
      </c>
      <c r="AT53" s="10" t="s">
        <v>1138</v>
      </c>
      <c r="AU53" s="10">
        <v>2023</v>
      </c>
      <c r="AV53" s="10">
        <v>45</v>
      </c>
      <c r="AW53" s="10" t="s">
        <v>74</v>
      </c>
      <c r="AX53" s="10" t="s">
        <v>74</v>
      </c>
      <c r="AY53" s="10" t="s">
        <v>74</v>
      </c>
      <c r="AZ53" s="10" t="s">
        <v>74</v>
      </c>
      <c r="BA53" s="10" t="s">
        <v>74</v>
      </c>
      <c r="BB53" s="10">
        <v>201</v>
      </c>
      <c r="BC53" s="10">
        <v>209</v>
      </c>
      <c r="BD53" s="10" t="s">
        <v>74</v>
      </c>
      <c r="BE53" s="10" t="s">
        <v>1601</v>
      </c>
      <c r="BF53" s="10">
        <v>0</v>
      </c>
      <c r="BG53" s="10" t="s">
        <v>74</v>
      </c>
      <c r="BH53" s="10" t="s">
        <v>1476</v>
      </c>
      <c r="BI53" s="10">
        <v>9</v>
      </c>
      <c r="BJ53" s="10" t="s">
        <v>1602</v>
      </c>
      <c r="BK53" s="10" t="s">
        <v>156</v>
      </c>
      <c r="BL53" s="10" t="s">
        <v>1603</v>
      </c>
      <c r="BM53" s="10" t="s">
        <v>1604</v>
      </c>
      <c r="BN53" s="10">
        <v>36958174</v>
      </c>
      <c r="BO53" s="10" t="s">
        <v>74</v>
      </c>
      <c r="BP53" s="10" t="s">
        <v>74</v>
      </c>
      <c r="BQ53" s="10" t="s">
        <v>74</v>
      </c>
      <c r="BR53" s="10" t="s">
        <v>12946</v>
      </c>
      <c r="BS53" s="10" t="s">
        <v>1605</v>
      </c>
      <c r="BT53" s="10">
        <v>0</v>
      </c>
    </row>
    <row r="54" spans="1:72" x14ac:dyDescent="0.25">
      <c r="A54" s="10" t="s">
        <v>72</v>
      </c>
      <c r="B54" s="10" t="s">
        <v>2049</v>
      </c>
      <c r="C54" s="10" t="s">
        <v>74</v>
      </c>
      <c r="D54" s="10" t="s">
        <v>74</v>
      </c>
      <c r="E54" s="10" t="s">
        <v>74</v>
      </c>
      <c r="F54" s="10" t="s">
        <v>2050</v>
      </c>
      <c r="G54" s="10" t="s">
        <v>74</v>
      </c>
      <c r="H54" s="10" t="s">
        <v>74</v>
      </c>
      <c r="I54" s="10" t="s">
        <v>2051</v>
      </c>
      <c r="J54" s="10" t="s">
        <v>2052</v>
      </c>
      <c r="K54" s="10" t="s">
        <v>74</v>
      </c>
      <c r="L54" s="10" t="s">
        <v>74</v>
      </c>
      <c r="M54" s="10" t="s">
        <v>78</v>
      </c>
      <c r="N54" s="10" t="s">
        <v>79</v>
      </c>
      <c r="O54" s="10" t="s">
        <v>74</v>
      </c>
      <c r="P54" s="10" t="s">
        <v>74</v>
      </c>
      <c r="Q54" s="10" t="s">
        <v>74</v>
      </c>
      <c r="R54" s="10" t="s">
        <v>74</v>
      </c>
      <c r="S54" s="10" t="s">
        <v>74</v>
      </c>
      <c r="T54" s="10" t="s">
        <v>2053</v>
      </c>
      <c r="U54" s="10" t="s">
        <v>2054</v>
      </c>
      <c r="V54" s="10" t="s">
        <v>2055</v>
      </c>
      <c r="W54" s="10" t="s">
        <v>2056</v>
      </c>
      <c r="X54" s="10" t="s">
        <v>2057</v>
      </c>
      <c r="Y54" s="10" t="s">
        <v>2058</v>
      </c>
      <c r="Z54" s="10" t="s">
        <v>2059</v>
      </c>
      <c r="AA54" s="10" t="s">
        <v>13208</v>
      </c>
      <c r="AB54" s="10" t="s">
        <v>13209</v>
      </c>
      <c r="AC54" s="10" t="s">
        <v>2062</v>
      </c>
      <c r="AD54" s="10" t="s">
        <v>2063</v>
      </c>
      <c r="AE54" s="10" t="s">
        <v>2064</v>
      </c>
      <c r="AF54" s="10" t="s">
        <v>74</v>
      </c>
      <c r="AG54" s="10">
        <v>42</v>
      </c>
      <c r="AH54" s="10">
        <v>2</v>
      </c>
      <c r="AI54" s="10">
        <v>2</v>
      </c>
      <c r="AJ54" s="10">
        <v>0</v>
      </c>
      <c r="AK54" s="10">
        <v>6</v>
      </c>
      <c r="AL54" s="10" t="s">
        <v>202</v>
      </c>
      <c r="AM54" s="10" t="s">
        <v>203</v>
      </c>
      <c r="AN54" s="10" t="s">
        <v>204</v>
      </c>
      <c r="AO54" s="10" t="s">
        <v>74</v>
      </c>
      <c r="AP54" s="10" t="s">
        <v>2065</v>
      </c>
      <c r="AQ54" s="10" t="s">
        <v>74</v>
      </c>
      <c r="AR54" s="10" t="s">
        <v>2066</v>
      </c>
      <c r="AS54" s="10" t="s">
        <v>2067</v>
      </c>
      <c r="AT54" s="10" t="s">
        <v>2068</v>
      </c>
      <c r="AU54" s="10">
        <v>2023</v>
      </c>
      <c r="AV54" s="10">
        <v>20</v>
      </c>
      <c r="AW54" s="10">
        <v>2</v>
      </c>
      <c r="AX54" s="10" t="s">
        <v>74</v>
      </c>
      <c r="AY54" s="10" t="s">
        <v>74</v>
      </c>
      <c r="AZ54" s="10" t="s">
        <v>74</v>
      </c>
      <c r="BA54" s="10" t="s">
        <v>74</v>
      </c>
      <c r="BB54" s="10" t="s">
        <v>74</v>
      </c>
      <c r="BC54" s="10" t="s">
        <v>74</v>
      </c>
      <c r="BD54" s="10">
        <v>1329</v>
      </c>
      <c r="BE54" s="10" t="s">
        <v>2069</v>
      </c>
      <c r="BF54" s="10">
        <v>0</v>
      </c>
      <c r="BG54" s="10" t="s">
        <v>74</v>
      </c>
      <c r="BH54" s="10" t="s">
        <v>74</v>
      </c>
      <c r="BI54" s="10">
        <v>12</v>
      </c>
      <c r="BJ54" s="10" t="s">
        <v>2070</v>
      </c>
      <c r="BK54" s="10" t="s">
        <v>211</v>
      </c>
      <c r="BL54" s="10" t="s">
        <v>2071</v>
      </c>
      <c r="BM54" s="10" t="s">
        <v>2072</v>
      </c>
      <c r="BN54" s="10">
        <v>36674084</v>
      </c>
      <c r="BO54" s="10" t="s">
        <v>614</v>
      </c>
      <c r="BP54" s="10" t="s">
        <v>74</v>
      </c>
      <c r="BQ54" s="10" t="s">
        <v>74</v>
      </c>
      <c r="BR54" s="10" t="s">
        <v>12946</v>
      </c>
      <c r="BS54" s="10" t="s">
        <v>2073</v>
      </c>
      <c r="BT54" s="10">
        <v>0</v>
      </c>
    </row>
    <row r="55" spans="1:72" x14ac:dyDescent="0.25">
      <c r="A55" s="10" t="s">
        <v>72</v>
      </c>
      <c r="B55" s="10" t="s">
        <v>2625</v>
      </c>
      <c r="C55" s="10" t="s">
        <v>74</v>
      </c>
      <c r="D55" s="10" t="s">
        <v>74</v>
      </c>
      <c r="E55" s="10" t="s">
        <v>74</v>
      </c>
      <c r="F55" s="10" t="s">
        <v>2626</v>
      </c>
      <c r="G55" s="10" t="s">
        <v>74</v>
      </c>
      <c r="H55" s="10" t="s">
        <v>74</v>
      </c>
      <c r="I55" s="10" t="s">
        <v>2627</v>
      </c>
      <c r="J55" s="10" t="s">
        <v>2628</v>
      </c>
      <c r="K55" s="10" t="s">
        <v>74</v>
      </c>
      <c r="L55" s="10" t="s">
        <v>74</v>
      </c>
      <c r="M55" s="10" t="s">
        <v>78</v>
      </c>
      <c r="N55" s="10" t="s">
        <v>79</v>
      </c>
      <c r="O55" s="10" t="s">
        <v>74</v>
      </c>
      <c r="P55" s="10" t="s">
        <v>74</v>
      </c>
      <c r="Q55" s="10" t="s">
        <v>74</v>
      </c>
      <c r="R55" s="10" t="s">
        <v>74</v>
      </c>
      <c r="S55" s="10" t="s">
        <v>74</v>
      </c>
      <c r="T55" s="10" t="s">
        <v>74</v>
      </c>
      <c r="U55" s="10" t="s">
        <v>2629</v>
      </c>
      <c r="V55" s="10" t="s">
        <v>2630</v>
      </c>
      <c r="W55" s="10" t="s">
        <v>2631</v>
      </c>
      <c r="X55" s="10" t="s">
        <v>2632</v>
      </c>
      <c r="Y55" s="10" t="s">
        <v>2633</v>
      </c>
      <c r="Z55" s="10" t="s">
        <v>2634</v>
      </c>
      <c r="AA55" s="10" t="s">
        <v>2635</v>
      </c>
      <c r="AB55" s="10" t="s">
        <v>13210</v>
      </c>
      <c r="AC55" s="10" t="s">
        <v>2637</v>
      </c>
      <c r="AD55" s="10" t="s">
        <v>2637</v>
      </c>
      <c r="AE55" s="10" t="s">
        <v>2638</v>
      </c>
      <c r="AF55" s="10" t="s">
        <v>74</v>
      </c>
      <c r="AG55" s="10">
        <v>25</v>
      </c>
      <c r="AH55" s="10">
        <v>2</v>
      </c>
      <c r="AI55" s="10">
        <v>2</v>
      </c>
      <c r="AJ55" s="10">
        <v>0</v>
      </c>
      <c r="AK55" s="10">
        <v>2</v>
      </c>
      <c r="AL55" s="10" t="s">
        <v>2639</v>
      </c>
      <c r="AM55" s="10" t="s">
        <v>2640</v>
      </c>
      <c r="AN55" s="10" t="s">
        <v>2641</v>
      </c>
      <c r="AO55" s="10" t="s">
        <v>2642</v>
      </c>
      <c r="AP55" s="10" t="s">
        <v>74</v>
      </c>
      <c r="AQ55" s="10" t="s">
        <v>74</v>
      </c>
      <c r="AR55" s="10" t="s">
        <v>2628</v>
      </c>
      <c r="AS55" s="10" t="s">
        <v>2643</v>
      </c>
      <c r="AT55" s="10" t="s">
        <v>2644</v>
      </c>
      <c r="AU55" s="10">
        <v>2022</v>
      </c>
      <c r="AV55" s="10">
        <v>17</v>
      </c>
      <c r="AW55" s="10">
        <v>11</v>
      </c>
      <c r="AX55" s="10" t="s">
        <v>74</v>
      </c>
      <c r="AY55" s="10" t="s">
        <v>74</v>
      </c>
      <c r="AZ55" s="10" t="s">
        <v>74</v>
      </c>
      <c r="BA55" s="10" t="s">
        <v>74</v>
      </c>
      <c r="BB55" s="10" t="s">
        <v>74</v>
      </c>
      <c r="BC55" s="10" t="s">
        <v>74</v>
      </c>
      <c r="BD55" s="10" t="s">
        <v>2645</v>
      </c>
      <c r="BE55" s="10" t="s">
        <v>2646</v>
      </c>
      <c r="BF55" s="10">
        <v>0</v>
      </c>
      <c r="BG55" s="10" t="s">
        <v>74</v>
      </c>
      <c r="BH55" s="10" t="s">
        <v>74</v>
      </c>
      <c r="BI55" s="10">
        <v>14</v>
      </c>
      <c r="BJ55" s="10" t="s">
        <v>700</v>
      </c>
      <c r="BK55" s="10" t="s">
        <v>102</v>
      </c>
      <c r="BL55" s="10" t="s">
        <v>701</v>
      </c>
      <c r="BM55" s="10" t="s">
        <v>2647</v>
      </c>
      <c r="BN55" s="10">
        <v>36395257</v>
      </c>
      <c r="BO55" s="10" t="s">
        <v>422</v>
      </c>
      <c r="BP55" s="10" t="s">
        <v>74</v>
      </c>
      <c r="BQ55" s="10" t="s">
        <v>74</v>
      </c>
      <c r="BR55" s="10" t="s">
        <v>12946</v>
      </c>
      <c r="BS55" s="10" t="s">
        <v>2648</v>
      </c>
      <c r="BT55" s="10">
        <v>0</v>
      </c>
    </row>
    <row r="56" spans="1:72" x14ac:dyDescent="0.25">
      <c r="A56" s="10" t="s">
        <v>72</v>
      </c>
      <c r="B56" s="10" t="s">
        <v>3199</v>
      </c>
      <c r="C56" s="10" t="s">
        <v>74</v>
      </c>
      <c r="D56" s="10" t="s">
        <v>74</v>
      </c>
      <c r="E56" s="10" t="s">
        <v>74</v>
      </c>
      <c r="F56" s="10" t="s">
        <v>3200</v>
      </c>
      <c r="G56" s="10" t="s">
        <v>74</v>
      </c>
      <c r="H56" s="10" t="s">
        <v>74</v>
      </c>
      <c r="I56" s="10" t="s">
        <v>3201</v>
      </c>
      <c r="J56" s="10" t="s">
        <v>3202</v>
      </c>
      <c r="K56" s="10" t="s">
        <v>74</v>
      </c>
      <c r="L56" s="10" t="s">
        <v>74</v>
      </c>
      <c r="M56" s="10" t="s">
        <v>78</v>
      </c>
      <c r="N56" s="10" t="s">
        <v>79</v>
      </c>
      <c r="O56" s="10" t="s">
        <v>74</v>
      </c>
      <c r="P56" s="10" t="s">
        <v>74</v>
      </c>
      <c r="Q56" s="10" t="s">
        <v>74</v>
      </c>
      <c r="R56" s="10" t="s">
        <v>74</v>
      </c>
      <c r="S56" s="10" t="s">
        <v>74</v>
      </c>
      <c r="T56" s="10" t="s">
        <v>3203</v>
      </c>
      <c r="U56" s="10" t="s">
        <v>3204</v>
      </c>
      <c r="V56" s="10" t="s">
        <v>3205</v>
      </c>
      <c r="W56" s="10" t="s">
        <v>3206</v>
      </c>
      <c r="X56" s="10" t="s">
        <v>3207</v>
      </c>
      <c r="Y56" s="10" t="s">
        <v>3208</v>
      </c>
      <c r="Z56" s="10" t="s">
        <v>3209</v>
      </c>
      <c r="AA56" s="10" t="s">
        <v>13211</v>
      </c>
      <c r="AB56" s="10" t="s">
        <v>13212</v>
      </c>
      <c r="AC56" s="10" t="s">
        <v>13213</v>
      </c>
      <c r="AD56" s="10" t="s">
        <v>13214</v>
      </c>
      <c r="AE56" s="10" t="s">
        <v>3214</v>
      </c>
      <c r="AF56" s="10" t="s">
        <v>74</v>
      </c>
      <c r="AG56" s="10">
        <v>37</v>
      </c>
      <c r="AH56" s="10">
        <v>2</v>
      </c>
      <c r="AI56" s="10">
        <v>2</v>
      </c>
      <c r="AJ56" s="10">
        <v>0</v>
      </c>
      <c r="AK56" s="10">
        <v>2</v>
      </c>
      <c r="AL56" s="10" t="s">
        <v>174</v>
      </c>
      <c r="AM56" s="10" t="s">
        <v>175</v>
      </c>
      <c r="AN56" s="10" t="s">
        <v>176</v>
      </c>
      <c r="AO56" s="10" t="s">
        <v>74</v>
      </c>
      <c r="AP56" s="10" t="s">
        <v>3215</v>
      </c>
      <c r="AQ56" s="10" t="s">
        <v>74</v>
      </c>
      <c r="AR56" s="10" t="s">
        <v>3202</v>
      </c>
      <c r="AS56" s="10" t="s">
        <v>3216</v>
      </c>
      <c r="AT56" s="10" t="s">
        <v>3217</v>
      </c>
      <c r="AU56" s="10">
        <v>2022</v>
      </c>
      <c r="AV56" s="10">
        <v>23</v>
      </c>
      <c r="AW56" s="10">
        <v>1</v>
      </c>
      <c r="AX56" s="10" t="s">
        <v>74</v>
      </c>
      <c r="AY56" s="10" t="s">
        <v>74</v>
      </c>
      <c r="AZ56" s="10" t="s">
        <v>74</v>
      </c>
      <c r="BA56" s="10" t="s">
        <v>74</v>
      </c>
      <c r="BB56" s="10" t="s">
        <v>74</v>
      </c>
      <c r="BC56" s="10" t="s">
        <v>74</v>
      </c>
      <c r="BD56" s="10">
        <v>761</v>
      </c>
      <c r="BE56" s="10" t="s">
        <v>3218</v>
      </c>
      <c r="BF56" s="10">
        <v>0</v>
      </c>
      <c r="BG56" s="10" t="s">
        <v>74</v>
      </c>
      <c r="BH56" s="10" t="s">
        <v>74</v>
      </c>
      <c r="BI56" s="10">
        <v>12</v>
      </c>
      <c r="BJ56" s="10" t="s">
        <v>182</v>
      </c>
      <c r="BK56" s="10" t="s">
        <v>102</v>
      </c>
      <c r="BL56" s="10" t="s">
        <v>184</v>
      </c>
      <c r="BM56" s="10" t="s">
        <v>3219</v>
      </c>
      <c r="BN56" s="10">
        <v>36071463</v>
      </c>
      <c r="BO56" s="10" t="s">
        <v>614</v>
      </c>
      <c r="BP56" s="10" t="s">
        <v>74</v>
      </c>
      <c r="BQ56" s="10" t="s">
        <v>74</v>
      </c>
      <c r="BR56" s="10" t="s">
        <v>12946</v>
      </c>
      <c r="BS56" s="10" t="s">
        <v>3220</v>
      </c>
      <c r="BT56" s="10">
        <v>0</v>
      </c>
    </row>
    <row r="57" spans="1:72" x14ac:dyDescent="0.25">
      <c r="A57" s="10" t="s">
        <v>72</v>
      </c>
      <c r="B57" s="10" t="s">
        <v>3628</v>
      </c>
      <c r="C57" s="10" t="s">
        <v>74</v>
      </c>
      <c r="D57" s="10" t="s">
        <v>74</v>
      </c>
      <c r="E57" s="10" t="s">
        <v>74</v>
      </c>
      <c r="F57" s="10" t="s">
        <v>3629</v>
      </c>
      <c r="G57" s="10" t="s">
        <v>74</v>
      </c>
      <c r="H57" s="10" t="s">
        <v>74</v>
      </c>
      <c r="I57" s="10" t="s">
        <v>3630</v>
      </c>
      <c r="J57" s="10" t="s">
        <v>3631</v>
      </c>
      <c r="K57" s="10" t="s">
        <v>74</v>
      </c>
      <c r="L57" s="10" t="s">
        <v>74</v>
      </c>
      <c r="M57" s="10" t="s">
        <v>78</v>
      </c>
      <c r="N57" s="10" t="s">
        <v>79</v>
      </c>
      <c r="O57" s="10" t="s">
        <v>74</v>
      </c>
      <c r="P57" s="10" t="s">
        <v>74</v>
      </c>
      <c r="Q57" s="10" t="s">
        <v>74</v>
      </c>
      <c r="R57" s="10" t="s">
        <v>74</v>
      </c>
      <c r="S57" s="10" t="s">
        <v>74</v>
      </c>
      <c r="T57" s="10" t="s">
        <v>3632</v>
      </c>
      <c r="U57" s="10" t="s">
        <v>3633</v>
      </c>
      <c r="V57" s="10" t="s">
        <v>3634</v>
      </c>
      <c r="W57" s="10" t="s">
        <v>3635</v>
      </c>
      <c r="X57" s="10" t="s">
        <v>3636</v>
      </c>
      <c r="Y57" s="10" t="s">
        <v>3637</v>
      </c>
      <c r="Z57" s="10" t="s">
        <v>3638</v>
      </c>
      <c r="AA57" s="10" t="s">
        <v>74</v>
      </c>
      <c r="AB57" s="10" t="s">
        <v>74</v>
      </c>
      <c r="AC57" s="10" t="s">
        <v>74</v>
      </c>
      <c r="AD57" s="10" t="s">
        <v>74</v>
      </c>
      <c r="AE57" s="10" t="s">
        <v>74</v>
      </c>
      <c r="AF57" s="10" t="s">
        <v>74</v>
      </c>
      <c r="AG57" s="10">
        <v>82</v>
      </c>
      <c r="AH57" s="10">
        <v>2</v>
      </c>
      <c r="AI57" s="10">
        <v>2</v>
      </c>
      <c r="AJ57" s="10">
        <v>2</v>
      </c>
      <c r="AK57" s="10">
        <v>3</v>
      </c>
      <c r="AL57" s="10" t="s">
        <v>1382</v>
      </c>
      <c r="AM57" s="10" t="s">
        <v>1383</v>
      </c>
      <c r="AN57" s="10" t="s">
        <v>1384</v>
      </c>
      <c r="AO57" s="10" t="s">
        <v>74</v>
      </c>
      <c r="AP57" s="10" t="s">
        <v>3639</v>
      </c>
      <c r="AQ57" s="10" t="s">
        <v>74</v>
      </c>
      <c r="AR57" s="10" t="s">
        <v>3640</v>
      </c>
      <c r="AS57" s="10" t="s">
        <v>3641</v>
      </c>
      <c r="AT57" s="10" t="s">
        <v>3642</v>
      </c>
      <c r="AU57" s="10">
        <v>2022</v>
      </c>
      <c r="AV57" s="10">
        <v>3</v>
      </c>
      <c r="AW57" s="10" t="s">
        <v>74</v>
      </c>
      <c r="AX57" s="10" t="s">
        <v>74</v>
      </c>
      <c r="AY57" s="10" t="s">
        <v>74</v>
      </c>
      <c r="AZ57" s="10" t="s">
        <v>74</v>
      </c>
      <c r="BA57" s="10" t="s">
        <v>74</v>
      </c>
      <c r="BB57" s="10" t="s">
        <v>74</v>
      </c>
      <c r="BC57" s="10" t="s">
        <v>74</v>
      </c>
      <c r="BD57" s="10">
        <v>942822</v>
      </c>
      <c r="BE57" s="10" t="s">
        <v>3643</v>
      </c>
      <c r="BF57" s="10">
        <v>0</v>
      </c>
      <c r="BG57" s="10" t="s">
        <v>74</v>
      </c>
      <c r="BH57" s="10" t="s">
        <v>74</v>
      </c>
      <c r="BI57" s="10">
        <v>19</v>
      </c>
      <c r="BJ57" s="10" t="s">
        <v>3644</v>
      </c>
      <c r="BK57" s="10" t="s">
        <v>183</v>
      </c>
      <c r="BL57" s="10" t="s">
        <v>3644</v>
      </c>
      <c r="BM57" s="10" t="s">
        <v>3645</v>
      </c>
      <c r="BN57" s="10">
        <v>36188996</v>
      </c>
      <c r="BO57" s="10" t="s">
        <v>422</v>
      </c>
      <c r="BP57" s="10" t="s">
        <v>74</v>
      </c>
      <c r="BQ57" s="10" t="s">
        <v>74</v>
      </c>
      <c r="BR57" s="10" t="s">
        <v>12946</v>
      </c>
      <c r="BS57" s="10" t="s">
        <v>3646</v>
      </c>
      <c r="BT57" s="10">
        <v>0</v>
      </c>
    </row>
    <row r="58" spans="1:72" x14ac:dyDescent="0.25">
      <c r="A58" s="10" t="s">
        <v>72</v>
      </c>
      <c r="B58" s="10" t="s">
        <v>3830</v>
      </c>
      <c r="C58" s="10" t="s">
        <v>74</v>
      </c>
      <c r="D58" s="10" t="s">
        <v>74</v>
      </c>
      <c r="E58" s="10" t="s">
        <v>74</v>
      </c>
      <c r="F58" s="10" t="s">
        <v>3831</v>
      </c>
      <c r="G58" s="10" t="s">
        <v>74</v>
      </c>
      <c r="H58" s="10" t="s">
        <v>74</v>
      </c>
      <c r="I58" s="10" t="s">
        <v>3832</v>
      </c>
      <c r="J58" s="10" t="s">
        <v>3833</v>
      </c>
      <c r="K58" s="10" t="s">
        <v>74</v>
      </c>
      <c r="L58" s="10" t="s">
        <v>74</v>
      </c>
      <c r="M58" s="10" t="s">
        <v>78</v>
      </c>
      <c r="N58" s="10" t="s">
        <v>79</v>
      </c>
      <c r="O58" s="10" t="s">
        <v>74</v>
      </c>
      <c r="P58" s="10" t="s">
        <v>74</v>
      </c>
      <c r="Q58" s="10" t="s">
        <v>74</v>
      </c>
      <c r="R58" s="10" t="s">
        <v>74</v>
      </c>
      <c r="S58" s="10" t="s">
        <v>74</v>
      </c>
      <c r="T58" s="10" t="s">
        <v>3834</v>
      </c>
      <c r="U58" s="10" t="s">
        <v>3835</v>
      </c>
      <c r="V58" s="10" t="s">
        <v>3836</v>
      </c>
      <c r="W58" s="10" t="s">
        <v>3837</v>
      </c>
      <c r="X58" s="10" t="s">
        <v>3838</v>
      </c>
      <c r="Y58" s="10" t="s">
        <v>3839</v>
      </c>
      <c r="Z58" s="10" t="s">
        <v>3840</v>
      </c>
      <c r="AA58" s="10" t="s">
        <v>74</v>
      </c>
      <c r="AB58" s="10" t="s">
        <v>74</v>
      </c>
      <c r="AC58" s="10" t="s">
        <v>3841</v>
      </c>
      <c r="AD58" s="10" t="s">
        <v>3842</v>
      </c>
      <c r="AE58" s="10" t="s">
        <v>3843</v>
      </c>
      <c r="AF58" s="10" t="s">
        <v>74</v>
      </c>
      <c r="AG58" s="10">
        <v>47</v>
      </c>
      <c r="AH58" s="10">
        <v>2</v>
      </c>
      <c r="AI58" s="10">
        <v>2</v>
      </c>
      <c r="AJ58" s="10">
        <v>0</v>
      </c>
      <c r="AK58" s="10">
        <v>0</v>
      </c>
      <c r="AL58" s="10" t="s">
        <v>3844</v>
      </c>
      <c r="AM58" s="10" t="s">
        <v>3189</v>
      </c>
      <c r="AN58" s="10" t="s">
        <v>3845</v>
      </c>
      <c r="AO58" s="10" t="s">
        <v>3846</v>
      </c>
      <c r="AP58" s="10" t="s">
        <v>3847</v>
      </c>
      <c r="AQ58" s="10" t="s">
        <v>74</v>
      </c>
      <c r="AR58" s="10" t="s">
        <v>3848</v>
      </c>
      <c r="AS58" s="10" t="s">
        <v>3849</v>
      </c>
      <c r="AT58" s="10" t="s">
        <v>3850</v>
      </c>
      <c r="AU58" s="10">
        <v>2022</v>
      </c>
      <c r="AV58" s="10">
        <v>90</v>
      </c>
      <c r="AW58" s="10" t="s">
        <v>74</v>
      </c>
      <c r="AX58" s="10" t="s">
        <v>74</v>
      </c>
      <c r="AY58" s="10">
        <v>1</v>
      </c>
      <c r="AZ58" s="10" t="s">
        <v>74</v>
      </c>
      <c r="BA58" s="10" t="s">
        <v>74</v>
      </c>
      <c r="BB58" s="10" t="s">
        <v>3851</v>
      </c>
      <c r="BC58" s="10" t="s">
        <v>3852</v>
      </c>
      <c r="BD58" s="10" t="s">
        <v>74</v>
      </c>
      <c r="BE58" s="10" t="s">
        <v>3853</v>
      </c>
      <c r="BF58" s="10">
        <v>0</v>
      </c>
      <c r="BG58" s="10" t="s">
        <v>74</v>
      </c>
      <c r="BH58" s="10" t="s">
        <v>74</v>
      </c>
      <c r="BI58" s="10">
        <v>7</v>
      </c>
      <c r="BJ58" s="10" t="s">
        <v>3854</v>
      </c>
      <c r="BK58" s="10" t="s">
        <v>102</v>
      </c>
      <c r="BL58" s="10" t="s">
        <v>3854</v>
      </c>
      <c r="BM58" s="10" t="s">
        <v>3855</v>
      </c>
      <c r="BN58" s="10">
        <v>35703765</v>
      </c>
      <c r="BO58" s="10" t="s">
        <v>3856</v>
      </c>
      <c r="BP58" s="10" t="s">
        <v>74</v>
      </c>
      <c r="BQ58" s="10" t="s">
        <v>74</v>
      </c>
      <c r="BR58" s="10" t="s">
        <v>12946</v>
      </c>
      <c r="BS58" s="10" t="s">
        <v>3857</v>
      </c>
      <c r="BT58" s="10">
        <v>0</v>
      </c>
    </row>
    <row r="59" spans="1:72" x14ac:dyDescent="0.25">
      <c r="A59" s="10" t="s">
        <v>72</v>
      </c>
      <c r="B59" s="10" t="s">
        <v>4040</v>
      </c>
      <c r="C59" s="10" t="s">
        <v>74</v>
      </c>
      <c r="D59" s="10" t="s">
        <v>74</v>
      </c>
      <c r="E59" s="10" t="s">
        <v>74</v>
      </c>
      <c r="F59" s="10" t="s">
        <v>4041</v>
      </c>
      <c r="G59" s="10" t="s">
        <v>74</v>
      </c>
      <c r="H59" s="10" t="s">
        <v>74</v>
      </c>
      <c r="I59" s="10" t="s">
        <v>4042</v>
      </c>
      <c r="J59" s="10" t="s">
        <v>4043</v>
      </c>
      <c r="K59" s="10" t="s">
        <v>74</v>
      </c>
      <c r="L59" s="10" t="s">
        <v>74</v>
      </c>
      <c r="M59" s="10" t="s">
        <v>78</v>
      </c>
      <c r="N59" s="10" t="s">
        <v>79</v>
      </c>
      <c r="O59" s="10" t="s">
        <v>74</v>
      </c>
      <c r="P59" s="10" t="s">
        <v>74</v>
      </c>
      <c r="Q59" s="10" t="s">
        <v>74</v>
      </c>
      <c r="R59" s="10" t="s">
        <v>74</v>
      </c>
      <c r="S59" s="10" t="s">
        <v>74</v>
      </c>
      <c r="T59" s="10" t="s">
        <v>4044</v>
      </c>
      <c r="U59" s="10" t="s">
        <v>4045</v>
      </c>
      <c r="V59" s="10" t="s">
        <v>4046</v>
      </c>
      <c r="W59" s="10" t="s">
        <v>4047</v>
      </c>
      <c r="X59" s="10" t="s">
        <v>4048</v>
      </c>
      <c r="Y59" s="10" t="s">
        <v>4049</v>
      </c>
      <c r="Z59" s="10" t="s">
        <v>4050</v>
      </c>
      <c r="AA59" s="10" t="s">
        <v>13215</v>
      </c>
      <c r="AB59" s="10" t="s">
        <v>13216</v>
      </c>
      <c r="AC59" s="10" t="s">
        <v>4052</v>
      </c>
      <c r="AD59" s="10" t="s">
        <v>4053</v>
      </c>
      <c r="AE59" s="10" t="s">
        <v>4054</v>
      </c>
      <c r="AF59" s="10" t="s">
        <v>74</v>
      </c>
      <c r="AG59" s="10">
        <v>56</v>
      </c>
      <c r="AH59" s="10">
        <v>2</v>
      </c>
      <c r="AI59" s="10">
        <v>2</v>
      </c>
      <c r="AJ59" s="10">
        <v>0</v>
      </c>
      <c r="AK59" s="10">
        <v>6</v>
      </c>
      <c r="AL59" s="10" t="s">
        <v>1382</v>
      </c>
      <c r="AM59" s="10" t="s">
        <v>1383</v>
      </c>
      <c r="AN59" s="10" t="s">
        <v>1384</v>
      </c>
      <c r="AO59" s="10" t="s">
        <v>4055</v>
      </c>
      <c r="AP59" s="10" t="s">
        <v>74</v>
      </c>
      <c r="AQ59" s="10" t="s">
        <v>74</v>
      </c>
      <c r="AR59" s="10" t="s">
        <v>4056</v>
      </c>
      <c r="AS59" s="10" t="s">
        <v>4057</v>
      </c>
      <c r="AT59" s="10" t="s">
        <v>4058</v>
      </c>
      <c r="AU59" s="10">
        <v>2022</v>
      </c>
      <c r="AV59" s="10">
        <v>13</v>
      </c>
      <c r="AW59" s="10" t="s">
        <v>74</v>
      </c>
      <c r="AX59" s="10" t="s">
        <v>74</v>
      </c>
      <c r="AY59" s="10" t="s">
        <v>74</v>
      </c>
      <c r="AZ59" s="10" t="s">
        <v>74</v>
      </c>
      <c r="BA59" s="10" t="s">
        <v>74</v>
      </c>
      <c r="BB59" s="10" t="s">
        <v>74</v>
      </c>
      <c r="BC59" s="10" t="s">
        <v>74</v>
      </c>
      <c r="BD59" s="10">
        <v>889602</v>
      </c>
      <c r="BE59" s="10" t="s">
        <v>4059</v>
      </c>
      <c r="BF59" s="10">
        <v>0</v>
      </c>
      <c r="BG59" s="10" t="s">
        <v>74</v>
      </c>
      <c r="BH59" s="10" t="s">
        <v>74</v>
      </c>
      <c r="BI59" s="10">
        <v>14</v>
      </c>
      <c r="BJ59" s="10" t="s">
        <v>4060</v>
      </c>
      <c r="BK59" s="10" t="s">
        <v>211</v>
      </c>
      <c r="BL59" s="10" t="s">
        <v>4060</v>
      </c>
      <c r="BM59" s="10" t="s">
        <v>4061</v>
      </c>
      <c r="BN59" s="10">
        <v>35664474</v>
      </c>
      <c r="BO59" s="10" t="s">
        <v>614</v>
      </c>
      <c r="BP59" s="10" t="s">
        <v>74</v>
      </c>
      <c r="BQ59" s="10" t="s">
        <v>74</v>
      </c>
      <c r="BR59" s="10" t="s">
        <v>12946</v>
      </c>
      <c r="BS59" s="10" t="s">
        <v>4062</v>
      </c>
      <c r="BT59" s="10">
        <v>0</v>
      </c>
    </row>
    <row r="60" spans="1:72" x14ac:dyDescent="0.25">
      <c r="A60" s="10" t="s">
        <v>72</v>
      </c>
      <c r="B60" s="10" t="s">
        <v>4063</v>
      </c>
      <c r="C60" s="10" t="s">
        <v>74</v>
      </c>
      <c r="D60" s="10" t="s">
        <v>74</v>
      </c>
      <c r="E60" s="10" t="s">
        <v>74</v>
      </c>
      <c r="F60" s="10" t="s">
        <v>4064</v>
      </c>
      <c r="G60" s="10" t="s">
        <v>74</v>
      </c>
      <c r="H60" s="10" t="s">
        <v>74</v>
      </c>
      <c r="I60" s="10" t="s">
        <v>4065</v>
      </c>
      <c r="J60" s="10" t="s">
        <v>4066</v>
      </c>
      <c r="K60" s="10" t="s">
        <v>74</v>
      </c>
      <c r="L60" s="10" t="s">
        <v>74</v>
      </c>
      <c r="M60" s="10" t="s">
        <v>78</v>
      </c>
      <c r="N60" s="10" t="s">
        <v>79</v>
      </c>
      <c r="O60" s="10" t="s">
        <v>74</v>
      </c>
      <c r="P60" s="10" t="s">
        <v>74</v>
      </c>
      <c r="Q60" s="10" t="s">
        <v>74</v>
      </c>
      <c r="R60" s="10" t="s">
        <v>74</v>
      </c>
      <c r="S60" s="10" t="s">
        <v>74</v>
      </c>
      <c r="T60" s="10" t="s">
        <v>4067</v>
      </c>
      <c r="U60" s="10" t="s">
        <v>4068</v>
      </c>
      <c r="V60" s="10" t="s">
        <v>4069</v>
      </c>
      <c r="W60" s="10" t="s">
        <v>4070</v>
      </c>
      <c r="X60" s="10" t="s">
        <v>4071</v>
      </c>
      <c r="Y60" s="10" t="s">
        <v>4072</v>
      </c>
      <c r="Z60" s="10" t="s">
        <v>4073</v>
      </c>
      <c r="AA60" s="10" t="s">
        <v>13217</v>
      </c>
      <c r="AB60" s="10" t="s">
        <v>13218</v>
      </c>
      <c r="AC60" s="10" t="s">
        <v>4076</v>
      </c>
      <c r="AD60" s="10" t="s">
        <v>4077</v>
      </c>
      <c r="AE60" s="10" t="s">
        <v>4078</v>
      </c>
      <c r="AF60" s="10" t="s">
        <v>74</v>
      </c>
      <c r="AG60" s="10">
        <v>31</v>
      </c>
      <c r="AH60" s="10">
        <v>2</v>
      </c>
      <c r="AI60" s="10">
        <v>2</v>
      </c>
      <c r="AJ60" s="10">
        <v>0</v>
      </c>
      <c r="AK60" s="10">
        <v>2</v>
      </c>
      <c r="AL60" s="10" t="s">
        <v>4079</v>
      </c>
      <c r="AM60" s="10" t="s">
        <v>4080</v>
      </c>
      <c r="AN60" s="10" t="s">
        <v>4081</v>
      </c>
      <c r="AO60" s="10" t="s">
        <v>4082</v>
      </c>
      <c r="AP60" s="10" t="s">
        <v>4083</v>
      </c>
      <c r="AQ60" s="10" t="s">
        <v>74</v>
      </c>
      <c r="AR60" s="10" t="s">
        <v>4084</v>
      </c>
      <c r="AS60" s="10" t="s">
        <v>4085</v>
      </c>
      <c r="AT60" s="10" t="s">
        <v>4086</v>
      </c>
      <c r="AU60" s="10">
        <v>2022</v>
      </c>
      <c r="AV60" s="10">
        <v>74</v>
      </c>
      <c r="AW60" s="10" t="s">
        <v>4087</v>
      </c>
      <c r="AX60" s="10" t="s">
        <v>74</v>
      </c>
      <c r="AY60" s="10">
        <v>3</v>
      </c>
      <c r="AZ60" s="10" t="s">
        <v>1020</v>
      </c>
      <c r="BA60" s="10" t="s">
        <v>74</v>
      </c>
      <c r="BB60" s="10" t="s">
        <v>4088</v>
      </c>
      <c r="BC60" s="10" t="s">
        <v>4089</v>
      </c>
      <c r="BD60" s="10" t="s">
        <v>74</v>
      </c>
      <c r="BE60" s="10" t="s">
        <v>4090</v>
      </c>
      <c r="BF60" s="10">
        <v>0</v>
      </c>
      <c r="BG60" s="10" t="s">
        <v>74</v>
      </c>
      <c r="BH60" s="10" t="s">
        <v>74</v>
      </c>
      <c r="BI60" s="10">
        <v>3</v>
      </c>
      <c r="BJ60" s="10" t="s">
        <v>4091</v>
      </c>
      <c r="BK60" s="10" t="s">
        <v>102</v>
      </c>
      <c r="BL60" s="10" t="s">
        <v>4091</v>
      </c>
      <c r="BM60" s="10" t="s">
        <v>4092</v>
      </c>
      <c r="BN60" s="10">
        <v>35568476</v>
      </c>
      <c r="BO60" s="10" t="s">
        <v>2033</v>
      </c>
      <c r="BP60" s="10" t="s">
        <v>74</v>
      </c>
      <c r="BQ60" s="10" t="s">
        <v>74</v>
      </c>
      <c r="BR60" s="10" t="s">
        <v>12946</v>
      </c>
      <c r="BS60" s="10" t="s">
        <v>4093</v>
      </c>
      <c r="BT60" s="10">
        <v>0</v>
      </c>
    </row>
    <row r="61" spans="1:72" x14ac:dyDescent="0.25">
      <c r="A61" s="10" t="s">
        <v>72</v>
      </c>
      <c r="B61" s="10" t="s">
        <v>4340</v>
      </c>
      <c r="C61" s="10" t="s">
        <v>74</v>
      </c>
      <c r="D61" s="10" t="s">
        <v>74</v>
      </c>
      <c r="E61" s="10" t="s">
        <v>74</v>
      </c>
      <c r="F61" s="10" t="s">
        <v>4341</v>
      </c>
      <c r="G61" s="10" t="s">
        <v>74</v>
      </c>
      <c r="H61" s="10" t="s">
        <v>74</v>
      </c>
      <c r="I61" s="10" t="s">
        <v>4342</v>
      </c>
      <c r="J61" s="10" t="s">
        <v>4343</v>
      </c>
      <c r="K61" s="10" t="s">
        <v>74</v>
      </c>
      <c r="L61" s="10" t="s">
        <v>74</v>
      </c>
      <c r="M61" s="10" t="s">
        <v>78</v>
      </c>
      <c r="N61" s="10" t="s">
        <v>79</v>
      </c>
      <c r="O61" s="10" t="s">
        <v>74</v>
      </c>
      <c r="P61" s="10" t="s">
        <v>74</v>
      </c>
      <c r="Q61" s="10" t="s">
        <v>74</v>
      </c>
      <c r="R61" s="10" t="s">
        <v>74</v>
      </c>
      <c r="S61" s="10" t="s">
        <v>74</v>
      </c>
      <c r="T61" s="10" t="s">
        <v>4344</v>
      </c>
      <c r="U61" s="10" t="s">
        <v>74</v>
      </c>
      <c r="V61" s="10" t="s">
        <v>4345</v>
      </c>
      <c r="W61" s="10" t="s">
        <v>4346</v>
      </c>
      <c r="X61" s="10" t="s">
        <v>13219</v>
      </c>
      <c r="Y61" s="10" t="s">
        <v>4348</v>
      </c>
      <c r="Z61" s="10" t="s">
        <v>4349</v>
      </c>
      <c r="AA61" s="10" t="s">
        <v>13220</v>
      </c>
      <c r="AB61" s="10" t="s">
        <v>13221</v>
      </c>
      <c r="AC61" s="10" t="s">
        <v>4352</v>
      </c>
      <c r="AD61" s="10" t="s">
        <v>13222</v>
      </c>
      <c r="AE61" s="10" t="s">
        <v>4354</v>
      </c>
      <c r="AF61" s="10" t="s">
        <v>74</v>
      </c>
      <c r="AG61" s="10">
        <v>50</v>
      </c>
      <c r="AH61" s="10">
        <v>2</v>
      </c>
      <c r="AI61" s="10">
        <v>2</v>
      </c>
      <c r="AJ61" s="10">
        <v>0</v>
      </c>
      <c r="AK61" s="10">
        <v>1</v>
      </c>
      <c r="AL61" s="10" t="s">
        <v>146</v>
      </c>
      <c r="AM61" s="10" t="s">
        <v>147</v>
      </c>
      <c r="AN61" s="10" t="s">
        <v>148</v>
      </c>
      <c r="AO61" s="10" t="s">
        <v>4355</v>
      </c>
      <c r="AP61" s="10" t="s">
        <v>4356</v>
      </c>
      <c r="AQ61" s="10" t="s">
        <v>74</v>
      </c>
      <c r="AR61" s="10" t="s">
        <v>4357</v>
      </c>
      <c r="AS61" s="10" t="s">
        <v>4358</v>
      </c>
      <c r="AT61" s="10" t="s">
        <v>1448</v>
      </c>
      <c r="AU61" s="10">
        <v>2023</v>
      </c>
      <c r="AV61" s="10">
        <v>34</v>
      </c>
      <c r="AW61" s="10">
        <v>2</v>
      </c>
      <c r="AX61" s="10" t="s">
        <v>74</v>
      </c>
      <c r="AY61" s="10" t="s">
        <v>74</v>
      </c>
      <c r="AZ61" s="10" t="s">
        <v>74</v>
      </c>
      <c r="BA61" s="10" t="s">
        <v>74</v>
      </c>
      <c r="BB61" s="10">
        <v>390</v>
      </c>
      <c r="BC61" s="10">
        <v>397</v>
      </c>
      <c r="BD61" s="10" t="s">
        <v>74</v>
      </c>
      <c r="BE61" s="10" t="s">
        <v>4359</v>
      </c>
      <c r="BF61" s="10">
        <v>0</v>
      </c>
      <c r="BG61" s="10" t="s">
        <v>74</v>
      </c>
      <c r="BH61" s="10" t="s">
        <v>4337</v>
      </c>
      <c r="BI61" s="10">
        <v>8</v>
      </c>
      <c r="BJ61" s="10" t="s">
        <v>1584</v>
      </c>
      <c r="BK61" s="10" t="s">
        <v>156</v>
      </c>
      <c r="BL61" s="10" t="s">
        <v>1584</v>
      </c>
      <c r="BM61" s="10" t="s">
        <v>4360</v>
      </c>
      <c r="BN61" s="10">
        <v>35411703</v>
      </c>
      <c r="BO61" s="10" t="s">
        <v>1539</v>
      </c>
      <c r="BP61" s="10" t="s">
        <v>74</v>
      </c>
      <c r="BQ61" s="10" t="s">
        <v>74</v>
      </c>
      <c r="BR61" s="10" t="s">
        <v>12946</v>
      </c>
      <c r="BS61" s="10" t="s">
        <v>4361</v>
      </c>
      <c r="BT61" s="10">
        <v>0</v>
      </c>
    </row>
    <row r="62" spans="1:72" x14ac:dyDescent="0.25">
      <c r="A62" s="10" t="s">
        <v>72</v>
      </c>
      <c r="B62" s="10" t="s">
        <v>4417</v>
      </c>
      <c r="C62" s="10" t="s">
        <v>74</v>
      </c>
      <c r="D62" s="10" t="s">
        <v>74</v>
      </c>
      <c r="E62" s="10" t="s">
        <v>74</v>
      </c>
      <c r="F62" s="10" t="s">
        <v>4418</v>
      </c>
      <c r="G62" s="10" t="s">
        <v>74</v>
      </c>
      <c r="H62" s="10" t="s">
        <v>74</v>
      </c>
      <c r="I62" s="10" t="s">
        <v>4419</v>
      </c>
      <c r="J62" s="10" t="s">
        <v>4420</v>
      </c>
      <c r="K62" s="10" t="s">
        <v>74</v>
      </c>
      <c r="L62" s="10" t="s">
        <v>74</v>
      </c>
      <c r="M62" s="10" t="s">
        <v>78</v>
      </c>
      <c r="N62" s="10" t="s">
        <v>79</v>
      </c>
      <c r="O62" s="10" t="s">
        <v>74</v>
      </c>
      <c r="P62" s="10" t="s">
        <v>74</v>
      </c>
      <c r="Q62" s="10" t="s">
        <v>74</v>
      </c>
      <c r="R62" s="10" t="s">
        <v>74</v>
      </c>
      <c r="S62" s="10" t="s">
        <v>74</v>
      </c>
      <c r="T62" s="10" t="s">
        <v>74</v>
      </c>
      <c r="U62" s="10" t="s">
        <v>4421</v>
      </c>
      <c r="V62" s="10" t="s">
        <v>4422</v>
      </c>
      <c r="W62" s="10" t="s">
        <v>4423</v>
      </c>
      <c r="X62" s="10" t="s">
        <v>4424</v>
      </c>
      <c r="Y62" s="10" t="s">
        <v>4425</v>
      </c>
      <c r="Z62" s="10" t="s">
        <v>4426</v>
      </c>
      <c r="AA62" s="10" t="s">
        <v>74</v>
      </c>
      <c r="AB62" s="10" t="s">
        <v>4427</v>
      </c>
      <c r="AC62" s="10" t="s">
        <v>74</v>
      </c>
      <c r="AD62" s="10" t="s">
        <v>74</v>
      </c>
      <c r="AE62" s="10" t="s">
        <v>74</v>
      </c>
      <c r="AF62" s="10" t="s">
        <v>74</v>
      </c>
      <c r="AG62" s="10">
        <v>59</v>
      </c>
      <c r="AH62" s="10">
        <v>2</v>
      </c>
      <c r="AI62" s="10">
        <v>2</v>
      </c>
      <c r="AJ62" s="10">
        <v>4</v>
      </c>
      <c r="AK62" s="10">
        <v>11</v>
      </c>
      <c r="AL62" s="10" t="s">
        <v>4428</v>
      </c>
      <c r="AM62" s="10" t="s">
        <v>175</v>
      </c>
      <c r="AN62" s="10" t="s">
        <v>4429</v>
      </c>
      <c r="AO62" s="10" t="s">
        <v>74</v>
      </c>
      <c r="AP62" s="10" t="s">
        <v>4430</v>
      </c>
      <c r="AQ62" s="10" t="s">
        <v>74</v>
      </c>
      <c r="AR62" s="10" t="s">
        <v>4431</v>
      </c>
      <c r="AS62" s="10" t="s">
        <v>4432</v>
      </c>
      <c r="AT62" s="10" t="s">
        <v>4433</v>
      </c>
      <c r="AU62" s="10">
        <v>2022</v>
      </c>
      <c r="AV62" s="10">
        <v>9</v>
      </c>
      <c r="AW62" s="10">
        <v>1</v>
      </c>
      <c r="AX62" s="10" t="s">
        <v>74</v>
      </c>
      <c r="AY62" s="10" t="s">
        <v>74</v>
      </c>
      <c r="AZ62" s="10" t="s">
        <v>74</v>
      </c>
      <c r="BA62" s="10" t="s">
        <v>74</v>
      </c>
      <c r="BB62" s="10" t="s">
        <v>74</v>
      </c>
      <c r="BC62" s="10" t="s">
        <v>74</v>
      </c>
      <c r="BD62" s="10">
        <v>110</v>
      </c>
      <c r="BE62" s="10" t="s">
        <v>4434</v>
      </c>
      <c r="BF62" s="10">
        <v>0</v>
      </c>
      <c r="BG62" s="10" t="s">
        <v>74</v>
      </c>
      <c r="BH62" s="10" t="s">
        <v>74</v>
      </c>
      <c r="BI62" s="10">
        <v>9</v>
      </c>
      <c r="BJ62" s="10" t="s">
        <v>4435</v>
      </c>
      <c r="BK62" s="10" t="s">
        <v>4436</v>
      </c>
      <c r="BL62" s="10" t="s">
        <v>4437</v>
      </c>
      <c r="BM62" s="10" t="s">
        <v>4438</v>
      </c>
      <c r="BN62" s="10" t="s">
        <v>74</v>
      </c>
      <c r="BO62" s="10" t="s">
        <v>614</v>
      </c>
      <c r="BP62" s="10" t="s">
        <v>74</v>
      </c>
      <c r="BQ62" s="10" t="s">
        <v>74</v>
      </c>
      <c r="BR62" s="10" t="s">
        <v>12946</v>
      </c>
      <c r="BS62" s="10" t="s">
        <v>4439</v>
      </c>
      <c r="BT62" s="10">
        <v>0</v>
      </c>
    </row>
    <row r="63" spans="1:72" x14ac:dyDescent="0.25">
      <c r="A63" s="10" t="s">
        <v>72</v>
      </c>
      <c r="B63" s="10" t="s">
        <v>8471</v>
      </c>
      <c r="C63" s="10" t="s">
        <v>74</v>
      </c>
      <c r="D63" s="10" t="s">
        <v>74</v>
      </c>
      <c r="E63" s="10" t="s">
        <v>74</v>
      </c>
      <c r="F63" s="10" t="s">
        <v>8472</v>
      </c>
      <c r="G63" s="10" t="s">
        <v>74</v>
      </c>
      <c r="H63" s="10" t="s">
        <v>74</v>
      </c>
      <c r="I63" s="10" t="s">
        <v>8473</v>
      </c>
      <c r="J63" s="10" t="s">
        <v>8474</v>
      </c>
      <c r="K63" s="10" t="s">
        <v>74</v>
      </c>
      <c r="L63" s="10" t="s">
        <v>74</v>
      </c>
      <c r="M63" s="10" t="s">
        <v>78</v>
      </c>
      <c r="N63" s="10" t="s">
        <v>79</v>
      </c>
      <c r="O63" s="10" t="s">
        <v>74</v>
      </c>
      <c r="P63" s="10" t="s">
        <v>74</v>
      </c>
      <c r="Q63" s="10" t="s">
        <v>74</v>
      </c>
      <c r="R63" s="10" t="s">
        <v>74</v>
      </c>
      <c r="S63" s="10" t="s">
        <v>74</v>
      </c>
      <c r="T63" s="10" t="s">
        <v>8475</v>
      </c>
      <c r="U63" s="10" t="s">
        <v>8476</v>
      </c>
      <c r="V63" s="10" t="s">
        <v>8477</v>
      </c>
      <c r="W63" s="10" t="s">
        <v>8478</v>
      </c>
      <c r="X63" s="10" t="s">
        <v>8479</v>
      </c>
      <c r="Y63" s="10" t="s">
        <v>8480</v>
      </c>
      <c r="Z63" s="10" t="s">
        <v>8481</v>
      </c>
      <c r="AA63" s="10" t="s">
        <v>74</v>
      </c>
      <c r="AB63" s="10" t="s">
        <v>8482</v>
      </c>
      <c r="AC63" s="10" t="s">
        <v>74</v>
      </c>
      <c r="AD63" s="10" t="s">
        <v>74</v>
      </c>
      <c r="AE63" s="10" t="s">
        <v>74</v>
      </c>
      <c r="AF63" s="10" t="s">
        <v>74</v>
      </c>
      <c r="AG63" s="10">
        <v>29</v>
      </c>
      <c r="AH63" s="10">
        <v>2</v>
      </c>
      <c r="AI63" s="10">
        <v>2</v>
      </c>
      <c r="AJ63" s="10">
        <v>0</v>
      </c>
      <c r="AK63" s="10">
        <v>7</v>
      </c>
      <c r="AL63" s="10" t="s">
        <v>3433</v>
      </c>
      <c r="AM63" s="10" t="s">
        <v>878</v>
      </c>
      <c r="AN63" s="10" t="s">
        <v>3434</v>
      </c>
      <c r="AO63" s="10" t="s">
        <v>8483</v>
      </c>
      <c r="AP63" s="10" t="s">
        <v>74</v>
      </c>
      <c r="AQ63" s="10" t="s">
        <v>74</v>
      </c>
      <c r="AR63" s="10" t="s">
        <v>8484</v>
      </c>
      <c r="AS63" s="10" t="s">
        <v>8485</v>
      </c>
      <c r="AT63" s="10" t="s">
        <v>74</v>
      </c>
      <c r="AU63" s="10">
        <v>2020</v>
      </c>
      <c r="AV63" s="10">
        <v>13</v>
      </c>
      <c r="AW63" s="10" t="s">
        <v>74</v>
      </c>
      <c r="AX63" s="10" t="s">
        <v>74</v>
      </c>
      <c r="AY63" s="10" t="s">
        <v>74</v>
      </c>
      <c r="AZ63" s="10" t="s">
        <v>74</v>
      </c>
      <c r="BA63" s="10" t="s">
        <v>74</v>
      </c>
      <c r="BB63" s="10" t="s">
        <v>74</v>
      </c>
      <c r="BC63" s="10" t="s">
        <v>74</v>
      </c>
      <c r="BD63" s="10" t="s">
        <v>8486</v>
      </c>
      <c r="BE63" s="10" t="s">
        <v>8487</v>
      </c>
      <c r="BF63" s="10">
        <v>0</v>
      </c>
      <c r="BG63" s="10" t="s">
        <v>74</v>
      </c>
      <c r="BH63" s="10" t="s">
        <v>74</v>
      </c>
      <c r="BI63" s="10">
        <v>11</v>
      </c>
      <c r="BJ63" s="10" t="s">
        <v>8488</v>
      </c>
      <c r="BK63" s="10" t="s">
        <v>183</v>
      </c>
      <c r="BL63" s="10" t="s">
        <v>1665</v>
      </c>
      <c r="BM63" s="10" t="s">
        <v>8489</v>
      </c>
      <c r="BN63" s="10" t="s">
        <v>74</v>
      </c>
      <c r="BO63" s="10" t="s">
        <v>74</v>
      </c>
      <c r="BP63" s="10" t="s">
        <v>74</v>
      </c>
      <c r="BQ63" s="10" t="s">
        <v>74</v>
      </c>
      <c r="BR63" s="10" t="s">
        <v>12946</v>
      </c>
      <c r="BS63" s="10" t="s">
        <v>8490</v>
      </c>
      <c r="BT63" s="10">
        <v>0</v>
      </c>
    </row>
    <row r="64" spans="1:72" x14ac:dyDescent="0.25">
      <c r="A64" s="10" t="s">
        <v>72</v>
      </c>
      <c r="B64" s="10" t="s">
        <v>8960</v>
      </c>
      <c r="C64" s="10" t="s">
        <v>74</v>
      </c>
      <c r="D64" s="10" t="s">
        <v>74</v>
      </c>
      <c r="E64" s="10" t="s">
        <v>74</v>
      </c>
      <c r="F64" s="10" t="s">
        <v>8961</v>
      </c>
      <c r="G64" s="10" t="s">
        <v>74</v>
      </c>
      <c r="H64" s="10" t="s">
        <v>74</v>
      </c>
      <c r="I64" s="10" t="s">
        <v>8962</v>
      </c>
      <c r="J64" s="10" t="s">
        <v>3422</v>
      </c>
      <c r="K64" s="10" t="s">
        <v>74</v>
      </c>
      <c r="L64" s="10" t="s">
        <v>74</v>
      </c>
      <c r="M64" s="10" t="s">
        <v>78</v>
      </c>
      <c r="N64" s="10" t="s">
        <v>79</v>
      </c>
      <c r="O64" s="10" t="s">
        <v>74</v>
      </c>
      <c r="P64" s="10" t="s">
        <v>74</v>
      </c>
      <c r="Q64" s="10" t="s">
        <v>74</v>
      </c>
      <c r="R64" s="10" t="s">
        <v>74</v>
      </c>
      <c r="S64" s="10" t="s">
        <v>74</v>
      </c>
      <c r="T64" s="10" t="s">
        <v>8963</v>
      </c>
      <c r="U64" s="10" t="s">
        <v>74</v>
      </c>
      <c r="V64" s="10" t="s">
        <v>8964</v>
      </c>
      <c r="W64" s="10" t="s">
        <v>8965</v>
      </c>
      <c r="X64" s="10" t="s">
        <v>8966</v>
      </c>
      <c r="Y64" s="10" t="s">
        <v>8967</v>
      </c>
      <c r="Z64" s="10" t="s">
        <v>8968</v>
      </c>
      <c r="AA64" s="10" t="s">
        <v>13223</v>
      </c>
      <c r="AB64" s="10" t="s">
        <v>8969</v>
      </c>
      <c r="AC64" s="10" t="s">
        <v>8970</v>
      </c>
      <c r="AD64" s="10" t="s">
        <v>8971</v>
      </c>
      <c r="AE64" s="10" t="s">
        <v>8972</v>
      </c>
      <c r="AF64" s="10" t="s">
        <v>74</v>
      </c>
      <c r="AG64" s="10">
        <v>53</v>
      </c>
      <c r="AH64" s="10">
        <v>2</v>
      </c>
      <c r="AI64" s="10">
        <v>2</v>
      </c>
      <c r="AJ64" s="10">
        <v>0</v>
      </c>
      <c r="AK64" s="10">
        <v>0</v>
      </c>
      <c r="AL64" s="10" t="s">
        <v>3433</v>
      </c>
      <c r="AM64" s="10" t="s">
        <v>878</v>
      </c>
      <c r="AN64" s="10" t="s">
        <v>3434</v>
      </c>
      <c r="AO64" s="10" t="s">
        <v>74</v>
      </c>
      <c r="AP64" s="10" t="s">
        <v>3435</v>
      </c>
      <c r="AQ64" s="10" t="s">
        <v>74</v>
      </c>
      <c r="AR64" s="10" t="s">
        <v>3436</v>
      </c>
      <c r="AS64" s="10" t="s">
        <v>3437</v>
      </c>
      <c r="AT64" s="10" t="s">
        <v>626</v>
      </c>
      <c r="AU64" s="10">
        <v>2019</v>
      </c>
      <c r="AV64" s="10">
        <v>3</v>
      </c>
      <c r="AW64" s="10">
        <v>4</v>
      </c>
      <c r="AX64" s="10" t="s">
        <v>74</v>
      </c>
      <c r="AY64" s="10" t="s">
        <v>74</v>
      </c>
      <c r="AZ64" s="10" t="s">
        <v>74</v>
      </c>
      <c r="BA64" s="10" t="s">
        <v>74</v>
      </c>
      <c r="BB64" s="10">
        <v>190</v>
      </c>
      <c r="BC64" s="10">
        <v>198</v>
      </c>
      <c r="BD64" s="10" t="s">
        <v>8973</v>
      </c>
      <c r="BE64" s="10" t="s">
        <v>8974</v>
      </c>
      <c r="BF64" s="10">
        <v>0</v>
      </c>
      <c r="BG64" s="10" t="s">
        <v>74</v>
      </c>
      <c r="BH64" s="10" t="s">
        <v>74</v>
      </c>
      <c r="BI64" s="10">
        <v>9</v>
      </c>
      <c r="BJ64" s="10" t="s">
        <v>182</v>
      </c>
      <c r="BK64" s="10" t="s">
        <v>183</v>
      </c>
      <c r="BL64" s="10" t="s">
        <v>184</v>
      </c>
      <c r="BM64" s="10" t="s">
        <v>8975</v>
      </c>
      <c r="BN64" s="10">
        <v>31660243</v>
      </c>
      <c r="BO64" s="10" t="s">
        <v>614</v>
      </c>
      <c r="BP64" s="10" t="s">
        <v>74</v>
      </c>
      <c r="BQ64" s="10" t="s">
        <v>74</v>
      </c>
      <c r="BR64" s="10" t="s">
        <v>12946</v>
      </c>
      <c r="BS64" s="10" t="s">
        <v>8976</v>
      </c>
      <c r="BT64" s="10">
        <v>0</v>
      </c>
    </row>
    <row r="65" spans="1:72" x14ac:dyDescent="0.25">
      <c r="A65" s="10" t="s">
        <v>72</v>
      </c>
      <c r="B65" s="10" t="s">
        <v>9787</v>
      </c>
      <c r="C65" s="10" t="s">
        <v>74</v>
      </c>
      <c r="D65" s="10" t="s">
        <v>74</v>
      </c>
      <c r="E65" s="10" t="s">
        <v>74</v>
      </c>
      <c r="F65" s="10" t="s">
        <v>9788</v>
      </c>
      <c r="G65" s="10" t="s">
        <v>74</v>
      </c>
      <c r="H65" s="10" t="s">
        <v>74</v>
      </c>
      <c r="I65" s="10" t="s">
        <v>9789</v>
      </c>
      <c r="J65" s="10" t="s">
        <v>1308</v>
      </c>
      <c r="K65" s="10" t="s">
        <v>74</v>
      </c>
      <c r="L65" s="10" t="s">
        <v>74</v>
      </c>
      <c r="M65" s="10" t="s">
        <v>929</v>
      </c>
      <c r="N65" s="10" t="s">
        <v>79</v>
      </c>
      <c r="O65" s="10" t="s">
        <v>74</v>
      </c>
      <c r="P65" s="10" t="s">
        <v>74</v>
      </c>
      <c r="Q65" s="10" t="s">
        <v>74</v>
      </c>
      <c r="R65" s="10" t="s">
        <v>74</v>
      </c>
      <c r="S65" s="10" t="s">
        <v>74</v>
      </c>
      <c r="T65" s="10" t="s">
        <v>9790</v>
      </c>
      <c r="U65" s="10" t="s">
        <v>74</v>
      </c>
      <c r="V65" s="10" t="s">
        <v>9791</v>
      </c>
      <c r="W65" s="10" t="s">
        <v>9792</v>
      </c>
      <c r="X65" s="10" t="s">
        <v>9793</v>
      </c>
      <c r="Y65" s="10" t="s">
        <v>9794</v>
      </c>
      <c r="Z65" s="10" t="s">
        <v>9795</v>
      </c>
      <c r="AA65" s="10" t="s">
        <v>13224</v>
      </c>
      <c r="AB65" s="10" t="s">
        <v>13225</v>
      </c>
      <c r="AC65" s="10" t="s">
        <v>74</v>
      </c>
      <c r="AD65" s="10" t="s">
        <v>74</v>
      </c>
      <c r="AE65" s="10" t="s">
        <v>74</v>
      </c>
      <c r="AF65" s="10" t="s">
        <v>74</v>
      </c>
      <c r="AG65" s="10">
        <v>24</v>
      </c>
      <c r="AH65" s="10">
        <v>2</v>
      </c>
      <c r="AI65" s="10">
        <v>2</v>
      </c>
      <c r="AJ65" s="10">
        <v>2</v>
      </c>
      <c r="AK65" s="10">
        <v>17</v>
      </c>
      <c r="AL65" s="10" t="s">
        <v>1318</v>
      </c>
      <c r="AM65" s="10" t="s">
        <v>1319</v>
      </c>
      <c r="AN65" s="10" t="s">
        <v>1320</v>
      </c>
      <c r="AO65" s="10" t="s">
        <v>1321</v>
      </c>
      <c r="AP65" s="10" t="s">
        <v>1322</v>
      </c>
      <c r="AQ65" s="10" t="s">
        <v>74</v>
      </c>
      <c r="AR65" s="10" t="s">
        <v>1323</v>
      </c>
      <c r="AS65" s="10" t="s">
        <v>1324</v>
      </c>
      <c r="AT65" s="10" t="s">
        <v>837</v>
      </c>
      <c r="AU65" s="10">
        <v>2018</v>
      </c>
      <c r="AV65" s="10" t="s">
        <v>74</v>
      </c>
      <c r="AW65" s="10">
        <v>53</v>
      </c>
      <c r="AX65" s="10" t="s">
        <v>74</v>
      </c>
      <c r="AY65" s="10" t="s">
        <v>74</v>
      </c>
      <c r="AZ65" s="10" t="s">
        <v>74</v>
      </c>
      <c r="BA65" s="10" t="s">
        <v>74</v>
      </c>
      <c r="BB65" s="10">
        <v>27</v>
      </c>
      <c r="BC65" s="10">
        <v>40</v>
      </c>
      <c r="BD65" s="10" t="s">
        <v>74</v>
      </c>
      <c r="BE65" s="10" t="s">
        <v>9798</v>
      </c>
      <c r="BF65" s="10">
        <v>0</v>
      </c>
      <c r="BG65" s="10" t="s">
        <v>74</v>
      </c>
      <c r="BH65" s="10" t="s">
        <v>74</v>
      </c>
      <c r="BI65" s="10">
        <v>14</v>
      </c>
      <c r="BJ65" s="10" t="s">
        <v>1326</v>
      </c>
      <c r="BK65" s="10" t="s">
        <v>183</v>
      </c>
      <c r="BL65" s="10" t="s">
        <v>1326</v>
      </c>
      <c r="BM65" s="10" t="s">
        <v>9799</v>
      </c>
      <c r="BN65" s="10" t="s">
        <v>74</v>
      </c>
      <c r="BO65" s="10" t="s">
        <v>422</v>
      </c>
      <c r="BP65" s="10" t="s">
        <v>74</v>
      </c>
      <c r="BQ65" s="10" t="s">
        <v>74</v>
      </c>
      <c r="BR65" s="10" t="s">
        <v>12946</v>
      </c>
      <c r="BS65" s="10" t="s">
        <v>9800</v>
      </c>
      <c r="BT65" s="10">
        <v>0</v>
      </c>
    </row>
    <row r="66" spans="1:72" x14ac:dyDescent="0.25">
      <c r="A66" s="10" t="s">
        <v>72</v>
      </c>
      <c r="B66" s="10" t="s">
        <v>9871</v>
      </c>
      <c r="C66" s="10" t="s">
        <v>74</v>
      </c>
      <c r="D66" s="10" t="s">
        <v>74</v>
      </c>
      <c r="E66" s="10" t="s">
        <v>74</v>
      </c>
      <c r="F66" s="10" t="s">
        <v>9872</v>
      </c>
      <c r="G66" s="10" t="s">
        <v>74</v>
      </c>
      <c r="H66" s="10" t="s">
        <v>74</v>
      </c>
      <c r="I66" s="10" t="s">
        <v>9873</v>
      </c>
      <c r="J66" s="10" t="s">
        <v>9874</v>
      </c>
      <c r="K66" s="10" t="s">
        <v>74</v>
      </c>
      <c r="L66" s="10" t="s">
        <v>74</v>
      </c>
      <c r="M66" s="10" t="s">
        <v>78</v>
      </c>
      <c r="N66" s="10" t="s">
        <v>79</v>
      </c>
      <c r="O66" s="10" t="s">
        <v>74</v>
      </c>
      <c r="P66" s="10" t="s">
        <v>74</v>
      </c>
      <c r="Q66" s="10" t="s">
        <v>74</v>
      </c>
      <c r="R66" s="10" t="s">
        <v>74</v>
      </c>
      <c r="S66" s="10" t="s">
        <v>74</v>
      </c>
      <c r="T66" s="10" t="s">
        <v>9875</v>
      </c>
      <c r="U66" s="10" t="s">
        <v>9876</v>
      </c>
      <c r="V66" s="10" t="s">
        <v>9877</v>
      </c>
      <c r="W66" s="10" t="s">
        <v>9878</v>
      </c>
      <c r="X66" s="10" t="s">
        <v>9879</v>
      </c>
      <c r="Y66" s="10" t="s">
        <v>9880</v>
      </c>
      <c r="Z66" s="10" t="s">
        <v>9881</v>
      </c>
      <c r="AA66" s="10" t="s">
        <v>13226</v>
      </c>
      <c r="AB66" s="10" t="s">
        <v>13227</v>
      </c>
      <c r="AC66" s="10" t="s">
        <v>9884</v>
      </c>
      <c r="AD66" s="10" t="s">
        <v>9884</v>
      </c>
      <c r="AE66" s="10" t="s">
        <v>9885</v>
      </c>
      <c r="AF66" s="10" t="s">
        <v>74</v>
      </c>
      <c r="AG66" s="10">
        <v>30</v>
      </c>
      <c r="AH66" s="10">
        <v>2</v>
      </c>
      <c r="AI66" s="10">
        <v>3</v>
      </c>
      <c r="AJ66" s="10">
        <v>0</v>
      </c>
      <c r="AK66" s="10">
        <v>3</v>
      </c>
      <c r="AL66" s="10" t="s">
        <v>9886</v>
      </c>
      <c r="AM66" s="10" t="s">
        <v>2281</v>
      </c>
      <c r="AN66" s="10" t="s">
        <v>9887</v>
      </c>
      <c r="AO66" s="10" t="s">
        <v>9888</v>
      </c>
      <c r="AP66" s="10" t="s">
        <v>74</v>
      </c>
      <c r="AQ66" s="10" t="s">
        <v>74</v>
      </c>
      <c r="AR66" s="10" t="s">
        <v>9889</v>
      </c>
      <c r="AS66" s="10" t="s">
        <v>9890</v>
      </c>
      <c r="AT66" s="10" t="s">
        <v>1280</v>
      </c>
      <c r="AU66" s="10">
        <v>2018</v>
      </c>
      <c r="AV66" s="10">
        <v>64</v>
      </c>
      <c r="AW66" s="10">
        <v>5</v>
      </c>
      <c r="AX66" s="10" t="s">
        <v>74</v>
      </c>
      <c r="AY66" s="10" t="s">
        <v>74</v>
      </c>
      <c r="AZ66" s="10" t="s">
        <v>74</v>
      </c>
      <c r="BA66" s="10" t="s">
        <v>74</v>
      </c>
      <c r="BB66" s="10">
        <v>443</v>
      </c>
      <c r="BC66" s="10">
        <v>447</v>
      </c>
      <c r="BD66" s="10" t="s">
        <v>74</v>
      </c>
      <c r="BE66" s="10" t="s">
        <v>9891</v>
      </c>
      <c r="BF66" s="10">
        <v>0</v>
      </c>
      <c r="BG66" s="10" t="s">
        <v>74</v>
      </c>
      <c r="BH66" s="10" t="s">
        <v>74</v>
      </c>
      <c r="BI66" s="10">
        <v>5</v>
      </c>
      <c r="BJ66" s="10" t="s">
        <v>840</v>
      </c>
      <c r="BK66" s="10" t="s">
        <v>102</v>
      </c>
      <c r="BL66" s="10" t="s">
        <v>841</v>
      </c>
      <c r="BM66" s="10" t="s">
        <v>9892</v>
      </c>
      <c r="BN66" s="10">
        <v>30304144</v>
      </c>
      <c r="BO66" s="10" t="s">
        <v>422</v>
      </c>
      <c r="BP66" s="10" t="s">
        <v>74</v>
      </c>
      <c r="BQ66" s="10" t="s">
        <v>74</v>
      </c>
      <c r="BR66" s="10" t="s">
        <v>12946</v>
      </c>
      <c r="BS66" s="10" t="s">
        <v>9893</v>
      </c>
      <c r="BT66" s="10">
        <v>0</v>
      </c>
    </row>
    <row r="67" spans="1:72" x14ac:dyDescent="0.25">
      <c r="A67" s="10" t="s">
        <v>72</v>
      </c>
      <c r="B67" s="10" t="s">
        <v>10527</v>
      </c>
      <c r="C67" s="10" t="s">
        <v>74</v>
      </c>
      <c r="D67" s="10" t="s">
        <v>74</v>
      </c>
      <c r="E67" s="10" t="s">
        <v>74</v>
      </c>
      <c r="F67" s="10" t="s">
        <v>10528</v>
      </c>
      <c r="G67" s="10" t="s">
        <v>74</v>
      </c>
      <c r="H67" s="10" t="s">
        <v>74</v>
      </c>
      <c r="I67" s="10" t="s">
        <v>10529</v>
      </c>
      <c r="J67" s="10" t="s">
        <v>683</v>
      </c>
      <c r="K67" s="10" t="s">
        <v>74</v>
      </c>
      <c r="L67" s="10" t="s">
        <v>74</v>
      </c>
      <c r="M67" s="10" t="s">
        <v>78</v>
      </c>
      <c r="N67" s="10" t="s">
        <v>79</v>
      </c>
      <c r="O67" s="10" t="s">
        <v>74</v>
      </c>
      <c r="P67" s="10" t="s">
        <v>74</v>
      </c>
      <c r="Q67" s="10" t="s">
        <v>74</v>
      </c>
      <c r="R67" s="10" t="s">
        <v>74</v>
      </c>
      <c r="S67" s="10" t="s">
        <v>74</v>
      </c>
      <c r="T67" s="10" t="s">
        <v>74</v>
      </c>
      <c r="U67" s="10" t="s">
        <v>13228</v>
      </c>
      <c r="V67" s="10" t="s">
        <v>10531</v>
      </c>
      <c r="W67" s="10" t="s">
        <v>10532</v>
      </c>
      <c r="X67" s="10" t="s">
        <v>13229</v>
      </c>
      <c r="Y67" s="10" t="s">
        <v>10534</v>
      </c>
      <c r="Z67" s="10" t="s">
        <v>10535</v>
      </c>
      <c r="AA67" s="10" t="s">
        <v>13230</v>
      </c>
      <c r="AB67" s="10" t="s">
        <v>13231</v>
      </c>
      <c r="AC67" s="10" t="s">
        <v>10538</v>
      </c>
      <c r="AD67" s="10" t="s">
        <v>10539</v>
      </c>
      <c r="AE67" s="10" t="s">
        <v>10540</v>
      </c>
      <c r="AF67" s="10" t="s">
        <v>74</v>
      </c>
      <c r="AG67" s="10">
        <v>22</v>
      </c>
      <c r="AH67" s="10">
        <v>2</v>
      </c>
      <c r="AI67" s="10">
        <v>3</v>
      </c>
      <c r="AJ67" s="10">
        <v>0</v>
      </c>
      <c r="AK67" s="10">
        <v>4</v>
      </c>
      <c r="AL67" s="10" t="s">
        <v>692</v>
      </c>
      <c r="AM67" s="10" t="s">
        <v>693</v>
      </c>
      <c r="AN67" s="10" t="s">
        <v>694</v>
      </c>
      <c r="AO67" s="10" t="s">
        <v>695</v>
      </c>
      <c r="AP67" s="10" t="s">
        <v>74</v>
      </c>
      <c r="AQ67" s="10" t="s">
        <v>74</v>
      </c>
      <c r="AR67" s="10" t="s">
        <v>696</v>
      </c>
      <c r="AS67" s="10" t="s">
        <v>697</v>
      </c>
      <c r="AT67" s="10" t="s">
        <v>7874</v>
      </c>
      <c r="AU67" s="10">
        <v>2017</v>
      </c>
      <c r="AV67" s="10">
        <v>7</v>
      </c>
      <c r="AW67" s="10" t="s">
        <v>74</v>
      </c>
      <c r="AX67" s="10" t="s">
        <v>74</v>
      </c>
      <c r="AY67" s="10" t="s">
        <v>74</v>
      </c>
      <c r="AZ67" s="10" t="s">
        <v>74</v>
      </c>
      <c r="BA67" s="10" t="s">
        <v>74</v>
      </c>
      <c r="BB67" s="10" t="s">
        <v>74</v>
      </c>
      <c r="BC67" s="10" t="s">
        <v>74</v>
      </c>
      <c r="BD67" s="10">
        <v>3748</v>
      </c>
      <c r="BE67" s="10" t="s">
        <v>10543</v>
      </c>
      <c r="BF67" s="10">
        <v>0</v>
      </c>
      <c r="BG67" s="10" t="s">
        <v>74</v>
      </c>
      <c r="BH67" s="10" t="s">
        <v>74</v>
      </c>
      <c r="BI67" s="10">
        <v>10</v>
      </c>
      <c r="BJ67" s="10" t="s">
        <v>700</v>
      </c>
      <c r="BK67" s="10" t="s">
        <v>102</v>
      </c>
      <c r="BL67" s="10" t="s">
        <v>701</v>
      </c>
      <c r="BM67" s="10" t="s">
        <v>10544</v>
      </c>
      <c r="BN67" s="10">
        <v>28623263</v>
      </c>
      <c r="BO67" s="10" t="s">
        <v>422</v>
      </c>
      <c r="BP67" s="10" t="s">
        <v>74</v>
      </c>
      <c r="BQ67" s="10" t="s">
        <v>74</v>
      </c>
      <c r="BR67" s="10" t="s">
        <v>12946</v>
      </c>
      <c r="BS67" s="10" t="s">
        <v>10545</v>
      </c>
      <c r="BT67" s="10">
        <v>0</v>
      </c>
    </row>
    <row r="68" spans="1:72" x14ac:dyDescent="0.25">
      <c r="A68" s="10" t="s">
        <v>72</v>
      </c>
      <c r="B68" s="10" t="s">
        <v>10583</v>
      </c>
      <c r="C68" s="10" t="s">
        <v>74</v>
      </c>
      <c r="D68" s="10" t="s">
        <v>74</v>
      </c>
      <c r="E68" s="10" t="s">
        <v>74</v>
      </c>
      <c r="F68" s="10" t="s">
        <v>10584</v>
      </c>
      <c r="G68" s="10" t="s">
        <v>74</v>
      </c>
      <c r="H68" s="10" t="s">
        <v>74</v>
      </c>
      <c r="I68" s="10" t="s">
        <v>10585</v>
      </c>
      <c r="J68" s="10" t="s">
        <v>10586</v>
      </c>
      <c r="K68" s="10" t="s">
        <v>74</v>
      </c>
      <c r="L68" s="10" t="s">
        <v>74</v>
      </c>
      <c r="M68" s="10" t="s">
        <v>78</v>
      </c>
      <c r="N68" s="10" t="s">
        <v>79</v>
      </c>
      <c r="O68" s="10" t="s">
        <v>74</v>
      </c>
      <c r="P68" s="10" t="s">
        <v>74</v>
      </c>
      <c r="Q68" s="10" t="s">
        <v>74</v>
      </c>
      <c r="R68" s="10" t="s">
        <v>74</v>
      </c>
      <c r="S68" s="10" t="s">
        <v>74</v>
      </c>
      <c r="T68" s="10" t="s">
        <v>10587</v>
      </c>
      <c r="U68" s="10" t="s">
        <v>74</v>
      </c>
      <c r="V68" s="10" t="s">
        <v>10588</v>
      </c>
      <c r="W68" s="10" t="s">
        <v>10589</v>
      </c>
      <c r="X68" s="10" t="s">
        <v>10590</v>
      </c>
      <c r="Y68" s="10" t="s">
        <v>10591</v>
      </c>
      <c r="Z68" s="10" t="s">
        <v>10592</v>
      </c>
      <c r="AA68" s="10" t="s">
        <v>74</v>
      </c>
      <c r="AB68" s="10" t="s">
        <v>13232</v>
      </c>
      <c r="AC68" s="10" t="s">
        <v>74</v>
      </c>
      <c r="AD68" s="10" t="s">
        <v>74</v>
      </c>
      <c r="AE68" s="10" t="s">
        <v>74</v>
      </c>
      <c r="AF68" s="10" t="s">
        <v>74</v>
      </c>
      <c r="AG68" s="10">
        <v>19</v>
      </c>
      <c r="AH68" s="10">
        <v>2</v>
      </c>
      <c r="AI68" s="10">
        <v>4</v>
      </c>
      <c r="AJ68" s="10">
        <v>1</v>
      </c>
      <c r="AK68" s="10">
        <v>17</v>
      </c>
      <c r="AL68" s="10" t="s">
        <v>10595</v>
      </c>
      <c r="AM68" s="10" t="s">
        <v>10596</v>
      </c>
      <c r="AN68" s="10" t="s">
        <v>10597</v>
      </c>
      <c r="AO68" s="10" t="s">
        <v>10598</v>
      </c>
      <c r="AP68" s="10" t="s">
        <v>74</v>
      </c>
      <c r="AQ68" s="10" t="s">
        <v>74</v>
      </c>
      <c r="AR68" s="10" t="s">
        <v>10599</v>
      </c>
      <c r="AS68" s="10" t="s">
        <v>10600</v>
      </c>
      <c r="AT68" s="10" t="s">
        <v>4456</v>
      </c>
      <c r="AU68" s="10">
        <v>2017</v>
      </c>
      <c r="AV68" s="10">
        <v>51</v>
      </c>
      <c r="AW68" s="10">
        <v>2</v>
      </c>
      <c r="AX68" s="10" t="s">
        <v>74</v>
      </c>
      <c r="AY68" s="10" t="s">
        <v>74</v>
      </c>
      <c r="AZ68" s="10" t="s">
        <v>74</v>
      </c>
      <c r="BA68" s="10" t="s">
        <v>74</v>
      </c>
      <c r="BB68" s="10">
        <v>226</v>
      </c>
      <c r="BC68" s="10">
        <v>238</v>
      </c>
      <c r="BD68" s="10" t="s">
        <v>74</v>
      </c>
      <c r="BE68" s="10" t="s">
        <v>10601</v>
      </c>
      <c r="BF68" s="10">
        <v>0</v>
      </c>
      <c r="BG68" s="10" t="s">
        <v>74</v>
      </c>
      <c r="BH68" s="10" t="s">
        <v>74</v>
      </c>
      <c r="BI68" s="10">
        <v>13</v>
      </c>
      <c r="BJ68" s="10" t="s">
        <v>10602</v>
      </c>
      <c r="BK68" s="10" t="s">
        <v>102</v>
      </c>
      <c r="BL68" s="10" t="s">
        <v>10603</v>
      </c>
      <c r="BM68" s="10" t="s">
        <v>10604</v>
      </c>
      <c r="BN68" s="10" t="s">
        <v>74</v>
      </c>
      <c r="BO68" s="10" t="s">
        <v>1351</v>
      </c>
      <c r="BP68" s="10" t="s">
        <v>74</v>
      </c>
      <c r="BQ68" s="10" t="s">
        <v>74</v>
      </c>
      <c r="BR68" s="10" t="s">
        <v>12946</v>
      </c>
      <c r="BS68" s="10" t="s">
        <v>10605</v>
      </c>
      <c r="BT68" s="10">
        <v>0</v>
      </c>
    </row>
    <row r="69" spans="1:72" x14ac:dyDescent="0.25">
      <c r="A69" s="10" t="s">
        <v>72</v>
      </c>
      <c r="B69" s="10" t="s">
        <v>11243</v>
      </c>
      <c r="C69" s="10" t="s">
        <v>74</v>
      </c>
      <c r="D69" s="10" t="s">
        <v>74</v>
      </c>
      <c r="E69" s="10" t="s">
        <v>74</v>
      </c>
      <c r="F69" s="10" t="s">
        <v>11244</v>
      </c>
      <c r="G69" s="10" t="s">
        <v>74</v>
      </c>
      <c r="H69" s="10" t="s">
        <v>74</v>
      </c>
      <c r="I69" s="10" t="s">
        <v>11245</v>
      </c>
      <c r="J69" s="10" t="s">
        <v>11246</v>
      </c>
      <c r="K69" s="10" t="s">
        <v>74</v>
      </c>
      <c r="L69" s="10" t="s">
        <v>74</v>
      </c>
      <c r="M69" s="10" t="s">
        <v>78</v>
      </c>
      <c r="N69" s="10" t="s">
        <v>79</v>
      </c>
      <c r="O69" s="10" t="s">
        <v>74</v>
      </c>
      <c r="P69" s="10" t="s">
        <v>74</v>
      </c>
      <c r="Q69" s="10" t="s">
        <v>74</v>
      </c>
      <c r="R69" s="10" t="s">
        <v>74</v>
      </c>
      <c r="S69" s="10" t="s">
        <v>74</v>
      </c>
      <c r="T69" s="10" t="s">
        <v>11247</v>
      </c>
      <c r="U69" s="10" t="s">
        <v>11248</v>
      </c>
      <c r="V69" s="10" t="s">
        <v>11249</v>
      </c>
      <c r="W69" s="10" t="s">
        <v>11250</v>
      </c>
      <c r="X69" s="10" t="s">
        <v>11251</v>
      </c>
      <c r="Y69" s="10" t="s">
        <v>11252</v>
      </c>
      <c r="Z69" s="10" t="s">
        <v>74</v>
      </c>
      <c r="AA69" s="10" t="s">
        <v>74</v>
      </c>
      <c r="AB69" s="10" t="s">
        <v>74</v>
      </c>
      <c r="AC69" s="10" t="s">
        <v>11253</v>
      </c>
      <c r="AD69" s="10" t="s">
        <v>11253</v>
      </c>
      <c r="AE69" s="10" t="s">
        <v>11254</v>
      </c>
      <c r="AF69" s="10" t="s">
        <v>74</v>
      </c>
      <c r="AG69" s="10">
        <v>62</v>
      </c>
      <c r="AH69" s="10">
        <v>2</v>
      </c>
      <c r="AI69" s="10">
        <v>3</v>
      </c>
      <c r="AJ69" s="10">
        <v>1</v>
      </c>
      <c r="AK69" s="10">
        <v>9</v>
      </c>
      <c r="AL69" s="10" t="s">
        <v>11255</v>
      </c>
      <c r="AM69" s="10" t="s">
        <v>11256</v>
      </c>
      <c r="AN69" s="10" t="s">
        <v>11257</v>
      </c>
      <c r="AO69" s="10" t="s">
        <v>11258</v>
      </c>
      <c r="AP69" s="10" t="s">
        <v>74</v>
      </c>
      <c r="AQ69" s="10" t="s">
        <v>74</v>
      </c>
      <c r="AR69" s="10" t="s">
        <v>11259</v>
      </c>
      <c r="AS69" s="10" t="s">
        <v>11260</v>
      </c>
      <c r="AT69" s="10" t="s">
        <v>4456</v>
      </c>
      <c r="AU69" s="10">
        <v>2016</v>
      </c>
      <c r="AV69" s="10">
        <v>16</v>
      </c>
      <c r="AW69" s="10">
        <v>2</v>
      </c>
      <c r="AX69" s="10" t="s">
        <v>74</v>
      </c>
      <c r="AY69" s="10" t="s">
        <v>74</v>
      </c>
      <c r="AZ69" s="10" t="s">
        <v>74</v>
      </c>
      <c r="BA69" s="10" t="s">
        <v>74</v>
      </c>
      <c r="BB69" s="10" t="s">
        <v>74</v>
      </c>
      <c r="BC69" s="10" t="s">
        <v>74</v>
      </c>
      <c r="BD69" s="10">
        <v>3738</v>
      </c>
      <c r="BE69" s="10" t="s">
        <v>74</v>
      </c>
      <c r="BF69" s="10" t="s">
        <v>74</v>
      </c>
      <c r="BG69" s="10" t="s">
        <v>74</v>
      </c>
      <c r="BH69" s="10" t="s">
        <v>74</v>
      </c>
      <c r="BI69" s="10">
        <v>18</v>
      </c>
      <c r="BJ69" s="10" t="s">
        <v>1584</v>
      </c>
      <c r="BK69" s="10" t="s">
        <v>211</v>
      </c>
      <c r="BL69" s="10" t="s">
        <v>1584</v>
      </c>
      <c r="BM69" s="10" t="s">
        <v>11261</v>
      </c>
      <c r="BN69" s="10">
        <v>27269633</v>
      </c>
      <c r="BO69" s="10" t="s">
        <v>74</v>
      </c>
      <c r="BP69" s="10" t="s">
        <v>74</v>
      </c>
      <c r="BQ69" s="10" t="s">
        <v>74</v>
      </c>
      <c r="BR69" s="10" t="s">
        <v>12946</v>
      </c>
      <c r="BS69" s="10" t="s">
        <v>11262</v>
      </c>
      <c r="BT69" s="10">
        <v>0</v>
      </c>
    </row>
    <row r="70" spans="1:72" x14ac:dyDescent="0.25">
      <c r="A70" s="10" t="s">
        <v>72</v>
      </c>
      <c r="B70" s="10" t="s">
        <v>11318</v>
      </c>
      <c r="C70" s="10" t="s">
        <v>74</v>
      </c>
      <c r="D70" s="10" t="s">
        <v>74</v>
      </c>
      <c r="E70" s="10" t="s">
        <v>74</v>
      </c>
      <c r="F70" s="10" t="s">
        <v>11319</v>
      </c>
      <c r="G70" s="10" t="s">
        <v>74</v>
      </c>
      <c r="H70" s="10" t="s">
        <v>74</v>
      </c>
      <c r="I70" s="10" t="s">
        <v>11320</v>
      </c>
      <c r="J70" s="10" t="s">
        <v>11321</v>
      </c>
      <c r="K70" s="10" t="s">
        <v>74</v>
      </c>
      <c r="L70" s="10" t="s">
        <v>74</v>
      </c>
      <c r="M70" s="10" t="s">
        <v>929</v>
      </c>
      <c r="N70" s="10" t="s">
        <v>79</v>
      </c>
      <c r="O70" s="10" t="s">
        <v>74</v>
      </c>
      <c r="P70" s="10" t="s">
        <v>74</v>
      </c>
      <c r="Q70" s="10" t="s">
        <v>74</v>
      </c>
      <c r="R70" s="10" t="s">
        <v>74</v>
      </c>
      <c r="S70" s="10" t="s">
        <v>74</v>
      </c>
      <c r="T70" s="10" t="s">
        <v>11322</v>
      </c>
      <c r="U70" s="10" t="s">
        <v>74</v>
      </c>
      <c r="V70" s="10" t="s">
        <v>11323</v>
      </c>
      <c r="W70" s="10" t="s">
        <v>11324</v>
      </c>
      <c r="X70" s="10" t="s">
        <v>74</v>
      </c>
      <c r="Y70" s="10" t="s">
        <v>11325</v>
      </c>
      <c r="Z70" s="10" t="s">
        <v>11326</v>
      </c>
      <c r="AA70" s="10" t="s">
        <v>74</v>
      </c>
      <c r="AB70" s="10" t="s">
        <v>74</v>
      </c>
      <c r="AC70" s="10" t="s">
        <v>74</v>
      </c>
      <c r="AD70" s="10" t="s">
        <v>74</v>
      </c>
      <c r="AE70" s="10" t="s">
        <v>74</v>
      </c>
      <c r="AF70" s="10" t="s">
        <v>74</v>
      </c>
      <c r="AG70" s="10">
        <v>11</v>
      </c>
      <c r="AH70" s="10">
        <v>2</v>
      </c>
      <c r="AI70" s="10">
        <v>2</v>
      </c>
      <c r="AJ70" s="10">
        <v>0</v>
      </c>
      <c r="AK70" s="10">
        <v>7</v>
      </c>
      <c r="AL70" s="10" t="s">
        <v>11327</v>
      </c>
      <c r="AM70" s="10" t="s">
        <v>11328</v>
      </c>
      <c r="AN70" s="10" t="s">
        <v>11329</v>
      </c>
      <c r="AO70" s="10" t="s">
        <v>11330</v>
      </c>
      <c r="AP70" s="10" t="s">
        <v>11331</v>
      </c>
      <c r="AQ70" s="10" t="s">
        <v>74</v>
      </c>
      <c r="AR70" s="10" t="s">
        <v>11332</v>
      </c>
      <c r="AS70" s="10" t="s">
        <v>11333</v>
      </c>
      <c r="AT70" s="10" t="s">
        <v>74</v>
      </c>
      <c r="AU70" s="10">
        <v>2016</v>
      </c>
      <c r="AV70" s="10">
        <v>9</v>
      </c>
      <c r="AW70" s="10">
        <v>1</v>
      </c>
      <c r="AX70" s="10" t="s">
        <v>74</v>
      </c>
      <c r="AY70" s="10" t="s">
        <v>74</v>
      </c>
      <c r="AZ70" s="10" t="s">
        <v>74</v>
      </c>
      <c r="BA70" s="10" t="s">
        <v>74</v>
      </c>
      <c r="BB70" s="10">
        <v>126</v>
      </c>
      <c r="BC70" s="10">
        <v>130</v>
      </c>
      <c r="BD70" s="10" t="s">
        <v>74</v>
      </c>
      <c r="BE70" s="10" t="s">
        <v>74</v>
      </c>
      <c r="BF70" s="10" t="s">
        <v>74</v>
      </c>
      <c r="BG70" s="10" t="s">
        <v>74</v>
      </c>
      <c r="BH70" s="10" t="s">
        <v>74</v>
      </c>
      <c r="BI70" s="10">
        <v>5</v>
      </c>
      <c r="BJ70" s="10" t="s">
        <v>1664</v>
      </c>
      <c r="BK70" s="10" t="s">
        <v>156</v>
      </c>
      <c r="BL70" s="10" t="s">
        <v>1665</v>
      </c>
      <c r="BM70" s="10" t="s">
        <v>11334</v>
      </c>
      <c r="BN70" s="10" t="s">
        <v>74</v>
      </c>
      <c r="BO70" s="10" t="s">
        <v>74</v>
      </c>
      <c r="BP70" s="10" t="s">
        <v>74</v>
      </c>
      <c r="BQ70" s="10" t="s">
        <v>74</v>
      </c>
      <c r="BR70" s="10" t="s">
        <v>12946</v>
      </c>
      <c r="BS70" s="10" t="s">
        <v>11335</v>
      </c>
      <c r="BT70" s="10">
        <v>0</v>
      </c>
    </row>
    <row r="71" spans="1:72" x14ac:dyDescent="0.25">
      <c r="A71" s="10" t="s">
        <v>72</v>
      </c>
      <c r="B71" s="10" t="s">
        <v>12085</v>
      </c>
      <c r="C71" s="10" t="s">
        <v>74</v>
      </c>
      <c r="D71" s="10" t="s">
        <v>74</v>
      </c>
      <c r="E71" s="10" t="s">
        <v>74</v>
      </c>
      <c r="F71" s="10" t="s">
        <v>12086</v>
      </c>
      <c r="G71" s="10" t="s">
        <v>74</v>
      </c>
      <c r="H71" s="10" t="s">
        <v>74</v>
      </c>
      <c r="I71" s="10" t="s">
        <v>12087</v>
      </c>
      <c r="J71" s="10" t="s">
        <v>12088</v>
      </c>
      <c r="K71" s="10" t="s">
        <v>74</v>
      </c>
      <c r="L71" s="10" t="s">
        <v>74</v>
      </c>
      <c r="M71" s="10" t="s">
        <v>78</v>
      </c>
      <c r="N71" s="10" t="s">
        <v>79</v>
      </c>
      <c r="O71" s="10" t="s">
        <v>74</v>
      </c>
      <c r="P71" s="10" t="s">
        <v>74</v>
      </c>
      <c r="Q71" s="10" t="s">
        <v>74</v>
      </c>
      <c r="R71" s="10" t="s">
        <v>74</v>
      </c>
      <c r="S71" s="10" t="s">
        <v>74</v>
      </c>
      <c r="T71" s="10" t="s">
        <v>12089</v>
      </c>
      <c r="U71" s="10" t="s">
        <v>74</v>
      </c>
      <c r="V71" s="10" t="s">
        <v>12090</v>
      </c>
      <c r="W71" s="10" t="s">
        <v>12091</v>
      </c>
      <c r="X71" s="10" t="s">
        <v>74</v>
      </c>
      <c r="Y71" s="10" t="s">
        <v>12092</v>
      </c>
      <c r="Z71" s="10" t="s">
        <v>12093</v>
      </c>
      <c r="AA71" s="10" t="s">
        <v>74</v>
      </c>
      <c r="AB71" s="10" t="s">
        <v>12094</v>
      </c>
      <c r="AC71" s="10" t="s">
        <v>74</v>
      </c>
      <c r="AD71" s="10" t="s">
        <v>74</v>
      </c>
      <c r="AE71" s="10" t="s">
        <v>74</v>
      </c>
      <c r="AF71" s="10" t="s">
        <v>74</v>
      </c>
      <c r="AG71" s="10">
        <v>15</v>
      </c>
      <c r="AH71" s="10">
        <v>2</v>
      </c>
      <c r="AI71" s="10">
        <v>2</v>
      </c>
      <c r="AJ71" s="10">
        <v>1</v>
      </c>
      <c r="AK71" s="10">
        <v>13</v>
      </c>
      <c r="AL71" s="10" t="s">
        <v>12097</v>
      </c>
      <c r="AM71" s="10" t="s">
        <v>175</v>
      </c>
      <c r="AN71" s="10" t="s">
        <v>12098</v>
      </c>
      <c r="AO71" s="10" t="s">
        <v>12099</v>
      </c>
      <c r="AP71" s="10" t="s">
        <v>12100</v>
      </c>
      <c r="AQ71" s="10" t="s">
        <v>74</v>
      </c>
      <c r="AR71" s="10" t="s">
        <v>12101</v>
      </c>
      <c r="AS71" s="10" t="s">
        <v>12102</v>
      </c>
      <c r="AT71" s="10" t="s">
        <v>626</v>
      </c>
      <c r="AU71" s="10">
        <v>2013</v>
      </c>
      <c r="AV71" s="10">
        <v>13</v>
      </c>
      <c r="AW71" s="10">
        <v>4</v>
      </c>
      <c r="AX71" s="10" t="s">
        <v>74</v>
      </c>
      <c r="AY71" s="10" t="s">
        <v>74</v>
      </c>
      <c r="AZ71" s="10" t="s">
        <v>74</v>
      </c>
      <c r="BA71" s="10" t="s">
        <v>74</v>
      </c>
      <c r="BB71" s="10">
        <v>336</v>
      </c>
      <c r="BC71" s="10">
        <v>339</v>
      </c>
      <c r="BD71" s="10" t="s">
        <v>74</v>
      </c>
      <c r="BE71" s="10" t="s">
        <v>12103</v>
      </c>
      <c r="BF71" s="10">
        <v>0</v>
      </c>
      <c r="BG71" s="10" t="s">
        <v>74</v>
      </c>
      <c r="BH71" s="10" t="s">
        <v>74</v>
      </c>
      <c r="BI71" s="10">
        <v>4</v>
      </c>
      <c r="BJ71" s="10" t="s">
        <v>840</v>
      </c>
      <c r="BK71" s="10" t="s">
        <v>102</v>
      </c>
      <c r="BL71" s="10" t="s">
        <v>841</v>
      </c>
      <c r="BM71" s="10" t="s">
        <v>12104</v>
      </c>
      <c r="BN71" s="10">
        <v>23908499</v>
      </c>
      <c r="BO71" s="10" t="s">
        <v>1539</v>
      </c>
      <c r="BP71" s="10" t="s">
        <v>74</v>
      </c>
      <c r="BQ71" s="10" t="s">
        <v>74</v>
      </c>
      <c r="BR71" s="10" t="s">
        <v>12946</v>
      </c>
      <c r="BS71" s="10" t="s">
        <v>12105</v>
      </c>
      <c r="BT71" s="10">
        <v>0</v>
      </c>
    </row>
    <row r="72" spans="1:72" x14ac:dyDescent="0.25">
      <c r="A72" s="10" t="s">
        <v>72</v>
      </c>
      <c r="B72" s="10" t="s">
        <v>12548</v>
      </c>
      <c r="C72" s="10" t="s">
        <v>74</v>
      </c>
      <c r="D72" s="10" t="s">
        <v>74</v>
      </c>
      <c r="E72" s="10" t="s">
        <v>74</v>
      </c>
      <c r="F72" s="10" t="s">
        <v>12549</v>
      </c>
      <c r="G72" s="10" t="s">
        <v>74</v>
      </c>
      <c r="H72" s="10" t="s">
        <v>74</v>
      </c>
      <c r="I72" s="10" t="s">
        <v>12550</v>
      </c>
      <c r="J72" s="10" t="s">
        <v>12551</v>
      </c>
      <c r="K72" s="10" t="s">
        <v>74</v>
      </c>
      <c r="L72" s="10" t="s">
        <v>74</v>
      </c>
      <c r="M72" s="10" t="s">
        <v>78</v>
      </c>
      <c r="N72" s="10" t="s">
        <v>79</v>
      </c>
      <c r="O72" s="10" t="s">
        <v>74</v>
      </c>
      <c r="P72" s="10" t="s">
        <v>74</v>
      </c>
      <c r="Q72" s="10" t="s">
        <v>74</v>
      </c>
      <c r="R72" s="10" t="s">
        <v>74</v>
      </c>
      <c r="S72" s="10" t="s">
        <v>74</v>
      </c>
      <c r="T72" s="10" t="s">
        <v>12552</v>
      </c>
      <c r="U72" s="10" t="s">
        <v>74</v>
      </c>
      <c r="V72" s="10" t="s">
        <v>12553</v>
      </c>
      <c r="W72" s="10" t="s">
        <v>12554</v>
      </c>
      <c r="X72" s="10" t="s">
        <v>74</v>
      </c>
      <c r="Y72" s="10" t="s">
        <v>12555</v>
      </c>
      <c r="Z72" s="10" t="s">
        <v>12556</v>
      </c>
      <c r="AA72" s="10" t="s">
        <v>74</v>
      </c>
      <c r="AB72" s="10" t="s">
        <v>74</v>
      </c>
      <c r="AC72" s="10" t="s">
        <v>74</v>
      </c>
      <c r="AD72" s="10" t="s">
        <v>74</v>
      </c>
      <c r="AE72" s="10" t="s">
        <v>74</v>
      </c>
      <c r="AF72" s="10" t="s">
        <v>74</v>
      </c>
      <c r="AG72" s="10">
        <v>6</v>
      </c>
      <c r="AH72" s="10">
        <v>2</v>
      </c>
      <c r="AI72" s="10">
        <v>2</v>
      </c>
      <c r="AJ72" s="10">
        <v>2</v>
      </c>
      <c r="AK72" s="10">
        <v>7</v>
      </c>
      <c r="AL72" s="10" t="s">
        <v>12557</v>
      </c>
      <c r="AM72" s="10" t="s">
        <v>12558</v>
      </c>
      <c r="AN72" s="10" t="s">
        <v>12559</v>
      </c>
      <c r="AO72" s="10" t="s">
        <v>12560</v>
      </c>
      <c r="AP72" s="10" t="s">
        <v>74</v>
      </c>
      <c r="AQ72" s="10" t="s">
        <v>74</v>
      </c>
      <c r="AR72" s="10" t="s">
        <v>12561</v>
      </c>
      <c r="AS72" s="10" t="s">
        <v>12562</v>
      </c>
      <c r="AT72" s="10" t="s">
        <v>837</v>
      </c>
      <c r="AU72" s="10">
        <v>2009</v>
      </c>
      <c r="AV72" s="10">
        <v>43</v>
      </c>
      <c r="AW72" s="10">
        <v>4</v>
      </c>
      <c r="AX72" s="10" t="s">
        <v>74</v>
      </c>
      <c r="AY72" s="10" t="s">
        <v>74</v>
      </c>
      <c r="AZ72" s="10" t="s">
        <v>74</v>
      </c>
      <c r="BA72" s="10" t="s">
        <v>74</v>
      </c>
      <c r="BB72" s="10">
        <v>501</v>
      </c>
      <c r="BC72" s="10">
        <v>508</v>
      </c>
      <c r="BD72" s="10" t="s">
        <v>74</v>
      </c>
      <c r="BE72" s="10" t="s">
        <v>12563</v>
      </c>
      <c r="BF72" s="10">
        <v>0</v>
      </c>
      <c r="BG72" s="10" t="s">
        <v>74</v>
      </c>
      <c r="BH72" s="10" t="s">
        <v>74</v>
      </c>
      <c r="BI72" s="10">
        <v>8</v>
      </c>
      <c r="BJ72" s="10" t="s">
        <v>12564</v>
      </c>
      <c r="BK72" s="10" t="s">
        <v>102</v>
      </c>
      <c r="BL72" s="10" t="s">
        <v>12564</v>
      </c>
      <c r="BM72" s="10" t="s">
        <v>12565</v>
      </c>
      <c r="BN72" s="10" t="s">
        <v>74</v>
      </c>
      <c r="BO72" s="10" t="s">
        <v>74</v>
      </c>
      <c r="BP72" s="10" t="s">
        <v>74</v>
      </c>
      <c r="BQ72" s="10" t="s">
        <v>74</v>
      </c>
      <c r="BR72" s="10" t="s">
        <v>12946</v>
      </c>
      <c r="BS72" s="10" t="s">
        <v>12566</v>
      </c>
      <c r="BT72" s="10">
        <v>0</v>
      </c>
    </row>
    <row r="73" spans="1:72" x14ac:dyDescent="0.25">
      <c r="A73" s="10" t="s">
        <v>72</v>
      </c>
      <c r="B73" s="10" t="s">
        <v>680</v>
      </c>
      <c r="C73" s="10" t="s">
        <v>74</v>
      </c>
      <c r="D73" s="10" t="s">
        <v>74</v>
      </c>
      <c r="E73" s="10" t="s">
        <v>74</v>
      </c>
      <c r="F73" s="10" t="s">
        <v>681</v>
      </c>
      <c r="G73" s="10" t="s">
        <v>74</v>
      </c>
      <c r="H73" s="10" t="s">
        <v>74</v>
      </c>
      <c r="I73" s="10" t="s">
        <v>682</v>
      </c>
      <c r="J73" s="10" t="s">
        <v>683</v>
      </c>
      <c r="K73" s="10" t="s">
        <v>74</v>
      </c>
      <c r="L73" s="10" t="s">
        <v>74</v>
      </c>
      <c r="M73" s="10" t="s">
        <v>78</v>
      </c>
      <c r="N73" s="10" t="s">
        <v>79</v>
      </c>
      <c r="O73" s="10" t="s">
        <v>74</v>
      </c>
      <c r="P73" s="10" t="s">
        <v>74</v>
      </c>
      <c r="Q73" s="10" t="s">
        <v>74</v>
      </c>
      <c r="R73" s="10" t="s">
        <v>74</v>
      </c>
      <c r="S73" s="10" t="s">
        <v>74</v>
      </c>
      <c r="T73" s="10" t="s">
        <v>74</v>
      </c>
      <c r="U73" s="10" t="s">
        <v>684</v>
      </c>
      <c r="V73" s="10" t="s">
        <v>685</v>
      </c>
      <c r="W73" s="10" t="s">
        <v>686</v>
      </c>
      <c r="X73" s="10" t="s">
        <v>687</v>
      </c>
      <c r="Y73" s="10" t="s">
        <v>688</v>
      </c>
      <c r="Z73" s="10" t="s">
        <v>689</v>
      </c>
      <c r="AA73" s="10" t="s">
        <v>13233</v>
      </c>
      <c r="AB73" s="10" t="s">
        <v>74</v>
      </c>
      <c r="AC73" s="10" t="s">
        <v>690</v>
      </c>
      <c r="AD73" s="10" t="s">
        <v>690</v>
      </c>
      <c r="AE73" s="10" t="s">
        <v>691</v>
      </c>
      <c r="AF73" s="10" t="s">
        <v>74</v>
      </c>
      <c r="AG73" s="10">
        <v>41</v>
      </c>
      <c r="AH73" s="10">
        <v>1</v>
      </c>
      <c r="AI73" s="10">
        <v>1</v>
      </c>
      <c r="AJ73" s="10">
        <v>1</v>
      </c>
      <c r="AK73" s="10">
        <v>8</v>
      </c>
      <c r="AL73" s="10" t="s">
        <v>692</v>
      </c>
      <c r="AM73" s="10" t="s">
        <v>693</v>
      </c>
      <c r="AN73" s="10" t="s">
        <v>694</v>
      </c>
      <c r="AO73" s="10" t="s">
        <v>695</v>
      </c>
      <c r="AP73" s="10" t="s">
        <v>74</v>
      </c>
      <c r="AQ73" s="10" t="s">
        <v>74</v>
      </c>
      <c r="AR73" s="10" t="s">
        <v>696</v>
      </c>
      <c r="AS73" s="10" t="s">
        <v>697</v>
      </c>
      <c r="AT73" s="10" t="s">
        <v>698</v>
      </c>
      <c r="AU73" s="10">
        <v>2023</v>
      </c>
      <c r="AV73" s="10">
        <v>13</v>
      </c>
      <c r="AW73" s="10">
        <v>1</v>
      </c>
      <c r="AX73" s="10" t="s">
        <v>74</v>
      </c>
      <c r="AY73" s="10" t="s">
        <v>74</v>
      </c>
      <c r="AZ73" s="10" t="s">
        <v>74</v>
      </c>
      <c r="BA73" s="10" t="s">
        <v>74</v>
      </c>
      <c r="BB73" s="10" t="s">
        <v>74</v>
      </c>
      <c r="BC73" s="10" t="s">
        <v>74</v>
      </c>
      <c r="BD73" s="10">
        <v>11895</v>
      </c>
      <c r="BE73" s="10" t="s">
        <v>699</v>
      </c>
      <c r="BF73" s="10">
        <v>0</v>
      </c>
      <c r="BG73" s="10" t="s">
        <v>74</v>
      </c>
      <c r="BH73" s="10" t="s">
        <v>74</v>
      </c>
      <c r="BI73" s="10">
        <v>9</v>
      </c>
      <c r="BJ73" s="10" t="s">
        <v>700</v>
      </c>
      <c r="BK73" s="10" t="s">
        <v>102</v>
      </c>
      <c r="BL73" s="10" t="s">
        <v>701</v>
      </c>
      <c r="BM73" s="10" t="s">
        <v>702</v>
      </c>
      <c r="BN73" s="10">
        <v>37482602</v>
      </c>
      <c r="BO73" s="10" t="s">
        <v>614</v>
      </c>
      <c r="BP73" s="10" t="s">
        <v>74</v>
      </c>
      <c r="BQ73" s="10" t="s">
        <v>74</v>
      </c>
      <c r="BR73" s="10" t="s">
        <v>12946</v>
      </c>
      <c r="BS73" s="10" t="s">
        <v>703</v>
      </c>
      <c r="BT73" s="10">
        <v>0</v>
      </c>
    </row>
    <row r="74" spans="1:72" x14ac:dyDescent="0.25">
      <c r="A74" s="10" t="s">
        <v>72</v>
      </c>
      <c r="B74" s="10" t="s">
        <v>726</v>
      </c>
      <c r="C74" s="10" t="s">
        <v>74</v>
      </c>
      <c r="D74" s="10" t="s">
        <v>74</v>
      </c>
      <c r="E74" s="10" t="s">
        <v>74</v>
      </c>
      <c r="F74" s="10" t="s">
        <v>727</v>
      </c>
      <c r="G74" s="10" t="s">
        <v>74</v>
      </c>
      <c r="H74" s="10" t="s">
        <v>74</v>
      </c>
      <c r="I74" s="10" t="s">
        <v>728</v>
      </c>
      <c r="J74" s="10" t="s">
        <v>729</v>
      </c>
      <c r="K74" s="10" t="s">
        <v>74</v>
      </c>
      <c r="L74" s="10" t="s">
        <v>74</v>
      </c>
      <c r="M74" s="10" t="s">
        <v>78</v>
      </c>
      <c r="N74" s="10" t="s">
        <v>79</v>
      </c>
      <c r="O74" s="10" t="s">
        <v>74</v>
      </c>
      <c r="P74" s="10" t="s">
        <v>74</v>
      </c>
      <c r="Q74" s="10" t="s">
        <v>74</v>
      </c>
      <c r="R74" s="10" t="s">
        <v>74</v>
      </c>
      <c r="S74" s="10" t="s">
        <v>74</v>
      </c>
      <c r="T74" s="10" t="s">
        <v>730</v>
      </c>
      <c r="U74" s="10" t="s">
        <v>731</v>
      </c>
      <c r="V74" s="10" t="s">
        <v>732</v>
      </c>
      <c r="W74" s="10" t="s">
        <v>733</v>
      </c>
      <c r="X74" s="10" t="s">
        <v>734</v>
      </c>
      <c r="Y74" s="10" t="s">
        <v>735</v>
      </c>
      <c r="Z74" s="10" t="s">
        <v>736</v>
      </c>
      <c r="AA74" s="10" t="s">
        <v>74</v>
      </c>
      <c r="AB74" s="10" t="s">
        <v>13234</v>
      </c>
      <c r="AC74" s="10" t="s">
        <v>74</v>
      </c>
      <c r="AD74" s="10" t="s">
        <v>74</v>
      </c>
      <c r="AE74" s="10" t="s">
        <v>74</v>
      </c>
      <c r="AF74" s="10" t="s">
        <v>74</v>
      </c>
      <c r="AG74" s="10">
        <v>35</v>
      </c>
      <c r="AH74" s="10">
        <v>1</v>
      </c>
      <c r="AI74" s="10">
        <v>1</v>
      </c>
      <c r="AJ74" s="10">
        <v>0</v>
      </c>
      <c r="AK74" s="10">
        <v>3</v>
      </c>
      <c r="AL74" s="10" t="s">
        <v>146</v>
      </c>
      <c r="AM74" s="10" t="s">
        <v>147</v>
      </c>
      <c r="AN74" s="10" t="s">
        <v>148</v>
      </c>
      <c r="AO74" s="10" t="s">
        <v>737</v>
      </c>
      <c r="AP74" s="10" t="s">
        <v>738</v>
      </c>
      <c r="AQ74" s="10" t="s">
        <v>74</v>
      </c>
      <c r="AR74" s="10" t="s">
        <v>739</v>
      </c>
      <c r="AS74" s="10" t="s">
        <v>740</v>
      </c>
      <c r="AT74" s="10" t="s">
        <v>476</v>
      </c>
      <c r="AU74" s="10">
        <v>2023</v>
      </c>
      <c r="AV74" s="10">
        <v>35</v>
      </c>
      <c r="AW74" s="10">
        <v>8</v>
      </c>
      <c r="AX74" s="10" t="s">
        <v>74</v>
      </c>
      <c r="AY74" s="10" t="s">
        <v>74</v>
      </c>
      <c r="AZ74" s="10" t="s">
        <v>74</v>
      </c>
      <c r="BA74" s="10" t="s">
        <v>74</v>
      </c>
      <c r="BB74" s="10">
        <v>1194</v>
      </c>
      <c r="BC74" s="10">
        <v>1204</v>
      </c>
      <c r="BD74" s="10" t="s">
        <v>74</v>
      </c>
      <c r="BE74" s="10" t="s">
        <v>742</v>
      </c>
      <c r="BF74" s="10">
        <v>0</v>
      </c>
      <c r="BG74" s="10" t="s">
        <v>74</v>
      </c>
      <c r="BH74" s="10" t="s">
        <v>675</v>
      </c>
      <c r="BI74" s="10">
        <v>11</v>
      </c>
      <c r="BJ74" s="10" t="s">
        <v>743</v>
      </c>
      <c r="BK74" s="10" t="s">
        <v>102</v>
      </c>
      <c r="BL74" s="10" t="s">
        <v>743</v>
      </c>
      <c r="BM74" s="10" t="s">
        <v>13235</v>
      </c>
      <c r="BN74" s="10">
        <v>37449557</v>
      </c>
      <c r="BO74" s="10" t="s">
        <v>791</v>
      </c>
      <c r="BP74" s="10" t="s">
        <v>74</v>
      </c>
      <c r="BQ74" s="10" t="s">
        <v>74</v>
      </c>
      <c r="BR74" s="10" t="s">
        <v>12946</v>
      </c>
      <c r="BS74" s="10" t="s">
        <v>745</v>
      </c>
      <c r="BT74" s="10">
        <v>0</v>
      </c>
    </row>
    <row r="75" spans="1:72" x14ac:dyDescent="0.25">
      <c r="A75" s="10" t="s">
        <v>72</v>
      </c>
      <c r="B75" s="10" t="s">
        <v>817</v>
      </c>
      <c r="C75" s="10" t="s">
        <v>74</v>
      </c>
      <c r="D75" s="10" t="s">
        <v>74</v>
      </c>
      <c r="E75" s="10" t="s">
        <v>74</v>
      </c>
      <c r="F75" s="10" t="s">
        <v>818</v>
      </c>
      <c r="G75" s="10" t="s">
        <v>74</v>
      </c>
      <c r="H75" s="10" t="s">
        <v>13236</v>
      </c>
      <c r="I75" s="10" t="s">
        <v>819</v>
      </c>
      <c r="J75" s="10" t="s">
        <v>820</v>
      </c>
      <c r="K75" s="10" t="s">
        <v>74</v>
      </c>
      <c r="L75" s="10" t="s">
        <v>74</v>
      </c>
      <c r="M75" s="10" t="s">
        <v>78</v>
      </c>
      <c r="N75" s="10" t="s">
        <v>79</v>
      </c>
      <c r="O75" s="10" t="s">
        <v>74</v>
      </c>
      <c r="P75" s="10" t="s">
        <v>74</v>
      </c>
      <c r="Q75" s="10" t="s">
        <v>74</v>
      </c>
      <c r="R75" s="10" t="s">
        <v>74</v>
      </c>
      <c r="S75" s="10" t="s">
        <v>74</v>
      </c>
      <c r="T75" s="10" t="s">
        <v>821</v>
      </c>
      <c r="U75" s="10" t="s">
        <v>822</v>
      </c>
      <c r="V75" s="10" t="s">
        <v>823</v>
      </c>
      <c r="W75" s="10" t="s">
        <v>824</v>
      </c>
      <c r="X75" s="10" t="s">
        <v>13237</v>
      </c>
      <c r="Y75" s="10" t="s">
        <v>826</v>
      </c>
      <c r="Z75" s="10" t="s">
        <v>827</v>
      </c>
      <c r="AA75" s="10" t="s">
        <v>13238</v>
      </c>
      <c r="AB75" s="10" t="s">
        <v>13239</v>
      </c>
      <c r="AC75" s="10" t="s">
        <v>830</v>
      </c>
      <c r="AD75" s="10" t="s">
        <v>831</v>
      </c>
      <c r="AE75" s="10" t="s">
        <v>832</v>
      </c>
      <c r="AF75" s="10" t="s">
        <v>74</v>
      </c>
      <c r="AG75" s="10">
        <v>34</v>
      </c>
      <c r="AH75" s="10">
        <v>1</v>
      </c>
      <c r="AI75" s="10">
        <v>1</v>
      </c>
      <c r="AJ75" s="10">
        <v>4</v>
      </c>
      <c r="AK75" s="10">
        <v>6</v>
      </c>
      <c r="AL75" s="10" t="s">
        <v>833</v>
      </c>
      <c r="AM75" s="10" t="s">
        <v>175</v>
      </c>
      <c r="AN75" s="10" t="s">
        <v>834</v>
      </c>
      <c r="AO75" s="10" t="s">
        <v>835</v>
      </c>
      <c r="AP75" s="10" t="s">
        <v>74</v>
      </c>
      <c r="AQ75" s="10" t="s">
        <v>74</v>
      </c>
      <c r="AR75" s="10" t="s">
        <v>820</v>
      </c>
      <c r="AS75" s="10" t="s">
        <v>836</v>
      </c>
      <c r="AT75" s="10" t="s">
        <v>837</v>
      </c>
      <c r="AU75" s="10">
        <v>2023</v>
      </c>
      <c r="AV75" s="10">
        <v>13</v>
      </c>
      <c r="AW75" s="10">
        <v>7</v>
      </c>
      <c r="AX75" s="10" t="s">
        <v>74</v>
      </c>
      <c r="AY75" s="10" t="s">
        <v>74</v>
      </c>
      <c r="AZ75" s="10" t="s">
        <v>74</v>
      </c>
      <c r="BA75" s="10" t="s">
        <v>74</v>
      </c>
      <c r="BB75" s="10" t="s">
        <v>74</v>
      </c>
      <c r="BC75" s="10" t="s">
        <v>74</v>
      </c>
      <c r="BD75" s="10" t="s">
        <v>838</v>
      </c>
      <c r="BE75" s="10" t="s">
        <v>839</v>
      </c>
      <c r="BF75" s="10">
        <v>0</v>
      </c>
      <c r="BG75" s="10" t="s">
        <v>74</v>
      </c>
      <c r="BH75" s="10" t="s">
        <v>74</v>
      </c>
      <c r="BI75" s="10">
        <v>11</v>
      </c>
      <c r="BJ75" s="10" t="s">
        <v>840</v>
      </c>
      <c r="BK75" s="10" t="s">
        <v>102</v>
      </c>
      <c r="BL75" s="10" t="s">
        <v>841</v>
      </c>
      <c r="BM75" s="10" t="s">
        <v>842</v>
      </c>
      <c r="BN75" s="10">
        <v>37451717</v>
      </c>
      <c r="BO75" s="10" t="s">
        <v>422</v>
      </c>
      <c r="BP75" s="10" t="s">
        <v>74</v>
      </c>
      <c r="BQ75" s="10" t="s">
        <v>74</v>
      </c>
      <c r="BR75" s="10" t="s">
        <v>12946</v>
      </c>
      <c r="BS75" s="10" t="s">
        <v>843</v>
      </c>
      <c r="BT75" s="10">
        <v>0</v>
      </c>
    </row>
    <row r="76" spans="1:72" x14ac:dyDescent="0.25">
      <c r="A76" s="10" t="s">
        <v>72</v>
      </c>
      <c r="B76" s="10" t="s">
        <v>905</v>
      </c>
      <c r="C76" s="10" t="s">
        <v>74</v>
      </c>
      <c r="D76" s="10" t="s">
        <v>74</v>
      </c>
      <c r="E76" s="10" t="s">
        <v>74</v>
      </c>
      <c r="F76" s="10" t="s">
        <v>906</v>
      </c>
      <c r="G76" s="10" t="s">
        <v>74</v>
      </c>
      <c r="H76" s="10" t="s">
        <v>74</v>
      </c>
      <c r="I76" s="10" t="s">
        <v>907</v>
      </c>
      <c r="J76" s="10" t="s">
        <v>908</v>
      </c>
      <c r="K76" s="10" t="s">
        <v>74</v>
      </c>
      <c r="L76" s="10" t="s">
        <v>74</v>
      </c>
      <c r="M76" s="10" t="s">
        <v>78</v>
      </c>
      <c r="N76" s="10" t="s">
        <v>79</v>
      </c>
      <c r="O76" s="10" t="s">
        <v>74</v>
      </c>
      <c r="P76" s="10" t="s">
        <v>74</v>
      </c>
      <c r="Q76" s="10" t="s">
        <v>74</v>
      </c>
      <c r="R76" s="10" t="s">
        <v>74</v>
      </c>
      <c r="S76" s="10" t="s">
        <v>74</v>
      </c>
      <c r="T76" s="10" t="s">
        <v>909</v>
      </c>
      <c r="U76" s="10" t="s">
        <v>910</v>
      </c>
      <c r="V76" s="10" t="s">
        <v>911</v>
      </c>
      <c r="W76" s="10" t="s">
        <v>912</v>
      </c>
      <c r="X76" s="10" t="s">
        <v>74</v>
      </c>
      <c r="Y76" s="10" t="s">
        <v>913</v>
      </c>
      <c r="Z76" s="10" t="s">
        <v>914</v>
      </c>
      <c r="AA76" s="10" t="s">
        <v>74</v>
      </c>
      <c r="AB76" s="10" t="s">
        <v>13240</v>
      </c>
      <c r="AC76" s="10" t="s">
        <v>74</v>
      </c>
      <c r="AD76" s="10" t="s">
        <v>74</v>
      </c>
      <c r="AE76" s="10" t="s">
        <v>74</v>
      </c>
      <c r="AF76" s="10" t="s">
        <v>74</v>
      </c>
      <c r="AG76" s="10">
        <v>20</v>
      </c>
      <c r="AH76" s="10">
        <v>1</v>
      </c>
      <c r="AI76" s="10">
        <v>1</v>
      </c>
      <c r="AJ76" s="10">
        <v>0</v>
      </c>
      <c r="AK76" s="10">
        <v>1</v>
      </c>
      <c r="AL76" s="10" t="s">
        <v>833</v>
      </c>
      <c r="AM76" s="10" t="s">
        <v>175</v>
      </c>
      <c r="AN76" s="10" t="s">
        <v>834</v>
      </c>
      <c r="AO76" s="10" t="s">
        <v>74</v>
      </c>
      <c r="AP76" s="10" t="s">
        <v>916</v>
      </c>
      <c r="AQ76" s="10" t="s">
        <v>74</v>
      </c>
      <c r="AR76" s="10" t="s">
        <v>917</v>
      </c>
      <c r="AS76" s="10" t="s">
        <v>918</v>
      </c>
      <c r="AT76" s="10" t="s">
        <v>837</v>
      </c>
      <c r="AU76" s="10">
        <v>2023</v>
      </c>
      <c r="AV76" s="10">
        <v>12</v>
      </c>
      <c r="AW76" s="10">
        <v>3</v>
      </c>
      <c r="AX76" s="10" t="s">
        <v>74</v>
      </c>
      <c r="AY76" s="10" t="s">
        <v>74</v>
      </c>
      <c r="AZ76" s="10" t="s">
        <v>74</v>
      </c>
      <c r="BA76" s="10" t="s">
        <v>74</v>
      </c>
      <c r="BB76" s="10" t="s">
        <v>74</v>
      </c>
      <c r="BC76" s="10" t="s">
        <v>74</v>
      </c>
      <c r="BD76" s="10" t="s">
        <v>919</v>
      </c>
      <c r="BE76" s="10" t="s">
        <v>920</v>
      </c>
      <c r="BF76" s="10">
        <v>0</v>
      </c>
      <c r="BG76" s="10" t="s">
        <v>74</v>
      </c>
      <c r="BH76" s="10" t="s">
        <v>74</v>
      </c>
      <c r="BI76" s="10">
        <v>5</v>
      </c>
      <c r="BJ76" s="10" t="s">
        <v>921</v>
      </c>
      <c r="BK76" s="10" t="s">
        <v>183</v>
      </c>
      <c r="BL76" s="10" t="s">
        <v>922</v>
      </c>
      <c r="BM76" s="10" t="s">
        <v>923</v>
      </c>
      <c r="BN76" s="10">
        <v>37553274</v>
      </c>
      <c r="BO76" s="10" t="s">
        <v>422</v>
      </c>
      <c r="BP76" s="10" t="s">
        <v>74</v>
      </c>
      <c r="BQ76" s="10" t="s">
        <v>74</v>
      </c>
      <c r="BR76" s="10" t="s">
        <v>12946</v>
      </c>
      <c r="BS76" s="10" t="s">
        <v>924</v>
      </c>
      <c r="BT76" s="10">
        <v>0</v>
      </c>
    </row>
    <row r="77" spans="1:72" x14ac:dyDescent="0.25">
      <c r="A77" s="10" t="s">
        <v>72</v>
      </c>
      <c r="B77" s="10" t="s">
        <v>1564</v>
      </c>
      <c r="C77" s="10" t="s">
        <v>74</v>
      </c>
      <c r="D77" s="10" t="s">
        <v>74</v>
      </c>
      <c r="E77" s="10" t="s">
        <v>74</v>
      </c>
      <c r="F77" s="10" t="s">
        <v>1565</v>
      </c>
      <c r="G77" s="10" t="s">
        <v>74</v>
      </c>
      <c r="H77" s="10" t="s">
        <v>74</v>
      </c>
      <c r="I77" s="10" t="s">
        <v>1566</v>
      </c>
      <c r="J77" s="10" t="s">
        <v>1567</v>
      </c>
      <c r="K77" s="10" t="s">
        <v>74</v>
      </c>
      <c r="L77" s="10" t="s">
        <v>74</v>
      </c>
      <c r="M77" s="10" t="s">
        <v>78</v>
      </c>
      <c r="N77" s="10" t="s">
        <v>79</v>
      </c>
      <c r="O77" s="10" t="s">
        <v>74</v>
      </c>
      <c r="P77" s="10" t="s">
        <v>74</v>
      </c>
      <c r="Q77" s="10" t="s">
        <v>74</v>
      </c>
      <c r="R77" s="10" t="s">
        <v>74</v>
      </c>
      <c r="S77" s="10" t="s">
        <v>74</v>
      </c>
      <c r="T77" s="10" t="s">
        <v>1568</v>
      </c>
      <c r="U77" s="10" t="s">
        <v>74</v>
      </c>
      <c r="V77" s="10" t="s">
        <v>1569</v>
      </c>
      <c r="W77" s="10" t="s">
        <v>1570</v>
      </c>
      <c r="X77" s="10" t="s">
        <v>1571</v>
      </c>
      <c r="Y77" s="10" t="s">
        <v>1572</v>
      </c>
      <c r="Z77" s="10" t="s">
        <v>1573</v>
      </c>
      <c r="AA77" s="10" t="s">
        <v>13241</v>
      </c>
      <c r="AB77" s="10" t="s">
        <v>13242</v>
      </c>
      <c r="AC77" s="10" t="s">
        <v>1576</v>
      </c>
      <c r="AD77" s="10" t="s">
        <v>1577</v>
      </c>
      <c r="AE77" s="10" t="s">
        <v>1578</v>
      </c>
      <c r="AF77" s="10" t="s">
        <v>74</v>
      </c>
      <c r="AG77" s="10">
        <v>61</v>
      </c>
      <c r="AH77" s="10">
        <v>1</v>
      </c>
      <c r="AI77" s="10">
        <v>1</v>
      </c>
      <c r="AJ77" s="10">
        <v>4</v>
      </c>
      <c r="AK77" s="10">
        <v>15</v>
      </c>
      <c r="AL77" s="10" t="s">
        <v>1382</v>
      </c>
      <c r="AM77" s="10" t="s">
        <v>1383</v>
      </c>
      <c r="AN77" s="10" t="s">
        <v>1384</v>
      </c>
      <c r="AO77" s="10" t="s">
        <v>74</v>
      </c>
      <c r="AP77" s="10" t="s">
        <v>1579</v>
      </c>
      <c r="AQ77" s="10" t="s">
        <v>74</v>
      </c>
      <c r="AR77" s="10" t="s">
        <v>1580</v>
      </c>
      <c r="AS77" s="10" t="s">
        <v>1581</v>
      </c>
      <c r="AT77" s="10" t="s">
        <v>1582</v>
      </c>
      <c r="AU77" s="10">
        <v>2023</v>
      </c>
      <c r="AV77" s="10">
        <v>11</v>
      </c>
      <c r="AW77" s="10" t="s">
        <v>74</v>
      </c>
      <c r="AX77" s="10" t="s">
        <v>74</v>
      </c>
      <c r="AY77" s="10" t="s">
        <v>74</v>
      </c>
      <c r="AZ77" s="10" t="s">
        <v>74</v>
      </c>
      <c r="BA77" s="10" t="s">
        <v>74</v>
      </c>
      <c r="BB77" s="10" t="s">
        <v>74</v>
      </c>
      <c r="BC77" s="10" t="s">
        <v>74</v>
      </c>
      <c r="BD77" s="10">
        <v>1130079</v>
      </c>
      <c r="BE77" s="10" t="s">
        <v>1583</v>
      </c>
      <c r="BF77" s="10">
        <v>0</v>
      </c>
      <c r="BG77" s="10" t="s">
        <v>74</v>
      </c>
      <c r="BH77" s="10" t="s">
        <v>74</v>
      </c>
      <c r="BI77" s="10">
        <v>6</v>
      </c>
      <c r="BJ77" s="10" t="s">
        <v>1584</v>
      </c>
      <c r="BK77" s="10" t="s">
        <v>211</v>
      </c>
      <c r="BL77" s="10" t="s">
        <v>1584</v>
      </c>
      <c r="BM77" s="10" t="s">
        <v>1585</v>
      </c>
      <c r="BN77" s="10">
        <v>37033062</v>
      </c>
      <c r="BO77" s="10" t="s">
        <v>614</v>
      </c>
      <c r="BP77" s="10" t="s">
        <v>74</v>
      </c>
      <c r="BQ77" s="10" t="s">
        <v>74</v>
      </c>
      <c r="BR77" s="10" t="s">
        <v>12946</v>
      </c>
      <c r="BS77" s="10" t="s">
        <v>1586</v>
      </c>
      <c r="BT77" s="10">
        <v>0</v>
      </c>
    </row>
    <row r="78" spans="1:72" x14ac:dyDescent="0.25">
      <c r="A78" s="10" t="s">
        <v>72</v>
      </c>
      <c r="B78" s="10" t="s">
        <v>4633</v>
      </c>
      <c r="C78" s="10" t="s">
        <v>74</v>
      </c>
      <c r="D78" s="10" t="s">
        <v>74</v>
      </c>
      <c r="E78" s="10" t="s">
        <v>74</v>
      </c>
      <c r="F78" s="10" t="s">
        <v>4634</v>
      </c>
      <c r="G78" s="10" t="s">
        <v>74</v>
      </c>
      <c r="H78" s="10" t="s">
        <v>74</v>
      </c>
      <c r="I78" s="10" t="s">
        <v>4635</v>
      </c>
      <c r="J78" s="10" t="s">
        <v>4636</v>
      </c>
      <c r="K78" s="10" t="s">
        <v>74</v>
      </c>
      <c r="L78" s="10" t="s">
        <v>74</v>
      </c>
      <c r="M78" s="10" t="s">
        <v>4637</v>
      </c>
      <c r="N78" s="10" t="s">
        <v>79</v>
      </c>
      <c r="O78" s="10" t="s">
        <v>74</v>
      </c>
      <c r="P78" s="10" t="s">
        <v>74</v>
      </c>
      <c r="Q78" s="10" t="s">
        <v>74</v>
      </c>
      <c r="R78" s="10" t="s">
        <v>74</v>
      </c>
      <c r="S78" s="10" t="s">
        <v>74</v>
      </c>
      <c r="T78" s="10" t="s">
        <v>4638</v>
      </c>
      <c r="U78" s="10" t="s">
        <v>4639</v>
      </c>
      <c r="V78" s="10" t="s">
        <v>4640</v>
      </c>
      <c r="W78" s="10" t="s">
        <v>4641</v>
      </c>
      <c r="X78" s="10" t="s">
        <v>4642</v>
      </c>
      <c r="Y78" s="10" t="s">
        <v>4643</v>
      </c>
      <c r="Z78" s="10" t="s">
        <v>74</v>
      </c>
      <c r="AA78" s="10" t="s">
        <v>74</v>
      </c>
      <c r="AB78" s="10" t="s">
        <v>74</v>
      </c>
      <c r="AC78" s="10" t="s">
        <v>74</v>
      </c>
      <c r="AD78" s="10" t="s">
        <v>74</v>
      </c>
      <c r="AE78" s="10" t="s">
        <v>74</v>
      </c>
      <c r="AF78" s="10" t="s">
        <v>74</v>
      </c>
      <c r="AG78" s="10">
        <v>23</v>
      </c>
      <c r="AH78" s="10">
        <v>1</v>
      </c>
      <c r="AI78" s="10">
        <v>1</v>
      </c>
      <c r="AJ78" s="10">
        <v>0</v>
      </c>
      <c r="AK78" s="10">
        <v>0</v>
      </c>
      <c r="AL78" s="10" t="s">
        <v>4644</v>
      </c>
      <c r="AM78" s="10" t="s">
        <v>4645</v>
      </c>
      <c r="AN78" s="10" t="s">
        <v>4646</v>
      </c>
      <c r="AO78" s="10" t="s">
        <v>4647</v>
      </c>
      <c r="AP78" s="10" t="s">
        <v>4648</v>
      </c>
      <c r="AQ78" s="10" t="s">
        <v>74</v>
      </c>
      <c r="AR78" s="10" t="s">
        <v>4649</v>
      </c>
      <c r="AS78" s="10" t="s">
        <v>4650</v>
      </c>
      <c r="AT78" s="10" t="s">
        <v>4651</v>
      </c>
      <c r="AU78" s="10">
        <v>2022</v>
      </c>
      <c r="AV78" s="10">
        <v>47</v>
      </c>
      <c r="AW78" s="10">
        <v>1</v>
      </c>
      <c r="AX78" s="10" t="s">
        <v>74</v>
      </c>
      <c r="AY78" s="10" t="s">
        <v>74</v>
      </c>
      <c r="AZ78" s="10" t="s">
        <v>74</v>
      </c>
      <c r="BA78" s="10" t="s">
        <v>74</v>
      </c>
      <c r="BB78" s="10">
        <v>333</v>
      </c>
      <c r="BC78" s="10">
        <v>356</v>
      </c>
      <c r="BD78" s="10" t="s">
        <v>74</v>
      </c>
      <c r="BE78" s="10" t="s">
        <v>74</v>
      </c>
      <c r="BF78" s="10" t="s">
        <v>74</v>
      </c>
      <c r="BG78" s="10" t="s">
        <v>74</v>
      </c>
      <c r="BH78" s="10" t="s">
        <v>74</v>
      </c>
      <c r="BI78" s="10">
        <v>24</v>
      </c>
      <c r="BJ78" s="10" t="s">
        <v>4060</v>
      </c>
      <c r="BK78" s="10" t="s">
        <v>183</v>
      </c>
      <c r="BL78" s="10" t="s">
        <v>4060</v>
      </c>
      <c r="BM78" s="10" t="s">
        <v>4652</v>
      </c>
      <c r="BN78" s="10">
        <v>36548805</v>
      </c>
      <c r="BO78" s="10" t="s">
        <v>74</v>
      </c>
      <c r="BP78" s="10" t="s">
        <v>74</v>
      </c>
      <c r="BQ78" s="10" t="s">
        <v>74</v>
      </c>
      <c r="BR78" s="10" t="s">
        <v>12946</v>
      </c>
      <c r="BS78" s="10" t="s">
        <v>4653</v>
      </c>
      <c r="BT78" s="10">
        <v>0</v>
      </c>
    </row>
    <row r="79" spans="1:72" x14ac:dyDescent="0.25">
      <c r="A79" s="10" t="s">
        <v>72</v>
      </c>
      <c r="B79" s="10" t="s">
        <v>4677</v>
      </c>
      <c r="C79" s="10" t="s">
        <v>74</v>
      </c>
      <c r="D79" s="10" t="s">
        <v>74</v>
      </c>
      <c r="E79" s="10" t="s">
        <v>74</v>
      </c>
      <c r="F79" s="10" t="s">
        <v>4678</v>
      </c>
      <c r="G79" s="10" t="s">
        <v>74</v>
      </c>
      <c r="H79" s="10" t="s">
        <v>74</v>
      </c>
      <c r="I79" s="10" t="s">
        <v>4679</v>
      </c>
      <c r="J79" s="10" t="s">
        <v>4680</v>
      </c>
      <c r="K79" s="10" t="s">
        <v>74</v>
      </c>
      <c r="L79" s="10" t="s">
        <v>74</v>
      </c>
      <c r="M79" s="10" t="s">
        <v>78</v>
      </c>
      <c r="N79" s="10" t="s">
        <v>79</v>
      </c>
      <c r="O79" s="10" t="s">
        <v>74</v>
      </c>
      <c r="P79" s="10" t="s">
        <v>74</v>
      </c>
      <c r="Q79" s="10" t="s">
        <v>74</v>
      </c>
      <c r="R79" s="10" t="s">
        <v>74</v>
      </c>
      <c r="S79" s="10" t="s">
        <v>74</v>
      </c>
      <c r="T79" s="10" t="s">
        <v>4681</v>
      </c>
      <c r="U79" s="10" t="s">
        <v>74</v>
      </c>
      <c r="V79" s="10" t="s">
        <v>4682</v>
      </c>
      <c r="W79" s="10" t="s">
        <v>4683</v>
      </c>
      <c r="X79" s="10" t="s">
        <v>4684</v>
      </c>
      <c r="Y79" s="10" t="s">
        <v>4685</v>
      </c>
      <c r="Z79" s="10" t="s">
        <v>4686</v>
      </c>
      <c r="AA79" s="10" t="s">
        <v>13243</v>
      </c>
      <c r="AB79" s="10" t="s">
        <v>13244</v>
      </c>
      <c r="AC79" s="10" t="s">
        <v>4689</v>
      </c>
      <c r="AD79" s="10" t="s">
        <v>4690</v>
      </c>
      <c r="AE79" s="10" t="s">
        <v>4691</v>
      </c>
      <c r="AF79" s="10" t="s">
        <v>74</v>
      </c>
      <c r="AG79" s="10">
        <v>24</v>
      </c>
      <c r="AH79" s="10">
        <v>1</v>
      </c>
      <c r="AI79" s="10">
        <v>1</v>
      </c>
      <c r="AJ79" s="10">
        <v>0</v>
      </c>
      <c r="AK79" s="10">
        <v>4</v>
      </c>
      <c r="AL79" s="10" t="s">
        <v>332</v>
      </c>
      <c r="AM79" s="10" t="s">
        <v>122</v>
      </c>
      <c r="AN79" s="10" t="s">
        <v>333</v>
      </c>
      <c r="AO79" s="10" t="s">
        <v>4692</v>
      </c>
      <c r="AP79" s="10" t="s">
        <v>4693</v>
      </c>
      <c r="AQ79" s="10" t="s">
        <v>74</v>
      </c>
      <c r="AR79" s="10" t="s">
        <v>4694</v>
      </c>
      <c r="AS79" s="10" t="s">
        <v>4695</v>
      </c>
      <c r="AT79" s="10" t="s">
        <v>1683</v>
      </c>
      <c r="AU79" s="10">
        <v>2022</v>
      </c>
      <c r="AV79" s="10">
        <v>114</v>
      </c>
      <c r="AW79" s="10" t="s">
        <v>74</v>
      </c>
      <c r="AX79" s="10" t="s">
        <v>74</v>
      </c>
      <c r="AY79" s="10" t="s">
        <v>74</v>
      </c>
      <c r="AZ79" s="10" t="s">
        <v>74</v>
      </c>
      <c r="BA79" s="10" t="s">
        <v>74</v>
      </c>
      <c r="BB79" s="10" t="s">
        <v>74</v>
      </c>
      <c r="BC79" s="10" t="s">
        <v>74</v>
      </c>
      <c r="BD79" s="10">
        <v>106687</v>
      </c>
      <c r="BE79" s="10" t="s">
        <v>4696</v>
      </c>
      <c r="BF79" s="10">
        <v>0</v>
      </c>
      <c r="BG79" s="10" t="s">
        <v>74</v>
      </c>
      <c r="BH79" s="10" t="s">
        <v>4674</v>
      </c>
      <c r="BI79" s="10">
        <v>4</v>
      </c>
      <c r="BJ79" s="10" t="s">
        <v>4697</v>
      </c>
      <c r="BK79" s="10" t="s">
        <v>102</v>
      </c>
      <c r="BL79" s="10" t="s">
        <v>4698</v>
      </c>
      <c r="BM79" s="10" t="s">
        <v>4699</v>
      </c>
      <c r="BN79" s="10">
        <v>35085830</v>
      </c>
      <c r="BO79" s="10" t="s">
        <v>2623</v>
      </c>
      <c r="BP79" s="10" t="s">
        <v>74</v>
      </c>
      <c r="BQ79" s="10" t="s">
        <v>74</v>
      </c>
      <c r="BR79" s="10" t="s">
        <v>12946</v>
      </c>
      <c r="BS79" s="10" t="s">
        <v>4700</v>
      </c>
      <c r="BT79" s="10">
        <v>0</v>
      </c>
    </row>
    <row r="80" spans="1:72" x14ac:dyDescent="0.25">
      <c r="A80" s="10" t="s">
        <v>72</v>
      </c>
      <c r="B80" s="10" t="s">
        <v>6094</v>
      </c>
      <c r="C80" s="10" t="s">
        <v>74</v>
      </c>
      <c r="D80" s="10" t="s">
        <v>74</v>
      </c>
      <c r="E80" s="10" t="s">
        <v>74</v>
      </c>
      <c r="F80" s="10" t="s">
        <v>6095</v>
      </c>
      <c r="G80" s="10" t="s">
        <v>74</v>
      </c>
      <c r="H80" s="10" t="s">
        <v>74</v>
      </c>
      <c r="I80" s="10" t="s">
        <v>6096</v>
      </c>
      <c r="J80" s="10" t="s">
        <v>6097</v>
      </c>
      <c r="K80" s="10" t="s">
        <v>74</v>
      </c>
      <c r="L80" s="10" t="s">
        <v>74</v>
      </c>
      <c r="M80" s="10" t="s">
        <v>78</v>
      </c>
      <c r="N80" s="10" t="s">
        <v>79</v>
      </c>
      <c r="O80" s="10" t="s">
        <v>74</v>
      </c>
      <c r="P80" s="10" t="s">
        <v>74</v>
      </c>
      <c r="Q80" s="10" t="s">
        <v>74</v>
      </c>
      <c r="R80" s="10" t="s">
        <v>74</v>
      </c>
      <c r="S80" s="10" t="s">
        <v>74</v>
      </c>
      <c r="T80" s="10" t="s">
        <v>6098</v>
      </c>
      <c r="U80" s="10" t="s">
        <v>6099</v>
      </c>
      <c r="V80" s="10" t="s">
        <v>6100</v>
      </c>
      <c r="W80" s="10" t="s">
        <v>6101</v>
      </c>
      <c r="X80" s="10" t="s">
        <v>6102</v>
      </c>
      <c r="Y80" s="10" t="s">
        <v>6103</v>
      </c>
      <c r="Z80" s="10" t="s">
        <v>6104</v>
      </c>
      <c r="AA80" s="10" t="s">
        <v>13245</v>
      </c>
      <c r="AB80" s="10" t="s">
        <v>74</v>
      </c>
      <c r="AC80" s="10" t="s">
        <v>6107</v>
      </c>
      <c r="AD80" s="10" t="s">
        <v>6108</v>
      </c>
      <c r="AE80" s="10" t="s">
        <v>6109</v>
      </c>
      <c r="AF80" s="10" t="s">
        <v>74</v>
      </c>
      <c r="AG80" s="10">
        <v>12</v>
      </c>
      <c r="AH80" s="10">
        <v>1</v>
      </c>
      <c r="AI80" s="10">
        <v>1</v>
      </c>
      <c r="AJ80" s="10">
        <v>1</v>
      </c>
      <c r="AK80" s="10">
        <v>7</v>
      </c>
      <c r="AL80" s="10" t="s">
        <v>6110</v>
      </c>
      <c r="AM80" s="10" t="s">
        <v>6111</v>
      </c>
      <c r="AN80" s="10" t="s">
        <v>6112</v>
      </c>
      <c r="AO80" s="10" t="s">
        <v>6113</v>
      </c>
      <c r="AP80" s="10" t="s">
        <v>74</v>
      </c>
      <c r="AQ80" s="10" t="s">
        <v>74</v>
      </c>
      <c r="AR80" s="10" t="s">
        <v>6114</v>
      </c>
      <c r="AS80" s="10" t="s">
        <v>6115</v>
      </c>
      <c r="AT80" s="10" t="s">
        <v>837</v>
      </c>
      <c r="AU80" s="10">
        <v>2021</v>
      </c>
      <c r="AV80" s="10">
        <v>15</v>
      </c>
      <c r="AW80" s="10">
        <v>7</v>
      </c>
      <c r="AX80" s="10" t="s">
        <v>74</v>
      </c>
      <c r="AY80" s="10" t="s">
        <v>74</v>
      </c>
      <c r="AZ80" s="10" t="s">
        <v>74</v>
      </c>
      <c r="BA80" s="10" t="s">
        <v>74</v>
      </c>
      <c r="BB80" s="10">
        <v>1668</v>
      </c>
      <c r="BC80" s="10">
        <v>1671</v>
      </c>
      <c r="BD80" s="10" t="s">
        <v>74</v>
      </c>
      <c r="BE80" s="10" t="s">
        <v>6116</v>
      </c>
      <c r="BF80" s="10">
        <v>0</v>
      </c>
      <c r="BG80" s="10" t="s">
        <v>74</v>
      </c>
      <c r="BH80" s="10" t="s">
        <v>74</v>
      </c>
      <c r="BI80" s="10">
        <v>4</v>
      </c>
      <c r="BJ80" s="10" t="s">
        <v>840</v>
      </c>
      <c r="BK80" s="10" t="s">
        <v>183</v>
      </c>
      <c r="BL80" s="10" t="s">
        <v>841</v>
      </c>
      <c r="BM80" s="10" t="s">
        <v>6117</v>
      </c>
      <c r="BN80" s="10" t="s">
        <v>74</v>
      </c>
      <c r="BO80" s="10" t="s">
        <v>791</v>
      </c>
      <c r="BP80" s="10" t="s">
        <v>74</v>
      </c>
      <c r="BQ80" s="10" t="s">
        <v>74</v>
      </c>
      <c r="BR80" s="10" t="s">
        <v>12946</v>
      </c>
      <c r="BS80" s="10" t="s">
        <v>6118</v>
      </c>
      <c r="BT80" s="10">
        <v>0</v>
      </c>
    </row>
    <row r="81" spans="1:72" x14ac:dyDescent="0.25">
      <c r="A81" s="10" t="s">
        <v>72</v>
      </c>
      <c r="B81" s="10" t="s">
        <v>11787</v>
      </c>
      <c r="C81" s="10" t="s">
        <v>74</v>
      </c>
      <c r="D81" s="10" t="s">
        <v>74</v>
      </c>
      <c r="E81" s="10" t="s">
        <v>74</v>
      </c>
      <c r="F81" s="10" t="s">
        <v>11788</v>
      </c>
      <c r="G81" s="10" t="s">
        <v>74</v>
      </c>
      <c r="H81" s="10" t="s">
        <v>74</v>
      </c>
      <c r="I81" s="10" t="s">
        <v>11789</v>
      </c>
      <c r="J81" s="10" t="s">
        <v>11790</v>
      </c>
      <c r="K81" s="10" t="s">
        <v>74</v>
      </c>
      <c r="L81" s="10" t="s">
        <v>74</v>
      </c>
      <c r="M81" s="10" t="s">
        <v>78</v>
      </c>
      <c r="N81" s="10" t="s">
        <v>79</v>
      </c>
      <c r="O81" s="10" t="s">
        <v>74</v>
      </c>
      <c r="P81" s="10" t="s">
        <v>74</v>
      </c>
      <c r="Q81" s="10" t="s">
        <v>74</v>
      </c>
      <c r="R81" s="10" t="s">
        <v>74</v>
      </c>
      <c r="S81" s="10" t="s">
        <v>74</v>
      </c>
      <c r="T81" s="10" t="s">
        <v>11791</v>
      </c>
      <c r="U81" s="10" t="s">
        <v>11792</v>
      </c>
      <c r="V81" s="10" t="s">
        <v>11793</v>
      </c>
      <c r="W81" s="10" t="s">
        <v>11794</v>
      </c>
      <c r="X81" s="10" t="s">
        <v>11795</v>
      </c>
      <c r="Y81" s="10" t="s">
        <v>11796</v>
      </c>
      <c r="Z81" s="10" t="s">
        <v>11797</v>
      </c>
      <c r="AA81" s="10" t="s">
        <v>74</v>
      </c>
      <c r="AB81" s="10" t="s">
        <v>74</v>
      </c>
      <c r="AC81" s="10" t="s">
        <v>74</v>
      </c>
      <c r="AD81" s="10" t="s">
        <v>74</v>
      </c>
      <c r="AE81" s="10" t="s">
        <v>74</v>
      </c>
      <c r="AF81" s="10" t="s">
        <v>74</v>
      </c>
      <c r="AG81" s="10">
        <v>7</v>
      </c>
      <c r="AH81" s="10">
        <v>1</v>
      </c>
      <c r="AI81" s="10">
        <v>2</v>
      </c>
      <c r="AJ81" s="10">
        <v>0</v>
      </c>
      <c r="AK81" s="10">
        <v>0</v>
      </c>
      <c r="AL81" s="10" t="s">
        <v>11798</v>
      </c>
      <c r="AM81" s="10" t="s">
        <v>11799</v>
      </c>
      <c r="AN81" s="10" t="s">
        <v>11800</v>
      </c>
      <c r="AO81" s="10" t="s">
        <v>11801</v>
      </c>
      <c r="AP81" s="10" t="s">
        <v>11802</v>
      </c>
      <c r="AQ81" s="10" t="s">
        <v>74</v>
      </c>
      <c r="AR81" s="10" t="s">
        <v>11803</v>
      </c>
      <c r="AS81" s="10" t="s">
        <v>11804</v>
      </c>
      <c r="AT81" s="10" t="s">
        <v>837</v>
      </c>
      <c r="AU81" s="10">
        <v>2014</v>
      </c>
      <c r="AV81" s="10">
        <v>69</v>
      </c>
      <c r="AW81" s="10">
        <v>3</v>
      </c>
      <c r="AX81" s="10" t="s">
        <v>74</v>
      </c>
      <c r="AY81" s="10" t="s">
        <v>74</v>
      </c>
      <c r="AZ81" s="10" t="s">
        <v>74</v>
      </c>
      <c r="BA81" s="10" t="s">
        <v>74</v>
      </c>
      <c r="BB81" s="10">
        <v>573</v>
      </c>
      <c r="BC81" s="10">
        <v>575</v>
      </c>
      <c r="BD81" s="10" t="s">
        <v>74</v>
      </c>
      <c r="BE81" s="10" t="s">
        <v>11805</v>
      </c>
      <c r="BF81" s="10">
        <v>0</v>
      </c>
      <c r="BG81" s="10" t="s">
        <v>74</v>
      </c>
      <c r="BH81" s="10" t="s">
        <v>74</v>
      </c>
      <c r="BI81" s="10">
        <v>3</v>
      </c>
      <c r="BJ81" s="10" t="s">
        <v>11806</v>
      </c>
      <c r="BK81" s="10" t="s">
        <v>102</v>
      </c>
      <c r="BL81" s="10" t="s">
        <v>11806</v>
      </c>
      <c r="BM81" s="10" t="s">
        <v>11807</v>
      </c>
      <c r="BN81" s="10">
        <v>24554484</v>
      </c>
      <c r="BO81" s="10" t="s">
        <v>74</v>
      </c>
      <c r="BP81" s="10" t="s">
        <v>74</v>
      </c>
      <c r="BQ81" s="10" t="s">
        <v>74</v>
      </c>
      <c r="BR81" s="10" t="s">
        <v>12946</v>
      </c>
      <c r="BS81" s="10" t="s">
        <v>11808</v>
      </c>
      <c r="BT81" s="10">
        <v>0</v>
      </c>
    </row>
    <row r="82" spans="1:72" x14ac:dyDescent="0.25">
      <c r="A82" s="10" t="s">
        <v>72</v>
      </c>
      <c r="B82" s="10" t="s">
        <v>108</v>
      </c>
      <c r="C82" s="10" t="s">
        <v>74</v>
      </c>
      <c r="D82" s="10" t="s">
        <v>74</v>
      </c>
      <c r="E82" s="10" t="s">
        <v>74</v>
      </c>
      <c r="F82" s="10" t="s">
        <v>109</v>
      </c>
      <c r="G82" s="10" t="s">
        <v>74</v>
      </c>
      <c r="H82" s="10" t="s">
        <v>74</v>
      </c>
      <c r="I82" s="10" t="s">
        <v>110</v>
      </c>
      <c r="J82" s="10" t="s">
        <v>111</v>
      </c>
      <c r="K82" s="10" t="s">
        <v>74</v>
      </c>
      <c r="L82" s="10" t="s">
        <v>74</v>
      </c>
      <c r="M82" s="10" t="s">
        <v>78</v>
      </c>
      <c r="N82" s="10" t="s">
        <v>79</v>
      </c>
      <c r="O82" s="10" t="s">
        <v>74</v>
      </c>
      <c r="P82" s="10" t="s">
        <v>74</v>
      </c>
      <c r="Q82" s="10" t="s">
        <v>74</v>
      </c>
      <c r="R82" s="10" t="s">
        <v>74</v>
      </c>
      <c r="S82" s="10" t="s">
        <v>74</v>
      </c>
      <c r="T82" s="10" t="s">
        <v>113</v>
      </c>
      <c r="U82" s="10" t="s">
        <v>74</v>
      </c>
      <c r="V82" s="10" t="s">
        <v>114</v>
      </c>
      <c r="W82" s="10" t="s">
        <v>115</v>
      </c>
      <c r="X82" s="10" t="s">
        <v>116</v>
      </c>
      <c r="Y82" s="10" t="s">
        <v>117</v>
      </c>
      <c r="Z82" s="10" t="s">
        <v>118</v>
      </c>
      <c r="AA82" s="10" t="s">
        <v>13246</v>
      </c>
      <c r="AB82" s="10" t="s">
        <v>13247</v>
      </c>
      <c r="AC82" s="10" t="s">
        <v>120</v>
      </c>
      <c r="AD82" s="10" t="s">
        <v>120</v>
      </c>
      <c r="AE82" s="10" t="s">
        <v>120</v>
      </c>
      <c r="AF82" s="10" t="s">
        <v>74</v>
      </c>
      <c r="AG82" s="10">
        <v>22</v>
      </c>
      <c r="AH82" s="10">
        <v>0</v>
      </c>
      <c r="AI82" s="10">
        <v>0</v>
      </c>
      <c r="AJ82" s="10">
        <v>0</v>
      </c>
      <c r="AK82" s="10">
        <v>2</v>
      </c>
      <c r="AL82" s="10" t="s">
        <v>121</v>
      </c>
      <c r="AM82" s="10" t="s">
        <v>122</v>
      </c>
      <c r="AN82" s="10" t="s">
        <v>123</v>
      </c>
      <c r="AO82" s="10" t="s">
        <v>124</v>
      </c>
      <c r="AP82" s="10" t="s">
        <v>125</v>
      </c>
      <c r="AQ82" s="10" t="s">
        <v>74</v>
      </c>
      <c r="AR82" s="10" t="s">
        <v>126</v>
      </c>
      <c r="AS82" s="10" t="s">
        <v>127</v>
      </c>
      <c r="AT82" s="10" t="s">
        <v>1904</v>
      </c>
      <c r="AU82" s="10">
        <v>2024</v>
      </c>
      <c r="AV82" s="10">
        <v>39</v>
      </c>
      <c r="AW82" s="10">
        <v>1</v>
      </c>
      <c r="AX82" s="10" t="s">
        <v>74</v>
      </c>
      <c r="AY82" s="10" t="s">
        <v>74</v>
      </c>
      <c r="AZ82" s="10" t="s">
        <v>74</v>
      </c>
      <c r="BA82" s="10" t="s">
        <v>74</v>
      </c>
      <c r="BB82" s="10">
        <v>50</v>
      </c>
      <c r="BC82" s="10">
        <v>57</v>
      </c>
      <c r="BD82" s="10" t="s">
        <v>74</v>
      </c>
      <c r="BE82" s="10" t="s">
        <v>129</v>
      </c>
      <c r="BF82" s="10">
        <v>0</v>
      </c>
      <c r="BG82" s="10" t="s">
        <v>74</v>
      </c>
      <c r="BH82" s="10" t="s">
        <v>130</v>
      </c>
      <c r="BI82" s="10">
        <v>8</v>
      </c>
      <c r="BJ82" s="10" t="s">
        <v>131</v>
      </c>
      <c r="BK82" s="10" t="s">
        <v>102</v>
      </c>
      <c r="BL82" s="10" t="s">
        <v>132</v>
      </c>
      <c r="BM82" s="10" t="s">
        <v>13248</v>
      </c>
      <c r="BN82" s="10">
        <v>37875743</v>
      </c>
      <c r="BO82" s="10" t="s">
        <v>74</v>
      </c>
      <c r="BP82" s="10" t="s">
        <v>74</v>
      </c>
      <c r="BQ82" s="10" t="s">
        <v>74</v>
      </c>
      <c r="BR82" s="10" t="s">
        <v>12946</v>
      </c>
      <c r="BS82" s="10" t="s">
        <v>134</v>
      </c>
      <c r="BT82" s="10">
        <v>0</v>
      </c>
    </row>
    <row r="83" spans="1:72" x14ac:dyDescent="0.25">
      <c r="A83" s="10" t="s">
        <v>72</v>
      </c>
      <c r="B83" s="10" t="s">
        <v>160</v>
      </c>
      <c r="C83" s="10" t="s">
        <v>74</v>
      </c>
      <c r="D83" s="10" t="s">
        <v>74</v>
      </c>
      <c r="E83" s="10" t="s">
        <v>74</v>
      </c>
      <c r="F83" s="10" t="s">
        <v>161</v>
      </c>
      <c r="G83" s="10" t="s">
        <v>74</v>
      </c>
      <c r="H83" s="10" t="s">
        <v>74</v>
      </c>
      <c r="I83" s="10" t="s">
        <v>162</v>
      </c>
      <c r="J83" s="10" t="s">
        <v>163</v>
      </c>
      <c r="K83" s="10" t="s">
        <v>74</v>
      </c>
      <c r="L83" s="10" t="s">
        <v>74</v>
      </c>
      <c r="M83" s="10" t="s">
        <v>78</v>
      </c>
      <c r="N83" s="10" t="s">
        <v>79</v>
      </c>
      <c r="O83" s="10" t="s">
        <v>74</v>
      </c>
      <c r="P83" s="10" t="s">
        <v>74</v>
      </c>
      <c r="Q83" s="10" t="s">
        <v>74</v>
      </c>
      <c r="R83" s="10" t="s">
        <v>74</v>
      </c>
      <c r="S83" s="10" t="s">
        <v>74</v>
      </c>
      <c r="T83" s="10" t="s">
        <v>164</v>
      </c>
      <c r="U83" s="10" t="s">
        <v>165</v>
      </c>
      <c r="V83" s="10" t="s">
        <v>166</v>
      </c>
      <c r="W83" s="10" t="s">
        <v>167</v>
      </c>
      <c r="X83" s="10" t="s">
        <v>13249</v>
      </c>
      <c r="Y83" s="10" t="s">
        <v>169</v>
      </c>
      <c r="Z83" s="10" t="s">
        <v>170</v>
      </c>
      <c r="AA83" s="10" t="s">
        <v>13250</v>
      </c>
      <c r="AB83" s="10" t="s">
        <v>13251</v>
      </c>
      <c r="AC83" s="10" t="s">
        <v>172</v>
      </c>
      <c r="AD83" s="10" t="s">
        <v>172</v>
      </c>
      <c r="AE83" s="10" t="s">
        <v>173</v>
      </c>
      <c r="AF83" s="10" t="s">
        <v>74</v>
      </c>
      <c r="AG83" s="10">
        <v>48</v>
      </c>
      <c r="AH83" s="10">
        <v>0</v>
      </c>
      <c r="AI83" s="10">
        <v>0</v>
      </c>
      <c r="AJ83" s="10">
        <v>1</v>
      </c>
      <c r="AK83" s="10">
        <v>2</v>
      </c>
      <c r="AL83" s="10" t="s">
        <v>174</v>
      </c>
      <c r="AM83" s="10" t="s">
        <v>175</v>
      </c>
      <c r="AN83" s="10" t="s">
        <v>176</v>
      </c>
      <c r="AO83" s="10" t="s">
        <v>74</v>
      </c>
      <c r="AP83" s="10" t="s">
        <v>177</v>
      </c>
      <c r="AQ83" s="10" t="s">
        <v>74</v>
      </c>
      <c r="AR83" s="10" t="s">
        <v>178</v>
      </c>
      <c r="AS83" s="10" t="s">
        <v>179</v>
      </c>
      <c r="AT83" s="10" t="s">
        <v>180</v>
      </c>
      <c r="AU83" s="10">
        <v>2023</v>
      </c>
      <c r="AV83" s="10">
        <v>9</v>
      </c>
      <c r="AW83" s="10">
        <v>1</v>
      </c>
      <c r="AX83" s="10" t="s">
        <v>74</v>
      </c>
      <c r="AY83" s="10" t="s">
        <v>74</v>
      </c>
      <c r="AZ83" s="10" t="s">
        <v>74</v>
      </c>
      <c r="BA83" s="10" t="s">
        <v>74</v>
      </c>
      <c r="BB83" s="10" t="s">
        <v>74</v>
      </c>
      <c r="BC83" s="10" t="s">
        <v>74</v>
      </c>
      <c r="BD83" s="10">
        <v>176</v>
      </c>
      <c r="BE83" s="10" t="s">
        <v>181</v>
      </c>
      <c r="BF83" s="10">
        <v>0</v>
      </c>
      <c r="BG83" s="10" t="s">
        <v>74</v>
      </c>
      <c r="BH83" s="10" t="s">
        <v>74</v>
      </c>
      <c r="BI83" s="10">
        <v>14</v>
      </c>
      <c r="BJ83" s="10" t="s">
        <v>182</v>
      </c>
      <c r="BK83" s="10" t="s">
        <v>183</v>
      </c>
      <c r="BL83" s="10" t="s">
        <v>184</v>
      </c>
      <c r="BM83" s="10" t="s">
        <v>185</v>
      </c>
      <c r="BN83" s="10">
        <v>37848959</v>
      </c>
      <c r="BO83" s="10" t="s">
        <v>9765</v>
      </c>
      <c r="BP83" s="10" t="s">
        <v>74</v>
      </c>
      <c r="BQ83" s="10" t="s">
        <v>74</v>
      </c>
      <c r="BR83" s="10" t="s">
        <v>12946</v>
      </c>
      <c r="BS83" s="10" t="s">
        <v>187</v>
      </c>
      <c r="BT83" s="10">
        <v>0</v>
      </c>
    </row>
    <row r="84" spans="1:72" x14ac:dyDescent="0.25">
      <c r="A84" s="10" t="s">
        <v>72</v>
      </c>
      <c r="B84" s="10" t="s">
        <v>863</v>
      </c>
      <c r="C84" s="10" t="s">
        <v>74</v>
      </c>
      <c r="D84" s="10" t="s">
        <v>74</v>
      </c>
      <c r="E84" s="10" t="s">
        <v>74</v>
      </c>
      <c r="F84" s="10" t="s">
        <v>864</v>
      </c>
      <c r="G84" s="10" t="s">
        <v>74</v>
      </c>
      <c r="H84" s="10" t="s">
        <v>74</v>
      </c>
      <c r="I84" s="10" t="s">
        <v>865</v>
      </c>
      <c r="J84" s="10" t="s">
        <v>866</v>
      </c>
      <c r="K84" s="10" t="s">
        <v>74</v>
      </c>
      <c r="L84" s="10" t="s">
        <v>74</v>
      </c>
      <c r="M84" s="10" t="s">
        <v>78</v>
      </c>
      <c r="N84" s="10" t="s">
        <v>79</v>
      </c>
      <c r="O84" s="10" t="s">
        <v>74</v>
      </c>
      <c r="P84" s="10" t="s">
        <v>74</v>
      </c>
      <c r="Q84" s="10" t="s">
        <v>74</v>
      </c>
      <c r="R84" s="10" t="s">
        <v>74</v>
      </c>
      <c r="S84" s="10" t="s">
        <v>74</v>
      </c>
      <c r="T84" s="10" t="s">
        <v>867</v>
      </c>
      <c r="U84" s="10" t="s">
        <v>868</v>
      </c>
      <c r="V84" s="10" t="s">
        <v>869</v>
      </c>
      <c r="W84" s="10" t="s">
        <v>870</v>
      </c>
      <c r="X84" s="10" t="s">
        <v>871</v>
      </c>
      <c r="Y84" s="10" t="s">
        <v>872</v>
      </c>
      <c r="Z84" s="10" t="s">
        <v>873</v>
      </c>
      <c r="AA84" s="10" t="s">
        <v>13252</v>
      </c>
      <c r="AB84" s="10" t="s">
        <v>13253</v>
      </c>
      <c r="AC84" s="10" t="s">
        <v>874</v>
      </c>
      <c r="AD84" s="10" t="s">
        <v>875</v>
      </c>
      <c r="AE84" s="10" t="s">
        <v>876</v>
      </c>
      <c r="AF84" s="10" t="s">
        <v>74</v>
      </c>
      <c r="AG84" s="10">
        <v>16</v>
      </c>
      <c r="AH84" s="10">
        <v>0</v>
      </c>
      <c r="AI84" s="10">
        <v>0</v>
      </c>
      <c r="AJ84" s="10">
        <v>2</v>
      </c>
      <c r="AK84" s="10">
        <v>4</v>
      </c>
      <c r="AL84" s="10" t="s">
        <v>877</v>
      </c>
      <c r="AM84" s="10" t="s">
        <v>878</v>
      </c>
      <c r="AN84" s="10" t="s">
        <v>879</v>
      </c>
      <c r="AO84" s="10" t="s">
        <v>74</v>
      </c>
      <c r="AP84" s="10" t="s">
        <v>880</v>
      </c>
      <c r="AQ84" s="10" t="s">
        <v>74</v>
      </c>
      <c r="AR84" s="10" t="s">
        <v>866</v>
      </c>
      <c r="AS84" s="10" t="s">
        <v>881</v>
      </c>
      <c r="AT84" s="10" t="s">
        <v>837</v>
      </c>
      <c r="AU84" s="10">
        <v>2023</v>
      </c>
      <c r="AV84" s="10">
        <v>9</v>
      </c>
      <c r="AW84" s="10">
        <v>7</v>
      </c>
      <c r="AX84" s="10" t="s">
        <v>74</v>
      </c>
      <c r="AY84" s="10" t="s">
        <v>74</v>
      </c>
      <c r="AZ84" s="10" t="s">
        <v>74</v>
      </c>
      <c r="BA84" s="10" t="s">
        <v>74</v>
      </c>
      <c r="BB84" s="10" t="s">
        <v>74</v>
      </c>
      <c r="BC84" s="10" t="s">
        <v>74</v>
      </c>
      <c r="BD84" s="10" t="s">
        <v>882</v>
      </c>
      <c r="BE84" s="10" t="s">
        <v>883</v>
      </c>
      <c r="BF84" s="10">
        <v>0</v>
      </c>
      <c r="BG84" s="10" t="s">
        <v>74</v>
      </c>
      <c r="BH84" s="10" t="s">
        <v>675</v>
      </c>
      <c r="BI84" s="10">
        <v>8</v>
      </c>
      <c r="BJ84" s="10" t="s">
        <v>700</v>
      </c>
      <c r="BK84" s="10" t="s">
        <v>102</v>
      </c>
      <c r="BL84" s="10" t="s">
        <v>701</v>
      </c>
      <c r="BM84" s="10" t="s">
        <v>884</v>
      </c>
      <c r="BN84" s="10">
        <v>37483804</v>
      </c>
      <c r="BO84" s="10" t="s">
        <v>422</v>
      </c>
      <c r="BP84" s="10" t="s">
        <v>74</v>
      </c>
      <c r="BQ84" s="10" t="s">
        <v>74</v>
      </c>
      <c r="BR84" s="10" t="s">
        <v>12946</v>
      </c>
      <c r="BS84" s="10" t="s">
        <v>885</v>
      </c>
      <c r="BT84" s="10">
        <v>0</v>
      </c>
    </row>
    <row r="85" spans="1:72" x14ac:dyDescent="0.25">
      <c r="A85" s="10" t="s">
        <v>72</v>
      </c>
      <c r="B85" s="10" t="s">
        <v>1026</v>
      </c>
      <c r="C85" s="10" t="s">
        <v>74</v>
      </c>
      <c r="D85" s="10" t="s">
        <v>74</v>
      </c>
      <c r="E85" s="10" t="s">
        <v>74</v>
      </c>
      <c r="F85" s="10" t="s">
        <v>1027</v>
      </c>
      <c r="G85" s="10" t="s">
        <v>74</v>
      </c>
      <c r="H85" s="10" t="s">
        <v>74</v>
      </c>
      <c r="I85" s="10" t="s">
        <v>1028</v>
      </c>
      <c r="J85" s="10" t="s">
        <v>1029</v>
      </c>
      <c r="K85" s="10" t="s">
        <v>74</v>
      </c>
      <c r="L85" s="10" t="s">
        <v>74</v>
      </c>
      <c r="M85" s="10" t="s">
        <v>1030</v>
      </c>
      <c r="N85" s="10" t="s">
        <v>112</v>
      </c>
      <c r="O85" s="10" t="s">
        <v>74</v>
      </c>
      <c r="P85" s="10" t="s">
        <v>74</v>
      </c>
      <c r="Q85" s="10" t="s">
        <v>74</v>
      </c>
      <c r="R85" s="10" t="s">
        <v>74</v>
      </c>
      <c r="S85" s="10" t="s">
        <v>74</v>
      </c>
      <c r="T85" s="10" t="s">
        <v>1031</v>
      </c>
      <c r="U85" s="10" t="s">
        <v>74</v>
      </c>
      <c r="V85" s="10" t="s">
        <v>1032</v>
      </c>
      <c r="W85" s="10" t="s">
        <v>1033</v>
      </c>
      <c r="X85" s="10" t="s">
        <v>1034</v>
      </c>
      <c r="Y85" s="10" t="s">
        <v>1035</v>
      </c>
      <c r="Z85" s="10" t="s">
        <v>1036</v>
      </c>
      <c r="AA85" s="10" t="s">
        <v>13254</v>
      </c>
      <c r="AB85" s="10" t="s">
        <v>74</v>
      </c>
      <c r="AC85" s="10" t="s">
        <v>74</v>
      </c>
      <c r="AD85" s="10" t="s">
        <v>74</v>
      </c>
      <c r="AE85" s="10" t="s">
        <v>74</v>
      </c>
      <c r="AF85" s="10" t="s">
        <v>74</v>
      </c>
      <c r="AG85" s="10">
        <v>25</v>
      </c>
      <c r="AH85" s="10">
        <v>0</v>
      </c>
      <c r="AI85" s="10">
        <v>0</v>
      </c>
      <c r="AJ85" s="10">
        <v>0</v>
      </c>
      <c r="AK85" s="10">
        <v>1</v>
      </c>
      <c r="AL85" s="10" t="s">
        <v>121</v>
      </c>
      <c r="AM85" s="10" t="s">
        <v>122</v>
      </c>
      <c r="AN85" s="10" t="s">
        <v>123</v>
      </c>
      <c r="AO85" s="10" t="s">
        <v>1037</v>
      </c>
      <c r="AP85" s="10" t="s">
        <v>1038</v>
      </c>
      <c r="AQ85" s="10" t="s">
        <v>74</v>
      </c>
      <c r="AR85" s="10" t="s">
        <v>1029</v>
      </c>
      <c r="AS85" s="10" t="s">
        <v>1039</v>
      </c>
      <c r="AT85" s="10" t="s">
        <v>1040</v>
      </c>
      <c r="AU85" s="10">
        <v>2023</v>
      </c>
      <c r="AV85" s="10" t="s">
        <v>74</v>
      </c>
      <c r="AW85" s="10" t="s">
        <v>74</v>
      </c>
      <c r="AX85" s="10" t="s">
        <v>74</v>
      </c>
      <c r="AY85" s="10" t="s">
        <v>74</v>
      </c>
      <c r="AZ85" s="10" t="s">
        <v>74</v>
      </c>
      <c r="BA85" s="10" t="s">
        <v>74</v>
      </c>
      <c r="BB85" s="10" t="s">
        <v>74</v>
      </c>
      <c r="BC85" s="10" t="s">
        <v>74</v>
      </c>
      <c r="BD85" s="10" t="s">
        <v>74</v>
      </c>
      <c r="BE85" s="10" t="s">
        <v>1041</v>
      </c>
      <c r="BF85" s="10">
        <v>0</v>
      </c>
      <c r="BG85" s="10" t="s">
        <v>74</v>
      </c>
      <c r="BH85" s="10" t="s">
        <v>1022</v>
      </c>
      <c r="BI85" s="10">
        <v>8</v>
      </c>
      <c r="BJ85" s="10" t="s">
        <v>1042</v>
      </c>
      <c r="BK85" s="10" t="s">
        <v>102</v>
      </c>
      <c r="BL85" s="10" t="s">
        <v>1042</v>
      </c>
      <c r="BM85" s="10" t="s">
        <v>1043</v>
      </c>
      <c r="BN85" s="10">
        <v>37347272</v>
      </c>
      <c r="BO85" s="10" t="s">
        <v>74</v>
      </c>
      <c r="BP85" s="10" t="s">
        <v>74</v>
      </c>
      <c r="BQ85" s="10" t="s">
        <v>74</v>
      </c>
      <c r="BR85" s="10" t="s">
        <v>12946</v>
      </c>
      <c r="BS85" s="10" t="s">
        <v>1044</v>
      </c>
      <c r="BT85" s="10">
        <v>0</v>
      </c>
    </row>
    <row r="86" spans="1:72" x14ac:dyDescent="0.25">
      <c r="A86" s="10" t="s">
        <v>72</v>
      </c>
      <c r="B86" s="10" t="s">
        <v>1045</v>
      </c>
      <c r="C86" s="10" t="s">
        <v>74</v>
      </c>
      <c r="D86" s="10" t="s">
        <v>74</v>
      </c>
      <c r="E86" s="10" t="s">
        <v>74</v>
      </c>
      <c r="F86" s="10" t="s">
        <v>1046</v>
      </c>
      <c r="G86" s="10" t="s">
        <v>74</v>
      </c>
      <c r="H86" s="10" t="s">
        <v>74</v>
      </c>
      <c r="I86" s="10" t="s">
        <v>1047</v>
      </c>
      <c r="J86" s="10" t="s">
        <v>163</v>
      </c>
      <c r="K86" s="10" t="s">
        <v>74</v>
      </c>
      <c r="L86" s="10" t="s">
        <v>74</v>
      </c>
      <c r="M86" s="10" t="s">
        <v>78</v>
      </c>
      <c r="N86" s="10" t="s">
        <v>79</v>
      </c>
      <c r="O86" s="10" t="s">
        <v>74</v>
      </c>
      <c r="P86" s="10" t="s">
        <v>74</v>
      </c>
      <c r="Q86" s="10" t="s">
        <v>74</v>
      </c>
      <c r="R86" s="10" t="s">
        <v>74</v>
      </c>
      <c r="S86" s="10" t="s">
        <v>74</v>
      </c>
      <c r="T86" s="10" t="s">
        <v>1048</v>
      </c>
      <c r="U86" s="10" t="s">
        <v>1049</v>
      </c>
      <c r="V86" s="10" t="s">
        <v>1050</v>
      </c>
      <c r="W86" s="10" t="s">
        <v>1051</v>
      </c>
      <c r="X86" s="10" t="s">
        <v>1052</v>
      </c>
      <c r="Y86" s="10" t="s">
        <v>1053</v>
      </c>
      <c r="Z86" s="10" t="s">
        <v>1054</v>
      </c>
      <c r="AA86" s="10" t="s">
        <v>13255</v>
      </c>
      <c r="AB86" s="10" t="s">
        <v>13256</v>
      </c>
      <c r="AC86" s="10" t="s">
        <v>1056</v>
      </c>
      <c r="AD86" s="10" t="s">
        <v>1057</v>
      </c>
      <c r="AE86" s="10" t="s">
        <v>1058</v>
      </c>
      <c r="AF86" s="10" t="s">
        <v>74</v>
      </c>
      <c r="AG86" s="10">
        <v>47</v>
      </c>
      <c r="AH86" s="10">
        <v>0</v>
      </c>
      <c r="AI86" s="10">
        <v>0</v>
      </c>
      <c r="AJ86" s="10">
        <v>0</v>
      </c>
      <c r="AK86" s="10">
        <v>0</v>
      </c>
      <c r="AL86" s="10" t="s">
        <v>174</v>
      </c>
      <c r="AM86" s="10" t="s">
        <v>175</v>
      </c>
      <c r="AN86" s="10" t="s">
        <v>176</v>
      </c>
      <c r="AO86" s="10" t="s">
        <v>74</v>
      </c>
      <c r="AP86" s="10" t="s">
        <v>177</v>
      </c>
      <c r="AQ86" s="10" t="s">
        <v>74</v>
      </c>
      <c r="AR86" s="10" t="s">
        <v>178</v>
      </c>
      <c r="AS86" s="10" t="s">
        <v>179</v>
      </c>
      <c r="AT86" s="10" t="s">
        <v>1059</v>
      </c>
      <c r="AU86" s="10">
        <v>2023</v>
      </c>
      <c r="AV86" s="10">
        <v>9</v>
      </c>
      <c r="AW86" s="10">
        <v>1</v>
      </c>
      <c r="AX86" s="10" t="s">
        <v>74</v>
      </c>
      <c r="AY86" s="10" t="s">
        <v>74</v>
      </c>
      <c r="AZ86" s="10" t="s">
        <v>74</v>
      </c>
      <c r="BA86" s="10" t="s">
        <v>74</v>
      </c>
      <c r="BB86" s="10" t="s">
        <v>74</v>
      </c>
      <c r="BC86" s="10" t="s">
        <v>74</v>
      </c>
      <c r="BD86" s="10">
        <v>104</v>
      </c>
      <c r="BE86" s="10" t="s">
        <v>1060</v>
      </c>
      <c r="BF86" s="10">
        <v>0</v>
      </c>
      <c r="BG86" s="10" t="s">
        <v>74</v>
      </c>
      <c r="BH86" s="10" t="s">
        <v>74</v>
      </c>
      <c r="BI86" s="10">
        <v>10</v>
      </c>
      <c r="BJ86" s="10" t="s">
        <v>182</v>
      </c>
      <c r="BK86" s="10" t="s">
        <v>183</v>
      </c>
      <c r="BL86" s="10" t="s">
        <v>184</v>
      </c>
      <c r="BM86" s="10" t="s">
        <v>1061</v>
      </c>
      <c r="BN86" s="10">
        <v>37349825</v>
      </c>
      <c r="BO86" s="10" t="s">
        <v>614</v>
      </c>
      <c r="BP86" s="10" t="s">
        <v>74</v>
      </c>
      <c r="BQ86" s="10" t="s">
        <v>74</v>
      </c>
      <c r="BR86" s="10" t="s">
        <v>12946</v>
      </c>
      <c r="BS86" s="10" t="s">
        <v>1062</v>
      </c>
      <c r="BT86" s="10">
        <v>0</v>
      </c>
    </row>
    <row r="87" spans="1:72" x14ac:dyDescent="0.25">
      <c r="A87" s="10" t="s">
        <v>72</v>
      </c>
      <c r="B87" s="10" t="s">
        <v>1285</v>
      </c>
      <c r="C87" s="10" t="s">
        <v>74</v>
      </c>
      <c r="D87" s="10" t="s">
        <v>74</v>
      </c>
      <c r="E87" s="10" t="s">
        <v>74</v>
      </c>
      <c r="F87" s="10" t="s">
        <v>1286</v>
      </c>
      <c r="G87" s="10" t="s">
        <v>74</v>
      </c>
      <c r="H87" s="10" t="s">
        <v>74</v>
      </c>
      <c r="I87" s="10" t="s">
        <v>1287</v>
      </c>
      <c r="J87" s="10" t="s">
        <v>1288</v>
      </c>
      <c r="K87" s="10" t="s">
        <v>74</v>
      </c>
      <c r="L87" s="10" t="s">
        <v>74</v>
      </c>
      <c r="M87" s="10" t="s">
        <v>1289</v>
      </c>
      <c r="N87" s="10" t="s">
        <v>79</v>
      </c>
      <c r="O87" s="10" t="s">
        <v>74</v>
      </c>
      <c r="P87" s="10" t="s">
        <v>74</v>
      </c>
      <c r="Q87" s="10" t="s">
        <v>74</v>
      </c>
      <c r="R87" s="10" t="s">
        <v>74</v>
      </c>
      <c r="S87" s="10" t="s">
        <v>74</v>
      </c>
      <c r="T87" s="10" t="s">
        <v>1290</v>
      </c>
      <c r="U87" s="10" t="s">
        <v>74</v>
      </c>
      <c r="V87" s="10" t="s">
        <v>1291</v>
      </c>
      <c r="W87" s="10" t="s">
        <v>1292</v>
      </c>
      <c r="X87" s="10" t="s">
        <v>1293</v>
      </c>
      <c r="Y87" s="10" t="s">
        <v>1294</v>
      </c>
      <c r="Z87" s="10" t="s">
        <v>1295</v>
      </c>
      <c r="AA87" s="10" t="s">
        <v>74</v>
      </c>
      <c r="AB87" s="10" t="s">
        <v>74</v>
      </c>
      <c r="AC87" s="10" t="s">
        <v>74</v>
      </c>
      <c r="AD87" s="10" t="s">
        <v>74</v>
      </c>
      <c r="AE87" s="10" t="s">
        <v>74</v>
      </c>
      <c r="AF87" s="10" t="s">
        <v>74</v>
      </c>
      <c r="AG87" s="10">
        <v>6</v>
      </c>
      <c r="AH87" s="10">
        <v>0</v>
      </c>
      <c r="AI87" s="10">
        <v>0</v>
      </c>
      <c r="AJ87" s="10">
        <v>0</v>
      </c>
      <c r="AK87" s="10">
        <v>0</v>
      </c>
      <c r="AL87" s="10" t="s">
        <v>1296</v>
      </c>
      <c r="AM87" s="10" t="s">
        <v>1297</v>
      </c>
      <c r="AN87" s="10" t="s">
        <v>1298</v>
      </c>
      <c r="AO87" s="10" t="s">
        <v>1299</v>
      </c>
      <c r="AP87" s="10" t="s">
        <v>74</v>
      </c>
      <c r="AQ87" s="10" t="s">
        <v>74</v>
      </c>
      <c r="AR87" s="10" t="s">
        <v>1300</v>
      </c>
      <c r="AS87" s="10" t="s">
        <v>1301</v>
      </c>
      <c r="AT87" s="10" t="s">
        <v>1302</v>
      </c>
      <c r="AU87" s="10">
        <v>2023</v>
      </c>
      <c r="AV87" s="10">
        <v>40</v>
      </c>
      <c r="AW87" s="10">
        <v>3</v>
      </c>
      <c r="AX87" s="10" t="s">
        <v>74</v>
      </c>
      <c r="AY87" s="10" t="s">
        <v>74</v>
      </c>
      <c r="AZ87" s="10" t="s">
        <v>74</v>
      </c>
      <c r="BA87" s="10" t="s">
        <v>74</v>
      </c>
      <c r="BB87" s="10">
        <v>406</v>
      </c>
      <c r="BC87" s="10">
        <v>413</v>
      </c>
      <c r="BD87" s="10" t="s">
        <v>74</v>
      </c>
      <c r="BE87" s="10" t="s">
        <v>74</v>
      </c>
      <c r="BF87" s="10" t="s">
        <v>74</v>
      </c>
      <c r="BG87" s="10" t="s">
        <v>74</v>
      </c>
      <c r="BH87" s="10" t="s">
        <v>74</v>
      </c>
      <c r="BI87" s="10">
        <v>8</v>
      </c>
      <c r="BJ87" s="10" t="s">
        <v>840</v>
      </c>
      <c r="BK87" s="10" t="s">
        <v>183</v>
      </c>
      <c r="BL87" s="10" t="s">
        <v>841</v>
      </c>
      <c r="BM87" s="10" t="s">
        <v>1303</v>
      </c>
      <c r="BN87" s="10" t="s">
        <v>74</v>
      </c>
      <c r="BO87" s="10" t="s">
        <v>74</v>
      </c>
      <c r="BP87" s="10" t="s">
        <v>74</v>
      </c>
      <c r="BQ87" s="10" t="s">
        <v>74</v>
      </c>
      <c r="BR87" s="10" t="s">
        <v>12946</v>
      </c>
      <c r="BS87" s="10" t="s">
        <v>1304</v>
      </c>
      <c r="BT87" s="10">
        <v>0</v>
      </c>
    </row>
    <row r="88" spans="1:72" x14ac:dyDescent="0.25">
      <c r="A88" s="10" t="s">
        <v>72</v>
      </c>
      <c r="B88" s="10" t="s">
        <v>1371</v>
      </c>
      <c r="C88" s="10" t="s">
        <v>74</v>
      </c>
      <c r="D88" s="10" t="s">
        <v>74</v>
      </c>
      <c r="E88" s="10" t="s">
        <v>74</v>
      </c>
      <c r="F88" s="10" t="s">
        <v>1372</v>
      </c>
      <c r="G88" s="10" t="s">
        <v>74</v>
      </c>
      <c r="H88" s="10" t="s">
        <v>74</v>
      </c>
      <c r="I88" s="10" t="s">
        <v>1373</v>
      </c>
      <c r="J88" s="10" t="s">
        <v>1374</v>
      </c>
      <c r="K88" s="10" t="s">
        <v>74</v>
      </c>
      <c r="L88" s="10" t="s">
        <v>74</v>
      </c>
      <c r="M88" s="10" t="s">
        <v>78</v>
      </c>
      <c r="N88" s="10" t="s">
        <v>79</v>
      </c>
      <c r="O88" s="10" t="s">
        <v>74</v>
      </c>
      <c r="P88" s="10" t="s">
        <v>74</v>
      </c>
      <c r="Q88" s="10" t="s">
        <v>74</v>
      </c>
      <c r="R88" s="10" t="s">
        <v>74</v>
      </c>
      <c r="S88" s="10" t="s">
        <v>74</v>
      </c>
      <c r="T88" s="10" t="s">
        <v>1375</v>
      </c>
      <c r="U88" s="10" t="s">
        <v>1376</v>
      </c>
      <c r="V88" s="10" t="s">
        <v>1377</v>
      </c>
      <c r="W88" s="10" t="s">
        <v>1378</v>
      </c>
      <c r="X88" s="10" t="s">
        <v>13257</v>
      </c>
      <c r="Y88" s="10" t="s">
        <v>1380</v>
      </c>
      <c r="Z88" s="10" t="s">
        <v>1381</v>
      </c>
      <c r="AA88" s="10" t="s">
        <v>74</v>
      </c>
      <c r="AB88" s="10" t="s">
        <v>74</v>
      </c>
      <c r="AC88" s="10" t="s">
        <v>74</v>
      </c>
      <c r="AD88" s="10" t="s">
        <v>74</v>
      </c>
      <c r="AE88" s="10" t="s">
        <v>74</v>
      </c>
      <c r="AF88" s="10" t="s">
        <v>74</v>
      </c>
      <c r="AG88" s="10">
        <v>44</v>
      </c>
      <c r="AH88" s="10">
        <v>0</v>
      </c>
      <c r="AI88" s="10">
        <v>0</v>
      </c>
      <c r="AJ88" s="10">
        <v>4</v>
      </c>
      <c r="AK88" s="10">
        <v>5</v>
      </c>
      <c r="AL88" s="10" t="s">
        <v>1382</v>
      </c>
      <c r="AM88" s="10" t="s">
        <v>1383</v>
      </c>
      <c r="AN88" s="10" t="s">
        <v>1384</v>
      </c>
      <c r="AO88" s="10" t="s">
        <v>74</v>
      </c>
      <c r="AP88" s="10" t="s">
        <v>1385</v>
      </c>
      <c r="AQ88" s="10" t="s">
        <v>74</v>
      </c>
      <c r="AR88" s="10" t="s">
        <v>1386</v>
      </c>
      <c r="AS88" s="10" t="s">
        <v>1387</v>
      </c>
      <c r="AT88" s="10" t="s">
        <v>1388</v>
      </c>
      <c r="AU88" s="10">
        <v>2023</v>
      </c>
      <c r="AV88" s="10">
        <v>5</v>
      </c>
      <c r="AW88" s="10" t="s">
        <v>74</v>
      </c>
      <c r="AX88" s="10" t="s">
        <v>74</v>
      </c>
      <c r="AY88" s="10" t="s">
        <v>74</v>
      </c>
      <c r="AZ88" s="10" t="s">
        <v>74</v>
      </c>
      <c r="BA88" s="10" t="s">
        <v>74</v>
      </c>
      <c r="BB88" s="10" t="s">
        <v>74</v>
      </c>
      <c r="BC88" s="10" t="s">
        <v>74</v>
      </c>
      <c r="BD88" s="10">
        <v>1155708</v>
      </c>
      <c r="BE88" s="10" t="s">
        <v>1389</v>
      </c>
      <c r="BF88" s="10">
        <v>0</v>
      </c>
      <c r="BG88" s="10" t="s">
        <v>74</v>
      </c>
      <c r="BH88" s="10" t="s">
        <v>74</v>
      </c>
      <c r="BI88" s="10">
        <v>11</v>
      </c>
      <c r="BJ88" s="10" t="s">
        <v>1390</v>
      </c>
      <c r="BK88" s="10" t="s">
        <v>183</v>
      </c>
      <c r="BL88" s="10" t="s">
        <v>1390</v>
      </c>
      <c r="BM88" s="10" t="s">
        <v>1391</v>
      </c>
      <c r="BN88" s="10">
        <v>37153515</v>
      </c>
      <c r="BO88" s="10" t="s">
        <v>422</v>
      </c>
      <c r="BP88" s="10" t="s">
        <v>74</v>
      </c>
      <c r="BQ88" s="10" t="s">
        <v>74</v>
      </c>
      <c r="BR88" s="10" t="s">
        <v>12946</v>
      </c>
      <c r="BS88" s="10" t="s">
        <v>1392</v>
      </c>
      <c r="BT88" s="10">
        <v>0</v>
      </c>
    </row>
    <row r="89" spans="1:72" x14ac:dyDescent="0.25">
      <c r="A89" s="10" t="s">
        <v>72</v>
      </c>
      <c r="B89" s="10" t="s">
        <v>1668</v>
      </c>
      <c r="C89" s="10" t="s">
        <v>74</v>
      </c>
      <c r="D89" s="10" t="s">
        <v>74</v>
      </c>
      <c r="E89" s="10" t="s">
        <v>74</v>
      </c>
      <c r="F89" s="10" t="s">
        <v>1669</v>
      </c>
      <c r="G89" s="10" t="s">
        <v>74</v>
      </c>
      <c r="H89" s="10" t="s">
        <v>74</v>
      </c>
      <c r="I89" s="10" t="s">
        <v>1670</v>
      </c>
      <c r="J89" s="10" t="s">
        <v>1671</v>
      </c>
      <c r="K89" s="10" t="s">
        <v>74</v>
      </c>
      <c r="L89" s="10" t="s">
        <v>74</v>
      </c>
      <c r="M89" s="10" t="s">
        <v>78</v>
      </c>
      <c r="N89" s="10" t="s">
        <v>79</v>
      </c>
      <c r="O89" s="10" t="s">
        <v>74</v>
      </c>
      <c r="P89" s="10" t="s">
        <v>74</v>
      </c>
      <c r="Q89" s="10" t="s">
        <v>74</v>
      </c>
      <c r="R89" s="10" t="s">
        <v>74</v>
      </c>
      <c r="S89" s="10" t="s">
        <v>74</v>
      </c>
      <c r="T89" s="10" t="s">
        <v>1672</v>
      </c>
      <c r="U89" s="10" t="s">
        <v>74</v>
      </c>
      <c r="V89" s="10" t="s">
        <v>1673</v>
      </c>
      <c r="W89" s="10" t="s">
        <v>1674</v>
      </c>
      <c r="X89" s="10" t="s">
        <v>74</v>
      </c>
      <c r="Y89" s="10" t="s">
        <v>1675</v>
      </c>
      <c r="Z89" s="10" t="s">
        <v>1676</v>
      </c>
      <c r="AA89" s="10" t="s">
        <v>74</v>
      </c>
      <c r="AB89" s="10" t="s">
        <v>74</v>
      </c>
      <c r="AC89" s="10" t="s">
        <v>74</v>
      </c>
      <c r="AD89" s="10" t="s">
        <v>74</v>
      </c>
      <c r="AE89" s="10" t="s">
        <v>74</v>
      </c>
      <c r="AF89" s="10" t="s">
        <v>74</v>
      </c>
      <c r="AG89" s="10">
        <v>12</v>
      </c>
      <c r="AH89" s="10">
        <v>0</v>
      </c>
      <c r="AI89" s="10">
        <v>0</v>
      </c>
      <c r="AJ89" s="10">
        <v>0</v>
      </c>
      <c r="AK89" s="10">
        <v>3</v>
      </c>
      <c r="AL89" s="10" t="s">
        <v>1677</v>
      </c>
      <c r="AM89" s="10" t="s">
        <v>1678</v>
      </c>
      <c r="AN89" s="10" t="s">
        <v>1679</v>
      </c>
      <c r="AO89" s="10" t="s">
        <v>1680</v>
      </c>
      <c r="AP89" s="10" t="s">
        <v>74</v>
      </c>
      <c r="AQ89" s="10" t="s">
        <v>74</v>
      </c>
      <c r="AR89" s="10" t="s">
        <v>1681</v>
      </c>
      <c r="AS89" s="10" t="s">
        <v>1682</v>
      </c>
      <c r="AT89" s="10" t="s">
        <v>1683</v>
      </c>
      <c r="AU89" s="10">
        <v>2023</v>
      </c>
      <c r="AV89" s="10" t="s">
        <v>74</v>
      </c>
      <c r="AW89" s="10">
        <v>145</v>
      </c>
      <c r="AX89" s="10" t="s">
        <v>74</v>
      </c>
      <c r="AY89" s="10" t="s">
        <v>74</v>
      </c>
      <c r="AZ89" s="10" t="s">
        <v>74</v>
      </c>
      <c r="BA89" s="10" t="s">
        <v>74</v>
      </c>
      <c r="BB89" s="10">
        <v>15</v>
      </c>
      <c r="BC89" s="10">
        <v>20</v>
      </c>
      <c r="BD89" s="10" t="s">
        <v>74</v>
      </c>
      <c r="BE89" s="10" t="s">
        <v>74</v>
      </c>
      <c r="BF89" s="10" t="s">
        <v>74</v>
      </c>
      <c r="BG89" s="10" t="s">
        <v>74</v>
      </c>
      <c r="BH89" s="10" t="s">
        <v>74</v>
      </c>
      <c r="BI89" s="10">
        <v>6</v>
      </c>
      <c r="BJ89" s="10" t="s">
        <v>1684</v>
      </c>
      <c r="BK89" s="10" t="s">
        <v>183</v>
      </c>
      <c r="BL89" s="10" t="s">
        <v>1685</v>
      </c>
      <c r="BM89" s="10" t="s">
        <v>1686</v>
      </c>
      <c r="BN89" s="10" t="s">
        <v>74</v>
      </c>
      <c r="BO89" s="10" t="s">
        <v>74</v>
      </c>
      <c r="BP89" s="10" t="s">
        <v>74</v>
      </c>
      <c r="BQ89" s="10" t="s">
        <v>74</v>
      </c>
      <c r="BR89" s="10" t="s">
        <v>12946</v>
      </c>
      <c r="BS89" s="10" t="s">
        <v>1687</v>
      </c>
      <c r="BT89" s="10">
        <v>0</v>
      </c>
    </row>
    <row r="90" spans="1:72" x14ac:dyDescent="0.25">
      <c r="A90" s="10" t="s">
        <v>72</v>
      </c>
      <c r="B90" s="10" t="s">
        <v>1943</v>
      </c>
      <c r="C90" s="10" t="s">
        <v>74</v>
      </c>
      <c r="D90" s="10" t="s">
        <v>74</v>
      </c>
      <c r="E90" s="10" t="s">
        <v>74</v>
      </c>
      <c r="F90" s="10" t="s">
        <v>1944</v>
      </c>
      <c r="G90" s="10" t="s">
        <v>74</v>
      </c>
      <c r="H90" s="10" t="s">
        <v>74</v>
      </c>
      <c r="I90" s="10" t="s">
        <v>1945</v>
      </c>
      <c r="J90" s="10" t="s">
        <v>1946</v>
      </c>
      <c r="K90" s="10" t="s">
        <v>74</v>
      </c>
      <c r="L90" s="10" t="s">
        <v>74</v>
      </c>
      <c r="M90" s="10" t="s">
        <v>78</v>
      </c>
      <c r="N90" s="10" t="s">
        <v>79</v>
      </c>
      <c r="O90" s="10" t="s">
        <v>74</v>
      </c>
      <c r="P90" s="10" t="s">
        <v>74</v>
      </c>
      <c r="Q90" s="10" t="s">
        <v>74</v>
      </c>
      <c r="R90" s="10" t="s">
        <v>74</v>
      </c>
      <c r="S90" s="10" t="s">
        <v>74</v>
      </c>
      <c r="T90" s="10" t="s">
        <v>1947</v>
      </c>
      <c r="U90" s="10" t="s">
        <v>1948</v>
      </c>
      <c r="V90" s="10" t="s">
        <v>1949</v>
      </c>
      <c r="W90" s="10" t="s">
        <v>1950</v>
      </c>
      <c r="X90" s="10" t="s">
        <v>1951</v>
      </c>
      <c r="Y90" s="10" t="s">
        <v>1952</v>
      </c>
      <c r="Z90" s="10" t="s">
        <v>1953</v>
      </c>
      <c r="AA90" s="10" t="s">
        <v>13258</v>
      </c>
      <c r="AB90" s="10" t="s">
        <v>74</v>
      </c>
      <c r="AC90" s="10" t="s">
        <v>1954</v>
      </c>
      <c r="AD90" s="10" t="s">
        <v>1955</v>
      </c>
      <c r="AE90" s="10" t="s">
        <v>1956</v>
      </c>
      <c r="AF90" s="10" t="s">
        <v>74</v>
      </c>
      <c r="AG90" s="10">
        <v>25</v>
      </c>
      <c r="AH90" s="10">
        <v>0</v>
      </c>
      <c r="AI90" s="10">
        <v>0</v>
      </c>
      <c r="AJ90" s="10">
        <v>0</v>
      </c>
      <c r="AK90" s="10">
        <v>2</v>
      </c>
      <c r="AL90" s="10" t="s">
        <v>1468</v>
      </c>
      <c r="AM90" s="10" t="s">
        <v>175</v>
      </c>
      <c r="AN90" s="10" t="s">
        <v>1469</v>
      </c>
      <c r="AO90" s="10" t="s">
        <v>1957</v>
      </c>
      <c r="AP90" s="10" t="s">
        <v>74</v>
      </c>
      <c r="AQ90" s="10" t="s">
        <v>74</v>
      </c>
      <c r="AR90" s="10" t="s">
        <v>1958</v>
      </c>
      <c r="AS90" s="10" t="s">
        <v>1959</v>
      </c>
      <c r="AT90" s="10" t="s">
        <v>1904</v>
      </c>
      <c r="AU90" s="10">
        <v>2023</v>
      </c>
      <c r="AV90" s="10">
        <v>16</v>
      </c>
      <c r="AW90" s="10" t="s">
        <v>74</v>
      </c>
      <c r="AX90" s="10" t="s">
        <v>74</v>
      </c>
      <c r="AY90" s="10" t="s">
        <v>74</v>
      </c>
      <c r="AZ90" s="10" t="s">
        <v>74</v>
      </c>
      <c r="BA90" s="10" t="s">
        <v>74</v>
      </c>
      <c r="BB90" s="10" t="s">
        <v>74</v>
      </c>
      <c r="BC90" s="10" t="s">
        <v>74</v>
      </c>
      <c r="BD90" s="10" t="s">
        <v>1960</v>
      </c>
      <c r="BE90" s="10" t="s">
        <v>1961</v>
      </c>
      <c r="BF90" s="10">
        <v>0</v>
      </c>
      <c r="BG90" s="10" t="s">
        <v>74</v>
      </c>
      <c r="BH90" s="10" t="s">
        <v>74</v>
      </c>
      <c r="BI90" s="10">
        <v>8</v>
      </c>
      <c r="BJ90" s="10" t="s">
        <v>1584</v>
      </c>
      <c r="BK90" s="10" t="s">
        <v>183</v>
      </c>
      <c r="BL90" s="10" t="s">
        <v>1584</v>
      </c>
      <c r="BM90" s="10" t="s">
        <v>1962</v>
      </c>
      <c r="BN90" s="10">
        <v>37425216</v>
      </c>
      <c r="BO90" s="10" t="s">
        <v>422</v>
      </c>
      <c r="BP90" s="10" t="s">
        <v>74</v>
      </c>
      <c r="BQ90" s="10" t="s">
        <v>74</v>
      </c>
      <c r="BR90" s="10" t="s">
        <v>12946</v>
      </c>
      <c r="BS90" s="10" t="s">
        <v>1963</v>
      </c>
      <c r="BT90" s="10">
        <v>0</v>
      </c>
    </row>
    <row r="91" spans="1:72" x14ac:dyDescent="0.25">
      <c r="A91" s="10" t="s">
        <v>72</v>
      </c>
      <c r="B91" s="10" t="s">
        <v>2116</v>
      </c>
      <c r="C91" s="10" t="s">
        <v>74</v>
      </c>
      <c r="D91" s="10" t="s">
        <v>74</v>
      </c>
      <c r="E91" s="10" t="s">
        <v>74</v>
      </c>
      <c r="F91" s="10" t="s">
        <v>2117</v>
      </c>
      <c r="G91" s="10" t="s">
        <v>74</v>
      </c>
      <c r="H91" s="10" t="s">
        <v>74</v>
      </c>
      <c r="I91" s="10" t="s">
        <v>2118</v>
      </c>
      <c r="J91" s="10" t="s">
        <v>2119</v>
      </c>
      <c r="K91" s="10" t="s">
        <v>74</v>
      </c>
      <c r="L91" s="10" t="s">
        <v>74</v>
      </c>
      <c r="M91" s="10" t="s">
        <v>78</v>
      </c>
      <c r="N91" s="10" t="s">
        <v>79</v>
      </c>
      <c r="O91" s="10" t="s">
        <v>74</v>
      </c>
      <c r="P91" s="10" t="s">
        <v>74</v>
      </c>
      <c r="Q91" s="10" t="s">
        <v>74</v>
      </c>
      <c r="R91" s="10" t="s">
        <v>74</v>
      </c>
      <c r="S91" s="10" t="s">
        <v>74</v>
      </c>
      <c r="T91" s="10" t="s">
        <v>2120</v>
      </c>
      <c r="U91" s="10" t="s">
        <v>2121</v>
      </c>
      <c r="V91" s="10" t="s">
        <v>2122</v>
      </c>
      <c r="W91" s="10" t="s">
        <v>2123</v>
      </c>
      <c r="X91" s="10" t="s">
        <v>2124</v>
      </c>
      <c r="Y91" s="10" t="s">
        <v>2125</v>
      </c>
      <c r="Z91" s="10" t="s">
        <v>2126</v>
      </c>
      <c r="AA91" s="10" t="s">
        <v>74</v>
      </c>
      <c r="AB91" s="10" t="s">
        <v>13259</v>
      </c>
      <c r="AC91" s="10" t="s">
        <v>74</v>
      </c>
      <c r="AD91" s="10" t="s">
        <v>74</v>
      </c>
      <c r="AE91" s="10" t="s">
        <v>74</v>
      </c>
      <c r="AF91" s="10" t="s">
        <v>74</v>
      </c>
      <c r="AG91" s="10">
        <v>44</v>
      </c>
      <c r="AH91" s="10">
        <v>0</v>
      </c>
      <c r="AI91" s="10">
        <v>0</v>
      </c>
      <c r="AJ91" s="10">
        <v>0</v>
      </c>
      <c r="AK91" s="10">
        <v>0</v>
      </c>
      <c r="AL91" s="10" t="s">
        <v>2128</v>
      </c>
      <c r="AM91" s="10" t="s">
        <v>2129</v>
      </c>
      <c r="AN91" s="10" t="s">
        <v>2130</v>
      </c>
      <c r="AO91" s="10" t="s">
        <v>74</v>
      </c>
      <c r="AP91" s="10" t="s">
        <v>2131</v>
      </c>
      <c r="AQ91" s="10" t="s">
        <v>74</v>
      </c>
      <c r="AR91" s="10" t="s">
        <v>2132</v>
      </c>
      <c r="AS91" s="10" t="s">
        <v>2133</v>
      </c>
      <c r="AT91" s="10" t="s">
        <v>74</v>
      </c>
      <c r="AU91" s="10">
        <v>2023</v>
      </c>
      <c r="AV91" s="10">
        <v>7</v>
      </c>
      <c r="AW91" s="10" t="s">
        <v>74</v>
      </c>
      <c r="AX91" s="10" t="s">
        <v>74</v>
      </c>
      <c r="AY91" s="10" t="s">
        <v>74</v>
      </c>
      <c r="AZ91" s="10" t="s">
        <v>74</v>
      </c>
      <c r="BA91" s="10" t="s">
        <v>74</v>
      </c>
      <c r="BB91" s="10" t="s">
        <v>74</v>
      </c>
      <c r="BC91" s="10" t="s">
        <v>74</v>
      </c>
      <c r="BD91" s="10" t="s">
        <v>74</v>
      </c>
      <c r="BE91" s="10" t="s">
        <v>2134</v>
      </c>
      <c r="BF91" s="10">
        <v>0</v>
      </c>
      <c r="BG91" s="10" t="s">
        <v>74</v>
      </c>
      <c r="BH91" s="10" t="s">
        <v>74</v>
      </c>
      <c r="BI91" s="10">
        <v>18</v>
      </c>
      <c r="BJ91" s="10" t="s">
        <v>1390</v>
      </c>
      <c r="BK91" s="10" t="s">
        <v>183</v>
      </c>
      <c r="BL91" s="10" t="s">
        <v>1390</v>
      </c>
      <c r="BM91" s="10" t="s">
        <v>2135</v>
      </c>
      <c r="BN91" s="10">
        <v>36745773</v>
      </c>
      <c r="BO91" s="10" t="s">
        <v>422</v>
      </c>
      <c r="BP91" s="10" t="s">
        <v>74</v>
      </c>
      <c r="BQ91" s="10" t="s">
        <v>74</v>
      </c>
      <c r="BR91" s="10" t="s">
        <v>12946</v>
      </c>
      <c r="BS91" s="10" t="s">
        <v>2136</v>
      </c>
      <c r="BT91" s="10">
        <v>0</v>
      </c>
    </row>
    <row r="92" spans="1:72" x14ac:dyDescent="0.25">
      <c r="A92" s="10" t="s">
        <v>72</v>
      </c>
      <c r="B92" s="10" t="s">
        <v>2221</v>
      </c>
      <c r="C92" s="10" t="s">
        <v>74</v>
      </c>
      <c r="D92" s="10" t="s">
        <v>74</v>
      </c>
      <c r="E92" s="10" t="s">
        <v>74</v>
      </c>
      <c r="F92" s="10" t="s">
        <v>2222</v>
      </c>
      <c r="G92" s="10" t="s">
        <v>74</v>
      </c>
      <c r="H92" s="10" t="s">
        <v>74</v>
      </c>
      <c r="I92" s="10" t="s">
        <v>2223</v>
      </c>
      <c r="J92" s="10" t="s">
        <v>2224</v>
      </c>
      <c r="K92" s="10" t="s">
        <v>74</v>
      </c>
      <c r="L92" s="10" t="s">
        <v>74</v>
      </c>
      <c r="M92" s="10" t="s">
        <v>78</v>
      </c>
      <c r="N92" s="10" t="s">
        <v>79</v>
      </c>
      <c r="O92" s="10" t="s">
        <v>74</v>
      </c>
      <c r="P92" s="10" t="s">
        <v>74</v>
      </c>
      <c r="Q92" s="10" t="s">
        <v>74</v>
      </c>
      <c r="R92" s="10" t="s">
        <v>74</v>
      </c>
      <c r="S92" s="10" t="s">
        <v>74</v>
      </c>
      <c r="T92" s="10" t="s">
        <v>2225</v>
      </c>
      <c r="U92" s="10" t="s">
        <v>2226</v>
      </c>
      <c r="V92" s="10" t="s">
        <v>2227</v>
      </c>
      <c r="W92" s="10" t="s">
        <v>2228</v>
      </c>
      <c r="X92" s="10" t="s">
        <v>2229</v>
      </c>
      <c r="Y92" s="10" t="s">
        <v>2230</v>
      </c>
      <c r="Z92" s="10" t="s">
        <v>74</v>
      </c>
      <c r="AA92" s="10" t="s">
        <v>13260</v>
      </c>
      <c r="AB92" s="10" t="s">
        <v>74</v>
      </c>
      <c r="AC92" s="10" t="s">
        <v>74</v>
      </c>
      <c r="AD92" s="10" t="s">
        <v>74</v>
      </c>
      <c r="AE92" s="10" t="s">
        <v>74</v>
      </c>
      <c r="AF92" s="10" t="s">
        <v>74</v>
      </c>
      <c r="AG92" s="10">
        <v>65</v>
      </c>
      <c r="AH92" s="10">
        <v>0</v>
      </c>
      <c r="AI92" s="10">
        <v>0</v>
      </c>
      <c r="AJ92" s="10">
        <v>1</v>
      </c>
      <c r="AK92" s="10">
        <v>6</v>
      </c>
      <c r="AL92" s="10" t="s">
        <v>2231</v>
      </c>
      <c r="AM92" s="10" t="s">
        <v>2232</v>
      </c>
      <c r="AN92" s="10" t="s">
        <v>2233</v>
      </c>
      <c r="AO92" s="10" t="s">
        <v>2234</v>
      </c>
      <c r="AP92" s="10" t="s">
        <v>2235</v>
      </c>
      <c r="AQ92" s="10" t="s">
        <v>74</v>
      </c>
      <c r="AR92" s="10" t="s">
        <v>2236</v>
      </c>
      <c r="AS92" s="10" t="s">
        <v>2237</v>
      </c>
      <c r="AT92" s="10" t="s">
        <v>74</v>
      </c>
      <c r="AU92" s="10">
        <v>2023</v>
      </c>
      <c r="AV92" s="10">
        <v>20</v>
      </c>
      <c r="AW92" s="10">
        <v>1</v>
      </c>
      <c r="AX92" s="10" t="s">
        <v>74</v>
      </c>
      <c r="AY92" s="10" t="s">
        <v>74</v>
      </c>
      <c r="AZ92" s="10" t="s">
        <v>74</v>
      </c>
      <c r="BA92" s="10" t="s">
        <v>74</v>
      </c>
      <c r="BB92" s="10">
        <v>111</v>
      </c>
      <c r="BC92" s="10">
        <v>123</v>
      </c>
      <c r="BD92" s="10" t="s">
        <v>74</v>
      </c>
      <c r="BE92" s="10" t="s">
        <v>2238</v>
      </c>
      <c r="BF92" s="10">
        <v>0</v>
      </c>
      <c r="BG92" s="10" t="s">
        <v>74</v>
      </c>
      <c r="BH92" s="10" t="s">
        <v>74</v>
      </c>
      <c r="BI92" s="10">
        <v>13</v>
      </c>
      <c r="BJ92" s="10" t="s">
        <v>479</v>
      </c>
      <c r="BK92" s="10" t="s">
        <v>183</v>
      </c>
      <c r="BL92" s="10" t="s">
        <v>265</v>
      </c>
      <c r="BM92" s="10" t="s">
        <v>2239</v>
      </c>
      <c r="BN92" s="10" t="s">
        <v>74</v>
      </c>
      <c r="BO92" s="10" t="s">
        <v>74</v>
      </c>
      <c r="BP92" s="10" t="s">
        <v>74</v>
      </c>
      <c r="BQ92" s="10" t="s">
        <v>74</v>
      </c>
      <c r="BR92" s="10" t="s">
        <v>12946</v>
      </c>
      <c r="BS92" s="10" t="s">
        <v>2240</v>
      </c>
      <c r="BT92" s="10">
        <v>0</v>
      </c>
    </row>
    <row r="93" spans="1:72" x14ac:dyDescent="0.25">
      <c r="A93" s="10" t="s">
        <v>72</v>
      </c>
      <c r="B93" s="10" t="s">
        <v>2672</v>
      </c>
      <c r="C93" s="10" t="s">
        <v>74</v>
      </c>
      <c r="D93" s="10" t="s">
        <v>74</v>
      </c>
      <c r="E93" s="10" t="s">
        <v>74</v>
      </c>
      <c r="F93" s="10" t="s">
        <v>2673</v>
      </c>
      <c r="G93" s="10" t="s">
        <v>74</v>
      </c>
      <c r="H93" s="10" t="s">
        <v>74</v>
      </c>
      <c r="I93" s="10" t="s">
        <v>2674</v>
      </c>
      <c r="J93" s="10" t="s">
        <v>2675</v>
      </c>
      <c r="K93" s="10" t="s">
        <v>74</v>
      </c>
      <c r="L93" s="10" t="s">
        <v>74</v>
      </c>
      <c r="M93" s="10" t="s">
        <v>78</v>
      </c>
      <c r="N93" s="10" t="s">
        <v>79</v>
      </c>
      <c r="O93" s="10" t="s">
        <v>74</v>
      </c>
      <c r="P93" s="10" t="s">
        <v>74</v>
      </c>
      <c r="Q93" s="10" t="s">
        <v>74</v>
      </c>
      <c r="R93" s="10" t="s">
        <v>74</v>
      </c>
      <c r="S93" s="10" t="s">
        <v>74</v>
      </c>
      <c r="T93" s="10" t="s">
        <v>2676</v>
      </c>
      <c r="U93" s="10" t="s">
        <v>2677</v>
      </c>
      <c r="V93" s="10" t="s">
        <v>2678</v>
      </c>
      <c r="W93" s="10" t="s">
        <v>2679</v>
      </c>
      <c r="X93" s="10" t="s">
        <v>2680</v>
      </c>
      <c r="Y93" s="10" t="s">
        <v>2681</v>
      </c>
      <c r="Z93" s="10" t="s">
        <v>2682</v>
      </c>
      <c r="AA93" s="10" t="s">
        <v>13261</v>
      </c>
      <c r="AB93" s="10" t="s">
        <v>2684</v>
      </c>
      <c r="AC93" s="10" t="s">
        <v>2685</v>
      </c>
      <c r="AD93" s="10" t="s">
        <v>2686</v>
      </c>
      <c r="AE93" s="10" t="s">
        <v>2687</v>
      </c>
      <c r="AF93" s="10" t="s">
        <v>74</v>
      </c>
      <c r="AG93" s="10">
        <v>27</v>
      </c>
      <c r="AH93" s="10">
        <v>0</v>
      </c>
      <c r="AI93" s="10">
        <v>1</v>
      </c>
      <c r="AJ93" s="10">
        <v>3</v>
      </c>
      <c r="AK93" s="10">
        <v>6</v>
      </c>
      <c r="AL93" s="10" t="s">
        <v>2128</v>
      </c>
      <c r="AM93" s="10" t="s">
        <v>2129</v>
      </c>
      <c r="AN93" s="10" t="s">
        <v>2130</v>
      </c>
      <c r="AO93" s="10" t="s">
        <v>2688</v>
      </c>
      <c r="AP93" s="10" t="s">
        <v>74</v>
      </c>
      <c r="AQ93" s="10" t="s">
        <v>74</v>
      </c>
      <c r="AR93" s="10" t="s">
        <v>2689</v>
      </c>
      <c r="AS93" s="10" t="s">
        <v>2690</v>
      </c>
      <c r="AT93" s="10" t="s">
        <v>2691</v>
      </c>
      <c r="AU93" s="10">
        <v>2022</v>
      </c>
      <c r="AV93" s="10">
        <v>24</v>
      </c>
      <c r="AW93" s="10">
        <v>11</v>
      </c>
      <c r="AX93" s="10" t="s">
        <v>74</v>
      </c>
      <c r="AY93" s="10" t="s">
        <v>74</v>
      </c>
      <c r="AZ93" s="10" t="s">
        <v>74</v>
      </c>
      <c r="BA93" s="10" t="s">
        <v>74</v>
      </c>
      <c r="BB93" s="10" t="s">
        <v>74</v>
      </c>
      <c r="BC93" s="10" t="s">
        <v>74</v>
      </c>
      <c r="BD93" s="10" t="s">
        <v>2692</v>
      </c>
      <c r="BE93" s="10" t="s">
        <v>2693</v>
      </c>
      <c r="BF93" s="10">
        <v>0</v>
      </c>
      <c r="BG93" s="10" t="s">
        <v>74</v>
      </c>
      <c r="BH93" s="10" t="s">
        <v>74</v>
      </c>
      <c r="BI93" s="10">
        <v>10</v>
      </c>
      <c r="BJ93" s="10" t="s">
        <v>1390</v>
      </c>
      <c r="BK93" s="10" t="s">
        <v>102</v>
      </c>
      <c r="BL93" s="10" t="s">
        <v>1390</v>
      </c>
      <c r="BM93" s="10" t="s">
        <v>2694</v>
      </c>
      <c r="BN93" s="10">
        <v>36322123</v>
      </c>
      <c r="BO93" s="10" t="s">
        <v>422</v>
      </c>
      <c r="BP93" s="10" t="s">
        <v>74</v>
      </c>
      <c r="BQ93" s="10" t="s">
        <v>74</v>
      </c>
      <c r="BR93" s="10" t="s">
        <v>12946</v>
      </c>
      <c r="BS93" s="10" t="s">
        <v>2695</v>
      </c>
      <c r="BT93" s="10">
        <v>0</v>
      </c>
    </row>
    <row r="94" spans="1:72" x14ac:dyDescent="0.25">
      <c r="A94" s="10" t="s">
        <v>72</v>
      </c>
      <c r="B94" s="10" t="s">
        <v>3467</v>
      </c>
      <c r="C94" s="10" t="s">
        <v>74</v>
      </c>
      <c r="D94" s="10" t="s">
        <v>74</v>
      </c>
      <c r="E94" s="10" t="s">
        <v>74</v>
      </c>
      <c r="F94" s="10" t="s">
        <v>3468</v>
      </c>
      <c r="G94" s="10" t="s">
        <v>74</v>
      </c>
      <c r="H94" s="10" t="s">
        <v>74</v>
      </c>
      <c r="I94" s="10" t="s">
        <v>3469</v>
      </c>
      <c r="J94" s="10" t="s">
        <v>3470</v>
      </c>
      <c r="K94" s="10" t="s">
        <v>74</v>
      </c>
      <c r="L94" s="10" t="s">
        <v>74</v>
      </c>
      <c r="M94" s="10" t="s">
        <v>78</v>
      </c>
      <c r="N94" s="10" t="s">
        <v>79</v>
      </c>
      <c r="O94" s="10" t="s">
        <v>74</v>
      </c>
      <c r="P94" s="10" t="s">
        <v>74</v>
      </c>
      <c r="Q94" s="10" t="s">
        <v>74</v>
      </c>
      <c r="R94" s="10" t="s">
        <v>74</v>
      </c>
      <c r="S94" s="10" t="s">
        <v>74</v>
      </c>
      <c r="T94" s="10" t="s">
        <v>3471</v>
      </c>
      <c r="U94" s="10" t="s">
        <v>3472</v>
      </c>
      <c r="V94" s="10" t="s">
        <v>3473</v>
      </c>
      <c r="W94" s="10" t="s">
        <v>3474</v>
      </c>
      <c r="X94" s="10" t="s">
        <v>13262</v>
      </c>
      <c r="Y94" s="10" t="s">
        <v>3476</v>
      </c>
      <c r="Z94" s="10" t="s">
        <v>3477</v>
      </c>
      <c r="AA94" s="10" t="s">
        <v>13263</v>
      </c>
      <c r="AB94" s="10" t="s">
        <v>13264</v>
      </c>
      <c r="AC94" s="10" t="s">
        <v>74</v>
      </c>
      <c r="AD94" s="10" t="s">
        <v>74</v>
      </c>
      <c r="AE94" s="10" t="s">
        <v>74</v>
      </c>
      <c r="AF94" s="10" t="s">
        <v>74</v>
      </c>
      <c r="AG94" s="10">
        <v>13</v>
      </c>
      <c r="AH94" s="10">
        <v>0</v>
      </c>
      <c r="AI94" s="10">
        <v>0</v>
      </c>
      <c r="AJ94" s="10">
        <v>0</v>
      </c>
      <c r="AK94" s="10">
        <v>0</v>
      </c>
      <c r="AL94" s="10" t="s">
        <v>3123</v>
      </c>
      <c r="AM94" s="10" t="s">
        <v>3124</v>
      </c>
      <c r="AN94" s="10" t="s">
        <v>3125</v>
      </c>
      <c r="AO94" s="10" t="s">
        <v>3479</v>
      </c>
      <c r="AP94" s="10" t="s">
        <v>74</v>
      </c>
      <c r="AQ94" s="10" t="s">
        <v>74</v>
      </c>
      <c r="AR94" s="10" t="s">
        <v>3480</v>
      </c>
      <c r="AS94" s="10" t="s">
        <v>3481</v>
      </c>
      <c r="AT94" s="10" t="s">
        <v>476</v>
      </c>
      <c r="AU94" s="10">
        <v>2022</v>
      </c>
      <c r="AV94" s="10">
        <v>41</v>
      </c>
      <c r="AW94" s="10">
        <v>6</v>
      </c>
      <c r="AX94" s="10" t="s">
        <v>74</v>
      </c>
      <c r="AY94" s="10" t="s">
        <v>74</v>
      </c>
      <c r="AZ94" s="10" t="s">
        <v>74</v>
      </c>
      <c r="BA94" s="10" t="s">
        <v>74</v>
      </c>
      <c r="BB94" s="10" t="s">
        <v>74</v>
      </c>
      <c r="BC94" s="10" t="s">
        <v>74</v>
      </c>
      <c r="BD94" s="10">
        <v>101143</v>
      </c>
      <c r="BE94" s="10" t="s">
        <v>3482</v>
      </c>
      <c r="BF94" s="10">
        <v>0</v>
      </c>
      <c r="BG94" s="10" t="s">
        <v>74</v>
      </c>
      <c r="BH94" s="10" t="s">
        <v>3464</v>
      </c>
      <c r="BI94" s="10">
        <v>6</v>
      </c>
      <c r="BJ94" s="10" t="s">
        <v>3483</v>
      </c>
      <c r="BK94" s="10" t="s">
        <v>102</v>
      </c>
      <c r="BL94" s="10" t="s">
        <v>3484</v>
      </c>
      <c r="BM94" s="10" t="s">
        <v>3485</v>
      </c>
      <c r="BN94" s="10">
        <v>35988703</v>
      </c>
      <c r="BO94" s="10" t="s">
        <v>13265</v>
      </c>
      <c r="BP94" s="10" t="s">
        <v>74</v>
      </c>
      <c r="BQ94" s="10" t="s">
        <v>74</v>
      </c>
      <c r="BR94" s="10" t="s">
        <v>12946</v>
      </c>
      <c r="BS94" s="10" t="s">
        <v>3486</v>
      </c>
      <c r="BT94" s="10">
        <v>0</v>
      </c>
    </row>
    <row r="95" spans="1:72" x14ac:dyDescent="0.25">
      <c r="A95" s="10" t="s">
        <v>72</v>
      </c>
      <c r="B95" s="10" t="s">
        <v>3961</v>
      </c>
      <c r="C95" s="10" t="s">
        <v>74</v>
      </c>
      <c r="D95" s="10" t="s">
        <v>74</v>
      </c>
      <c r="E95" s="10" t="s">
        <v>74</v>
      </c>
      <c r="F95" s="10" t="s">
        <v>3962</v>
      </c>
      <c r="G95" s="10" t="s">
        <v>74</v>
      </c>
      <c r="H95" s="10" t="s">
        <v>74</v>
      </c>
      <c r="I95" s="10" t="s">
        <v>3963</v>
      </c>
      <c r="J95" s="10" t="s">
        <v>3964</v>
      </c>
      <c r="K95" s="10" t="s">
        <v>74</v>
      </c>
      <c r="L95" s="10" t="s">
        <v>74</v>
      </c>
      <c r="M95" s="10" t="s">
        <v>78</v>
      </c>
      <c r="N95" s="10" t="s">
        <v>79</v>
      </c>
      <c r="O95" s="10" t="s">
        <v>74</v>
      </c>
      <c r="P95" s="10" t="s">
        <v>74</v>
      </c>
      <c r="Q95" s="10" t="s">
        <v>74</v>
      </c>
      <c r="R95" s="10" t="s">
        <v>74</v>
      </c>
      <c r="S95" s="10" t="s">
        <v>74</v>
      </c>
      <c r="T95" s="10" t="s">
        <v>3965</v>
      </c>
      <c r="U95" s="10" t="s">
        <v>3966</v>
      </c>
      <c r="V95" s="10" t="s">
        <v>3967</v>
      </c>
      <c r="W95" s="10" t="s">
        <v>3968</v>
      </c>
      <c r="X95" s="10" t="s">
        <v>3969</v>
      </c>
      <c r="Y95" s="10" t="s">
        <v>3970</v>
      </c>
      <c r="Z95" s="10" t="s">
        <v>3971</v>
      </c>
      <c r="AA95" s="10" t="s">
        <v>13266</v>
      </c>
      <c r="AB95" s="10" t="s">
        <v>13267</v>
      </c>
      <c r="AC95" s="10" t="s">
        <v>3974</v>
      </c>
      <c r="AD95" s="10" t="s">
        <v>1577</v>
      </c>
      <c r="AE95" s="10" t="s">
        <v>3975</v>
      </c>
      <c r="AF95" s="10" t="s">
        <v>74</v>
      </c>
      <c r="AG95" s="10">
        <v>43</v>
      </c>
      <c r="AH95" s="10">
        <v>0</v>
      </c>
      <c r="AI95" s="10">
        <v>0</v>
      </c>
      <c r="AJ95" s="10">
        <v>0</v>
      </c>
      <c r="AK95" s="10">
        <v>4</v>
      </c>
      <c r="AL95" s="10" t="s">
        <v>2128</v>
      </c>
      <c r="AM95" s="10" t="s">
        <v>2129</v>
      </c>
      <c r="AN95" s="10" t="s">
        <v>2130</v>
      </c>
      <c r="AO95" s="10" t="s">
        <v>3976</v>
      </c>
      <c r="AP95" s="10" t="s">
        <v>74</v>
      </c>
      <c r="AQ95" s="10" t="s">
        <v>74</v>
      </c>
      <c r="AR95" s="10" t="s">
        <v>3977</v>
      </c>
      <c r="AS95" s="10" t="s">
        <v>3978</v>
      </c>
      <c r="AT95" s="10" t="s">
        <v>1138</v>
      </c>
      <c r="AU95" s="10">
        <v>2022</v>
      </c>
      <c r="AV95" s="10">
        <v>11</v>
      </c>
      <c r="AW95" s="10">
        <v>6</v>
      </c>
      <c r="AX95" s="10" t="s">
        <v>74</v>
      </c>
      <c r="AY95" s="10" t="s">
        <v>74</v>
      </c>
      <c r="AZ95" s="10" t="s">
        <v>74</v>
      </c>
      <c r="BA95" s="10" t="s">
        <v>74</v>
      </c>
      <c r="BB95" s="10" t="s">
        <v>74</v>
      </c>
      <c r="BC95" s="10" t="s">
        <v>74</v>
      </c>
      <c r="BD95" s="10" t="s">
        <v>3979</v>
      </c>
      <c r="BE95" s="10" t="s">
        <v>3980</v>
      </c>
      <c r="BF95" s="10">
        <v>0</v>
      </c>
      <c r="BG95" s="10" t="s">
        <v>74</v>
      </c>
      <c r="BH95" s="10" t="s">
        <v>74</v>
      </c>
      <c r="BI95" s="10">
        <v>10</v>
      </c>
      <c r="BJ95" s="10" t="s">
        <v>420</v>
      </c>
      <c r="BK95" s="10" t="s">
        <v>183</v>
      </c>
      <c r="BL95" s="10" t="s">
        <v>420</v>
      </c>
      <c r="BM95" s="10" t="s">
        <v>3981</v>
      </c>
      <c r="BN95" s="10">
        <v>35708767</v>
      </c>
      <c r="BO95" s="10" t="s">
        <v>422</v>
      </c>
      <c r="BP95" s="10" t="s">
        <v>74</v>
      </c>
      <c r="BQ95" s="10" t="s">
        <v>74</v>
      </c>
      <c r="BR95" s="10" t="s">
        <v>12946</v>
      </c>
      <c r="BS95" s="10" t="s">
        <v>3982</v>
      </c>
      <c r="BT95" s="10">
        <v>0</v>
      </c>
    </row>
    <row r="96" spans="1:72" x14ac:dyDescent="0.25">
      <c r="A96" s="10" t="s">
        <v>72</v>
      </c>
      <c r="B96" s="10" t="s">
        <v>4482</v>
      </c>
      <c r="C96" s="10" t="s">
        <v>74</v>
      </c>
      <c r="D96" s="10" t="s">
        <v>74</v>
      </c>
      <c r="E96" s="10" t="s">
        <v>74</v>
      </c>
      <c r="F96" s="10" t="s">
        <v>4483</v>
      </c>
      <c r="G96" s="10" t="s">
        <v>74</v>
      </c>
      <c r="H96" s="10" t="s">
        <v>74</v>
      </c>
      <c r="I96" s="10" t="s">
        <v>4484</v>
      </c>
      <c r="J96" s="10" t="s">
        <v>3245</v>
      </c>
      <c r="K96" s="10" t="s">
        <v>74</v>
      </c>
      <c r="L96" s="10" t="s">
        <v>74</v>
      </c>
      <c r="M96" s="10" t="s">
        <v>78</v>
      </c>
      <c r="N96" s="10" t="s">
        <v>79</v>
      </c>
      <c r="O96" s="10" t="s">
        <v>74</v>
      </c>
      <c r="P96" s="10" t="s">
        <v>74</v>
      </c>
      <c r="Q96" s="10" t="s">
        <v>74</v>
      </c>
      <c r="R96" s="10" t="s">
        <v>74</v>
      </c>
      <c r="S96" s="10" t="s">
        <v>74</v>
      </c>
      <c r="T96" s="10" t="s">
        <v>4485</v>
      </c>
      <c r="U96" s="10" t="s">
        <v>4486</v>
      </c>
      <c r="V96" s="10" t="s">
        <v>4487</v>
      </c>
      <c r="W96" s="10" t="s">
        <v>4488</v>
      </c>
      <c r="X96" s="10" t="s">
        <v>4489</v>
      </c>
      <c r="Y96" s="10" t="s">
        <v>4490</v>
      </c>
      <c r="Z96" s="10" t="s">
        <v>4491</v>
      </c>
      <c r="AA96" s="10" t="s">
        <v>4492</v>
      </c>
      <c r="AB96" s="10" t="s">
        <v>74</v>
      </c>
      <c r="AC96" s="10" t="s">
        <v>4494</v>
      </c>
      <c r="AD96" s="10" t="s">
        <v>4495</v>
      </c>
      <c r="AE96" s="10" t="s">
        <v>4496</v>
      </c>
      <c r="AF96" s="10" t="s">
        <v>74</v>
      </c>
      <c r="AG96" s="10">
        <v>38</v>
      </c>
      <c r="AH96" s="10">
        <v>0</v>
      </c>
      <c r="AI96" s="10">
        <v>0</v>
      </c>
      <c r="AJ96" s="10">
        <v>0</v>
      </c>
      <c r="AK96" s="10">
        <v>10</v>
      </c>
      <c r="AL96" s="10" t="s">
        <v>1468</v>
      </c>
      <c r="AM96" s="10" t="s">
        <v>175</v>
      </c>
      <c r="AN96" s="10" t="s">
        <v>1469</v>
      </c>
      <c r="AO96" s="10" t="s">
        <v>3255</v>
      </c>
      <c r="AP96" s="10" t="s">
        <v>3256</v>
      </c>
      <c r="AQ96" s="10" t="s">
        <v>74</v>
      </c>
      <c r="AR96" s="10" t="s">
        <v>3257</v>
      </c>
      <c r="AS96" s="10" t="s">
        <v>3258</v>
      </c>
      <c r="AT96" s="10" t="s">
        <v>626</v>
      </c>
      <c r="AU96" s="10">
        <v>2024</v>
      </c>
      <c r="AV96" s="10">
        <v>22</v>
      </c>
      <c r="AW96" s="10">
        <v>3</v>
      </c>
      <c r="AX96" s="10" t="s">
        <v>74</v>
      </c>
      <c r="AY96" s="10" t="s">
        <v>74</v>
      </c>
      <c r="AZ96" s="10" t="s">
        <v>74</v>
      </c>
      <c r="BA96" s="10" t="s">
        <v>74</v>
      </c>
      <c r="BB96" s="10">
        <v>597</v>
      </c>
      <c r="BC96" s="10">
        <v>608</v>
      </c>
      <c r="BD96" s="10">
        <v>1.4761270211067162E+16</v>
      </c>
      <c r="BE96" s="10" t="s">
        <v>4498</v>
      </c>
      <c r="BF96" s="10">
        <v>0</v>
      </c>
      <c r="BG96" s="10" t="s">
        <v>74</v>
      </c>
      <c r="BH96" s="10" t="s">
        <v>4337</v>
      </c>
      <c r="BI96" s="10">
        <v>12</v>
      </c>
      <c r="BJ96" s="10" t="s">
        <v>264</v>
      </c>
      <c r="BK96" s="10" t="s">
        <v>156</v>
      </c>
      <c r="BL96" s="10" t="s">
        <v>265</v>
      </c>
      <c r="BM96" s="10" t="s">
        <v>13268</v>
      </c>
      <c r="BN96" s="10" t="s">
        <v>74</v>
      </c>
      <c r="BO96" s="10" t="s">
        <v>105</v>
      </c>
      <c r="BP96" s="10" t="s">
        <v>74</v>
      </c>
      <c r="BQ96" s="10" t="s">
        <v>74</v>
      </c>
      <c r="BR96" s="10" t="s">
        <v>12946</v>
      </c>
      <c r="BS96" s="10" t="s">
        <v>4500</v>
      </c>
      <c r="BT96" s="10">
        <v>0</v>
      </c>
    </row>
    <row r="97" spans="1:72" x14ac:dyDescent="0.25">
      <c r="A97" s="10" t="s">
        <v>477</v>
      </c>
      <c r="B97" s="10" t="s">
        <v>7070</v>
      </c>
      <c r="C97" s="10" t="s">
        <v>74</v>
      </c>
      <c r="D97" s="10" t="s">
        <v>7071</v>
      </c>
      <c r="E97" s="10" t="s">
        <v>74</v>
      </c>
      <c r="F97" s="10" t="s">
        <v>7072</v>
      </c>
      <c r="G97" s="10" t="s">
        <v>74</v>
      </c>
      <c r="H97" s="10" t="s">
        <v>74</v>
      </c>
      <c r="I97" s="10" t="s">
        <v>7073</v>
      </c>
      <c r="J97" s="10" t="s">
        <v>7074</v>
      </c>
      <c r="K97" s="10" t="s">
        <v>7075</v>
      </c>
      <c r="L97" s="10" t="s">
        <v>74</v>
      </c>
      <c r="M97" s="10" t="s">
        <v>78</v>
      </c>
      <c r="N97" s="10" t="s">
        <v>4932</v>
      </c>
      <c r="O97" s="10" t="s">
        <v>74</v>
      </c>
      <c r="P97" s="10" t="s">
        <v>74</v>
      </c>
      <c r="Q97" s="10" t="s">
        <v>74</v>
      </c>
      <c r="R97" s="10" t="s">
        <v>74</v>
      </c>
      <c r="S97" s="10" t="s">
        <v>74</v>
      </c>
      <c r="T97" s="10" t="s">
        <v>74</v>
      </c>
      <c r="U97" s="10" t="s">
        <v>7076</v>
      </c>
      <c r="V97" s="10" t="s">
        <v>74</v>
      </c>
      <c r="W97" s="10" t="s">
        <v>7077</v>
      </c>
      <c r="X97" s="10" t="s">
        <v>7078</v>
      </c>
      <c r="Y97" s="10" t="s">
        <v>7079</v>
      </c>
      <c r="Z97" s="10" t="s">
        <v>74</v>
      </c>
      <c r="AA97" s="10" t="s">
        <v>74</v>
      </c>
      <c r="AB97" s="10" t="s">
        <v>74</v>
      </c>
      <c r="AC97" s="10" t="s">
        <v>74</v>
      </c>
      <c r="AD97" s="10" t="s">
        <v>74</v>
      </c>
      <c r="AE97" s="10" t="s">
        <v>74</v>
      </c>
      <c r="AF97" s="10" t="s">
        <v>74</v>
      </c>
      <c r="AG97" s="10">
        <v>89</v>
      </c>
      <c r="AH97" s="10">
        <v>0</v>
      </c>
      <c r="AI97" s="10">
        <v>0</v>
      </c>
      <c r="AJ97" s="10">
        <v>0</v>
      </c>
      <c r="AK97" s="10">
        <v>0</v>
      </c>
      <c r="AL97" s="10" t="s">
        <v>4936</v>
      </c>
      <c r="AM97" s="10" t="s">
        <v>493</v>
      </c>
      <c r="AN97" s="10" t="s">
        <v>4937</v>
      </c>
      <c r="AO97" s="10" t="s">
        <v>74</v>
      </c>
      <c r="AP97" s="10" t="s">
        <v>74</v>
      </c>
      <c r="AQ97" s="10" t="s">
        <v>7080</v>
      </c>
      <c r="AR97" s="10" t="s">
        <v>7081</v>
      </c>
      <c r="AS97" s="10" t="s">
        <v>74</v>
      </c>
      <c r="AT97" s="10" t="s">
        <v>74</v>
      </c>
      <c r="AU97" s="10">
        <v>2021</v>
      </c>
      <c r="AV97" s="10" t="s">
        <v>74</v>
      </c>
      <c r="AW97" s="10" t="s">
        <v>74</v>
      </c>
      <c r="AX97" s="10" t="s">
        <v>74</v>
      </c>
      <c r="AY97" s="10" t="s">
        <v>74</v>
      </c>
      <c r="AZ97" s="10" t="s">
        <v>74</v>
      </c>
      <c r="BA97" s="10" t="s">
        <v>74</v>
      </c>
      <c r="BB97" s="10">
        <v>242</v>
      </c>
      <c r="BC97" s="10">
        <v>267</v>
      </c>
      <c r="BD97" s="10" t="s">
        <v>74</v>
      </c>
      <c r="BE97" s="10" t="s">
        <v>74</v>
      </c>
      <c r="BF97" s="10" t="s">
        <v>74</v>
      </c>
      <c r="BG97" s="10" t="s">
        <v>74</v>
      </c>
      <c r="BH97" s="10" t="s">
        <v>74</v>
      </c>
      <c r="BI97" s="10">
        <v>26</v>
      </c>
      <c r="BJ97" s="10" t="s">
        <v>264</v>
      </c>
      <c r="BK97" s="10" t="s">
        <v>4943</v>
      </c>
      <c r="BL97" s="10" t="s">
        <v>265</v>
      </c>
      <c r="BM97" s="10" t="s">
        <v>7082</v>
      </c>
      <c r="BN97" s="10" t="s">
        <v>74</v>
      </c>
      <c r="BO97" s="10" t="s">
        <v>74</v>
      </c>
      <c r="BP97" s="10" t="s">
        <v>74</v>
      </c>
      <c r="BQ97" s="10" t="s">
        <v>74</v>
      </c>
      <c r="BR97" s="10" t="s">
        <v>12946</v>
      </c>
      <c r="BS97" s="10" t="s">
        <v>7083</v>
      </c>
      <c r="BT97" s="10">
        <v>0</v>
      </c>
    </row>
    <row r="98" spans="1:72" x14ac:dyDescent="0.25">
      <c r="A98" s="10" t="s">
        <v>72</v>
      </c>
      <c r="B98" s="10" t="s">
        <v>7562</v>
      </c>
      <c r="C98" s="10" t="s">
        <v>74</v>
      </c>
      <c r="D98" s="10" t="s">
        <v>74</v>
      </c>
      <c r="E98" s="10" t="s">
        <v>74</v>
      </c>
      <c r="F98" s="10" t="s">
        <v>7563</v>
      </c>
      <c r="G98" s="10" t="s">
        <v>74</v>
      </c>
      <c r="H98" s="10" t="s">
        <v>74</v>
      </c>
      <c r="I98" s="10" t="s">
        <v>7564</v>
      </c>
      <c r="J98" s="10" t="s">
        <v>7565</v>
      </c>
      <c r="K98" s="10" t="s">
        <v>74</v>
      </c>
      <c r="L98" s="10" t="s">
        <v>74</v>
      </c>
      <c r="M98" s="10" t="s">
        <v>78</v>
      </c>
      <c r="N98" s="10" t="s">
        <v>79</v>
      </c>
      <c r="O98" s="10" t="s">
        <v>74</v>
      </c>
      <c r="P98" s="10" t="s">
        <v>74</v>
      </c>
      <c r="Q98" s="10" t="s">
        <v>74</v>
      </c>
      <c r="R98" s="10" t="s">
        <v>74</v>
      </c>
      <c r="S98" s="10" t="s">
        <v>74</v>
      </c>
      <c r="T98" s="10" t="s">
        <v>7566</v>
      </c>
      <c r="U98" s="10" t="s">
        <v>7567</v>
      </c>
      <c r="V98" s="10" t="s">
        <v>7568</v>
      </c>
      <c r="W98" s="10" t="s">
        <v>7569</v>
      </c>
      <c r="X98" s="10" t="s">
        <v>7570</v>
      </c>
      <c r="Y98" s="10" t="s">
        <v>7571</v>
      </c>
      <c r="Z98" s="10" t="s">
        <v>7572</v>
      </c>
      <c r="AA98" s="10" t="s">
        <v>74</v>
      </c>
      <c r="AB98" s="10" t="s">
        <v>13269</v>
      </c>
      <c r="AC98" s="10" t="s">
        <v>7574</v>
      </c>
      <c r="AD98" s="10" t="s">
        <v>7575</v>
      </c>
      <c r="AE98" s="10" t="s">
        <v>7576</v>
      </c>
      <c r="AF98" s="10" t="s">
        <v>74</v>
      </c>
      <c r="AG98" s="10">
        <v>54</v>
      </c>
      <c r="AH98" s="10">
        <v>0</v>
      </c>
      <c r="AI98" s="10">
        <v>1</v>
      </c>
      <c r="AJ98" s="10">
        <v>0</v>
      </c>
      <c r="AK98" s="10">
        <v>8</v>
      </c>
      <c r="AL98" s="10" t="s">
        <v>2128</v>
      </c>
      <c r="AM98" s="10" t="s">
        <v>2129</v>
      </c>
      <c r="AN98" s="10" t="s">
        <v>2130</v>
      </c>
      <c r="AO98" s="10" t="s">
        <v>7577</v>
      </c>
      <c r="AP98" s="10" t="s">
        <v>74</v>
      </c>
      <c r="AQ98" s="10" t="s">
        <v>74</v>
      </c>
      <c r="AR98" s="10" t="s">
        <v>7565</v>
      </c>
      <c r="AS98" s="10" t="s">
        <v>7578</v>
      </c>
      <c r="AT98" s="10" t="s">
        <v>7579</v>
      </c>
      <c r="AU98" s="10">
        <v>2020</v>
      </c>
      <c r="AV98" s="10">
        <v>6</v>
      </c>
      <c r="AW98" s="10">
        <v>2</v>
      </c>
      <c r="AX98" s="10" t="s">
        <v>74</v>
      </c>
      <c r="AY98" s="10" t="s">
        <v>74</v>
      </c>
      <c r="AZ98" s="10" t="s">
        <v>74</v>
      </c>
      <c r="BA98" s="10" t="s">
        <v>74</v>
      </c>
      <c r="BB98" s="10" t="s">
        <v>74</v>
      </c>
      <c r="BC98" s="10" t="s">
        <v>74</v>
      </c>
      <c r="BD98" s="10" t="s">
        <v>7580</v>
      </c>
      <c r="BE98" s="10" t="s">
        <v>7581</v>
      </c>
      <c r="BF98" s="10">
        <v>0</v>
      </c>
      <c r="BG98" s="10" t="s">
        <v>74</v>
      </c>
      <c r="BH98" s="10" t="s">
        <v>74</v>
      </c>
      <c r="BI98" s="10">
        <v>11</v>
      </c>
      <c r="BJ98" s="10" t="s">
        <v>6703</v>
      </c>
      <c r="BK98" s="10" t="s">
        <v>183</v>
      </c>
      <c r="BL98" s="10" t="s">
        <v>6703</v>
      </c>
      <c r="BM98" s="10" t="s">
        <v>7582</v>
      </c>
      <c r="BN98" s="10">
        <v>33156810</v>
      </c>
      <c r="BO98" s="10" t="s">
        <v>422</v>
      </c>
      <c r="BP98" s="10" t="s">
        <v>74</v>
      </c>
      <c r="BQ98" s="10" t="s">
        <v>74</v>
      </c>
      <c r="BR98" s="10" t="s">
        <v>12946</v>
      </c>
      <c r="BS98" s="10" t="s">
        <v>7583</v>
      </c>
      <c r="BT98" s="10">
        <v>0</v>
      </c>
    </row>
    <row r="99" spans="1:72" x14ac:dyDescent="0.25">
      <c r="A99" s="10" t="s">
        <v>72</v>
      </c>
      <c r="B99" s="10" t="s">
        <v>9228</v>
      </c>
      <c r="C99" s="10" t="s">
        <v>74</v>
      </c>
      <c r="D99" s="10" t="s">
        <v>74</v>
      </c>
      <c r="E99" s="10" t="s">
        <v>74</v>
      </c>
      <c r="F99" s="10" t="s">
        <v>9229</v>
      </c>
      <c r="G99" s="10" t="s">
        <v>74</v>
      </c>
      <c r="H99" s="10" t="s">
        <v>74</v>
      </c>
      <c r="I99" s="10" t="s">
        <v>9230</v>
      </c>
      <c r="J99" s="10" t="s">
        <v>9194</v>
      </c>
      <c r="K99" s="10" t="s">
        <v>74</v>
      </c>
      <c r="L99" s="10" t="s">
        <v>74</v>
      </c>
      <c r="M99" s="10" t="s">
        <v>1030</v>
      </c>
      <c r="N99" s="10" t="s">
        <v>79</v>
      </c>
      <c r="O99" s="10" t="s">
        <v>74</v>
      </c>
      <c r="P99" s="10" t="s">
        <v>74</v>
      </c>
      <c r="Q99" s="10" t="s">
        <v>74</v>
      </c>
      <c r="R99" s="10" t="s">
        <v>74</v>
      </c>
      <c r="S99" s="10" t="s">
        <v>74</v>
      </c>
      <c r="T99" s="10" t="s">
        <v>9231</v>
      </c>
      <c r="U99" s="10" t="s">
        <v>9232</v>
      </c>
      <c r="V99" s="10" t="s">
        <v>9233</v>
      </c>
      <c r="W99" s="10" t="s">
        <v>9234</v>
      </c>
      <c r="X99" s="10" t="s">
        <v>74</v>
      </c>
      <c r="Y99" s="10" t="s">
        <v>9235</v>
      </c>
      <c r="Z99" s="10" t="s">
        <v>74</v>
      </c>
      <c r="AA99" s="10" t="s">
        <v>74</v>
      </c>
      <c r="AB99" s="10" t="s">
        <v>74</v>
      </c>
      <c r="AC99" s="10" t="s">
        <v>74</v>
      </c>
      <c r="AD99" s="10" t="s">
        <v>74</v>
      </c>
      <c r="AE99" s="10" t="s">
        <v>74</v>
      </c>
      <c r="AF99" s="10" t="s">
        <v>74</v>
      </c>
      <c r="AG99" s="10">
        <v>151</v>
      </c>
      <c r="AH99" s="10">
        <v>0</v>
      </c>
      <c r="AI99" s="10">
        <v>0</v>
      </c>
      <c r="AJ99" s="10">
        <v>1</v>
      </c>
      <c r="AK99" s="10">
        <v>17</v>
      </c>
      <c r="AL99" s="10" t="s">
        <v>644</v>
      </c>
      <c r="AM99" s="10" t="s">
        <v>645</v>
      </c>
      <c r="AN99" s="10" t="s">
        <v>646</v>
      </c>
      <c r="AO99" s="10" t="s">
        <v>9203</v>
      </c>
      <c r="AP99" s="10" t="s">
        <v>9204</v>
      </c>
      <c r="AQ99" s="10" t="s">
        <v>74</v>
      </c>
      <c r="AR99" s="10" t="s">
        <v>9205</v>
      </c>
      <c r="AS99" s="10" t="s">
        <v>9206</v>
      </c>
      <c r="AT99" s="10" t="s">
        <v>1683</v>
      </c>
      <c r="AU99" s="10">
        <v>2019</v>
      </c>
      <c r="AV99" s="10">
        <v>98</v>
      </c>
      <c r="AW99" s="10" t="s">
        <v>74</v>
      </c>
      <c r="AX99" s="10" t="s">
        <v>74</v>
      </c>
      <c r="AY99" s="10">
        <v>1</v>
      </c>
      <c r="AZ99" s="10" t="s">
        <v>74</v>
      </c>
      <c r="BA99" s="10" t="s">
        <v>74</v>
      </c>
      <c r="BB99" s="10" t="s">
        <v>9236</v>
      </c>
      <c r="BC99" s="10" t="s">
        <v>9237</v>
      </c>
      <c r="BD99" s="10" t="s">
        <v>74</v>
      </c>
      <c r="BE99" s="10" t="s">
        <v>9238</v>
      </c>
      <c r="BF99" s="10">
        <v>0</v>
      </c>
      <c r="BG99" s="10" t="s">
        <v>74</v>
      </c>
      <c r="BH99" s="10" t="s">
        <v>74</v>
      </c>
      <c r="BI99" s="10">
        <v>17</v>
      </c>
      <c r="BJ99" s="10" t="s">
        <v>9210</v>
      </c>
      <c r="BK99" s="10" t="s">
        <v>211</v>
      </c>
      <c r="BL99" s="10" t="s">
        <v>9210</v>
      </c>
      <c r="BM99" s="10" t="s">
        <v>9211</v>
      </c>
      <c r="BN99" s="10">
        <v>31096300</v>
      </c>
      <c r="BO99" s="10" t="s">
        <v>105</v>
      </c>
      <c r="BP99" s="10" t="s">
        <v>74</v>
      </c>
      <c r="BQ99" s="10" t="s">
        <v>74</v>
      </c>
      <c r="BR99" s="10" t="s">
        <v>12946</v>
      </c>
      <c r="BS99" s="10" t="s">
        <v>9239</v>
      </c>
      <c r="BT99" s="10">
        <v>0</v>
      </c>
    </row>
    <row r="100" spans="1:72" x14ac:dyDescent="0.25">
      <c r="A100" s="10" t="s">
        <v>72</v>
      </c>
      <c r="B100" s="10" t="s">
        <v>10500</v>
      </c>
      <c r="C100" s="10" t="s">
        <v>74</v>
      </c>
      <c r="D100" s="10" t="s">
        <v>74</v>
      </c>
      <c r="E100" s="10" t="s">
        <v>74</v>
      </c>
      <c r="F100" s="10" t="s">
        <v>10501</v>
      </c>
      <c r="G100" s="10" t="s">
        <v>74</v>
      </c>
      <c r="H100" s="10" t="s">
        <v>74</v>
      </c>
      <c r="I100" s="10" t="s">
        <v>10502</v>
      </c>
      <c r="J100" s="10" t="s">
        <v>10503</v>
      </c>
      <c r="K100" s="10" t="s">
        <v>74</v>
      </c>
      <c r="L100" s="10" t="s">
        <v>74</v>
      </c>
      <c r="M100" s="10" t="s">
        <v>929</v>
      </c>
      <c r="N100" s="10" t="s">
        <v>79</v>
      </c>
      <c r="O100" s="10" t="s">
        <v>74</v>
      </c>
      <c r="P100" s="10" t="s">
        <v>74</v>
      </c>
      <c r="Q100" s="10" t="s">
        <v>74</v>
      </c>
      <c r="R100" s="10" t="s">
        <v>74</v>
      </c>
      <c r="S100" s="10" t="s">
        <v>74</v>
      </c>
      <c r="T100" s="10" t="s">
        <v>10504</v>
      </c>
      <c r="U100" s="10" t="s">
        <v>74</v>
      </c>
      <c r="V100" s="10" t="s">
        <v>10505</v>
      </c>
      <c r="W100" s="10" t="s">
        <v>10506</v>
      </c>
      <c r="X100" s="10" t="s">
        <v>10507</v>
      </c>
      <c r="Y100" s="10" t="s">
        <v>10508</v>
      </c>
      <c r="Z100" s="10" t="s">
        <v>74</v>
      </c>
      <c r="AA100" s="10" t="s">
        <v>74</v>
      </c>
      <c r="AB100" s="10" t="s">
        <v>74</v>
      </c>
      <c r="AC100" s="10" t="s">
        <v>74</v>
      </c>
      <c r="AD100" s="10" t="s">
        <v>74</v>
      </c>
      <c r="AE100" s="10" t="s">
        <v>74</v>
      </c>
      <c r="AF100" s="10" t="s">
        <v>74</v>
      </c>
      <c r="AG100" s="10">
        <v>37</v>
      </c>
      <c r="AH100" s="10">
        <v>0</v>
      </c>
      <c r="AI100" s="10">
        <v>0</v>
      </c>
      <c r="AJ100" s="10">
        <v>0</v>
      </c>
      <c r="AK100" s="10">
        <v>2</v>
      </c>
      <c r="AL100" s="10" t="s">
        <v>10509</v>
      </c>
      <c r="AM100" s="10" t="s">
        <v>10510</v>
      </c>
      <c r="AN100" s="10" t="s">
        <v>10511</v>
      </c>
      <c r="AO100" s="10" t="s">
        <v>10512</v>
      </c>
      <c r="AP100" s="10" t="s">
        <v>74</v>
      </c>
      <c r="AQ100" s="10" t="s">
        <v>74</v>
      </c>
      <c r="AR100" s="10" t="s">
        <v>10513</v>
      </c>
      <c r="AS100" s="10" t="s">
        <v>10514</v>
      </c>
      <c r="AT100" s="10" t="s">
        <v>376</v>
      </c>
      <c r="AU100" s="10">
        <v>2017</v>
      </c>
      <c r="AV100" s="10">
        <v>17</v>
      </c>
      <c r="AW100" s="10">
        <v>75</v>
      </c>
      <c r="AX100" s="10" t="s">
        <v>74</v>
      </c>
      <c r="AY100" s="10" t="s">
        <v>74</v>
      </c>
      <c r="AZ100" s="10" t="s">
        <v>74</v>
      </c>
      <c r="BA100" s="10" t="s">
        <v>74</v>
      </c>
      <c r="BB100" s="10">
        <v>9</v>
      </c>
      <c r="BC100" s="10">
        <v>27</v>
      </c>
      <c r="BD100" s="10" t="s">
        <v>74</v>
      </c>
      <c r="BE100" s="10" t="s">
        <v>74</v>
      </c>
      <c r="BF100" s="10" t="s">
        <v>74</v>
      </c>
      <c r="BG100" s="10" t="s">
        <v>74</v>
      </c>
      <c r="BH100" s="10" t="s">
        <v>74</v>
      </c>
      <c r="BI100" s="10">
        <v>19</v>
      </c>
      <c r="BJ100" s="10" t="s">
        <v>1326</v>
      </c>
      <c r="BK100" s="10" t="s">
        <v>183</v>
      </c>
      <c r="BL100" s="10" t="s">
        <v>1326</v>
      </c>
      <c r="BM100" s="10" t="s">
        <v>10515</v>
      </c>
      <c r="BN100" s="10" t="s">
        <v>74</v>
      </c>
      <c r="BO100" s="10" t="s">
        <v>74</v>
      </c>
      <c r="BP100" s="10" t="s">
        <v>74</v>
      </c>
      <c r="BQ100" s="10" t="s">
        <v>74</v>
      </c>
      <c r="BR100" s="10" t="s">
        <v>12946</v>
      </c>
      <c r="BS100" s="10" t="s">
        <v>10516</v>
      </c>
      <c r="BT100" s="10">
        <v>0</v>
      </c>
    </row>
    <row r="101" spans="1:72" x14ac:dyDescent="0.25">
      <c r="A101" s="10" t="s">
        <v>72</v>
      </c>
      <c r="B101" s="10" t="s">
        <v>11418</v>
      </c>
      <c r="C101" s="10" t="s">
        <v>74</v>
      </c>
      <c r="D101" s="10" t="s">
        <v>74</v>
      </c>
      <c r="E101" s="10" t="s">
        <v>74</v>
      </c>
      <c r="F101" s="10" t="s">
        <v>11419</v>
      </c>
      <c r="G101" s="10" t="s">
        <v>74</v>
      </c>
      <c r="H101" s="10" t="s">
        <v>74</v>
      </c>
      <c r="I101" s="10" t="s">
        <v>11420</v>
      </c>
      <c r="J101" s="10" t="s">
        <v>11421</v>
      </c>
      <c r="K101" s="10" t="s">
        <v>74</v>
      </c>
      <c r="L101" s="10" t="s">
        <v>74</v>
      </c>
      <c r="M101" s="10" t="s">
        <v>929</v>
      </c>
      <c r="N101" s="10" t="s">
        <v>79</v>
      </c>
      <c r="O101" s="10" t="s">
        <v>74</v>
      </c>
      <c r="P101" s="10" t="s">
        <v>74</v>
      </c>
      <c r="Q101" s="10" t="s">
        <v>74</v>
      </c>
      <c r="R101" s="10" t="s">
        <v>74</v>
      </c>
      <c r="S101" s="10" t="s">
        <v>74</v>
      </c>
      <c r="T101" s="10" t="s">
        <v>11422</v>
      </c>
      <c r="U101" s="10" t="s">
        <v>11423</v>
      </c>
      <c r="V101" s="10" t="s">
        <v>11424</v>
      </c>
      <c r="W101" s="10" t="s">
        <v>11425</v>
      </c>
      <c r="X101" s="10" t="s">
        <v>11426</v>
      </c>
      <c r="Y101" s="10" t="s">
        <v>11427</v>
      </c>
      <c r="Z101" s="10" t="s">
        <v>11428</v>
      </c>
      <c r="AA101" s="10" t="s">
        <v>13270</v>
      </c>
      <c r="AB101" s="10" t="s">
        <v>13271</v>
      </c>
      <c r="AC101" s="10" t="s">
        <v>74</v>
      </c>
      <c r="AD101" s="10" t="s">
        <v>74</v>
      </c>
      <c r="AE101" s="10" t="s">
        <v>74</v>
      </c>
      <c r="AF101" s="10" t="s">
        <v>74</v>
      </c>
      <c r="AG101" s="10">
        <v>20</v>
      </c>
      <c r="AH101" s="10">
        <v>0</v>
      </c>
      <c r="AI101" s="10">
        <v>2</v>
      </c>
      <c r="AJ101" s="10">
        <v>0</v>
      </c>
      <c r="AK101" s="10">
        <v>4</v>
      </c>
      <c r="AL101" s="10" t="s">
        <v>11431</v>
      </c>
      <c r="AM101" s="10" t="s">
        <v>6354</v>
      </c>
      <c r="AN101" s="10" t="s">
        <v>11432</v>
      </c>
      <c r="AO101" s="10" t="s">
        <v>11433</v>
      </c>
      <c r="AP101" s="10" t="s">
        <v>11434</v>
      </c>
      <c r="AQ101" s="10" t="s">
        <v>74</v>
      </c>
      <c r="AR101" s="10" t="s">
        <v>11435</v>
      </c>
      <c r="AS101" s="10" t="s">
        <v>11436</v>
      </c>
      <c r="AT101" s="10" t="s">
        <v>11437</v>
      </c>
      <c r="AU101" s="10">
        <v>2016</v>
      </c>
      <c r="AV101" s="10">
        <v>57</v>
      </c>
      <c r="AW101" s="10">
        <v>1</v>
      </c>
      <c r="AX101" s="10" t="s">
        <v>74</v>
      </c>
      <c r="AY101" s="10" t="s">
        <v>74</v>
      </c>
      <c r="AZ101" s="10" t="s">
        <v>74</v>
      </c>
      <c r="BA101" s="10" t="s">
        <v>74</v>
      </c>
      <c r="BB101" s="10">
        <v>44</v>
      </c>
      <c r="BC101" s="10">
        <v>57</v>
      </c>
      <c r="BD101" s="10" t="s">
        <v>74</v>
      </c>
      <c r="BE101" s="10" t="s">
        <v>11438</v>
      </c>
      <c r="BF101" s="10">
        <v>0</v>
      </c>
      <c r="BG101" s="10" t="s">
        <v>74</v>
      </c>
      <c r="BH101" s="10" t="s">
        <v>74</v>
      </c>
      <c r="BI101" s="10">
        <v>14</v>
      </c>
      <c r="BJ101" s="10" t="s">
        <v>840</v>
      </c>
      <c r="BK101" s="10" t="s">
        <v>183</v>
      </c>
      <c r="BL101" s="10" t="s">
        <v>841</v>
      </c>
      <c r="BM101" s="10" t="s">
        <v>11439</v>
      </c>
      <c r="BN101" s="10" t="s">
        <v>74</v>
      </c>
      <c r="BO101" s="10" t="s">
        <v>186</v>
      </c>
      <c r="BP101" s="10" t="s">
        <v>74</v>
      </c>
      <c r="BQ101" s="10" t="s">
        <v>74</v>
      </c>
      <c r="BR101" s="10" t="s">
        <v>12946</v>
      </c>
      <c r="BS101" s="10" t="s">
        <v>11440</v>
      </c>
      <c r="BT101" s="10">
        <v>0</v>
      </c>
    </row>
    <row r="102" spans="1:72" x14ac:dyDescent="0.25">
      <c r="A102" s="10" t="s">
        <v>72</v>
      </c>
      <c r="B102" s="10" t="s">
        <v>12303</v>
      </c>
      <c r="C102" s="10" t="s">
        <v>74</v>
      </c>
      <c r="D102" s="10" t="s">
        <v>74</v>
      </c>
      <c r="E102" s="10" t="s">
        <v>74</v>
      </c>
      <c r="F102" s="10" t="s">
        <v>12304</v>
      </c>
      <c r="G102" s="10" t="s">
        <v>74</v>
      </c>
      <c r="H102" s="10" t="s">
        <v>74</v>
      </c>
      <c r="I102" s="10" t="s">
        <v>12305</v>
      </c>
      <c r="J102" s="10" t="s">
        <v>10827</v>
      </c>
      <c r="K102" s="10" t="s">
        <v>74</v>
      </c>
      <c r="L102" s="10" t="s">
        <v>74</v>
      </c>
      <c r="M102" s="10" t="s">
        <v>78</v>
      </c>
      <c r="N102" s="10" t="s">
        <v>79</v>
      </c>
      <c r="O102" s="10" t="s">
        <v>74</v>
      </c>
      <c r="P102" s="10" t="s">
        <v>74</v>
      </c>
      <c r="Q102" s="10" t="s">
        <v>74</v>
      </c>
      <c r="R102" s="10" t="s">
        <v>74</v>
      </c>
      <c r="S102" s="10" t="s">
        <v>74</v>
      </c>
      <c r="T102" s="10" t="s">
        <v>12306</v>
      </c>
      <c r="U102" s="10" t="s">
        <v>74</v>
      </c>
      <c r="V102" s="10" t="s">
        <v>12307</v>
      </c>
      <c r="W102" s="10" t="s">
        <v>12308</v>
      </c>
      <c r="X102" s="10" t="s">
        <v>11926</v>
      </c>
      <c r="Y102" s="10" t="s">
        <v>12309</v>
      </c>
      <c r="Z102" s="10" t="s">
        <v>12310</v>
      </c>
      <c r="AA102" s="10" t="s">
        <v>74</v>
      </c>
      <c r="AB102" s="10" t="s">
        <v>74</v>
      </c>
      <c r="AC102" s="10" t="s">
        <v>74</v>
      </c>
      <c r="AD102" s="10" t="s">
        <v>74</v>
      </c>
      <c r="AE102" s="10" t="s">
        <v>74</v>
      </c>
      <c r="AF102" s="10" t="s">
        <v>74</v>
      </c>
      <c r="AG102" s="10">
        <v>11</v>
      </c>
      <c r="AH102" s="10">
        <v>0</v>
      </c>
      <c r="AI102" s="10">
        <v>0</v>
      </c>
      <c r="AJ102" s="10">
        <v>0</v>
      </c>
      <c r="AK102" s="10">
        <v>0</v>
      </c>
      <c r="AL102" s="10" t="s">
        <v>3015</v>
      </c>
      <c r="AM102" s="10" t="s">
        <v>3016</v>
      </c>
      <c r="AN102" s="10" t="s">
        <v>3017</v>
      </c>
      <c r="AO102" s="10" t="s">
        <v>10834</v>
      </c>
      <c r="AP102" s="10" t="s">
        <v>10835</v>
      </c>
      <c r="AQ102" s="10" t="s">
        <v>74</v>
      </c>
      <c r="AR102" s="10" t="s">
        <v>10836</v>
      </c>
      <c r="AS102" s="10" t="s">
        <v>10837</v>
      </c>
      <c r="AT102" s="10" t="s">
        <v>74</v>
      </c>
      <c r="AU102" s="10">
        <v>2012</v>
      </c>
      <c r="AV102" s="10">
        <v>23</v>
      </c>
      <c r="AW102" s="10">
        <v>3</v>
      </c>
      <c r="AX102" s="10" t="s">
        <v>74</v>
      </c>
      <c r="AY102" s="10" t="s">
        <v>74</v>
      </c>
      <c r="AZ102" s="10" t="s">
        <v>74</v>
      </c>
      <c r="BA102" s="10" t="s">
        <v>74</v>
      </c>
      <c r="BB102" s="10">
        <v>48</v>
      </c>
      <c r="BC102" s="10">
        <v>55</v>
      </c>
      <c r="BD102" s="10" t="s">
        <v>74</v>
      </c>
      <c r="BE102" s="10" t="s">
        <v>12311</v>
      </c>
      <c r="BF102" s="10">
        <v>0</v>
      </c>
      <c r="BG102" s="10" t="s">
        <v>74</v>
      </c>
      <c r="BH102" s="10" t="s">
        <v>74</v>
      </c>
      <c r="BI102" s="10">
        <v>8</v>
      </c>
      <c r="BJ102" s="10" t="s">
        <v>2192</v>
      </c>
      <c r="BK102" s="10" t="s">
        <v>183</v>
      </c>
      <c r="BL102" s="10" t="s">
        <v>2193</v>
      </c>
      <c r="BM102" s="10" t="s">
        <v>12312</v>
      </c>
      <c r="BN102" s="10" t="s">
        <v>74</v>
      </c>
      <c r="BO102" s="10" t="s">
        <v>2805</v>
      </c>
      <c r="BP102" s="10" t="s">
        <v>74</v>
      </c>
      <c r="BQ102" s="10" t="s">
        <v>74</v>
      </c>
      <c r="BR102" s="10" t="s">
        <v>12946</v>
      </c>
      <c r="BS102" s="10" t="s">
        <v>12313</v>
      </c>
      <c r="BT102" s="10">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7"/>
  <sheetViews>
    <sheetView topLeftCell="A66" workbookViewId="0">
      <selection activeCell="A2" sqref="A2:A87"/>
    </sheetView>
  </sheetViews>
  <sheetFormatPr baseColWidth="10" defaultColWidth="8.7265625" defaultRowHeight="12.5" x14ac:dyDescent="0.25"/>
  <sheetData>
    <row r="1" spans="1:72" x14ac:dyDescent="0.25">
      <c r="A1" s="11" t="s">
        <v>0</v>
      </c>
      <c r="B1" s="11" t="s">
        <v>1</v>
      </c>
      <c r="C1" s="11" t="s">
        <v>2</v>
      </c>
      <c r="D1" s="11" t="s">
        <v>3</v>
      </c>
      <c r="E1" s="11" t="s">
        <v>4</v>
      </c>
      <c r="F1" s="11" t="s">
        <v>5</v>
      </c>
      <c r="G1" s="11" t="s">
        <v>6</v>
      </c>
      <c r="H1" s="11" t="s">
        <v>7</v>
      </c>
      <c r="I1" s="11" t="s">
        <v>8</v>
      </c>
      <c r="J1" s="11" t="s">
        <v>9</v>
      </c>
      <c r="K1" s="11" t="s">
        <v>10</v>
      </c>
      <c r="L1" s="11" t="s">
        <v>11</v>
      </c>
      <c r="M1" s="11" t="s">
        <v>12</v>
      </c>
      <c r="N1" s="11" t="s">
        <v>13</v>
      </c>
      <c r="O1" s="11" t="s">
        <v>14</v>
      </c>
      <c r="P1" s="11" t="s">
        <v>15</v>
      </c>
      <c r="Q1" s="11" t="s">
        <v>16</v>
      </c>
      <c r="R1" s="11" t="s">
        <v>17</v>
      </c>
      <c r="S1" s="11" t="s">
        <v>18</v>
      </c>
      <c r="T1" s="11" t="s">
        <v>19</v>
      </c>
      <c r="U1" s="11" t="s">
        <v>20</v>
      </c>
      <c r="V1" s="11" t="s">
        <v>21</v>
      </c>
      <c r="W1" s="11" t="s">
        <v>22</v>
      </c>
      <c r="X1" s="11" t="s">
        <v>23</v>
      </c>
      <c r="Y1" s="11" t="s">
        <v>24</v>
      </c>
      <c r="Z1" s="11" t="s">
        <v>25</v>
      </c>
      <c r="AA1" s="11" t="s">
        <v>26</v>
      </c>
      <c r="AB1" s="11" t="s">
        <v>27</v>
      </c>
      <c r="AC1" s="11" t="s">
        <v>28</v>
      </c>
      <c r="AD1" s="11" t="s">
        <v>29</v>
      </c>
      <c r="AE1" s="11" t="s">
        <v>30</v>
      </c>
      <c r="AF1" s="11" t="s">
        <v>31</v>
      </c>
      <c r="AG1" s="11" t="s">
        <v>32</v>
      </c>
      <c r="AH1" s="11" t="s">
        <v>33</v>
      </c>
      <c r="AI1" s="11" t="s">
        <v>34</v>
      </c>
      <c r="AJ1" s="11" t="s">
        <v>35</v>
      </c>
      <c r="AK1" s="11" t="s">
        <v>36</v>
      </c>
      <c r="AL1" s="11" t="s">
        <v>37</v>
      </c>
      <c r="AM1" s="11" t="s">
        <v>38</v>
      </c>
      <c r="AN1" s="11" t="s">
        <v>39</v>
      </c>
      <c r="AO1" s="11" t="s">
        <v>40</v>
      </c>
      <c r="AP1" s="11" t="s">
        <v>41</v>
      </c>
      <c r="AQ1" s="11" t="s">
        <v>42</v>
      </c>
      <c r="AR1" s="11" t="s">
        <v>43</v>
      </c>
      <c r="AS1" s="11" t="s">
        <v>44</v>
      </c>
      <c r="AT1" s="11" t="s">
        <v>45</v>
      </c>
      <c r="AU1" s="11" t="s">
        <v>46</v>
      </c>
      <c r="AV1" s="11" t="s">
        <v>47</v>
      </c>
      <c r="AW1" s="11" t="s">
        <v>48</v>
      </c>
      <c r="AX1" s="11" t="s">
        <v>49</v>
      </c>
      <c r="AY1" s="11" t="s">
        <v>50</v>
      </c>
      <c r="AZ1" s="11" t="s">
        <v>51</v>
      </c>
      <c r="BA1" s="11" t="s">
        <v>52</v>
      </c>
      <c r="BB1" s="11" t="s">
        <v>53</v>
      </c>
      <c r="BC1" s="11" t="s">
        <v>54</v>
      </c>
      <c r="BD1" s="11" t="s">
        <v>55</v>
      </c>
      <c r="BE1" s="11" t="s">
        <v>56</v>
      </c>
      <c r="BF1" s="11" t="s">
        <v>57</v>
      </c>
      <c r="BG1" s="11" t="s">
        <v>58</v>
      </c>
      <c r="BH1" s="11" t="s">
        <v>59</v>
      </c>
      <c r="BI1" s="11" t="s">
        <v>60</v>
      </c>
      <c r="BJ1" s="11" t="s">
        <v>61</v>
      </c>
      <c r="BK1" s="11" t="s">
        <v>62</v>
      </c>
      <c r="BL1" s="11" t="s">
        <v>63</v>
      </c>
      <c r="BM1" s="11" t="s">
        <v>64</v>
      </c>
      <c r="BN1" s="11" t="s">
        <v>65</v>
      </c>
      <c r="BO1" s="11" t="s">
        <v>66</v>
      </c>
      <c r="BP1" s="11" t="s">
        <v>67</v>
      </c>
      <c r="BQ1" s="11" t="s">
        <v>68</v>
      </c>
      <c r="BR1" s="11" t="s">
        <v>69</v>
      </c>
      <c r="BS1" s="11" t="s">
        <v>70</v>
      </c>
      <c r="BT1" s="11" t="s">
        <v>71</v>
      </c>
    </row>
    <row r="2" spans="1:72" x14ac:dyDescent="0.25">
      <c r="A2" s="11" t="s">
        <v>72</v>
      </c>
      <c r="B2" s="11" t="s">
        <v>7614</v>
      </c>
      <c r="C2" s="11" t="s">
        <v>74</v>
      </c>
      <c r="D2" s="11" t="s">
        <v>74</v>
      </c>
      <c r="E2" s="11" t="s">
        <v>74</v>
      </c>
      <c r="F2" s="11" t="s">
        <v>7615</v>
      </c>
      <c r="G2" s="11" t="s">
        <v>74</v>
      </c>
      <c r="H2" s="11" t="s">
        <v>74</v>
      </c>
      <c r="I2" s="11" t="s">
        <v>7616</v>
      </c>
      <c r="J2" s="11" t="s">
        <v>4541</v>
      </c>
      <c r="K2" s="11" t="s">
        <v>74</v>
      </c>
      <c r="L2" s="11" t="s">
        <v>74</v>
      </c>
      <c r="M2" s="11" t="s">
        <v>78</v>
      </c>
      <c r="N2" s="11" t="s">
        <v>79</v>
      </c>
      <c r="O2" s="11" t="s">
        <v>74</v>
      </c>
      <c r="P2" s="11" t="s">
        <v>74</v>
      </c>
      <c r="Q2" s="11" t="s">
        <v>74</v>
      </c>
      <c r="R2" s="11" t="s">
        <v>74</v>
      </c>
      <c r="S2" s="11" t="s">
        <v>74</v>
      </c>
      <c r="T2" s="11" t="s">
        <v>7617</v>
      </c>
      <c r="U2" s="11" t="s">
        <v>7618</v>
      </c>
      <c r="V2" s="11" t="s">
        <v>7619</v>
      </c>
      <c r="W2" s="11" t="s">
        <v>7620</v>
      </c>
      <c r="X2" s="11" t="s">
        <v>7621</v>
      </c>
      <c r="Y2" s="11" t="s">
        <v>7622</v>
      </c>
      <c r="Z2" s="11" t="s">
        <v>7623</v>
      </c>
      <c r="AA2" s="11" t="s">
        <v>13272</v>
      </c>
      <c r="AB2" s="11" t="s">
        <v>13273</v>
      </c>
      <c r="AC2" s="11" t="s">
        <v>74</v>
      </c>
      <c r="AD2" s="11" t="s">
        <v>74</v>
      </c>
      <c r="AE2" s="11" t="s">
        <v>74</v>
      </c>
      <c r="AF2" s="11" t="s">
        <v>74</v>
      </c>
      <c r="AG2" s="11">
        <v>92</v>
      </c>
      <c r="AH2" s="11">
        <v>459</v>
      </c>
      <c r="AI2" s="11">
        <v>504</v>
      </c>
      <c r="AJ2" s="11">
        <v>29</v>
      </c>
      <c r="AK2" s="11">
        <v>600</v>
      </c>
      <c r="AL2" s="11" t="s">
        <v>1636</v>
      </c>
      <c r="AM2" s="11" t="s">
        <v>93</v>
      </c>
      <c r="AN2" s="11" t="s">
        <v>1637</v>
      </c>
      <c r="AO2" s="11" t="s">
        <v>4554</v>
      </c>
      <c r="AP2" s="11" t="s">
        <v>4555</v>
      </c>
      <c r="AQ2" s="11" t="s">
        <v>74</v>
      </c>
      <c r="AR2" s="11" t="s">
        <v>4556</v>
      </c>
      <c r="AS2" s="11" t="s">
        <v>4557</v>
      </c>
      <c r="AT2" s="11" t="s">
        <v>476</v>
      </c>
      <c r="AU2" s="11">
        <v>2020</v>
      </c>
      <c r="AV2" s="11">
        <v>55</v>
      </c>
      <c r="AW2" s="11" t="s">
        <v>74</v>
      </c>
      <c r="AX2" s="11" t="s">
        <v>74</v>
      </c>
      <c r="AY2" s="11" t="s">
        <v>74</v>
      </c>
      <c r="AZ2" s="11" t="s">
        <v>74</v>
      </c>
      <c r="BA2" s="11" t="s">
        <v>74</v>
      </c>
      <c r="BB2" s="11" t="s">
        <v>74</v>
      </c>
      <c r="BC2" s="11" t="s">
        <v>74</v>
      </c>
      <c r="BD2" s="11">
        <v>102211</v>
      </c>
      <c r="BE2" s="11" t="s">
        <v>7626</v>
      </c>
      <c r="BF2" s="11">
        <v>0</v>
      </c>
      <c r="BG2" s="11" t="s">
        <v>74</v>
      </c>
      <c r="BH2" s="11" t="s">
        <v>74</v>
      </c>
      <c r="BI2" s="11">
        <v>20</v>
      </c>
      <c r="BJ2" s="11" t="s">
        <v>3050</v>
      </c>
      <c r="BK2" s="11" t="s">
        <v>156</v>
      </c>
      <c r="BL2" s="11" t="s">
        <v>3050</v>
      </c>
      <c r="BM2" s="11" t="s">
        <v>7627</v>
      </c>
      <c r="BN2" s="11" t="s">
        <v>74</v>
      </c>
      <c r="BO2" s="11" t="s">
        <v>9363</v>
      </c>
      <c r="BP2" s="11" t="s">
        <v>12954</v>
      </c>
      <c r="BQ2" s="11" t="s">
        <v>12955</v>
      </c>
      <c r="BR2" s="11" t="s">
        <v>12946</v>
      </c>
      <c r="BS2" s="11" t="s">
        <v>7629</v>
      </c>
      <c r="BT2" s="11">
        <v>0</v>
      </c>
    </row>
    <row r="3" spans="1:72" x14ac:dyDescent="0.25">
      <c r="A3" s="11" t="s">
        <v>72</v>
      </c>
      <c r="B3" s="11" t="s">
        <v>12588</v>
      </c>
      <c r="C3" s="11" t="s">
        <v>74</v>
      </c>
      <c r="D3" s="11" t="s">
        <v>74</v>
      </c>
      <c r="E3" s="11" t="s">
        <v>74</v>
      </c>
      <c r="F3" s="11" t="s">
        <v>12589</v>
      </c>
      <c r="G3" s="11" t="s">
        <v>74</v>
      </c>
      <c r="H3" s="11" t="s">
        <v>74</v>
      </c>
      <c r="I3" s="11" t="s">
        <v>12590</v>
      </c>
      <c r="J3" s="11" t="s">
        <v>3029</v>
      </c>
      <c r="K3" s="11" t="s">
        <v>74</v>
      </c>
      <c r="L3" s="11" t="s">
        <v>74</v>
      </c>
      <c r="M3" s="11" t="s">
        <v>78</v>
      </c>
      <c r="N3" s="11" t="s">
        <v>79</v>
      </c>
      <c r="O3" s="11" t="s">
        <v>74</v>
      </c>
      <c r="P3" s="11" t="s">
        <v>74</v>
      </c>
      <c r="Q3" s="11" t="s">
        <v>74</v>
      </c>
      <c r="R3" s="11" t="s">
        <v>74</v>
      </c>
      <c r="S3" s="11" t="s">
        <v>74</v>
      </c>
      <c r="T3" s="11" t="s">
        <v>12591</v>
      </c>
      <c r="U3" s="11" t="s">
        <v>12592</v>
      </c>
      <c r="V3" s="11" t="s">
        <v>12593</v>
      </c>
      <c r="W3" s="11" t="s">
        <v>12594</v>
      </c>
      <c r="X3" s="11" t="s">
        <v>12595</v>
      </c>
      <c r="Y3" s="11" t="s">
        <v>12596</v>
      </c>
      <c r="Z3" s="11" t="s">
        <v>12597</v>
      </c>
      <c r="AA3" s="11" t="s">
        <v>13274</v>
      </c>
      <c r="AB3" s="11" t="s">
        <v>12599</v>
      </c>
      <c r="AC3" s="11" t="s">
        <v>74</v>
      </c>
      <c r="AD3" s="11" t="s">
        <v>74</v>
      </c>
      <c r="AE3" s="11" t="s">
        <v>74</v>
      </c>
      <c r="AF3" s="11" t="s">
        <v>74</v>
      </c>
      <c r="AG3" s="11">
        <v>80</v>
      </c>
      <c r="AH3" s="11">
        <v>253</v>
      </c>
      <c r="AI3" s="11">
        <v>287</v>
      </c>
      <c r="AJ3" s="11">
        <v>21</v>
      </c>
      <c r="AK3" s="11">
        <v>239</v>
      </c>
      <c r="AL3" s="11" t="s">
        <v>3042</v>
      </c>
      <c r="AM3" s="11" t="s">
        <v>285</v>
      </c>
      <c r="AN3" s="11" t="s">
        <v>3043</v>
      </c>
      <c r="AO3" s="11" t="s">
        <v>3044</v>
      </c>
      <c r="AP3" s="11" t="s">
        <v>3045</v>
      </c>
      <c r="AQ3" s="11" t="s">
        <v>74</v>
      </c>
      <c r="AR3" s="11" t="s">
        <v>3046</v>
      </c>
      <c r="AS3" s="11" t="s">
        <v>3047</v>
      </c>
      <c r="AT3" s="11" t="s">
        <v>2068</v>
      </c>
      <c r="AU3" s="11">
        <v>2009</v>
      </c>
      <c r="AV3" s="11">
        <v>26</v>
      </c>
      <c r="AW3" s="11">
        <v>1</v>
      </c>
      <c r="AX3" s="11" t="s">
        <v>74</v>
      </c>
      <c r="AY3" s="11" t="s">
        <v>74</v>
      </c>
      <c r="AZ3" s="11" t="s">
        <v>1020</v>
      </c>
      <c r="BA3" s="11" t="s">
        <v>74</v>
      </c>
      <c r="BB3" s="11">
        <v>89</v>
      </c>
      <c r="BC3" s="11">
        <v>97</v>
      </c>
      <c r="BD3" s="11" t="s">
        <v>74</v>
      </c>
      <c r="BE3" s="11" t="s">
        <v>12600</v>
      </c>
      <c r="BF3" s="11">
        <v>0</v>
      </c>
      <c r="BG3" s="11" t="s">
        <v>74</v>
      </c>
      <c r="BH3" s="11" t="s">
        <v>74</v>
      </c>
      <c r="BI3" s="11">
        <v>9</v>
      </c>
      <c r="BJ3" s="11" t="s">
        <v>3050</v>
      </c>
      <c r="BK3" s="11" t="s">
        <v>156</v>
      </c>
      <c r="BL3" s="11" t="s">
        <v>3050</v>
      </c>
      <c r="BM3" s="11" t="s">
        <v>12601</v>
      </c>
      <c r="BN3" s="11" t="s">
        <v>74</v>
      </c>
      <c r="BO3" s="11" t="s">
        <v>4521</v>
      </c>
      <c r="BP3" s="11" t="s">
        <v>74</v>
      </c>
      <c r="BQ3" s="11" t="s">
        <v>74</v>
      </c>
      <c r="BR3" s="11" t="s">
        <v>12946</v>
      </c>
      <c r="BS3" s="11" t="s">
        <v>12602</v>
      </c>
      <c r="BT3" s="11">
        <v>0</v>
      </c>
    </row>
    <row r="4" spans="1:72" x14ac:dyDescent="0.25">
      <c r="A4" s="11" t="s">
        <v>72</v>
      </c>
      <c r="B4" s="11" t="s">
        <v>6707</v>
      </c>
      <c r="C4" s="11" t="s">
        <v>74</v>
      </c>
      <c r="D4" s="11" t="s">
        <v>74</v>
      </c>
      <c r="E4" s="11" t="s">
        <v>74</v>
      </c>
      <c r="F4" s="11" t="s">
        <v>6708</v>
      </c>
      <c r="G4" s="11" t="s">
        <v>74</v>
      </c>
      <c r="H4" s="11" t="s">
        <v>74</v>
      </c>
      <c r="I4" s="11" t="s">
        <v>6709</v>
      </c>
      <c r="J4" s="11" t="s">
        <v>6710</v>
      </c>
      <c r="K4" s="11" t="s">
        <v>74</v>
      </c>
      <c r="L4" s="11" t="s">
        <v>74</v>
      </c>
      <c r="M4" s="11" t="s">
        <v>78</v>
      </c>
      <c r="N4" s="11" t="s">
        <v>79</v>
      </c>
      <c r="O4" s="11" t="s">
        <v>74</v>
      </c>
      <c r="P4" s="11" t="s">
        <v>74</v>
      </c>
      <c r="Q4" s="11" t="s">
        <v>74</v>
      </c>
      <c r="R4" s="11" t="s">
        <v>74</v>
      </c>
      <c r="S4" s="11" t="s">
        <v>74</v>
      </c>
      <c r="T4" s="11" t="s">
        <v>74</v>
      </c>
      <c r="U4" s="11" t="s">
        <v>74</v>
      </c>
      <c r="V4" s="11" t="s">
        <v>6711</v>
      </c>
      <c r="W4" s="11" t="s">
        <v>6712</v>
      </c>
      <c r="X4" s="11" t="s">
        <v>6713</v>
      </c>
      <c r="Y4" s="11" t="s">
        <v>6714</v>
      </c>
      <c r="Z4" s="11" t="s">
        <v>6715</v>
      </c>
      <c r="AA4" s="11" t="s">
        <v>74</v>
      </c>
      <c r="AB4" s="11" t="s">
        <v>6716</v>
      </c>
      <c r="AC4" s="11" t="s">
        <v>74</v>
      </c>
      <c r="AD4" s="11" t="s">
        <v>74</v>
      </c>
      <c r="AE4" s="11" t="s">
        <v>74</v>
      </c>
      <c r="AF4" s="11" t="s">
        <v>74</v>
      </c>
      <c r="AG4" s="11">
        <v>24</v>
      </c>
      <c r="AH4" s="11">
        <v>106</v>
      </c>
      <c r="AI4" s="11">
        <v>120</v>
      </c>
      <c r="AJ4" s="11">
        <v>3</v>
      </c>
      <c r="AK4" s="11">
        <v>29</v>
      </c>
      <c r="AL4" s="11" t="s">
        <v>3146</v>
      </c>
      <c r="AM4" s="11" t="s">
        <v>175</v>
      </c>
      <c r="AN4" s="11" t="s">
        <v>3147</v>
      </c>
      <c r="AO4" s="11" t="s">
        <v>6717</v>
      </c>
      <c r="AP4" s="11" t="s">
        <v>6718</v>
      </c>
      <c r="AQ4" s="11" t="s">
        <v>74</v>
      </c>
      <c r="AR4" s="11" t="s">
        <v>6719</v>
      </c>
      <c r="AS4" s="11" t="s">
        <v>6720</v>
      </c>
      <c r="AT4" s="11" t="s">
        <v>6721</v>
      </c>
      <c r="AU4" s="11">
        <v>2021</v>
      </c>
      <c r="AV4" s="11">
        <v>2021</v>
      </c>
      <c r="AW4" s="11" t="s">
        <v>74</v>
      </c>
      <c r="AX4" s="11" t="s">
        <v>74</v>
      </c>
      <c r="AY4" s="11" t="s">
        <v>74</v>
      </c>
      <c r="AZ4" s="11" t="s">
        <v>74</v>
      </c>
      <c r="BA4" s="11" t="s">
        <v>74</v>
      </c>
      <c r="BB4" s="11" t="s">
        <v>74</v>
      </c>
      <c r="BC4" s="11" t="s">
        <v>74</v>
      </c>
      <c r="BD4" s="11">
        <v>6649524</v>
      </c>
      <c r="BE4" s="11" t="s">
        <v>6722</v>
      </c>
      <c r="BF4" s="11">
        <v>0</v>
      </c>
      <c r="BG4" s="11" t="s">
        <v>74</v>
      </c>
      <c r="BH4" s="11" t="s">
        <v>74</v>
      </c>
      <c r="BI4" s="11">
        <v>10</v>
      </c>
      <c r="BJ4" s="11" t="s">
        <v>567</v>
      </c>
      <c r="BK4" s="11" t="s">
        <v>183</v>
      </c>
      <c r="BL4" s="11" t="s">
        <v>399</v>
      </c>
      <c r="BM4" s="11" t="s">
        <v>6723</v>
      </c>
      <c r="BN4" s="11" t="s">
        <v>74</v>
      </c>
      <c r="BO4" s="11" t="s">
        <v>186</v>
      </c>
      <c r="BP4" s="11" t="s">
        <v>74</v>
      </c>
      <c r="BQ4" s="11" t="s">
        <v>74</v>
      </c>
      <c r="BR4" s="11" t="s">
        <v>12946</v>
      </c>
      <c r="BS4" s="11" t="s">
        <v>6724</v>
      </c>
      <c r="BT4" s="11">
        <v>0</v>
      </c>
    </row>
    <row r="5" spans="1:72" x14ac:dyDescent="0.25">
      <c r="A5" s="11" t="s">
        <v>72</v>
      </c>
      <c r="B5" s="11" t="s">
        <v>3026</v>
      </c>
      <c r="C5" s="11" t="s">
        <v>74</v>
      </c>
      <c r="D5" s="11" t="s">
        <v>74</v>
      </c>
      <c r="E5" s="11" t="s">
        <v>74</v>
      </c>
      <c r="F5" s="11" t="s">
        <v>3027</v>
      </c>
      <c r="G5" s="11" t="s">
        <v>74</v>
      </c>
      <c r="H5" s="11" t="s">
        <v>74</v>
      </c>
      <c r="I5" s="11" t="s">
        <v>3028</v>
      </c>
      <c r="J5" s="11" t="s">
        <v>3029</v>
      </c>
      <c r="K5" s="11" t="s">
        <v>74</v>
      </c>
      <c r="L5" s="11" t="s">
        <v>74</v>
      </c>
      <c r="M5" s="11" t="s">
        <v>78</v>
      </c>
      <c r="N5" s="11" t="s">
        <v>79</v>
      </c>
      <c r="O5" s="11" t="s">
        <v>74</v>
      </c>
      <c r="P5" s="11" t="s">
        <v>74</v>
      </c>
      <c r="Q5" s="11" t="s">
        <v>74</v>
      </c>
      <c r="R5" s="11" t="s">
        <v>74</v>
      </c>
      <c r="S5" s="11" t="s">
        <v>74</v>
      </c>
      <c r="T5" s="11" t="s">
        <v>3030</v>
      </c>
      <c r="U5" s="11" t="s">
        <v>3031</v>
      </c>
      <c r="V5" s="11" t="s">
        <v>3032</v>
      </c>
      <c r="W5" s="11" t="s">
        <v>3033</v>
      </c>
      <c r="X5" s="11" t="s">
        <v>3034</v>
      </c>
      <c r="Y5" s="11" t="s">
        <v>3035</v>
      </c>
      <c r="Z5" s="11" t="s">
        <v>3036</v>
      </c>
      <c r="AA5" s="11" t="s">
        <v>3037</v>
      </c>
      <c r="AB5" s="11" t="s">
        <v>13275</v>
      </c>
      <c r="AC5" s="11" t="s">
        <v>3039</v>
      </c>
      <c r="AD5" s="11" t="s">
        <v>3040</v>
      </c>
      <c r="AE5" s="11" t="s">
        <v>3041</v>
      </c>
      <c r="AF5" s="11" t="s">
        <v>74</v>
      </c>
      <c r="AG5" s="11">
        <v>94</v>
      </c>
      <c r="AH5" s="11">
        <v>68</v>
      </c>
      <c r="AI5" s="11">
        <v>68</v>
      </c>
      <c r="AJ5" s="11">
        <v>84</v>
      </c>
      <c r="AK5" s="11">
        <v>264</v>
      </c>
      <c r="AL5" s="11" t="s">
        <v>3042</v>
      </c>
      <c r="AM5" s="11" t="s">
        <v>285</v>
      </c>
      <c r="AN5" s="11" t="s">
        <v>3043</v>
      </c>
      <c r="AO5" s="11" t="s">
        <v>3044</v>
      </c>
      <c r="AP5" s="11" t="s">
        <v>3045</v>
      </c>
      <c r="AQ5" s="11" t="s">
        <v>74</v>
      </c>
      <c r="AR5" s="11" t="s">
        <v>3046</v>
      </c>
      <c r="AS5" s="11" t="s">
        <v>3047</v>
      </c>
      <c r="AT5" s="11" t="s">
        <v>208</v>
      </c>
      <c r="AU5" s="11">
        <v>2022</v>
      </c>
      <c r="AV5" s="11">
        <v>39</v>
      </c>
      <c r="AW5" s="11">
        <v>4</v>
      </c>
      <c r="AX5" s="11" t="s">
        <v>74</v>
      </c>
      <c r="AY5" s="11" t="s">
        <v>74</v>
      </c>
      <c r="AZ5" s="11" t="s">
        <v>74</v>
      </c>
      <c r="BA5" s="11" t="s">
        <v>74</v>
      </c>
      <c r="BB5" s="11" t="s">
        <v>74</v>
      </c>
      <c r="BC5" s="11" t="s">
        <v>74</v>
      </c>
      <c r="BD5" s="11">
        <v>101596</v>
      </c>
      <c r="BE5" s="11" t="s">
        <v>3048</v>
      </c>
      <c r="BF5" s="11">
        <v>0</v>
      </c>
      <c r="BG5" s="11" t="s">
        <v>74</v>
      </c>
      <c r="BH5" s="11" t="s">
        <v>3049</v>
      </c>
      <c r="BI5" s="11">
        <v>15</v>
      </c>
      <c r="BJ5" s="11" t="s">
        <v>3050</v>
      </c>
      <c r="BK5" s="11" t="s">
        <v>156</v>
      </c>
      <c r="BL5" s="11" t="s">
        <v>3050</v>
      </c>
      <c r="BM5" s="11" t="s">
        <v>3051</v>
      </c>
      <c r="BN5" s="11" t="s">
        <v>74</v>
      </c>
      <c r="BO5" s="11" t="s">
        <v>105</v>
      </c>
      <c r="BP5" s="11" t="s">
        <v>12954</v>
      </c>
      <c r="BQ5" s="11" t="s">
        <v>12955</v>
      </c>
      <c r="BR5" s="11" t="s">
        <v>12946</v>
      </c>
      <c r="BS5" s="11" t="s">
        <v>3052</v>
      </c>
      <c r="BT5" s="11">
        <v>0</v>
      </c>
    </row>
    <row r="6" spans="1:72" x14ac:dyDescent="0.25">
      <c r="A6" s="11" t="s">
        <v>72</v>
      </c>
      <c r="B6" s="11" t="s">
        <v>6725</v>
      </c>
      <c r="C6" s="11" t="s">
        <v>74</v>
      </c>
      <c r="D6" s="11" t="s">
        <v>74</v>
      </c>
      <c r="E6" s="11" t="s">
        <v>74</v>
      </c>
      <c r="F6" s="11" t="s">
        <v>6726</v>
      </c>
      <c r="G6" s="11" t="s">
        <v>74</v>
      </c>
      <c r="H6" s="11" t="s">
        <v>74</v>
      </c>
      <c r="I6" s="11" t="s">
        <v>6727</v>
      </c>
      <c r="J6" s="11" t="s">
        <v>191</v>
      </c>
      <c r="K6" s="11" t="s">
        <v>74</v>
      </c>
      <c r="L6" s="11" t="s">
        <v>74</v>
      </c>
      <c r="M6" s="11" t="s">
        <v>78</v>
      </c>
      <c r="N6" s="11" t="s">
        <v>79</v>
      </c>
      <c r="O6" s="11" t="s">
        <v>74</v>
      </c>
      <c r="P6" s="11" t="s">
        <v>74</v>
      </c>
      <c r="Q6" s="11" t="s">
        <v>74</v>
      </c>
      <c r="R6" s="11" t="s">
        <v>74</v>
      </c>
      <c r="S6" s="11" t="s">
        <v>74</v>
      </c>
      <c r="T6" s="11" t="s">
        <v>6728</v>
      </c>
      <c r="U6" s="11" t="s">
        <v>74</v>
      </c>
      <c r="V6" s="11" t="s">
        <v>6729</v>
      </c>
      <c r="W6" s="11" t="s">
        <v>6730</v>
      </c>
      <c r="X6" s="11" t="s">
        <v>6731</v>
      </c>
      <c r="Y6" s="11" t="s">
        <v>6732</v>
      </c>
      <c r="Z6" s="11" t="s">
        <v>6733</v>
      </c>
      <c r="AA6" s="11" t="s">
        <v>13276</v>
      </c>
      <c r="AB6" s="11" t="s">
        <v>13277</v>
      </c>
      <c r="AC6" s="11" t="s">
        <v>6736</v>
      </c>
      <c r="AD6" s="11" t="s">
        <v>6736</v>
      </c>
      <c r="AE6" s="11" t="s">
        <v>6737</v>
      </c>
      <c r="AF6" s="11" t="s">
        <v>74</v>
      </c>
      <c r="AG6" s="11">
        <v>50</v>
      </c>
      <c r="AH6" s="11">
        <v>40</v>
      </c>
      <c r="AI6" s="11">
        <v>47</v>
      </c>
      <c r="AJ6" s="11">
        <v>0</v>
      </c>
      <c r="AK6" s="11">
        <v>19</v>
      </c>
      <c r="AL6" s="11" t="s">
        <v>202</v>
      </c>
      <c r="AM6" s="11" t="s">
        <v>203</v>
      </c>
      <c r="AN6" s="11" t="s">
        <v>204</v>
      </c>
      <c r="AO6" s="11" t="s">
        <v>74</v>
      </c>
      <c r="AP6" s="11" t="s">
        <v>205</v>
      </c>
      <c r="AQ6" s="11" t="s">
        <v>74</v>
      </c>
      <c r="AR6" s="11" t="s">
        <v>206</v>
      </c>
      <c r="AS6" s="11" t="s">
        <v>207</v>
      </c>
      <c r="AT6" s="11" t="s">
        <v>1904</v>
      </c>
      <c r="AU6" s="11">
        <v>2021</v>
      </c>
      <c r="AV6" s="11">
        <v>13</v>
      </c>
      <c r="AW6" s="11">
        <v>3</v>
      </c>
      <c r="AX6" s="11" t="s">
        <v>74</v>
      </c>
      <c r="AY6" s="11" t="s">
        <v>74</v>
      </c>
      <c r="AZ6" s="11" t="s">
        <v>74</v>
      </c>
      <c r="BA6" s="11" t="s">
        <v>74</v>
      </c>
      <c r="BB6" s="11" t="s">
        <v>74</v>
      </c>
      <c r="BC6" s="11" t="s">
        <v>74</v>
      </c>
      <c r="BD6" s="11">
        <v>1388</v>
      </c>
      <c r="BE6" s="11" t="s">
        <v>6738</v>
      </c>
      <c r="BF6" s="11">
        <v>0</v>
      </c>
      <c r="BG6" s="11" t="s">
        <v>74</v>
      </c>
      <c r="BH6" s="11" t="s">
        <v>74</v>
      </c>
      <c r="BI6" s="11">
        <v>12</v>
      </c>
      <c r="BJ6" s="11" t="s">
        <v>210</v>
      </c>
      <c r="BK6" s="11" t="s">
        <v>211</v>
      </c>
      <c r="BL6" s="11" t="s">
        <v>212</v>
      </c>
      <c r="BM6" s="11" t="s">
        <v>6739</v>
      </c>
      <c r="BN6" s="11" t="s">
        <v>74</v>
      </c>
      <c r="BO6" s="11" t="s">
        <v>614</v>
      </c>
      <c r="BP6" s="11" t="s">
        <v>74</v>
      </c>
      <c r="BQ6" s="11" t="s">
        <v>74</v>
      </c>
      <c r="BR6" s="11" t="s">
        <v>12946</v>
      </c>
      <c r="BS6" s="11" t="s">
        <v>6740</v>
      </c>
      <c r="BT6" s="11">
        <v>0</v>
      </c>
    </row>
    <row r="7" spans="1:72" x14ac:dyDescent="0.25">
      <c r="A7" s="11" t="s">
        <v>72</v>
      </c>
      <c r="B7" s="11" t="s">
        <v>11263</v>
      </c>
      <c r="C7" s="11" t="s">
        <v>74</v>
      </c>
      <c r="D7" s="11" t="s">
        <v>74</v>
      </c>
      <c r="E7" s="11" t="s">
        <v>74</v>
      </c>
      <c r="F7" s="11" t="s">
        <v>11264</v>
      </c>
      <c r="G7" s="11" t="s">
        <v>74</v>
      </c>
      <c r="H7" s="11" t="s">
        <v>74</v>
      </c>
      <c r="I7" s="11" t="s">
        <v>11265</v>
      </c>
      <c r="J7" s="11" t="s">
        <v>11266</v>
      </c>
      <c r="K7" s="11" t="s">
        <v>74</v>
      </c>
      <c r="L7" s="11" t="s">
        <v>74</v>
      </c>
      <c r="M7" s="11" t="s">
        <v>78</v>
      </c>
      <c r="N7" s="11" t="s">
        <v>79</v>
      </c>
      <c r="O7" s="11" t="s">
        <v>74</v>
      </c>
      <c r="P7" s="11" t="s">
        <v>74</v>
      </c>
      <c r="Q7" s="11" t="s">
        <v>74</v>
      </c>
      <c r="R7" s="11" t="s">
        <v>74</v>
      </c>
      <c r="S7" s="11" t="s">
        <v>74</v>
      </c>
      <c r="T7" s="11" t="s">
        <v>11267</v>
      </c>
      <c r="U7" s="11" t="s">
        <v>11268</v>
      </c>
      <c r="V7" s="11" t="s">
        <v>11269</v>
      </c>
      <c r="W7" s="11" t="s">
        <v>11270</v>
      </c>
      <c r="X7" s="11" t="s">
        <v>5211</v>
      </c>
      <c r="Y7" s="11" t="s">
        <v>11271</v>
      </c>
      <c r="Z7" s="11" t="s">
        <v>11272</v>
      </c>
      <c r="AA7" s="11" t="s">
        <v>13278</v>
      </c>
      <c r="AB7" s="11" t="s">
        <v>13279</v>
      </c>
      <c r="AC7" s="11" t="s">
        <v>74</v>
      </c>
      <c r="AD7" s="11" t="s">
        <v>74</v>
      </c>
      <c r="AE7" s="11" t="s">
        <v>74</v>
      </c>
      <c r="AF7" s="11" t="s">
        <v>74</v>
      </c>
      <c r="AG7" s="11">
        <v>63</v>
      </c>
      <c r="AH7" s="11">
        <v>37</v>
      </c>
      <c r="AI7" s="11">
        <v>40</v>
      </c>
      <c r="AJ7" s="11">
        <v>7</v>
      </c>
      <c r="AK7" s="11">
        <v>96</v>
      </c>
      <c r="AL7" s="11" t="s">
        <v>492</v>
      </c>
      <c r="AM7" s="11" t="s">
        <v>493</v>
      </c>
      <c r="AN7" s="11" t="s">
        <v>11275</v>
      </c>
      <c r="AO7" s="11" t="s">
        <v>11276</v>
      </c>
      <c r="AP7" s="11" t="s">
        <v>11277</v>
      </c>
      <c r="AQ7" s="11" t="s">
        <v>74</v>
      </c>
      <c r="AR7" s="11" t="s">
        <v>11278</v>
      </c>
      <c r="AS7" s="11" t="s">
        <v>11279</v>
      </c>
      <c r="AT7" s="11" t="s">
        <v>3505</v>
      </c>
      <c r="AU7" s="11">
        <v>2016</v>
      </c>
      <c r="AV7" s="11">
        <v>16</v>
      </c>
      <c r="AW7" s="11">
        <v>1</v>
      </c>
      <c r="AX7" s="11" t="s">
        <v>74</v>
      </c>
      <c r="AY7" s="11" t="s">
        <v>74</v>
      </c>
      <c r="AZ7" s="11" t="s">
        <v>1020</v>
      </c>
      <c r="BA7" s="11" t="s">
        <v>74</v>
      </c>
      <c r="BB7" s="11">
        <v>69</v>
      </c>
      <c r="BC7" s="11">
        <v>82</v>
      </c>
      <c r="BD7" s="11" t="s">
        <v>74</v>
      </c>
      <c r="BE7" s="11" t="s">
        <v>11280</v>
      </c>
      <c r="BF7" s="11">
        <v>0</v>
      </c>
      <c r="BG7" s="11" t="s">
        <v>74</v>
      </c>
      <c r="BH7" s="11" t="s">
        <v>74</v>
      </c>
      <c r="BI7" s="11">
        <v>14</v>
      </c>
      <c r="BJ7" s="11" t="s">
        <v>11281</v>
      </c>
      <c r="BK7" s="11" t="s">
        <v>4436</v>
      </c>
      <c r="BL7" s="11" t="s">
        <v>11282</v>
      </c>
      <c r="BM7" s="11" t="s">
        <v>11283</v>
      </c>
      <c r="BN7" s="11" t="s">
        <v>74</v>
      </c>
      <c r="BO7" s="11" t="s">
        <v>4521</v>
      </c>
      <c r="BP7" s="11" t="s">
        <v>74</v>
      </c>
      <c r="BQ7" s="11" t="s">
        <v>74</v>
      </c>
      <c r="BR7" s="11" t="s">
        <v>12946</v>
      </c>
      <c r="BS7" s="11" t="s">
        <v>11284</v>
      </c>
      <c r="BT7" s="11">
        <v>0</v>
      </c>
    </row>
    <row r="8" spans="1:72" x14ac:dyDescent="0.25">
      <c r="A8" s="11" t="s">
        <v>72</v>
      </c>
      <c r="B8" s="11" t="s">
        <v>8685</v>
      </c>
      <c r="C8" s="11" t="s">
        <v>74</v>
      </c>
      <c r="D8" s="11" t="s">
        <v>74</v>
      </c>
      <c r="E8" s="11" t="s">
        <v>74</v>
      </c>
      <c r="F8" s="11" t="s">
        <v>8686</v>
      </c>
      <c r="G8" s="11" t="s">
        <v>74</v>
      </c>
      <c r="H8" s="11" t="s">
        <v>74</v>
      </c>
      <c r="I8" s="11" t="s">
        <v>8687</v>
      </c>
      <c r="J8" s="11" t="s">
        <v>8688</v>
      </c>
      <c r="K8" s="11" t="s">
        <v>74</v>
      </c>
      <c r="L8" s="11" t="s">
        <v>74</v>
      </c>
      <c r="M8" s="11" t="s">
        <v>78</v>
      </c>
      <c r="N8" s="11" t="s">
        <v>79</v>
      </c>
      <c r="O8" s="11" t="s">
        <v>74</v>
      </c>
      <c r="P8" s="11" t="s">
        <v>74</v>
      </c>
      <c r="Q8" s="11" t="s">
        <v>74</v>
      </c>
      <c r="R8" s="11" t="s">
        <v>74</v>
      </c>
      <c r="S8" s="11" t="s">
        <v>74</v>
      </c>
      <c r="T8" s="11" t="s">
        <v>8689</v>
      </c>
      <c r="U8" s="11" t="s">
        <v>8690</v>
      </c>
      <c r="V8" s="11" t="s">
        <v>8691</v>
      </c>
      <c r="W8" s="11" t="s">
        <v>8692</v>
      </c>
      <c r="X8" s="11" t="s">
        <v>74</v>
      </c>
      <c r="Y8" s="11" t="s">
        <v>8693</v>
      </c>
      <c r="Z8" s="11" t="s">
        <v>8694</v>
      </c>
      <c r="AA8" s="11" t="s">
        <v>8695</v>
      </c>
      <c r="AB8" s="11" t="s">
        <v>8696</v>
      </c>
      <c r="AC8" s="11" t="s">
        <v>74</v>
      </c>
      <c r="AD8" s="11" t="s">
        <v>74</v>
      </c>
      <c r="AE8" s="11" t="s">
        <v>74</v>
      </c>
      <c r="AF8" s="11" t="s">
        <v>74</v>
      </c>
      <c r="AG8" s="11">
        <v>77</v>
      </c>
      <c r="AH8" s="11">
        <v>36</v>
      </c>
      <c r="AI8" s="11">
        <v>40</v>
      </c>
      <c r="AJ8" s="11">
        <v>9</v>
      </c>
      <c r="AK8" s="11">
        <v>112</v>
      </c>
      <c r="AL8" s="11" t="s">
        <v>492</v>
      </c>
      <c r="AM8" s="11" t="s">
        <v>493</v>
      </c>
      <c r="AN8" s="11" t="s">
        <v>494</v>
      </c>
      <c r="AO8" s="11" t="s">
        <v>8697</v>
      </c>
      <c r="AP8" s="11" t="s">
        <v>8698</v>
      </c>
      <c r="AQ8" s="11" t="s">
        <v>74</v>
      </c>
      <c r="AR8" s="11" t="s">
        <v>8699</v>
      </c>
      <c r="AS8" s="11" t="s">
        <v>8700</v>
      </c>
      <c r="AT8" s="11" t="s">
        <v>74</v>
      </c>
      <c r="AU8" s="11">
        <v>2019</v>
      </c>
      <c r="AV8" s="11">
        <v>40</v>
      </c>
      <c r="AW8" s="11">
        <v>4</v>
      </c>
      <c r="AX8" s="11" t="s">
        <v>74</v>
      </c>
      <c r="AY8" s="11" t="s">
        <v>74</v>
      </c>
      <c r="AZ8" s="11" t="s">
        <v>74</v>
      </c>
      <c r="BA8" s="11" t="s">
        <v>74</v>
      </c>
      <c r="BB8" s="11">
        <v>515</v>
      </c>
      <c r="BC8" s="11">
        <v>533</v>
      </c>
      <c r="BD8" s="11" t="s">
        <v>74</v>
      </c>
      <c r="BE8" s="11" t="s">
        <v>8701</v>
      </c>
      <c r="BF8" s="11">
        <v>0</v>
      </c>
      <c r="BG8" s="11" t="s">
        <v>74</v>
      </c>
      <c r="BH8" s="11" t="s">
        <v>8702</v>
      </c>
      <c r="BI8" s="11">
        <v>19</v>
      </c>
      <c r="BJ8" s="11" t="s">
        <v>1326</v>
      </c>
      <c r="BK8" s="11" t="s">
        <v>156</v>
      </c>
      <c r="BL8" s="11" t="s">
        <v>1326</v>
      </c>
      <c r="BM8" s="11" t="s">
        <v>8703</v>
      </c>
      <c r="BN8" s="11" t="s">
        <v>74</v>
      </c>
      <c r="BO8" s="11" t="s">
        <v>74</v>
      </c>
      <c r="BP8" s="11" t="s">
        <v>74</v>
      </c>
      <c r="BQ8" s="11" t="s">
        <v>74</v>
      </c>
      <c r="BR8" s="11" t="s">
        <v>12946</v>
      </c>
      <c r="BS8" s="11" t="s">
        <v>8704</v>
      </c>
      <c r="BT8" s="11">
        <v>0</v>
      </c>
    </row>
    <row r="9" spans="1:72" x14ac:dyDescent="0.25">
      <c r="A9" s="11" t="s">
        <v>72</v>
      </c>
      <c r="B9" s="11" t="s">
        <v>9958</v>
      </c>
      <c r="C9" s="11" t="s">
        <v>74</v>
      </c>
      <c r="D9" s="11" t="s">
        <v>74</v>
      </c>
      <c r="E9" s="11" t="s">
        <v>74</v>
      </c>
      <c r="F9" s="11" t="s">
        <v>9959</v>
      </c>
      <c r="G9" s="11" t="s">
        <v>74</v>
      </c>
      <c r="H9" s="11" t="s">
        <v>74</v>
      </c>
      <c r="I9" s="11" t="s">
        <v>9960</v>
      </c>
      <c r="J9" s="11" t="s">
        <v>9961</v>
      </c>
      <c r="K9" s="11" t="s">
        <v>74</v>
      </c>
      <c r="L9" s="11" t="s">
        <v>74</v>
      </c>
      <c r="M9" s="11" t="s">
        <v>78</v>
      </c>
      <c r="N9" s="11" t="s">
        <v>79</v>
      </c>
      <c r="O9" s="11" t="s">
        <v>74</v>
      </c>
      <c r="P9" s="11" t="s">
        <v>74</v>
      </c>
      <c r="Q9" s="11" t="s">
        <v>74</v>
      </c>
      <c r="R9" s="11" t="s">
        <v>74</v>
      </c>
      <c r="S9" s="11" t="s">
        <v>74</v>
      </c>
      <c r="T9" s="11" t="s">
        <v>9962</v>
      </c>
      <c r="U9" s="11" t="s">
        <v>9963</v>
      </c>
      <c r="V9" s="11" t="s">
        <v>9964</v>
      </c>
      <c r="W9" s="11" t="s">
        <v>9965</v>
      </c>
      <c r="X9" s="11" t="s">
        <v>2402</v>
      </c>
      <c r="Y9" s="11" t="s">
        <v>9966</v>
      </c>
      <c r="Z9" s="11" t="s">
        <v>9967</v>
      </c>
      <c r="AA9" s="11" t="s">
        <v>74</v>
      </c>
      <c r="AB9" s="11" t="s">
        <v>74</v>
      </c>
      <c r="AC9" s="11" t="s">
        <v>74</v>
      </c>
      <c r="AD9" s="11" t="s">
        <v>74</v>
      </c>
      <c r="AE9" s="11" t="s">
        <v>74</v>
      </c>
      <c r="AF9" s="11" t="s">
        <v>74</v>
      </c>
      <c r="AG9" s="11">
        <v>136</v>
      </c>
      <c r="AH9" s="11">
        <v>32</v>
      </c>
      <c r="AI9" s="11">
        <v>37</v>
      </c>
      <c r="AJ9" s="11">
        <v>6</v>
      </c>
      <c r="AK9" s="11">
        <v>29</v>
      </c>
      <c r="AL9" s="11" t="s">
        <v>121</v>
      </c>
      <c r="AM9" s="11" t="s">
        <v>122</v>
      </c>
      <c r="AN9" s="11" t="s">
        <v>123</v>
      </c>
      <c r="AO9" s="11" t="s">
        <v>9968</v>
      </c>
      <c r="AP9" s="11" t="s">
        <v>74</v>
      </c>
      <c r="AQ9" s="11" t="s">
        <v>74</v>
      </c>
      <c r="AR9" s="11" t="s">
        <v>9969</v>
      </c>
      <c r="AS9" s="11" t="s">
        <v>9970</v>
      </c>
      <c r="AT9" s="11" t="s">
        <v>6850</v>
      </c>
      <c r="AU9" s="11">
        <v>2018</v>
      </c>
      <c r="AV9" s="11">
        <v>15</v>
      </c>
      <c r="AW9" s="11" t="s">
        <v>74</v>
      </c>
      <c r="AX9" s="11" t="s">
        <v>74</v>
      </c>
      <c r="AY9" s="11" t="s">
        <v>74</v>
      </c>
      <c r="AZ9" s="11" t="s">
        <v>74</v>
      </c>
      <c r="BA9" s="11" t="s">
        <v>74</v>
      </c>
      <c r="BB9" s="11" t="s">
        <v>74</v>
      </c>
      <c r="BC9" s="11" t="s">
        <v>74</v>
      </c>
      <c r="BD9" s="11">
        <v>11</v>
      </c>
      <c r="BE9" s="11" t="s">
        <v>9971</v>
      </c>
      <c r="BF9" s="11">
        <v>0</v>
      </c>
      <c r="BG9" s="11" t="s">
        <v>74</v>
      </c>
      <c r="BH9" s="11" t="s">
        <v>74</v>
      </c>
      <c r="BI9" s="11">
        <v>20</v>
      </c>
      <c r="BJ9" s="11" t="s">
        <v>1326</v>
      </c>
      <c r="BK9" s="11" t="s">
        <v>156</v>
      </c>
      <c r="BL9" s="11" t="s">
        <v>1326</v>
      </c>
      <c r="BM9" s="11" t="s">
        <v>9972</v>
      </c>
      <c r="BN9" s="11" t="s">
        <v>74</v>
      </c>
      <c r="BO9" s="11" t="s">
        <v>2946</v>
      </c>
      <c r="BP9" s="11" t="s">
        <v>74</v>
      </c>
      <c r="BQ9" s="11" t="s">
        <v>74</v>
      </c>
      <c r="BR9" s="11" t="s">
        <v>12946</v>
      </c>
      <c r="BS9" s="11" t="s">
        <v>9973</v>
      </c>
      <c r="BT9" s="11">
        <v>0</v>
      </c>
    </row>
    <row r="10" spans="1:72" x14ac:dyDescent="0.25">
      <c r="A10" s="11" t="s">
        <v>72</v>
      </c>
      <c r="B10" s="11" t="s">
        <v>12464</v>
      </c>
      <c r="C10" s="11" t="s">
        <v>74</v>
      </c>
      <c r="D10" s="11" t="s">
        <v>74</v>
      </c>
      <c r="E10" s="11" t="s">
        <v>74</v>
      </c>
      <c r="F10" s="11" t="s">
        <v>12465</v>
      </c>
      <c r="G10" s="11" t="s">
        <v>74</v>
      </c>
      <c r="H10" s="11" t="s">
        <v>74</v>
      </c>
      <c r="I10" s="11" t="s">
        <v>12466</v>
      </c>
      <c r="J10" s="11" t="s">
        <v>12467</v>
      </c>
      <c r="K10" s="11" t="s">
        <v>74</v>
      </c>
      <c r="L10" s="11" t="s">
        <v>74</v>
      </c>
      <c r="M10" s="11" t="s">
        <v>78</v>
      </c>
      <c r="N10" s="11" t="s">
        <v>79</v>
      </c>
      <c r="O10" s="11" t="s">
        <v>74</v>
      </c>
      <c r="P10" s="11" t="s">
        <v>74</v>
      </c>
      <c r="Q10" s="11" t="s">
        <v>74</v>
      </c>
      <c r="R10" s="11" t="s">
        <v>74</v>
      </c>
      <c r="S10" s="11" t="s">
        <v>74</v>
      </c>
      <c r="T10" s="11" t="s">
        <v>74</v>
      </c>
      <c r="U10" s="11" t="s">
        <v>74</v>
      </c>
      <c r="V10" s="11" t="s">
        <v>12468</v>
      </c>
      <c r="W10" s="11" t="s">
        <v>12469</v>
      </c>
      <c r="X10" s="11" t="s">
        <v>12470</v>
      </c>
      <c r="Y10" s="11" t="s">
        <v>12471</v>
      </c>
      <c r="Z10" s="11" t="s">
        <v>74</v>
      </c>
      <c r="AA10" s="11" t="s">
        <v>74</v>
      </c>
      <c r="AB10" s="11" t="s">
        <v>74</v>
      </c>
      <c r="AC10" s="11" t="s">
        <v>74</v>
      </c>
      <c r="AD10" s="11" t="s">
        <v>74</v>
      </c>
      <c r="AE10" s="11" t="s">
        <v>74</v>
      </c>
      <c r="AF10" s="11" t="s">
        <v>74</v>
      </c>
      <c r="AG10" s="11">
        <v>20</v>
      </c>
      <c r="AH10" s="11">
        <v>29</v>
      </c>
      <c r="AI10" s="11">
        <v>47</v>
      </c>
      <c r="AJ10" s="11">
        <v>0</v>
      </c>
      <c r="AK10" s="11">
        <v>4</v>
      </c>
      <c r="AL10" s="11" t="s">
        <v>12472</v>
      </c>
      <c r="AM10" s="11" t="s">
        <v>12473</v>
      </c>
      <c r="AN10" s="11" t="s">
        <v>12474</v>
      </c>
      <c r="AO10" s="11" t="s">
        <v>12475</v>
      </c>
      <c r="AP10" s="11" t="s">
        <v>74</v>
      </c>
      <c r="AQ10" s="11" t="s">
        <v>74</v>
      </c>
      <c r="AR10" s="11" t="s">
        <v>12476</v>
      </c>
      <c r="AS10" s="11" t="s">
        <v>12477</v>
      </c>
      <c r="AT10" s="11" t="s">
        <v>356</v>
      </c>
      <c r="AU10" s="11">
        <v>2010</v>
      </c>
      <c r="AV10" s="11">
        <v>62</v>
      </c>
      <c r="AW10" s="11">
        <v>1</v>
      </c>
      <c r="AX10" s="11" t="s">
        <v>74</v>
      </c>
      <c r="AY10" s="11" t="s">
        <v>74</v>
      </c>
      <c r="AZ10" s="11" t="s">
        <v>74</v>
      </c>
      <c r="BA10" s="11" t="s">
        <v>74</v>
      </c>
      <c r="BB10" s="11">
        <v>180</v>
      </c>
      <c r="BC10" s="11">
        <v>215</v>
      </c>
      <c r="BD10" s="11" t="s">
        <v>74</v>
      </c>
      <c r="BE10" s="11" t="s">
        <v>74</v>
      </c>
      <c r="BF10" s="11" t="s">
        <v>74</v>
      </c>
      <c r="BG10" s="11" t="s">
        <v>74</v>
      </c>
      <c r="BH10" s="11" t="s">
        <v>74</v>
      </c>
      <c r="BI10" s="11">
        <v>36</v>
      </c>
      <c r="BJ10" s="11" t="s">
        <v>9837</v>
      </c>
      <c r="BK10" s="11" t="s">
        <v>3239</v>
      </c>
      <c r="BL10" s="11" t="s">
        <v>9837</v>
      </c>
      <c r="BM10" s="11" t="s">
        <v>12478</v>
      </c>
      <c r="BN10" s="11" t="s">
        <v>74</v>
      </c>
      <c r="BO10" s="11" t="s">
        <v>74</v>
      </c>
      <c r="BP10" s="11" t="s">
        <v>74</v>
      </c>
      <c r="BQ10" s="11" t="s">
        <v>74</v>
      </c>
      <c r="BR10" s="11" t="s">
        <v>12946</v>
      </c>
      <c r="BS10" s="11" t="s">
        <v>12479</v>
      </c>
      <c r="BT10" s="11">
        <v>0</v>
      </c>
    </row>
    <row r="11" spans="1:72" x14ac:dyDescent="0.25">
      <c r="A11" s="11" t="s">
        <v>72</v>
      </c>
      <c r="B11" s="11" t="s">
        <v>6642</v>
      </c>
      <c r="C11" s="11" t="s">
        <v>74</v>
      </c>
      <c r="D11" s="11" t="s">
        <v>74</v>
      </c>
      <c r="E11" s="11" t="s">
        <v>74</v>
      </c>
      <c r="F11" s="11" t="s">
        <v>6643</v>
      </c>
      <c r="G11" s="11" t="s">
        <v>74</v>
      </c>
      <c r="H11" s="11" t="s">
        <v>74</v>
      </c>
      <c r="I11" s="11" t="s">
        <v>6644</v>
      </c>
      <c r="J11" s="11" t="s">
        <v>6645</v>
      </c>
      <c r="K11" s="11" t="s">
        <v>74</v>
      </c>
      <c r="L11" s="11" t="s">
        <v>74</v>
      </c>
      <c r="M11" s="11" t="s">
        <v>78</v>
      </c>
      <c r="N11" s="11" t="s">
        <v>6646</v>
      </c>
      <c r="O11" s="11" t="s">
        <v>74</v>
      </c>
      <c r="P11" s="11" t="s">
        <v>74</v>
      </c>
      <c r="Q11" s="11" t="s">
        <v>74</v>
      </c>
      <c r="R11" s="11" t="s">
        <v>74</v>
      </c>
      <c r="S11" s="11" t="s">
        <v>74</v>
      </c>
      <c r="T11" s="11" t="s">
        <v>6647</v>
      </c>
      <c r="U11" s="11" t="s">
        <v>74</v>
      </c>
      <c r="V11" s="11" t="s">
        <v>6648</v>
      </c>
      <c r="W11" s="11" t="s">
        <v>6649</v>
      </c>
      <c r="X11" s="11" t="s">
        <v>6650</v>
      </c>
      <c r="Y11" s="11" t="s">
        <v>6651</v>
      </c>
      <c r="Z11" s="11" t="s">
        <v>6652</v>
      </c>
      <c r="AA11" s="11" t="s">
        <v>13280</v>
      </c>
      <c r="AB11" s="11" t="s">
        <v>13281</v>
      </c>
      <c r="AC11" s="11" t="s">
        <v>74</v>
      </c>
      <c r="AD11" s="11" t="s">
        <v>74</v>
      </c>
      <c r="AE11" s="11" t="s">
        <v>74</v>
      </c>
      <c r="AF11" s="11" t="s">
        <v>74</v>
      </c>
      <c r="AG11" s="11">
        <v>28</v>
      </c>
      <c r="AH11" s="11">
        <v>25</v>
      </c>
      <c r="AI11" s="11">
        <v>29</v>
      </c>
      <c r="AJ11" s="11">
        <v>3</v>
      </c>
      <c r="AK11" s="11">
        <v>141</v>
      </c>
      <c r="AL11" s="11" t="s">
        <v>121</v>
      </c>
      <c r="AM11" s="11" t="s">
        <v>122</v>
      </c>
      <c r="AN11" s="11" t="s">
        <v>123</v>
      </c>
      <c r="AO11" s="11" t="s">
        <v>6655</v>
      </c>
      <c r="AP11" s="11" t="s">
        <v>6656</v>
      </c>
      <c r="AQ11" s="11" t="s">
        <v>74</v>
      </c>
      <c r="AR11" s="11" t="s">
        <v>6657</v>
      </c>
      <c r="AS11" s="11" t="s">
        <v>6658</v>
      </c>
      <c r="AT11" s="11" t="s">
        <v>837</v>
      </c>
      <c r="AU11" s="11">
        <v>2021</v>
      </c>
      <c r="AV11" s="11">
        <v>26</v>
      </c>
      <c r="AW11" s="11">
        <v>4</v>
      </c>
      <c r="AX11" s="11" t="s">
        <v>74</v>
      </c>
      <c r="AY11" s="11" t="s">
        <v>74</v>
      </c>
      <c r="AZ11" s="11" t="s">
        <v>74</v>
      </c>
      <c r="BA11" s="11" t="s">
        <v>74</v>
      </c>
      <c r="BB11" s="11">
        <v>4537</v>
      </c>
      <c r="BC11" s="11">
        <v>4551</v>
      </c>
      <c r="BD11" s="11" t="s">
        <v>74</v>
      </c>
      <c r="BE11" s="11" t="s">
        <v>6659</v>
      </c>
      <c r="BF11" s="11">
        <v>0</v>
      </c>
      <c r="BG11" s="11" t="s">
        <v>74</v>
      </c>
      <c r="BH11" s="11" t="s">
        <v>6639</v>
      </c>
      <c r="BI11" s="11">
        <v>15</v>
      </c>
      <c r="BJ11" s="11" t="s">
        <v>1326</v>
      </c>
      <c r="BK11" s="11" t="s">
        <v>156</v>
      </c>
      <c r="BL11" s="11" t="s">
        <v>1326</v>
      </c>
      <c r="BM11" s="11" t="s">
        <v>6660</v>
      </c>
      <c r="BN11" s="11" t="s">
        <v>74</v>
      </c>
      <c r="BO11" s="11" t="s">
        <v>4521</v>
      </c>
      <c r="BP11" s="11" t="s">
        <v>74</v>
      </c>
      <c r="BQ11" s="11" t="s">
        <v>74</v>
      </c>
      <c r="BR11" s="11" t="s">
        <v>12946</v>
      </c>
      <c r="BS11" s="11" t="s">
        <v>6661</v>
      </c>
      <c r="BT11" s="11">
        <v>0</v>
      </c>
    </row>
    <row r="12" spans="1:72" x14ac:dyDescent="0.25">
      <c r="A12" s="11" t="s">
        <v>72</v>
      </c>
      <c r="B12" s="11" t="s">
        <v>6765</v>
      </c>
      <c r="C12" s="11" t="s">
        <v>74</v>
      </c>
      <c r="D12" s="11" t="s">
        <v>74</v>
      </c>
      <c r="E12" s="11" t="s">
        <v>74</v>
      </c>
      <c r="F12" s="11" t="s">
        <v>6766</v>
      </c>
      <c r="G12" s="11" t="s">
        <v>74</v>
      </c>
      <c r="H12" s="11" t="s">
        <v>74</v>
      </c>
      <c r="I12" s="11" t="s">
        <v>6767</v>
      </c>
      <c r="J12" s="11" t="s">
        <v>6768</v>
      </c>
      <c r="K12" s="11" t="s">
        <v>74</v>
      </c>
      <c r="L12" s="11" t="s">
        <v>74</v>
      </c>
      <c r="M12" s="11" t="s">
        <v>78</v>
      </c>
      <c r="N12" s="11" t="s">
        <v>79</v>
      </c>
      <c r="O12" s="11" t="s">
        <v>74</v>
      </c>
      <c r="P12" s="11" t="s">
        <v>74</v>
      </c>
      <c r="Q12" s="11" t="s">
        <v>74</v>
      </c>
      <c r="R12" s="11" t="s">
        <v>74</v>
      </c>
      <c r="S12" s="11" t="s">
        <v>74</v>
      </c>
      <c r="T12" s="11" t="s">
        <v>6769</v>
      </c>
      <c r="U12" s="11" t="s">
        <v>74</v>
      </c>
      <c r="V12" s="11" t="s">
        <v>6770</v>
      </c>
      <c r="W12" s="11" t="s">
        <v>6771</v>
      </c>
      <c r="X12" s="11" t="s">
        <v>2705</v>
      </c>
      <c r="Y12" s="11" t="s">
        <v>6772</v>
      </c>
      <c r="Z12" s="11" t="s">
        <v>6773</v>
      </c>
      <c r="AA12" s="11" t="s">
        <v>6774</v>
      </c>
      <c r="AB12" s="11" t="s">
        <v>6775</v>
      </c>
      <c r="AC12" s="11" t="s">
        <v>6776</v>
      </c>
      <c r="AD12" s="11" t="s">
        <v>6776</v>
      </c>
      <c r="AE12" s="11" t="s">
        <v>6777</v>
      </c>
      <c r="AF12" s="11" t="s">
        <v>74</v>
      </c>
      <c r="AG12" s="11">
        <v>51</v>
      </c>
      <c r="AH12" s="11">
        <v>20</v>
      </c>
      <c r="AI12" s="11">
        <v>20</v>
      </c>
      <c r="AJ12" s="11">
        <v>0</v>
      </c>
      <c r="AK12" s="11">
        <v>15</v>
      </c>
      <c r="AL12" s="11" t="s">
        <v>202</v>
      </c>
      <c r="AM12" s="11" t="s">
        <v>203</v>
      </c>
      <c r="AN12" s="11" t="s">
        <v>204</v>
      </c>
      <c r="AO12" s="11" t="s">
        <v>6778</v>
      </c>
      <c r="AP12" s="11" t="s">
        <v>74</v>
      </c>
      <c r="AQ12" s="11" t="s">
        <v>74</v>
      </c>
      <c r="AR12" s="11" t="s">
        <v>6768</v>
      </c>
      <c r="AS12" s="11" t="s">
        <v>6779</v>
      </c>
      <c r="AT12" s="11" t="s">
        <v>1904</v>
      </c>
      <c r="AU12" s="11">
        <v>2021</v>
      </c>
      <c r="AV12" s="11">
        <v>13</v>
      </c>
      <c r="AW12" s="11">
        <v>2</v>
      </c>
      <c r="AX12" s="11" t="s">
        <v>74</v>
      </c>
      <c r="AY12" s="11" t="s">
        <v>74</v>
      </c>
      <c r="AZ12" s="11" t="s">
        <v>74</v>
      </c>
      <c r="BA12" s="11" t="s">
        <v>74</v>
      </c>
      <c r="BB12" s="11" t="s">
        <v>74</v>
      </c>
      <c r="BC12" s="11" t="s">
        <v>74</v>
      </c>
      <c r="BD12" s="11">
        <v>35</v>
      </c>
      <c r="BE12" s="11" t="s">
        <v>6780</v>
      </c>
      <c r="BF12" s="11">
        <v>0</v>
      </c>
      <c r="BG12" s="11" t="s">
        <v>74</v>
      </c>
      <c r="BH12" s="11" t="s">
        <v>74</v>
      </c>
      <c r="BI12" s="11">
        <v>24</v>
      </c>
      <c r="BJ12" s="11" t="s">
        <v>1217</v>
      </c>
      <c r="BK12" s="11" t="s">
        <v>183</v>
      </c>
      <c r="BL12" s="11" t="s">
        <v>399</v>
      </c>
      <c r="BM12" s="11" t="s">
        <v>6781</v>
      </c>
      <c r="BN12" s="11" t="s">
        <v>74</v>
      </c>
      <c r="BO12" s="11" t="s">
        <v>186</v>
      </c>
      <c r="BP12" s="11" t="s">
        <v>74</v>
      </c>
      <c r="BQ12" s="11" t="s">
        <v>74</v>
      </c>
      <c r="BR12" s="11" t="s">
        <v>12946</v>
      </c>
      <c r="BS12" s="11" t="s">
        <v>6782</v>
      </c>
      <c r="BT12" s="11">
        <v>0</v>
      </c>
    </row>
    <row r="13" spans="1:72" x14ac:dyDescent="0.25">
      <c r="A13" s="11" t="s">
        <v>72</v>
      </c>
      <c r="B13" s="11" t="s">
        <v>6506</v>
      </c>
      <c r="C13" s="11" t="s">
        <v>74</v>
      </c>
      <c r="D13" s="11" t="s">
        <v>74</v>
      </c>
      <c r="E13" s="11" t="s">
        <v>74</v>
      </c>
      <c r="F13" s="11" t="s">
        <v>6507</v>
      </c>
      <c r="G13" s="11" t="s">
        <v>74</v>
      </c>
      <c r="H13" s="11" t="s">
        <v>74</v>
      </c>
      <c r="I13" s="11" t="s">
        <v>6508</v>
      </c>
      <c r="J13" s="11" t="s">
        <v>6509</v>
      </c>
      <c r="K13" s="11" t="s">
        <v>74</v>
      </c>
      <c r="L13" s="11" t="s">
        <v>74</v>
      </c>
      <c r="M13" s="11" t="s">
        <v>78</v>
      </c>
      <c r="N13" s="11" t="s">
        <v>79</v>
      </c>
      <c r="O13" s="11" t="s">
        <v>74</v>
      </c>
      <c r="P13" s="11" t="s">
        <v>74</v>
      </c>
      <c r="Q13" s="11" t="s">
        <v>74</v>
      </c>
      <c r="R13" s="11" t="s">
        <v>74</v>
      </c>
      <c r="S13" s="11" t="s">
        <v>74</v>
      </c>
      <c r="T13" s="11" t="s">
        <v>6510</v>
      </c>
      <c r="U13" s="11" t="s">
        <v>74</v>
      </c>
      <c r="V13" s="11" t="s">
        <v>6511</v>
      </c>
      <c r="W13" s="11" t="s">
        <v>6512</v>
      </c>
      <c r="X13" s="11" t="s">
        <v>6513</v>
      </c>
      <c r="Y13" s="11" t="s">
        <v>6514</v>
      </c>
      <c r="Z13" s="11" t="s">
        <v>6515</v>
      </c>
      <c r="AA13" s="11" t="s">
        <v>6516</v>
      </c>
      <c r="AB13" s="11" t="s">
        <v>13282</v>
      </c>
      <c r="AC13" s="11" t="s">
        <v>74</v>
      </c>
      <c r="AD13" s="11" t="s">
        <v>74</v>
      </c>
      <c r="AE13" s="11" t="s">
        <v>74</v>
      </c>
      <c r="AF13" s="11" t="s">
        <v>74</v>
      </c>
      <c r="AG13" s="11">
        <v>53</v>
      </c>
      <c r="AH13" s="11">
        <v>19</v>
      </c>
      <c r="AI13" s="11">
        <v>19</v>
      </c>
      <c r="AJ13" s="11">
        <v>21</v>
      </c>
      <c r="AK13" s="11">
        <v>122</v>
      </c>
      <c r="AL13" s="11" t="s">
        <v>492</v>
      </c>
      <c r="AM13" s="11" t="s">
        <v>493</v>
      </c>
      <c r="AN13" s="11" t="s">
        <v>494</v>
      </c>
      <c r="AO13" s="11" t="s">
        <v>6518</v>
      </c>
      <c r="AP13" s="11" t="s">
        <v>6519</v>
      </c>
      <c r="AQ13" s="11" t="s">
        <v>74</v>
      </c>
      <c r="AR13" s="11" t="s">
        <v>6520</v>
      </c>
      <c r="AS13" s="11" t="s">
        <v>6521</v>
      </c>
      <c r="AT13" s="11" t="s">
        <v>2390</v>
      </c>
      <c r="AU13" s="11">
        <v>2022</v>
      </c>
      <c r="AV13" s="11">
        <v>31</v>
      </c>
      <c r="AW13" s="11">
        <v>1</v>
      </c>
      <c r="AX13" s="11" t="s">
        <v>74</v>
      </c>
      <c r="AY13" s="11" t="s">
        <v>74</v>
      </c>
      <c r="AZ13" s="11" t="s">
        <v>74</v>
      </c>
      <c r="BA13" s="11" t="s">
        <v>74</v>
      </c>
      <c r="BB13" s="11">
        <v>3</v>
      </c>
      <c r="BC13" s="11">
        <v>22</v>
      </c>
      <c r="BD13" s="11" t="s">
        <v>74</v>
      </c>
      <c r="BE13" s="11" t="s">
        <v>6522</v>
      </c>
      <c r="BF13" s="11">
        <v>0</v>
      </c>
      <c r="BG13" s="11" t="s">
        <v>74</v>
      </c>
      <c r="BH13" s="11" t="s">
        <v>6460</v>
      </c>
      <c r="BI13" s="11">
        <v>20</v>
      </c>
      <c r="BJ13" s="11" t="s">
        <v>6523</v>
      </c>
      <c r="BK13" s="11" t="s">
        <v>4436</v>
      </c>
      <c r="BL13" s="11" t="s">
        <v>6524</v>
      </c>
      <c r="BM13" s="11" t="s">
        <v>6525</v>
      </c>
      <c r="BN13" s="11" t="s">
        <v>74</v>
      </c>
      <c r="BO13" s="11" t="s">
        <v>74</v>
      </c>
      <c r="BP13" s="11" t="s">
        <v>74</v>
      </c>
      <c r="BQ13" s="11" t="s">
        <v>74</v>
      </c>
      <c r="BR13" s="11" t="s">
        <v>12946</v>
      </c>
      <c r="BS13" s="11" t="s">
        <v>6526</v>
      </c>
      <c r="BT13" s="11">
        <v>0</v>
      </c>
    </row>
    <row r="14" spans="1:72" x14ac:dyDescent="0.25">
      <c r="A14" s="11" t="s">
        <v>72</v>
      </c>
      <c r="B14" s="11" t="s">
        <v>11441</v>
      </c>
      <c r="C14" s="11" t="s">
        <v>74</v>
      </c>
      <c r="D14" s="11" t="s">
        <v>74</v>
      </c>
      <c r="E14" s="11" t="s">
        <v>74</v>
      </c>
      <c r="F14" s="11" t="s">
        <v>11442</v>
      </c>
      <c r="G14" s="11" t="s">
        <v>74</v>
      </c>
      <c r="H14" s="11" t="s">
        <v>74</v>
      </c>
      <c r="I14" s="11" t="s">
        <v>11443</v>
      </c>
      <c r="J14" s="11" t="s">
        <v>11444</v>
      </c>
      <c r="K14" s="11" t="s">
        <v>74</v>
      </c>
      <c r="L14" s="11" t="s">
        <v>74</v>
      </c>
      <c r="M14" s="11" t="s">
        <v>78</v>
      </c>
      <c r="N14" s="11" t="s">
        <v>79</v>
      </c>
      <c r="O14" s="11" t="s">
        <v>74</v>
      </c>
      <c r="P14" s="11" t="s">
        <v>74</v>
      </c>
      <c r="Q14" s="11" t="s">
        <v>74</v>
      </c>
      <c r="R14" s="11" t="s">
        <v>74</v>
      </c>
      <c r="S14" s="11" t="s">
        <v>74</v>
      </c>
      <c r="T14" s="11" t="s">
        <v>11445</v>
      </c>
      <c r="U14" s="11" t="s">
        <v>11446</v>
      </c>
      <c r="V14" s="11" t="s">
        <v>11447</v>
      </c>
      <c r="W14" s="11" t="s">
        <v>11448</v>
      </c>
      <c r="X14" s="11" t="s">
        <v>11449</v>
      </c>
      <c r="Y14" s="11" t="s">
        <v>11450</v>
      </c>
      <c r="Z14" s="11" t="s">
        <v>11451</v>
      </c>
      <c r="AA14" s="11" t="s">
        <v>74</v>
      </c>
      <c r="AB14" s="11" t="s">
        <v>13283</v>
      </c>
      <c r="AC14" s="11" t="s">
        <v>74</v>
      </c>
      <c r="AD14" s="11" t="s">
        <v>74</v>
      </c>
      <c r="AE14" s="11" t="s">
        <v>74</v>
      </c>
      <c r="AF14" s="11" t="s">
        <v>74</v>
      </c>
      <c r="AG14" s="11">
        <v>32</v>
      </c>
      <c r="AH14" s="11">
        <v>17</v>
      </c>
      <c r="AI14" s="11">
        <v>29</v>
      </c>
      <c r="AJ14" s="11">
        <v>0</v>
      </c>
      <c r="AK14" s="11">
        <v>3</v>
      </c>
      <c r="AL14" s="11" t="s">
        <v>492</v>
      </c>
      <c r="AM14" s="11" t="s">
        <v>493</v>
      </c>
      <c r="AN14" s="11" t="s">
        <v>494</v>
      </c>
      <c r="AO14" s="11" t="s">
        <v>11453</v>
      </c>
      <c r="AP14" s="11" t="s">
        <v>11454</v>
      </c>
      <c r="AQ14" s="11" t="s">
        <v>74</v>
      </c>
      <c r="AR14" s="11" t="s">
        <v>11455</v>
      </c>
      <c r="AS14" s="11" t="s">
        <v>11456</v>
      </c>
      <c r="AT14" s="11" t="s">
        <v>74</v>
      </c>
      <c r="AU14" s="11">
        <v>2016</v>
      </c>
      <c r="AV14" s="11">
        <v>48</v>
      </c>
      <c r="AW14" s="11">
        <v>4</v>
      </c>
      <c r="AX14" s="11" t="s">
        <v>74</v>
      </c>
      <c r="AY14" s="11" t="s">
        <v>74</v>
      </c>
      <c r="AZ14" s="11" t="s">
        <v>74</v>
      </c>
      <c r="BA14" s="11" t="s">
        <v>74</v>
      </c>
      <c r="BB14" s="11">
        <v>274</v>
      </c>
      <c r="BC14" s="11">
        <v>289</v>
      </c>
      <c r="BD14" s="11" t="s">
        <v>74</v>
      </c>
      <c r="BE14" s="11" t="s">
        <v>11457</v>
      </c>
      <c r="BF14" s="11">
        <v>0</v>
      </c>
      <c r="BG14" s="11" t="s">
        <v>74</v>
      </c>
      <c r="BH14" s="11" t="s">
        <v>74</v>
      </c>
      <c r="BI14" s="11">
        <v>16</v>
      </c>
      <c r="BJ14" s="11" t="s">
        <v>1326</v>
      </c>
      <c r="BK14" s="11" t="s">
        <v>183</v>
      </c>
      <c r="BL14" s="11" t="s">
        <v>1326</v>
      </c>
      <c r="BM14" s="11" t="s">
        <v>11458</v>
      </c>
      <c r="BN14" s="11" t="s">
        <v>74</v>
      </c>
      <c r="BO14" s="11" t="s">
        <v>74</v>
      </c>
      <c r="BP14" s="11" t="s">
        <v>74</v>
      </c>
      <c r="BQ14" s="11" t="s">
        <v>74</v>
      </c>
      <c r="BR14" s="11" t="s">
        <v>12946</v>
      </c>
      <c r="BS14" s="11" t="s">
        <v>11459</v>
      </c>
      <c r="BT14" s="11">
        <v>0</v>
      </c>
    </row>
    <row r="15" spans="1:72" x14ac:dyDescent="0.25">
      <c r="A15" s="11" t="s">
        <v>72</v>
      </c>
      <c r="B15" s="11" t="s">
        <v>4725</v>
      </c>
      <c r="C15" s="11" t="s">
        <v>74</v>
      </c>
      <c r="D15" s="11" t="s">
        <v>74</v>
      </c>
      <c r="E15" s="11" t="s">
        <v>74</v>
      </c>
      <c r="F15" s="11" t="s">
        <v>4726</v>
      </c>
      <c r="G15" s="11" t="s">
        <v>74</v>
      </c>
      <c r="H15" s="11" t="s">
        <v>74</v>
      </c>
      <c r="I15" s="11" t="s">
        <v>4727</v>
      </c>
      <c r="J15" s="11" t="s">
        <v>4728</v>
      </c>
      <c r="K15" s="11" t="s">
        <v>74</v>
      </c>
      <c r="L15" s="11" t="s">
        <v>74</v>
      </c>
      <c r="M15" s="11" t="s">
        <v>78</v>
      </c>
      <c r="N15" s="11" t="s">
        <v>79</v>
      </c>
      <c r="O15" s="11" t="s">
        <v>74</v>
      </c>
      <c r="P15" s="11" t="s">
        <v>74</v>
      </c>
      <c r="Q15" s="11" t="s">
        <v>74</v>
      </c>
      <c r="R15" s="11" t="s">
        <v>74</v>
      </c>
      <c r="S15" s="11" t="s">
        <v>74</v>
      </c>
      <c r="T15" s="11" t="s">
        <v>4729</v>
      </c>
      <c r="U15" s="11" t="s">
        <v>4730</v>
      </c>
      <c r="V15" s="11" t="s">
        <v>4731</v>
      </c>
      <c r="W15" s="11" t="s">
        <v>4732</v>
      </c>
      <c r="X15" s="11" t="s">
        <v>4733</v>
      </c>
      <c r="Y15" s="11" t="s">
        <v>4734</v>
      </c>
      <c r="Z15" s="11" t="s">
        <v>4735</v>
      </c>
      <c r="AA15" s="11" t="s">
        <v>13284</v>
      </c>
      <c r="AB15" s="11" t="s">
        <v>13285</v>
      </c>
      <c r="AC15" s="11" t="s">
        <v>74</v>
      </c>
      <c r="AD15" s="11" t="s">
        <v>74</v>
      </c>
      <c r="AE15" s="11" t="s">
        <v>74</v>
      </c>
      <c r="AF15" s="11" t="s">
        <v>74</v>
      </c>
      <c r="AG15" s="11">
        <v>68</v>
      </c>
      <c r="AH15" s="11">
        <v>15</v>
      </c>
      <c r="AI15" s="11">
        <v>16</v>
      </c>
      <c r="AJ15" s="11">
        <v>2</v>
      </c>
      <c r="AK15" s="11">
        <v>20</v>
      </c>
      <c r="AL15" s="11" t="s">
        <v>202</v>
      </c>
      <c r="AM15" s="11" t="s">
        <v>203</v>
      </c>
      <c r="AN15" s="11" t="s">
        <v>204</v>
      </c>
      <c r="AO15" s="11" t="s">
        <v>74</v>
      </c>
      <c r="AP15" s="11" t="s">
        <v>4738</v>
      </c>
      <c r="AQ15" s="11" t="s">
        <v>74</v>
      </c>
      <c r="AR15" s="11" t="s">
        <v>4739</v>
      </c>
      <c r="AS15" s="11" t="s">
        <v>4740</v>
      </c>
      <c r="AT15" s="11" t="s">
        <v>1904</v>
      </c>
      <c r="AU15" s="11">
        <v>2022</v>
      </c>
      <c r="AV15" s="11">
        <v>11</v>
      </c>
      <c r="AW15" s="11">
        <v>3</v>
      </c>
      <c r="AX15" s="11" t="s">
        <v>74</v>
      </c>
      <c r="AY15" s="11" t="s">
        <v>74</v>
      </c>
      <c r="AZ15" s="11" t="s">
        <v>74</v>
      </c>
      <c r="BA15" s="11" t="s">
        <v>74</v>
      </c>
      <c r="BB15" s="11" t="s">
        <v>74</v>
      </c>
      <c r="BC15" s="11" t="s">
        <v>74</v>
      </c>
      <c r="BD15" s="11">
        <v>293</v>
      </c>
      <c r="BE15" s="11" t="s">
        <v>4741</v>
      </c>
      <c r="BF15" s="11">
        <v>0</v>
      </c>
      <c r="BG15" s="11" t="s">
        <v>74</v>
      </c>
      <c r="BH15" s="11" t="s">
        <v>74</v>
      </c>
      <c r="BI15" s="11">
        <v>20</v>
      </c>
      <c r="BJ15" s="11" t="s">
        <v>4742</v>
      </c>
      <c r="BK15" s="11" t="s">
        <v>211</v>
      </c>
      <c r="BL15" s="11" t="s">
        <v>4743</v>
      </c>
      <c r="BM15" s="11" t="s">
        <v>4744</v>
      </c>
      <c r="BN15" s="11" t="s">
        <v>74</v>
      </c>
      <c r="BO15" s="11" t="s">
        <v>186</v>
      </c>
      <c r="BP15" s="11" t="s">
        <v>74</v>
      </c>
      <c r="BQ15" s="11" t="s">
        <v>74</v>
      </c>
      <c r="BR15" s="11" t="s">
        <v>12946</v>
      </c>
      <c r="BS15" s="11" t="s">
        <v>4745</v>
      </c>
      <c r="BT15" s="11">
        <v>0</v>
      </c>
    </row>
    <row r="16" spans="1:72" x14ac:dyDescent="0.25">
      <c r="A16" s="11" t="s">
        <v>72</v>
      </c>
      <c r="B16" s="11" t="s">
        <v>11898</v>
      </c>
      <c r="C16" s="11" t="s">
        <v>74</v>
      </c>
      <c r="D16" s="11" t="s">
        <v>74</v>
      </c>
      <c r="E16" s="11" t="s">
        <v>74</v>
      </c>
      <c r="F16" s="11" t="s">
        <v>11899</v>
      </c>
      <c r="G16" s="11" t="s">
        <v>74</v>
      </c>
      <c r="H16" s="11" t="s">
        <v>74</v>
      </c>
      <c r="I16" s="11" t="s">
        <v>11900</v>
      </c>
      <c r="J16" s="11" t="s">
        <v>11901</v>
      </c>
      <c r="K16" s="11" t="s">
        <v>74</v>
      </c>
      <c r="L16" s="11" t="s">
        <v>74</v>
      </c>
      <c r="M16" s="11" t="s">
        <v>929</v>
      </c>
      <c r="N16" s="11" t="s">
        <v>79</v>
      </c>
      <c r="O16" s="11" t="s">
        <v>74</v>
      </c>
      <c r="P16" s="11" t="s">
        <v>74</v>
      </c>
      <c r="Q16" s="11" t="s">
        <v>74</v>
      </c>
      <c r="R16" s="11" t="s">
        <v>74</v>
      </c>
      <c r="S16" s="11" t="s">
        <v>74</v>
      </c>
      <c r="T16" s="11" t="s">
        <v>11902</v>
      </c>
      <c r="U16" s="11" t="s">
        <v>74</v>
      </c>
      <c r="V16" s="11" t="s">
        <v>11903</v>
      </c>
      <c r="W16" s="11" t="s">
        <v>11904</v>
      </c>
      <c r="X16" s="11" t="s">
        <v>11905</v>
      </c>
      <c r="Y16" s="11" t="s">
        <v>11906</v>
      </c>
      <c r="Z16" s="11" t="s">
        <v>11907</v>
      </c>
      <c r="AA16" s="11" t="s">
        <v>13286</v>
      </c>
      <c r="AB16" s="11" t="s">
        <v>13287</v>
      </c>
      <c r="AC16" s="11" t="s">
        <v>74</v>
      </c>
      <c r="AD16" s="11" t="s">
        <v>74</v>
      </c>
      <c r="AE16" s="11" t="s">
        <v>74</v>
      </c>
      <c r="AF16" s="11" t="s">
        <v>74</v>
      </c>
      <c r="AG16" s="11">
        <v>30</v>
      </c>
      <c r="AH16" s="11">
        <v>15</v>
      </c>
      <c r="AI16" s="11">
        <v>17</v>
      </c>
      <c r="AJ16" s="11">
        <v>3</v>
      </c>
      <c r="AK16" s="11">
        <v>22</v>
      </c>
      <c r="AL16" s="11" t="s">
        <v>11910</v>
      </c>
      <c r="AM16" s="11" t="s">
        <v>7006</v>
      </c>
      <c r="AN16" s="11" t="s">
        <v>11911</v>
      </c>
      <c r="AO16" s="11" t="s">
        <v>11912</v>
      </c>
      <c r="AP16" s="11" t="s">
        <v>11913</v>
      </c>
      <c r="AQ16" s="11" t="s">
        <v>74</v>
      </c>
      <c r="AR16" s="11" t="s">
        <v>11901</v>
      </c>
      <c r="AS16" s="11" t="s">
        <v>11914</v>
      </c>
      <c r="AT16" s="11" t="s">
        <v>2390</v>
      </c>
      <c r="AU16" s="11">
        <v>2014</v>
      </c>
      <c r="AV16" s="11">
        <v>21</v>
      </c>
      <c r="AW16" s="11">
        <v>42</v>
      </c>
      <c r="AX16" s="11" t="s">
        <v>74</v>
      </c>
      <c r="AY16" s="11" t="s">
        <v>74</v>
      </c>
      <c r="AZ16" s="11" t="s">
        <v>74</v>
      </c>
      <c r="BA16" s="11" t="s">
        <v>74</v>
      </c>
      <c r="BB16" s="11">
        <v>199</v>
      </c>
      <c r="BC16" s="11">
        <v>207</v>
      </c>
      <c r="BD16" s="11" t="s">
        <v>74</v>
      </c>
      <c r="BE16" s="11" t="s">
        <v>11915</v>
      </c>
      <c r="BF16" s="11">
        <v>0</v>
      </c>
      <c r="BG16" s="11" t="s">
        <v>74</v>
      </c>
      <c r="BH16" s="11" t="s">
        <v>74</v>
      </c>
      <c r="BI16" s="11">
        <v>9</v>
      </c>
      <c r="BJ16" s="11" t="s">
        <v>11916</v>
      </c>
      <c r="BK16" s="11" t="s">
        <v>156</v>
      </c>
      <c r="BL16" s="11" t="s">
        <v>11916</v>
      </c>
      <c r="BM16" s="11" t="s">
        <v>11917</v>
      </c>
      <c r="BN16" s="11" t="s">
        <v>74</v>
      </c>
      <c r="BO16" s="11" t="s">
        <v>13288</v>
      </c>
      <c r="BP16" s="11" t="s">
        <v>74</v>
      </c>
      <c r="BQ16" s="11" t="s">
        <v>74</v>
      </c>
      <c r="BR16" s="11" t="s">
        <v>12946</v>
      </c>
      <c r="BS16" s="11" t="s">
        <v>11919</v>
      </c>
      <c r="BT16" s="11">
        <v>0</v>
      </c>
    </row>
    <row r="17" spans="1:72" x14ac:dyDescent="0.25">
      <c r="A17" s="11" t="s">
        <v>72</v>
      </c>
      <c r="B17" s="11" t="s">
        <v>11491</v>
      </c>
      <c r="C17" s="11" t="s">
        <v>74</v>
      </c>
      <c r="D17" s="11" t="s">
        <v>74</v>
      </c>
      <c r="E17" s="11" t="s">
        <v>74</v>
      </c>
      <c r="F17" s="11" t="s">
        <v>11492</v>
      </c>
      <c r="G17" s="11" t="s">
        <v>74</v>
      </c>
      <c r="H17" s="11" t="s">
        <v>74</v>
      </c>
      <c r="I17" s="11" t="s">
        <v>11493</v>
      </c>
      <c r="J17" s="11" t="s">
        <v>10647</v>
      </c>
      <c r="K17" s="11" t="s">
        <v>74</v>
      </c>
      <c r="L17" s="11" t="s">
        <v>74</v>
      </c>
      <c r="M17" s="11" t="s">
        <v>78</v>
      </c>
      <c r="N17" s="11" t="s">
        <v>79</v>
      </c>
      <c r="O17" s="11" t="s">
        <v>74</v>
      </c>
      <c r="P17" s="11" t="s">
        <v>74</v>
      </c>
      <c r="Q17" s="11" t="s">
        <v>74</v>
      </c>
      <c r="R17" s="11" t="s">
        <v>74</v>
      </c>
      <c r="S17" s="11" t="s">
        <v>74</v>
      </c>
      <c r="T17" s="11" t="s">
        <v>11494</v>
      </c>
      <c r="U17" s="11" t="s">
        <v>7372</v>
      </c>
      <c r="V17" s="11" t="s">
        <v>11495</v>
      </c>
      <c r="W17" s="11" t="s">
        <v>11496</v>
      </c>
      <c r="X17" s="11" t="s">
        <v>11497</v>
      </c>
      <c r="Y17" s="11" t="s">
        <v>11498</v>
      </c>
      <c r="Z17" s="11" t="s">
        <v>11499</v>
      </c>
      <c r="AA17" s="11" t="s">
        <v>11500</v>
      </c>
      <c r="AB17" s="11" t="s">
        <v>10248</v>
      </c>
      <c r="AC17" s="11" t="s">
        <v>74</v>
      </c>
      <c r="AD17" s="11" t="s">
        <v>74</v>
      </c>
      <c r="AE17" s="11" t="s">
        <v>74</v>
      </c>
      <c r="AF17" s="11" t="s">
        <v>74</v>
      </c>
      <c r="AG17" s="11">
        <v>32</v>
      </c>
      <c r="AH17" s="11">
        <v>13</v>
      </c>
      <c r="AI17" s="11">
        <v>14</v>
      </c>
      <c r="AJ17" s="11">
        <v>1</v>
      </c>
      <c r="AK17" s="11">
        <v>23</v>
      </c>
      <c r="AL17" s="11" t="s">
        <v>492</v>
      </c>
      <c r="AM17" s="11" t="s">
        <v>493</v>
      </c>
      <c r="AN17" s="11" t="s">
        <v>11275</v>
      </c>
      <c r="AO17" s="11" t="s">
        <v>10657</v>
      </c>
      <c r="AP17" s="11" t="s">
        <v>10658</v>
      </c>
      <c r="AQ17" s="11" t="s">
        <v>74</v>
      </c>
      <c r="AR17" s="11" t="s">
        <v>10659</v>
      </c>
      <c r="AS17" s="11" t="s">
        <v>10660</v>
      </c>
      <c r="AT17" s="11" t="s">
        <v>5945</v>
      </c>
      <c r="AU17" s="11">
        <v>2015</v>
      </c>
      <c r="AV17" s="11">
        <v>22</v>
      </c>
      <c r="AW17" s="11">
        <v>2</v>
      </c>
      <c r="AX17" s="11" t="s">
        <v>74</v>
      </c>
      <c r="AY17" s="11" t="s">
        <v>74</v>
      </c>
      <c r="AZ17" s="11" t="s">
        <v>74</v>
      </c>
      <c r="BA17" s="11" t="s">
        <v>74</v>
      </c>
      <c r="BB17" s="11">
        <v>63</v>
      </c>
      <c r="BC17" s="11">
        <v>83</v>
      </c>
      <c r="BD17" s="11" t="s">
        <v>74</v>
      </c>
      <c r="BE17" s="11" t="s">
        <v>11502</v>
      </c>
      <c r="BF17" s="11">
        <v>0</v>
      </c>
      <c r="BG17" s="11" t="s">
        <v>74</v>
      </c>
      <c r="BH17" s="11" t="s">
        <v>74</v>
      </c>
      <c r="BI17" s="11">
        <v>21</v>
      </c>
      <c r="BJ17" s="11" t="s">
        <v>2621</v>
      </c>
      <c r="BK17" s="11" t="s">
        <v>156</v>
      </c>
      <c r="BL17" s="11" t="s">
        <v>2621</v>
      </c>
      <c r="BM17" s="11" t="s">
        <v>11503</v>
      </c>
      <c r="BN17" s="11" t="s">
        <v>74</v>
      </c>
      <c r="BO17" s="11" t="s">
        <v>74</v>
      </c>
      <c r="BP17" s="11" t="s">
        <v>74</v>
      </c>
      <c r="BQ17" s="11" t="s">
        <v>74</v>
      </c>
      <c r="BR17" s="11" t="s">
        <v>12946</v>
      </c>
      <c r="BS17" s="11" t="s">
        <v>11504</v>
      </c>
      <c r="BT17" s="11">
        <v>0</v>
      </c>
    </row>
    <row r="18" spans="1:72" x14ac:dyDescent="0.25">
      <c r="A18" s="11" t="s">
        <v>72</v>
      </c>
      <c r="B18" s="11" t="s">
        <v>12454</v>
      </c>
      <c r="C18" s="11" t="s">
        <v>74</v>
      </c>
      <c r="D18" s="11" t="s">
        <v>74</v>
      </c>
      <c r="E18" s="11" t="s">
        <v>74</v>
      </c>
      <c r="F18" s="11" t="s">
        <v>12455</v>
      </c>
      <c r="G18" s="11" t="s">
        <v>74</v>
      </c>
      <c r="H18" s="11" t="s">
        <v>74</v>
      </c>
      <c r="I18" s="11" t="s">
        <v>12456</v>
      </c>
      <c r="J18" s="11" t="s">
        <v>11988</v>
      </c>
      <c r="K18" s="11" t="s">
        <v>74</v>
      </c>
      <c r="L18" s="11" t="s">
        <v>74</v>
      </c>
      <c r="M18" s="11" t="s">
        <v>78</v>
      </c>
      <c r="N18" s="11" t="s">
        <v>79</v>
      </c>
      <c r="O18" s="11" t="s">
        <v>74</v>
      </c>
      <c r="P18" s="11" t="s">
        <v>74</v>
      </c>
      <c r="Q18" s="11" t="s">
        <v>74</v>
      </c>
      <c r="R18" s="11" t="s">
        <v>74</v>
      </c>
      <c r="S18" s="11" t="s">
        <v>74</v>
      </c>
      <c r="T18" s="11" t="s">
        <v>12457</v>
      </c>
      <c r="U18" s="11" t="s">
        <v>74</v>
      </c>
      <c r="V18" s="11" t="s">
        <v>12458</v>
      </c>
      <c r="W18" s="11" t="s">
        <v>74</v>
      </c>
      <c r="X18" s="11" t="s">
        <v>74</v>
      </c>
      <c r="Y18" s="11" t="s">
        <v>12459</v>
      </c>
      <c r="Z18" s="11" t="s">
        <v>12460</v>
      </c>
      <c r="AA18" s="11" t="s">
        <v>74</v>
      </c>
      <c r="AB18" s="11" t="s">
        <v>74</v>
      </c>
      <c r="AC18" s="11" t="s">
        <v>74</v>
      </c>
      <c r="AD18" s="11" t="s">
        <v>74</v>
      </c>
      <c r="AE18" s="11" t="s">
        <v>74</v>
      </c>
      <c r="AF18" s="11" t="s">
        <v>74</v>
      </c>
      <c r="AG18" s="11">
        <v>0</v>
      </c>
      <c r="AH18" s="11">
        <v>13</v>
      </c>
      <c r="AI18" s="11">
        <v>15</v>
      </c>
      <c r="AJ18" s="11">
        <v>0</v>
      </c>
      <c r="AK18" s="11">
        <v>2</v>
      </c>
      <c r="AL18" s="11" t="s">
        <v>121</v>
      </c>
      <c r="AM18" s="11" t="s">
        <v>122</v>
      </c>
      <c r="AN18" s="11" t="s">
        <v>11993</v>
      </c>
      <c r="AO18" s="11" t="s">
        <v>11994</v>
      </c>
      <c r="AP18" s="11" t="s">
        <v>11995</v>
      </c>
      <c r="AQ18" s="11" t="s">
        <v>74</v>
      </c>
      <c r="AR18" s="11" t="s">
        <v>11996</v>
      </c>
      <c r="AS18" s="11" t="s">
        <v>11997</v>
      </c>
      <c r="AT18" s="11" t="s">
        <v>356</v>
      </c>
      <c r="AU18" s="11">
        <v>2010</v>
      </c>
      <c r="AV18" s="11">
        <v>26</v>
      </c>
      <c r="AW18" s="11">
        <v>3</v>
      </c>
      <c r="AX18" s="11" t="s">
        <v>74</v>
      </c>
      <c r="AY18" s="11" t="s">
        <v>74</v>
      </c>
      <c r="AZ18" s="11" t="s">
        <v>74</v>
      </c>
      <c r="BA18" s="11" t="s">
        <v>74</v>
      </c>
      <c r="BB18" s="11">
        <v>168</v>
      </c>
      <c r="BC18" s="11">
        <v>175</v>
      </c>
      <c r="BD18" s="11" t="s">
        <v>74</v>
      </c>
      <c r="BE18" s="11" t="s">
        <v>12461</v>
      </c>
      <c r="BF18" s="11">
        <v>0</v>
      </c>
      <c r="BG18" s="11" t="s">
        <v>74</v>
      </c>
      <c r="BH18" s="11" t="s">
        <v>74</v>
      </c>
      <c r="BI18" s="11">
        <v>8</v>
      </c>
      <c r="BJ18" s="11" t="s">
        <v>3050</v>
      </c>
      <c r="BK18" s="11" t="s">
        <v>183</v>
      </c>
      <c r="BL18" s="11" t="s">
        <v>3050</v>
      </c>
      <c r="BM18" s="11" t="s">
        <v>12462</v>
      </c>
      <c r="BN18" s="11" t="s">
        <v>74</v>
      </c>
      <c r="BO18" s="11" t="s">
        <v>74</v>
      </c>
      <c r="BP18" s="11" t="s">
        <v>74</v>
      </c>
      <c r="BQ18" s="11" t="s">
        <v>74</v>
      </c>
      <c r="BR18" s="11" t="s">
        <v>12946</v>
      </c>
      <c r="BS18" s="11" t="s">
        <v>12463</v>
      </c>
      <c r="BT18" s="11">
        <v>0</v>
      </c>
    </row>
    <row r="19" spans="1:72" x14ac:dyDescent="0.25">
      <c r="A19" s="11" t="s">
        <v>72</v>
      </c>
      <c r="B19" s="11" t="s">
        <v>2604</v>
      </c>
      <c r="C19" s="11" t="s">
        <v>74</v>
      </c>
      <c r="D19" s="11" t="s">
        <v>74</v>
      </c>
      <c r="E19" s="11" t="s">
        <v>74</v>
      </c>
      <c r="F19" s="11" t="s">
        <v>9767</v>
      </c>
      <c r="G19" s="11" t="s">
        <v>74</v>
      </c>
      <c r="H19" s="11" t="s">
        <v>74</v>
      </c>
      <c r="I19" s="11" t="s">
        <v>9768</v>
      </c>
      <c r="J19" s="11" t="s">
        <v>9769</v>
      </c>
      <c r="K19" s="11" t="s">
        <v>74</v>
      </c>
      <c r="L19" s="11" t="s">
        <v>74</v>
      </c>
      <c r="M19" s="11" t="s">
        <v>78</v>
      </c>
      <c r="N19" s="11" t="s">
        <v>79</v>
      </c>
      <c r="O19" s="11" t="s">
        <v>74</v>
      </c>
      <c r="P19" s="11" t="s">
        <v>74</v>
      </c>
      <c r="Q19" s="11" t="s">
        <v>74</v>
      </c>
      <c r="R19" s="11" t="s">
        <v>74</v>
      </c>
      <c r="S19" s="11" t="s">
        <v>74</v>
      </c>
      <c r="T19" s="11" t="s">
        <v>9770</v>
      </c>
      <c r="U19" s="11" t="s">
        <v>9771</v>
      </c>
      <c r="V19" s="11" t="s">
        <v>9772</v>
      </c>
      <c r="W19" s="11" t="s">
        <v>9773</v>
      </c>
      <c r="X19" s="11" t="s">
        <v>2249</v>
      </c>
      <c r="Y19" s="11" t="s">
        <v>9774</v>
      </c>
      <c r="Z19" s="11" t="s">
        <v>2613</v>
      </c>
      <c r="AA19" s="11" t="s">
        <v>9775</v>
      </c>
      <c r="AB19" s="11" t="s">
        <v>74</v>
      </c>
      <c r="AC19" s="11" t="s">
        <v>9776</v>
      </c>
      <c r="AD19" s="11" t="s">
        <v>9777</v>
      </c>
      <c r="AE19" s="11" t="s">
        <v>9778</v>
      </c>
      <c r="AF19" s="11" t="s">
        <v>74</v>
      </c>
      <c r="AG19" s="11">
        <v>70</v>
      </c>
      <c r="AH19" s="11">
        <v>12</v>
      </c>
      <c r="AI19" s="11">
        <v>14</v>
      </c>
      <c r="AJ19" s="11">
        <v>0</v>
      </c>
      <c r="AK19" s="11">
        <v>33</v>
      </c>
      <c r="AL19" s="11" t="s">
        <v>9779</v>
      </c>
      <c r="AM19" s="11" t="s">
        <v>232</v>
      </c>
      <c r="AN19" s="11" t="s">
        <v>9780</v>
      </c>
      <c r="AO19" s="11" t="s">
        <v>9781</v>
      </c>
      <c r="AP19" s="11" t="s">
        <v>74</v>
      </c>
      <c r="AQ19" s="11" t="s">
        <v>74</v>
      </c>
      <c r="AR19" s="11" t="s">
        <v>9782</v>
      </c>
      <c r="AS19" s="11" t="s">
        <v>9783</v>
      </c>
      <c r="AT19" s="11" t="s">
        <v>626</v>
      </c>
      <c r="AU19" s="11">
        <v>2018</v>
      </c>
      <c r="AV19" s="11">
        <v>35</v>
      </c>
      <c r="AW19" s="11">
        <v>5</v>
      </c>
      <c r="AX19" s="11" t="s">
        <v>74</v>
      </c>
      <c r="AY19" s="11" t="s">
        <v>74</v>
      </c>
      <c r="AZ19" s="11" t="s">
        <v>74</v>
      </c>
      <c r="BA19" s="11" t="s">
        <v>74</v>
      </c>
      <c r="BB19" s="11">
        <v>1082</v>
      </c>
      <c r="BC19" s="11">
        <v>1096</v>
      </c>
      <c r="BD19" s="11" t="s">
        <v>74</v>
      </c>
      <c r="BE19" s="11" t="s">
        <v>9784</v>
      </c>
      <c r="BF19" s="11">
        <v>0</v>
      </c>
      <c r="BG19" s="11" t="s">
        <v>74</v>
      </c>
      <c r="BH19" s="11" t="s">
        <v>74</v>
      </c>
      <c r="BI19" s="11">
        <v>15</v>
      </c>
      <c r="BJ19" s="11" t="s">
        <v>3050</v>
      </c>
      <c r="BK19" s="11" t="s">
        <v>156</v>
      </c>
      <c r="BL19" s="11" t="s">
        <v>3050</v>
      </c>
      <c r="BM19" s="11" t="s">
        <v>9785</v>
      </c>
      <c r="BN19" s="11" t="s">
        <v>74</v>
      </c>
      <c r="BO19" s="11" t="s">
        <v>74</v>
      </c>
      <c r="BP19" s="11" t="s">
        <v>74</v>
      </c>
      <c r="BQ19" s="11" t="s">
        <v>74</v>
      </c>
      <c r="BR19" s="11" t="s">
        <v>12946</v>
      </c>
      <c r="BS19" s="11" t="s">
        <v>9786</v>
      </c>
      <c r="BT19" s="11">
        <v>0</v>
      </c>
    </row>
    <row r="20" spans="1:72" x14ac:dyDescent="0.25">
      <c r="A20" s="11" t="s">
        <v>72</v>
      </c>
      <c r="B20" s="11" t="s">
        <v>3357</v>
      </c>
      <c r="C20" s="11" t="s">
        <v>74</v>
      </c>
      <c r="D20" s="11" t="s">
        <v>74</v>
      </c>
      <c r="E20" s="11" t="s">
        <v>74</v>
      </c>
      <c r="F20" s="11" t="s">
        <v>3358</v>
      </c>
      <c r="G20" s="11" t="s">
        <v>74</v>
      </c>
      <c r="H20" s="11" t="s">
        <v>74</v>
      </c>
      <c r="I20" s="11" t="s">
        <v>3359</v>
      </c>
      <c r="J20" s="11" t="s">
        <v>1332</v>
      </c>
      <c r="K20" s="11" t="s">
        <v>74</v>
      </c>
      <c r="L20" s="11" t="s">
        <v>74</v>
      </c>
      <c r="M20" s="11" t="s">
        <v>78</v>
      </c>
      <c r="N20" s="11" t="s">
        <v>79</v>
      </c>
      <c r="O20" s="11" t="s">
        <v>74</v>
      </c>
      <c r="P20" s="11" t="s">
        <v>74</v>
      </c>
      <c r="Q20" s="11" t="s">
        <v>74</v>
      </c>
      <c r="R20" s="11" t="s">
        <v>74</v>
      </c>
      <c r="S20" s="11" t="s">
        <v>74</v>
      </c>
      <c r="T20" s="11" t="s">
        <v>3360</v>
      </c>
      <c r="U20" s="11" t="s">
        <v>3361</v>
      </c>
      <c r="V20" s="11" t="s">
        <v>3362</v>
      </c>
      <c r="W20" s="11" t="s">
        <v>3363</v>
      </c>
      <c r="X20" s="11" t="s">
        <v>3364</v>
      </c>
      <c r="Y20" s="11" t="s">
        <v>3365</v>
      </c>
      <c r="Z20" s="11" t="s">
        <v>3366</v>
      </c>
      <c r="AA20" s="11" t="s">
        <v>13289</v>
      </c>
      <c r="AB20" s="11" t="s">
        <v>13290</v>
      </c>
      <c r="AC20" s="11" t="s">
        <v>74</v>
      </c>
      <c r="AD20" s="11" t="s">
        <v>74</v>
      </c>
      <c r="AE20" s="11" t="s">
        <v>74</v>
      </c>
      <c r="AF20" s="11" t="s">
        <v>74</v>
      </c>
      <c r="AG20" s="11">
        <v>31</v>
      </c>
      <c r="AH20" s="11">
        <v>11</v>
      </c>
      <c r="AI20" s="11">
        <v>11</v>
      </c>
      <c r="AJ20" s="11">
        <v>3</v>
      </c>
      <c r="AK20" s="11">
        <v>14</v>
      </c>
      <c r="AL20" s="11" t="s">
        <v>1341</v>
      </c>
      <c r="AM20" s="11" t="s">
        <v>1342</v>
      </c>
      <c r="AN20" s="11" t="s">
        <v>1343</v>
      </c>
      <c r="AO20" s="11" t="s">
        <v>1344</v>
      </c>
      <c r="AP20" s="11" t="s">
        <v>1345</v>
      </c>
      <c r="AQ20" s="11" t="s">
        <v>74</v>
      </c>
      <c r="AR20" s="11" t="s">
        <v>1346</v>
      </c>
      <c r="AS20" s="11" t="s">
        <v>1347</v>
      </c>
      <c r="AT20" s="11" t="s">
        <v>376</v>
      </c>
      <c r="AU20" s="11">
        <v>2022</v>
      </c>
      <c r="AV20" s="11">
        <v>13</v>
      </c>
      <c r="AW20" s="11">
        <v>38</v>
      </c>
      <c r="AX20" s="11" t="s">
        <v>74</v>
      </c>
      <c r="AY20" s="11" t="s">
        <v>74</v>
      </c>
      <c r="AZ20" s="11" t="s">
        <v>74</v>
      </c>
      <c r="BA20" s="11" t="s">
        <v>74</v>
      </c>
      <c r="BB20" s="11">
        <v>680</v>
      </c>
      <c r="BC20" s="11">
        <v>695</v>
      </c>
      <c r="BD20" s="11" t="s">
        <v>74</v>
      </c>
      <c r="BE20" s="11" t="s">
        <v>3369</v>
      </c>
      <c r="BF20" s="11">
        <v>0</v>
      </c>
      <c r="BG20" s="11" t="s">
        <v>74</v>
      </c>
      <c r="BH20" s="11" t="s">
        <v>74</v>
      </c>
      <c r="BI20" s="11">
        <v>16</v>
      </c>
      <c r="BJ20" s="11" t="s">
        <v>942</v>
      </c>
      <c r="BK20" s="11" t="s">
        <v>183</v>
      </c>
      <c r="BL20" s="11" t="s">
        <v>943</v>
      </c>
      <c r="BM20" s="11" t="s">
        <v>3370</v>
      </c>
      <c r="BN20" s="11" t="s">
        <v>74</v>
      </c>
      <c r="BO20" s="11" t="s">
        <v>1351</v>
      </c>
      <c r="BP20" s="11" t="s">
        <v>74</v>
      </c>
      <c r="BQ20" s="11" t="s">
        <v>74</v>
      </c>
      <c r="BR20" s="11" t="s">
        <v>12946</v>
      </c>
      <c r="BS20" s="11" t="s">
        <v>3372</v>
      </c>
      <c r="BT20" s="11">
        <v>0</v>
      </c>
    </row>
    <row r="21" spans="1:72" x14ac:dyDescent="0.25">
      <c r="A21" s="11" t="s">
        <v>72</v>
      </c>
      <c r="B21" s="11" t="s">
        <v>8070</v>
      </c>
      <c r="C21" s="11" t="s">
        <v>74</v>
      </c>
      <c r="D21" s="11" t="s">
        <v>74</v>
      </c>
      <c r="E21" s="11" t="s">
        <v>74</v>
      </c>
      <c r="F21" s="11" t="s">
        <v>8071</v>
      </c>
      <c r="G21" s="11" t="s">
        <v>74</v>
      </c>
      <c r="H21" s="11" t="s">
        <v>74</v>
      </c>
      <c r="I21" s="11" t="s">
        <v>8072</v>
      </c>
      <c r="J21" s="11" t="s">
        <v>2969</v>
      </c>
      <c r="K21" s="11" t="s">
        <v>74</v>
      </c>
      <c r="L21" s="11" t="s">
        <v>74</v>
      </c>
      <c r="M21" s="11" t="s">
        <v>78</v>
      </c>
      <c r="N21" s="11" t="s">
        <v>79</v>
      </c>
      <c r="O21" s="11" t="s">
        <v>74</v>
      </c>
      <c r="P21" s="11" t="s">
        <v>74</v>
      </c>
      <c r="Q21" s="11" t="s">
        <v>74</v>
      </c>
      <c r="R21" s="11" t="s">
        <v>74</v>
      </c>
      <c r="S21" s="11" t="s">
        <v>74</v>
      </c>
      <c r="T21" s="11" t="s">
        <v>8073</v>
      </c>
      <c r="U21" s="11" t="s">
        <v>8074</v>
      </c>
      <c r="V21" s="11" t="s">
        <v>8075</v>
      </c>
      <c r="W21" s="11" t="s">
        <v>8076</v>
      </c>
      <c r="X21" s="11" t="s">
        <v>8077</v>
      </c>
      <c r="Y21" s="11" t="s">
        <v>8078</v>
      </c>
      <c r="Z21" s="11" t="s">
        <v>8079</v>
      </c>
      <c r="AA21" s="11" t="s">
        <v>74</v>
      </c>
      <c r="AB21" s="11" t="s">
        <v>13291</v>
      </c>
      <c r="AC21" s="11" t="s">
        <v>8081</v>
      </c>
      <c r="AD21" s="11" t="s">
        <v>8082</v>
      </c>
      <c r="AE21" s="11" t="s">
        <v>8083</v>
      </c>
      <c r="AF21" s="11" t="s">
        <v>74</v>
      </c>
      <c r="AG21" s="11">
        <v>37</v>
      </c>
      <c r="AH21" s="11">
        <v>10</v>
      </c>
      <c r="AI21" s="11">
        <v>10</v>
      </c>
      <c r="AJ21" s="11">
        <v>0</v>
      </c>
      <c r="AK21" s="11">
        <v>9</v>
      </c>
      <c r="AL21" s="11" t="s">
        <v>202</v>
      </c>
      <c r="AM21" s="11" t="s">
        <v>203</v>
      </c>
      <c r="AN21" s="11" t="s">
        <v>204</v>
      </c>
      <c r="AO21" s="11" t="s">
        <v>74</v>
      </c>
      <c r="AP21" s="11" t="s">
        <v>2978</v>
      </c>
      <c r="AQ21" s="11" t="s">
        <v>74</v>
      </c>
      <c r="AR21" s="11" t="s">
        <v>2979</v>
      </c>
      <c r="AS21" s="11" t="s">
        <v>2980</v>
      </c>
      <c r="AT21" s="11" t="s">
        <v>1448</v>
      </c>
      <c r="AU21" s="11">
        <v>2020</v>
      </c>
      <c r="AV21" s="11">
        <v>10</v>
      </c>
      <c r="AW21" s="11">
        <v>4</v>
      </c>
      <c r="AX21" s="11" t="s">
        <v>74</v>
      </c>
      <c r="AY21" s="11" t="s">
        <v>74</v>
      </c>
      <c r="AZ21" s="11" t="s">
        <v>74</v>
      </c>
      <c r="BA21" s="11" t="s">
        <v>74</v>
      </c>
      <c r="BB21" s="11" t="s">
        <v>74</v>
      </c>
      <c r="BC21" s="11" t="s">
        <v>74</v>
      </c>
      <c r="BD21" s="11">
        <v>99</v>
      </c>
      <c r="BE21" s="11" t="s">
        <v>8084</v>
      </c>
      <c r="BF21" s="11">
        <v>0</v>
      </c>
      <c r="BG21" s="11" t="s">
        <v>74</v>
      </c>
      <c r="BH21" s="11" t="s">
        <v>74</v>
      </c>
      <c r="BI21" s="11">
        <v>24</v>
      </c>
      <c r="BJ21" s="11" t="s">
        <v>1326</v>
      </c>
      <c r="BK21" s="11" t="s">
        <v>183</v>
      </c>
      <c r="BL21" s="11" t="s">
        <v>1326</v>
      </c>
      <c r="BM21" s="11" t="s">
        <v>8085</v>
      </c>
      <c r="BN21" s="11" t="s">
        <v>74</v>
      </c>
      <c r="BO21" s="11" t="s">
        <v>422</v>
      </c>
      <c r="BP21" s="11" t="s">
        <v>74</v>
      </c>
      <c r="BQ21" s="11" t="s">
        <v>74</v>
      </c>
      <c r="BR21" s="11" t="s">
        <v>12946</v>
      </c>
      <c r="BS21" s="11" t="s">
        <v>8086</v>
      </c>
      <c r="BT21" s="11">
        <v>0</v>
      </c>
    </row>
    <row r="22" spans="1:72" x14ac:dyDescent="0.25">
      <c r="A22" s="11" t="s">
        <v>72</v>
      </c>
      <c r="B22" s="11" t="s">
        <v>12001</v>
      </c>
      <c r="C22" s="11" t="s">
        <v>74</v>
      </c>
      <c r="D22" s="11" t="s">
        <v>74</v>
      </c>
      <c r="E22" s="11" t="s">
        <v>74</v>
      </c>
      <c r="F22" s="11" t="s">
        <v>12002</v>
      </c>
      <c r="G22" s="11" t="s">
        <v>74</v>
      </c>
      <c r="H22" s="11" t="s">
        <v>74</v>
      </c>
      <c r="I22" s="11" t="s">
        <v>12003</v>
      </c>
      <c r="J22" s="11" t="s">
        <v>12004</v>
      </c>
      <c r="K22" s="11" t="s">
        <v>74</v>
      </c>
      <c r="L22" s="11" t="s">
        <v>74</v>
      </c>
      <c r="M22" s="11" t="s">
        <v>78</v>
      </c>
      <c r="N22" s="11" t="s">
        <v>79</v>
      </c>
      <c r="O22" s="11" t="s">
        <v>74</v>
      </c>
      <c r="P22" s="11" t="s">
        <v>74</v>
      </c>
      <c r="Q22" s="11" t="s">
        <v>74</v>
      </c>
      <c r="R22" s="11" t="s">
        <v>74</v>
      </c>
      <c r="S22" s="11" t="s">
        <v>74</v>
      </c>
      <c r="T22" s="11" t="s">
        <v>12005</v>
      </c>
      <c r="U22" s="11" t="s">
        <v>12006</v>
      </c>
      <c r="V22" s="11" t="s">
        <v>12007</v>
      </c>
      <c r="W22" s="11" t="s">
        <v>12008</v>
      </c>
      <c r="X22" s="11" t="s">
        <v>12009</v>
      </c>
      <c r="Y22" s="11" t="s">
        <v>12010</v>
      </c>
      <c r="Z22" s="11" t="s">
        <v>12011</v>
      </c>
      <c r="AA22" s="11" t="s">
        <v>13292</v>
      </c>
      <c r="AB22" s="11" t="s">
        <v>13293</v>
      </c>
      <c r="AC22" s="11" t="s">
        <v>74</v>
      </c>
      <c r="AD22" s="11" t="s">
        <v>74</v>
      </c>
      <c r="AE22" s="11" t="s">
        <v>74</v>
      </c>
      <c r="AF22" s="11" t="s">
        <v>74</v>
      </c>
      <c r="AG22" s="11">
        <v>50</v>
      </c>
      <c r="AH22" s="11">
        <v>10</v>
      </c>
      <c r="AI22" s="11">
        <v>23</v>
      </c>
      <c r="AJ22" s="11">
        <v>0</v>
      </c>
      <c r="AK22" s="11">
        <v>4</v>
      </c>
      <c r="AL22" s="11" t="s">
        <v>12014</v>
      </c>
      <c r="AM22" s="11" t="s">
        <v>6354</v>
      </c>
      <c r="AN22" s="11" t="s">
        <v>12015</v>
      </c>
      <c r="AO22" s="11" t="s">
        <v>12016</v>
      </c>
      <c r="AP22" s="11" t="s">
        <v>74</v>
      </c>
      <c r="AQ22" s="11" t="s">
        <v>74</v>
      </c>
      <c r="AR22" s="11" t="s">
        <v>12017</v>
      </c>
      <c r="AS22" s="11" t="s">
        <v>12018</v>
      </c>
      <c r="AT22" s="11" t="s">
        <v>99</v>
      </c>
      <c r="AU22" s="11">
        <v>2013</v>
      </c>
      <c r="AV22" s="11" t="s">
        <v>74</v>
      </c>
      <c r="AW22" s="11">
        <v>7</v>
      </c>
      <c r="AX22" s="11" t="s">
        <v>74</v>
      </c>
      <c r="AY22" s="11" t="s">
        <v>74</v>
      </c>
      <c r="AZ22" s="11" t="s">
        <v>74</v>
      </c>
      <c r="BA22" s="11" t="s">
        <v>74</v>
      </c>
      <c r="BB22" s="11">
        <v>190</v>
      </c>
      <c r="BC22" s="11">
        <v>208</v>
      </c>
      <c r="BD22" s="11" t="s">
        <v>74</v>
      </c>
      <c r="BE22" s="11" t="s">
        <v>74</v>
      </c>
      <c r="BF22" s="11" t="s">
        <v>74</v>
      </c>
      <c r="BG22" s="11" t="s">
        <v>74</v>
      </c>
      <c r="BH22" s="11" t="s">
        <v>74</v>
      </c>
      <c r="BI22" s="11">
        <v>19</v>
      </c>
      <c r="BJ22" s="11" t="s">
        <v>1326</v>
      </c>
      <c r="BK22" s="11" t="s">
        <v>183</v>
      </c>
      <c r="BL22" s="11" t="s">
        <v>1326</v>
      </c>
      <c r="BM22" s="11" t="s">
        <v>12019</v>
      </c>
      <c r="BN22" s="11" t="s">
        <v>74</v>
      </c>
      <c r="BO22" s="11" t="s">
        <v>74</v>
      </c>
      <c r="BP22" s="11" t="s">
        <v>74</v>
      </c>
      <c r="BQ22" s="11" t="s">
        <v>74</v>
      </c>
      <c r="BR22" s="11" t="s">
        <v>12946</v>
      </c>
      <c r="BS22" s="11" t="s">
        <v>12020</v>
      </c>
      <c r="BT22" s="11">
        <v>0</v>
      </c>
    </row>
    <row r="23" spans="1:72" x14ac:dyDescent="0.25">
      <c r="A23" s="11" t="s">
        <v>72</v>
      </c>
      <c r="B23" s="11" t="s">
        <v>9240</v>
      </c>
      <c r="C23" s="11" t="s">
        <v>74</v>
      </c>
      <c r="D23" s="11" t="s">
        <v>74</v>
      </c>
      <c r="E23" s="11" t="s">
        <v>74</v>
      </c>
      <c r="F23" s="11" t="s">
        <v>9241</v>
      </c>
      <c r="G23" s="11" t="s">
        <v>74</v>
      </c>
      <c r="H23" s="11" t="s">
        <v>74</v>
      </c>
      <c r="I23" s="11" t="s">
        <v>9242</v>
      </c>
      <c r="J23" s="11" t="s">
        <v>6645</v>
      </c>
      <c r="K23" s="11" t="s">
        <v>74</v>
      </c>
      <c r="L23" s="11" t="s">
        <v>74</v>
      </c>
      <c r="M23" s="11" t="s">
        <v>78</v>
      </c>
      <c r="N23" s="11" t="s">
        <v>79</v>
      </c>
      <c r="O23" s="11" t="s">
        <v>74</v>
      </c>
      <c r="P23" s="11" t="s">
        <v>74</v>
      </c>
      <c r="Q23" s="11" t="s">
        <v>74</v>
      </c>
      <c r="R23" s="11" t="s">
        <v>74</v>
      </c>
      <c r="S23" s="11" t="s">
        <v>74</v>
      </c>
      <c r="T23" s="11" t="s">
        <v>9243</v>
      </c>
      <c r="U23" s="11" t="s">
        <v>74</v>
      </c>
      <c r="V23" s="11" t="s">
        <v>9244</v>
      </c>
      <c r="W23" s="11" t="s">
        <v>9245</v>
      </c>
      <c r="X23" s="11" t="s">
        <v>9246</v>
      </c>
      <c r="Y23" s="11" t="s">
        <v>9247</v>
      </c>
      <c r="Z23" s="11" t="s">
        <v>9248</v>
      </c>
      <c r="AA23" s="11" t="s">
        <v>9249</v>
      </c>
      <c r="AB23" s="11" t="s">
        <v>74</v>
      </c>
      <c r="AC23" s="11" t="s">
        <v>74</v>
      </c>
      <c r="AD23" s="11" t="s">
        <v>74</v>
      </c>
      <c r="AE23" s="11" t="s">
        <v>74</v>
      </c>
      <c r="AF23" s="11" t="s">
        <v>74</v>
      </c>
      <c r="AG23" s="11">
        <v>46</v>
      </c>
      <c r="AH23" s="11">
        <v>9</v>
      </c>
      <c r="AI23" s="11">
        <v>9</v>
      </c>
      <c r="AJ23" s="11">
        <v>1</v>
      </c>
      <c r="AK23" s="11">
        <v>22</v>
      </c>
      <c r="AL23" s="11" t="s">
        <v>121</v>
      </c>
      <c r="AM23" s="11" t="s">
        <v>122</v>
      </c>
      <c r="AN23" s="11" t="s">
        <v>123</v>
      </c>
      <c r="AO23" s="11" t="s">
        <v>6655</v>
      </c>
      <c r="AP23" s="11" t="s">
        <v>6656</v>
      </c>
      <c r="AQ23" s="11" t="s">
        <v>74</v>
      </c>
      <c r="AR23" s="11" t="s">
        <v>6657</v>
      </c>
      <c r="AS23" s="11" t="s">
        <v>6658</v>
      </c>
      <c r="AT23" s="11" t="s">
        <v>1683</v>
      </c>
      <c r="AU23" s="11">
        <v>2019</v>
      </c>
      <c r="AV23" s="11">
        <v>24</v>
      </c>
      <c r="AW23" s="11">
        <v>2</v>
      </c>
      <c r="AX23" s="11" t="s">
        <v>74</v>
      </c>
      <c r="AY23" s="11" t="s">
        <v>74</v>
      </c>
      <c r="AZ23" s="11" t="s">
        <v>74</v>
      </c>
      <c r="BA23" s="11" t="s">
        <v>74</v>
      </c>
      <c r="BB23" s="11">
        <v>1073</v>
      </c>
      <c r="BC23" s="11">
        <v>1088</v>
      </c>
      <c r="BD23" s="11" t="s">
        <v>74</v>
      </c>
      <c r="BE23" s="11" t="s">
        <v>9250</v>
      </c>
      <c r="BF23" s="11">
        <v>0</v>
      </c>
      <c r="BG23" s="11" t="s">
        <v>74</v>
      </c>
      <c r="BH23" s="11" t="s">
        <v>74</v>
      </c>
      <c r="BI23" s="11">
        <v>16</v>
      </c>
      <c r="BJ23" s="11" t="s">
        <v>1326</v>
      </c>
      <c r="BK23" s="11" t="s">
        <v>156</v>
      </c>
      <c r="BL23" s="11" t="s">
        <v>1326</v>
      </c>
      <c r="BM23" s="11" t="s">
        <v>9251</v>
      </c>
      <c r="BN23" s="11" t="s">
        <v>74</v>
      </c>
      <c r="BO23" s="11" t="s">
        <v>2805</v>
      </c>
      <c r="BP23" s="11" t="s">
        <v>74</v>
      </c>
      <c r="BQ23" s="11" t="s">
        <v>74</v>
      </c>
      <c r="BR23" s="11" t="s">
        <v>12946</v>
      </c>
      <c r="BS23" s="11" t="s">
        <v>9252</v>
      </c>
      <c r="BT23" s="11">
        <v>0</v>
      </c>
    </row>
    <row r="24" spans="1:72" x14ac:dyDescent="0.25">
      <c r="A24" s="11" t="s">
        <v>72</v>
      </c>
      <c r="B24" s="11" t="s">
        <v>10064</v>
      </c>
      <c r="C24" s="11" t="s">
        <v>74</v>
      </c>
      <c r="D24" s="11" t="s">
        <v>74</v>
      </c>
      <c r="E24" s="11" t="s">
        <v>74</v>
      </c>
      <c r="F24" s="11" t="s">
        <v>10065</v>
      </c>
      <c r="G24" s="11" t="s">
        <v>74</v>
      </c>
      <c r="H24" s="11" t="s">
        <v>74</v>
      </c>
      <c r="I24" s="11" t="s">
        <v>10066</v>
      </c>
      <c r="J24" s="11" t="s">
        <v>10067</v>
      </c>
      <c r="K24" s="11" t="s">
        <v>74</v>
      </c>
      <c r="L24" s="11" t="s">
        <v>74</v>
      </c>
      <c r="M24" s="11" t="s">
        <v>78</v>
      </c>
      <c r="N24" s="11" t="s">
        <v>79</v>
      </c>
      <c r="O24" s="11" t="s">
        <v>74</v>
      </c>
      <c r="P24" s="11" t="s">
        <v>74</v>
      </c>
      <c r="Q24" s="11" t="s">
        <v>74</v>
      </c>
      <c r="R24" s="11" t="s">
        <v>74</v>
      </c>
      <c r="S24" s="11" t="s">
        <v>74</v>
      </c>
      <c r="T24" s="11" t="s">
        <v>10068</v>
      </c>
      <c r="U24" s="11" t="s">
        <v>10069</v>
      </c>
      <c r="V24" s="11" t="s">
        <v>10070</v>
      </c>
      <c r="W24" s="11" t="s">
        <v>10071</v>
      </c>
      <c r="X24" s="11" t="s">
        <v>10072</v>
      </c>
      <c r="Y24" s="11" t="s">
        <v>10073</v>
      </c>
      <c r="Z24" s="11" t="s">
        <v>10074</v>
      </c>
      <c r="AA24" s="11" t="s">
        <v>10075</v>
      </c>
      <c r="AB24" s="11" t="s">
        <v>10076</v>
      </c>
      <c r="AC24" s="11" t="s">
        <v>74</v>
      </c>
      <c r="AD24" s="11" t="s">
        <v>74</v>
      </c>
      <c r="AE24" s="11" t="s">
        <v>74</v>
      </c>
      <c r="AF24" s="11" t="s">
        <v>74</v>
      </c>
      <c r="AG24" s="11">
        <v>84</v>
      </c>
      <c r="AH24" s="11">
        <v>9</v>
      </c>
      <c r="AI24" s="11">
        <v>9</v>
      </c>
      <c r="AJ24" s="11">
        <v>0</v>
      </c>
      <c r="AK24" s="11">
        <v>6</v>
      </c>
      <c r="AL24" s="11" t="s">
        <v>492</v>
      </c>
      <c r="AM24" s="11" t="s">
        <v>493</v>
      </c>
      <c r="AN24" s="11" t="s">
        <v>494</v>
      </c>
      <c r="AO24" s="11" t="s">
        <v>10077</v>
      </c>
      <c r="AP24" s="11" t="s">
        <v>10078</v>
      </c>
      <c r="AQ24" s="11" t="s">
        <v>74</v>
      </c>
      <c r="AR24" s="11" t="s">
        <v>10079</v>
      </c>
      <c r="AS24" s="11" t="s">
        <v>10080</v>
      </c>
      <c r="AT24" s="11" t="s">
        <v>74</v>
      </c>
      <c r="AU24" s="11">
        <v>2018</v>
      </c>
      <c r="AV24" s="11">
        <v>22</v>
      </c>
      <c r="AW24" s="11">
        <v>3</v>
      </c>
      <c r="AX24" s="11" t="s">
        <v>74</v>
      </c>
      <c r="AY24" s="11" t="s">
        <v>74</v>
      </c>
      <c r="AZ24" s="11" t="s">
        <v>74</v>
      </c>
      <c r="BA24" s="11" t="s">
        <v>74</v>
      </c>
      <c r="BB24" s="11">
        <v>185</v>
      </c>
      <c r="BC24" s="11">
        <v>204</v>
      </c>
      <c r="BD24" s="11" t="s">
        <v>74</v>
      </c>
      <c r="BE24" s="11" t="s">
        <v>10081</v>
      </c>
      <c r="BF24" s="11">
        <v>0</v>
      </c>
      <c r="BG24" s="11" t="s">
        <v>74</v>
      </c>
      <c r="BH24" s="11" t="s">
        <v>74</v>
      </c>
      <c r="BI24" s="11">
        <v>20</v>
      </c>
      <c r="BJ24" s="11" t="s">
        <v>942</v>
      </c>
      <c r="BK24" s="11" t="s">
        <v>183</v>
      </c>
      <c r="BL24" s="11" t="s">
        <v>943</v>
      </c>
      <c r="BM24" s="11" t="s">
        <v>10082</v>
      </c>
      <c r="BN24" s="11" t="s">
        <v>74</v>
      </c>
      <c r="BO24" s="11" t="s">
        <v>74</v>
      </c>
      <c r="BP24" s="11" t="s">
        <v>74</v>
      </c>
      <c r="BQ24" s="11" t="s">
        <v>74</v>
      </c>
      <c r="BR24" s="11" t="s">
        <v>12946</v>
      </c>
      <c r="BS24" s="11" t="s">
        <v>10083</v>
      </c>
      <c r="BT24" s="11">
        <v>0</v>
      </c>
    </row>
    <row r="25" spans="1:72" x14ac:dyDescent="0.25">
      <c r="A25" s="11" t="s">
        <v>72</v>
      </c>
      <c r="B25" s="11" t="s">
        <v>1885</v>
      </c>
      <c r="C25" s="11" t="s">
        <v>74</v>
      </c>
      <c r="D25" s="11" t="s">
        <v>74</v>
      </c>
      <c r="E25" s="11" t="s">
        <v>74</v>
      </c>
      <c r="F25" s="11" t="s">
        <v>1886</v>
      </c>
      <c r="G25" s="11" t="s">
        <v>74</v>
      </c>
      <c r="H25" s="11" t="s">
        <v>74</v>
      </c>
      <c r="I25" s="11" t="s">
        <v>1887</v>
      </c>
      <c r="J25" s="11" t="s">
        <v>1888</v>
      </c>
      <c r="K25" s="11" t="s">
        <v>74</v>
      </c>
      <c r="L25" s="11" t="s">
        <v>74</v>
      </c>
      <c r="M25" s="11" t="s">
        <v>78</v>
      </c>
      <c r="N25" s="11" t="s">
        <v>79</v>
      </c>
      <c r="O25" s="11" t="s">
        <v>74</v>
      </c>
      <c r="P25" s="11" t="s">
        <v>74</v>
      </c>
      <c r="Q25" s="11" t="s">
        <v>74</v>
      </c>
      <c r="R25" s="11" t="s">
        <v>74</v>
      </c>
      <c r="S25" s="11" t="s">
        <v>74</v>
      </c>
      <c r="T25" s="11" t="s">
        <v>1889</v>
      </c>
      <c r="U25" s="11" t="s">
        <v>1890</v>
      </c>
      <c r="V25" s="11" t="s">
        <v>1891</v>
      </c>
      <c r="W25" s="11" t="s">
        <v>1892</v>
      </c>
      <c r="X25" s="11" t="s">
        <v>1893</v>
      </c>
      <c r="Y25" s="11" t="s">
        <v>1894</v>
      </c>
      <c r="Z25" s="11" t="s">
        <v>1895</v>
      </c>
      <c r="AA25" s="11" t="s">
        <v>13294</v>
      </c>
      <c r="AB25" s="11" t="s">
        <v>13295</v>
      </c>
      <c r="AC25" s="11" t="s">
        <v>1898</v>
      </c>
      <c r="AD25" s="11" t="s">
        <v>1899</v>
      </c>
      <c r="AE25" s="11" t="s">
        <v>1900</v>
      </c>
      <c r="AF25" s="11" t="s">
        <v>74</v>
      </c>
      <c r="AG25" s="11">
        <v>50</v>
      </c>
      <c r="AH25" s="11">
        <v>8</v>
      </c>
      <c r="AI25" s="11">
        <v>8</v>
      </c>
      <c r="AJ25" s="11">
        <v>12</v>
      </c>
      <c r="AK25" s="11">
        <v>41</v>
      </c>
      <c r="AL25" s="11" t="s">
        <v>202</v>
      </c>
      <c r="AM25" s="11" t="s">
        <v>203</v>
      </c>
      <c r="AN25" s="11" t="s">
        <v>204</v>
      </c>
      <c r="AO25" s="11" t="s">
        <v>74</v>
      </c>
      <c r="AP25" s="11" t="s">
        <v>1901</v>
      </c>
      <c r="AQ25" s="11" t="s">
        <v>74</v>
      </c>
      <c r="AR25" s="11" t="s">
        <v>1902</v>
      </c>
      <c r="AS25" s="11" t="s">
        <v>1903</v>
      </c>
      <c r="AT25" s="11" t="s">
        <v>1904</v>
      </c>
      <c r="AU25" s="11">
        <v>2023</v>
      </c>
      <c r="AV25" s="11">
        <v>13</v>
      </c>
      <c r="AW25" s="11">
        <v>2</v>
      </c>
      <c r="AX25" s="11" t="s">
        <v>74</v>
      </c>
      <c r="AY25" s="11" t="s">
        <v>74</v>
      </c>
      <c r="AZ25" s="11" t="s">
        <v>74</v>
      </c>
      <c r="BA25" s="11" t="s">
        <v>74</v>
      </c>
      <c r="BB25" s="11" t="s">
        <v>74</v>
      </c>
      <c r="BC25" s="11" t="s">
        <v>74</v>
      </c>
      <c r="BD25" s="11">
        <v>44</v>
      </c>
      <c r="BE25" s="11" t="s">
        <v>1905</v>
      </c>
      <c r="BF25" s="11">
        <v>0</v>
      </c>
      <c r="BG25" s="11" t="s">
        <v>74</v>
      </c>
      <c r="BH25" s="11" t="s">
        <v>74</v>
      </c>
      <c r="BI25" s="11">
        <v>17</v>
      </c>
      <c r="BJ25" s="11" t="s">
        <v>315</v>
      </c>
      <c r="BK25" s="11" t="s">
        <v>183</v>
      </c>
      <c r="BL25" s="11" t="s">
        <v>265</v>
      </c>
      <c r="BM25" s="11" t="s">
        <v>1906</v>
      </c>
      <c r="BN25" s="11" t="s">
        <v>74</v>
      </c>
      <c r="BO25" s="11" t="s">
        <v>422</v>
      </c>
      <c r="BP25" s="11" t="s">
        <v>74</v>
      </c>
      <c r="BQ25" s="11" t="s">
        <v>74</v>
      </c>
      <c r="BR25" s="11" t="s">
        <v>12946</v>
      </c>
      <c r="BS25" s="11" t="s">
        <v>1907</v>
      </c>
      <c r="BT25" s="11">
        <v>0</v>
      </c>
    </row>
    <row r="26" spans="1:72" x14ac:dyDescent="0.25">
      <c r="A26" s="11" t="s">
        <v>7120</v>
      </c>
      <c r="B26" s="11" t="s">
        <v>12207</v>
      </c>
      <c r="C26" s="11" t="s">
        <v>74</v>
      </c>
      <c r="D26" s="11" t="s">
        <v>12208</v>
      </c>
      <c r="E26" s="11" t="s">
        <v>74</v>
      </c>
      <c r="F26" s="11" t="s">
        <v>12209</v>
      </c>
      <c r="G26" s="11" t="s">
        <v>74</v>
      </c>
      <c r="H26" s="11" t="s">
        <v>74</v>
      </c>
      <c r="I26" s="11" t="s">
        <v>12210</v>
      </c>
      <c r="J26" s="11" t="s">
        <v>12211</v>
      </c>
      <c r="K26" s="11" t="s">
        <v>12212</v>
      </c>
      <c r="L26" s="11" t="s">
        <v>74</v>
      </c>
      <c r="M26" s="11" t="s">
        <v>78</v>
      </c>
      <c r="N26" s="11" t="s">
        <v>4932</v>
      </c>
      <c r="O26" s="11" t="s">
        <v>74</v>
      </c>
      <c r="P26" s="11" t="s">
        <v>74</v>
      </c>
      <c r="Q26" s="11" t="s">
        <v>74</v>
      </c>
      <c r="R26" s="11" t="s">
        <v>74</v>
      </c>
      <c r="S26" s="11" t="s">
        <v>74</v>
      </c>
      <c r="T26" s="11" t="s">
        <v>12213</v>
      </c>
      <c r="U26" s="11" t="s">
        <v>12214</v>
      </c>
      <c r="V26" s="11" t="s">
        <v>12215</v>
      </c>
      <c r="W26" s="11" t="s">
        <v>12216</v>
      </c>
      <c r="X26" s="11" t="s">
        <v>12217</v>
      </c>
      <c r="Y26" s="11" t="s">
        <v>12218</v>
      </c>
      <c r="Z26" s="11" t="s">
        <v>74</v>
      </c>
      <c r="AA26" s="11" t="s">
        <v>74</v>
      </c>
      <c r="AB26" s="11" t="s">
        <v>74</v>
      </c>
      <c r="AC26" s="11" t="s">
        <v>74</v>
      </c>
      <c r="AD26" s="11" t="s">
        <v>74</v>
      </c>
      <c r="AE26" s="11" t="s">
        <v>74</v>
      </c>
      <c r="AF26" s="11" t="s">
        <v>74</v>
      </c>
      <c r="AG26" s="11">
        <v>47</v>
      </c>
      <c r="AH26" s="11">
        <v>8</v>
      </c>
      <c r="AI26" s="11">
        <v>11</v>
      </c>
      <c r="AJ26" s="11">
        <v>1</v>
      </c>
      <c r="AK26" s="11">
        <v>6</v>
      </c>
      <c r="AL26" s="11" t="s">
        <v>715</v>
      </c>
      <c r="AM26" s="11" t="s">
        <v>716</v>
      </c>
      <c r="AN26" s="11" t="s">
        <v>9298</v>
      </c>
      <c r="AO26" s="11" t="s">
        <v>12219</v>
      </c>
      <c r="AP26" s="11" t="s">
        <v>74</v>
      </c>
      <c r="AQ26" s="11" t="s">
        <v>12220</v>
      </c>
      <c r="AR26" s="11" t="s">
        <v>12221</v>
      </c>
      <c r="AS26" s="11" t="s">
        <v>74</v>
      </c>
      <c r="AT26" s="11" t="s">
        <v>74</v>
      </c>
      <c r="AU26" s="11">
        <v>2013</v>
      </c>
      <c r="AV26" s="11">
        <v>3</v>
      </c>
      <c r="AW26" s="11" t="s">
        <v>74</v>
      </c>
      <c r="AX26" s="11" t="s">
        <v>74</v>
      </c>
      <c r="AY26" s="11" t="s">
        <v>74</v>
      </c>
      <c r="AZ26" s="11" t="s">
        <v>74</v>
      </c>
      <c r="BA26" s="11" t="s">
        <v>74</v>
      </c>
      <c r="BB26" s="11">
        <v>79</v>
      </c>
      <c r="BC26" s="11">
        <v>97</v>
      </c>
      <c r="BD26" s="11" t="s">
        <v>74</v>
      </c>
      <c r="BE26" s="11" t="s">
        <v>12222</v>
      </c>
      <c r="BF26" s="11">
        <v>0</v>
      </c>
      <c r="BG26" s="11" t="s">
        <v>12223</v>
      </c>
      <c r="BH26" s="11" t="s">
        <v>74</v>
      </c>
      <c r="BI26" s="11">
        <v>19</v>
      </c>
      <c r="BJ26" s="11" t="s">
        <v>12224</v>
      </c>
      <c r="BK26" s="11" t="s">
        <v>4943</v>
      </c>
      <c r="BL26" s="11" t="s">
        <v>1326</v>
      </c>
      <c r="BM26" s="11" t="s">
        <v>12225</v>
      </c>
      <c r="BN26" s="11" t="s">
        <v>74</v>
      </c>
      <c r="BO26" s="11" t="s">
        <v>74</v>
      </c>
      <c r="BP26" s="11" t="s">
        <v>74</v>
      </c>
      <c r="BQ26" s="11" t="s">
        <v>74</v>
      </c>
      <c r="BR26" s="11" t="s">
        <v>12946</v>
      </c>
      <c r="BS26" s="11" t="s">
        <v>12226</v>
      </c>
      <c r="BT26" s="11">
        <v>0</v>
      </c>
    </row>
    <row r="27" spans="1:72" x14ac:dyDescent="0.25">
      <c r="A27" s="11" t="s">
        <v>72</v>
      </c>
      <c r="B27" s="11" t="s">
        <v>7584</v>
      </c>
      <c r="C27" s="11" t="s">
        <v>74</v>
      </c>
      <c r="D27" s="11" t="s">
        <v>74</v>
      </c>
      <c r="E27" s="11" t="s">
        <v>74</v>
      </c>
      <c r="F27" s="11" t="s">
        <v>7585</v>
      </c>
      <c r="G27" s="11" t="s">
        <v>74</v>
      </c>
      <c r="H27" s="11" t="s">
        <v>74</v>
      </c>
      <c r="I27" s="11" t="s">
        <v>7586</v>
      </c>
      <c r="J27" s="11" t="s">
        <v>191</v>
      </c>
      <c r="K27" s="11" t="s">
        <v>74</v>
      </c>
      <c r="L27" s="11" t="s">
        <v>74</v>
      </c>
      <c r="M27" s="11" t="s">
        <v>78</v>
      </c>
      <c r="N27" s="11" t="s">
        <v>79</v>
      </c>
      <c r="O27" s="11" t="s">
        <v>74</v>
      </c>
      <c r="P27" s="11" t="s">
        <v>74</v>
      </c>
      <c r="Q27" s="11" t="s">
        <v>74</v>
      </c>
      <c r="R27" s="11" t="s">
        <v>74</v>
      </c>
      <c r="S27" s="11" t="s">
        <v>74</v>
      </c>
      <c r="T27" s="11" t="s">
        <v>7587</v>
      </c>
      <c r="U27" s="11" t="s">
        <v>74</v>
      </c>
      <c r="V27" s="11" t="s">
        <v>7588</v>
      </c>
      <c r="W27" s="11" t="s">
        <v>7589</v>
      </c>
      <c r="X27" s="11" t="s">
        <v>7590</v>
      </c>
      <c r="Y27" s="11" t="s">
        <v>7591</v>
      </c>
      <c r="Z27" s="11" t="s">
        <v>7592</v>
      </c>
      <c r="AA27" s="11" t="s">
        <v>13296</v>
      </c>
      <c r="AB27" s="11" t="s">
        <v>13297</v>
      </c>
      <c r="AC27" s="11" t="s">
        <v>74</v>
      </c>
      <c r="AD27" s="11" t="s">
        <v>74</v>
      </c>
      <c r="AE27" s="11" t="s">
        <v>74</v>
      </c>
      <c r="AF27" s="11" t="s">
        <v>74</v>
      </c>
      <c r="AG27" s="11">
        <v>41</v>
      </c>
      <c r="AH27" s="11">
        <v>7</v>
      </c>
      <c r="AI27" s="11">
        <v>7</v>
      </c>
      <c r="AJ27" s="11">
        <v>1</v>
      </c>
      <c r="AK27" s="11">
        <v>7</v>
      </c>
      <c r="AL27" s="11" t="s">
        <v>202</v>
      </c>
      <c r="AM27" s="11" t="s">
        <v>203</v>
      </c>
      <c r="AN27" s="11" t="s">
        <v>204</v>
      </c>
      <c r="AO27" s="11" t="s">
        <v>74</v>
      </c>
      <c r="AP27" s="11" t="s">
        <v>205</v>
      </c>
      <c r="AQ27" s="11" t="s">
        <v>74</v>
      </c>
      <c r="AR27" s="11" t="s">
        <v>206</v>
      </c>
      <c r="AS27" s="11" t="s">
        <v>207</v>
      </c>
      <c r="AT27" s="11" t="s">
        <v>476</v>
      </c>
      <c r="AU27" s="11">
        <v>2020</v>
      </c>
      <c r="AV27" s="11">
        <v>12</v>
      </c>
      <c r="AW27" s="11">
        <v>23</v>
      </c>
      <c r="AX27" s="11" t="s">
        <v>74</v>
      </c>
      <c r="AY27" s="11" t="s">
        <v>74</v>
      </c>
      <c r="AZ27" s="11" t="s">
        <v>74</v>
      </c>
      <c r="BA27" s="11" t="s">
        <v>74</v>
      </c>
      <c r="BB27" s="11" t="s">
        <v>74</v>
      </c>
      <c r="BC27" s="11" t="s">
        <v>74</v>
      </c>
      <c r="BD27" s="11">
        <v>9877</v>
      </c>
      <c r="BE27" s="11" t="s">
        <v>7595</v>
      </c>
      <c r="BF27" s="11">
        <v>0</v>
      </c>
      <c r="BG27" s="11" t="s">
        <v>74</v>
      </c>
      <c r="BH27" s="11" t="s">
        <v>74</v>
      </c>
      <c r="BI27" s="11">
        <v>11</v>
      </c>
      <c r="BJ27" s="11" t="s">
        <v>210</v>
      </c>
      <c r="BK27" s="11" t="s">
        <v>211</v>
      </c>
      <c r="BL27" s="11" t="s">
        <v>212</v>
      </c>
      <c r="BM27" s="11" t="s">
        <v>7596</v>
      </c>
      <c r="BN27" s="11" t="s">
        <v>74</v>
      </c>
      <c r="BO27" s="11" t="s">
        <v>614</v>
      </c>
      <c r="BP27" s="11" t="s">
        <v>74</v>
      </c>
      <c r="BQ27" s="11" t="s">
        <v>74</v>
      </c>
      <c r="BR27" s="11" t="s">
        <v>12946</v>
      </c>
      <c r="BS27" s="11" t="s">
        <v>7597</v>
      </c>
      <c r="BT27" s="11">
        <v>0</v>
      </c>
    </row>
    <row r="28" spans="1:72" x14ac:dyDescent="0.25">
      <c r="A28" s="11" t="s">
        <v>72</v>
      </c>
      <c r="B28" s="11" t="s">
        <v>11570</v>
      </c>
      <c r="C28" s="11" t="s">
        <v>74</v>
      </c>
      <c r="D28" s="11" t="s">
        <v>74</v>
      </c>
      <c r="E28" s="11" t="s">
        <v>74</v>
      </c>
      <c r="F28" s="11" t="s">
        <v>11571</v>
      </c>
      <c r="G28" s="11" t="s">
        <v>74</v>
      </c>
      <c r="H28" s="11" t="s">
        <v>74</v>
      </c>
      <c r="I28" s="11" t="s">
        <v>11572</v>
      </c>
      <c r="J28" s="11" t="s">
        <v>6447</v>
      </c>
      <c r="K28" s="11" t="s">
        <v>74</v>
      </c>
      <c r="L28" s="11" t="s">
        <v>74</v>
      </c>
      <c r="M28" s="11" t="s">
        <v>78</v>
      </c>
      <c r="N28" s="11" t="s">
        <v>79</v>
      </c>
      <c r="O28" s="11" t="s">
        <v>74</v>
      </c>
      <c r="P28" s="11" t="s">
        <v>74</v>
      </c>
      <c r="Q28" s="11" t="s">
        <v>74</v>
      </c>
      <c r="R28" s="11" t="s">
        <v>74</v>
      </c>
      <c r="S28" s="11" t="s">
        <v>74</v>
      </c>
      <c r="T28" s="11" t="s">
        <v>11573</v>
      </c>
      <c r="U28" s="11" t="s">
        <v>11574</v>
      </c>
      <c r="V28" s="11" t="s">
        <v>11575</v>
      </c>
      <c r="W28" s="11" t="s">
        <v>11576</v>
      </c>
      <c r="X28" s="11" t="s">
        <v>11577</v>
      </c>
      <c r="Y28" s="11" t="s">
        <v>11578</v>
      </c>
      <c r="Z28" s="11" t="s">
        <v>11579</v>
      </c>
      <c r="AA28" s="11" t="s">
        <v>13298</v>
      </c>
      <c r="AB28" s="11" t="s">
        <v>11581</v>
      </c>
      <c r="AC28" s="11" t="s">
        <v>11582</v>
      </c>
      <c r="AD28" s="11" t="s">
        <v>11582</v>
      </c>
      <c r="AE28" s="11" t="s">
        <v>11583</v>
      </c>
      <c r="AF28" s="11" t="s">
        <v>74</v>
      </c>
      <c r="AG28" s="11">
        <v>29</v>
      </c>
      <c r="AH28" s="11">
        <v>7</v>
      </c>
      <c r="AI28" s="11">
        <v>9</v>
      </c>
      <c r="AJ28" s="11">
        <v>1</v>
      </c>
      <c r="AK28" s="11">
        <v>7</v>
      </c>
      <c r="AL28" s="11" t="s">
        <v>492</v>
      </c>
      <c r="AM28" s="11" t="s">
        <v>493</v>
      </c>
      <c r="AN28" s="11" t="s">
        <v>494</v>
      </c>
      <c r="AO28" s="11" t="s">
        <v>6455</v>
      </c>
      <c r="AP28" s="11" t="s">
        <v>6456</v>
      </c>
      <c r="AQ28" s="11" t="s">
        <v>74</v>
      </c>
      <c r="AR28" s="11" t="s">
        <v>6457</v>
      </c>
      <c r="AS28" s="11" t="s">
        <v>6458</v>
      </c>
      <c r="AT28" s="11" t="s">
        <v>74</v>
      </c>
      <c r="AU28" s="11">
        <v>2015</v>
      </c>
      <c r="AV28" s="11">
        <v>34</v>
      </c>
      <c r="AW28" s="11">
        <v>4</v>
      </c>
      <c r="AX28" s="11" t="s">
        <v>74</v>
      </c>
      <c r="AY28" s="11" t="s">
        <v>74</v>
      </c>
      <c r="AZ28" s="11" t="s">
        <v>74</v>
      </c>
      <c r="BA28" s="11" t="s">
        <v>74</v>
      </c>
      <c r="BB28" s="11">
        <v>355</v>
      </c>
      <c r="BC28" s="11">
        <v>378</v>
      </c>
      <c r="BD28" s="11" t="s">
        <v>74</v>
      </c>
      <c r="BE28" s="11" t="s">
        <v>11584</v>
      </c>
      <c r="BF28" s="11">
        <v>0</v>
      </c>
      <c r="BG28" s="11" t="s">
        <v>74</v>
      </c>
      <c r="BH28" s="11" t="s">
        <v>74</v>
      </c>
      <c r="BI28" s="11">
        <v>24</v>
      </c>
      <c r="BJ28" s="11" t="s">
        <v>1326</v>
      </c>
      <c r="BK28" s="11" t="s">
        <v>156</v>
      </c>
      <c r="BL28" s="11" t="s">
        <v>1326</v>
      </c>
      <c r="BM28" s="11" t="s">
        <v>11585</v>
      </c>
      <c r="BN28" s="11" t="s">
        <v>74</v>
      </c>
      <c r="BO28" s="11" t="s">
        <v>4521</v>
      </c>
      <c r="BP28" s="11" t="s">
        <v>74</v>
      </c>
      <c r="BQ28" s="11" t="s">
        <v>74</v>
      </c>
      <c r="BR28" s="11" t="s">
        <v>12946</v>
      </c>
      <c r="BS28" s="11" t="s">
        <v>11586</v>
      </c>
      <c r="BT28" s="11">
        <v>0</v>
      </c>
    </row>
    <row r="29" spans="1:72" x14ac:dyDescent="0.25">
      <c r="A29" s="11" t="s">
        <v>72</v>
      </c>
      <c r="B29" s="11" t="s">
        <v>9191</v>
      </c>
      <c r="C29" s="11" t="s">
        <v>74</v>
      </c>
      <c r="D29" s="11" t="s">
        <v>74</v>
      </c>
      <c r="E29" s="11" t="s">
        <v>74</v>
      </c>
      <c r="F29" s="11" t="s">
        <v>9192</v>
      </c>
      <c r="G29" s="11" t="s">
        <v>74</v>
      </c>
      <c r="H29" s="11" t="s">
        <v>74</v>
      </c>
      <c r="I29" s="11" t="s">
        <v>9193</v>
      </c>
      <c r="J29" s="11" t="s">
        <v>9194</v>
      </c>
      <c r="K29" s="11" t="s">
        <v>74</v>
      </c>
      <c r="L29" s="11" t="s">
        <v>74</v>
      </c>
      <c r="M29" s="11" t="s">
        <v>1030</v>
      </c>
      <c r="N29" s="11" t="s">
        <v>79</v>
      </c>
      <c r="O29" s="11" t="s">
        <v>74</v>
      </c>
      <c r="P29" s="11" t="s">
        <v>74</v>
      </c>
      <c r="Q29" s="11" t="s">
        <v>74</v>
      </c>
      <c r="R29" s="11" t="s">
        <v>74</v>
      </c>
      <c r="S29" s="11" t="s">
        <v>74</v>
      </c>
      <c r="T29" s="11" t="s">
        <v>9195</v>
      </c>
      <c r="U29" s="11" t="s">
        <v>9196</v>
      </c>
      <c r="V29" s="11" t="s">
        <v>9197</v>
      </c>
      <c r="W29" s="11" t="s">
        <v>9198</v>
      </c>
      <c r="X29" s="11" t="s">
        <v>9199</v>
      </c>
      <c r="Y29" s="11" t="s">
        <v>9200</v>
      </c>
      <c r="Z29" s="11" t="s">
        <v>9201</v>
      </c>
      <c r="AA29" s="11" t="s">
        <v>13299</v>
      </c>
      <c r="AB29" s="11" t="s">
        <v>74</v>
      </c>
      <c r="AC29" s="11" t="s">
        <v>74</v>
      </c>
      <c r="AD29" s="11" t="s">
        <v>74</v>
      </c>
      <c r="AE29" s="11" t="s">
        <v>74</v>
      </c>
      <c r="AF29" s="11" t="s">
        <v>74</v>
      </c>
      <c r="AG29" s="11">
        <v>81</v>
      </c>
      <c r="AH29" s="11">
        <v>6</v>
      </c>
      <c r="AI29" s="11">
        <v>6</v>
      </c>
      <c r="AJ29" s="11">
        <v>2</v>
      </c>
      <c r="AK29" s="11">
        <v>26</v>
      </c>
      <c r="AL29" s="11" t="s">
        <v>644</v>
      </c>
      <c r="AM29" s="11" t="s">
        <v>645</v>
      </c>
      <c r="AN29" s="11" t="s">
        <v>646</v>
      </c>
      <c r="AO29" s="11" t="s">
        <v>9203</v>
      </c>
      <c r="AP29" s="11" t="s">
        <v>9204</v>
      </c>
      <c r="AQ29" s="11" t="s">
        <v>74</v>
      </c>
      <c r="AR29" s="11" t="s">
        <v>9205</v>
      </c>
      <c r="AS29" s="11" t="s">
        <v>9206</v>
      </c>
      <c r="AT29" s="11" t="s">
        <v>1683</v>
      </c>
      <c r="AU29" s="11">
        <v>2019</v>
      </c>
      <c r="AV29" s="11">
        <v>98</v>
      </c>
      <c r="AW29" s="11" t="s">
        <v>74</v>
      </c>
      <c r="AX29" s="11" t="s">
        <v>74</v>
      </c>
      <c r="AY29" s="11">
        <v>1</v>
      </c>
      <c r="AZ29" s="11" t="s">
        <v>74</v>
      </c>
      <c r="BA29" s="11" t="s">
        <v>74</v>
      </c>
      <c r="BB29" s="11" t="s">
        <v>9207</v>
      </c>
      <c r="BC29" s="11" t="s">
        <v>9208</v>
      </c>
      <c r="BD29" s="11" t="s">
        <v>74</v>
      </c>
      <c r="BE29" s="11" t="s">
        <v>9209</v>
      </c>
      <c r="BF29" s="11">
        <v>0</v>
      </c>
      <c r="BG29" s="11" t="s">
        <v>74</v>
      </c>
      <c r="BH29" s="11" t="s">
        <v>74</v>
      </c>
      <c r="BI29" s="11">
        <v>12</v>
      </c>
      <c r="BJ29" s="11" t="s">
        <v>9210</v>
      </c>
      <c r="BK29" s="11" t="s">
        <v>102</v>
      </c>
      <c r="BL29" s="11" t="s">
        <v>9210</v>
      </c>
      <c r="BM29" s="11" t="s">
        <v>9211</v>
      </c>
      <c r="BN29" s="11">
        <v>31096299</v>
      </c>
      <c r="BO29" s="11" t="s">
        <v>105</v>
      </c>
      <c r="BP29" s="11" t="s">
        <v>74</v>
      </c>
      <c r="BQ29" s="11" t="s">
        <v>74</v>
      </c>
      <c r="BR29" s="11" t="s">
        <v>12946</v>
      </c>
      <c r="BS29" s="11" t="s">
        <v>9212</v>
      </c>
      <c r="BT29" s="11">
        <v>0</v>
      </c>
    </row>
    <row r="30" spans="1:72" x14ac:dyDescent="0.25">
      <c r="A30" s="11" t="s">
        <v>72</v>
      </c>
      <c r="B30" s="11" t="s">
        <v>11639</v>
      </c>
      <c r="C30" s="11" t="s">
        <v>74</v>
      </c>
      <c r="D30" s="11" t="s">
        <v>74</v>
      </c>
      <c r="E30" s="11" t="s">
        <v>74</v>
      </c>
      <c r="F30" s="11" t="s">
        <v>11640</v>
      </c>
      <c r="G30" s="11" t="s">
        <v>74</v>
      </c>
      <c r="H30" s="11" t="s">
        <v>74</v>
      </c>
      <c r="I30" s="11" t="s">
        <v>11641</v>
      </c>
      <c r="J30" s="11" t="s">
        <v>11642</v>
      </c>
      <c r="K30" s="11" t="s">
        <v>74</v>
      </c>
      <c r="L30" s="11" t="s">
        <v>74</v>
      </c>
      <c r="M30" s="11" t="s">
        <v>929</v>
      </c>
      <c r="N30" s="11" t="s">
        <v>79</v>
      </c>
      <c r="O30" s="11" t="s">
        <v>74</v>
      </c>
      <c r="P30" s="11" t="s">
        <v>74</v>
      </c>
      <c r="Q30" s="11" t="s">
        <v>74</v>
      </c>
      <c r="R30" s="11" t="s">
        <v>74</v>
      </c>
      <c r="S30" s="11" t="s">
        <v>74</v>
      </c>
      <c r="T30" s="11" t="s">
        <v>11643</v>
      </c>
      <c r="U30" s="11" t="s">
        <v>74</v>
      </c>
      <c r="V30" s="11" t="s">
        <v>11644</v>
      </c>
      <c r="W30" s="11" t="s">
        <v>11645</v>
      </c>
      <c r="X30" s="11" t="s">
        <v>11646</v>
      </c>
      <c r="Y30" s="11" t="s">
        <v>11647</v>
      </c>
      <c r="Z30" s="11" t="s">
        <v>11648</v>
      </c>
      <c r="AA30" s="11" t="s">
        <v>74</v>
      </c>
      <c r="AB30" s="11" t="s">
        <v>74</v>
      </c>
      <c r="AC30" s="11" t="s">
        <v>74</v>
      </c>
      <c r="AD30" s="11" t="s">
        <v>74</v>
      </c>
      <c r="AE30" s="11" t="s">
        <v>74</v>
      </c>
      <c r="AF30" s="11" t="s">
        <v>74</v>
      </c>
      <c r="AG30" s="11">
        <v>25</v>
      </c>
      <c r="AH30" s="11">
        <v>6</v>
      </c>
      <c r="AI30" s="11">
        <v>6</v>
      </c>
      <c r="AJ30" s="11">
        <v>0</v>
      </c>
      <c r="AK30" s="11">
        <v>22</v>
      </c>
      <c r="AL30" s="11" t="s">
        <v>11649</v>
      </c>
      <c r="AM30" s="11" t="s">
        <v>11650</v>
      </c>
      <c r="AN30" s="11" t="s">
        <v>11651</v>
      </c>
      <c r="AO30" s="11" t="s">
        <v>11652</v>
      </c>
      <c r="AP30" s="11" t="s">
        <v>74</v>
      </c>
      <c r="AQ30" s="11" t="s">
        <v>74</v>
      </c>
      <c r="AR30" s="11" t="s">
        <v>11653</v>
      </c>
      <c r="AS30" s="11" t="s">
        <v>11654</v>
      </c>
      <c r="AT30" s="11" t="s">
        <v>6990</v>
      </c>
      <c r="AU30" s="11">
        <v>2015</v>
      </c>
      <c r="AV30" s="11">
        <v>60</v>
      </c>
      <c r="AW30" s="11">
        <v>223</v>
      </c>
      <c r="AX30" s="11" t="s">
        <v>74</v>
      </c>
      <c r="AY30" s="11" t="s">
        <v>74</v>
      </c>
      <c r="AZ30" s="11" t="s">
        <v>74</v>
      </c>
      <c r="BA30" s="11" t="s">
        <v>74</v>
      </c>
      <c r="BB30" s="11">
        <v>265</v>
      </c>
      <c r="BC30" s="11">
        <v>285</v>
      </c>
      <c r="BD30" s="11" t="s">
        <v>74</v>
      </c>
      <c r="BE30" s="11" t="s">
        <v>74</v>
      </c>
      <c r="BF30" s="11" t="s">
        <v>74</v>
      </c>
      <c r="BG30" s="11" t="s">
        <v>74</v>
      </c>
      <c r="BH30" s="11" t="s">
        <v>74</v>
      </c>
      <c r="BI30" s="11">
        <v>21</v>
      </c>
      <c r="BJ30" s="11" t="s">
        <v>942</v>
      </c>
      <c r="BK30" s="11" t="s">
        <v>183</v>
      </c>
      <c r="BL30" s="11" t="s">
        <v>943</v>
      </c>
      <c r="BM30" s="11" t="s">
        <v>11655</v>
      </c>
      <c r="BN30" s="11" t="s">
        <v>74</v>
      </c>
      <c r="BO30" s="11" t="s">
        <v>74</v>
      </c>
      <c r="BP30" s="11" t="s">
        <v>74</v>
      </c>
      <c r="BQ30" s="11" t="s">
        <v>74</v>
      </c>
      <c r="BR30" s="11" t="s">
        <v>12946</v>
      </c>
      <c r="BS30" s="11" t="s">
        <v>11656</v>
      </c>
      <c r="BT30" s="11">
        <v>0</v>
      </c>
    </row>
    <row r="31" spans="1:72" x14ac:dyDescent="0.25">
      <c r="A31" s="11" t="s">
        <v>72</v>
      </c>
      <c r="B31" s="11" t="s">
        <v>5332</v>
      </c>
      <c r="C31" s="11" t="s">
        <v>74</v>
      </c>
      <c r="D31" s="11" t="s">
        <v>74</v>
      </c>
      <c r="E31" s="11" t="s">
        <v>74</v>
      </c>
      <c r="F31" s="11" t="s">
        <v>5333</v>
      </c>
      <c r="G31" s="11" t="s">
        <v>74</v>
      </c>
      <c r="H31" s="11" t="s">
        <v>74</v>
      </c>
      <c r="I31" s="11" t="s">
        <v>5334</v>
      </c>
      <c r="J31" s="11" t="s">
        <v>4043</v>
      </c>
      <c r="K31" s="11" t="s">
        <v>74</v>
      </c>
      <c r="L31" s="11" t="s">
        <v>74</v>
      </c>
      <c r="M31" s="11" t="s">
        <v>78</v>
      </c>
      <c r="N31" s="11" t="s">
        <v>79</v>
      </c>
      <c r="O31" s="11" t="s">
        <v>74</v>
      </c>
      <c r="P31" s="11" t="s">
        <v>74</v>
      </c>
      <c r="Q31" s="11" t="s">
        <v>74</v>
      </c>
      <c r="R31" s="11" t="s">
        <v>74</v>
      </c>
      <c r="S31" s="11" t="s">
        <v>74</v>
      </c>
      <c r="T31" s="11" t="s">
        <v>5335</v>
      </c>
      <c r="U31" s="11" t="s">
        <v>13180</v>
      </c>
      <c r="V31" s="11" t="s">
        <v>5336</v>
      </c>
      <c r="W31" s="11" t="s">
        <v>5337</v>
      </c>
      <c r="X31" s="11" t="s">
        <v>5338</v>
      </c>
      <c r="Y31" s="11" t="s">
        <v>5339</v>
      </c>
      <c r="Z31" s="11" t="s">
        <v>5340</v>
      </c>
      <c r="AA31" s="11" t="s">
        <v>13181</v>
      </c>
      <c r="AB31" s="11" t="s">
        <v>13182</v>
      </c>
      <c r="AC31" s="11" t="s">
        <v>5343</v>
      </c>
      <c r="AD31" s="11" t="s">
        <v>5343</v>
      </c>
      <c r="AE31" s="11" t="s">
        <v>5344</v>
      </c>
      <c r="AF31" s="11" t="s">
        <v>74</v>
      </c>
      <c r="AG31" s="11">
        <v>254</v>
      </c>
      <c r="AH31" s="11">
        <v>5</v>
      </c>
      <c r="AI31" s="11">
        <v>5</v>
      </c>
      <c r="AJ31" s="11">
        <v>1</v>
      </c>
      <c r="AK31" s="11">
        <v>1</v>
      </c>
      <c r="AL31" s="11" t="s">
        <v>1382</v>
      </c>
      <c r="AM31" s="11" t="s">
        <v>1383</v>
      </c>
      <c r="AN31" s="11" t="s">
        <v>1384</v>
      </c>
      <c r="AO31" s="11" t="s">
        <v>4055</v>
      </c>
      <c r="AP31" s="11" t="s">
        <v>74</v>
      </c>
      <c r="AQ31" s="11" t="s">
        <v>74</v>
      </c>
      <c r="AR31" s="11" t="s">
        <v>4056</v>
      </c>
      <c r="AS31" s="11" t="s">
        <v>4057</v>
      </c>
      <c r="AT31" s="11" t="s">
        <v>5345</v>
      </c>
      <c r="AU31" s="11">
        <v>2021</v>
      </c>
      <c r="AV31" s="11">
        <v>12</v>
      </c>
      <c r="AW31" s="11" t="s">
        <v>74</v>
      </c>
      <c r="AX31" s="11" t="s">
        <v>74</v>
      </c>
      <c r="AY31" s="11" t="s">
        <v>74</v>
      </c>
      <c r="AZ31" s="11" t="s">
        <v>74</v>
      </c>
      <c r="BA31" s="11" t="s">
        <v>74</v>
      </c>
      <c r="BB31" s="11" t="s">
        <v>74</v>
      </c>
      <c r="BC31" s="11" t="s">
        <v>74</v>
      </c>
      <c r="BD31" s="11">
        <v>746477</v>
      </c>
      <c r="BE31" s="11" t="s">
        <v>5346</v>
      </c>
      <c r="BF31" s="11">
        <v>0</v>
      </c>
      <c r="BG31" s="11" t="s">
        <v>74</v>
      </c>
      <c r="BH31" s="11" t="s">
        <v>74</v>
      </c>
      <c r="BI31" s="11">
        <v>23</v>
      </c>
      <c r="BJ31" s="11" t="s">
        <v>4060</v>
      </c>
      <c r="BK31" s="11" t="s">
        <v>211</v>
      </c>
      <c r="BL31" s="11" t="s">
        <v>4060</v>
      </c>
      <c r="BM31" s="11" t="s">
        <v>5347</v>
      </c>
      <c r="BN31" s="11">
        <v>34975566</v>
      </c>
      <c r="BO31" s="11" t="s">
        <v>614</v>
      </c>
      <c r="BP31" s="11" t="s">
        <v>74</v>
      </c>
      <c r="BQ31" s="11" t="s">
        <v>74</v>
      </c>
      <c r="BR31" s="11" t="s">
        <v>12946</v>
      </c>
      <c r="BS31" s="11" t="s">
        <v>5348</v>
      </c>
      <c r="BT31" s="11">
        <v>0</v>
      </c>
    </row>
    <row r="32" spans="1:72" x14ac:dyDescent="0.25">
      <c r="A32" s="11" t="s">
        <v>72</v>
      </c>
      <c r="B32" s="11" t="s">
        <v>6444</v>
      </c>
      <c r="C32" s="11" t="s">
        <v>74</v>
      </c>
      <c r="D32" s="11" t="s">
        <v>74</v>
      </c>
      <c r="E32" s="11" t="s">
        <v>74</v>
      </c>
      <c r="F32" s="11" t="s">
        <v>6445</v>
      </c>
      <c r="G32" s="11" t="s">
        <v>74</v>
      </c>
      <c r="H32" s="11" t="s">
        <v>74</v>
      </c>
      <c r="I32" s="11" t="s">
        <v>6446</v>
      </c>
      <c r="J32" s="11" t="s">
        <v>6447</v>
      </c>
      <c r="K32" s="11" t="s">
        <v>74</v>
      </c>
      <c r="L32" s="11" t="s">
        <v>74</v>
      </c>
      <c r="M32" s="11" t="s">
        <v>78</v>
      </c>
      <c r="N32" s="11" t="s">
        <v>79</v>
      </c>
      <c r="O32" s="11" t="s">
        <v>74</v>
      </c>
      <c r="P32" s="11" t="s">
        <v>74</v>
      </c>
      <c r="Q32" s="11" t="s">
        <v>74</v>
      </c>
      <c r="R32" s="11" t="s">
        <v>74</v>
      </c>
      <c r="S32" s="11" t="s">
        <v>74</v>
      </c>
      <c r="T32" s="11" t="s">
        <v>6448</v>
      </c>
      <c r="U32" s="11" t="s">
        <v>6449</v>
      </c>
      <c r="V32" s="11" t="s">
        <v>6450</v>
      </c>
      <c r="W32" s="11" t="s">
        <v>6451</v>
      </c>
      <c r="X32" s="11" t="s">
        <v>6452</v>
      </c>
      <c r="Y32" s="11" t="s">
        <v>6453</v>
      </c>
      <c r="Z32" s="11" t="s">
        <v>6454</v>
      </c>
      <c r="AA32" s="11" t="s">
        <v>74</v>
      </c>
      <c r="AB32" s="11" t="s">
        <v>74</v>
      </c>
      <c r="AC32" s="11" t="s">
        <v>74</v>
      </c>
      <c r="AD32" s="11" t="s">
        <v>74</v>
      </c>
      <c r="AE32" s="11" t="s">
        <v>74</v>
      </c>
      <c r="AF32" s="11" t="s">
        <v>74</v>
      </c>
      <c r="AG32" s="11">
        <v>17</v>
      </c>
      <c r="AH32" s="11">
        <v>5</v>
      </c>
      <c r="AI32" s="11">
        <v>5</v>
      </c>
      <c r="AJ32" s="11">
        <v>0</v>
      </c>
      <c r="AK32" s="11">
        <v>13</v>
      </c>
      <c r="AL32" s="11" t="s">
        <v>492</v>
      </c>
      <c r="AM32" s="11" t="s">
        <v>493</v>
      </c>
      <c r="AN32" s="11" t="s">
        <v>494</v>
      </c>
      <c r="AO32" s="11" t="s">
        <v>6455</v>
      </c>
      <c r="AP32" s="11" t="s">
        <v>6456</v>
      </c>
      <c r="AQ32" s="11" t="s">
        <v>74</v>
      </c>
      <c r="AR32" s="11" t="s">
        <v>6457</v>
      </c>
      <c r="AS32" s="11" t="s">
        <v>6458</v>
      </c>
      <c r="AT32" s="11" t="s">
        <v>5945</v>
      </c>
      <c r="AU32" s="11">
        <v>2021</v>
      </c>
      <c r="AV32" s="11">
        <v>40</v>
      </c>
      <c r="AW32" s="11">
        <v>2</v>
      </c>
      <c r="AX32" s="11" t="s">
        <v>74</v>
      </c>
      <c r="AY32" s="11" t="s">
        <v>74</v>
      </c>
      <c r="AZ32" s="11" t="s">
        <v>1020</v>
      </c>
      <c r="BA32" s="11" t="s">
        <v>74</v>
      </c>
      <c r="BB32" s="11">
        <v>247</v>
      </c>
      <c r="BC32" s="11">
        <v>253</v>
      </c>
      <c r="BD32" s="11" t="s">
        <v>74</v>
      </c>
      <c r="BE32" s="11" t="s">
        <v>6459</v>
      </c>
      <c r="BF32" s="11">
        <v>0</v>
      </c>
      <c r="BG32" s="11" t="s">
        <v>74</v>
      </c>
      <c r="BH32" s="11" t="s">
        <v>6460</v>
      </c>
      <c r="BI32" s="11">
        <v>7</v>
      </c>
      <c r="BJ32" s="11" t="s">
        <v>1326</v>
      </c>
      <c r="BK32" s="11" t="s">
        <v>156</v>
      </c>
      <c r="BL32" s="11" t="s">
        <v>1326</v>
      </c>
      <c r="BM32" s="11" t="s">
        <v>6461</v>
      </c>
      <c r="BN32" s="11" t="s">
        <v>74</v>
      </c>
      <c r="BO32" s="11" t="s">
        <v>105</v>
      </c>
      <c r="BP32" s="11" t="s">
        <v>74</v>
      </c>
      <c r="BQ32" s="11" t="s">
        <v>74</v>
      </c>
      <c r="BR32" s="11" t="s">
        <v>12946</v>
      </c>
      <c r="BS32" s="11" t="s">
        <v>6462</v>
      </c>
      <c r="BT32" s="11">
        <v>0</v>
      </c>
    </row>
    <row r="33" spans="1:72" x14ac:dyDescent="0.25">
      <c r="A33" s="11" t="s">
        <v>72</v>
      </c>
      <c r="B33" s="11" t="s">
        <v>7084</v>
      </c>
      <c r="C33" s="11" t="s">
        <v>74</v>
      </c>
      <c r="D33" s="11" t="s">
        <v>74</v>
      </c>
      <c r="E33" s="11" t="s">
        <v>74</v>
      </c>
      <c r="F33" s="11" t="s">
        <v>7085</v>
      </c>
      <c r="G33" s="11" t="s">
        <v>74</v>
      </c>
      <c r="H33" s="11" t="s">
        <v>74</v>
      </c>
      <c r="I33" s="11" t="s">
        <v>7086</v>
      </c>
      <c r="J33" s="11" t="s">
        <v>7087</v>
      </c>
      <c r="K33" s="11" t="s">
        <v>74</v>
      </c>
      <c r="L33" s="11" t="s">
        <v>74</v>
      </c>
      <c r="M33" s="11" t="s">
        <v>929</v>
      </c>
      <c r="N33" s="11" t="s">
        <v>79</v>
      </c>
      <c r="O33" s="11" t="s">
        <v>74</v>
      </c>
      <c r="P33" s="11" t="s">
        <v>74</v>
      </c>
      <c r="Q33" s="11" t="s">
        <v>74</v>
      </c>
      <c r="R33" s="11" t="s">
        <v>74</v>
      </c>
      <c r="S33" s="11" t="s">
        <v>74</v>
      </c>
      <c r="T33" s="11" t="s">
        <v>7088</v>
      </c>
      <c r="U33" s="11" t="s">
        <v>7089</v>
      </c>
      <c r="V33" s="11" t="s">
        <v>7090</v>
      </c>
      <c r="W33" s="11" t="s">
        <v>7091</v>
      </c>
      <c r="X33" s="11" t="s">
        <v>1740</v>
      </c>
      <c r="Y33" s="11" t="s">
        <v>7092</v>
      </c>
      <c r="Z33" s="11" t="s">
        <v>7093</v>
      </c>
      <c r="AA33" s="11" t="s">
        <v>7094</v>
      </c>
      <c r="AB33" s="11" t="s">
        <v>7095</v>
      </c>
      <c r="AC33" s="11" t="s">
        <v>74</v>
      </c>
      <c r="AD33" s="11" t="s">
        <v>74</v>
      </c>
      <c r="AE33" s="11" t="s">
        <v>74</v>
      </c>
      <c r="AF33" s="11" t="s">
        <v>74</v>
      </c>
      <c r="AG33" s="11">
        <v>48</v>
      </c>
      <c r="AH33" s="11">
        <v>5</v>
      </c>
      <c r="AI33" s="11">
        <v>5</v>
      </c>
      <c r="AJ33" s="11">
        <v>3</v>
      </c>
      <c r="AK33" s="11">
        <v>22</v>
      </c>
      <c r="AL33" s="11" t="s">
        <v>7096</v>
      </c>
      <c r="AM33" s="11" t="s">
        <v>7097</v>
      </c>
      <c r="AN33" s="11" t="s">
        <v>7098</v>
      </c>
      <c r="AO33" s="11" t="s">
        <v>7099</v>
      </c>
      <c r="AP33" s="11" t="s">
        <v>74</v>
      </c>
      <c r="AQ33" s="11" t="s">
        <v>74</v>
      </c>
      <c r="AR33" s="11" t="s">
        <v>7100</v>
      </c>
      <c r="AS33" s="11" t="s">
        <v>7101</v>
      </c>
      <c r="AT33" s="11" t="s">
        <v>74</v>
      </c>
      <c r="AU33" s="11">
        <v>2021</v>
      </c>
      <c r="AV33" s="11">
        <v>20</v>
      </c>
      <c r="AW33" s="11">
        <v>1</v>
      </c>
      <c r="AX33" s="11" t="s">
        <v>74</v>
      </c>
      <c r="AY33" s="11" t="s">
        <v>74</v>
      </c>
      <c r="AZ33" s="11" t="s">
        <v>74</v>
      </c>
      <c r="BA33" s="11" t="s">
        <v>74</v>
      </c>
      <c r="BB33" s="11">
        <v>9</v>
      </c>
      <c r="BC33" s="11">
        <v>25</v>
      </c>
      <c r="BD33" s="11" t="s">
        <v>74</v>
      </c>
      <c r="BE33" s="11" t="s">
        <v>7102</v>
      </c>
      <c r="BF33" s="11">
        <v>0</v>
      </c>
      <c r="BG33" s="11" t="s">
        <v>74</v>
      </c>
      <c r="BH33" s="11" t="s">
        <v>74</v>
      </c>
      <c r="BI33" s="11">
        <v>17</v>
      </c>
      <c r="BJ33" s="11" t="s">
        <v>1326</v>
      </c>
      <c r="BK33" s="11" t="s">
        <v>183</v>
      </c>
      <c r="BL33" s="11" t="s">
        <v>1326</v>
      </c>
      <c r="BM33" s="11" t="s">
        <v>7103</v>
      </c>
      <c r="BN33" s="11" t="s">
        <v>74</v>
      </c>
      <c r="BO33" s="11" t="s">
        <v>2623</v>
      </c>
      <c r="BP33" s="11" t="s">
        <v>74</v>
      </c>
      <c r="BQ33" s="11" t="s">
        <v>74</v>
      </c>
      <c r="BR33" s="11" t="s">
        <v>12946</v>
      </c>
      <c r="BS33" s="11" t="s">
        <v>7104</v>
      </c>
      <c r="BT33" s="11">
        <v>0</v>
      </c>
    </row>
    <row r="34" spans="1:72" x14ac:dyDescent="0.25">
      <c r="A34" s="11" t="s">
        <v>7120</v>
      </c>
      <c r="B34" s="11" t="s">
        <v>10351</v>
      </c>
      <c r="C34" s="11" t="s">
        <v>74</v>
      </c>
      <c r="D34" s="11" t="s">
        <v>10352</v>
      </c>
      <c r="E34" s="11" t="s">
        <v>74</v>
      </c>
      <c r="F34" s="11" t="s">
        <v>10353</v>
      </c>
      <c r="G34" s="11" t="s">
        <v>74</v>
      </c>
      <c r="H34" s="11" t="s">
        <v>74</v>
      </c>
      <c r="I34" s="11" t="s">
        <v>10354</v>
      </c>
      <c r="J34" s="11" t="s">
        <v>10355</v>
      </c>
      <c r="K34" s="11" t="s">
        <v>10356</v>
      </c>
      <c r="L34" s="11" t="s">
        <v>74</v>
      </c>
      <c r="M34" s="11" t="s">
        <v>78</v>
      </c>
      <c r="N34" s="11" t="s">
        <v>4932</v>
      </c>
      <c r="O34" s="11" t="s">
        <v>74</v>
      </c>
      <c r="P34" s="11" t="s">
        <v>74</v>
      </c>
      <c r="Q34" s="11" t="s">
        <v>74</v>
      </c>
      <c r="R34" s="11" t="s">
        <v>74</v>
      </c>
      <c r="S34" s="11" t="s">
        <v>74</v>
      </c>
      <c r="T34" s="11" t="s">
        <v>10357</v>
      </c>
      <c r="U34" s="11" t="s">
        <v>74</v>
      </c>
      <c r="V34" s="11" t="s">
        <v>10358</v>
      </c>
      <c r="W34" s="11" t="s">
        <v>10359</v>
      </c>
      <c r="X34" s="11" t="s">
        <v>74</v>
      </c>
      <c r="Y34" s="11" t="s">
        <v>10360</v>
      </c>
      <c r="Z34" s="11" t="s">
        <v>10361</v>
      </c>
      <c r="AA34" s="11" t="s">
        <v>74</v>
      </c>
      <c r="AB34" s="11" t="s">
        <v>74</v>
      </c>
      <c r="AC34" s="11" t="s">
        <v>74</v>
      </c>
      <c r="AD34" s="11" t="s">
        <v>74</v>
      </c>
      <c r="AE34" s="11" t="s">
        <v>74</v>
      </c>
      <c r="AF34" s="11" t="s">
        <v>74</v>
      </c>
      <c r="AG34" s="11">
        <v>23</v>
      </c>
      <c r="AH34" s="11">
        <v>5</v>
      </c>
      <c r="AI34" s="11">
        <v>5</v>
      </c>
      <c r="AJ34" s="11">
        <v>1</v>
      </c>
      <c r="AK34" s="11">
        <v>1</v>
      </c>
      <c r="AL34" s="11" t="s">
        <v>9414</v>
      </c>
      <c r="AM34" s="11" t="s">
        <v>9415</v>
      </c>
      <c r="AN34" s="11" t="s">
        <v>9416</v>
      </c>
      <c r="AO34" s="11" t="s">
        <v>10362</v>
      </c>
      <c r="AP34" s="11" t="s">
        <v>10363</v>
      </c>
      <c r="AQ34" s="11" t="s">
        <v>10364</v>
      </c>
      <c r="AR34" s="11" t="s">
        <v>10365</v>
      </c>
      <c r="AS34" s="11" t="s">
        <v>74</v>
      </c>
      <c r="AT34" s="11" t="s">
        <v>74</v>
      </c>
      <c r="AU34" s="11">
        <v>2018</v>
      </c>
      <c r="AV34" s="11" t="s">
        <v>74</v>
      </c>
      <c r="AW34" s="11" t="s">
        <v>74</v>
      </c>
      <c r="AX34" s="11" t="s">
        <v>74</v>
      </c>
      <c r="AY34" s="11" t="s">
        <v>74</v>
      </c>
      <c r="AZ34" s="11" t="s">
        <v>74</v>
      </c>
      <c r="BA34" s="11" t="s">
        <v>74</v>
      </c>
      <c r="BB34" s="11">
        <v>807</v>
      </c>
      <c r="BC34" s="11">
        <v>816</v>
      </c>
      <c r="BD34" s="11" t="s">
        <v>74</v>
      </c>
      <c r="BE34" s="11" t="s">
        <v>10366</v>
      </c>
      <c r="BF34" s="11">
        <v>0</v>
      </c>
      <c r="BG34" s="11" t="s">
        <v>10367</v>
      </c>
      <c r="BH34" s="11" t="s">
        <v>74</v>
      </c>
      <c r="BI34" s="11">
        <v>10</v>
      </c>
      <c r="BJ34" s="11" t="s">
        <v>1326</v>
      </c>
      <c r="BK34" s="11" t="s">
        <v>4943</v>
      </c>
      <c r="BL34" s="11" t="s">
        <v>1326</v>
      </c>
      <c r="BM34" s="11" t="s">
        <v>10368</v>
      </c>
      <c r="BN34" s="11" t="s">
        <v>74</v>
      </c>
      <c r="BO34" s="11" t="s">
        <v>74</v>
      </c>
      <c r="BP34" s="11" t="s">
        <v>74</v>
      </c>
      <c r="BQ34" s="11" t="s">
        <v>74</v>
      </c>
      <c r="BR34" s="11" t="s">
        <v>12946</v>
      </c>
      <c r="BS34" s="11" t="s">
        <v>10369</v>
      </c>
      <c r="BT34" s="11">
        <v>0</v>
      </c>
    </row>
    <row r="35" spans="1:72" x14ac:dyDescent="0.25">
      <c r="A35" s="11" t="s">
        <v>72</v>
      </c>
      <c r="B35" s="11" t="s">
        <v>5607</v>
      </c>
      <c r="C35" s="11" t="s">
        <v>74</v>
      </c>
      <c r="D35" s="11" t="s">
        <v>74</v>
      </c>
      <c r="E35" s="11" t="s">
        <v>74</v>
      </c>
      <c r="F35" s="11" t="s">
        <v>5608</v>
      </c>
      <c r="G35" s="11" t="s">
        <v>74</v>
      </c>
      <c r="H35" s="11" t="s">
        <v>74</v>
      </c>
      <c r="I35" s="11" t="s">
        <v>5609</v>
      </c>
      <c r="J35" s="11" t="s">
        <v>5610</v>
      </c>
      <c r="K35" s="11" t="s">
        <v>74</v>
      </c>
      <c r="L35" s="11" t="s">
        <v>74</v>
      </c>
      <c r="M35" s="11" t="s">
        <v>78</v>
      </c>
      <c r="N35" s="11" t="s">
        <v>79</v>
      </c>
      <c r="O35" s="11" t="s">
        <v>74</v>
      </c>
      <c r="P35" s="11" t="s">
        <v>74</v>
      </c>
      <c r="Q35" s="11" t="s">
        <v>74</v>
      </c>
      <c r="R35" s="11" t="s">
        <v>74</v>
      </c>
      <c r="S35" s="11" t="s">
        <v>74</v>
      </c>
      <c r="T35" s="11" t="s">
        <v>5611</v>
      </c>
      <c r="U35" s="11" t="s">
        <v>74</v>
      </c>
      <c r="V35" s="11" t="s">
        <v>5612</v>
      </c>
      <c r="W35" s="11" t="s">
        <v>5613</v>
      </c>
      <c r="X35" s="11" t="s">
        <v>13300</v>
      </c>
      <c r="Y35" s="11" t="s">
        <v>5615</v>
      </c>
      <c r="Z35" s="11" t="s">
        <v>74</v>
      </c>
      <c r="AA35" s="11" t="s">
        <v>74</v>
      </c>
      <c r="AB35" s="11" t="s">
        <v>13301</v>
      </c>
      <c r="AC35" s="11" t="s">
        <v>5616</v>
      </c>
      <c r="AD35" s="11" t="s">
        <v>5617</v>
      </c>
      <c r="AE35" s="11" t="s">
        <v>5618</v>
      </c>
      <c r="AF35" s="11" t="s">
        <v>74</v>
      </c>
      <c r="AG35" s="11">
        <v>20</v>
      </c>
      <c r="AH35" s="11">
        <v>4</v>
      </c>
      <c r="AI35" s="11">
        <v>5</v>
      </c>
      <c r="AJ35" s="11">
        <v>2</v>
      </c>
      <c r="AK35" s="11">
        <v>16</v>
      </c>
      <c r="AL35" s="11" t="s">
        <v>492</v>
      </c>
      <c r="AM35" s="11" t="s">
        <v>493</v>
      </c>
      <c r="AN35" s="11" t="s">
        <v>494</v>
      </c>
      <c r="AO35" s="11" t="s">
        <v>5619</v>
      </c>
      <c r="AP35" s="11" t="s">
        <v>5620</v>
      </c>
      <c r="AQ35" s="11" t="s">
        <v>74</v>
      </c>
      <c r="AR35" s="11" t="s">
        <v>5621</v>
      </c>
      <c r="AS35" s="11" t="s">
        <v>5622</v>
      </c>
      <c r="AT35" s="11" t="s">
        <v>1019</v>
      </c>
      <c r="AU35" s="11">
        <v>2021</v>
      </c>
      <c r="AV35" s="11">
        <v>46</v>
      </c>
      <c r="AW35" s="11">
        <v>4</v>
      </c>
      <c r="AX35" s="11" t="s">
        <v>74</v>
      </c>
      <c r="AY35" s="11" t="s">
        <v>74</v>
      </c>
      <c r="AZ35" s="11" t="s">
        <v>1020</v>
      </c>
      <c r="BA35" s="11" t="s">
        <v>74</v>
      </c>
      <c r="BB35" s="11">
        <v>493</v>
      </c>
      <c r="BC35" s="11">
        <v>508</v>
      </c>
      <c r="BD35" s="11" t="s">
        <v>74</v>
      </c>
      <c r="BE35" s="11" t="s">
        <v>5623</v>
      </c>
      <c r="BF35" s="11">
        <v>0</v>
      </c>
      <c r="BG35" s="11" t="s">
        <v>74</v>
      </c>
      <c r="BH35" s="11" t="s">
        <v>74</v>
      </c>
      <c r="BI35" s="11">
        <v>16</v>
      </c>
      <c r="BJ35" s="11" t="s">
        <v>1326</v>
      </c>
      <c r="BK35" s="11" t="s">
        <v>183</v>
      </c>
      <c r="BL35" s="11" t="s">
        <v>1326</v>
      </c>
      <c r="BM35" s="11" t="s">
        <v>5624</v>
      </c>
      <c r="BN35" s="11" t="s">
        <v>74</v>
      </c>
      <c r="BO35" s="11" t="s">
        <v>1539</v>
      </c>
      <c r="BP35" s="11" t="s">
        <v>74</v>
      </c>
      <c r="BQ35" s="11" t="s">
        <v>74</v>
      </c>
      <c r="BR35" s="11" t="s">
        <v>12946</v>
      </c>
      <c r="BS35" s="11" t="s">
        <v>5625</v>
      </c>
      <c r="BT35" s="11">
        <v>0</v>
      </c>
    </row>
    <row r="36" spans="1:72" x14ac:dyDescent="0.25">
      <c r="A36" s="11" t="s">
        <v>72</v>
      </c>
      <c r="B36" s="11" t="s">
        <v>12603</v>
      </c>
      <c r="C36" s="11" t="s">
        <v>74</v>
      </c>
      <c r="D36" s="11" t="s">
        <v>74</v>
      </c>
      <c r="E36" s="11" t="s">
        <v>74</v>
      </c>
      <c r="F36" s="11" t="s">
        <v>12604</v>
      </c>
      <c r="G36" s="11" t="s">
        <v>74</v>
      </c>
      <c r="H36" s="11" t="s">
        <v>74</v>
      </c>
      <c r="I36" s="11" t="s">
        <v>12605</v>
      </c>
      <c r="J36" s="11" t="s">
        <v>12606</v>
      </c>
      <c r="K36" s="11" t="s">
        <v>74</v>
      </c>
      <c r="L36" s="11" t="s">
        <v>74</v>
      </c>
      <c r="M36" s="11" t="s">
        <v>78</v>
      </c>
      <c r="N36" s="11" t="s">
        <v>79</v>
      </c>
      <c r="O36" s="11" t="s">
        <v>74</v>
      </c>
      <c r="P36" s="11" t="s">
        <v>74</v>
      </c>
      <c r="Q36" s="11" t="s">
        <v>74</v>
      </c>
      <c r="R36" s="11" t="s">
        <v>74</v>
      </c>
      <c r="S36" s="11" t="s">
        <v>74</v>
      </c>
      <c r="T36" s="11" t="s">
        <v>12607</v>
      </c>
      <c r="U36" s="11" t="s">
        <v>74</v>
      </c>
      <c r="V36" s="11" t="s">
        <v>12608</v>
      </c>
      <c r="W36" s="11" t="s">
        <v>12609</v>
      </c>
      <c r="X36" s="11" t="s">
        <v>12610</v>
      </c>
      <c r="Y36" s="11" t="s">
        <v>12611</v>
      </c>
      <c r="Z36" s="11" t="s">
        <v>12612</v>
      </c>
      <c r="AA36" s="11" t="s">
        <v>74</v>
      </c>
      <c r="AB36" s="11" t="s">
        <v>74</v>
      </c>
      <c r="AC36" s="11" t="s">
        <v>74</v>
      </c>
      <c r="AD36" s="11" t="s">
        <v>74</v>
      </c>
      <c r="AE36" s="11" t="s">
        <v>74</v>
      </c>
      <c r="AF36" s="11" t="s">
        <v>74</v>
      </c>
      <c r="AG36" s="11">
        <v>54</v>
      </c>
      <c r="AH36" s="11">
        <v>4</v>
      </c>
      <c r="AI36" s="11">
        <v>6</v>
      </c>
      <c r="AJ36" s="11">
        <v>0</v>
      </c>
      <c r="AK36" s="11">
        <v>0</v>
      </c>
      <c r="AL36" s="11" t="s">
        <v>492</v>
      </c>
      <c r="AM36" s="11" t="s">
        <v>493</v>
      </c>
      <c r="AN36" s="11" t="s">
        <v>494</v>
      </c>
      <c r="AO36" s="11" t="s">
        <v>12613</v>
      </c>
      <c r="AP36" s="11" t="s">
        <v>12614</v>
      </c>
      <c r="AQ36" s="11" t="s">
        <v>74</v>
      </c>
      <c r="AR36" s="11" t="s">
        <v>12615</v>
      </c>
      <c r="AS36" s="11" t="s">
        <v>12616</v>
      </c>
      <c r="AT36" s="11" t="s">
        <v>74</v>
      </c>
      <c r="AU36" s="11">
        <v>2009</v>
      </c>
      <c r="AV36" s="11">
        <v>12</v>
      </c>
      <c r="AW36" s="11">
        <v>2</v>
      </c>
      <c r="AX36" s="11" t="s">
        <v>74</v>
      </c>
      <c r="AY36" s="11" t="s">
        <v>74</v>
      </c>
      <c r="AZ36" s="11" t="s">
        <v>74</v>
      </c>
      <c r="BA36" s="11" t="s">
        <v>74</v>
      </c>
      <c r="BB36" s="11">
        <v>209</v>
      </c>
      <c r="BC36" s="11">
        <v>224</v>
      </c>
      <c r="BD36" s="11" t="s">
        <v>74</v>
      </c>
      <c r="BE36" s="11" t="s">
        <v>12617</v>
      </c>
      <c r="BF36" s="11">
        <v>0</v>
      </c>
      <c r="BG36" s="11" t="s">
        <v>74</v>
      </c>
      <c r="BH36" s="11" t="s">
        <v>74</v>
      </c>
      <c r="BI36" s="11">
        <v>16</v>
      </c>
      <c r="BJ36" s="11" t="s">
        <v>315</v>
      </c>
      <c r="BK36" s="11" t="s">
        <v>183</v>
      </c>
      <c r="BL36" s="11" t="s">
        <v>265</v>
      </c>
      <c r="BM36" s="11" t="s">
        <v>12618</v>
      </c>
      <c r="BN36" s="11" t="s">
        <v>74</v>
      </c>
      <c r="BO36" s="11" t="s">
        <v>74</v>
      </c>
      <c r="BP36" s="11" t="s">
        <v>74</v>
      </c>
      <c r="BQ36" s="11" t="s">
        <v>74</v>
      </c>
      <c r="BR36" s="11" t="s">
        <v>12946</v>
      </c>
      <c r="BS36" s="11" t="s">
        <v>12619</v>
      </c>
      <c r="BT36" s="11">
        <v>0</v>
      </c>
    </row>
    <row r="37" spans="1:72" x14ac:dyDescent="0.25">
      <c r="A37" s="11" t="s">
        <v>72</v>
      </c>
      <c r="B37" s="11" t="s">
        <v>1930</v>
      </c>
      <c r="C37" s="11" t="s">
        <v>74</v>
      </c>
      <c r="D37" s="11" t="s">
        <v>74</v>
      </c>
      <c r="E37" s="11" t="s">
        <v>74</v>
      </c>
      <c r="F37" s="11" t="s">
        <v>1931</v>
      </c>
      <c r="G37" s="11" t="s">
        <v>74</v>
      </c>
      <c r="H37" s="11" t="s">
        <v>74</v>
      </c>
      <c r="I37" s="11" t="s">
        <v>1932</v>
      </c>
      <c r="J37" s="11" t="s">
        <v>191</v>
      </c>
      <c r="K37" s="11" t="s">
        <v>74</v>
      </c>
      <c r="L37" s="11" t="s">
        <v>74</v>
      </c>
      <c r="M37" s="11" t="s">
        <v>78</v>
      </c>
      <c r="N37" s="11" t="s">
        <v>79</v>
      </c>
      <c r="O37" s="11" t="s">
        <v>74</v>
      </c>
      <c r="P37" s="11" t="s">
        <v>74</v>
      </c>
      <c r="Q37" s="11" t="s">
        <v>74</v>
      </c>
      <c r="R37" s="11" t="s">
        <v>74</v>
      </c>
      <c r="S37" s="11" t="s">
        <v>74</v>
      </c>
      <c r="T37" s="11" t="s">
        <v>1933</v>
      </c>
      <c r="U37" s="11" t="s">
        <v>1934</v>
      </c>
      <c r="V37" s="11" t="s">
        <v>1935</v>
      </c>
      <c r="W37" s="11" t="s">
        <v>1936</v>
      </c>
      <c r="X37" s="11" t="s">
        <v>1937</v>
      </c>
      <c r="Y37" s="11" t="s">
        <v>1938</v>
      </c>
      <c r="Z37" s="11" t="s">
        <v>1939</v>
      </c>
      <c r="AA37" s="11" t="s">
        <v>13302</v>
      </c>
      <c r="AB37" s="11" t="s">
        <v>13303</v>
      </c>
      <c r="AC37" s="11" t="s">
        <v>74</v>
      </c>
      <c r="AD37" s="11" t="s">
        <v>74</v>
      </c>
      <c r="AE37" s="11" t="s">
        <v>74</v>
      </c>
      <c r="AF37" s="11" t="s">
        <v>74</v>
      </c>
      <c r="AG37" s="11">
        <v>106</v>
      </c>
      <c r="AH37" s="11">
        <v>3</v>
      </c>
      <c r="AI37" s="11">
        <v>5</v>
      </c>
      <c r="AJ37" s="11">
        <v>18</v>
      </c>
      <c r="AK37" s="11">
        <v>68</v>
      </c>
      <c r="AL37" s="11" t="s">
        <v>202</v>
      </c>
      <c r="AM37" s="11" t="s">
        <v>203</v>
      </c>
      <c r="AN37" s="11" t="s">
        <v>204</v>
      </c>
      <c r="AO37" s="11" t="s">
        <v>74</v>
      </c>
      <c r="AP37" s="11" t="s">
        <v>205</v>
      </c>
      <c r="AQ37" s="11" t="s">
        <v>74</v>
      </c>
      <c r="AR37" s="11" t="s">
        <v>206</v>
      </c>
      <c r="AS37" s="11" t="s">
        <v>207</v>
      </c>
      <c r="AT37" s="11" t="s">
        <v>1904</v>
      </c>
      <c r="AU37" s="11">
        <v>2023</v>
      </c>
      <c r="AV37" s="11">
        <v>15</v>
      </c>
      <c r="AW37" s="11">
        <v>3</v>
      </c>
      <c r="AX37" s="11" t="s">
        <v>74</v>
      </c>
      <c r="AY37" s="11" t="s">
        <v>74</v>
      </c>
      <c r="AZ37" s="11" t="s">
        <v>74</v>
      </c>
      <c r="BA37" s="11" t="s">
        <v>74</v>
      </c>
      <c r="BB37" s="11" t="s">
        <v>74</v>
      </c>
      <c r="BC37" s="11" t="s">
        <v>74</v>
      </c>
      <c r="BD37" s="11">
        <v>2736</v>
      </c>
      <c r="BE37" s="11" t="s">
        <v>1940</v>
      </c>
      <c r="BF37" s="11">
        <v>0</v>
      </c>
      <c r="BG37" s="11" t="s">
        <v>74</v>
      </c>
      <c r="BH37" s="11" t="s">
        <v>74</v>
      </c>
      <c r="BI37" s="11">
        <v>20</v>
      </c>
      <c r="BJ37" s="11" t="s">
        <v>210</v>
      </c>
      <c r="BK37" s="11" t="s">
        <v>211</v>
      </c>
      <c r="BL37" s="11" t="s">
        <v>212</v>
      </c>
      <c r="BM37" s="11" t="s">
        <v>1941</v>
      </c>
      <c r="BN37" s="11" t="s">
        <v>74</v>
      </c>
      <c r="BO37" s="11" t="s">
        <v>186</v>
      </c>
      <c r="BP37" s="11" t="s">
        <v>74</v>
      </c>
      <c r="BQ37" s="11" t="s">
        <v>74</v>
      </c>
      <c r="BR37" s="11" t="s">
        <v>12946</v>
      </c>
      <c r="BS37" s="11" t="s">
        <v>1942</v>
      </c>
      <c r="BT37" s="11">
        <v>0</v>
      </c>
    </row>
    <row r="38" spans="1:72" x14ac:dyDescent="0.25">
      <c r="A38" s="11" t="s">
        <v>72</v>
      </c>
      <c r="B38" s="11" t="s">
        <v>2196</v>
      </c>
      <c r="C38" s="11" t="s">
        <v>74</v>
      </c>
      <c r="D38" s="11" t="s">
        <v>74</v>
      </c>
      <c r="E38" s="11" t="s">
        <v>74</v>
      </c>
      <c r="F38" s="11" t="s">
        <v>2197</v>
      </c>
      <c r="G38" s="11" t="s">
        <v>74</v>
      </c>
      <c r="H38" s="11" t="s">
        <v>74</v>
      </c>
      <c r="I38" s="11" t="s">
        <v>2198</v>
      </c>
      <c r="J38" s="11" t="s">
        <v>2199</v>
      </c>
      <c r="K38" s="11" t="s">
        <v>74</v>
      </c>
      <c r="L38" s="11" t="s">
        <v>74</v>
      </c>
      <c r="M38" s="11" t="s">
        <v>78</v>
      </c>
      <c r="N38" s="11" t="s">
        <v>79</v>
      </c>
      <c r="O38" s="11" t="s">
        <v>74</v>
      </c>
      <c r="P38" s="11" t="s">
        <v>74</v>
      </c>
      <c r="Q38" s="11" t="s">
        <v>74</v>
      </c>
      <c r="R38" s="11" t="s">
        <v>74</v>
      </c>
      <c r="S38" s="11" t="s">
        <v>74</v>
      </c>
      <c r="T38" s="11" t="s">
        <v>2200</v>
      </c>
      <c r="U38" s="11" t="s">
        <v>2201</v>
      </c>
      <c r="V38" s="11" t="s">
        <v>2202</v>
      </c>
      <c r="W38" s="11" t="s">
        <v>2203</v>
      </c>
      <c r="X38" s="11" t="s">
        <v>2204</v>
      </c>
      <c r="Y38" s="11" t="s">
        <v>2205</v>
      </c>
      <c r="Z38" s="11" t="s">
        <v>2206</v>
      </c>
      <c r="AA38" s="11" t="s">
        <v>13304</v>
      </c>
      <c r="AB38" s="11" t="s">
        <v>13305</v>
      </c>
      <c r="AC38" s="11" t="s">
        <v>2209</v>
      </c>
      <c r="AD38" s="11" t="s">
        <v>2209</v>
      </c>
      <c r="AE38" s="11" t="s">
        <v>2210</v>
      </c>
      <c r="AF38" s="11" t="s">
        <v>74</v>
      </c>
      <c r="AG38" s="11">
        <v>63</v>
      </c>
      <c r="AH38" s="11">
        <v>3</v>
      </c>
      <c r="AI38" s="11">
        <v>3</v>
      </c>
      <c r="AJ38" s="11">
        <v>35</v>
      </c>
      <c r="AK38" s="11">
        <v>102</v>
      </c>
      <c r="AL38" s="11" t="s">
        <v>2211</v>
      </c>
      <c r="AM38" s="11" t="s">
        <v>2212</v>
      </c>
      <c r="AN38" s="11" t="s">
        <v>2213</v>
      </c>
      <c r="AO38" s="11" t="s">
        <v>2214</v>
      </c>
      <c r="AP38" s="11" t="s">
        <v>74</v>
      </c>
      <c r="AQ38" s="11" t="s">
        <v>74</v>
      </c>
      <c r="AR38" s="11" t="s">
        <v>2215</v>
      </c>
      <c r="AS38" s="11" t="s">
        <v>2216</v>
      </c>
      <c r="AT38" s="11" t="s">
        <v>74</v>
      </c>
      <c r="AU38" s="11">
        <v>2023</v>
      </c>
      <c r="AV38" s="11">
        <v>11</v>
      </c>
      <c r="AW38" s="11">
        <v>3</v>
      </c>
      <c r="AX38" s="11" t="s">
        <v>74</v>
      </c>
      <c r="AY38" s="11" t="s">
        <v>74</v>
      </c>
      <c r="AZ38" s="11" t="s">
        <v>74</v>
      </c>
      <c r="BA38" s="11" t="s">
        <v>74</v>
      </c>
      <c r="BB38" s="11">
        <v>77</v>
      </c>
      <c r="BC38" s="11">
        <v>87</v>
      </c>
      <c r="BD38" s="11" t="s">
        <v>74</v>
      </c>
      <c r="BE38" s="11" t="s">
        <v>2217</v>
      </c>
      <c r="BF38" s="11">
        <v>0</v>
      </c>
      <c r="BG38" s="11" t="s">
        <v>74</v>
      </c>
      <c r="BH38" s="11" t="s">
        <v>74</v>
      </c>
      <c r="BI38" s="11">
        <v>11</v>
      </c>
      <c r="BJ38" s="11" t="s">
        <v>2218</v>
      </c>
      <c r="BK38" s="11" t="s">
        <v>156</v>
      </c>
      <c r="BL38" s="11" t="s">
        <v>2218</v>
      </c>
      <c r="BM38" s="11" t="s">
        <v>2219</v>
      </c>
      <c r="BN38" s="11" t="s">
        <v>74</v>
      </c>
      <c r="BO38" s="11" t="s">
        <v>614</v>
      </c>
      <c r="BP38" s="11" t="s">
        <v>74</v>
      </c>
      <c r="BQ38" s="11" t="s">
        <v>74</v>
      </c>
      <c r="BR38" s="11" t="s">
        <v>12946</v>
      </c>
      <c r="BS38" s="11" t="s">
        <v>2220</v>
      </c>
      <c r="BT38" s="11">
        <v>0</v>
      </c>
    </row>
    <row r="39" spans="1:72" x14ac:dyDescent="0.25">
      <c r="A39" s="11" t="s">
        <v>72</v>
      </c>
      <c r="B39" s="11" t="s">
        <v>2289</v>
      </c>
      <c r="C39" s="11" t="s">
        <v>74</v>
      </c>
      <c r="D39" s="11" t="s">
        <v>74</v>
      </c>
      <c r="E39" s="11" t="s">
        <v>74</v>
      </c>
      <c r="F39" s="11" t="s">
        <v>2290</v>
      </c>
      <c r="G39" s="11" t="s">
        <v>74</v>
      </c>
      <c r="H39" s="11" t="s">
        <v>74</v>
      </c>
      <c r="I39" s="11" t="s">
        <v>2291</v>
      </c>
      <c r="J39" s="11" t="s">
        <v>191</v>
      </c>
      <c r="K39" s="11" t="s">
        <v>74</v>
      </c>
      <c r="L39" s="11" t="s">
        <v>74</v>
      </c>
      <c r="M39" s="11" t="s">
        <v>78</v>
      </c>
      <c r="N39" s="11" t="s">
        <v>79</v>
      </c>
      <c r="O39" s="11" t="s">
        <v>74</v>
      </c>
      <c r="P39" s="11" t="s">
        <v>74</v>
      </c>
      <c r="Q39" s="11" t="s">
        <v>74</v>
      </c>
      <c r="R39" s="11" t="s">
        <v>74</v>
      </c>
      <c r="S39" s="11" t="s">
        <v>74</v>
      </c>
      <c r="T39" s="11" t="s">
        <v>2292</v>
      </c>
      <c r="U39" s="11" t="s">
        <v>2293</v>
      </c>
      <c r="V39" s="11" t="s">
        <v>2294</v>
      </c>
      <c r="W39" s="11" t="s">
        <v>2295</v>
      </c>
      <c r="X39" s="11" t="s">
        <v>2296</v>
      </c>
      <c r="Y39" s="11" t="s">
        <v>2297</v>
      </c>
      <c r="Z39" s="11" t="s">
        <v>2298</v>
      </c>
      <c r="AA39" s="11" t="s">
        <v>13306</v>
      </c>
      <c r="AB39" s="11" t="s">
        <v>13307</v>
      </c>
      <c r="AC39" s="11" t="s">
        <v>74</v>
      </c>
      <c r="AD39" s="11" t="s">
        <v>74</v>
      </c>
      <c r="AE39" s="11" t="s">
        <v>74</v>
      </c>
      <c r="AF39" s="11" t="s">
        <v>74</v>
      </c>
      <c r="AG39" s="11">
        <v>41</v>
      </c>
      <c r="AH39" s="11">
        <v>3</v>
      </c>
      <c r="AI39" s="11">
        <v>3</v>
      </c>
      <c r="AJ39" s="11">
        <v>25</v>
      </c>
      <c r="AK39" s="11">
        <v>96</v>
      </c>
      <c r="AL39" s="11" t="s">
        <v>202</v>
      </c>
      <c r="AM39" s="11" t="s">
        <v>203</v>
      </c>
      <c r="AN39" s="11" t="s">
        <v>204</v>
      </c>
      <c r="AO39" s="11" t="s">
        <v>74</v>
      </c>
      <c r="AP39" s="11" t="s">
        <v>205</v>
      </c>
      <c r="AQ39" s="11" t="s">
        <v>74</v>
      </c>
      <c r="AR39" s="11" t="s">
        <v>206</v>
      </c>
      <c r="AS39" s="11" t="s">
        <v>207</v>
      </c>
      <c r="AT39" s="11" t="s">
        <v>2068</v>
      </c>
      <c r="AU39" s="11">
        <v>2023</v>
      </c>
      <c r="AV39" s="11">
        <v>15</v>
      </c>
      <c r="AW39" s="11">
        <v>1</v>
      </c>
      <c r="AX39" s="11" t="s">
        <v>74</v>
      </c>
      <c r="AY39" s="11" t="s">
        <v>74</v>
      </c>
      <c r="AZ39" s="11" t="s">
        <v>74</v>
      </c>
      <c r="BA39" s="11" t="s">
        <v>74</v>
      </c>
      <c r="BB39" s="11" t="s">
        <v>74</v>
      </c>
      <c r="BC39" s="11" t="s">
        <v>74</v>
      </c>
      <c r="BD39" s="11">
        <v>423</v>
      </c>
      <c r="BE39" s="11" t="s">
        <v>2301</v>
      </c>
      <c r="BF39" s="11">
        <v>0</v>
      </c>
      <c r="BG39" s="11" t="s">
        <v>74</v>
      </c>
      <c r="BH39" s="11" t="s">
        <v>74</v>
      </c>
      <c r="BI39" s="11">
        <v>17</v>
      </c>
      <c r="BJ39" s="11" t="s">
        <v>210</v>
      </c>
      <c r="BK39" s="11" t="s">
        <v>211</v>
      </c>
      <c r="BL39" s="11" t="s">
        <v>212</v>
      </c>
      <c r="BM39" s="11" t="s">
        <v>2302</v>
      </c>
      <c r="BN39" s="11" t="s">
        <v>74</v>
      </c>
      <c r="BO39" s="11" t="s">
        <v>422</v>
      </c>
      <c r="BP39" s="11" t="s">
        <v>74</v>
      </c>
      <c r="BQ39" s="11" t="s">
        <v>74</v>
      </c>
      <c r="BR39" s="11" t="s">
        <v>12946</v>
      </c>
      <c r="BS39" s="11" t="s">
        <v>2303</v>
      </c>
      <c r="BT39" s="11">
        <v>0</v>
      </c>
    </row>
    <row r="40" spans="1:72" x14ac:dyDescent="0.25">
      <c r="A40" s="11" t="s">
        <v>72</v>
      </c>
      <c r="B40" s="11" t="s">
        <v>2604</v>
      </c>
      <c r="C40" s="11" t="s">
        <v>74</v>
      </c>
      <c r="D40" s="11" t="s">
        <v>74</v>
      </c>
      <c r="E40" s="11" t="s">
        <v>74</v>
      </c>
      <c r="F40" s="11" t="s">
        <v>2605</v>
      </c>
      <c r="G40" s="11" t="s">
        <v>74</v>
      </c>
      <c r="H40" s="11" t="s">
        <v>74</v>
      </c>
      <c r="I40" s="11" t="s">
        <v>2606</v>
      </c>
      <c r="J40" s="11" t="s">
        <v>2607</v>
      </c>
      <c r="K40" s="11" t="s">
        <v>74</v>
      </c>
      <c r="L40" s="11" t="s">
        <v>74</v>
      </c>
      <c r="M40" s="11" t="s">
        <v>78</v>
      </c>
      <c r="N40" s="11" t="s">
        <v>79</v>
      </c>
      <c r="O40" s="11" t="s">
        <v>74</v>
      </c>
      <c r="P40" s="11" t="s">
        <v>74</v>
      </c>
      <c r="Q40" s="11" t="s">
        <v>74</v>
      </c>
      <c r="R40" s="11" t="s">
        <v>74</v>
      </c>
      <c r="S40" s="11" t="s">
        <v>74</v>
      </c>
      <c r="T40" s="11" t="s">
        <v>2608</v>
      </c>
      <c r="U40" s="11" t="s">
        <v>2609</v>
      </c>
      <c r="V40" s="11" t="s">
        <v>2610</v>
      </c>
      <c r="W40" s="11" t="s">
        <v>2611</v>
      </c>
      <c r="X40" s="11" t="s">
        <v>2249</v>
      </c>
      <c r="Y40" s="11" t="s">
        <v>2612</v>
      </c>
      <c r="Z40" s="11" t="s">
        <v>2613</v>
      </c>
      <c r="AA40" s="11" t="s">
        <v>9775</v>
      </c>
      <c r="AB40" s="11" t="s">
        <v>2614</v>
      </c>
      <c r="AC40" s="11" t="s">
        <v>74</v>
      </c>
      <c r="AD40" s="11" t="s">
        <v>74</v>
      </c>
      <c r="AE40" s="11" t="s">
        <v>74</v>
      </c>
      <c r="AF40" s="11" t="s">
        <v>74</v>
      </c>
      <c r="AG40" s="11">
        <v>86</v>
      </c>
      <c r="AH40" s="11">
        <v>3</v>
      </c>
      <c r="AI40" s="11">
        <v>3</v>
      </c>
      <c r="AJ40" s="11">
        <v>2</v>
      </c>
      <c r="AK40" s="11">
        <v>8</v>
      </c>
      <c r="AL40" s="11" t="s">
        <v>231</v>
      </c>
      <c r="AM40" s="11" t="s">
        <v>232</v>
      </c>
      <c r="AN40" s="11" t="s">
        <v>233</v>
      </c>
      <c r="AO40" s="11" t="s">
        <v>2615</v>
      </c>
      <c r="AP40" s="11" t="s">
        <v>2616</v>
      </c>
      <c r="AQ40" s="11" t="s">
        <v>74</v>
      </c>
      <c r="AR40" s="11" t="s">
        <v>2617</v>
      </c>
      <c r="AS40" s="11" t="s">
        <v>2618</v>
      </c>
      <c r="AT40" s="11" t="s">
        <v>476</v>
      </c>
      <c r="AU40" s="11">
        <v>2022</v>
      </c>
      <c r="AV40" s="11">
        <v>11</v>
      </c>
      <c r="AW40" s="11">
        <v>4</v>
      </c>
      <c r="AX40" s="11" t="s">
        <v>74</v>
      </c>
      <c r="AY40" s="11" t="s">
        <v>74</v>
      </c>
      <c r="AZ40" s="11" t="s">
        <v>74</v>
      </c>
      <c r="BA40" s="11" t="s">
        <v>74</v>
      </c>
      <c r="BB40" s="11">
        <v>467</v>
      </c>
      <c r="BC40" s="11">
        <v>478</v>
      </c>
      <c r="BD40" s="11" t="s">
        <v>74</v>
      </c>
      <c r="BE40" s="11" t="s">
        <v>2619</v>
      </c>
      <c r="BF40" s="11">
        <v>0</v>
      </c>
      <c r="BG40" s="11" t="s">
        <v>74</v>
      </c>
      <c r="BH40" s="11" t="s">
        <v>2620</v>
      </c>
      <c r="BI40" s="11">
        <v>12</v>
      </c>
      <c r="BJ40" s="11" t="s">
        <v>2621</v>
      </c>
      <c r="BK40" s="11" t="s">
        <v>183</v>
      </c>
      <c r="BL40" s="11" t="s">
        <v>2621</v>
      </c>
      <c r="BM40" s="11" t="s">
        <v>2622</v>
      </c>
      <c r="BN40" s="11" t="s">
        <v>74</v>
      </c>
      <c r="BO40" s="11" t="s">
        <v>2623</v>
      </c>
      <c r="BP40" s="11" t="s">
        <v>74</v>
      </c>
      <c r="BQ40" s="11" t="s">
        <v>74</v>
      </c>
      <c r="BR40" s="11" t="s">
        <v>12946</v>
      </c>
      <c r="BS40" s="11" t="s">
        <v>2624</v>
      </c>
      <c r="BT40" s="11">
        <v>0</v>
      </c>
    </row>
    <row r="41" spans="1:72" x14ac:dyDescent="0.25">
      <c r="A41" s="11" t="s">
        <v>72</v>
      </c>
      <c r="B41" s="11" t="s">
        <v>4985</v>
      </c>
      <c r="C41" s="11" t="s">
        <v>74</v>
      </c>
      <c r="D41" s="11" t="s">
        <v>74</v>
      </c>
      <c r="E41" s="11" t="s">
        <v>74</v>
      </c>
      <c r="F41" s="11" t="s">
        <v>4986</v>
      </c>
      <c r="G41" s="11" t="s">
        <v>74</v>
      </c>
      <c r="H41" s="11" t="s">
        <v>74</v>
      </c>
      <c r="I41" s="11" t="s">
        <v>4987</v>
      </c>
      <c r="J41" s="11" t="s">
        <v>4988</v>
      </c>
      <c r="K41" s="11" t="s">
        <v>74</v>
      </c>
      <c r="L41" s="11" t="s">
        <v>74</v>
      </c>
      <c r="M41" s="11" t="s">
        <v>78</v>
      </c>
      <c r="N41" s="11" t="s">
        <v>79</v>
      </c>
      <c r="O41" s="11" t="s">
        <v>74</v>
      </c>
      <c r="P41" s="11" t="s">
        <v>74</v>
      </c>
      <c r="Q41" s="11" t="s">
        <v>74</v>
      </c>
      <c r="R41" s="11" t="s">
        <v>74</v>
      </c>
      <c r="S41" s="11" t="s">
        <v>74</v>
      </c>
      <c r="T41" s="11" t="s">
        <v>4989</v>
      </c>
      <c r="U41" s="11" t="s">
        <v>4990</v>
      </c>
      <c r="V41" s="11" t="s">
        <v>4991</v>
      </c>
      <c r="W41" s="11" t="s">
        <v>4992</v>
      </c>
      <c r="X41" s="11" t="s">
        <v>4993</v>
      </c>
      <c r="Y41" s="11" t="s">
        <v>4994</v>
      </c>
      <c r="Z41" s="11" t="s">
        <v>4995</v>
      </c>
      <c r="AA41" s="11" t="s">
        <v>13308</v>
      </c>
      <c r="AB41" s="11" t="s">
        <v>74</v>
      </c>
      <c r="AC41" s="11" t="s">
        <v>74</v>
      </c>
      <c r="AD41" s="11" t="s">
        <v>74</v>
      </c>
      <c r="AE41" s="11" t="s">
        <v>74</v>
      </c>
      <c r="AF41" s="11" t="s">
        <v>74</v>
      </c>
      <c r="AG41" s="11">
        <v>47</v>
      </c>
      <c r="AH41" s="11">
        <v>3</v>
      </c>
      <c r="AI41" s="11">
        <v>4</v>
      </c>
      <c r="AJ41" s="11">
        <v>0</v>
      </c>
      <c r="AK41" s="11">
        <v>7</v>
      </c>
      <c r="AL41" s="11" t="s">
        <v>4996</v>
      </c>
      <c r="AM41" s="11" t="s">
        <v>4997</v>
      </c>
      <c r="AN41" s="11" t="s">
        <v>4998</v>
      </c>
      <c r="AO41" s="11" t="s">
        <v>74</v>
      </c>
      <c r="AP41" s="11" t="s">
        <v>4999</v>
      </c>
      <c r="AQ41" s="11" t="s">
        <v>74</v>
      </c>
      <c r="AR41" s="11" t="s">
        <v>5000</v>
      </c>
      <c r="AS41" s="11" t="s">
        <v>5001</v>
      </c>
      <c r="AT41" s="11" t="s">
        <v>74</v>
      </c>
      <c r="AU41" s="11">
        <v>2022</v>
      </c>
      <c r="AV41" s="11">
        <v>5</v>
      </c>
      <c r="AW41" s="11">
        <v>3</v>
      </c>
      <c r="AX41" s="11" t="s">
        <v>74</v>
      </c>
      <c r="AY41" s="11" t="s">
        <v>74</v>
      </c>
      <c r="AZ41" s="11" t="s">
        <v>74</v>
      </c>
      <c r="BA41" s="11" t="s">
        <v>74</v>
      </c>
      <c r="BB41" s="11">
        <v>383</v>
      </c>
      <c r="BC41" s="11">
        <v>410</v>
      </c>
      <c r="BD41" s="11" t="s">
        <v>74</v>
      </c>
      <c r="BE41" s="11" t="s">
        <v>5002</v>
      </c>
      <c r="BF41" s="11">
        <v>0</v>
      </c>
      <c r="BG41" s="11" t="s">
        <v>74</v>
      </c>
      <c r="BH41" s="11" t="s">
        <v>74</v>
      </c>
      <c r="BI41" s="11">
        <v>28</v>
      </c>
      <c r="BJ41" s="11" t="s">
        <v>1326</v>
      </c>
      <c r="BK41" s="11" t="s">
        <v>183</v>
      </c>
      <c r="BL41" s="11" t="s">
        <v>1326</v>
      </c>
      <c r="BM41" s="11" t="s">
        <v>5003</v>
      </c>
      <c r="BN41" s="11" t="s">
        <v>74</v>
      </c>
      <c r="BO41" s="11" t="s">
        <v>186</v>
      </c>
      <c r="BP41" s="11" t="s">
        <v>74</v>
      </c>
      <c r="BQ41" s="11" t="s">
        <v>74</v>
      </c>
      <c r="BR41" s="11" t="s">
        <v>12946</v>
      </c>
      <c r="BS41" s="11" t="s">
        <v>5004</v>
      </c>
      <c r="BT41" s="11">
        <v>0</v>
      </c>
    </row>
    <row r="42" spans="1:72" x14ac:dyDescent="0.25">
      <c r="A42" s="11" t="s">
        <v>72</v>
      </c>
      <c r="B42" s="11" t="s">
        <v>7486</v>
      </c>
      <c r="C42" s="11" t="s">
        <v>74</v>
      </c>
      <c r="D42" s="11" t="s">
        <v>74</v>
      </c>
      <c r="E42" s="11" t="s">
        <v>74</v>
      </c>
      <c r="F42" s="11" t="s">
        <v>7487</v>
      </c>
      <c r="G42" s="11" t="s">
        <v>74</v>
      </c>
      <c r="H42" s="11" t="s">
        <v>74</v>
      </c>
      <c r="I42" s="11" t="s">
        <v>7488</v>
      </c>
      <c r="J42" s="11" t="s">
        <v>7489</v>
      </c>
      <c r="K42" s="11" t="s">
        <v>74</v>
      </c>
      <c r="L42" s="11" t="s">
        <v>74</v>
      </c>
      <c r="M42" s="11" t="s">
        <v>78</v>
      </c>
      <c r="N42" s="11" t="s">
        <v>79</v>
      </c>
      <c r="O42" s="11" t="s">
        <v>74</v>
      </c>
      <c r="P42" s="11" t="s">
        <v>74</v>
      </c>
      <c r="Q42" s="11" t="s">
        <v>74</v>
      </c>
      <c r="R42" s="11" t="s">
        <v>74</v>
      </c>
      <c r="S42" s="11" t="s">
        <v>74</v>
      </c>
      <c r="T42" s="11" t="s">
        <v>7490</v>
      </c>
      <c r="U42" s="11" t="s">
        <v>7491</v>
      </c>
      <c r="V42" s="11" t="s">
        <v>7492</v>
      </c>
      <c r="W42" s="11" t="s">
        <v>7493</v>
      </c>
      <c r="X42" s="11" t="s">
        <v>7494</v>
      </c>
      <c r="Y42" s="11" t="s">
        <v>7495</v>
      </c>
      <c r="Z42" s="11" t="s">
        <v>7496</v>
      </c>
      <c r="AA42" s="11" t="s">
        <v>74</v>
      </c>
      <c r="AB42" s="11" t="s">
        <v>7497</v>
      </c>
      <c r="AC42" s="11" t="s">
        <v>74</v>
      </c>
      <c r="AD42" s="11" t="s">
        <v>74</v>
      </c>
      <c r="AE42" s="11" t="s">
        <v>74</v>
      </c>
      <c r="AF42" s="11" t="s">
        <v>74</v>
      </c>
      <c r="AG42" s="11">
        <v>40</v>
      </c>
      <c r="AH42" s="11">
        <v>3</v>
      </c>
      <c r="AI42" s="11">
        <v>5</v>
      </c>
      <c r="AJ42" s="11">
        <v>0</v>
      </c>
      <c r="AK42" s="11">
        <v>2</v>
      </c>
      <c r="AL42" s="11" t="s">
        <v>7498</v>
      </c>
      <c r="AM42" s="11" t="s">
        <v>7499</v>
      </c>
      <c r="AN42" s="11" t="s">
        <v>7500</v>
      </c>
      <c r="AO42" s="11" t="s">
        <v>7501</v>
      </c>
      <c r="AP42" s="11" t="s">
        <v>7502</v>
      </c>
      <c r="AQ42" s="11" t="s">
        <v>74</v>
      </c>
      <c r="AR42" s="11" t="s">
        <v>7503</v>
      </c>
      <c r="AS42" s="11" t="s">
        <v>7504</v>
      </c>
      <c r="AT42" s="11" t="s">
        <v>74</v>
      </c>
      <c r="AU42" s="11">
        <v>2021</v>
      </c>
      <c r="AV42" s="11">
        <v>29</v>
      </c>
      <c r="AW42" s="11" t="s">
        <v>74</v>
      </c>
      <c r="AX42" s="11" t="s">
        <v>74</v>
      </c>
      <c r="AY42" s="11" t="s">
        <v>74</v>
      </c>
      <c r="AZ42" s="11" t="s">
        <v>74</v>
      </c>
      <c r="BA42" s="11" t="s">
        <v>74</v>
      </c>
      <c r="BB42" s="11" t="s">
        <v>74</v>
      </c>
      <c r="BC42" s="11" t="s">
        <v>74</v>
      </c>
      <c r="BD42" s="11">
        <v>2446</v>
      </c>
      <c r="BE42" s="11" t="s">
        <v>7505</v>
      </c>
      <c r="BF42" s="11">
        <v>0</v>
      </c>
      <c r="BG42" s="11" t="s">
        <v>74</v>
      </c>
      <c r="BH42" s="11" t="s">
        <v>74</v>
      </c>
      <c r="BI42" s="11">
        <v>18</v>
      </c>
      <c r="BJ42" s="11" t="s">
        <v>1326</v>
      </c>
      <c r="BK42" s="11" t="s">
        <v>183</v>
      </c>
      <c r="BL42" s="11" t="s">
        <v>1326</v>
      </c>
      <c r="BM42" s="11" t="s">
        <v>7506</v>
      </c>
      <c r="BN42" s="11" t="s">
        <v>74</v>
      </c>
      <c r="BO42" s="11" t="s">
        <v>614</v>
      </c>
      <c r="BP42" s="11" t="s">
        <v>74</v>
      </c>
      <c r="BQ42" s="11" t="s">
        <v>74</v>
      </c>
      <c r="BR42" s="11" t="s">
        <v>12946</v>
      </c>
      <c r="BS42" s="11" t="s">
        <v>7507</v>
      </c>
      <c r="BT42" s="11">
        <v>0</v>
      </c>
    </row>
    <row r="43" spans="1:72" x14ac:dyDescent="0.25">
      <c r="A43" s="11" t="s">
        <v>72</v>
      </c>
      <c r="B43" s="11" t="s">
        <v>9213</v>
      </c>
      <c r="C43" s="11" t="s">
        <v>74</v>
      </c>
      <c r="D43" s="11" t="s">
        <v>74</v>
      </c>
      <c r="E43" s="11" t="s">
        <v>74</v>
      </c>
      <c r="F43" s="11" t="s">
        <v>9214</v>
      </c>
      <c r="G43" s="11" t="s">
        <v>74</v>
      </c>
      <c r="H43" s="11" t="s">
        <v>74</v>
      </c>
      <c r="I43" s="11" t="s">
        <v>9215</v>
      </c>
      <c r="J43" s="11" t="s">
        <v>7146</v>
      </c>
      <c r="K43" s="11" t="s">
        <v>74</v>
      </c>
      <c r="L43" s="11" t="s">
        <v>74</v>
      </c>
      <c r="M43" s="11" t="s">
        <v>78</v>
      </c>
      <c r="N43" s="11" t="s">
        <v>79</v>
      </c>
      <c r="O43" s="11" t="s">
        <v>74</v>
      </c>
      <c r="P43" s="11" t="s">
        <v>74</v>
      </c>
      <c r="Q43" s="11" t="s">
        <v>74</v>
      </c>
      <c r="R43" s="11" t="s">
        <v>74</v>
      </c>
      <c r="S43" s="11" t="s">
        <v>74</v>
      </c>
      <c r="T43" s="11" t="s">
        <v>9216</v>
      </c>
      <c r="U43" s="11" t="s">
        <v>74</v>
      </c>
      <c r="V43" s="11" t="s">
        <v>9217</v>
      </c>
      <c r="W43" s="11" t="s">
        <v>9218</v>
      </c>
      <c r="X43" s="11" t="s">
        <v>9219</v>
      </c>
      <c r="Y43" s="11" t="s">
        <v>9220</v>
      </c>
      <c r="Z43" s="11" t="s">
        <v>9221</v>
      </c>
      <c r="AA43" s="11" t="s">
        <v>13309</v>
      </c>
      <c r="AB43" s="11" t="s">
        <v>13310</v>
      </c>
      <c r="AC43" s="11" t="s">
        <v>74</v>
      </c>
      <c r="AD43" s="11" t="s">
        <v>74</v>
      </c>
      <c r="AE43" s="11" t="s">
        <v>74</v>
      </c>
      <c r="AF43" s="11" t="s">
        <v>74</v>
      </c>
      <c r="AG43" s="11">
        <v>6</v>
      </c>
      <c r="AH43" s="11">
        <v>3</v>
      </c>
      <c r="AI43" s="11">
        <v>3</v>
      </c>
      <c r="AJ43" s="11">
        <v>0</v>
      </c>
      <c r="AK43" s="11">
        <v>18</v>
      </c>
      <c r="AL43" s="11" t="s">
        <v>5192</v>
      </c>
      <c r="AM43" s="11" t="s">
        <v>4514</v>
      </c>
      <c r="AN43" s="11" t="s">
        <v>5193</v>
      </c>
      <c r="AO43" s="11" t="s">
        <v>7155</v>
      </c>
      <c r="AP43" s="11" t="s">
        <v>74</v>
      </c>
      <c r="AQ43" s="11" t="s">
        <v>74</v>
      </c>
      <c r="AR43" s="11" t="s">
        <v>7156</v>
      </c>
      <c r="AS43" s="11" t="s">
        <v>7157</v>
      </c>
      <c r="AT43" s="11" t="s">
        <v>9224</v>
      </c>
      <c r="AU43" s="11">
        <v>2019</v>
      </c>
      <c r="AV43" s="11" t="s">
        <v>74</v>
      </c>
      <c r="AW43" s="11">
        <v>146</v>
      </c>
      <c r="AX43" s="11" t="s">
        <v>74</v>
      </c>
      <c r="AY43" s="11" t="s">
        <v>74</v>
      </c>
      <c r="AZ43" s="11" t="s">
        <v>74</v>
      </c>
      <c r="BA43" s="11" t="s">
        <v>74</v>
      </c>
      <c r="BB43" s="11">
        <v>43</v>
      </c>
      <c r="BC43" s="11">
        <v>70</v>
      </c>
      <c r="BD43" s="11" t="s">
        <v>74</v>
      </c>
      <c r="BE43" s="11" t="s">
        <v>9225</v>
      </c>
      <c r="BF43" s="11">
        <v>0</v>
      </c>
      <c r="BG43" s="11" t="s">
        <v>74</v>
      </c>
      <c r="BH43" s="11" t="s">
        <v>74</v>
      </c>
      <c r="BI43" s="11">
        <v>28</v>
      </c>
      <c r="BJ43" s="11" t="s">
        <v>2218</v>
      </c>
      <c r="BK43" s="11" t="s">
        <v>183</v>
      </c>
      <c r="BL43" s="11" t="s">
        <v>2218</v>
      </c>
      <c r="BM43" s="11" t="s">
        <v>9226</v>
      </c>
      <c r="BN43" s="11" t="s">
        <v>74</v>
      </c>
      <c r="BO43" s="11" t="s">
        <v>2162</v>
      </c>
      <c r="BP43" s="11" t="s">
        <v>74</v>
      </c>
      <c r="BQ43" s="11" t="s">
        <v>74</v>
      </c>
      <c r="BR43" s="11" t="s">
        <v>12946</v>
      </c>
      <c r="BS43" s="11" t="s">
        <v>9227</v>
      </c>
      <c r="BT43" s="11">
        <v>0</v>
      </c>
    </row>
    <row r="44" spans="1:72" x14ac:dyDescent="0.25">
      <c r="A44" s="11" t="s">
        <v>72</v>
      </c>
      <c r="B44" s="11" t="s">
        <v>9381</v>
      </c>
      <c r="C44" s="11" t="s">
        <v>74</v>
      </c>
      <c r="D44" s="11" t="s">
        <v>74</v>
      </c>
      <c r="E44" s="11" t="s">
        <v>74</v>
      </c>
      <c r="F44" s="11" t="s">
        <v>9382</v>
      </c>
      <c r="G44" s="11" t="s">
        <v>74</v>
      </c>
      <c r="H44" s="11" t="s">
        <v>74</v>
      </c>
      <c r="I44" s="11" t="s">
        <v>9383</v>
      </c>
      <c r="J44" s="11" t="s">
        <v>9384</v>
      </c>
      <c r="K44" s="11" t="s">
        <v>74</v>
      </c>
      <c r="L44" s="11" t="s">
        <v>74</v>
      </c>
      <c r="M44" s="11" t="s">
        <v>78</v>
      </c>
      <c r="N44" s="11" t="s">
        <v>79</v>
      </c>
      <c r="O44" s="11" t="s">
        <v>74</v>
      </c>
      <c r="P44" s="11" t="s">
        <v>74</v>
      </c>
      <c r="Q44" s="11" t="s">
        <v>74</v>
      </c>
      <c r="R44" s="11" t="s">
        <v>74</v>
      </c>
      <c r="S44" s="11" t="s">
        <v>74</v>
      </c>
      <c r="T44" s="11" t="s">
        <v>9385</v>
      </c>
      <c r="U44" s="11" t="s">
        <v>9386</v>
      </c>
      <c r="V44" s="11" t="s">
        <v>9387</v>
      </c>
      <c r="W44" s="11" t="s">
        <v>9388</v>
      </c>
      <c r="X44" s="11" t="s">
        <v>9389</v>
      </c>
      <c r="Y44" s="11" t="s">
        <v>9390</v>
      </c>
      <c r="Z44" s="11" t="s">
        <v>9391</v>
      </c>
      <c r="AA44" s="11" t="s">
        <v>74</v>
      </c>
      <c r="AB44" s="11" t="s">
        <v>74</v>
      </c>
      <c r="AC44" s="11" t="s">
        <v>74</v>
      </c>
      <c r="AD44" s="11" t="s">
        <v>74</v>
      </c>
      <c r="AE44" s="11" t="s">
        <v>74</v>
      </c>
      <c r="AF44" s="11" t="s">
        <v>74</v>
      </c>
      <c r="AG44" s="11">
        <v>45</v>
      </c>
      <c r="AH44" s="11">
        <v>3</v>
      </c>
      <c r="AI44" s="11">
        <v>3</v>
      </c>
      <c r="AJ44" s="11">
        <v>2</v>
      </c>
      <c r="AK44" s="11">
        <v>5</v>
      </c>
      <c r="AL44" s="11" t="s">
        <v>9392</v>
      </c>
      <c r="AM44" s="11" t="s">
        <v>9393</v>
      </c>
      <c r="AN44" s="11" t="s">
        <v>9394</v>
      </c>
      <c r="AO44" s="11" t="s">
        <v>9395</v>
      </c>
      <c r="AP44" s="11" t="s">
        <v>9396</v>
      </c>
      <c r="AQ44" s="11" t="s">
        <v>74</v>
      </c>
      <c r="AR44" s="11" t="s">
        <v>9397</v>
      </c>
      <c r="AS44" s="11" t="s">
        <v>9398</v>
      </c>
      <c r="AT44" s="11" t="s">
        <v>74</v>
      </c>
      <c r="AU44" s="11">
        <v>2019</v>
      </c>
      <c r="AV44" s="11">
        <v>49</v>
      </c>
      <c r="AW44" s="11">
        <v>2</v>
      </c>
      <c r="AX44" s="11" t="s">
        <v>74</v>
      </c>
      <c r="AY44" s="11" t="s">
        <v>74</v>
      </c>
      <c r="AZ44" s="11" t="s">
        <v>74</v>
      </c>
      <c r="BA44" s="11" t="s">
        <v>74</v>
      </c>
      <c r="BB44" s="11">
        <v>133</v>
      </c>
      <c r="BC44" s="11">
        <v>149</v>
      </c>
      <c r="BD44" s="11" t="s">
        <v>74</v>
      </c>
      <c r="BE44" s="11" t="s">
        <v>9399</v>
      </c>
      <c r="BF44" s="11">
        <v>0</v>
      </c>
      <c r="BG44" s="11" t="s">
        <v>74</v>
      </c>
      <c r="BH44" s="11" t="s">
        <v>74</v>
      </c>
      <c r="BI44" s="11">
        <v>17</v>
      </c>
      <c r="BJ44" s="11" t="s">
        <v>1326</v>
      </c>
      <c r="BK44" s="11" t="s">
        <v>183</v>
      </c>
      <c r="BL44" s="11" t="s">
        <v>1326</v>
      </c>
      <c r="BM44" s="11" t="s">
        <v>9400</v>
      </c>
      <c r="BN44" s="11" t="s">
        <v>74</v>
      </c>
      <c r="BO44" s="11" t="s">
        <v>2730</v>
      </c>
      <c r="BP44" s="11" t="s">
        <v>74</v>
      </c>
      <c r="BQ44" s="11" t="s">
        <v>74</v>
      </c>
      <c r="BR44" s="11" t="s">
        <v>12946</v>
      </c>
      <c r="BS44" s="11" t="s">
        <v>9401</v>
      </c>
      <c r="BT44" s="11">
        <v>0</v>
      </c>
    </row>
    <row r="45" spans="1:72" x14ac:dyDescent="0.25">
      <c r="A45" s="11" t="s">
        <v>72</v>
      </c>
      <c r="B45" s="11" t="s">
        <v>9478</v>
      </c>
      <c r="C45" s="11" t="s">
        <v>74</v>
      </c>
      <c r="D45" s="11" t="s">
        <v>74</v>
      </c>
      <c r="E45" s="11" t="s">
        <v>74</v>
      </c>
      <c r="F45" s="11" t="s">
        <v>9479</v>
      </c>
      <c r="G45" s="11" t="s">
        <v>74</v>
      </c>
      <c r="H45" s="11" t="s">
        <v>74</v>
      </c>
      <c r="I45" s="11" t="s">
        <v>9480</v>
      </c>
      <c r="J45" s="11" t="s">
        <v>9481</v>
      </c>
      <c r="K45" s="11" t="s">
        <v>74</v>
      </c>
      <c r="L45" s="11" t="s">
        <v>74</v>
      </c>
      <c r="M45" s="11" t="s">
        <v>929</v>
      </c>
      <c r="N45" s="11" t="s">
        <v>79</v>
      </c>
      <c r="O45" s="11" t="s">
        <v>74</v>
      </c>
      <c r="P45" s="11" t="s">
        <v>74</v>
      </c>
      <c r="Q45" s="11" t="s">
        <v>74</v>
      </c>
      <c r="R45" s="11" t="s">
        <v>74</v>
      </c>
      <c r="S45" s="11" t="s">
        <v>74</v>
      </c>
      <c r="T45" s="11" t="s">
        <v>9482</v>
      </c>
      <c r="U45" s="11" t="s">
        <v>9483</v>
      </c>
      <c r="V45" s="11" t="s">
        <v>9484</v>
      </c>
      <c r="W45" s="11" t="s">
        <v>9485</v>
      </c>
      <c r="X45" s="11" t="s">
        <v>13311</v>
      </c>
      <c r="Y45" s="11" t="s">
        <v>9487</v>
      </c>
      <c r="Z45" s="11" t="s">
        <v>9488</v>
      </c>
      <c r="AA45" s="11" t="s">
        <v>9489</v>
      </c>
      <c r="AB45" s="11" t="s">
        <v>13312</v>
      </c>
      <c r="AC45" s="11" t="s">
        <v>74</v>
      </c>
      <c r="AD45" s="11" t="s">
        <v>74</v>
      </c>
      <c r="AE45" s="11" t="s">
        <v>74</v>
      </c>
      <c r="AF45" s="11" t="s">
        <v>74</v>
      </c>
      <c r="AG45" s="11">
        <v>37</v>
      </c>
      <c r="AH45" s="11">
        <v>3</v>
      </c>
      <c r="AI45" s="11">
        <v>4</v>
      </c>
      <c r="AJ45" s="11">
        <v>1</v>
      </c>
      <c r="AK45" s="11">
        <v>17</v>
      </c>
      <c r="AL45" s="11" t="s">
        <v>9491</v>
      </c>
      <c r="AM45" s="11" t="s">
        <v>9492</v>
      </c>
      <c r="AN45" s="11" t="s">
        <v>9493</v>
      </c>
      <c r="AO45" s="11" t="s">
        <v>9494</v>
      </c>
      <c r="AP45" s="11" t="s">
        <v>9495</v>
      </c>
      <c r="AQ45" s="11" t="s">
        <v>74</v>
      </c>
      <c r="AR45" s="11" t="s">
        <v>9496</v>
      </c>
      <c r="AS45" s="11" t="s">
        <v>9497</v>
      </c>
      <c r="AT45" s="11" t="s">
        <v>74</v>
      </c>
      <c r="AU45" s="11">
        <v>2019</v>
      </c>
      <c r="AV45" s="11">
        <v>18</v>
      </c>
      <c r="AW45" s="11">
        <v>2</v>
      </c>
      <c r="AX45" s="11" t="s">
        <v>74</v>
      </c>
      <c r="AY45" s="11" t="s">
        <v>74</v>
      </c>
      <c r="AZ45" s="11" t="s">
        <v>74</v>
      </c>
      <c r="BA45" s="11" t="s">
        <v>74</v>
      </c>
      <c r="BB45" s="11">
        <v>31</v>
      </c>
      <c r="BC45" s="11">
        <v>43</v>
      </c>
      <c r="BD45" s="11" t="s">
        <v>74</v>
      </c>
      <c r="BE45" s="11" t="s">
        <v>9498</v>
      </c>
      <c r="BF45" s="11">
        <v>0</v>
      </c>
      <c r="BG45" s="11" t="s">
        <v>74</v>
      </c>
      <c r="BH45" s="11" t="s">
        <v>74</v>
      </c>
      <c r="BI45" s="11">
        <v>13</v>
      </c>
      <c r="BJ45" s="11" t="s">
        <v>1326</v>
      </c>
      <c r="BK45" s="11" t="s">
        <v>183</v>
      </c>
      <c r="BL45" s="11" t="s">
        <v>1326</v>
      </c>
      <c r="BM45" s="11" t="s">
        <v>9499</v>
      </c>
      <c r="BN45" s="11" t="s">
        <v>74</v>
      </c>
      <c r="BO45" s="11" t="s">
        <v>2162</v>
      </c>
      <c r="BP45" s="11" t="s">
        <v>74</v>
      </c>
      <c r="BQ45" s="11" t="s">
        <v>74</v>
      </c>
      <c r="BR45" s="11" t="s">
        <v>12946</v>
      </c>
      <c r="BS45" s="11" t="s">
        <v>9501</v>
      </c>
      <c r="BT45" s="11">
        <v>0</v>
      </c>
    </row>
    <row r="46" spans="1:72" x14ac:dyDescent="0.25">
      <c r="A46" s="11" t="s">
        <v>477</v>
      </c>
      <c r="B46" s="11" t="s">
        <v>10945</v>
      </c>
      <c r="C46" s="11" t="s">
        <v>10946</v>
      </c>
      <c r="D46" s="11" t="s">
        <v>74</v>
      </c>
      <c r="E46" s="11" t="s">
        <v>74</v>
      </c>
      <c r="F46" s="11" t="s">
        <v>10947</v>
      </c>
      <c r="G46" s="11" t="s">
        <v>10946</v>
      </c>
      <c r="H46" s="11" t="s">
        <v>74</v>
      </c>
      <c r="I46" s="11" t="s">
        <v>10948</v>
      </c>
      <c r="J46" s="11" t="s">
        <v>10949</v>
      </c>
      <c r="K46" s="11" t="s">
        <v>10950</v>
      </c>
      <c r="L46" s="11" t="s">
        <v>74</v>
      </c>
      <c r="M46" s="11" t="s">
        <v>78</v>
      </c>
      <c r="N46" s="11" t="s">
        <v>4932</v>
      </c>
      <c r="O46" s="11" t="s">
        <v>74</v>
      </c>
      <c r="P46" s="11" t="s">
        <v>74</v>
      </c>
      <c r="Q46" s="11" t="s">
        <v>74</v>
      </c>
      <c r="R46" s="11" t="s">
        <v>74</v>
      </c>
      <c r="S46" s="11" t="s">
        <v>74</v>
      </c>
      <c r="T46" s="11" t="s">
        <v>74</v>
      </c>
      <c r="U46" s="11" t="s">
        <v>74</v>
      </c>
      <c r="V46" s="11" t="s">
        <v>10951</v>
      </c>
      <c r="W46" s="11" t="s">
        <v>10952</v>
      </c>
      <c r="X46" s="11" t="s">
        <v>10953</v>
      </c>
      <c r="Y46" s="11" t="s">
        <v>10954</v>
      </c>
      <c r="Z46" s="11" t="s">
        <v>74</v>
      </c>
      <c r="AA46" s="11" t="s">
        <v>13313</v>
      </c>
      <c r="AB46" s="11" t="s">
        <v>13314</v>
      </c>
      <c r="AC46" s="11" t="s">
        <v>74</v>
      </c>
      <c r="AD46" s="11" t="s">
        <v>74</v>
      </c>
      <c r="AE46" s="11" t="s">
        <v>74</v>
      </c>
      <c r="AF46" s="11" t="s">
        <v>74</v>
      </c>
      <c r="AG46" s="11">
        <v>20</v>
      </c>
      <c r="AH46" s="11">
        <v>3</v>
      </c>
      <c r="AI46" s="11">
        <v>4</v>
      </c>
      <c r="AJ46" s="11">
        <v>0</v>
      </c>
      <c r="AK46" s="11">
        <v>8</v>
      </c>
      <c r="AL46" s="11" t="s">
        <v>121</v>
      </c>
      <c r="AM46" s="11" t="s">
        <v>122</v>
      </c>
      <c r="AN46" s="11" t="s">
        <v>10957</v>
      </c>
      <c r="AO46" s="11" t="s">
        <v>74</v>
      </c>
      <c r="AP46" s="11" t="s">
        <v>74</v>
      </c>
      <c r="AQ46" s="11" t="s">
        <v>10958</v>
      </c>
      <c r="AR46" s="11" t="s">
        <v>10959</v>
      </c>
      <c r="AS46" s="11" t="s">
        <v>74</v>
      </c>
      <c r="AT46" s="11" t="s">
        <v>74</v>
      </c>
      <c r="AU46" s="11">
        <v>2017</v>
      </c>
      <c r="AV46" s="11">
        <v>16</v>
      </c>
      <c r="AW46" s="11" t="s">
        <v>74</v>
      </c>
      <c r="AX46" s="11" t="s">
        <v>74</v>
      </c>
      <c r="AY46" s="11" t="s">
        <v>74</v>
      </c>
      <c r="AZ46" s="11" t="s">
        <v>74</v>
      </c>
      <c r="BA46" s="11" t="s">
        <v>74</v>
      </c>
      <c r="BB46" s="11">
        <v>7</v>
      </c>
      <c r="BC46" s="11">
        <v>20</v>
      </c>
      <c r="BD46" s="11" t="s">
        <v>74</v>
      </c>
      <c r="BE46" s="11" t="s">
        <v>10960</v>
      </c>
      <c r="BF46" s="11">
        <v>0</v>
      </c>
      <c r="BG46" s="11" t="s">
        <v>10961</v>
      </c>
      <c r="BH46" s="11" t="s">
        <v>74</v>
      </c>
      <c r="BI46" s="11">
        <v>14</v>
      </c>
      <c r="BJ46" s="11" t="s">
        <v>10962</v>
      </c>
      <c r="BK46" s="11" t="s">
        <v>4943</v>
      </c>
      <c r="BL46" s="11" t="s">
        <v>340</v>
      </c>
      <c r="BM46" s="11" t="s">
        <v>10963</v>
      </c>
      <c r="BN46" s="11" t="s">
        <v>74</v>
      </c>
      <c r="BO46" s="11" t="s">
        <v>74</v>
      </c>
      <c r="BP46" s="11" t="s">
        <v>74</v>
      </c>
      <c r="BQ46" s="11" t="s">
        <v>74</v>
      </c>
      <c r="BR46" s="11" t="s">
        <v>12946</v>
      </c>
      <c r="BS46" s="11" t="s">
        <v>10964</v>
      </c>
      <c r="BT46" s="11">
        <v>0</v>
      </c>
    </row>
    <row r="47" spans="1:72" x14ac:dyDescent="0.25">
      <c r="A47" s="11" t="s">
        <v>72</v>
      </c>
      <c r="B47" s="11" t="s">
        <v>11933</v>
      </c>
      <c r="C47" s="11" t="s">
        <v>74</v>
      </c>
      <c r="D47" s="11" t="s">
        <v>74</v>
      </c>
      <c r="E47" s="11" t="s">
        <v>74</v>
      </c>
      <c r="F47" s="11" t="s">
        <v>11934</v>
      </c>
      <c r="G47" s="11" t="s">
        <v>74</v>
      </c>
      <c r="H47" s="11" t="s">
        <v>74</v>
      </c>
      <c r="I47" s="11" t="s">
        <v>11935</v>
      </c>
      <c r="J47" s="11" t="s">
        <v>11936</v>
      </c>
      <c r="K47" s="11" t="s">
        <v>74</v>
      </c>
      <c r="L47" s="11" t="s">
        <v>74</v>
      </c>
      <c r="M47" s="11" t="s">
        <v>78</v>
      </c>
      <c r="N47" s="11" t="s">
        <v>79</v>
      </c>
      <c r="O47" s="11" t="s">
        <v>74</v>
      </c>
      <c r="P47" s="11" t="s">
        <v>74</v>
      </c>
      <c r="Q47" s="11" t="s">
        <v>74</v>
      </c>
      <c r="R47" s="11" t="s">
        <v>74</v>
      </c>
      <c r="S47" s="11" t="s">
        <v>74</v>
      </c>
      <c r="T47" s="11" t="s">
        <v>11937</v>
      </c>
      <c r="U47" s="11" t="s">
        <v>74</v>
      </c>
      <c r="V47" s="11" t="s">
        <v>11938</v>
      </c>
      <c r="W47" s="11" t="s">
        <v>11939</v>
      </c>
      <c r="X47" s="11" t="s">
        <v>11940</v>
      </c>
      <c r="Y47" s="11" t="s">
        <v>11941</v>
      </c>
      <c r="Z47" s="11" t="s">
        <v>11942</v>
      </c>
      <c r="AA47" s="11" t="s">
        <v>74</v>
      </c>
      <c r="AB47" s="11" t="s">
        <v>74</v>
      </c>
      <c r="AC47" s="11" t="s">
        <v>74</v>
      </c>
      <c r="AD47" s="11" t="s">
        <v>74</v>
      </c>
      <c r="AE47" s="11" t="s">
        <v>74</v>
      </c>
      <c r="AF47" s="11" t="s">
        <v>74</v>
      </c>
      <c r="AG47" s="11">
        <v>6</v>
      </c>
      <c r="AH47" s="11">
        <v>3</v>
      </c>
      <c r="AI47" s="11">
        <v>3</v>
      </c>
      <c r="AJ47" s="11">
        <v>1</v>
      </c>
      <c r="AK47" s="11">
        <v>7</v>
      </c>
      <c r="AL47" s="11" t="s">
        <v>715</v>
      </c>
      <c r="AM47" s="11" t="s">
        <v>716</v>
      </c>
      <c r="AN47" s="11" t="s">
        <v>717</v>
      </c>
      <c r="AO47" s="11" t="s">
        <v>11943</v>
      </c>
      <c r="AP47" s="11" t="s">
        <v>11944</v>
      </c>
      <c r="AQ47" s="11" t="s">
        <v>74</v>
      </c>
      <c r="AR47" s="11" t="s">
        <v>11945</v>
      </c>
      <c r="AS47" s="11" t="s">
        <v>11946</v>
      </c>
      <c r="AT47" s="11" t="s">
        <v>74</v>
      </c>
      <c r="AU47" s="11">
        <v>2014</v>
      </c>
      <c r="AV47" s="11">
        <v>115</v>
      </c>
      <c r="AW47" s="11" t="s">
        <v>976</v>
      </c>
      <c r="AX47" s="11" t="s">
        <v>74</v>
      </c>
      <c r="AY47" s="11" t="s">
        <v>74</v>
      </c>
      <c r="AZ47" s="11" t="s">
        <v>74</v>
      </c>
      <c r="BA47" s="11" t="s">
        <v>74</v>
      </c>
      <c r="BB47" s="11">
        <v>405</v>
      </c>
      <c r="BC47" s="11">
        <v>408</v>
      </c>
      <c r="BD47" s="11" t="s">
        <v>74</v>
      </c>
      <c r="BE47" s="11" t="s">
        <v>11947</v>
      </c>
      <c r="BF47" s="11">
        <v>0</v>
      </c>
      <c r="BG47" s="11" t="s">
        <v>74</v>
      </c>
      <c r="BH47" s="11" t="s">
        <v>74</v>
      </c>
      <c r="BI47" s="11">
        <v>4</v>
      </c>
      <c r="BJ47" s="11" t="s">
        <v>3050</v>
      </c>
      <c r="BK47" s="11" t="s">
        <v>183</v>
      </c>
      <c r="BL47" s="11" t="s">
        <v>3050</v>
      </c>
      <c r="BM47" s="11" t="s">
        <v>11948</v>
      </c>
      <c r="BN47" s="11" t="s">
        <v>74</v>
      </c>
      <c r="BO47" s="11" t="s">
        <v>74</v>
      </c>
      <c r="BP47" s="11" t="s">
        <v>74</v>
      </c>
      <c r="BQ47" s="11" t="s">
        <v>74</v>
      </c>
      <c r="BR47" s="11" t="s">
        <v>12946</v>
      </c>
      <c r="BS47" s="11" t="s">
        <v>11949</v>
      </c>
      <c r="BT47" s="11">
        <v>0</v>
      </c>
    </row>
    <row r="48" spans="1:72" x14ac:dyDescent="0.25">
      <c r="A48" s="11" t="s">
        <v>72</v>
      </c>
      <c r="B48" s="11" t="s">
        <v>592</v>
      </c>
      <c r="C48" s="11" t="s">
        <v>74</v>
      </c>
      <c r="D48" s="11" t="s">
        <v>74</v>
      </c>
      <c r="E48" s="11" t="s">
        <v>74</v>
      </c>
      <c r="F48" s="11" t="s">
        <v>593</v>
      </c>
      <c r="G48" s="11" t="s">
        <v>74</v>
      </c>
      <c r="H48" s="11" t="s">
        <v>74</v>
      </c>
      <c r="I48" s="11" t="s">
        <v>594</v>
      </c>
      <c r="J48" s="11" t="s">
        <v>595</v>
      </c>
      <c r="K48" s="11" t="s">
        <v>74</v>
      </c>
      <c r="L48" s="11" t="s">
        <v>74</v>
      </c>
      <c r="M48" s="11" t="s">
        <v>78</v>
      </c>
      <c r="N48" s="11" t="s">
        <v>79</v>
      </c>
      <c r="O48" s="11" t="s">
        <v>74</v>
      </c>
      <c r="P48" s="11" t="s">
        <v>74</v>
      </c>
      <c r="Q48" s="11" t="s">
        <v>74</v>
      </c>
      <c r="R48" s="11" t="s">
        <v>74</v>
      </c>
      <c r="S48" s="11" t="s">
        <v>74</v>
      </c>
      <c r="T48" s="11" t="s">
        <v>596</v>
      </c>
      <c r="U48" s="11" t="s">
        <v>597</v>
      </c>
      <c r="V48" s="11" t="s">
        <v>598</v>
      </c>
      <c r="W48" s="11" t="s">
        <v>599</v>
      </c>
      <c r="X48" s="11" t="s">
        <v>600</v>
      </c>
      <c r="Y48" s="11" t="s">
        <v>601</v>
      </c>
      <c r="Z48" s="11" t="s">
        <v>602</v>
      </c>
      <c r="AA48" s="11" t="s">
        <v>74</v>
      </c>
      <c r="AB48" s="11" t="s">
        <v>74</v>
      </c>
      <c r="AC48" s="11" t="s">
        <v>604</v>
      </c>
      <c r="AD48" s="11" t="s">
        <v>605</v>
      </c>
      <c r="AE48" s="11" t="s">
        <v>606</v>
      </c>
      <c r="AF48" s="11" t="s">
        <v>74</v>
      </c>
      <c r="AG48" s="11">
        <v>89</v>
      </c>
      <c r="AH48" s="11">
        <v>2</v>
      </c>
      <c r="AI48" s="11">
        <v>2</v>
      </c>
      <c r="AJ48" s="11">
        <v>6</v>
      </c>
      <c r="AK48" s="11">
        <v>13</v>
      </c>
      <c r="AL48" s="11" t="s">
        <v>174</v>
      </c>
      <c r="AM48" s="11" t="s">
        <v>175</v>
      </c>
      <c r="AN48" s="11" t="s">
        <v>176</v>
      </c>
      <c r="AO48" s="11" t="s">
        <v>74</v>
      </c>
      <c r="AP48" s="11" t="s">
        <v>607</v>
      </c>
      <c r="AQ48" s="11" t="s">
        <v>74</v>
      </c>
      <c r="AR48" s="11" t="s">
        <v>608</v>
      </c>
      <c r="AS48" s="11" t="s">
        <v>609</v>
      </c>
      <c r="AT48" s="11" t="s">
        <v>610</v>
      </c>
      <c r="AU48" s="11">
        <v>2023</v>
      </c>
      <c r="AV48" s="11">
        <v>23</v>
      </c>
      <c r="AW48" s="11">
        <v>1</v>
      </c>
      <c r="AX48" s="11" t="s">
        <v>74</v>
      </c>
      <c r="AY48" s="11" t="s">
        <v>74</v>
      </c>
      <c r="AZ48" s="11" t="s">
        <v>74</v>
      </c>
      <c r="BA48" s="11" t="s">
        <v>74</v>
      </c>
      <c r="BB48" s="11" t="s">
        <v>74</v>
      </c>
      <c r="BC48" s="11" t="s">
        <v>74</v>
      </c>
      <c r="BD48" s="11">
        <v>848</v>
      </c>
      <c r="BE48" s="11" t="s">
        <v>611</v>
      </c>
      <c r="BF48" s="11">
        <v>0</v>
      </c>
      <c r="BG48" s="11" t="s">
        <v>74</v>
      </c>
      <c r="BH48" s="11" t="s">
        <v>74</v>
      </c>
      <c r="BI48" s="11">
        <v>15</v>
      </c>
      <c r="BJ48" s="11" t="s">
        <v>612</v>
      </c>
      <c r="BK48" s="11" t="s">
        <v>102</v>
      </c>
      <c r="BL48" s="11" t="s">
        <v>612</v>
      </c>
      <c r="BM48" s="11" t="s">
        <v>613</v>
      </c>
      <c r="BN48" s="11">
        <v>37563599</v>
      </c>
      <c r="BO48" s="11" t="s">
        <v>422</v>
      </c>
      <c r="BP48" s="11" t="s">
        <v>74</v>
      </c>
      <c r="BQ48" s="11" t="s">
        <v>74</v>
      </c>
      <c r="BR48" s="11" t="s">
        <v>12946</v>
      </c>
      <c r="BS48" s="11" t="s">
        <v>615</v>
      </c>
      <c r="BT48" s="11">
        <v>0</v>
      </c>
    </row>
    <row r="49" spans="1:72" x14ac:dyDescent="0.25">
      <c r="A49" s="11" t="s">
        <v>72</v>
      </c>
      <c r="B49" s="11" t="s">
        <v>2304</v>
      </c>
      <c r="C49" s="11" t="s">
        <v>74</v>
      </c>
      <c r="D49" s="11" t="s">
        <v>74</v>
      </c>
      <c r="E49" s="11" t="s">
        <v>74</v>
      </c>
      <c r="F49" s="11" t="s">
        <v>2305</v>
      </c>
      <c r="G49" s="11" t="s">
        <v>74</v>
      </c>
      <c r="H49" s="11" t="s">
        <v>74</v>
      </c>
      <c r="I49" s="11" t="s">
        <v>2306</v>
      </c>
      <c r="J49" s="11" t="s">
        <v>2307</v>
      </c>
      <c r="K49" s="11" t="s">
        <v>74</v>
      </c>
      <c r="L49" s="11" t="s">
        <v>74</v>
      </c>
      <c r="M49" s="11" t="s">
        <v>78</v>
      </c>
      <c r="N49" s="11" t="s">
        <v>79</v>
      </c>
      <c r="O49" s="11" t="s">
        <v>74</v>
      </c>
      <c r="P49" s="11" t="s">
        <v>74</v>
      </c>
      <c r="Q49" s="11" t="s">
        <v>74</v>
      </c>
      <c r="R49" s="11" t="s">
        <v>74</v>
      </c>
      <c r="S49" s="11" t="s">
        <v>74</v>
      </c>
      <c r="T49" s="11" t="s">
        <v>2308</v>
      </c>
      <c r="U49" s="11" t="s">
        <v>2309</v>
      </c>
      <c r="V49" s="11" t="s">
        <v>2310</v>
      </c>
      <c r="W49" s="11" t="s">
        <v>2311</v>
      </c>
      <c r="X49" s="11" t="s">
        <v>2312</v>
      </c>
      <c r="Y49" s="11" t="s">
        <v>2313</v>
      </c>
      <c r="Z49" s="11" t="s">
        <v>2314</v>
      </c>
      <c r="AA49" s="11" t="s">
        <v>13315</v>
      </c>
      <c r="AB49" s="11" t="s">
        <v>2315</v>
      </c>
      <c r="AC49" s="11" t="s">
        <v>74</v>
      </c>
      <c r="AD49" s="11" t="s">
        <v>74</v>
      </c>
      <c r="AE49" s="11" t="s">
        <v>74</v>
      </c>
      <c r="AF49" s="11" t="s">
        <v>74</v>
      </c>
      <c r="AG49" s="11">
        <v>38</v>
      </c>
      <c r="AH49" s="11">
        <v>2</v>
      </c>
      <c r="AI49" s="11">
        <v>2</v>
      </c>
      <c r="AJ49" s="11">
        <v>1</v>
      </c>
      <c r="AK49" s="11">
        <v>11</v>
      </c>
      <c r="AL49" s="11" t="s">
        <v>1013</v>
      </c>
      <c r="AM49" s="11" t="s">
        <v>493</v>
      </c>
      <c r="AN49" s="11" t="s">
        <v>1014</v>
      </c>
      <c r="AO49" s="11" t="s">
        <v>2316</v>
      </c>
      <c r="AP49" s="11" t="s">
        <v>74</v>
      </c>
      <c r="AQ49" s="11" t="s">
        <v>74</v>
      </c>
      <c r="AR49" s="11" t="s">
        <v>2317</v>
      </c>
      <c r="AS49" s="11" t="s">
        <v>2318</v>
      </c>
      <c r="AT49" s="11" t="s">
        <v>2319</v>
      </c>
      <c r="AU49" s="11">
        <v>2022</v>
      </c>
      <c r="AV49" s="11">
        <v>27</v>
      </c>
      <c r="AW49" s="11">
        <v>1</v>
      </c>
      <c r="AX49" s="11" t="s">
        <v>74</v>
      </c>
      <c r="AY49" s="11" t="s">
        <v>74</v>
      </c>
      <c r="AZ49" s="11" t="s">
        <v>74</v>
      </c>
      <c r="BA49" s="11" t="s">
        <v>74</v>
      </c>
      <c r="BB49" s="11" t="s">
        <v>74</v>
      </c>
      <c r="BC49" s="11" t="s">
        <v>74</v>
      </c>
      <c r="BD49" s="11">
        <v>2114131</v>
      </c>
      <c r="BE49" s="11" t="s">
        <v>2320</v>
      </c>
      <c r="BF49" s="11">
        <v>0</v>
      </c>
      <c r="BG49" s="11" t="s">
        <v>74</v>
      </c>
      <c r="BH49" s="11" t="s">
        <v>74</v>
      </c>
      <c r="BI49" s="11">
        <v>11</v>
      </c>
      <c r="BJ49" s="11" t="s">
        <v>1326</v>
      </c>
      <c r="BK49" s="11" t="s">
        <v>156</v>
      </c>
      <c r="BL49" s="11" t="s">
        <v>1326</v>
      </c>
      <c r="BM49" s="11" t="s">
        <v>2321</v>
      </c>
      <c r="BN49" s="11">
        <v>35993348</v>
      </c>
      <c r="BO49" s="11" t="s">
        <v>614</v>
      </c>
      <c r="BP49" s="11" t="s">
        <v>74</v>
      </c>
      <c r="BQ49" s="11" t="s">
        <v>74</v>
      </c>
      <c r="BR49" s="11" t="s">
        <v>12946</v>
      </c>
      <c r="BS49" s="11" t="s">
        <v>2322</v>
      </c>
      <c r="BT49" s="11">
        <v>0</v>
      </c>
    </row>
    <row r="50" spans="1:72" x14ac:dyDescent="0.25">
      <c r="A50" s="11" t="s">
        <v>72</v>
      </c>
      <c r="B50" s="11" t="s">
        <v>2413</v>
      </c>
      <c r="C50" s="11" t="s">
        <v>74</v>
      </c>
      <c r="D50" s="11" t="s">
        <v>74</v>
      </c>
      <c r="E50" s="11" t="s">
        <v>74</v>
      </c>
      <c r="F50" s="11" t="s">
        <v>2414</v>
      </c>
      <c r="G50" s="11" t="s">
        <v>74</v>
      </c>
      <c r="H50" s="11" t="s">
        <v>74</v>
      </c>
      <c r="I50" s="11" t="s">
        <v>2415</v>
      </c>
      <c r="J50" s="11" t="s">
        <v>2398</v>
      </c>
      <c r="K50" s="11" t="s">
        <v>74</v>
      </c>
      <c r="L50" s="11" t="s">
        <v>74</v>
      </c>
      <c r="M50" s="11" t="s">
        <v>78</v>
      </c>
      <c r="N50" s="11" t="s">
        <v>79</v>
      </c>
      <c r="O50" s="11" t="s">
        <v>74</v>
      </c>
      <c r="P50" s="11" t="s">
        <v>74</v>
      </c>
      <c r="Q50" s="11" t="s">
        <v>74</v>
      </c>
      <c r="R50" s="11" t="s">
        <v>74</v>
      </c>
      <c r="S50" s="11" t="s">
        <v>74</v>
      </c>
      <c r="T50" s="11" t="s">
        <v>74</v>
      </c>
      <c r="U50" s="11" t="s">
        <v>2416</v>
      </c>
      <c r="V50" s="11" t="s">
        <v>2417</v>
      </c>
      <c r="W50" s="11" t="s">
        <v>2418</v>
      </c>
      <c r="X50" s="11" t="s">
        <v>2419</v>
      </c>
      <c r="Y50" s="11" t="s">
        <v>2420</v>
      </c>
      <c r="Z50" s="11" t="s">
        <v>2421</v>
      </c>
      <c r="AA50" s="11" t="s">
        <v>13316</v>
      </c>
      <c r="AB50" s="11" t="s">
        <v>13317</v>
      </c>
      <c r="AC50" s="11" t="s">
        <v>2424</v>
      </c>
      <c r="AD50" s="11" t="s">
        <v>2425</v>
      </c>
      <c r="AE50" s="11" t="s">
        <v>2424</v>
      </c>
      <c r="AF50" s="11" t="s">
        <v>74</v>
      </c>
      <c r="AG50" s="11">
        <v>48</v>
      </c>
      <c r="AH50" s="11">
        <v>2</v>
      </c>
      <c r="AI50" s="11">
        <v>2</v>
      </c>
      <c r="AJ50" s="11">
        <v>2</v>
      </c>
      <c r="AK50" s="11">
        <v>22</v>
      </c>
      <c r="AL50" s="11" t="s">
        <v>146</v>
      </c>
      <c r="AM50" s="11" t="s">
        <v>147</v>
      </c>
      <c r="AN50" s="11" t="s">
        <v>148</v>
      </c>
      <c r="AO50" s="11" t="s">
        <v>2406</v>
      </c>
      <c r="AP50" s="11" t="s">
        <v>2407</v>
      </c>
      <c r="AQ50" s="11" t="s">
        <v>74</v>
      </c>
      <c r="AR50" s="11" t="s">
        <v>2408</v>
      </c>
      <c r="AS50" s="11" t="s">
        <v>2409</v>
      </c>
      <c r="AT50" s="11" t="s">
        <v>1448</v>
      </c>
      <c r="AU50" s="11">
        <v>2023</v>
      </c>
      <c r="AV50" s="11">
        <v>49</v>
      </c>
      <c r="AW50" s="11">
        <v>2</v>
      </c>
      <c r="AX50" s="11" t="s">
        <v>74</v>
      </c>
      <c r="AY50" s="11" t="s">
        <v>74</v>
      </c>
      <c r="AZ50" s="11" t="s">
        <v>74</v>
      </c>
      <c r="BA50" s="11" t="s">
        <v>74</v>
      </c>
      <c r="BB50" s="11">
        <v>329</v>
      </c>
      <c r="BC50" s="11">
        <v>351</v>
      </c>
      <c r="BD50" s="11" t="s">
        <v>74</v>
      </c>
      <c r="BE50" s="11" t="s">
        <v>2426</v>
      </c>
      <c r="BF50" s="11">
        <v>0</v>
      </c>
      <c r="BG50" s="11" t="s">
        <v>74</v>
      </c>
      <c r="BH50" s="11" t="s">
        <v>2368</v>
      </c>
      <c r="BI50" s="11">
        <v>23</v>
      </c>
      <c r="BJ50" s="11" t="s">
        <v>1326</v>
      </c>
      <c r="BK50" s="11" t="s">
        <v>156</v>
      </c>
      <c r="BL50" s="11" t="s">
        <v>1326</v>
      </c>
      <c r="BM50" s="11" t="s">
        <v>2411</v>
      </c>
      <c r="BN50" s="11" t="s">
        <v>74</v>
      </c>
      <c r="BO50" s="11" t="s">
        <v>2427</v>
      </c>
      <c r="BP50" s="11" t="s">
        <v>74</v>
      </c>
      <c r="BQ50" s="11" t="s">
        <v>74</v>
      </c>
      <c r="BR50" s="11" t="s">
        <v>12946</v>
      </c>
      <c r="BS50" s="11" t="s">
        <v>2428</v>
      </c>
      <c r="BT50" s="11">
        <v>0</v>
      </c>
    </row>
    <row r="51" spans="1:72" x14ac:dyDescent="0.25">
      <c r="A51" s="11" t="s">
        <v>72</v>
      </c>
      <c r="B51" s="11" t="s">
        <v>4462</v>
      </c>
      <c r="C51" s="11" t="s">
        <v>74</v>
      </c>
      <c r="D51" s="11" t="s">
        <v>74</v>
      </c>
      <c r="E51" s="11" t="s">
        <v>74</v>
      </c>
      <c r="F51" s="11" t="s">
        <v>4463</v>
      </c>
      <c r="G51" s="11" t="s">
        <v>74</v>
      </c>
      <c r="H51" s="11" t="s">
        <v>74</v>
      </c>
      <c r="I51" s="11" t="s">
        <v>4464</v>
      </c>
      <c r="J51" s="11" t="s">
        <v>4465</v>
      </c>
      <c r="K51" s="11" t="s">
        <v>74</v>
      </c>
      <c r="L51" s="11" t="s">
        <v>74</v>
      </c>
      <c r="M51" s="11" t="s">
        <v>2896</v>
      </c>
      <c r="N51" s="11" t="s">
        <v>79</v>
      </c>
      <c r="O51" s="11" t="s">
        <v>74</v>
      </c>
      <c r="P51" s="11" t="s">
        <v>74</v>
      </c>
      <c r="Q51" s="11" t="s">
        <v>74</v>
      </c>
      <c r="R51" s="11" t="s">
        <v>74</v>
      </c>
      <c r="S51" s="11" t="s">
        <v>74</v>
      </c>
      <c r="T51" s="11" t="s">
        <v>4466</v>
      </c>
      <c r="U51" s="11" t="s">
        <v>74</v>
      </c>
      <c r="V51" s="11" t="s">
        <v>4467</v>
      </c>
      <c r="W51" s="11" t="s">
        <v>4468</v>
      </c>
      <c r="X51" s="11" t="s">
        <v>4469</v>
      </c>
      <c r="Y51" s="11" t="s">
        <v>4470</v>
      </c>
      <c r="Z51" s="11" t="s">
        <v>4471</v>
      </c>
      <c r="AA51" s="11" t="s">
        <v>74</v>
      </c>
      <c r="AB51" s="11" t="s">
        <v>74</v>
      </c>
      <c r="AC51" s="11" t="s">
        <v>74</v>
      </c>
      <c r="AD51" s="11" t="s">
        <v>74</v>
      </c>
      <c r="AE51" s="11" t="s">
        <v>74</v>
      </c>
      <c r="AF51" s="11" t="s">
        <v>74</v>
      </c>
      <c r="AG51" s="11">
        <v>43</v>
      </c>
      <c r="AH51" s="11">
        <v>2</v>
      </c>
      <c r="AI51" s="11">
        <v>2</v>
      </c>
      <c r="AJ51" s="11">
        <v>2</v>
      </c>
      <c r="AK51" s="11">
        <v>74</v>
      </c>
      <c r="AL51" s="11" t="s">
        <v>4472</v>
      </c>
      <c r="AM51" s="11" t="s">
        <v>4473</v>
      </c>
      <c r="AN51" s="11" t="s">
        <v>4474</v>
      </c>
      <c r="AO51" s="11" t="s">
        <v>4475</v>
      </c>
      <c r="AP51" s="11" t="s">
        <v>4476</v>
      </c>
      <c r="AQ51" s="11" t="s">
        <v>74</v>
      </c>
      <c r="AR51" s="11" t="s">
        <v>4465</v>
      </c>
      <c r="AS51" s="11" t="s">
        <v>4477</v>
      </c>
      <c r="AT51" s="11" t="s">
        <v>4456</v>
      </c>
      <c r="AU51" s="11">
        <v>2022</v>
      </c>
      <c r="AV51" s="11">
        <v>28</v>
      </c>
      <c r="AW51" s="11">
        <v>2</v>
      </c>
      <c r="AX51" s="11" t="s">
        <v>74</v>
      </c>
      <c r="AY51" s="11" t="s">
        <v>74</v>
      </c>
      <c r="AZ51" s="11" t="s">
        <v>74</v>
      </c>
      <c r="BA51" s="11" t="s">
        <v>74</v>
      </c>
      <c r="BB51" s="11">
        <v>13</v>
      </c>
      <c r="BC51" s="11">
        <v>39</v>
      </c>
      <c r="BD51" s="11" t="s">
        <v>4478</v>
      </c>
      <c r="BE51" s="11" t="s">
        <v>4479</v>
      </c>
      <c r="BF51" s="11">
        <v>0</v>
      </c>
      <c r="BG51" s="11" t="s">
        <v>74</v>
      </c>
      <c r="BH51" s="11" t="s">
        <v>74</v>
      </c>
      <c r="BI51" s="11">
        <v>27</v>
      </c>
      <c r="BJ51" s="11" t="s">
        <v>3050</v>
      </c>
      <c r="BK51" s="11" t="s">
        <v>183</v>
      </c>
      <c r="BL51" s="11" t="s">
        <v>3050</v>
      </c>
      <c r="BM51" s="11" t="s">
        <v>4480</v>
      </c>
      <c r="BN51" s="11" t="s">
        <v>74</v>
      </c>
      <c r="BO51" s="11" t="s">
        <v>186</v>
      </c>
      <c r="BP51" s="11" t="s">
        <v>74</v>
      </c>
      <c r="BQ51" s="11" t="s">
        <v>74</v>
      </c>
      <c r="BR51" s="11" t="s">
        <v>12946</v>
      </c>
      <c r="BS51" s="11" t="s">
        <v>4481</v>
      </c>
      <c r="BT51" s="11">
        <v>0</v>
      </c>
    </row>
    <row r="52" spans="1:72" x14ac:dyDescent="0.25">
      <c r="A52" s="11" t="s">
        <v>72</v>
      </c>
      <c r="B52" s="11" t="s">
        <v>4501</v>
      </c>
      <c r="C52" s="11" t="s">
        <v>74</v>
      </c>
      <c r="D52" s="11" t="s">
        <v>74</v>
      </c>
      <c r="E52" s="11" t="s">
        <v>74</v>
      </c>
      <c r="F52" s="11" t="s">
        <v>4502</v>
      </c>
      <c r="G52" s="11" t="s">
        <v>74</v>
      </c>
      <c r="H52" s="11" t="s">
        <v>74</v>
      </c>
      <c r="I52" s="11" t="s">
        <v>4503</v>
      </c>
      <c r="J52" s="11" t="s">
        <v>4504</v>
      </c>
      <c r="K52" s="11" t="s">
        <v>74</v>
      </c>
      <c r="L52" s="11" t="s">
        <v>74</v>
      </c>
      <c r="M52" s="11" t="s">
        <v>929</v>
      </c>
      <c r="N52" s="11" t="s">
        <v>79</v>
      </c>
      <c r="O52" s="11" t="s">
        <v>74</v>
      </c>
      <c r="P52" s="11" t="s">
        <v>74</v>
      </c>
      <c r="Q52" s="11" t="s">
        <v>74</v>
      </c>
      <c r="R52" s="11" t="s">
        <v>74</v>
      </c>
      <c r="S52" s="11" t="s">
        <v>74</v>
      </c>
      <c r="T52" s="11" t="s">
        <v>4505</v>
      </c>
      <c r="U52" s="11" t="s">
        <v>74</v>
      </c>
      <c r="V52" s="11" t="s">
        <v>4506</v>
      </c>
      <c r="W52" s="11" t="s">
        <v>4507</v>
      </c>
      <c r="X52" s="11" t="s">
        <v>4508</v>
      </c>
      <c r="Y52" s="11" t="s">
        <v>4509</v>
      </c>
      <c r="Z52" s="11" t="s">
        <v>4510</v>
      </c>
      <c r="AA52" s="11" t="s">
        <v>13318</v>
      </c>
      <c r="AB52" s="11" t="s">
        <v>74</v>
      </c>
      <c r="AC52" s="11" t="s">
        <v>74</v>
      </c>
      <c r="AD52" s="11" t="s">
        <v>74</v>
      </c>
      <c r="AE52" s="11" t="s">
        <v>74</v>
      </c>
      <c r="AF52" s="11" t="s">
        <v>74</v>
      </c>
      <c r="AG52" s="11">
        <v>26</v>
      </c>
      <c r="AH52" s="11">
        <v>2</v>
      </c>
      <c r="AI52" s="11">
        <v>4</v>
      </c>
      <c r="AJ52" s="11">
        <v>3</v>
      </c>
      <c r="AK52" s="11">
        <v>23</v>
      </c>
      <c r="AL52" s="11" t="s">
        <v>4513</v>
      </c>
      <c r="AM52" s="11" t="s">
        <v>4514</v>
      </c>
      <c r="AN52" s="11" t="s">
        <v>4515</v>
      </c>
      <c r="AO52" s="11" t="s">
        <v>4516</v>
      </c>
      <c r="AP52" s="11" t="s">
        <v>74</v>
      </c>
      <c r="AQ52" s="11" t="s">
        <v>74</v>
      </c>
      <c r="AR52" s="11" t="s">
        <v>4517</v>
      </c>
      <c r="AS52" s="11" t="s">
        <v>4518</v>
      </c>
      <c r="AT52" s="11" t="s">
        <v>1448</v>
      </c>
      <c r="AU52" s="11">
        <v>2022</v>
      </c>
      <c r="AV52" s="11">
        <v>20</v>
      </c>
      <c r="AW52" s="11">
        <v>2</v>
      </c>
      <c r="AX52" s="11" t="s">
        <v>74</v>
      </c>
      <c r="AY52" s="11" t="s">
        <v>74</v>
      </c>
      <c r="AZ52" s="11" t="s">
        <v>74</v>
      </c>
      <c r="BA52" s="11" t="s">
        <v>74</v>
      </c>
      <c r="BB52" s="11">
        <v>47</v>
      </c>
      <c r="BC52" s="11">
        <v>64</v>
      </c>
      <c r="BD52" s="11" t="s">
        <v>74</v>
      </c>
      <c r="BE52" s="11" t="s">
        <v>4519</v>
      </c>
      <c r="BF52" s="11">
        <v>0</v>
      </c>
      <c r="BG52" s="11" t="s">
        <v>74</v>
      </c>
      <c r="BH52" s="11" t="s">
        <v>74</v>
      </c>
      <c r="BI52" s="11">
        <v>18</v>
      </c>
      <c r="BJ52" s="11" t="s">
        <v>1326</v>
      </c>
      <c r="BK52" s="11" t="s">
        <v>183</v>
      </c>
      <c r="BL52" s="11" t="s">
        <v>1326</v>
      </c>
      <c r="BM52" s="11" t="s">
        <v>4520</v>
      </c>
      <c r="BN52" s="11" t="s">
        <v>74</v>
      </c>
      <c r="BO52" s="11" t="s">
        <v>4521</v>
      </c>
      <c r="BP52" s="11" t="s">
        <v>74</v>
      </c>
      <c r="BQ52" s="11" t="s">
        <v>74</v>
      </c>
      <c r="BR52" s="11" t="s">
        <v>12946</v>
      </c>
      <c r="BS52" s="11" t="s">
        <v>4522</v>
      </c>
      <c r="BT52" s="11">
        <v>0</v>
      </c>
    </row>
    <row r="53" spans="1:72" x14ac:dyDescent="0.25">
      <c r="A53" s="11" t="s">
        <v>72</v>
      </c>
      <c r="B53" s="11" t="s">
        <v>4886</v>
      </c>
      <c r="C53" s="11" t="s">
        <v>74</v>
      </c>
      <c r="D53" s="11" t="s">
        <v>74</v>
      </c>
      <c r="E53" s="11" t="s">
        <v>74</v>
      </c>
      <c r="F53" s="11" t="s">
        <v>4887</v>
      </c>
      <c r="G53" s="11" t="s">
        <v>74</v>
      </c>
      <c r="H53" s="11" t="s">
        <v>74</v>
      </c>
      <c r="I53" s="11" t="s">
        <v>4888</v>
      </c>
      <c r="J53" s="11" t="s">
        <v>4889</v>
      </c>
      <c r="K53" s="11" t="s">
        <v>74</v>
      </c>
      <c r="L53" s="11" t="s">
        <v>74</v>
      </c>
      <c r="M53" s="11" t="s">
        <v>78</v>
      </c>
      <c r="N53" s="11" t="s">
        <v>79</v>
      </c>
      <c r="O53" s="11" t="s">
        <v>74</v>
      </c>
      <c r="P53" s="11" t="s">
        <v>74</v>
      </c>
      <c r="Q53" s="11" t="s">
        <v>74</v>
      </c>
      <c r="R53" s="11" t="s">
        <v>74</v>
      </c>
      <c r="S53" s="11" t="s">
        <v>74</v>
      </c>
      <c r="T53" s="11" t="s">
        <v>4890</v>
      </c>
      <c r="U53" s="11" t="s">
        <v>4891</v>
      </c>
      <c r="V53" s="11" t="s">
        <v>4892</v>
      </c>
      <c r="W53" s="11" t="s">
        <v>4893</v>
      </c>
      <c r="X53" s="11" t="s">
        <v>4894</v>
      </c>
      <c r="Y53" s="11" t="s">
        <v>4895</v>
      </c>
      <c r="Z53" s="11" t="s">
        <v>4896</v>
      </c>
      <c r="AA53" s="11" t="s">
        <v>4897</v>
      </c>
      <c r="AB53" s="11" t="s">
        <v>74</v>
      </c>
      <c r="AC53" s="11" t="s">
        <v>74</v>
      </c>
      <c r="AD53" s="11" t="s">
        <v>74</v>
      </c>
      <c r="AE53" s="11" t="s">
        <v>74</v>
      </c>
      <c r="AF53" s="11" t="s">
        <v>74</v>
      </c>
      <c r="AG53" s="11">
        <v>26</v>
      </c>
      <c r="AH53" s="11">
        <v>2</v>
      </c>
      <c r="AI53" s="11">
        <v>2</v>
      </c>
      <c r="AJ53" s="11">
        <v>3</v>
      </c>
      <c r="AK53" s="11">
        <v>18</v>
      </c>
      <c r="AL53" s="11" t="s">
        <v>4899</v>
      </c>
      <c r="AM53" s="11" t="s">
        <v>4900</v>
      </c>
      <c r="AN53" s="11" t="s">
        <v>4901</v>
      </c>
      <c r="AO53" s="11" t="s">
        <v>4902</v>
      </c>
      <c r="AP53" s="11" t="s">
        <v>4903</v>
      </c>
      <c r="AQ53" s="11" t="s">
        <v>74</v>
      </c>
      <c r="AR53" s="11" t="s">
        <v>4904</v>
      </c>
      <c r="AS53" s="11" t="s">
        <v>4905</v>
      </c>
      <c r="AT53" s="11" t="s">
        <v>74</v>
      </c>
      <c r="AU53" s="11">
        <v>2022</v>
      </c>
      <c r="AV53" s="11">
        <v>7</v>
      </c>
      <c r="AW53" s="11">
        <v>2</v>
      </c>
      <c r="AX53" s="11" t="s">
        <v>74</v>
      </c>
      <c r="AY53" s="11" t="s">
        <v>74</v>
      </c>
      <c r="AZ53" s="11" t="s">
        <v>74</v>
      </c>
      <c r="BA53" s="11" t="s">
        <v>74</v>
      </c>
      <c r="BB53" s="11">
        <v>202</v>
      </c>
      <c r="BC53" s="11">
        <v>220</v>
      </c>
      <c r="BD53" s="11" t="s">
        <v>74</v>
      </c>
      <c r="BE53" s="11" t="s">
        <v>4906</v>
      </c>
      <c r="BF53" s="11">
        <v>0</v>
      </c>
      <c r="BG53" s="11" t="s">
        <v>74</v>
      </c>
      <c r="BH53" s="11" t="s">
        <v>74</v>
      </c>
      <c r="BI53" s="11">
        <v>19</v>
      </c>
      <c r="BJ53" s="11" t="s">
        <v>3023</v>
      </c>
      <c r="BK53" s="11" t="s">
        <v>183</v>
      </c>
      <c r="BL53" s="11" t="s">
        <v>3023</v>
      </c>
      <c r="BM53" s="11" t="s">
        <v>4907</v>
      </c>
      <c r="BN53" s="11" t="s">
        <v>74</v>
      </c>
      <c r="BO53" s="11" t="s">
        <v>186</v>
      </c>
      <c r="BP53" s="11" t="s">
        <v>74</v>
      </c>
      <c r="BQ53" s="11" t="s">
        <v>74</v>
      </c>
      <c r="BR53" s="11" t="s">
        <v>12946</v>
      </c>
      <c r="BS53" s="11" t="s">
        <v>4908</v>
      </c>
      <c r="BT53" s="11">
        <v>0</v>
      </c>
    </row>
    <row r="54" spans="1:72" x14ac:dyDescent="0.25">
      <c r="A54" s="11" t="s">
        <v>72</v>
      </c>
      <c r="B54" s="11" t="s">
        <v>5686</v>
      </c>
      <c r="C54" s="11" t="s">
        <v>74</v>
      </c>
      <c r="D54" s="11" t="s">
        <v>74</v>
      </c>
      <c r="E54" s="11" t="s">
        <v>74</v>
      </c>
      <c r="F54" s="11" t="s">
        <v>5687</v>
      </c>
      <c r="G54" s="11" t="s">
        <v>74</v>
      </c>
      <c r="H54" s="11" t="s">
        <v>74</v>
      </c>
      <c r="I54" s="11" t="s">
        <v>5688</v>
      </c>
      <c r="J54" s="11" t="s">
        <v>5689</v>
      </c>
      <c r="K54" s="11" t="s">
        <v>74</v>
      </c>
      <c r="L54" s="11" t="s">
        <v>74</v>
      </c>
      <c r="M54" s="11" t="s">
        <v>78</v>
      </c>
      <c r="N54" s="11" t="s">
        <v>79</v>
      </c>
      <c r="O54" s="11" t="s">
        <v>74</v>
      </c>
      <c r="P54" s="11" t="s">
        <v>74</v>
      </c>
      <c r="Q54" s="11" t="s">
        <v>74</v>
      </c>
      <c r="R54" s="11" t="s">
        <v>74</v>
      </c>
      <c r="S54" s="11" t="s">
        <v>74</v>
      </c>
      <c r="T54" s="11" t="s">
        <v>5690</v>
      </c>
      <c r="U54" s="11" t="s">
        <v>5691</v>
      </c>
      <c r="V54" s="11" t="s">
        <v>5692</v>
      </c>
      <c r="W54" s="11" t="s">
        <v>5693</v>
      </c>
      <c r="X54" s="11" t="s">
        <v>5694</v>
      </c>
      <c r="Y54" s="11" t="s">
        <v>5695</v>
      </c>
      <c r="Z54" s="11" t="s">
        <v>5696</v>
      </c>
      <c r="AA54" s="11" t="s">
        <v>13319</v>
      </c>
      <c r="AB54" s="11" t="s">
        <v>13320</v>
      </c>
      <c r="AC54" s="11" t="s">
        <v>74</v>
      </c>
      <c r="AD54" s="11" t="s">
        <v>74</v>
      </c>
      <c r="AE54" s="11" t="s">
        <v>74</v>
      </c>
      <c r="AF54" s="11" t="s">
        <v>74</v>
      </c>
      <c r="AG54" s="11">
        <v>18</v>
      </c>
      <c r="AH54" s="11">
        <v>2</v>
      </c>
      <c r="AI54" s="11">
        <v>3</v>
      </c>
      <c r="AJ54" s="11">
        <v>1</v>
      </c>
      <c r="AK54" s="11">
        <v>16</v>
      </c>
      <c r="AL54" s="11" t="s">
        <v>146</v>
      </c>
      <c r="AM54" s="11" t="s">
        <v>147</v>
      </c>
      <c r="AN54" s="11" t="s">
        <v>148</v>
      </c>
      <c r="AO54" s="11" t="s">
        <v>5699</v>
      </c>
      <c r="AP54" s="11" t="s">
        <v>5700</v>
      </c>
      <c r="AQ54" s="11" t="s">
        <v>74</v>
      </c>
      <c r="AR54" s="11" t="s">
        <v>5701</v>
      </c>
      <c r="AS54" s="11" t="s">
        <v>5702</v>
      </c>
      <c r="AT54" s="11" t="s">
        <v>1280</v>
      </c>
      <c r="AU54" s="11">
        <v>2022</v>
      </c>
      <c r="AV54" s="11">
        <v>26</v>
      </c>
      <c r="AW54" s="11">
        <v>2</v>
      </c>
      <c r="AX54" s="11" t="s">
        <v>74</v>
      </c>
      <c r="AY54" s="11" t="s">
        <v>74</v>
      </c>
      <c r="AZ54" s="11" t="s">
        <v>74</v>
      </c>
      <c r="BA54" s="11" t="s">
        <v>74</v>
      </c>
      <c r="BB54" s="11">
        <v>404</v>
      </c>
      <c r="BC54" s="11">
        <v>408</v>
      </c>
      <c r="BD54" s="11" t="s">
        <v>74</v>
      </c>
      <c r="BE54" s="11" t="s">
        <v>5703</v>
      </c>
      <c r="BF54" s="11">
        <v>0</v>
      </c>
      <c r="BG54" s="11" t="s">
        <v>74</v>
      </c>
      <c r="BH54" s="11" t="s">
        <v>5683</v>
      </c>
      <c r="BI54" s="11">
        <v>5</v>
      </c>
      <c r="BJ54" s="11" t="s">
        <v>5704</v>
      </c>
      <c r="BK54" s="11" t="s">
        <v>102</v>
      </c>
      <c r="BL54" s="11" t="s">
        <v>5705</v>
      </c>
      <c r="BM54" s="11" t="s">
        <v>5706</v>
      </c>
      <c r="BN54" s="11">
        <v>34510674</v>
      </c>
      <c r="BO54" s="11" t="s">
        <v>74</v>
      </c>
      <c r="BP54" s="11" t="s">
        <v>74</v>
      </c>
      <c r="BQ54" s="11" t="s">
        <v>74</v>
      </c>
      <c r="BR54" s="11" t="s">
        <v>12946</v>
      </c>
      <c r="BS54" s="11" t="s">
        <v>5707</v>
      </c>
      <c r="BT54" s="11">
        <v>0</v>
      </c>
    </row>
    <row r="55" spans="1:72" x14ac:dyDescent="0.25">
      <c r="A55" s="11" t="s">
        <v>72</v>
      </c>
      <c r="B55" s="11" t="s">
        <v>8491</v>
      </c>
      <c r="C55" s="11" t="s">
        <v>74</v>
      </c>
      <c r="D55" s="11" t="s">
        <v>74</v>
      </c>
      <c r="E55" s="11" t="s">
        <v>74</v>
      </c>
      <c r="F55" s="11" t="s">
        <v>8492</v>
      </c>
      <c r="G55" s="11" t="s">
        <v>74</v>
      </c>
      <c r="H55" s="11" t="s">
        <v>74</v>
      </c>
      <c r="I55" s="11" t="s">
        <v>8493</v>
      </c>
      <c r="J55" s="11" t="s">
        <v>7489</v>
      </c>
      <c r="K55" s="11" t="s">
        <v>74</v>
      </c>
      <c r="L55" s="11" t="s">
        <v>74</v>
      </c>
      <c r="M55" s="11" t="s">
        <v>78</v>
      </c>
      <c r="N55" s="11" t="s">
        <v>79</v>
      </c>
      <c r="O55" s="11" t="s">
        <v>74</v>
      </c>
      <c r="P55" s="11" t="s">
        <v>74</v>
      </c>
      <c r="Q55" s="11" t="s">
        <v>74</v>
      </c>
      <c r="R55" s="11" t="s">
        <v>74</v>
      </c>
      <c r="S55" s="11" t="s">
        <v>74</v>
      </c>
      <c r="T55" s="11" t="s">
        <v>8494</v>
      </c>
      <c r="U55" s="11" t="s">
        <v>8495</v>
      </c>
      <c r="V55" s="11" t="s">
        <v>8496</v>
      </c>
      <c r="W55" s="11" t="s">
        <v>8497</v>
      </c>
      <c r="X55" s="11" t="s">
        <v>8498</v>
      </c>
      <c r="Y55" s="11" t="s">
        <v>8499</v>
      </c>
      <c r="Z55" s="11" t="s">
        <v>8500</v>
      </c>
      <c r="AA55" s="11" t="s">
        <v>8501</v>
      </c>
      <c r="AB55" s="11" t="s">
        <v>13321</v>
      </c>
      <c r="AC55" s="11" t="s">
        <v>74</v>
      </c>
      <c r="AD55" s="11" t="s">
        <v>74</v>
      </c>
      <c r="AE55" s="11" t="s">
        <v>74</v>
      </c>
      <c r="AF55" s="11" t="s">
        <v>74</v>
      </c>
      <c r="AG55" s="11">
        <v>46</v>
      </c>
      <c r="AH55" s="11">
        <v>2</v>
      </c>
      <c r="AI55" s="11">
        <v>2</v>
      </c>
      <c r="AJ55" s="11">
        <v>2</v>
      </c>
      <c r="AK55" s="11">
        <v>20</v>
      </c>
      <c r="AL55" s="11" t="s">
        <v>7498</v>
      </c>
      <c r="AM55" s="11" t="s">
        <v>7499</v>
      </c>
      <c r="AN55" s="11" t="s">
        <v>7500</v>
      </c>
      <c r="AO55" s="11" t="s">
        <v>7501</v>
      </c>
      <c r="AP55" s="11" t="s">
        <v>7502</v>
      </c>
      <c r="AQ55" s="11" t="s">
        <v>74</v>
      </c>
      <c r="AR55" s="11" t="s">
        <v>7503</v>
      </c>
      <c r="AS55" s="11" t="s">
        <v>7504</v>
      </c>
      <c r="AT55" s="11" t="s">
        <v>74</v>
      </c>
      <c r="AU55" s="11">
        <v>2020</v>
      </c>
      <c r="AV55" s="11">
        <v>28</v>
      </c>
      <c r="AW55" s="11" t="s">
        <v>74</v>
      </c>
      <c r="AX55" s="11" t="s">
        <v>74</v>
      </c>
      <c r="AY55" s="11" t="s">
        <v>74</v>
      </c>
      <c r="AZ55" s="11" t="s">
        <v>74</v>
      </c>
      <c r="BA55" s="11" t="s">
        <v>74</v>
      </c>
      <c r="BB55" s="11" t="s">
        <v>74</v>
      </c>
      <c r="BC55" s="11" t="s">
        <v>74</v>
      </c>
      <c r="BD55" s="11">
        <v>2348</v>
      </c>
      <c r="BE55" s="11" t="s">
        <v>8503</v>
      </c>
      <c r="BF55" s="11">
        <v>0</v>
      </c>
      <c r="BG55" s="11" t="s">
        <v>74</v>
      </c>
      <c r="BH55" s="11" t="s">
        <v>74</v>
      </c>
      <c r="BI55" s="11">
        <v>20</v>
      </c>
      <c r="BJ55" s="11" t="s">
        <v>1326</v>
      </c>
      <c r="BK55" s="11" t="s">
        <v>183</v>
      </c>
      <c r="BL55" s="11" t="s">
        <v>1326</v>
      </c>
      <c r="BM55" s="11" t="s">
        <v>8504</v>
      </c>
      <c r="BN55" s="11" t="s">
        <v>74</v>
      </c>
      <c r="BO55" s="11" t="s">
        <v>422</v>
      </c>
      <c r="BP55" s="11" t="s">
        <v>74</v>
      </c>
      <c r="BQ55" s="11" t="s">
        <v>74</v>
      </c>
      <c r="BR55" s="11" t="s">
        <v>12946</v>
      </c>
      <c r="BS55" s="11" t="s">
        <v>8505</v>
      </c>
      <c r="BT55" s="11">
        <v>0</v>
      </c>
    </row>
    <row r="56" spans="1:72" x14ac:dyDescent="0.25">
      <c r="A56" s="11" t="s">
        <v>72</v>
      </c>
      <c r="B56" s="11" t="s">
        <v>9253</v>
      </c>
      <c r="C56" s="11" t="s">
        <v>74</v>
      </c>
      <c r="D56" s="11" t="s">
        <v>74</v>
      </c>
      <c r="E56" s="11" t="s">
        <v>74</v>
      </c>
      <c r="F56" s="11" t="s">
        <v>9254</v>
      </c>
      <c r="G56" s="11" t="s">
        <v>74</v>
      </c>
      <c r="H56" s="11" t="s">
        <v>74</v>
      </c>
      <c r="I56" s="11" t="s">
        <v>9255</v>
      </c>
      <c r="J56" s="11" t="s">
        <v>9256</v>
      </c>
      <c r="K56" s="11" t="s">
        <v>74</v>
      </c>
      <c r="L56" s="11" t="s">
        <v>74</v>
      </c>
      <c r="M56" s="11" t="s">
        <v>78</v>
      </c>
      <c r="N56" s="11" t="s">
        <v>79</v>
      </c>
      <c r="O56" s="11" t="s">
        <v>74</v>
      </c>
      <c r="P56" s="11" t="s">
        <v>74</v>
      </c>
      <c r="Q56" s="11" t="s">
        <v>74</v>
      </c>
      <c r="R56" s="11" t="s">
        <v>74</v>
      </c>
      <c r="S56" s="11" t="s">
        <v>74</v>
      </c>
      <c r="T56" s="11" t="s">
        <v>9257</v>
      </c>
      <c r="U56" s="11" t="s">
        <v>74</v>
      </c>
      <c r="V56" s="11" t="s">
        <v>9258</v>
      </c>
      <c r="W56" s="11" t="s">
        <v>9259</v>
      </c>
      <c r="X56" s="11" t="s">
        <v>9260</v>
      </c>
      <c r="Y56" s="11" t="s">
        <v>9261</v>
      </c>
      <c r="Z56" s="11" t="s">
        <v>9262</v>
      </c>
      <c r="AA56" s="11" t="s">
        <v>74</v>
      </c>
      <c r="AB56" s="11" t="s">
        <v>74</v>
      </c>
      <c r="AC56" s="11" t="s">
        <v>74</v>
      </c>
      <c r="AD56" s="11" t="s">
        <v>74</v>
      </c>
      <c r="AE56" s="11" t="s">
        <v>74</v>
      </c>
      <c r="AF56" s="11" t="s">
        <v>74</v>
      </c>
      <c r="AG56" s="11">
        <v>5</v>
      </c>
      <c r="AH56" s="11">
        <v>2</v>
      </c>
      <c r="AI56" s="11">
        <v>2</v>
      </c>
      <c r="AJ56" s="11">
        <v>0</v>
      </c>
      <c r="AK56" s="11">
        <v>1</v>
      </c>
      <c r="AL56" s="11" t="s">
        <v>9263</v>
      </c>
      <c r="AM56" s="11" t="s">
        <v>175</v>
      </c>
      <c r="AN56" s="11" t="s">
        <v>9264</v>
      </c>
      <c r="AO56" s="11" t="s">
        <v>9265</v>
      </c>
      <c r="AP56" s="11" t="s">
        <v>74</v>
      </c>
      <c r="AQ56" s="11" t="s">
        <v>74</v>
      </c>
      <c r="AR56" s="11" t="s">
        <v>9266</v>
      </c>
      <c r="AS56" s="11" t="s">
        <v>9267</v>
      </c>
      <c r="AT56" s="11" t="s">
        <v>9268</v>
      </c>
      <c r="AU56" s="11">
        <v>2019</v>
      </c>
      <c r="AV56" s="11">
        <v>32</v>
      </c>
      <c r="AW56" s="11" t="s">
        <v>74</v>
      </c>
      <c r="AX56" s="11" t="s">
        <v>74</v>
      </c>
      <c r="AY56" s="11" t="s">
        <v>74</v>
      </c>
      <c r="AZ56" s="11" t="s">
        <v>74</v>
      </c>
      <c r="BA56" s="11" t="s">
        <v>74</v>
      </c>
      <c r="BB56" s="11" t="s">
        <v>74</v>
      </c>
      <c r="BC56" s="11" t="s">
        <v>74</v>
      </c>
      <c r="BD56" s="11" t="s">
        <v>74</v>
      </c>
      <c r="BE56" s="11" t="s">
        <v>74</v>
      </c>
      <c r="BF56" s="11" t="s">
        <v>74</v>
      </c>
      <c r="BG56" s="11" t="s">
        <v>74</v>
      </c>
      <c r="BH56" s="11" t="s">
        <v>74</v>
      </c>
      <c r="BI56" s="11">
        <v>12</v>
      </c>
      <c r="BJ56" s="11" t="s">
        <v>3050</v>
      </c>
      <c r="BK56" s="11" t="s">
        <v>183</v>
      </c>
      <c r="BL56" s="11" t="s">
        <v>3050</v>
      </c>
      <c r="BM56" s="11" t="s">
        <v>9269</v>
      </c>
      <c r="BN56" s="11" t="s">
        <v>74</v>
      </c>
      <c r="BO56" s="11" t="s">
        <v>74</v>
      </c>
      <c r="BP56" s="11" t="s">
        <v>74</v>
      </c>
      <c r="BQ56" s="11" t="s">
        <v>74</v>
      </c>
      <c r="BR56" s="11" t="s">
        <v>12946</v>
      </c>
      <c r="BS56" s="11" t="s">
        <v>9270</v>
      </c>
      <c r="BT56" s="11">
        <v>0</v>
      </c>
    </row>
    <row r="57" spans="1:72" x14ac:dyDescent="0.25">
      <c r="A57" s="11" t="s">
        <v>72</v>
      </c>
      <c r="B57" s="11" t="s">
        <v>11373</v>
      </c>
      <c r="C57" s="11" t="s">
        <v>74</v>
      </c>
      <c r="D57" s="11" t="s">
        <v>74</v>
      </c>
      <c r="E57" s="11" t="s">
        <v>74</v>
      </c>
      <c r="F57" s="11" t="s">
        <v>11374</v>
      </c>
      <c r="G57" s="11" t="s">
        <v>74</v>
      </c>
      <c r="H57" s="11" t="s">
        <v>74</v>
      </c>
      <c r="I57" s="11" t="s">
        <v>11375</v>
      </c>
      <c r="J57" s="11" t="s">
        <v>6645</v>
      </c>
      <c r="K57" s="11" t="s">
        <v>74</v>
      </c>
      <c r="L57" s="11" t="s">
        <v>74</v>
      </c>
      <c r="M57" s="11" t="s">
        <v>78</v>
      </c>
      <c r="N57" s="11" t="s">
        <v>79</v>
      </c>
      <c r="O57" s="11" t="s">
        <v>74</v>
      </c>
      <c r="P57" s="11" t="s">
        <v>74</v>
      </c>
      <c r="Q57" s="11" t="s">
        <v>74</v>
      </c>
      <c r="R57" s="11" t="s">
        <v>74</v>
      </c>
      <c r="S57" s="11" t="s">
        <v>74</v>
      </c>
      <c r="T57" s="11" t="s">
        <v>11376</v>
      </c>
      <c r="U57" s="11" t="s">
        <v>11377</v>
      </c>
      <c r="V57" s="11" t="s">
        <v>11378</v>
      </c>
      <c r="W57" s="11" t="s">
        <v>11379</v>
      </c>
      <c r="X57" s="11" t="s">
        <v>11380</v>
      </c>
      <c r="Y57" s="11" t="s">
        <v>11381</v>
      </c>
      <c r="Z57" s="11" t="s">
        <v>11382</v>
      </c>
      <c r="AA57" s="11" t="s">
        <v>74</v>
      </c>
      <c r="AB57" s="11" t="s">
        <v>74</v>
      </c>
      <c r="AC57" s="11" t="s">
        <v>74</v>
      </c>
      <c r="AD57" s="11" t="s">
        <v>74</v>
      </c>
      <c r="AE57" s="11" t="s">
        <v>74</v>
      </c>
      <c r="AF57" s="11" t="s">
        <v>74</v>
      </c>
      <c r="AG57" s="11">
        <v>46</v>
      </c>
      <c r="AH57" s="11">
        <v>2</v>
      </c>
      <c r="AI57" s="11">
        <v>5</v>
      </c>
      <c r="AJ57" s="11">
        <v>0</v>
      </c>
      <c r="AK57" s="11">
        <v>2</v>
      </c>
      <c r="AL57" s="11" t="s">
        <v>121</v>
      </c>
      <c r="AM57" s="11" t="s">
        <v>122</v>
      </c>
      <c r="AN57" s="11" t="s">
        <v>123</v>
      </c>
      <c r="AO57" s="11" t="s">
        <v>6655</v>
      </c>
      <c r="AP57" s="11" t="s">
        <v>6656</v>
      </c>
      <c r="AQ57" s="11" t="s">
        <v>74</v>
      </c>
      <c r="AR57" s="11" t="s">
        <v>6657</v>
      </c>
      <c r="AS57" s="11" t="s">
        <v>6658</v>
      </c>
      <c r="AT57" s="11" t="s">
        <v>2068</v>
      </c>
      <c r="AU57" s="11">
        <v>2016</v>
      </c>
      <c r="AV57" s="11">
        <v>21</v>
      </c>
      <c r="AW57" s="11">
        <v>1</v>
      </c>
      <c r="AX57" s="11" t="s">
        <v>74</v>
      </c>
      <c r="AY57" s="11" t="s">
        <v>74</v>
      </c>
      <c r="AZ57" s="11" t="s">
        <v>74</v>
      </c>
      <c r="BA57" s="11" t="s">
        <v>74</v>
      </c>
      <c r="BB57" s="11">
        <v>35</v>
      </c>
      <c r="BC57" s="11">
        <v>52</v>
      </c>
      <c r="BD57" s="11" t="s">
        <v>74</v>
      </c>
      <c r="BE57" s="11" t="s">
        <v>11383</v>
      </c>
      <c r="BF57" s="11">
        <v>0</v>
      </c>
      <c r="BG57" s="11" t="s">
        <v>74</v>
      </c>
      <c r="BH57" s="11" t="s">
        <v>74</v>
      </c>
      <c r="BI57" s="11">
        <v>18</v>
      </c>
      <c r="BJ57" s="11" t="s">
        <v>1326</v>
      </c>
      <c r="BK57" s="11" t="s">
        <v>183</v>
      </c>
      <c r="BL57" s="11" t="s">
        <v>1326</v>
      </c>
      <c r="BM57" s="11" t="s">
        <v>11384</v>
      </c>
      <c r="BN57" s="11" t="s">
        <v>74</v>
      </c>
      <c r="BO57" s="11" t="s">
        <v>74</v>
      </c>
      <c r="BP57" s="11" t="s">
        <v>74</v>
      </c>
      <c r="BQ57" s="11" t="s">
        <v>74</v>
      </c>
      <c r="BR57" s="11" t="s">
        <v>12946</v>
      </c>
      <c r="BS57" s="11" t="s">
        <v>11385</v>
      </c>
      <c r="BT57" s="11">
        <v>0</v>
      </c>
    </row>
    <row r="58" spans="1:72" x14ac:dyDescent="0.25">
      <c r="A58" s="11" t="s">
        <v>72</v>
      </c>
      <c r="B58" s="11" t="s">
        <v>1305</v>
      </c>
      <c r="C58" s="11" t="s">
        <v>74</v>
      </c>
      <c r="D58" s="11" t="s">
        <v>74</v>
      </c>
      <c r="E58" s="11" t="s">
        <v>74</v>
      </c>
      <c r="F58" s="11" t="s">
        <v>1306</v>
      </c>
      <c r="G58" s="11" t="s">
        <v>74</v>
      </c>
      <c r="H58" s="11" t="s">
        <v>74</v>
      </c>
      <c r="I58" s="11" t="s">
        <v>1307</v>
      </c>
      <c r="J58" s="11" t="s">
        <v>1308</v>
      </c>
      <c r="K58" s="11" t="s">
        <v>74</v>
      </c>
      <c r="L58" s="11" t="s">
        <v>74</v>
      </c>
      <c r="M58" s="11" t="s">
        <v>78</v>
      </c>
      <c r="N58" s="11" t="s">
        <v>79</v>
      </c>
      <c r="O58" s="11" t="s">
        <v>74</v>
      </c>
      <c r="P58" s="11" t="s">
        <v>74</v>
      </c>
      <c r="Q58" s="11" t="s">
        <v>74</v>
      </c>
      <c r="R58" s="11" t="s">
        <v>74</v>
      </c>
      <c r="S58" s="11" t="s">
        <v>74</v>
      </c>
      <c r="T58" s="11" t="s">
        <v>1309</v>
      </c>
      <c r="U58" s="11" t="s">
        <v>74</v>
      </c>
      <c r="V58" s="11" t="s">
        <v>1310</v>
      </c>
      <c r="W58" s="11" t="s">
        <v>1311</v>
      </c>
      <c r="X58" s="11" t="s">
        <v>1312</v>
      </c>
      <c r="Y58" s="11" t="s">
        <v>1313</v>
      </c>
      <c r="Z58" s="11" t="s">
        <v>74</v>
      </c>
      <c r="AA58" s="11" t="s">
        <v>13322</v>
      </c>
      <c r="AB58" s="11" t="s">
        <v>13323</v>
      </c>
      <c r="AC58" s="11" t="s">
        <v>1315</v>
      </c>
      <c r="AD58" s="11" t="s">
        <v>1316</v>
      </c>
      <c r="AE58" s="11" t="s">
        <v>1317</v>
      </c>
      <c r="AF58" s="11" t="s">
        <v>74</v>
      </c>
      <c r="AG58" s="11">
        <v>28</v>
      </c>
      <c r="AH58" s="11">
        <v>1</v>
      </c>
      <c r="AI58" s="11">
        <v>1</v>
      </c>
      <c r="AJ58" s="11">
        <v>7</v>
      </c>
      <c r="AK58" s="11">
        <v>23</v>
      </c>
      <c r="AL58" s="11" t="s">
        <v>1318</v>
      </c>
      <c r="AM58" s="11" t="s">
        <v>1319</v>
      </c>
      <c r="AN58" s="11" t="s">
        <v>1320</v>
      </c>
      <c r="AO58" s="11" t="s">
        <v>1321</v>
      </c>
      <c r="AP58" s="11" t="s">
        <v>1322</v>
      </c>
      <c r="AQ58" s="11" t="s">
        <v>74</v>
      </c>
      <c r="AR58" s="11" t="s">
        <v>1323</v>
      </c>
      <c r="AS58" s="11" t="s">
        <v>1324</v>
      </c>
      <c r="AT58" s="11" t="s">
        <v>1280</v>
      </c>
      <c r="AU58" s="11">
        <v>2023</v>
      </c>
      <c r="AV58" s="11" t="s">
        <v>74</v>
      </c>
      <c r="AW58" s="11">
        <v>67</v>
      </c>
      <c r="AX58" s="11" t="s">
        <v>74</v>
      </c>
      <c r="AY58" s="11" t="s">
        <v>74</v>
      </c>
      <c r="AZ58" s="11" t="s">
        <v>74</v>
      </c>
      <c r="BA58" s="11" t="s">
        <v>74</v>
      </c>
      <c r="BB58" s="11" t="s">
        <v>74</v>
      </c>
      <c r="BC58" s="11" t="s">
        <v>74</v>
      </c>
      <c r="BD58" s="11" t="s">
        <v>74</v>
      </c>
      <c r="BE58" s="11" t="s">
        <v>1325</v>
      </c>
      <c r="BF58" s="11">
        <v>0</v>
      </c>
      <c r="BG58" s="11" t="s">
        <v>74</v>
      </c>
      <c r="BH58" s="11" t="s">
        <v>74</v>
      </c>
      <c r="BI58" s="11">
        <v>37</v>
      </c>
      <c r="BJ58" s="11" t="s">
        <v>1326</v>
      </c>
      <c r="BK58" s="11" t="s">
        <v>183</v>
      </c>
      <c r="BL58" s="11" t="s">
        <v>1326</v>
      </c>
      <c r="BM58" s="11" t="s">
        <v>1327</v>
      </c>
      <c r="BN58" s="11" t="s">
        <v>74</v>
      </c>
      <c r="BO58" s="11" t="s">
        <v>186</v>
      </c>
      <c r="BP58" s="11" t="s">
        <v>74</v>
      </c>
      <c r="BQ58" s="11" t="s">
        <v>74</v>
      </c>
      <c r="BR58" s="11" t="s">
        <v>12946</v>
      </c>
      <c r="BS58" s="11" t="s">
        <v>1328</v>
      </c>
      <c r="BT58" s="11">
        <v>0</v>
      </c>
    </row>
    <row r="59" spans="1:72" x14ac:dyDescent="0.25">
      <c r="A59" s="11" t="s">
        <v>72</v>
      </c>
      <c r="B59" s="11" t="s">
        <v>2395</v>
      </c>
      <c r="C59" s="11" t="s">
        <v>74</v>
      </c>
      <c r="D59" s="11" t="s">
        <v>74</v>
      </c>
      <c r="E59" s="11" t="s">
        <v>74</v>
      </c>
      <c r="F59" s="11" t="s">
        <v>2396</v>
      </c>
      <c r="G59" s="11" t="s">
        <v>74</v>
      </c>
      <c r="H59" s="11" t="s">
        <v>74</v>
      </c>
      <c r="I59" s="11" t="s">
        <v>2397</v>
      </c>
      <c r="J59" s="11" t="s">
        <v>2398</v>
      </c>
      <c r="K59" s="11" t="s">
        <v>74</v>
      </c>
      <c r="L59" s="11" t="s">
        <v>74</v>
      </c>
      <c r="M59" s="11" t="s">
        <v>78</v>
      </c>
      <c r="N59" s="11" t="s">
        <v>79</v>
      </c>
      <c r="O59" s="11" t="s">
        <v>74</v>
      </c>
      <c r="P59" s="11" t="s">
        <v>74</v>
      </c>
      <c r="Q59" s="11" t="s">
        <v>74</v>
      </c>
      <c r="R59" s="11" t="s">
        <v>74</v>
      </c>
      <c r="S59" s="11" t="s">
        <v>74</v>
      </c>
      <c r="T59" s="11" t="s">
        <v>2399</v>
      </c>
      <c r="U59" s="11" t="s">
        <v>74</v>
      </c>
      <c r="V59" s="11" t="s">
        <v>2400</v>
      </c>
      <c r="W59" s="11" t="s">
        <v>2401</v>
      </c>
      <c r="X59" s="11" t="s">
        <v>2402</v>
      </c>
      <c r="Y59" s="11" t="s">
        <v>2403</v>
      </c>
      <c r="Z59" s="11" t="s">
        <v>2404</v>
      </c>
      <c r="AA59" s="11" t="s">
        <v>74</v>
      </c>
      <c r="AB59" s="11" t="s">
        <v>13324</v>
      </c>
      <c r="AC59" s="11" t="s">
        <v>74</v>
      </c>
      <c r="AD59" s="11" t="s">
        <v>74</v>
      </c>
      <c r="AE59" s="11" t="s">
        <v>74</v>
      </c>
      <c r="AF59" s="11" t="s">
        <v>74</v>
      </c>
      <c r="AG59" s="11">
        <v>62</v>
      </c>
      <c r="AH59" s="11">
        <v>1</v>
      </c>
      <c r="AI59" s="11">
        <v>1</v>
      </c>
      <c r="AJ59" s="11">
        <v>5</v>
      </c>
      <c r="AK59" s="11">
        <v>28</v>
      </c>
      <c r="AL59" s="11" t="s">
        <v>146</v>
      </c>
      <c r="AM59" s="11" t="s">
        <v>147</v>
      </c>
      <c r="AN59" s="11" t="s">
        <v>148</v>
      </c>
      <c r="AO59" s="11" t="s">
        <v>2406</v>
      </c>
      <c r="AP59" s="11" t="s">
        <v>2407</v>
      </c>
      <c r="AQ59" s="11" t="s">
        <v>74</v>
      </c>
      <c r="AR59" s="11" t="s">
        <v>2408</v>
      </c>
      <c r="AS59" s="11" t="s">
        <v>2409</v>
      </c>
      <c r="AT59" s="11" t="s">
        <v>1448</v>
      </c>
      <c r="AU59" s="11">
        <v>2023</v>
      </c>
      <c r="AV59" s="11">
        <v>49</v>
      </c>
      <c r="AW59" s="11">
        <v>2</v>
      </c>
      <c r="AX59" s="11" t="s">
        <v>74</v>
      </c>
      <c r="AY59" s="11" t="s">
        <v>74</v>
      </c>
      <c r="AZ59" s="11" t="s">
        <v>74</v>
      </c>
      <c r="BA59" s="11" t="s">
        <v>74</v>
      </c>
      <c r="BB59" s="11">
        <v>266</v>
      </c>
      <c r="BC59" s="11">
        <v>287</v>
      </c>
      <c r="BD59" s="11" t="s">
        <v>74</v>
      </c>
      <c r="BE59" s="11" t="s">
        <v>2410</v>
      </c>
      <c r="BF59" s="11">
        <v>0</v>
      </c>
      <c r="BG59" s="11" t="s">
        <v>74</v>
      </c>
      <c r="BH59" s="11" t="s">
        <v>2368</v>
      </c>
      <c r="BI59" s="11">
        <v>22</v>
      </c>
      <c r="BJ59" s="11" t="s">
        <v>1326</v>
      </c>
      <c r="BK59" s="11" t="s">
        <v>156</v>
      </c>
      <c r="BL59" s="11" t="s">
        <v>1326</v>
      </c>
      <c r="BM59" s="11" t="s">
        <v>2411</v>
      </c>
      <c r="BN59" s="11" t="s">
        <v>74</v>
      </c>
      <c r="BO59" s="11" t="s">
        <v>105</v>
      </c>
      <c r="BP59" s="11" t="s">
        <v>74</v>
      </c>
      <c r="BQ59" s="11" t="s">
        <v>74</v>
      </c>
      <c r="BR59" s="11" t="s">
        <v>12946</v>
      </c>
      <c r="BS59" s="11" t="s">
        <v>2412</v>
      </c>
      <c r="BT59" s="11">
        <v>0</v>
      </c>
    </row>
    <row r="60" spans="1:72" x14ac:dyDescent="0.25">
      <c r="A60" s="11" t="s">
        <v>72</v>
      </c>
      <c r="B60" s="11" t="s">
        <v>6463</v>
      </c>
      <c r="C60" s="11" t="s">
        <v>74</v>
      </c>
      <c r="D60" s="11" t="s">
        <v>74</v>
      </c>
      <c r="E60" s="11" t="s">
        <v>74</v>
      </c>
      <c r="F60" s="11" t="s">
        <v>6464</v>
      </c>
      <c r="G60" s="11" t="s">
        <v>74</v>
      </c>
      <c r="H60" s="11" t="s">
        <v>74</v>
      </c>
      <c r="I60" s="11" t="s">
        <v>6465</v>
      </c>
      <c r="J60" s="11" t="s">
        <v>6466</v>
      </c>
      <c r="K60" s="11" t="s">
        <v>74</v>
      </c>
      <c r="L60" s="11" t="s">
        <v>74</v>
      </c>
      <c r="M60" s="11" t="s">
        <v>78</v>
      </c>
      <c r="N60" s="11" t="s">
        <v>112</v>
      </c>
      <c r="O60" s="11" t="s">
        <v>74</v>
      </c>
      <c r="P60" s="11" t="s">
        <v>74</v>
      </c>
      <c r="Q60" s="11" t="s">
        <v>74</v>
      </c>
      <c r="R60" s="11" t="s">
        <v>74</v>
      </c>
      <c r="S60" s="11" t="s">
        <v>74</v>
      </c>
      <c r="T60" s="11" t="s">
        <v>6467</v>
      </c>
      <c r="U60" s="11" t="s">
        <v>6468</v>
      </c>
      <c r="V60" s="11" t="s">
        <v>6469</v>
      </c>
      <c r="W60" s="11" t="s">
        <v>6470</v>
      </c>
      <c r="X60" s="11" t="s">
        <v>6471</v>
      </c>
      <c r="Y60" s="11" t="s">
        <v>6472</v>
      </c>
      <c r="Z60" s="11" t="s">
        <v>6473</v>
      </c>
      <c r="AA60" s="11" t="s">
        <v>6474</v>
      </c>
      <c r="AB60" s="11" t="s">
        <v>13325</v>
      </c>
      <c r="AC60" s="11" t="s">
        <v>6476</v>
      </c>
      <c r="AD60" s="11" t="s">
        <v>6476</v>
      </c>
      <c r="AE60" s="11" t="s">
        <v>6477</v>
      </c>
      <c r="AF60" s="11" t="s">
        <v>74</v>
      </c>
      <c r="AG60" s="11">
        <v>80</v>
      </c>
      <c r="AH60" s="11">
        <v>1</v>
      </c>
      <c r="AI60" s="11">
        <v>1</v>
      </c>
      <c r="AJ60" s="11">
        <v>0</v>
      </c>
      <c r="AK60" s="11">
        <v>15</v>
      </c>
      <c r="AL60" s="11" t="s">
        <v>1468</v>
      </c>
      <c r="AM60" s="11" t="s">
        <v>175</v>
      </c>
      <c r="AN60" s="11" t="s">
        <v>1469</v>
      </c>
      <c r="AO60" s="11" t="s">
        <v>6478</v>
      </c>
      <c r="AP60" s="11" t="s">
        <v>6479</v>
      </c>
      <c r="AQ60" s="11" t="s">
        <v>74</v>
      </c>
      <c r="AR60" s="11" t="s">
        <v>6480</v>
      </c>
      <c r="AS60" s="11" t="s">
        <v>6481</v>
      </c>
      <c r="AT60" s="11" t="s">
        <v>6482</v>
      </c>
      <c r="AU60" s="11">
        <v>2021</v>
      </c>
      <c r="AV60" s="11" t="s">
        <v>74</v>
      </c>
      <c r="AW60" s="11" t="s">
        <v>74</v>
      </c>
      <c r="AX60" s="11" t="s">
        <v>74</v>
      </c>
      <c r="AY60" s="11" t="s">
        <v>74</v>
      </c>
      <c r="AZ60" s="11" t="s">
        <v>74</v>
      </c>
      <c r="BA60" s="11" t="s">
        <v>74</v>
      </c>
      <c r="BB60" s="11" t="s">
        <v>74</v>
      </c>
      <c r="BC60" s="11" t="s">
        <v>74</v>
      </c>
      <c r="BD60" s="11">
        <v>972150920988652</v>
      </c>
      <c r="BE60" s="11" t="s">
        <v>6483</v>
      </c>
      <c r="BF60" s="11">
        <v>0</v>
      </c>
      <c r="BG60" s="11" t="s">
        <v>74</v>
      </c>
      <c r="BH60" s="11" t="s">
        <v>6460</v>
      </c>
      <c r="BI60" s="11">
        <v>19</v>
      </c>
      <c r="BJ60" s="11" t="s">
        <v>264</v>
      </c>
      <c r="BK60" s="11" t="s">
        <v>183</v>
      </c>
      <c r="BL60" s="11" t="s">
        <v>265</v>
      </c>
      <c r="BM60" s="11" t="s">
        <v>6484</v>
      </c>
      <c r="BN60" s="11" t="s">
        <v>74</v>
      </c>
      <c r="BO60" s="11" t="s">
        <v>74</v>
      </c>
      <c r="BP60" s="11" t="s">
        <v>74</v>
      </c>
      <c r="BQ60" s="11" t="s">
        <v>74</v>
      </c>
      <c r="BR60" s="11" t="s">
        <v>12946</v>
      </c>
      <c r="BS60" s="11" t="s">
        <v>6485</v>
      </c>
      <c r="BT60" s="11">
        <v>0</v>
      </c>
    </row>
    <row r="61" spans="1:72" x14ac:dyDescent="0.25">
      <c r="A61" s="11" t="s">
        <v>72</v>
      </c>
      <c r="B61" s="11" t="s">
        <v>6894</v>
      </c>
      <c r="C61" s="11" t="s">
        <v>74</v>
      </c>
      <c r="D61" s="11" t="s">
        <v>74</v>
      </c>
      <c r="E61" s="11" t="s">
        <v>74</v>
      </c>
      <c r="F61" s="11" t="s">
        <v>6895</v>
      </c>
      <c r="G61" s="11" t="s">
        <v>74</v>
      </c>
      <c r="H61" s="11" t="s">
        <v>74</v>
      </c>
      <c r="I61" s="11" t="s">
        <v>6896</v>
      </c>
      <c r="J61" s="11" t="s">
        <v>6897</v>
      </c>
      <c r="K61" s="11" t="s">
        <v>74</v>
      </c>
      <c r="L61" s="11" t="s">
        <v>74</v>
      </c>
      <c r="M61" s="11" t="s">
        <v>78</v>
      </c>
      <c r="N61" s="11" t="s">
        <v>79</v>
      </c>
      <c r="O61" s="11" t="s">
        <v>74</v>
      </c>
      <c r="P61" s="11" t="s">
        <v>74</v>
      </c>
      <c r="Q61" s="11" t="s">
        <v>74</v>
      </c>
      <c r="R61" s="11" t="s">
        <v>74</v>
      </c>
      <c r="S61" s="11" t="s">
        <v>74</v>
      </c>
      <c r="T61" s="11" t="s">
        <v>6898</v>
      </c>
      <c r="U61" s="11" t="s">
        <v>6899</v>
      </c>
      <c r="V61" s="11" t="s">
        <v>6900</v>
      </c>
      <c r="W61" s="11" t="s">
        <v>6901</v>
      </c>
      <c r="X61" s="11" t="s">
        <v>74</v>
      </c>
      <c r="Y61" s="11" t="s">
        <v>6902</v>
      </c>
      <c r="Z61" s="11" t="s">
        <v>6903</v>
      </c>
      <c r="AA61" s="11" t="s">
        <v>74</v>
      </c>
      <c r="AB61" s="11" t="s">
        <v>74</v>
      </c>
      <c r="AC61" s="11" t="s">
        <v>74</v>
      </c>
      <c r="AD61" s="11" t="s">
        <v>74</v>
      </c>
      <c r="AE61" s="11" t="s">
        <v>74</v>
      </c>
      <c r="AF61" s="11" t="s">
        <v>74</v>
      </c>
      <c r="AG61" s="11">
        <v>17</v>
      </c>
      <c r="AH61" s="11">
        <v>1</v>
      </c>
      <c r="AI61" s="11">
        <v>1</v>
      </c>
      <c r="AJ61" s="11">
        <v>0</v>
      </c>
      <c r="AK61" s="11">
        <v>2</v>
      </c>
      <c r="AL61" s="11" t="s">
        <v>492</v>
      </c>
      <c r="AM61" s="11" t="s">
        <v>493</v>
      </c>
      <c r="AN61" s="11" t="s">
        <v>494</v>
      </c>
      <c r="AO61" s="11" t="s">
        <v>6904</v>
      </c>
      <c r="AP61" s="11" t="s">
        <v>6905</v>
      </c>
      <c r="AQ61" s="11" t="s">
        <v>74</v>
      </c>
      <c r="AR61" s="11" t="s">
        <v>6906</v>
      </c>
      <c r="AS61" s="11" t="s">
        <v>6907</v>
      </c>
      <c r="AT61" s="11" t="s">
        <v>3505</v>
      </c>
      <c r="AU61" s="11">
        <v>2021</v>
      </c>
      <c r="AV61" s="11">
        <v>26</v>
      </c>
      <c r="AW61" s="11">
        <v>1</v>
      </c>
      <c r="AX61" s="11" t="s">
        <v>74</v>
      </c>
      <c r="AY61" s="11" t="s">
        <v>74</v>
      </c>
      <c r="AZ61" s="11" t="s">
        <v>74</v>
      </c>
      <c r="BA61" s="11" t="s">
        <v>74</v>
      </c>
      <c r="BB61" s="11">
        <v>38</v>
      </c>
      <c r="BC61" s="11">
        <v>58</v>
      </c>
      <c r="BD61" s="11" t="s">
        <v>74</v>
      </c>
      <c r="BE61" s="11" t="s">
        <v>6908</v>
      </c>
      <c r="BF61" s="11">
        <v>0</v>
      </c>
      <c r="BG61" s="11" t="s">
        <v>74</v>
      </c>
      <c r="BH61" s="11" t="s">
        <v>74</v>
      </c>
      <c r="BI61" s="11">
        <v>21</v>
      </c>
      <c r="BJ61" s="11" t="s">
        <v>1326</v>
      </c>
      <c r="BK61" s="11" t="s">
        <v>183</v>
      </c>
      <c r="BL61" s="11" t="s">
        <v>1326</v>
      </c>
      <c r="BM61" s="11" t="s">
        <v>6909</v>
      </c>
      <c r="BN61" s="11" t="s">
        <v>74</v>
      </c>
      <c r="BO61" s="11" t="s">
        <v>74</v>
      </c>
      <c r="BP61" s="11" t="s">
        <v>74</v>
      </c>
      <c r="BQ61" s="11" t="s">
        <v>74</v>
      </c>
      <c r="BR61" s="11" t="s">
        <v>12946</v>
      </c>
      <c r="BS61" s="11" t="s">
        <v>6910</v>
      </c>
      <c r="BT61" s="11">
        <v>0</v>
      </c>
    </row>
    <row r="62" spans="1:72" x14ac:dyDescent="0.25">
      <c r="A62" s="11" t="s">
        <v>72</v>
      </c>
      <c r="B62" s="11" t="s">
        <v>7012</v>
      </c>
      <c r="C62" s="11" t="s">
        <v>74</v>
      </c>
      <c r="D62" s="11" t="s">
        <v>74</v>
      </c>
      <c r="E62" s="11" t="s">
        <v>74</v>
      </c>
      <c r="F62" s="11" t="s">
        <v>7013</v>
      </c>
      <c r="G62" s="11" t="s">
        <v>74</v>
      </c>
      <c r="H62" s="11" t="s">
        <v>74</v>
      </c>
      <c r="I62" s="11" t="s">
        <v>7014</v>
      </c>
      <c r="J62" s="11" t="s">
        <v>7015</v>
      </c>
      <c r="K62" s="11" t="s">
        <v>74</v>
      </c>
      <c r="L62" s="11" t="s">
        <v>74</v>
      </c>
      <c r="M62" s="11" t="s">
        <v>929</v>
      </c>
      <c r="N62" s="11" t="s">
        <v>79</v>
      </c>
      <c r="O62" s="11" t="s">
        <v>74</v>
      </c>
      <c r="P62" s="11" t="s">
        <v>74</v>
      </c>
      <c r="Q62" s="11" t="s">
        <v>74</v>
      </c>
      <c r="R62" s="11" t="s">
        <v>74</v>
      </c>
      <c r="S62" s="11" t="s">
        <v>74</v>
      </c>
      <c r="T62" s="11" t="s">
        <v>7016</v>
      </c>
      <c r="U62" s="11" t="s">
        <v>7017</v>
      </c>
      <c r="V62" s="11" t="s">
        <v>7018</v>
      </c>
      <c r="W62" s="11" t="s">
        <v>7019</v>
      </c>
      <c r="X62" s="11" t="s">
        <v>74</v>
      </c>
      <c r="Y62" s="11" t="s">
        <v>7020</v>
      </c>
      <c r="Z62" s="11" t="s">
        <v>74</v>
      </c>
      <c r="AA62" s="11" t="s">
        <v>13326</v>
      </c>
      <c r="AB62" s="11" t="s">
        <v>74</v>
      </c>
      <c r="AC62" s="11" t="s">
        <v>74</v>
      </c>
      <c r="AD62" s="11" t="s">
        <v>74</v>
      </c>
      <c r="AE62" s="11" t="s">
        <v>74</v>
      </c>
      <c r="AF62" s="11" t="s">
        <v>74</v>
      </c>
      <c r="AG62" s="11">
        <v>64</v>
      </c>
      <c r="AH62" s="11">
        <v>1</v>
      </c>
      <c r="AI62" s="11">
        <v>1</v>
      </c>
      <c r="AJ62" s="11">
        <v>1</v>
      </c>
      <c r="AK62" s="11">
        <v>7</v>
      </c>
      <c r="AL62" s="11" t="s">
        <v>7021</v>
      </c>
      <c r="AM62" s="11" t="s">
        <v>4514</v>
      </c>
      <c r="AN62" s="11" t="s">
        <v>7022</v>
      </c>
      <c r="AO62" s="11" t="s">
        <v>7023</v>
      </c>
      <c r="AP62" s="11" t="s">
        <v>7024</v>
      </c>
      <c r="AQ62" s="11" t="s">
        <v>74</v>
      </c>
      <c r="AR62" s="11" t="s">
        <v>7025</v>
      </c>
      <c r="AS62" s="11" t="s">
        <v>7026</v>
      </c>
      <c r="AT62" s="11" t="s">
        <v>6990</v>
      </c>
      <c r="AU62" s="11">
        <v>2021</v>
      </c>
      <c r="AV62" s="11">
        <v>85</v>
      </c>
      <c r="AW62" s="11">
        <v>1</v>
      </c>
      <c r="AX62" s="11" t="s">
        <v>74</v>
      </c>
      <c r="AY62" s="11" t="s">
        <v>74</v>
      </c>
      <c r="AZ62" s="11" t="s">
        <v>74</v>
      </c>
      <c r="BA62" s="11" t="s">
        <v>74</v>
      </c>
      <c r="BB62" s="11">
        <v>159</v>
      </c>
      <c r="BC62" s="11">
        <v>183</v>
      </c>
      <c r="BD62" s="11" t="s">
        <v>74</v>
      </c>
      <c r="BE62" s="11" t="s">
        <v>7027</v>
      </c>
      <c r="BF62" s="11">
        <v>0</v>
      </c>
      <c r="BG62" s="11" t="s">
        <v>74</v>
      </c>
      <c r="BH62" s="11" t="s">
        <v>74</v>
      </c>
      <c r="BI62" s="11">
        <v>25</v>
      </c>
      <c r="BJ62" s="11" t="s">
        <v>1326</v>
      </c>
      <c r="BK62" s="11" t="s">
        <v>183</v>
      </c>
      <c r="BL62" s="11" t="s">
        <v>1326</v>
      </c>
      <c r="BM62" s="11" t="s">
        <v>7028</v>
      </c>
      <c r="BN62" s="11" t="s">
        <v>74</v>
      </c>
      <c r="BO62" s="11" t="s">
        <v>186</v>
      </c>
      <c r="BP62" s="11" t="s">
        <v>74</v>
      </c>
      <c r="BQ62" s="11" t="s">
        <v>74</v>
      </c>
      <c r="BR62" s="11" t="s">
        <v>12946</v>
      </c>
      <c r="BS62" s="11" t="s">
        <v>7029</v>
      </c>
      <c r="BT62" s="11">
        <v>0</v>
      </c>
    </row>
    <row r="63" spans="1:72" x14ac:dyDescent="0.25">
      <c r="A63" s="11" t="s">
        <v>72</v>
      </c>
      <c r="B63" s="11" t="s">
        <v>7161</v>
      </c>
      <c r="C63" s="11" t="s">
        <v>74</v>
      </c>
      <c r="D63" s="11" t="s">
        <v>74</v>
      </c>
      <c r="E63" s="11" t="s">
        <v>74</v>
      </c>
      <c r="F63" s="11" t="s">
        <v>7162</v>
      </c>
      <c r="G63" s="11" t="s">
        <v>74</v>
      </c>
      <c r="H63" s="11" t="s">
        <v>74</v>
      </c>
      <c r="I63" s="11" t="s">
        <v>7163</v>
      </c>
      <c r="J63" s="11" t="s">
        <v>7164</v>
      </c>
      <c r="K63" s="11" t="s">
        <v>74</v>
      </c>
      <c r="L63" s="11" t="s">
        <v>74</v>
      </c>
      <c r="M63" s="11" t="s">
        <v>78</v>
      </c>
      <c r="N63" s="11" t="s">
        <v>79</v>
      </c>
      <c r="O63" s="11" t="s">
        <v>74</v>
      </c>
      <c r="P63" s="11" t="s">
        <v>74</v>
      </c>
      <c r="Q63" s="11" t="s">
        <v>74</v>
      </c>
      <c r="R63" s="11" t="s">
        <v>74</v>
      </c>
      <c r="S63" s="11" t="s">
        <v>74</v>
      </c>
      <c r="T63" s="11" t="s">
        <v>7165</v>
      </c>
      <c r="U63" s="11" t="s">
        <v>7166</v>
      </c>
      <c r="V63" s="11" t="s">
        <v>7167</v>
      </c>
      <c r="W63" s="11" t="s">
        <v>7168</v>
      </c>
      <c r="X63" s="11" t="s">
        <v>74</v>
      </c>
      <c r="Y63" s="11" t="s">
        <v>7169</v>
      </c>
      <c r="Z63" s="11" t="s">
        <v>74</v>
      </c>
      <c r="AA63" s="11" t="s">
        <v>74</v>
      </c>
      <c r="AB63" s="11" t="s">
        <v>74</v>
      </c>
      <c r="AC63" s="11" t="s">
        <v>74</v>
      </c>
      <c r="AD63" s="11" t="s">
        <v>74</v>
      </c>
      <c r="AE63" s="11" t="s">
        <v>74</v>
      </c>
      <c r="AF63" s="11" t="s">
        <v>74</v>
      </c>
      <c r="AG63" s="11">
        <v>7</v>
      </c>
      <c r="AH63" s="11">
        <v>1</v>
      </c>
      <c r="AI63" s="11">
        <v>1</v>
      </c>
      <c r="AJ63" s="11">
        <v>0</v>
      </c>
      <c r="AK63" s="11">
        <v>4</v>
      </c>
      <c r="AL63" s="11" t="s">
        <v>7170</v>
      </c>
      <c r="AM63" s="11" t="s">
        <v>7171</v>
      </c>
      <c r="AN63" s="11" t="s">
        <v>7172</v>
      </c>
      <c r="AO63" s="11" t="s">
        <v>7173</v>
      </c>
      <c r="AP63" s="11" t="s">
        <v>74</v>
      </c>
      <c r="AQ63" s="11" t="s">
        <v>74</v>
      </c>
      <c r="AR63" s="11" t="s">
        <v>7174</v>
      </c>
      <c r="AS63" s="11" t="s">
        <v>7174</v>
      </c>
      <c r="AT63" s="11" t="s">
        <v>74</v>
      </c>
      <c r="AU63" s="11">
        <v>2021</v>
      </c>
      <c r="AV63" s="11">
        <v>11</v>
      </c>
      <c r="AW63" s="11">
        <v>1</v>
      </c>
      <c r="AX63" s="11" t="s">
        <v>74</v>
      </c>
      <c r="AY63" s="11" t="s">
        <v>74</v>
      </c>
      <c r="AZ63" s="11" t="s">
        <v>74</v>
      </c>
      <c r="BA63" s="11" t="s">
        <v>74</v>
      </c>
      <c r="BB63" s="11">
        <v>19</v>
      </c>
      <c r="BC63" s="11">
        <v>22</v>
      </c>
      <c r="BD63" s="11" t="s">
        <v>74</v>
      </c>
      <c r="BE63" s="11" t="s">
        <v>7175</v>
      </c>
      <c r="BF63" s="11">
        <v>0</v>
      </c>
      <c r="BG63" s="11" t="s">
        <v>74</v>
      </c>
      <c r="BH63" s="11" t="s">
        <v>74</v>
      </c>
      <c r="BI63" s="11">
        <v>4</v>
      </c>
      <c r="BJ63" s="11" t="s">
        <v>2192</v>
      </c>
      <c r="BK63" s="11" t="s">
        <v>183</v>
      </c>
      <c r="BL63" s="11" t="s">
        <v>2193</v>
      </c>
      <c r="BM63" s="11" t="s">
        <v>7176</v>
      </c>
      <c r="BN63" s="11" t="s">
        <v>74</v>
      </c>
      <c r="BO63" s="11" t="s">
        <v>74</v>
      </c>
      <c r="BP63" s="11" t="s">
        <v>74</v>
      </c>
      <c r="BQ63" s="11" t="s">
        <v>74</v>
      </c>
      <c r="BR63" s="11" t="s">
        <v>12946</v>
      </c>
      <c r="BS63" s="11" t="s">
        <v>7177</v>
      </c>
      <c r="BT63" s="11">
        <v>0</v>
      </c>
    </row>
    <row r="64" spans="1:72" x14ac:dyDescent="0.25">
      <c r="A64" s="11" t="s">
        <v>72</v>
      </c>
      <c r="B64" s="11" t="s">
        <v>11985</v>
      </c>
      <c r="C64" s="11" t="s">
        <v>74</v>
      </c>
      <c r="D64" s="11" t="s">
        <v>74</v>
      </c>
      <c r="E64" s="11" t="s">
        <v>74</v>
      </c>
      <c r="F64" s="11" t="s">
        <v>11986</v>
      </c>
      <c r="G64" s="11" t="s">
        <v>74</v>
      </c>
      <c r="H64" s="11" t="s">
        <v>74</v>
      </c>
      <c r="I64" s="11" t="s">
        <v>11987</v>
      </c>
      <c r="J64" s="11" t="s">
        <v>11988</v>
      </c>
      <c r="K64" s="11" t="s">
        <v>74</v>
      </c>
      <c r="L64" s="11" t="s">
        <v>74</v>
      </c>
      <c r="M64" s="11" t="s">
        <v>78</v>
      </c>
      <c r="N64" s="11" t="s">
        <v>79</v>
      </c>
      <c r="O64" s="11" t="s">
        <v>74</v>
      </c>
      <c r="P64" s="11" t="s">
        <v>74</v>
      </c>
      <c r="Q64" s="11" t="s">
        <v>74</v>
      </c>
      <c r="R64" s="11" t="s">
        <v>74</v>
      </c>
      <c r="S64" s="11" t="s">
        <v>74</v>
      </c>
      <c r="T64" s="11" t="s">
        <v>11989</v>
      </c>
      <c r="U64" s="11" t="s">
        <v>74</v>
      </c>
      <c r="V64" s="11" t="s">
        <v>11990</v>
      </c>
      <c r="W64" s="11" t="s">
        <v>74</v>
      </c>
      <c r="X64" s="11" t="s">
        <v>74</v>
      </c>
      <c r="Y64" s="11" t="s">
        <v>11991</v>
      </c>
      <c r="Z64" s="11" t="s">
        <v>11992</v>
      </c>
      <c r="AA64" s="11" t="s">
        <v>74</v>
      </c>
      <c r="AB64" s="11" t="s">
        <v>74</v>
      </c>
      <c r="AC64" s="11" t="s">
        <v>74</v>
      </c>
      <c r="AD64" s="11" t="s">
        <v>74</v>
      </c>
      <c r="AE64" s="11" t="s">
        <v>74</v>
      </c>
      <c r="AF64" s="11" t="s">
        <v>74</v>
      </c>
      <c r="AG64" s="11">
        <v>45</v>
      </c>
      <c r="AH64" s="11">
        <v>1</v>
      </c>
      <c r="AI64" s="11">
        <v>5</v>
      </c>
      <c r="AJ64" s="11">
        <v>0</v>
      </c>
      <c r="AK64" s="11">
        <v>1</v>
      </c>
      <c r="AL64" s="11" t="s">
        <v>121</v>
      </c>
      <c r="AM64" s="11" t="s">
        <v>122</v>
      </c>
      <c r="AN64" s="11" t="s">
        <v>11993</v>
      </c>
      <c r="AO64" s="11" t="s">
        <v>11994</v>
      </c>
      <c r="AP64" s="11" t="s">
        <v>11995</v>
      </c>
      <c r="AQ64" s="11" t="s">
        <v>74</v>
      </c>
      <c r="AR64" s="11" t="s">
        <v>11996</v>
      </c>
      <c r="AS64" s="11" t="s">
        <v>11997</v>
      </c>
      <c r="AT64" s="11" t="s">
        <v>476</v>
      </c>
      <c r="AU64" s="11">
        <v>2013</v>
      </c>
      <c r="AV64" s="11">
        <v>29</v>
      </c>
      <c r="AW64" s="11">
        <v>4</v>
      </c>
      <c r="AX64" s="11" t="s">
        <v>74</v>
      </c>
      <c r="AY64" s="11" t="s">
        <v>74</v>
      </c>
      <c r="AZ64" s="11" t="s">
        <v>74</v>
      </c>
      <c r="BA64" s="11" t="s">
        <v>74</v>
      </c>
      <c r="BB64" s="11">
        <v>301</v>
      </c>
      <c r="BC64" s="11">
        <v>317</v>
      </c>
      <c r="BD64" s="11" t="s">
        <v>74</v>
      </c>
      <c r="BE64" s="11" t="s">
        <v>11998</v>
      </c>
      <c r="BF64" s="11">
        <v>0</v>
      </c>
      <c r="BG64" s="11" t="s">
        <v>74</v>
      </c>
      <c r="BH64" s="11" t="s">
        <v>74</v>
      </c>
      <c r="BI64" s="11">
        <v>17</v>
      </c>
      <c r="BJ64" s="11" t="s">
        <v>3050</v>
      </c>
      <c r="BK64" s="11" t="s">
        <v>183</v>
      </c>
      <c r="BL64" s="11" t="s">
        <v>3050</v>
      </c>
      <c r="BM64" s="11" t="s">
        <v>11999</v>
      </c>
      <c r="BN64" s="11" t="s">
        <v>74</v>
      </c>
      <c r="BO64" s="11" t="s">
        <v>74</v>
      </c>
      <c r="BP64" s="11" t="s">
        <v>74</v>
      </c>
      <c r="BQ64" s="11" t="s">
        <v>74</v>
      </c>
      <c r="BR64" s="11" t="s">
        <v>12946</v>
      </c>
      <c r="BS64" s="11" t="s">
        <v>12000</v>
      </c>
      <c r="BT64" s="11">
        <v>0</v>
      </c>
    </row>
    <row r="65" spans="1:72" x14ac:dyDescent="0.25">
      <c r="A65" s="11" t="s">
        <v>477</v>
      </c>
      <c r="B65" s="11" t="s">
        <v>12245</v>
      </c>
      <c r="C65" s="11" t="s">
        <v>12246</v>
      </c>
      <c r="D65" s="11" t="s">
        <v>74</v>
      </c>
      <c r="E65" s="11" t="s">
        <v>74</v>
      </c>
      <c r="F65" s="11" t="s">
        <v>12247</v>
      </c>
      <c r="G65" s="11" t="s">
        <v>12246</v>
      </c>
      <c r="H65" s="11" t="s">
        <v>74</v>
      </c>
      <c r="I65" s="11" t="s">
        <v>12248</v>
      </c>
      <c r="J65" s="11" t="s">
        <v>12249</v>
      </c>
      <c r="K65" s="11" t="s">
        <v>74</v>
      </c>
      <c r="L65" s="11" t="s">
        <v>74</v>
      </c>
      <c r="M65" s="11" t="s">
        <v>78</v>
      </c>
      <c r="N65" s="11" t="s">
        <v>4932</v>
      </c>
      <c r="O65" s="11" t="s">
        <v>74</v>
      </c>
      <c r="P65" s="11" t="s">
        <v>74</v>
      </c>
      <c r="Q65" s="11" t="s">
        <v>74</v>
      </c>
      <c r="R65" s="11" t="s">
        <v>74</v>
      </c>
      <c r="S65" s="11" t="s">
        <v>74</v>
      </c>
      <c r="T65" s="11" t="s">
        <v>74</v>
      </c>
      <c r="U65" s="11" t="s">
        <v>12250</v>
      </c>
      <c r="V65" s="11" t="s">
        <v>12251</v>
      </c>
      <c r="W65" s="11" t="s">
        <v>12252</v>
      </c>
      <c r="X65" s="11" t="s">
        <v>12253</v>
      </c>
      <c r="Y65" s="11" t="s">
        <v>12254</v>
      </c>
      <c r="Z65" s="11" t="s">
        <v>74</v>
      </c>
      <c r="AA65" s="11" t="s">
        <v>12255</v>
      </c>
      <c r="AB65" s="11" t="s">
        <v>12256</v>
      </c>
      <c r="AC65" s="11" t="s">
        <v>74</v>
      </c>
      <c r="AD65" s="11" t="s">
        <v>74</v>
      </c>
      <c r="AE65" s="11" t="s">
        <v>74</v>
      </c>
      <c r="AF65" s="11" t="s">
        <v>74</v>
      </c>
      <c r="AG65" s="11">
        <v>112</v>
      </c>
      <c r="AH65" s="11">
        <v>1</v>
      </c>
      <c r="AI65" s="11">
        <v>1</v>
      </c>
      <c r="AJ65" s="11">
        <v>0</v>
      </c>
      <c r="AK65" s="11">
        <v>3</v>
      </c>
      <c r="AL65" s="11" t="s">
        <v>2573</v>
      </c>
      <c r="AM65" s="11" t="s">
        <v>11695</v>
      </c>
      <c r="AN65" s="11" t="s">
        <v>11696</v>
      </c>
      <c r="AO65" s="11" t="s">
        <v>74</v>
      </c>
      <c r="AP65" s="11" t="s">
        <v>74</v>
      </c>
      <c r="AQ65" s="11" t="s">
        <v>12257</v>
      </c>
      <c r="AR65" s="11" t="s">
        <v>74</v>
      </c>
      <c r="AS65" s="11" t="s">
        <v>74</v>
      </c>
      <c r="AT65" s="11" t="s">
        <v>74</v>
      </c>
      <c r="AU65" s="11">
        <v>2013</v>
      </c>
      <c r="AV65" s="11" t="s">
        <v>74</v>
      </c>
      <c r="AW65" s="11" t="s">
        <v>74</v>
      </c>
      <c r="AX65" s="11" t="s">
        <v>74</v>
      </c>
      <c r="AY65" s="11" t="s">
        <v>74</v>
      </c>
      <c r="AZ65" s="11" t="s">
        <v>74</v>
      </c>
      <c r="BA65" s="11" t="s">
        <v>74</v>
      </c>
      <c r="BB65" s="11">
        <v>321</v>
      </c>
      <c r="BC65" s="11">
        <v>340</v>
      </c>
      <c r="BD65" s="11" t="s">
        <v>74</v>
      </c>
      <c r="BE65" s="11" t="s">
        <v>12258</v>
      </c>
      <c r="BF65" s="11">
        <v>0</v>
      </c>
      <c r="BG65" s="11" t="s">
        <v>12259</v>
      </c>
      <c r="BH65" s="11" t="s">
        <v>74</v>
      </c>
      <c r="BI65" s="11">
        <v>20</v>
      </c>
      <c r="BJ65" s="11" t="s">
        <v>12260</v>
      </c>
      <c r="BK65" s="11" t="s">
        <v>9423</v>
      </c>
      <c r="BL65" s="11" t="s">
        <v>12261</v>
      </c>
      <c r="BM65" s="11" t="s">
        <v>12262</v>
      </c>
      <c r="BN65" s="11" t="s">
        <v>74</v>
      </c>
      <c r="BO65" s="11" t="s">
        <v>74</v>
      </c>
      <c r="BP65" s="11" t="s">
        <v>74</v>
      </c>
      <c r="BQ65" s="11" t="s">
        <v>74</v>
      </c>
      <c r="BR65" s="11" t="s">
        <v>12946</v>
      </c>
      <c r="BS65" s="11" t="s">
        <v>12263</v>
      </c>
      <c r="BT65" s="11">
        <v>0</v>
      </c>
    </row>
    <row r="66" spans="1:72" x14ac:dyDescent="0.25">
      <c r="A66" s="11" t="s">
        <v>7120</v>
      </c>
      <c r="B66" s="11" t="s">
        <v>12493</v>
      </c>
      <c r="C66" s="11" t="s">
        <v>74</v>
      </c>
      <c r="D66" s="11" t="s">
        <v>12494</v>
      </c>
      <c r="E66" s="11" t="s">
        <v>74</v>
      </c>
      <c r="F66" s="11" t="s">
        <v>12495</v>
      </c>
      <c r="G66" s="11" t="s">
        <v>74</v>
      </c>
      <c r="H66" s="11" t="s">
        <v>74</v>
      </c>
      <c r="I66" s="11" t="s">
        <v>12496</v>
      </c>
      <c r="J66" s="11" t="s">
        <v>12497</v>
      </c>
      <c r="K66" s="11" t="s">
        <v>12498</v>
      </c>
      <c r="L66" s="11" t="s">
        <v>74</v>
      </c>
      <c r="M66" s="11" t="s">
        <v>78</v>
      </c>
      <c r="N66" s="11" t="s">
        <v>4932</v>
      </c>
      <c r="O66" s="11" t="s">
        <v>74</v>
      </c>
      <c r="P66" s="11" t="s">
        <v>74</v>
      </c>
      <c r="Q66" s="11" t="s">
        <v>74</v>
      </c>
      <c r="R66" s="11" t="s">
        <v>74</v>
      </c>
      <c r="S66" s="11" t="s">
        <v>74</v>
      </c>
      <c r="T66" s="11" t="s">
        <v>74</v>
      </c>
      <c r="U66" s="11" t="s">
        <v>12499</v>
      </c>
      <c r="V66" s="11" t="s">
        <v>12500</v>
      </c>
      <c r="W66" s="11" t="s">
        <v>12501</v>
      </c>
      <c r="X66" s="11" t="s">
        <v>12502</v>
      </c>
      <c r="Y66" s="11" t="s">
        <v>12503</v>
      </c>
      <c r="Z66" s="11" t="s">
        <v>12504</v>
      </c>
      <c r="AA66" s="11" t="s">
        <v>74</v>
      </c>
      <c r="AB66" s="11" t="s">
        <v>74</v>
      </c>
      <c r="AC66" s="11" t="s">
        <v>74</v>
      </c>
      <c r="AD66" s="11" t="s">
        <v>74</v>
      </c>
      <c r="AE66" s="11" t="s">
        <v>74</v>
      </c>
      <c r="AF66" s="11" t="s">
        <v>74</v>
      </c>
      <c r="AG66" s="11">
        <v>55</v>
      </c>
      <c r="AH66" s="11">
        <v>1</v>
      </c>
      <c r="AI66" s="11">
        <v>1</v>
      </c>
      <c r="AJ66" s="11">
        <v>0</v>
      </c>
      <c r="AK66" s="11">
        <v>4</v>
      </c>
      <c r="AL66" s="11" t="s">
        <v>121</v>
      </c>
      <c r="AM66" s="11" t="s">
        <v>122</v>
      </c>
      <c r="AN66" s="11" t="s">
        <v>10957</v>
      </c>
      <c r="AO66" s="11" t="s">
        <v>12505</v>
      </c>
      <c r="AP66" s="11" t="s">
        <v>74</v>
      </c>
      <c r="AQ66" s="11" t="s">
        <v>12506</v>
      </c>
      <c r="AR66" s="11" t="s">
        <v>12507</v>
      </c>
      <c r="AS66" s="11" t="s">
        <v>74</v>
      </c>
      <c r="AT66" s="11" t="s">
        <v>74</v>
      </c>
      <c r="AU66" s="11">
        <v>2010</v>
      </c>
      <c r="AV66" s="11">
        <v>25</v>
      </c>
      <c r="AW66" s="11" t="s">
        <v>74</v>
      </c>
      <c r="AX66" s="11" t="s">
        <v>74</v>
      </c>
      <c r="AY66" s="11" t="s">
        <v>74</v>
      </c>
      <c r="AZ66" s="11" t="s">
        <v>74</v>
      </c>
      <c r="BA66" s="11" t="s">
        <v>74</v>
      </c>
      <c r="BB66" s="11">
        <v>505</v>
      </c>
      <c r="BC66" s="11">
        <v>524</v>
      </c>
      <c r="BD66" s="11" t="s">
        <v>74</v>
      </c>
      <c r="BE66" s="11" t="s">
        <v>12508</v>
      </c>
      <c r="BF66" s="11">
        <v>0</v>
      </c>
      <c r="BG66" s="11" t="s">
        <v>12509</v>
      </c>
      <c r="BH66" s="11" t="s">
        <v>74</v>
      </c>
      <c r="BI66" s="11">
        <v>20</v>
      </c>
      <c r="BJ66" s="11" t="s">
        <v>12510</v>
      </c>
      <c r="BK66" s="11" t="s">
        <v>12511</v>
      </c>
      <c r="BL66" s="11" t="s">
        <v>9937</v>
      </c>
      <c r="BM66" s="11" t="s">
        <v>12512</v>
      </c>
      <c r="BN66" s="11" t="s">
        <v>74</v>
      </c>
      <c r="BO66" s="11" t="s">
        <v>74</v>
      </c>
      <c r="BP66" s="11" t="s">
        <v>74</v>
      </c>
      <c r="BQ66" s="11" t="s">
        <v>74</v>
      </c>
      <c r="BR66" s="11" t="s">
        <v>12946</v>
      </c>
      <c r="BS66" s="11" t="s">
        <v>12513</v>
      </c>
      <c r="BT66" s="11">
        <v>0</v>
      </c>
    </row>
    <row r="67" spans="1:72" x14ac:dyDescent="0.25">
      <c r="A67" s="11" t="s">
        <v>72</v>
      </c>
      <c r="B67" s="11" t="s">
        <v>12681</v>
      </c>
      <c r="C67" s="11" t="s">
        <v>74</v>
      </c>
      <c r="D67" s="11" t="s">
        <v>74</v>
      </c>
      <c r="E67" s="11" t="s">
        <v>74</v>
      </c>
      <c r="F67" s="11" t="s">
        <v>12682</v>
      </c>
      <c r="G67" s="11" t="s">
        <v>74</v>
      </c>
      <c r="H67" s="11" t="s">
        <v>74</v>
      </c>
      <c r="I67" s="11" t="s">
        <v>12683</v>
      </c>
      <c r="J67" s="11" t="s">
        <v>12534</v>
      </c>
      <c r="K67" s="11" t="s">
        <v>74</v>
      </c>
      <c r="L67" s="11" t="s">
        <v>74</v>
      </c>
      <c r="M67" s="11" t="s">
        <v>78</v>
      </c>
      <c r="N67" s="11" t="s">
        <v>79</v>
      </c>
      <c r="O67" s="11" t="s">
        <v>74</v>
      </c>
      <c r="P67" s="11" t="s">
        <v>74</v>
      </c>
      <c r="Q67" s="11" t="s">
        <v>74</v>
      </c>
      <c r="R67" s="11" t="s">
        <v>74</v>
      </c>
      <c r="S67" s="11" t="s">
        <v>74</v>
      </c>
      <c r="T67" s="11" t="s">
        <v>12684</v>
      </c>
      <c r="U67" s="11" t="s">
        <v>74</v>
      </c>
      <c r="V67" s="11" t="s">
        <v>12685</v>
      </c>
      <c r="W67" s="11" t="s">
        <v>12686</v>
      </c>
      <c r="X67" s="11" t="s">
        <v>74</v>
      </c>
      <c r="Y67" s="11" t="s">
        <v>12687</v>
      </c>
      <c r="Z67" s="11" t="s">
        <v>74</v>
      </c>
      <c r="AA67" s="11" t="s">
        <v>13327</v>
      </c>
      <c r="AB67" s="11" t="s">
        <v>13328</v>
      </c>
      <c r="AC67" s="11" t="s">
        <v>74</v>
      </c>
      <c r="AD67" s="11" t="s">
        <v>74</v>
      </c>
      <c r="AE67" s="11" t="s">
        <v>74</v>
      </c>
      <c r="AF67" s="11" t="s">
        <v>74</v>
      </c>
      <c r="AG67" s="11">
        <v>20</v>
      </c>
      <c r="AH67" s="11">
        <v>1</v>
      </c>
      <c r="AI67" s="11">
        <v>1</v>
      </c>
      <c r="AJ67" s="11">
        <v>0</v>
      </c>
      <c r="AK67" s="11">
        <v>1</v>
      </c>
      <c r="AL67" s="11" t="s">
        <v>492</v>
      </c>
      <c r="AM67" s="11" t="s">
        <v>493</v>
      </c>
      <c r="AN67" s="11" t="s">
        <v>494</v>
      </c>
      <c r="AO67" s="11" t="s">
        <v>12541</v>
      </c>
      <c r="AP67" s="11" t="s">
        <v>12542</v>
      </c>
      <c r="AQ67" s="11" t="s">
        <v>74</v>
      </c>
      <c r="AR67" s="11" t="s">
        <v>12689</v>
      </c>
      <c r="AS67" s="11" t="s">
        <v>12690</v>
      </c>
      <c r="AT67" s="11" t="s">
        <v>74</v>
      </c>
      <c r="AU67" s="11">
        <v>2008</v>
      </c>
      <c r="AV67" s="11">
        <v>5</v>
      </c>
      <c r="AW67" s="11">
        <v>2</v>
      </c>
      <c r="AX67" s="11" t="s">
        <v>74</v>
      </c>
      <c r="AY67" s="11" t="s">
        <v>74</v>
      </c>
      <c r="AZ67" s="11" t="s">
        <v>74</v>
      </c>
      <c r="BA67" s="11" t="s">
        <v>74</v>
      </c>
      <c r="BB67" s="11">
        <v>47</v>
      </c>
      <c r="BC67" s="11">
        <v>69</v>
      </c>
      <c r="BD67" s="11" t="s">
        <v>74</v>
      </c>
      <c r="BE67" s="11" t="s">
        <v>12691</v>
      </c>
      <c r="BF67" s="11">
        <v>0</v>
      </c>
      <c r="BG67" s="11" t="s">
        <v>74</v>
      </c>
      <c r="BH67" s="11" t="s">
        <v>74</v>
      </c>
      <c r="BI67" s="11">
        <v>23</v>
      </c>
      <c r="BJ67" s="11" t="s">
        <v>1023</v>
      </c>
      <c r="BK67" s="11" t="s">
        <v>183</v>
      </c>
      <c r="BL67" s="11" t="s">
        <v>265</v>
      </c>
      <c r="BM67" s="11" t="s">
        <v>12692</v>
      </c>
      <c r="BN67" s="11" t="s">
        <v>74</v>
      </c>
      <c r="BO67" s="11" t="s">
        <v>74</v>
      </c>
      <c r="BP67" s="11" t="s">
        <v>74</v>
      </c>
      <c r="BQ67" s="11" t="s">
        <v>74</v>
      </c>
      <c r="BR67" s="11" t="s">
        <v>12946</v>
      </c>
      <c r="BS67" s="11" t="s">
        <v>12693</v>
      </c>
      <c r="BT67" s="11">
        <v>0</v>
      </c>
    </row>
    <row r="68" spans="1:72" x14ac:dyDescent="0.25">
      <c r="A68" s="11" t="s">
        <v>72</v>
      </c>
      <c r="B68" s="11" t="s">
        <v>12800</v>
      </c>
      <c r="C68" s="11" t="s">
        <v>74</v>
      </c>
      <c r="D68" s="11" t="s">
        <v>74</v>
      </c>
      <c r="E68" s="11" t="s">
        <v>74</v>
      </c>
      <c r="F68" s="11" t="s">
        <v>12801</v>
      </c>
      <c r="G68" s="11" t="s">
        <v>74</v>
      </c>
      <c r="H68" s="11" t="s">
        <v>74</v>
      </c>
      <c r="I68" s="11" t="s">
        <v>12802</v>
      </c>
      <c r="J68" s="11" t="s">
        <v>12803</v>
      </c>
      <c r="K68" s="11" t="s">
        <v>74</v>
      </c>
      <c r="L68" s="11" t="s">
        <v>74</v>
      </c>
      <c r="M68" s="11" t="s">
        <v>78</v>
      </c>
      <c r="N68" s="11" t="s">
        <v>79</v>
      </c>
      <c r="O68" s="11" t="s">
        <v>74</v>
      </c>
      <c r="P68" s="11" t="s">
        <v>74</v>
      </c>
      <c r="Q68" s="11" t="s">
        <v>74</v>
      </c>
      <c r="R68" s="11" t="s">
        <v>74</v>
      </c>
      <c r="S68" s="11" t="s">
        <v>74</v>
      </c>
      <c r="T68" s="11" t="s">
        <v>12804</v>
      </c>
      <c r="U68" s="11" t="s">
        <v>74</v>
      </c>
      <c r="V68" s="11" t="s">
        <v>12805</v>
      </c>
      <c r="W68" s="11" t="s">
        <v>12806</v>
      </c>
      <c r="X68" s="11" t="s">
        <v>12807</v>
      </c>
      <c r="Y68" s="11" t="s">
        <v>12808</v>
      </c>
      <c r="Z68" s="11" t="s">
        <v>12809</v>
      </c>
      <c r="AA68" s="11" t="s">
        <v>74</v>
      </c>
      <c r="AB68" s="11" t="s">
        <v>12810</v>
      </c>
      <c r="AC68" s="11" t="s">
        <v>74</v>
      </c>
      <c r="AD68" s="11" t="s">
        <v>74</v>
      </c>
      <c r="AE68" s="11" t="s">
        <v>74</v>
      </c>
      <c r="AF68" s="11" t="s">
        <v>74</v>
      </c>
      <c r="AG68" s="11">
        <v>11</v>
      </c>
      <c r="AH68" s="11">
        <v>1</v>
      </c>
      <c r="AI68" s="11">
        <v>2</v>
      </c>
      <c r="AJ68" s="11">
        <v>0</v>
      </c>
      <c r="AK68" s="11">
        <v>0</v>
      </c>
      <c r="AL68" s="11" t="s">
        <v>715</v>
      </c>
      <c r="AM68" s="11" t="s">
        <v>716</v>
      </c>
      <c r="AN68" s="11" t="s">
        <v>717</v>
      </c>
      <c r="AO68" s="11" t="s">
        <v>12811</v>
      </c>
      <c r="AP68" s="11" t="s">
        <v>12812</v>
      </c>
      <c r="AQ68" s="11" t="s">
        <v>74</v>
      </c>
      <c r="AR68" s="11" t="s">
        <v>12813</v>
      </c>
      <c r="AS68" s="11" t="s">
        <v>12814</v>
      </c>
      <c r="AT68" s="11" t="s">
        <v>74</v>
      </c>
      <c r="AU68" s="11">
        <v>2006</v>
      </c>
      <c r="AV68" s="11">
        <v>55</v>
      </c>
      <c r="AW68" s="11">
        <v>9</v>
      </c>
      <c r="AX68" s="11" t="s">
        <v>74</v>
      </c>
      <c r="AY68" s="11" t="s">
        <v>74</v>
      </c>
      <c r="AZ68" s="11" t="s">
        <v>74</v>
      </c>
      <c r="BA68" s="11" t="s">
        <v>74</v>
      </c>
      <c r="BB68" s="11">
        <v>621</v>
      </c>
      <c r="BC68" s="11" t="s">
        <v>11057</v>
      </c>
      <c r="BD68" s="11" t="s">
        <v>74</v>
      </c>
      <c r="BE68" s="11" t="s">
        <v>12815</v>
      </c>
      <c r="BF68" s="11">
        <v>0</v>
      </c>
      <c r="BG68" s="11" t="s">
        <v>74</v>
      </c>
      <c r="BH68" s="11" t="s">
        <v>74</v>
      </c>
      <c r="BI68" s="11">
        <v>12</v>
      </c>
      <c r="BJ68" s="11" t="s">
        <v>3050</v>
      </c>
      <c r="BK68" s="11" t="s">
        <v>183</v>
      </c>
      <c r="BL68" s="11" t="s">
        <v>3050</v>
      </c>
      <c r="BM68" s="11" t="s">
        <v>12816</v>
      </c>
      <c r="BN68" s="11" t="s">
        <v>74</v>
      </c>
      <c r="BO68" s="11" t="s">
        <v>74</v>
      </c>
      <c r="BP68" s="11" t="s">
        <v>74</v>
      </c>
      <c r="BQ68" s="11" t="s">
        <v>74</v>
      </c>
      <c r="BR68" s="11" t="s">
        <v>12946</v>
      </c>
      <c r="BS68" s="11" t="s">
        <v>12817</v>
      </c>
      <c r="BT68" s="11">
        <v>0</v>
      </c>
    </row>
    <row r="69" spans="1:72" x14ac:dyDescent="0.25">
      <c r="A69" s="11" t="s">
        <v>72</v>
      </c>
      <c r="B69" s="11" t="s">
        <v>382</v>
      </c>
      <c r="C69" s="11" t="s">
        <v>74</v>
      </c>
      <c r="D69" s="11" t="s">
        <v>74</v>
      </c>
      <c r="E69" s="11" t="s">
        <v>74</v>
      </c>
      <c r="F69" s="11" t="s">
        <v>383</v>
      </c>
      <c r="G69" s="11" t="s">
        <v>74</v>
      </c>
      <c r="H69" s="11" t="s">
        <v>74</v>
      </c>
      <c r="I69" s="11" t="s">
        <v>384</v>
      </c>
      <c r="J69" s="11" t="s">
        <v>385</v>
      </c>
      <c r="K69" s="11" t="s">
        <v>74</v>
      </c>
      <c r="L69" s="11" t="s">
        <v>74</v>
      </c>
      <c r="M69" s="11" t="s">
        <v>78</v>
      </c>
      <c r="N69" s="11" t="s">
        <v>79</v>
      </c>
      <c r="O69" s="11" t="s">
        <v>74</v>
      </c>
      <c r="P69" s="11" t="s">
        <v>74</v>
      </c>
      <c r="Q69" s="11" t="s">
        <v>74</v>
      </c>
      <c r="R69" s="11" t="s">
        <v>74</v>
      </c>
      <c r="S69" s="11" t="s">
        <v>74</v>
      </c>
      <c r="T69" s="11" t="s">
        <v>386</v>
      </c>
      <c r="U69" s="11" t="s">
        <v>74</v>
      </c>
      <c r="V69" s="11" t="s">
        <v>387</v>
      </c>
      <c r="W69" s="11" t="s">
        <v>388</v>
      </c>
      <c r="X69" s="11" t="s">
        <v>389</v>
      </c>
      <c r="Y69" s="11" t="s">
        <v>390</v>
      </c>
      <c r="Z69" s="11" t="s">
        <v>391</v>
      </c>
      <c r="AA69" s="11" t="s">
        <v>74</v>
      </c>
      <c r="AB69" s="11" t="s">
        <v>74</v>
      </c>
      <c r="AC69" s="11" t="s">
        <v>392</v>
      </c>
      <c r="AD69" s="11" t="s">
        <v>392</v>
      </c>
      <c r="AE69" s="11" t="s">
        <v>393</v>
      </c>
      <c r="AF69" s="11" t="s">
        <v>74</v>
      </c>
      <c r="AG69" s="11">
        <v>47</v>
      </c>
      <c r="AH69" s="11">
        <v>0</v>
      </c>
      <c r="AI69" s="11">
        <v>0</v>
      </c>
      <c r="AJ69" s="11">
        <v>19</v>
      </c>
      <c r="AK69" s="11">
        <v>29</v>
      </c>
      <c r="AL69" s="11" t="s">
        <v>202</v>
      </c>
      <c r="AM69" s="11" t="s">
        <v>203</v>
      </c>
      <c r="AN69" s="11" t="s">
        <v>204</v>
      </c>
      <c r="AO69" s="11" t="s">
        <v>74</v>
      </c>
      <c r="AP69" s="11" t="s">
        <v>394</v>
      </c>
      <c r="AQ69" s="11" t="s">
        <v>74</v>
      </c>
      <c r="AR69" s="11" t="s">
        <v>395</v>
      </c>
      <c r="AS69" s="11" t="s">
        <v>396</v>
      </c>
      <c r="AT69" s="11" t="s">
        <v>356</v>
      </c>
      <c r="AU69" s="11">
        <v>2023</v>
      </c>
      <c r="AV69" s="11">
        <v>7</v>
      </c>
      <c r="AW69" s="11">
        <v>9</v>
      </c>
      <c r="AX69" s="11" t="s">
        <v>74</v>
      </c>
      <c r="AY69" s="11" t="s">
        <v>74</v>
      </c>
      <c r="AZ69" s="11" t="s">
        <v>74</v>
      </c>
      <c r="BA69" s="11" t="s">
        <v>74</v>
      </c>
      <c r="BB69" s="11" t="s">
        <v>74</v>
      </c>
      <c r="BC69" s="11" t="s">
        <v>74</v>
      </c>
      <c r="BD69" s="11">
        <v>87</v>
      </c>
      <c r="BE69" s="11" t="s">
        <v>397</v>
      </c>
      <c r="BF69" s="11">
        <v>0</v>
      </c>
      <c r="BG69" s="11" t="s">
        <v>74</v>
      </c>
      <c r="BH69" s="11" t="s">
        <v>74</v>
      </c>
      <c r="BI69" s="11">
        <v>24</v>
      </c>
      <c r="BJ69" s="11" t="s">
        <v>398</v>
      </c>
      <c r="BK69" s="11" t="s">
        <v>183</v>
      </c>
      <c r="BL69" s="11" t="s">
        <v>399</v>
      </c>
      <c r="BM69" s="11" t="s">
        <v>400</v>
      </c>
      <c r="BN69" s="11" t="s">
        <v>74</v>
      </c>
      <c r="BO69" s="11" t="s">
        <v>186</v>
      </c>
      <c r="BP69" s="11" t="s">
        <v>74</v>
      </c>
      <c r="BQ69" s="11" t="s">
        <v>74</v>
      </c>
      <c r="BR69" s="11" t="s">
        <v>12946</v>
      </c>
      <c r="BS69" s="11" t="s">
        <v>401</v>
      </c>
      <c r="BT69" s="11">
        <v>0</v>
      </c>
    </row>
    <row r="70" spans="1:72" x14ac:dyDescent="0.25">
      <c r="A70" s="11" t="s">
        <v>72</v>
      </c>
      <c r="B70" s="11" t="s">
        <v>925</v>
      </c>
      <c r="C70" s="11" t="s">
        <v>74</v>
      </c>
      <c r="D70" s="11" t="s">
        <v>74</v>
      </c>
      <c r="E70" s="11" t="s">
        <v>74</v>
      </c>
      <c r="F70" s="11" t="s">
        <v>926</v>
      </c>
      <c r="G70" s="11" t="s">
        <v>74</v>
      </c>
      <c r="H70" s="11" t="s">
        <v>74</v>
      </c>
      <c r="I70" s="11" t="s">
        <v>927</v>
      </c>
      <c r="J70" s="11" t="s">
        <v>928</v>
      </c>
      <c r="K70" s="11" t="s">
        <v>74</v>
      </c>
      <c r="L70" s="11" t="s">
        <v>74</v>
      </c>
      <c r="M70" s="11" t="s">
        <v>929</v>
      </c>
      <c r="N70" s="11" t="s">
        <v>79</v>
      </c>
      <c r="O70" s="11" t="s">
        <v>74</v>
      </c>
      <c r="P70" s="11" t="s">
        <v>74</v>
      </c>
      <c r="Q70" s="11" t="s">
        <v>74</v>
      </c>
      <c r="R70" s="11" t="s">
        <v>74</v>
      </c>
      <c r="S70" s="11" t="s">
        <v>74</v>
      </c>
      <c r="T70" s="11" t="s">
        <v>930</v>
      </c>
      <c r="U70" s="11" t="s">
        <v>74</v>
      </c>
      <c r="V70" s="11" t="s">
        <v>931</v>
      </c>
      <c r="W70" s="11" t="s">
        <v>932</v>
      </c>
      <c r="X70" s="11" t="s">
        <v>74</v>
      </c>
      <c r="Y70" s="11" t="s">
        <v>933</v>
      </c>
      <c r="Z70" s="11" t="s">
        <v>934</v>
      </c>
      <c r="AA70" s="11" t="s">
        <v>74</v>
      </c>
      <c r="AB70" s="11" t="s">
        <v>74</v>
      </c>
      <c r="AC70" s="11" t="s">
        <v>74</v>
      </c>
      <c r="AD70" s="11" t="s">
        <v>74</v>
      </c>
      <c r="AE70" s="11" t="s">
        <v>74</v>
      </c>
      <c r="AF70" s="11" t="s">
        <v>74</v>
      </c>
      <c r="AG70" s="11">
        <v>18</v>
      </c>
      <c r="AH70" s="11">
        <v>0</v>
      </c>
      <c r="AI70" s="11">
        <v>0</v>
      </c>
      <c r="AJ70" s="11">
        <v>1</v>
      </c>
      <c r="AK70" s="11">
        <v>1</v>
      </c>
      <c r="AL70" s="11" t="s">
        <v>935</v>
      </c>
      <c r="AM70" s="11" t="s">
        <v>936</v>
      </c>
      <c r="AN70" s="11" t="s">
        <v>937</v>
      </c>
      <c r="AO70" s="11" t="s">
        <v>938</v>
      </c>
      <c r="AP70" s="11" t="s">
        <v>74</v>
      </c>
      <c r="AQ70" s="11" t="s">
        <v>74</v>
      </c>
      <c r="AR70" s="11" t="s">
        <v>939</v>
      </c>
      <c r="AS70" s="11" t="s">
        <v>940</v>
      </c>
      <c r="AT70" s="11" t="s">
        <v>941</v>
      </c>
      <c r="AU70" s="11">
        <v>2023</v>
      </c>
      <c r="AV70" s="11">
        <v>15</v>
      </c>
      <c r="AW70" s="11">
        <v>4</v>
      </c>
      <c r="AX70" s="11" t="s">
        <v>74</v>
      </c>
      <c r="AY70" s="11" t="s">
        <v>74</v>
      </c>
      <c r="AZ70" s="11" t="s">
        <v>74</v>
      </c>
      <c r="BA70" s="11" t="s">
        <v>74</v>
      </c>
      <c r="BB70" s="11">
        <v>76</v>
      </c>
      <c r="BC70" s="11">
        <v>84</v>
      </c>
      <c r="BD70" s="11" t="s">
        <v>74</v>
      </c>
      <c r="BE70" s="11" t="s">
        <v>74</v>
      </c>
      <c r="BF70" s="11" t="s">
        <v>74</v>
      </c>
      <c r="BG70" s="11" t="s">
        <v>74</v>
      </c>
      <c r="BH70" s="11" t="s">
        <v>74</v>
      </c>
      <c r="BI70" s="11">
        <v>9</v>
      </c>
      <c r="BJ70" s="11" t="s">
        <v>942</v>
      </c>
      <c r="BK70" s="11" t="s">
        <v>183</v>
      </c>
      <c r="BL70" s="11" t="s">
        <v>943</v>
      </c>
      <c r="BM70" s="11" t="s">
        <v>944</v>
      </c>
      <c r="BN70" s="11" t="s">
        <v>74</v>
      </c>
      <c r="BO70" s="11" t="s">
        <v>74</v>
      </c>
      <c r="BP70" s="11" t="s">
        <v>74</v>
      </c>
      <c r="BQ70" s="11" t="s">
        <v>74</v>
      </c>
      <c r="BR70" s="11" t="s">
        <v>12946</v>
      </c>
      <c r="BS70" s="11" t="s">
        <v>945</v>
      </c>
      <c r="BT70" s="11">
        <v>0</v>
      </c>
    </row>
    <row r="71" spans="1:72" x14ac:dyDescent="0.25">
      <c r="A71" s="11" t="s">
        <v>72</v>
      </c>
      <c r="B71" s="11" t="s">
        <v>1733</v>
      </c>
      <c r="C71" s="11" t="s">
        <v>74</v>
      </c>
      <c r="D71" s="11" t="s">
        <v>74</v>
      </c>
      <c r="E71" s="11" t="s">
        <v>74</v>
      </c>
      <c r="F71" s="11" t="s">
        <v>1734</v>
      </c>
      <c r="G71" s="11" t="s">
        <v>74</v>
      </c>
      <c r="H71" s="11" t="s">
        <v>74</v>
      </c>
      <c r="I71" s="11" t="s">
        <v>1735</v>
      </c>
      <c r="J71" s="11" t="s">
        <v>1736</v>
      </c>
      <c r="K71" s="11" t="s">
        <v>74</v>
      </c>
      <c r="L71" s="11" t="s">
        <v>74</v>
      </c>
      <c r="M71" s="11" t="s">
        <v>78</v>
      </c>
      <c r="N71" s="11" t="s">
        <v>79</v>
      </c>
      <c r="O71" s="11" t="s">
        <v>74</v>
      </c>
      <c r="P71" s="11" t="s">
        <v>74</v>
      </c>
      <c r="Q71" s="11" t="s">
        <v>74</v>
      </c>
      <c r="R71" s="11" t="s">
        <v>74</v>
      </c>
      <c r="S71" s="11" t="s">
        <v>74</v>
      </c>
      <c r="T71" s="11" t="s">
        <v>1737</v>
      </c>
      <c r="U71" s="11" t="s">
        <v>74</v>
      </c>
      <c r="V71" s="11" t="s">
        <v>1738</v>
      </c>
      <c r="W71" s="11" t="s">
        <v>1739</v>
      </c>
      <c r="X71" s="11" t="s">
        <v>1740</v>
      </c>
      <c r="Y71" s="11" t="s">
        <v>1741</v>
      </c>
      <c r="Z71" s="11" t="s">
        <v>1742</v>
      </c>
      <c r="AA71" s="11" t="s">
        <v>74</v>
      </c>
      <c r="AB71" s="11" t="s">
        <v>74</v>
      </c>
      <c r="AC71" s="11" t="s">
        <v>74</v>
      </c>
      <c r="AD71" s="11" t="s">
        <v>74</v>
      </c>
      <c r="AE71" s="11" t="s">
        <v>74</v>
      </c>
      <c r="AF71" s="11" t="s">
        <v>74</v>
      </c>
      <c r="AG71" s="11">
        <v>41</v>
      </c>
      <c r="AH71" s="11">
        <v>0</v>
      </c>
      <c r="AI71" s="11">
        <v>0</v>
      </c>
      <c r="AJ71" s="11">
        <v>5</v>
      </c>
      <c r="AK71" s="11">
        <v>10</v>
      </c>
      <c r="AL71" s="11" t="s">
        <v>1743</v>
      </c>
      <c r="AM71" s="11" t="s">
        <v>1744</v>
      </c>
      <c r="AN71" s="11" t="s">
        <v>1745</v>
      </c>
      <c r="AO71" s="11" t="s">
        <v>1746</v>
      </c>
      <c r="AP71" s="11" t="s">
        <v>74</v>
      </c>
      <c r="AQ71" s="11" t="s">
        <v>74</v>
      </c>
      <c r="AR71" s="11" t="s">
        <v>1747</v>
      </c>
      <c r="AS71" s="11" t="s">
        <v>1748</v>
      </c>
      <c r="AT71" s="11" t="s">
        <v>1683</v>
      </c>
      <c r="AU71" s="11">
        <v>2023</v>
      </c>
      <c r="AV71" s="11">
        <v>62</v>
      </c>
      <c r="AW71" s="11">
        <v>2</v>
      </c>
      <c r="AX71" s="11" t="s">
        <v>74</v>
      </c>
      <c r="AY71" s="11" t="s">
        <v>74</v>
      </c>
      <c r="AZ71" s="11" t="s">
        <v>74</v>
      </c>
      <c r="BA71" s="11" t="s">
        <v>74</v>
      </c>
      <c r="BB71" s="11">
        <v>165</v>
      </c>
      <c r="BC71" s="11">
        <v>193</v>
      </c>
      <c r="BD71" s="11" t="s">
        <v>74</v>
      </c>
      <c r="BE71" s="11" t="s">
        <v>1749</v>
      </c>
      <c r="BF71" s="11">
        <v>0</v>
      </c>
      <c r="BG71" s="11" t="s">
        <v>74</v>
      </c>
      <c r="BH71" s="11" t="s">
        <v>74</v>
      </c>
      <c r="BI71" s="11">
        <v>29</v>
      </c>
      <c r="BJ71" s="11" t="s">
        <v>1326</v>
      </c>
      <c r="BK71" s="11" t="s">
        <v>183</v>
      </c>
      <c r="BL71" s="11" t="s">
        <v>1326</v>
      </c>
      <c r="BM71" s="11" t="s">
        <v>1750</v>
      </c>
      <c r="BN71" s="11" t="s">
        <v>74</v>
      </c>
      <c r="BO71" s="11" t="s">
        <v>186</v>
      </c>
      <c r="BP71" s="11" t="s">
        <v>74</v>
      </c>
      <c r="BQ71" s="11" t="s">
        <v>74</v>
      </c>
      <c r="BR71" s="11" t="s">
        <v>12946</v>
      </c>
      <c r="BS71" s="11" t="s">
        <v>1751</v>
      </c>
      <c r="BT71" s="11">
        <v>0</v>
      </c>
    </row>
    <row r="72" spans="1:72" x14ac:dyDescent="0.25">
      <c r="A72" s="11" t="s">
        <v>72</v>
      </c>
      <c r="B72" s="11" t="s">
        <v>2178</v>
      </c>
      <c r="C72" s="11" t="s">
        <v>74</v>
      </c>
      <c r="D72" s="11" t="s">
        <v>74</v>
      </c>
      <c r="E72" s="11" t="s">
        <v>74</v>
      </c>
      <c r="F72" s="11" t="s">
        <v>2179</v>
      </c>
      <c r="G72" s="11" t="s">
        <v>74</v>
      </c>
      <c r="H72" s="11" t="s">
        <v>74</v>
      </c>
      <c r="I72" s="11" t="s">
        <v>2180</v>
      </c>
      <c r="J72" s="11" t="s">
        <v>2181</v>
      </c>
      <c r="K72" s="11" t="s">
        <v>74</v>
      </c>
      <c r="L72" s="11" t="s">
        <v>74</v>
      </c>
      <c r="M72" s="11" t="s">
        <v>78</v>
      </c>
      <c r="N72" s="11" t="s">
        <v>79</v>
      </c>
      <c r="O72" s="11" t="s">
        <v>74</v>
      </c>
      <c r="P72" s="11" t="s">
        <v>74</v>
      </c>
      <c r="Q72" s="11" t="s">
        <v>74</v>
      </c>
      <c r="R72" s="11" t="s">
        <v>74</v>
      </c>
      <c r="S72" s="11" t="s">
        <v>74</v>
      </c>
      <c r="T72" s="11" t="s">
        <v>2182</v>
      </c>
      <c r="U72" s="11" t="s">
        <v>74</v>
      </c>
      <c r="V72" s="11" t="s">
        <v>2183</v>
      </c>
      <c r="W72" s="11" t="s">
        <v>2184</v>
      </c>
      <c r="X72" s="11" t="s">
        <v>2185</v>
      </c>
      <c r="Y72" s="11" t="s">
        <v>2186</v>
      </c>
      <c r="Z72" s="11" t="s">
        <v>74</v>
      </c>
      <c r="AA72" s="11" t="s">
        <v>74</v>
      </c>
      <c r="AB72" s="11" t="s">
        <v>74</v>
      </c>
      <c r="AC72" s="11" t="s">
        <v>74</v>
      </c>
      <c r="AD72" s="11" t="s">
        <v>74</v>
      </c>
      <c r="AE72" s="11" t="s">
        <v>74</v>
      </c>
      <c r="AF72" s="11" t="s">
        <v>74</v>
      </c>
      <c r="AG72" s="11">
        <v>28</v>
      </c>
      <c r="AH72" s="11">
        <v>0</v>
      </c>
      <c r="AI72" s="11">
        <v>0</v>
      </c>
      <c r="AJ72" s="11">
        <v>0</v>
      </c>
      <c r="AK72" s="11">
        <v>2</v>
      </c>
      <c r="AL72" s="11" t="s">
        <v>2187</v>
      </c>
      <c r="AM72" s="11" t="s">
        <v>175</v>
      </c>
      <c r="AN72" s="11" t="s">
        <v>2188</v>
      </c>
      <c r="AO72" s="11" t="s">
        <v>2189</v>
      </c>
      <c r="AP72" s="11" t="s">
        <v>74</v>
      </c>
      <c r="AQ72" s="11" t="s">
        <v>74</v>
      </c>
      <c r="AR72" s="11" t="s">
        <v>2190</v>
      </c>
      <c r="AS72" s="11" t="s">
        <v>2191</v>
      </c>
      <c r="AT72" s="11" t="s">
        <v>74</v>
      </c>
      <c r="AU72" s="11">
        <v>2023</v>
      </c>
      <c r="AV72" s="11">
        <v>18</v>
      </c>
      <c r="AW72" s="11">
        <v>1</v>
      </c>
      <c r="AX72" s="11" t="s">
        <v>74</v>
      </c>
      <c r="AY72" s="11" t="s">
        <v>74</v>
      </c>
      <c r="AZ72" s="11" t="s">
        <v>1020</v>
      </c>
      <c r="BA72" s="11" t="s">
        <v>74</v>
      </c>
      <c r="BB72" s="11" t="s">
        <v>74</v>
      </c>
      <c r="BC72" s="11" t="s">
        <v>74</v>
      </c>
      <c r="BD72" s="11" t="s">
        <v>74</v>
      </c>
      <c r="BE72" s="11" t="s">
        <v>74</v>
      </c>
      <c r="BF72" s="11" t="s">
        <v>74</v>
      </c>
      <c r="BG72" s="11" t="s">
        <v>74</v>
      </c>
      <c r="BH72" s="11" t="s">
        <v>74</v>
      </c>
      <c r="BI72" s="11">
        <v>12</v>
      </c>
      <c r="BJ72" s="11" t="s">
        <v>2192</v>
      </c>
      <c r="BK72" s="11" t="s">
        <v>183</v>
      </c>
      <c r="BL72" s="11" t="s">
        <v>2193</v>
      </c>
      <c r="BM72" s="11" t="s">
        <v>2194</v>
      </c>
      <c r="BN72" s="11" t="s">
        <v>74</v>
      </c>
      <c r="BO72" s="11" t="s">
        <v>74</v>
      </c>
      <c r="BP72" s="11" t="s">
        <v>74</v>
      </c>
      <c r="BQ72" s="11" t="s">
        <v>74</v>
      </c>
      <c r="BR72" s="11" t="s">
        <v>12946</v>
      </c>
      <c r="BS72" s="11" t="s">
        <v>2195</v>
      </c>
      <c r="BT72" s="11">
        <v>0</v>
      </c>
    </row>
    <row r="73" spans="1:72" x14ac:dyDescent="0.25">
      <c r="A73" s="11" t="s">
        <v>72</v>
      </c>
      <c r="B73" s="11" t="s">
        <v>2747</v>
      </c>
      <c r="C73" s="11" t="s">
        <v>74</v>
      </c>
      <c r="D73" s="11" t="s">
        <v>74</v>
      </c>
      <c r="E73" s="11" t="s">
        <v>74</v>
      </c>
      <c r="F73" s="11" t="s">
        <v>2748</v>
      </c>
      <c r="G73" s="11" t="s">
        <v>74</v>
      </c>
      <c r="H73" s="11" t="s">
        <v>74</v>
      </c>
      <c r="I73" s="11" t="s">
        <v>2749</v>
      </c>
      <c r="J73" s="11" t="s">
        <v>2750</v>
      </c>
      <c r="K73" s="11" t="s">
        <v>74</v>
      </c>
      <c r="L73" s="11" t="s">
        <v>74</v>
      </c>
      <c r="M73" s="11" t="s">
        <v>2751</v>
      </c>
      <c r="N73" s="11" t="s">
        <v>79</v>
      </c>
      <c r="O73" s="11" t="s">
        <v>74</v>
      </c>
      <c r="P73" s="11" t="s">
        <v>74</v>
      </c>
      <c r="Q73" s="11" t="s">
        <v>74</v>
      </c>
      <c r="R73" s="11" t="s">
        <v>74</v>
      </c>
      <c r="S73" s="11" t="s">
        <v>74</v>
      </c>
      <c r="T73" s="11" t="s">
        <v>2752</v>
      </c>
      <c r="U73" s="11" t="s">
        <v>74</v>
      </c>
      <c r="V73" s="11" t="s">
        <v>2753</v>
      </c>
      <c r="W73" s="11" t="s">
        <v>2754</v>
      </c>
      <c r="X73" s="11" t="s">
        <v>2755</v>
      </c>
      <c r="Y73" s="11" t="s">
        <v>2756</v>
      </c>
      <c r="Z73" s="11" t="s">
        <v>2757</v>
      </c>
      <c r="AA73" s="11" t="s">
        <v>2758</v>
      </c>
      <c r="AB73" s="11" t="s">
        <v>2759</v>
      </c>
      <c r="AC73" s="11" t="s">
        <v>2760</v>
      </c>
      <c r="AD73" s="11" t="s">
        <v>2761</v>
      </c>
      <c r="AE73" s="11" t="s">
        <v>2762</v>
      </c>
      <c r="AF73" s="11" t="s">
        <v>74</v>
      </c>
      <c r="AG73" s="11">
        <v>45</v>
      </c>
      <c r="AH73" s="11">
        <v>0</v>
      </c>
      <c r="AI73" s="11">
        <v>0</v>
      </c>
      <c r="AJ73" s="11">
        <v>12</v>
      </c>
      <c r="AK73" s="11">
        <v>27</v>
      </c>
      <c r="AL73" s="11" t="s">
        <v>2763</v>
      </c>
      <c r="AM73" s="11" t="s">
        <v>2764</v>
      </c>
      <c r="AN73" s="11" t="s">
        <v>2765</v>
      </c>
      <c r="AO73" s="11" t="s">
        <v>2766</v>
      </c>
      <c r="AP73" s="11" t="s">
        <v>74</v>
      </c>
      <c r="AQ73" s="11" t="s">
        <v>74</v>
      </c>
      <c r="AR73" s="11" t="s">
        <v>2767</v>
      </c>
      <c r="AS73" s="11" t="s">
        <v>2768</v>
      </c>
      <c r="AT73" s="11" t="s">
        <v>99</v>
      </c>
      <c r="AU73" s="11">
        <v>2022</v>
      </c>
      <c r="AV73" s="11">
        <v>66</v>
      </c>
      <c r="AW73" s="11">
        <v>11</v>
      </c>
      <c r="AX73" s="11" t="s">
        <v>74</v>
      </c>
      <c r="AY73" s="11" t="s">
        <v>74</v>
      </c>
      <c r="AZ73" s="11" t="s">
        <v>74</v>
      </c>
      <c r="BA73" s="11" t="s">
        <v>74</v>
      </c>
      <c r="BB73" s="11">
        <v>50</v>
      </c>
      <c r="BC73" s="11">
        <v>59</v>
      </c>
      <c r="BD73" s="11" t="s">
        <v>74</v>
      </c>
      <c r="BE73" s="11" t="s">
        <v>2769</v>
      </c>
      <c r="BF73" s="11">
        <v>0</v>
      </c>
      <c r="BG73" s="11" t="s">
        <v>74</v>
      </c>
      <c r="BH73" s="11" t="s">
        <v>74</v>
      </c>
      <c r="BI73" s="11">
        <v>10</v>
      </c>
      <c r="BJ73" s="11" t="s">
        <v>977</v>
      </c>
      <c r="BK73" s="11" t="s">
        <v>183</v>
      </c>
      <c r="BL73" s="11" t="s">
        <v>977</v>
      </c>
      <c r="BM73" s="11" t="s">
        <v>2770</v>
      </c>
      <c r="BN73" s="11" t="s">
        <v>74</v>
      </c>
      <c r="BO73" s="11" t="s">
        <v>791</v>
      </c>
      <c r="BP73" s="11" t="s">
        <v>74</v>
      </c>
      <c r="BQ73" s="11" t="s">
        <v>74</v>
      </c>
      <c r="BR73" s="11" t="s">
        <v>12946</v>
      </c>
      <c r="BS73" s="11" t="s">
        <v>2771</v>
      </c>
      <c r="BT73" s="11">
        <v>0</v>
      </c>
    </row>
    <row r="74" spans="1:72" x14ac:dyDescent="0.25">
      <c r="A74" s="11" t="s">
        <v>72</v>
      </c>
      <c r="B74" s="11" t="s">
        <v>3336</v>
      </c>
      <c r="C74" s="11" t="s">
        <v>74</v>
      </c>
      <c r="D74" s="11" t="s">
        <v>74</v>
      </c>
      <c r="E74" s="11" t="s">
        <v>74</v>
      </c>
      <c r="F74" s="11" t="s">
        <v>3337</v>
      </c>
      <c r="G74" s="11" t="s">
        <v>74</v>
      </c>
      <c r="H74" s="11" t="s">
        <v>74</v>
      </c>
      <c r="I74" s="11" t="s">
        <v>3338</v>
      </c>
      <c r="J74" s="11" t="s">
        <v>3339</v>
      </c>
      <c r="K74" s="11" t="s">
        <v>74</v>
      </c>
      <c r="L74" s="11" t="s">
        <v>74</v>
      </c>
      <c r="M74" s="11" t="s">
        <v>78</v>
      </c>
      <c r="N74" s="11" t="s">
        <v>79</v>
      </c>
      <c r="O74" s="11" t="s">
        <v>74</v>
      </c>
      <c r="P74" s="11" t="s">
        <v>74</v>
      </c>
      <c r="Q74" s="11" t="s">
        <v>74</v>
      </c>
      <c r="R74" s="11" t="s">
        <v>74</v>
      </c>
      <c r="S74" s="11" t="s">
        <v>74</v>
      </c>
      <c r="T74" s="11" t="s">
        <v>3340</v>
      </c>
      <c r="U74" s="11" t="s">
        <v>3341</v>
      </c>
      <c r="V74" s="11" t="s">
        <v>3342</v>
      </c>
      <c r="W74" s="11" t="s">
        <v>3343</v>
      </c>
      <c r="X74" s="11" t="s">
        <v>3344</v>
      </c>
      <c r="Y74" s="11" t="s">
        <v>3345</v>
      </c>
      <c r="Z74" s="11" t="s">
        <v>74</v>
      </c>
      <c r="AA74" s="11" t="s">
        <v>13329</v>
      </c>
      <c r="AB74" s="11" t="s">
        <v>13330</v>
      </c>
      <c r="AC74" s="11" t="s">
        <v>74</v>
      </c>
      <c r="AD74" s="11" t="s">
        <v>74</v>
      </c>
      <c r="AE74" s="11" t="s">
        <v>74</v>
      </c>
      <c r="AF74" s="11" t="s">
        <v>74</v>
      </c>
      <c r="AG74" s="11">
        <v>34</v>
      </c>
      <c r="AH74" s="11">
        <v>0</v>
      </c>
      <c r="AI74" s="11">
        <v>0</v>
      </c>
      <c r="AJ74" s="11">
        <v>1</v>
      </c>
      <c r="AK74" s="11">
        <v>1</v>
      </c>
      <c r="AL74" s="11" t="s">
        <v>3348</v>
      </c>
      <c r="AM74" s="11" t="s">
        <v>3349</v>
      </c>
      <c r="AN74" s="11" t="s">
        <v>3350</v>
      </c>
      <c r="AO74" s="11" t="s">
        <v>3351</v>
      </c>
      <c r="AP74" s="11" t="s">
        <v>74</v>
      </c>
      <c r="AQ74" s="11" t="s">
        <v>74</v>
      </c>
      <c r="AR74" s="11" t="s">
        <v>3352</v>
      </c>
      <c r="AS74" s="11" t="s">
        <v>3353</v>
      </c>
      <c r="AT74" s="11" t="s">
        <v>376</v>
      </c>
      <c r="AU74" s="11">
        <v>2022</v>
      </c>
      <c r="AV74" s="11">
        <v>22</v>
      </c>
      <c r="AW74" s="11">
        <v>3</v>
      </c>
      <c r="AX74" s="11" t="s">
        <v>74</v>
      </c>
      <c r="AY74" s="11" t="s">
        <v>74</v>
      </c>
      <c r="AZ74" s="11" t="s">
        <v>74</v>
      </c>
      <c r="BA74" s="11" t="s">
        <v>74</v>
      </c>
      <c r="BB74" s="11">
        <v>19</v>
      </c>
      <c r="BC74" s="11">
        <v>31</v>
      </c>
      <c r="BD74" s="11" t="s">
        <v>74</v>
      </c>
      <c r="BE74" s="11" t="s">
        <v>3354</v>
      </c>
      <c r="BF74" s="11">
        <v>0</v>
      </c>
      <c r="BG74" s="11" t="s">
        <v>74</v>
      </c>
      <c r="BH74" s="11" t="s">
        <v>74</v>
      </c>
      <c r="BI74" s="11">
        <v>13</v>
      </c>
      <c r="BJ74" s="11" t="s">
        <v>1326</v>
      </c>
      <c r="BK74" s="11" t="s">
        <v>183</v>
      </c>
      <c r="BL74" s="11" t="s">
        <v>1326</v>
      </c>
      <c r="BM74" s="11" t="s">
        <v>3355</v>
      </c>
      <c r="BN74" s="11" t="s">
        <v>74</v>
      </c>
      <c r="BO74" s="11" t="s">
        <v>2162</v>
      </c>
      <c r="BP74" s="11" t="s">
        <v>74</v>
      </c>
      <c r="BQ74" s="11" t="s">
        <v>74</v>
      </c>
      <c r="BR74" s="11" t="s">
        <v>12946</v>
      </c>
      <c r="BS74" s="11" t="s">
        <v>3356</v>
      </c>
      <c r="BT74" s="11">
        <v>0</v>
      </c>
    </row>
    <row r="75" spans="1:72" x14ac:dyDescent="0.25">
      <c r="A75" s="11" t="s">
        <v>72</v>
      </c>
      <c r="B75" s="11" t="s">
        <v>4192</v>
      </c>
      <c r="C75" s="11" t="s">
        <v>74</v>
      </c>
      <c r="D75" s="11" t="s">
        <v>74</v>
      </c>
      <c r="E75" s="11" t="s">
        <v>74</v>
      </c>
      <c r="F75" s="11" t="s">
        <v>4193</v>
      </c>
      <c r="G75" s="11" t="s">
        <v>74</v>
      </c>
      <c r="H75" s="11" t="s">
        <v>74</v>
      </c>
      <c r="I75" s="11" t="s">
        <v>4194</v>
      </c>
      <c r="J75" s="11" t="s">
        <v>4195</v>
      </c>
      <c r="K75" s="11" t="s">
        <v>74</v>
      </c>
      <c r="L75" s="11" t="s">
        <v>74</v>
      </c>
      <c r="M75" s="11" t="s">
        <v>78</v>
      </c>
      <c r="N75" s="11" t="s">
        <v>79</v>
      </c>
      <c r="O75" s="11" t="s">
        <v>74</v>
      </c>
      <c r="P75" s="11" t="s">
        <v>74</v>
      </c>
      <c r="Q75" s="11" t="s">
        <v>74</v>
      </c>
      <c r="R75" s="11" t="s">
        <v>74</v>
      </c>
      <c r="S75" s="11" t="s">
        <v>74</v>
      </c>
      <c r="T75" s="11" t="s">
        <v>4196</v>
      </c>
      <c r="U75" s="11" t="s">
        <v>4197</v>
      </c>
      <c r="V75" s="11" t="s">
        <v>4198</v>
      </c>
      <c r="W75" s="11" t="s">
        <v>4199</v>
      </c>
      <c r="X75" s="11" t="s">
        <v>4200</v>
      </c>
      <c r="Y75" s="11" t="s">
        <v>4201</v>
      </c>
      <c r="Z75" s="11" t="s">
        <v>4202</v>
      </c>
      <c r="AA75" s="11" t="s">
        <v>74</v>
      </c>
      <c r="AB75" s="11" t="s">
        <v>74</v>
      </c>
      <c r="AC75" s="11" t="s">
        <v>4203</v>
      </c>
      <c r="AD75" s="11" t="s">
        <v>4204</v>
      </c>
      <c r="AE75" s="11" t="s">
        <v>4205</v>
      </c>
      <c r="AF75" s="11" t="s">
        <v>74</v>
      </c>
      <c r="AG75" s="11">
        <v>34</v>
      </c>
      <c r="AH75" s="11">
        <v>0</v>
      </c>
      <c r="AI75" s="11">
        <v>0</v>
      </c>
      <c r="AJ75" s="11">
        <v>4</v>
      </c>
      <c r="AK75" s="11">
        <v>8</v>
      </c>
      <c r="AL75" s="11" t="s">
        <v>492</v>
      </c>
      <c r="AM75" s="11" t="s">
        <v>493</v>
      </c>
      <c r="AN75" s="11" t="s">
        <v>494</v>
      </c>
      <c r="AO75" s="11" t="s">
        <v>4206</v>
      </c>
      <c r="AP75" s="11" t="s">
        <v>4207</v>
      </c>
      <c r="AQ75" s="11" t="s">
        <v>74</v>
      </c>
      <c r="AR75" s="11" t="s">
        <v>4208</v>
      </c>
      <c r="AS75" s="11" t="s">
        <v>4209</v>
      </c>
      <c r="AT75" s="11" t="s">
        <v>4210</v>
      </c>
      <c r="AU75" s="11">
        <v>2022</v>
      </c>
      <c r="AV75" s="11">
        <v>41</v>
      </c>
      <c r="AW75" s="11">
        <v>3</v>
      </c>
      <c r="AX75" s="11" t="s">
        <v>74</v>
      </c>
      <c r="AY75" s="11" t="s">
        <v>74</v>
      </c>
      <c r="AZ75" s="11" t="s">
        <v>74</v>
      </c>
      <c r="BA75" s="11" t="s">
        <v>74</v>
      </c>
      <c r="BB75" s="11">
        <v>273</v>
      </c>
      <c r="BC75" s="11">
        <v>293</v>
      </c>
      <c r="BD75" s="11">
        <v>1880260</v>
      </c>
      <c r="BE75" s="11" t="s">
        <v>4211</v>
      </c>
      <c r="BF75" s="11">
        <v>0</v>
      </c>
      <c r="BG75" s="11" t="s">
        <v>74</v>
      </c>
      <c r="BH75" s="11" t="s">
        <v>74</v>
      </c>
      <c r="BI75" s="11">
        <v>21</v>
      </c>
      <c r="BJ75" s="11" t="s">
        <v>3050</v>
      </c>
      <c r="BK75" s="11" t="s">
        <v>183</v>
      </c>
      <c r="BL75" s="11" t="s">
        <v>3050</v>
      </c>
      <c r="BM75" s="11" t="s">
        <v>4212</v>
      </c>
      <c r="BN75" s="11" t="s">
        <v>74</v>
      </c>
      <c r="BO75" s="11" t="s">
        <v>74</v>
      </c>
      <c r="BP75" s="11" t="s">
        <v>74</v>
      </c>
      <c r="BQ75" s="11" t="s">
        <v>74</v>
      </c>
      <c r="BR75" s="11" t="s">
        <v>12946</v>
      </c>
      <c r="BS75" s="11" t="s">
        <v>4213</v>
      </c>
      <c r="BT75" s="11">
        <v>0</v>
      </c>
    </row>
    <row r="76" spans="1:72" x14ac:dyDescent="0.25">
      <c r="A76" s="11" t="s">
        <v>72</v>
      </c>
      <c r="B76" s="11" t="s">
        <v>4214</v>
      </c>
      <c r="C76" s="11" t="s">
        <v>74</v>
      </c>
      <c r="D76" s="11" t="s">
        <v>74</v>
      </c>
      <c r="E76" s="11" t="s">
        <v>74</v>
      </c>
      <c r="F76" s="11" t="s">
        <v>4215</v>
      </c>
      <c r="G76" s="11" t="s">
        <v>74</v>
      </c>
      <c r="H76" s="11" t="s">
        <v>74</v>
      </c>
      <c r="I76" s="11" t="s">
        <v>4216</v>
      </c>
      <c r="J76" s="11" t="s">
        <v>4217</v>
      </c>
      <c r="K76" s="11" t="s">
        <v>74</v>
      </c>
      <c r="L76" s="11" t="s">
        <v>74</v>
      </c>
      <c r="M76" s="11" t="s">
        <v>78</v>
      </c>
      <c r="N76" s="11" t="s">
        <v>79</v>
      </c>
      <c r="O76" s="11" t="s">
        <v>74</v>
      </c>
      <c r="P76" s="11" t="s">
        <v>74</v>
      </c>
      <c r="Q76" s="11" t="s">
        <v>74</v>
      </c>
      <c r="R76" s="11" t="s">
        <v>74</v>
      </c>
      <c r="S76" s="11" t="s">
        <v>74</v>
      </c>
      <c r="T76" s="11" t="s">
        <v>4218</v>
      </c>
      <c r="U76" s="11" t="s">
        <v>4219</v>
      </c>
      <c r="V76" s="11" t="s">
        <v>4220</v>
      </c>
      <c r="W76" s="11" t="s">
        <v>4221</v>
      </c>
      <c r="X76" s="11" t="s">
        <v>4222</v>
      </c>
      <c r="Y76" s="11" t="s">
        <v>4223</v>
      </c>
      <c r="Z76" s="11" t="s">
        <v>74</v>
      </c>
      <c r="AA76" s="11" t="s">
        <v>13331</v>
      </c>
      <c r="AB76" s="11" t="s">
        <v>13332</v>
      </c>
      <c r="AC76" s="11" t="s">
        <v>74</v>
      </c>
      <c r="AD76" s="11" t="s">
        <v>74</v>
      </c>
      <c r="AE76" s="11" t="s">
        <v>74</v>
      </c>
      <c r="AF76" s="11" t="s">
        <v>74</v>
      </c>
      <c r="AG76" s="11">
        <v>41</v>
      </c>
      <c r="AH76" s="11">
        <v>0</v>
      </c>
      <c r="AI76" s="11">
        <v>0</v>
      </c>
      <c r="AJ76" s="11">
        <v>1</v>
      </c>
      <c r="AK76" s="11">
        <v>3</v>
      </c>
      <c r="AL76" s="11" t="s">
        <v>4224</v>
      </c>
      <c r="AM76" s="11" t="s">
        <v>4225</v>
      </c>
      <c r="AN76" s="11" t="s">
        <v>4226</v>
      </c>
      <c r="AO76" s="11" t="s">
        <v>4227</v>
      </c>
      <c r="AP76" s="11" t="s">
        <v>4228</v>
      </c>
      <c r="AQ76" s="11" t="s">
        <v>74</v>
      </c>
      <c r="AR76" s="11" t="s">
        <v>4229</v>
      </c>
      <c r="AS76" s="11" t="s">
        <v>4230</v>
      </c>
      <c r="AT76" s="11" t="s">
        <v>1280</v>
      </c>
      <c r="AU76" s="11">
        <v>2022</v>
      </c>
      <c r="AV76" s="11">
        <v>13</v>
      </c>
      <c r="AW76" s="11">
        <v>5</v>
      </c>
      <c r="AX76" s="11" t="s">
        <v>74</v>
      </c>
      <c r="AY76" s="11" t="s">
        <v>74</v>
      </c>
      <c r="AZ76" s="11" t="s">
        <v>74</v>
      </c>
      <c r="BA76" s="11" t="s">
        <v>74</v>
      </c>
      <c r="BB76" s="11">
        <v>81</v>
      </c>
      <c r="BC76" s="11">
        <v>88</v>
      </c>
      <c r="BD76" s="11" t="s">
        <v>74</v>
      </c>
      <c r="BE76" s="11" t="s">
        <v>74</v>
      </c>
      <c r="BF76" s="11" t="s">
        <v>74</v>
      </c>
      <c r="BG76" s="11" t="s">
        <v>74</v>
      </c>
      <c r="BH76" s="11" t="s">
        <v>74</v>
      </c>
      <c r="BI76" s="11">
        <v>8</v>
      </c>
      <c r="BJ76" s="11" t="s">
        <v>4231</v>
      </c>
      <c r="BK76" s="11" t="s">
        <v>183</v>
      </c>
      <c r="BL76" s="11" t="s">
        <v>399</v>
      </c>
      <c r="BM76" s="11" t="s">
        <v>4232</v>
      </c>
      <c r="BN76" s="11" t="s">
        <v>74</v>
      </c>
      <c r="BO76" s="11" t="s">
        <v>74</v>
      </c>
      <c r="BP76" s="11" t="s">
        <v>74</v>
      </c>
      <c r="BQ76" s="11" t="s">
        <v>74</v>
      </c>
      <c r="BR76" s="11" t="s">
        <v>12946</v>
      </c>
      <c r="BS76" s="11" t="s">
        <v>4233</v>
      </c>
      <c r="BT76" s="11">
        <v>0</v>
      </c>
    </row>
    <row r="77" spans="1:72" x14ac:dyDescent="0.25">
      <c r="A77" s="11" t="s">
        <v>72</v>
      </c>
      <c r="B77" s="11" t="s">
        <v>5058</v>
      </c>
      <c r="C77" s="11" t="s">
        <v>74</v>
      </c>
      <c r="D77" s="11" t="s">
        <v>74</v>
      </c>
      <c r="E77" s="11" t="s">
        <v>74</v>
      </c>
      <c r="F77" s="11" t="s">
        <v>5059</v>
      </c>
      <c r="G77" s="11" t="s">
        <v>74</v>
      </c>
      <c r="H77" s="11" t="s">
        <v>74</v>
      </c>
      <c r="I77" s="11" t="s">
        <v>5060</v>
      </c>
      <c r="J77" s="11" t="s">
        <v>3945</v>
      </c>
      <c r="K77" s="11" t="s">
        <v>74</v>
      </c>
      <c r="L77" s="11" t="s">
        <v>74</v>
      </c>
      <c r="M77" s="11" t="s">
        <v>78</v>
      </c>
      <c r="N77" s="11" t="s">
        <v>79</v>
      </c>
      <c r="O77" s="11" t="s">
        <v>74</v>
      </c>
      <c r="P77" s="11" t="s">
        <v>74</v>
      </c>
      <c r="Q77" s="11" t="s">
        <v>74</v>
      </c>
      <c r="R77" s="11" t="s">
        <v>74</v>
      </c>
      <c r="S77" s="11" t="s">
        <v>74</v>
      </c>
      <c r="T77" s="11" t="s">
        <v>5061</v>
      </c>
      <c r="U77" s="11" t="s">
        <v>5062</v>
      </c>
      <c r="V77" s="11" t="s">
        <v>5063</v>
      </c>
      <c r="W77" s="11" t="s">
        <v>5064</v>
      </c>
      <c r="X77" s="11" t="s">
        <v>5065</v>
      </c>
      <c r="Y77" s="11" t="s">
        <v>5066</v>
      </c>
      <c r="Z77" s="11" t="s">
        <v>5067</v>
      </c>
      <c r="AA77" s="11" t="s">
        <v>74</v>
      </c>
      <c r="AB77" s="11" t="s">
        <v>74</v>
      </c>
      <c r="AC77" s="11" t="s">
        <v>74</v>
      </c>
      <c r="AD77" s="11" t="s">
        <v>74</v>
      </c>
      <c r="AE77" s="11" t="s">
        <v>74</v>
      </c>
      <c r="AF77" s="11" t="s">
        <v>74</v>
      </c>
      <c r="AG77" s="11">
        <v>17</v>
      </c>
      <c r="AH77" s="11">
        <v>0</v>
      </c>
      <c r="AI77" s="11">
        <v>0</v>
      </c>
      <c r="AJ77" s="11">
        <v>0</v>
      </c>
      <c r="AK77" s="11">
        <v>2</v>
      </c>
      <c r="AL77" s="11" t="s">
        <v>3951</v>
      </c>
      <c r="AM77" s="11" t="s">
        <v>3952</v>
      </c>
      <c r="AN77" s="11" t="s">
        <v>3953</v>
      </c>
      <c r="AO77" s="11" t="s">
        <v>3954</v>
      </c>
      <c r="AP77" s="11" t="s">
        <v>74</v>
      </c>
      <c r="AQ77" s="11" t="s">
        <v>74</v>
      </c>
      <c r="AR77" s="11" t="s">
        <v>3955</v>
      </c>
      <c r="AS77" s="11" t="s">
        <v>3956</v>
      </c>
      <c r="AT77" s="11" t="s">
        <v>74</v>
      </c>
      <c r="AU77" s="11">
        <v>2022</v>
      </c>
      <c r="AV77" s="11">
        <v>14</v>
      </c>
      <c r="AW77" s="11">
        <v>2</v>
      </c>
      <c r="AX77" s="11" t="s">
        <v>74</v>
      </c>
      <c r="AY77" s="11" t="s">
        <v>74</v>
      </c>
      <c r="AZ77" s="11" t="s">
        <v>74</v>
      </c>
      <c r="BA77" s="11" t="s">
        <v>74</v>
      </c>
      <c r="BB77" s="11">
        <v>2642</v>
      </c>
      <c r="BC77" s="11">
        <v>2647</v>
      </c>
      <c r="BD77" s="11" t="s">
        <v>74</v>
      </c>
      <c r="BE77" s="11" t="s">
        <v>5068</v>
      </c>
      <c r="BF77" s="11">
        <v>0</v>
      </c>
      <c r="BG77" s="11" t="s">
        <v>74</v>
      </c>
      <c r="BH77" s="11" t="s">
        <v>74</v>
      </c>
      <c r="BI77" s="11">
        <v>6</v>
      </c>
      <c r="BJ77" s="11" t="s">
        <v>3958</v>
      </c>
      <c r="BK77" s="11" t="s">
        <v>183</v>
      </c>
      <c r="BL77" s="11" t="s">
        <v>1326</v>
      </c>
      <c r="BM77" s="11" t="s">
        <v>5069</v>
      </c>
      <c r="BN77" s="11" t="s">
        <v>74</v>
      </c>
      <c r="BO77" s="11" t="s">
        <v>74</v>
      </c>
      <c r="BP77" s="11" t="s">
        <v>74</v>
      </c>
      <c r="BQ77" s="11" t="s">
        <v>74</v>
      </c>
      <c r="BR77" s="11" t="s">
        <v>12946</v>
      </c>
      <c r="BS77" s="11" t="s">
        <v>5070</v>
      </c>
      <c r="BT77" s="11">
        <v>0</v>
      </c>
    </row>
    <row r="78" spans="1:72" x14ac:dyDescent="0.25">
      <c r="A78" s="11" t="s">
        <v>477</v>
      </c>
      <c r="B78" s="11" t="s">
        <v>7353</v>
      </c>
      <c r="C78" s="11" t="s">
        <v>74</v>
      </c>
      <c r="D78" s="11" t="s">
        <v>7354</v>
      </c>
      <c r="E78" s="11" t="s">
        <v>74</v>
      </c>
      <c r="F78" s="11" t="s">
        <v>7355</v>
      </c>
      <c r="G78" s="11" t="s">
        <v>74</v>
      </c>
      <c r="H78" s="11" t="s">
        <v>74</v>
      </c>
      <c r="I78" s="11" t="s">
        <v>7356</v>
      </c>
      <c r="J78" s="11" t="s">
        <v>7357</v>
      </c>
      <c r="K78" s="11" t="s">
        <v>74</v>
      </c>
      <c r="L78" s="11" t="s">
        <v>74</v>
      </c>
      <c r="M78" s="11" t="s">
        <v>78</v>
      </c>
      <c r="N78" s="11" t="s">
        <v>4932</v>
      </c>
      <c r="O78" s="11" t="s">
        <v>74</v>
      </c>
      <c r="P78" s="11" t="s">
        <v>74</v>
      </c>
      <c r="Q78" s="11" t="s">
        <v>74</v>
      </c>
      <c r="R78" s="11" t="s">
        <v>74</v>
      </c>
      <c r="S78" s="11" t="s">
        <v>74</v>
      </c>
      <c r="T78" s="11" t="s">
        <v>74</v>
      </c>
      <c r="U78" s="11" t="s">
        <v>7358</v>
      </c>
      <c r="V78" s="11" t="s">
        <v>74</v>
      </c>
      <c r="W78" s="11" t="s">
        <v>7359</v>
      </c>
      <c r="X78" s="11" t="s">
        <v>7360</v>
      </c>
      <c r="Y78" s="11" t="s">
        <v>7361</v>
      </c>
      <c r="Z78" s="11" t="s">
        <v>74</v>
      </c>
      <c r="AA78" s="11" t="s">
        <v>74</v>
      </c>
      <c r="AB78" s="11" t="s">
        <v>74</v>
      </c>
      <c r="AC78" s="11" t="s">
        <v>74</v>
      </c>
      <c r="AD78" s="11" t="s">
        <v>74</v>
      </c>
      <c r="AE78" s="11" t="s">
        <v>74</v>
      </c>
      <c r="AF78" s="11" t="s">
        <v>74</v>
      </c>
      <c r="AG78" s="11">
        <v>15</v>
      </c>
      <c r="AH78" s="11">
        <v>0</v>
      </c>
      <c r="AI78" s="11">
        <v>0</v>
      </c>
      <c r="AJ78" s="11">
        <v>0</v>
      </c>
      <c r="AK78" s="11">
        <v>0</v>
      </c>
      <c r="AL78" s="11" t="s">
        <v>7362</v>
      </c>
      <c r="AM78" s="11" t="s">
        <v>122</v>
      </c>
      <c r="AN78" s="11" t="s">
        <v>7363</v>
      </c>
      <c r="AO78" s="11" t="s">
        <v>74</v>
      </c>
      <c r="AP78" s="11" t="s">
        <v>74</v>
      </c>
      <c r="AQ78" s="11" t="s">
        <v>7364</v>
      </c>
      <c r="AR78" s="11" t="s">
        <v>74</v>
      </c>
      <c r="AS78" s="11" t="s">
        <v>74</v>
      </c>
      <c r="AT78" s="11" t="s">
        <v>74</v>
      </c>
      <c r="AU78" s="11">
        <v>2021</v>
      </c>
      <c r="AV78" s="11" t="s">
        <v>74</v>
      </c>
      <c r="AW78" s="11" t="s">
        <v>74</v>
      </c>
      <c r="AX78" s="11" t="s">
        <v>74</v>
      </c>
      <c r="AY78" s="11" t="s">
        <v>74</v>
      </c>
      <c r="AZ78" s="11" t="s">
        <v>74</v>
      </c>
      <c r="BA78" s="11" t="s">
        <v>74</v>
      </c>
      <c r="BB78" s="11">
        <v>245</v>
      </c>
      <c r="BC78" s="11">
        <v>264</v>
      </c>
      <c r="BD78" s="11" t="s">
        <v>74</v>
      </c>
      <c r="BE78" s="11" t="s">
        <v>74</v>
      </c>
      <c r="BF78" s="11" t="s">
        <v>74</v>
      </c>
      <c r="BG78" s="11" t="s">
        <v>74</v>
      </c>
      <c r="BH78" s="11" t="s">
        <v>74</v>
      </c>
      <c r="BI78" s="11">
        <v>20</v>
      </c>
      <c r="BJ78" s="11" t="s">
        <v>7365</v>
      </c>
      <c r="BK78" s="11" t="s">
        <v>4943</v>
      </c>
      <c r="BL78" s="11" t="s">
        <v>7366</v>
      </c>
      <c r="BM78" s="11" t="s">
        <v>7367</v>
      </c>
      <c r="BN78" s="11" t="s">
        <v>74</v>
      </c>
      <c r="BO78" s="11" t="s">
        <v>74</v>
      </c>
      <c r="BP78" s="11" t="s">
        <v>74</v>
      </c>
      <c r="BQ78" s="11" t="s">
        <v>74</v>
      </c>
      <c r="BR78" s="11" t="s">
        <v>12946</v>
      </c>
      <c r="BS78" s="11" t="s">
        <v>7368</v>
      </c>
      <c r="BT78" s="11">
        <v>0</v>
      </c>
    </row>
    <row r="79" spans="1:72" x14ac:dyDescent="0.25">
      <c r="A79" s="11" t="s">
        <v>72</v>
      </c>
      <c r="B79" s="11" t="s">
        <v>7426</v>
      </c>
      <c r="C79" s="11" t="s">
        <v>74</v>
      </c>
      <c r="D79" s="11" t="s">
        <v>74</v>
      </c>
      <c r="E79" s="11" t="s">
        <v>74</v>
      </c>
      <c r="F79" s="11" t="s">
        <v>7427</v>
      </c>
      <c r="G79" s="11" t="s">
        <v>74</v>
      </c>
      <c r="H79" s="11" t="s">
        <v>74</v>
      </c>
      <c r="I79" s="11" t="s">
        <v>7428</v>
      </c>
      <c r="J79" s="11" t="s">
        <v>7429</v>
      </c>
      <c r="K79" s="11" t="s">
        <v>74</v>
      </c>
      <c r="L79" s="11" t="s">
        <v>74</v>
      </c>
      <c r="M79" s="11" t="s">
        <v>4637</v>
      </c>
      <c r="N79" s="11" t="s">
        <v>79</v>
      </c>
      <c r="O79" s="11" t="s">
        <v>74</v>
      </c>
      <c r="P79" s="11" t="s">
        <v>74</v>
      </c>
      <c r="Q79" s="11" t="s">
        <v>74</v>
      </c>
      <c r="R79" s="11" t="s">
        <v>74</v>
      </c>
      <c r="S79" s="11" t="s">
        <v>74</v>
      </c>
      <c r="T79" s="11" t="s">
        <v>7430</v>
      </c>
      <c r="U79" s="11" t="s">
        <v>74</v>
      </c>
      <c r="V79" s="11" t="s">
        <v>7431</v>
      </c>
      <c r="W79" s="11" t="s">
        <v>7432</v>
      </c>
      <c r="X79" s="11" t="s">
        <v>7433</v>
      </c>
      <c r="Y79" s="11" t="s">
        <v>7434</v>
      </c>
      <c r="Z79" s="11" t="s">
        <v>7435</v>
      </c>
      <c r="AA79" s="11" t="s">
        <v>7436</v>
      </c>
      <c r="AB79" s="11" t="s">
        <v>7437</v>
      </c>
      <c r="AC79" s="11" t="s">
        <v>74</v>
      </c>
      <c r="AD79" s="11" t="s">
        <v>74</v>
      </c>
      <c r="AE79" s="11" t="s">
        <v>74</v>
      </c>
      <c r="AF79" s="11" t="s">
        <v>74</v>
      </c>
      <c r="AG79" s="11">
        <v>24</v>
      </c>
      <c r="AH79" s="11">
        <v>0</v>
      </c>
      <c r="AI79" s="11">
        <v>0</v>
      </c>
      <c r="AJ79" s="11">
        <v>1</v>
      </c>
      <c r="AK79" s="11">
        <v>5</v>
      </c>
      <c r="AL79" s="11" t="s">
        <v>7438</v>
      </c>
      <c r="AM79" s="11" t="s">
        <v>4645</v>
      </c>
      <c r="AN79" s="11" t="s">
        <v>7439</v>
      </c>
      <c r="AO79" s="11" t="s">
        <v>7440</v>
      </c>
      <c r="AP79" s="11" t="s">
        <v>74</v>
      </c>
      <c r="AQ79" s="11" t="s">
        <v>74</v>
      </c>
      <c r="AR79" s="11" t="s">
        <v>7441</v>
      </c>
      <c r="AS79" s="11" t="s">
        <v>7442</v>
      </c>
      <c r="AT79" s="11" t="s">
        <v>74</v>
      </c>
      <c r="AU79" s="11">
        <v>2021</v>
      </c>
      <c r="AV79" s="11">
        <v>18</v>
      </c>
      <c r="AW79" s="11">
        <v>1</v>
      </c>
      <c r="AX79" s="11" t="s">
        <v>74</v>
      </c>
      <c r="AY79" s="11" t="s">
        <v>74</v>
      </c>
      <c r="AZ79" s="11" t="s">
        <v>74</v>
      </c>
      <c r="BA79" s="11" t="s">
        <v>74</v>
      </c>
      <c r="BB79" s="11">
        <v>291</v>
      </c>
      <c r="BC79" s="11">
        <v>304</v>
      </c>
      <c r="BD79" s="11" t="s">
        <v>74</v>
      </c>
      <c r="BE79" s="11" t="s">
        <v>7443</v>
      </c>
      <c r="BF79" s="11">
        <v>0</v>
      </c>
      <c r="BG79" s="11" t="s">
        <v>74</v>
      </c>
      <c r="BH79" s="11" t="s">
        <v>74</v>
      </c>
      <c r="BI79" s="11">
        <v>14</v>
      </c>
      <c r="BJ79" s="11" t="s">
        <v>1326</v>
      </c>
      <c r="BK79" s="11" t="s">
        <v>183</v>
      </c>
      <c r="BL79" s="11" t="s">
        <v>1326</v>
      </c>
      <c r="BM79" s="11" t="s">
        <v>7444</v>
      </c>
      <c r="BN79" s="11" t="s">
        <v>74</v>
      </c>
      <c r="BO79" s="11" t="s">
        <v>186</v>
      </c>
      <c r="BP79" s="11" t="s">
        <v>74</v>
      </c>
      <c r="BQ79" s="11" t="s">
        <v>74</v>
      </c>
      <c r="BR79" s="11" t="s">
        <v>12946</v>
      </c>
      <c r="BS79" s="11" t="s">
        <v>7445</v>
      </c>
      <c r="BT79" s="11">
        <v>0</v>
      </c>
    </row>
    <row r="80" spans="1:72" x14ac:dyDescent="0.25">
      <c r="A80" s="11" t="s">
        <v>72</v>
      </c>
      <c r="B80" s="11" t="s">
        <v>7598</v>
      </c>
      <c r="C80" s="11" t="s">
        <v>74</v>
      </c>
      <c r="D80" s="11" t="s">
        <v>74</v>
      </c>
      <c r="E80" s="11" t="s">
        <v>74</v>
      </c>
      <c r="F80" s="11" t="s">
        <v>7599</v>
      </c>
      <c r="G80" s="11" t="s">
        <v>74</v>
      </c>
      <c r="H80" s="11" t="s">
        <v>74</v>
      </c>
      <c r="I80" s="11" t="s">
        <v>7600</v>
      </c>
      <c r="J80" s="11" t="s">
        <v>7601</v>
      </c>
      <c r="K80" s="11" t="s">
        <v>74</v>
      </c>
      <c r="L80" s="11" t="s">
        <v>74</v>
      </c>
      <c r="M80" s="11" t="s">
        <v>929</v>
      </c>
      <c r="N80" s="11" t="s">
        <v>79</v>
      </c>
      <c r="O80" s="11" t="s">
        <v>74</v>
      </c>
      <c r="P80" s="11" t="s">
        <v>74</v>
      </c>
      <c r="Q80" s="11" t="s">
        <v>74</v>
      </c>
      <c r="R80" s="11" t="s">
        <v>74</v>
      </c>
      <c r="S80" s="11" t="s">
        <v>74</v>
      </c>
      <c r="T80" s="11" t="s">
        <v>7602</v>
      </c>
      <c r="U80" s="11" t="s">
        <v>74</v>
      </c>
      <c r="V80" s="11" t="s">
        <v>7603</v>
      </c>
      <c r="W80" s="11" t="s">
        <v>7604</v>
      </c>
      <c r="X80" s="11" t="s">
        <v>7605</v>
      </c>
      <c r="Y80" s="11" t="s">
        <v>7606</v>
      </c>
      <c r="Z80" s="11" t="s">
        <v>7607</v>
      </c>
      <c r="AA80" s="11" t="s">
        <v>74</v>
      </c>
      <c r="AB80" s="11" t="s">
        <v>74</v>
      </c>
      <c r="AC80" s="11" t="s">
        <v>74</v>
      </c>
      <c r="AD80" s="11" t="s">
        <v>74</v>
      </c>
      <c r="AE80" s="11" t="s">
        <v>74</v>
      </c>
      <c r="AF80" s="11" t="s">
        <v>74</v>
      </c>
      <c r="AG80" s="11">
        <v>41</v>
      </c>
      <c r="AH80" s="11">
        <v>0</v>
      </c>
      <c r="AI80" s="11">
        <v>1</v>
      </c>
      <c r="AJ80" s="11">
        <v>0</v>
      </c>
      <c r="AK80" s="11">
        <v>4</v>
      </c>
      <c r="AL80" s="11" t="s">
        <v>4513</v>
      </c>
      <c r="AM80" s="11" t="s">
        <v>4514</v>
      </c>
      <c r="AN80" s="11" t="s">
        <v>4515</v>
      </c>
      <c r="AO80" s="11" t="s">
        <v>7608</v>
      </c>
      <c r="AP80" s="11" t="s">
        <v>74</v>
      </c>
      <c r="AQ80" s="11" t="s">
        <v>74</v>
      </c>
      <c r="AR80" s="11" t="s">
        <v>7609</v>
      </c>
      <c r="AS80" s="11" t="s">
        <v>7610</v>
      </c>
      <c r="AT80" s="11" t="s">
        <v>476</v>
      </c>
      <c r="AU80" s="11">
        <v>2020</v>
      </c>
      <c r="AV80" s="11">
        <v>9</v>
      </c>
      <c r="AW80" s="11">
        <v>3</v>
      </c>
      <c r="AX80" s="11" t="s">
        <v>74</v>
      </c>
      <c r="AY80" s="11" t="s">
        <v>74</v>
      </c>
      <c r="AZ80" s="11" t="s">
        <v>74</v>
      </c>
      <c r="BA80" s="11" t="s">
        <v>74</v>
      </c>
      <c r="BB80" s="11">
        <v>335</v>
      </c>
      <c r="BC80" s="11">
        <v>352</v>
      </c>
      <c r="BD80" s="11" t="s">
        <v>74</v>
      </c>
      <c r="BE80" s="11" t="s">
        <v>7611</v>
      </c>
      <c r="BF80" s="11">
        <v>0</v>
      </c>
      <c r="BG80" s="11" t="s">
        <v>74</v>
      </c>
      <c r="BH80" s="11" t="s">
        <v>74</v>
      </c>
      <c r="BI80" s="11">
        <v>18</v>
      </c>
      <c r="BJ80" s="11" t="s">
        <v>1326</v>
      </c>
      <c r="BK80" s="11" t="s">
        <v>183</v>
      </c>
      <c r="BL80" s="11" t="s">
        <v>1326</v>
      </c>
      <c r="BM80" s="11" t="s">
        <v>7612</v>
      </c>
      <c r="BN80" s="11" t="s">
        <v>74</v>
      </c>
      <c r="BO80" s="11" t="s">
        <v>186</v>
      </c>
      <c r="BP80" s="11" t="s">
        <v>74</v>
      </c>
      <c r="BQ80" s="11" t="s">
        <v>74</v>
      </c>
      <c r="BR80" s="11" t="s">
        <v>12946</v>
      </c>
      <c r="BS80" s="11" t="s">
        <v>7613</v>
      </c>
      <c r="BT80" s="11">
        <v>0</v>
      </c>
    </row>
    <row r="81" spans="1:72" x14ac:dyDescent="0.25">
      <c r="A81" s="11" t="s">
        <v>72</v>
      </c>
      <c r="B81" s="11" t="s">
        <v>8351</v>
      </c>
      <c r="C81" s="11" t="s">
        <v>74</v>
      </c>
      <c r="D81" s="11" t="s">
        <v>74</v>
      </c>
      <c r="E81" s="11" t="s">
        <v>74</v>
      </c>
      <c r="F81" s="11" t="s">
        <v>8352</v>
      </c>
      <c r="G81" s="11" t="s">
        <v>74</v>
      </c>
      <c r="H81" s="11" t="s">
        <v>74</v>
      </c>
      <c r="I81" s="11" t="s">
        <v>8353</v>
      </c>
      <c r="J81" s="11" t="s">
        <v>8354</v>
      </c>
      <c r="K81" s="11" t="s">
        <v>74</v>
      </c>
      <c r="L81" s="11" t="s">
        <v>74</v>
      </c>
      <c r="M81" s="11" t="s">
        <v>929</v>
      </c>
      <c r="N81" s="11" t="s">
        <v>79</v>
      </c>
      <c r="O81" s="11" t="s">
        <v>74</v>
      </c>
      <c r="P81" s="11" t="s">
        <v>74</v>
      </c>
      <c r="Q81" s="11" t="s">
        <v>74</v>
      </c>
      <c r="R81" s="11" t="s">
        <v>74</v>
      </c>
      <c r="S81" s="11" t="s">
        <v>74</v>
      </c>
      <c r="T81" s="11" t="s">
        <v>8355</v>
      </c>
      <c r="U81" s="11" t="s">
        <v>8356</v>
      </c>
      <c r="V81" s="11" t="s">
        <v>8357</v>
      </c>
      <c r="W81" s="11" t="s">
        <v>8358</v>
      </c>
      <c r="X81" s="11" t="s">
        <v>8359</v>
      </c>
      <c r="Y81" s="11" t="s">
        <v>8360</v>
      </c>
      <c r="Z81" s="11" t="s">
        <v>8361</v>
      </c>
      <c r="AA81" s="11" t="s">
        <v>74</v>
      </c>
      <c r="AB81" s="11" t="s">
        <v>74</v>
      </c>
      <c r="AC81" s="11" t="s">
        <v>74</v>
      </c>
      <c r="AD81" s="11" t="s">
        <v>74</v>
      </c>
      <c r="AE81" s="11" t="s">
        <v>74</v>
      </c>
      <c r="AF81" s="11" t="s">
        <v>74</v>
      </c>
      <c r="AG81" s="11">
        <v>42</v>
      </c>
      <c r="AH81" s="11">
        <v>0</v>
      </c>
      <c r="AI81" s="11">
        <v>0</v>
      </c>
      <c r="AJ81" s="11">
        <v>1</v>
      </c>
      <c r="AK81" s="11">
        <v>9</v>
      </c>
      <c r="AL81" s="11" t="s">
        <v>8362</v>
      </c>
      <c r="AM81" s="11" t="s">
        <v>8363</v>
      </c>
      <c r="AN81" s="11" t="s">
        <v>8364</v>
      </c>
      <c r="AO81" s="11" t="s">
        <v>8365</v>
      </c>
      <c r="AP81" s="11" t="s">
        <v>74</v>
      </c>
      <c r="AQ81" s="11" t="s">
        <v>74</v>
      </c>
      <c r="AR81" s="11" t="s">
        <v>8366</v>
      </c>
      <c r="AS81" s="11" t="s">
        <v>8367</v>
      </c>
      <c r="AT81" s="11" t="s">
        <v>74</v>
      </c>
      <c r="AU81" s="11">
        <v>2020</v>
      </c>
      <c r="AV81" s="11">
        <v>13</v>
      </c>
      <c r="AW81" s="11" t="s">
        <v>74</v>
      </c>
      <c r="AX81" s="11" t="s">
        <v>74</v>
      </c>
      <c r="AY81" s="11" t="s">
        <v>74</v>
      </c>
      <c r="AZ81" s="11" t="s">
        <v>1020</v>
      </c>
      <c r="BA81" s="11" t="s">
        <v>74</v>
      </c>
      <c r="BB81" s="11">
        <v>32</v>
      </c>
      <c r="BC81" s="11">
        <v>42</v>
      </c>
      <c r="BD81" s="11" t="s">
        <v>74</v>
      </c>
      <c r="BE81" s="11" t="s">
        <v>74</v>
      </c>
      <c r="BF81" s="11" t="s">
        <v>74</v>
      </c>
      <c r="BG81" s="11" t="s">
        <v>74</v>
      </c>
      <c r="BH81" s="11" t="s">
        <v>74</v>
      </c>
      <c r="BI81" s="11">
        <v>11</v>
      </c>
      <c r="BJ81" s="11" t="s">
        <v>1326</v>
      </c>
      <c r="BK81" s="11" t="s">
        <v>183</v>
      </c>
      <c r="BL81" s="11" t="s">
        <v>1326</v>
      </c>
      <c r="BM81" s="11" t="s">
        <v>8368</v>
      </c>
      <c r="BN81" s="11" t="s">
        <v>74</v>
      </c>
      <c r="BO81" s="11" t="s">
        <v>74</v>
      </c>
      <c r="BP81" s="11" t="s">
        <v>74</v>
      </c>
      <c r="BQ81" s="11" t="s">
        <v>74</v>
      </c>
      <c r="BR81" s="11" t="s">
        <v>12946</v>
      </c>
      <c r="BS81" s="11" t="s">
        <v>8369</v>
      </c>
      <c r="BT81" s="11">
        <v>0</v>
      </c>
    </row>
    <row r="82" spans="1:72" x14ac:dyDescent="0.25">
      <c r="A82" s="11" t="s">
        <v>477</v>
      </c>
      <c r="B82" s="11" t="s">
        <v>9427</v>
      </c>
      <c r="C82" s="11" t="s">
        <v>74</v>
      </c>
      <c r="D82" s="11" t="s">
        <v>9428</v>
      </c>
      <c r="E82" s="11" t="s">
        <v>74</v>
      </c>
      <c r="F82" s="11" t="s">
        <v>9429</v>
      </c>
      <c r="G82" s="11" t="s">
        <v>74</v>
      </c>
      <c r="H82" s="11" t="s">
        <v>74</v>
      </c>
      <c r="I82" s="11" t="s">
        <v>9430</v>
      </c>
      <c r="J82" s="11" t="s">
        <v>9431</v>
      </c>
      <c r="K82" s="11" t="s">
        <v>9432</v>
      </c>
      <c r="L82" s="11" t="s">
        <v>74</v>
      </c>
      <c r="M82" s="11" t="s">
        <v>78</v>
      </c>
      <c r="N82" s="11" t="s">
        <v>4932</v>
      </c>
      <c r="O82" s="11" t="s">
        <v>74</v>
      </c>
      <c r="P82" s="11" t="s">
        <v>74</v>
      </c>
      <c r="Q82" s="11" t="s">
        <v>74</v>
      </c>
      <c r="R82" s="11" t="s">
        <v>74</v>
      </c>
      <c r="S82" s="11" t="s">
        <v>74</v>
      </c>
      <c r="T82" s="11" t="s">
        <v>74</v>
      </c>
      <c r="U82" s="11" t="s">
        <v>9433</v>
      </c>
      <c r="V82" s="11" t="s">
        <v>9434</v>
      </c>
      <c r="W82" s="11" t="s">
        <v>9435</v>
      </c>
      <c r="X82" s="11" t="s">
        <v>9436</v>
      </c>
      <c r="Y82" s="11" t="s">
        <v>9437</v>
      </c>
      <c r="Z82" s="11" t="s">
        <v>74</v>
      </c>
      <c r="AA82" s="11" t="s">
        <v>74</v>
      </c>
      <c r="AB82" s="11" t="s">
        <v>74</v>
      </c>
      <c r="AC82" s="11" t="s">
        <v>74</v>
      </c>
      <c r="AD82" s="11" t="s">
        <v>74</v>
      </c>
      <c r="AE82" s="11" t="s">
        <v>74</v>
      </c>
      <c r="AF82" s="11" t="s">
        <v>74</v>
      </c>
      <c r="AG82" s="11">
        <v>28</v>
      </c>
      <c r="AH82" s="11">
        <v>0</v>
      </c>
      <c r="AI82" s="11">
        <v>0</v>
      </c>
      <c r="AJ82" s="11">
        <v>0</v>
      </c>
      <c r="AK82" s="11">
        <v>1</v>
      </c>
      <c r="AL82" s="11" t="s">
        <v>9438</v>
      </c>
      <c r="AM82" s="11" t="s">
        <v>9439</v>
      </c>
      <c r="AN82" s="11" t="s">
        <v>9440</v>
      </c>
      <c r="AO82" s="11" t="s">
        <v>74</v>
      </c>
      <c r="AP82" s="11" t="s">
        <v>74</v>
      </c>
      <c r="AQ82" s="11" t="s">
        <v>9441</v>
      </c>
      <c r="AR82" s="11" t="s">
        <v>9442</v>
      </c>
      <c r="AS82" s="11" t="s">
        <v>74</v>
      </c>
      <c r="AT82" s="11" t="s">
        <v>74</v>
      </c>
      <c r="AU82" s="11">
        <v>2019</v>
      </c>
      <c r="AV82" s="11" t="s">
        <v>74</v>
      </c>
      <c r="AW82" s="11" t="s">
        <v>74</v>
      </c>
      <c r="AX82" s="11" t="s">
        <v>74</v>
      </c>
      <c r="AY82" s="11" t="s">
        <v>74</v>
      </c>
      <c r="AZ82" s="11" t="s">
        <v>74</v>
      </c>
      <c r="BA82" s="11" t="s">
        <v>74</v>
      </c>
      <c r="BB82" s="11">
        <v>227</v>
      </c>
      <c r="BC82" s="11">
        <v>241</v>
      </c>
      <c r="BD82" s="11" t="s">
        <v>74</v>
      </c>
      <c r="BE82" s="11" t="s">
        <v>74</v>
      </c>
      <c r="BF82" s="11" t="s">
        <v>74</v>
      </c>
      <c r="BG82" s="11" t="s">
        <v>74</v>
      </c>
      <c r="BH82" s="11" t="s">
        <v>74</v>
      </c>
      <c r="BI82" s="11">
        <v>15</v>
      </c>
      <c r="BJ82" s="11" t="s">
        <v>1326</v>
      </c>
      <c r="BK82" s="11" t="s">
        <v>4943</v>
      </c>
      <c r="BL82" s="11" t="s">
        <v>1326</v>
      </c>
      <c r="BM82" s="11" t="s">
        <v>9443</v>
      </c>
      <c r="BN82" s="11" t="s">
        <v>74</v>
      </c>
      <c r="BO82" s="11" t="s">
        <v>74</v>
      </c>
      <c r="BP82" s="11" t="s">
        <v>74</v>
      </c>
      <c r="BQ82" s="11" t="s">
        <v>74</v>
      </c>
      <c r="BR82" s="11" t="s">
        <v>12946</v>
      </c>
      <c r="BS82" s="11" t="s">
        <v>9444</v>
      </c>
      <c r="BT82" s="11">
        <v>0</v>
      </c>
    </row>
    <row r="83" spans="1:72" x14ac:dyDescent="0.25">
      <c r="A83" s="11" t="s">
        <v>72</v>
      </c>
      <c r="B83" s="11" t="s">
        <v>11039</v>
      </c>
      <c r="C83" s="11" t="s">
        <v>74</v>
      </c>
      <c r="D83" s="11" t="s">
        <v>74</v>
      </c>
      <c r="E83" s="11" t="s">
        <v>74</v>
      </c>
      <c r="F83" s="11" t="s">
        <v>11040</v>
      </c>
      <c r="G83" s="11" t="s">
        <v>74</v>
      </c>
      <c r="H83" s="11" t="s">
        <v>74</v>
      </c>
      <c r="I83" s="11" t="s">
        <v>11041</v>
      </c>
      <c r="J83" s="11" t="s">
        <v>10623</v>
      </c>
      <c r="K83" s="11" t="s">
        <v>74</v>
      </c>
      <c r="L83" s="11" t="s">
        <v>74</v>
      </c>
      <c r="M83" s="11" t="s">
        <v>929</v>
      </c>
      <c r="N83" s="11" t="s">
        <v>79</v>
      </c>
      <c r="O83" s="11" t="s">
        <v>74</v>
      </c>
      <c r="P83" s="11" t="s">
        <v>74</v>
      </c>
      <c r="Q83" s="11" t="s">
        <v>74</v>
      </c>
      <c r="R83" s="11" t="s">
        <v>74</v>
      </c>
      <c r="S83" s="11" t="s">
        <v>74</v>
      </c>
      <c r="T83" s="11" t="s">
        <v>11042</v>
      </c>
      <c r="U83" s="11" t="s">
        <v>74</v>
      </c>
      <c r="V83" s="11" t="s">
        <v>11043</v>
      </c>
      <c r="W83" s="11" t="s">
        <v>11044</v>
      </c>
      <c r="X83" s="11" t="s">
        <v>74</v>
      </c>
      <c r="Y83" s="11" t="s">
        <v>11045</v>
      </c>
      <c r="Z83" s="11" t="s">
        <v>11046</v>
      </c>
      <c r="AA83" s="11" t="s">
        <v>74</v>
      </c>
      <c r="AB83" s="11" t="s">
        <v>74</v>
      </c>
      <c r="AC83" s="11" t="s">
        <v>74</v>
      </c>
      <c r="AD83" s="11" t="s">
        <v>74</v>
      </c>
      <c r="AE83" s="11" t="s">
        <v>74</v>
      </c>
      <c r="AF83" s="11" t="s">
        <v>74</v>
      </c>
      <c r="AG83" s="11">
        <v>47</v>
      </c>
      <c r="AH83" s="11">
        <v>0</v>
      </c>
      <c r="AI83" s="11">
        <v>1</v>
      </c>
      <c r="AJ83" s="11">
        <v>0</v>
      </c>
      <c r="AK83" s="11">
        <v>2</v>
      </c>
      <c r="AL83" s="11" t="s">
        <v>10634</v>
      </c>
      <c r="AM83" s="11" t="s">
        <v>10635</v>
      </c>
      <c r="AN83" s="11" t="s">
        <v>10636</v>
      </c>
      <c r="AO83" s="11" t="s">
        <v>10637</v>
      </c>
      <c r="AP83" s="11" t="s">
        <v>74</v>
      </c>
      <c r="AQ83" s="11" t="s">
        <v>74</v>
      </c>
      <c r="AR83" s="11" t="s">
        <v>10638</v>
      </c>
      <c r="AS83" s="11" t="s">
        <v>10639</v>
      </c>
      <c r="AT83" s="11" t="s">
        <v>11047</v>
      </c>
      <c r="AU83" s="11">
        <v>2016</v>
      </c>
      <c r="AV83" s="11" t="s">
        <v>74</v>
      </c>
      <c r="AW83" s="11">
        <v>51</v>
      </c>
      <c r="AX83" s="11" t="s">
        <v>74</v>
      </c>
      <c r="AY83" s="11" t="s">
        <v>74</v>
      </c>
      <c r="AZ83" s="11" t="s">
        <v>74</v>
      </c>
      <c r="BA83" s="11" t="s">
        <v>74</v>
      </c>
      <c r="BB83" s="11" t="s">
        <v>74</v>
      </c>
      <c r="BC83" s="11" t="s">
        <v>74</v>
      </c>
      <c r="BD83" s="11">
        <v>2</v>
      </c>
      <c r="BE83" s="11" t="s">
        <v>11048</v>
      </c>
      <c r="BF83" s="11">
        <v>0</v>
      </c>
      <c r="BG83" s="11" t="s">
        <v>74</v>
      </c>
      <c r="BH83" s="11" t="s">
        <v>74</v>
      </c>
      <c r="BI83" s="11">
        <v>25</v>
      </c>
      <c r="BJ83" s="11" t="s">
        <v>1326</v>
      </c>
      <c r="BK83" s="11" t="s">
        <v>183</v>
      </c>
      <c r="BL83" s="11" t="s">
        <v>1326</v>
      </c>
      <c r="BM83" s="11" t="s">
        <v>11049</v>
      </c>
      <c r="BN83" s="11" t="s">
        <v>74</v>
      </c>
      <c r="BO83" s="11" t="s">
        <v>2730</v>
      </c>
      <c r="BP83" s="11" t="s">
        <v>74</v>
      </c>
      <c r="BQ83" s="11" t="s">
        <v>74</v>
      </c>
      <c r="BR83" s="11" t="s">
        <v>12946</v>
      </c>
      <c r="BS83" s="11" t="s">
        <v>11050</v>
      </c>
      <c r="BT83" s="11">
        <v>0</v>
      </c>
    </row>
    <row r="84" spans="1:72" x14ac:dyDescent="0.25">
      <c r="A84" s="11" t="s">
        <v>72</v>
      </c>
      <c r="B84" s="11" t="s">
        <v>12227</v>
      </c>
      <c r="C84" s="11" t="s">
        <v>74</v>
      </c>
      <c r="D84" s="11" t="s">
        <v>74</v>
      </c>
      <c r="E84" s="11" t="s">
        <v>74</v>
      </c>
      <c r="F84" s="11" t="s">
        <v>12228</v>
      </c>
      <c r="G84" s="11" t="s">
        <v>74</v>
      </c>
      <c r="H84" s="11" t="s">
        <v>74</v>
      </c>
      <c r="I84" s="11" t="s">
        <v>12229</v>
      </c>
      <c r="J84" s="11" t="s">
        <v>12230</v>
      </c>
      <c r="K84" s="11" t="s">
        <v>74</v>
      </c>
      <c r="L84" s="11" t="s">
        <v>74</v>
      </c>
      <c r="M84" s="11" t="s">
        <v>78</v>
      </c>
      <c r="N84" s="11" t="s">
        <v>79</v>
      </c>
      <c r="O84" s="11" t="s">
        <v>74</v>
      </c>
      <c r="P84" s="11" t="s">
        <v>74</v>
      </c>
      <c r="Q84" s="11" t="s">
        <v>74</v>
      </c>
      <c r="R84" s="11" t="s">
        <v>74</v>
      </c>
      <c r="S84" s="11" t="s">
        <v>74</v>
      </c>
      <c r="T84" s="11" t="s">
        <v>12231</v>
      </c>
      <c r="U84" s="11" t="s">
        <v>74</v>
      </c>
      <c r="V84" s="11" t="s">
        <v>12232</v>
      </c>
      <c r="W84" s="11" t="s">
        <v>12233</v>
      </c>
      <c r="X84" s="11" t="s">
        <v>12234</v>
      </c>
      <c r="Y84" s="11" t="s">
        <v>12235</v>
      </c>
      <c r="Z84" s="11" t="s">
        <v>12236</v>
      </c>
      <c r="AA84" s="11" t="s">
        <v>74</v>
      </c>
      <c r="AB84" s="11" t="s">
        <v>74</v>
      </c>
      <c r="AC84" s="11" t="s">
        <v>74</v>
      </c>
      <c r="AD84" s="11" t="s">
        <v>74</v>
      </c>
      <c r="AE84" s="11" t="s">
        <v>74</v>
      </c>
      <c r="AF84" s="11" t="s">
        <v>74</v>
      </c>
      <c r="AG84" s="11">
        <v>12</v>
      </c>
      <c r="AH84" s="11">
        <v>0</v>
      </c>
      <c r="AI84" s="11">
        <v>1</v>
      </c>
      <c r="AJ84" s="11">
        <v>0</v>
      </c>
      <c r="AK84" s="11">
        <v>1</v>
      </c>
      <c r="AL84" s="11" t="s">
        <v>715</v>
      </c>
      <c r="AM84" s="11" t="s">
        <v>716</v>
      </c>
      <c r="AN84" s="11" t="s">
        <v>717</v>
      </c>
      <c r="AO84" s="11" t="s">
        <v>12237</v>
      </c>
      <c r="AP84" s="11" t="s">
        <v>12238</v>
      </c>
      <c r="AQ84" s="11" t="s">
        <v>74</v>
      </c>
      <c r="AR84" s="11" t="s">
        <v>12239</v>
      </c>
      <c r="AS84" s="11" t="s">
        <v>12240</v>
      </c>
      <c r="AT84" s="11" t="s">
        <v>74</v>
      </c>
      <c r="AU84" s="11">
        <v>2013</v>
      </c>
      <c r="AV84" s="11">
        <v>34</v>
      </c>
      <c r="AW84" s="11" t="s">
        <v>12241</v>
      </c>
      <c r="AX84" s="11" t="s">
        <v>74</v>
      </c>
      <c r="AY84" s="11" t="s">
        <v>74</v>
      </c>
      <c r="AZ84" s="11" t="s">
        <v>1020</v>
      </c>
      <c r="BA84" s="11" t="s">
        <v>74</v>
      </c>
      <c r="BB84" s="11">
        <v>290</v>
      </c>
      <c r="BC84" s="11">
        <v>298</v>
      </c>
      <c r="BD84" s="11" t="s">
        <v>74</v>
      </c>
      <c r="BE84" s="11" t="s">
        <v>12242</v>
      </c>
      <c r="BF84" s="11">
        <v>0</v>
      </c>
      <c r="BG84" s="11" t="s">
        <v>74</v>
      </c>
      <c r="BH84" s="11" t="s">
        <v>74</v>
      </c>
      <c r="BI84" s="11">
        <v>9</v>
      </c>
      <c r="BJ84" s="11" t="s">
        <v>3050</v>
      </c>
      <c r="BK84" s="11" t="s">
        <v>183</v>
      </c>
      <c r="BL84" s="11" t="s">
        <v>3050</v>
      </c>
      <c r="BM84" s="11" t="s">
        <v>12243</v>
      </c>
      <c r="BN84" s="11" t="s">
        <v>74</v>
      </c>
      <c r="BO84" s="11" t="s">
        <v>74</v>
      </c>
      <c r="BP84" s="11" t="s">
        <v>74</v>
      </c>
      <c r="BQ84" s="11" t="s">
        <v>74</v>
      </c>
      <c r="BR84" s="11" t="s">
        <v>12946</v>
      </c>
      <c r="BS84" s="11" t="s">
        <v>12244</v>
      </c>
      <c r="BT84" s="11">
        <v>0</v>
      </c>
    </row>
    <row r="85" spans="1:72" x14ac:dyDescent="0.25">
      <c r="A85" s="11" t="s">
        <v>72</v>
      </c>
      <c r="B85" s="11" t="s">
        <v>12345</v>
      </c>
      <c r="C85" s="11" t="s">
        <v>74</v>
      </c>
      <c r="D85" s="11" t="s">
        <v>74</v>
      </c>
      <c r="E85" s="11" t="s">
        <v>74</v>
      </c>
      <c r="F85" s="11" t="s">
        <v>12346</v>
      </c>
      <c r="G85" s="11" t="s">
        <v>74</v>
      </c>
      <c r="H85" s="11" t="s">
        <v>74</v>
      </c>
      <c r="I85" s="11" t="s">
        <v>12347</v>
      </c>
      <c r="J85" s="11" t="s">
        <v>12348</v>
      </c>
      <c r="K85" s="11" t="s">
        <v>74</v>
      </c>
      <c r="L85" s="11" t="s">
        <v>74</v>
      </c>
      <c r="M85" s="11" t="s">
        <v>2896</v>
      </c>
      <c r="N85" s="11" t="s">
        <v>79</v>
      </c>
      <c r="O85" s="11" t="s">
        <v>74</v>
      </c>
      <c r="P85" s="11" t="s">
        <v>74</v>
      </c>
      <c r="Q85" s="11" t="s">
        <v>74</v>
      </c>
      <c r="R85" s="11" t="s">
        <v>74</v>
      </c>
      <c r="S85" s="11" t="s">
        <v>74</v>
      </c>
      <c r="T85" s="11" t="s">
        <v>12349</v>
      </c>
      <c r="U85" s="11" t="s">
        <v>74</v>
      </c>
      <c r="V85" s="11" t="s">
        <v>12350</v>
      </c>
      <c r="W85" s="11" t="s">
        <v>12351</v>
      </c>
      <c r="X85" s="11" t="s">
        <v>12352</v>
      </c>
      <c r="Y85" s="11" t="s">
        <v>12353</v>
      </c>
      <c r="Z85" s="11" t="s">
        <v>12354</v>
      </c>
      <c r="AA85" s="11" t="s">
        <v>74</v>
      </c>
      <c r="AB85" s="11" t="s">
        <v>74</v>
      </c>
      <c r="AC85" s="11" t="s">
        <v>74</v>
      </c>
      <c r="AD85" s="11" t="s">
        <v>74</v>
      </c>
      <c r="AE85" s="11" t="s">
        <v>74</v>
      </c>
      <c r="AF85" s="11" t="s">
        <v>74</v>
      </c>
      <c r="AG85" s="11">
        <v>23</v>
      </c>
      <c r="AH85" s="11">
        <v>0</v>
      </c>
      <c r="AI85" s="11">
        <v>1</v>
      </c>
      <c r="AJ85" s="11">
        <v>1</v>
      </c>
      <c r="AK85" s="11">
        <v>2</v>
      </c>
      <c r="AL85" s="11" t="s">
        <v>12355</v>
      </c>
      <c r="AM85" s="11" t="s">
        <v>2281</v>
      </c>
      <c r="AN85" s="11" t="s">
        <v>12356</v>
      </c>
      <c r="AO85" s="11" t="s">
        <v>12357</v>
      </c>
      <c r="AP85" s="11" t="s">
        <v>74</v>
      </c>
      <c r="AQ85" s="11" t="s">
        <v>74</v>
      </c>
      <c r="AR85" s="11" t="s">
        <v>12358</v>
      </c>
      <c r="AS85" s="11" t="s">
        <v>12359</v>
      </c>
      <c r="AT85" s="11" t="s">
        <v>376</v>
      </c>
      <c r="AU85" s="11">
        <v>2011</v>
      </c>
      <c r="AV85" s="11">
        <v>10</v>
      </c>
      <c r="AW85" s="11">
        <v>3</v>
      </c>
      <c r="AX85" s="11" t="s">
        <v>74</v>
      </c>
      <c r="AY85" s="11" t="s">
        <v>74</v>
      </c>
      <c r="AZ85" s="11" t="s">
        <v>74</v>
      </c>
      <c r="BA85" s="11" t="s">
        <v>74</v>
      </c>
      <c r="BB85" s="11">
        <v>107</v>
      </c>
      <c r="BC85" s="11">
        <v>126</v>
      </c>
      <c r="BD85" s="11" t="s">
        <v>74</v>
      </c>
      <c r="BE85" s="11" t="s">
        <v>74</v>
      </c>
      <c r="BF85" s="11" t="s">
        <v>74</v>
      </c>
      <c r="BG85" s="11" t="s">
        <v>74</v>
      </c>
      <c r="BH85" s="11" t="s">
        <v>74</v>
      </c>
      <c r="BI85" s="11">
        <v>20</v>
      </c>
      <c r="BJ85" s="11" t="s">
        <v>1023</v>
      </c>
      <c r="BK85" s="11" t="s">
        <v>183</v>
      </c>
      <c r="BL85" s="11" t="s">
        <v>265</v>
      </c>
      <c r="BM85" s="11" t="s">
        <v>12360</v>
      </c>
      <c r="BN85" s="11" t="s">
        <v>74</v>
      </c>
      <c r="BO85" s="11" t="s">
        <v>74</v>
      </c>
      <c r="BP85" s="11" t="s">
        <v>74</v>
      </c>
      <c r="BQ85" s="11" t="s">
        <v>74</v>
      </c>
      <c r="BR85" s="11" t="s">
        <v>12946</v>
      </c>
      <c r="BS85" s="11" t="s">
        <v>12361</v>
      </c>
      <c r="BT85" s="11">
        <v>0</v>
      </c>
    </row>
    <row r="86" spans="1:72" x14ac:dyDescent="0.25">
      <c r="A86" s="11" t="s">
        <v>72</v>
      </c>
      <c r="B86" s="11" t="s">
        <v>12652</v>
      </c>
      <c r="C86" s="11" t="s">
        <v>74</v>
      </c>
      <c r="D86" s="11" t="s">
        <v>74</v>
      </c>
      <c r="E86" s="11" t="s">
        <v>74</v>
      </c>
      <c r="F86" s="11" t="s">
        <v>12653</v>
      </c>
      <c r="G86" s="11" t="s">
        <v>74</v>
      </c>
      <c r="H86" s="11" t="s">
        <v>74</v>
      </c>
      <c r="I86" s="11" t="s">
        <v>12654</v>
      </c>
      <c r="J86" s="11" t="s">
        <v>7087</v>
      </c>
      <c r="K86" s="11" t="s">
        <v>74</v>
      </c>
      <c r="L86" s="11" t="s">
        <v>74</v>
      </c>
      <c r="M86" s="11" t="s">
        <v>929</v>
      </c>
      <c r="N86" s="11" t="s">
        <v>79</v>
      </c>
      <c r="O86" s="11" t="s">
        <v>74</v>
      </c>
      <c r="P86" s="11" t="s">
        <v>74</v>
      </c>
      <c r="Q86" s="11" t="s">
        <v>74</v>
      </c>
      <c r="R86" s="11" t="s">
        <v>74</v>
      </c>
      <c r="S86" s="11" t="s">
        <v>74</v>
      </c>
      <c r="T86" s="11" t="s">
        <v>12655</v>
      </c>
      <c r="U86" s="11" t="s">
        <v>74</v>
      </c>
      <c r="V86" s="11" t="s">
        <v>12656</v>
      </c>
      <c r="W86" s="11" t="s">
        <v>12657</v>
      </c>
      <c r="X86" s="11" t="s">
        <v>12658</v>
      </c>
      <c r="Y86" s="11" t="s">
        <v>12659</v>
      </c>
      <c r="Z86" s="11" t="s">
        <v>12660</v>
      </c>
      <c r="AA86" s="11" t="s">
        <v>13333</v>
      </c>
      <c r="AB86" s="11" t="s">
        <v>13334</v>
      </c>
      <c r="AC86" s="11" t="s">
        <v>74</v>
      </c>
      <c r="AD86" s="11" t="s">
        <v>74</v>
      </c>
      <c r="AE86" s="11" t="s">
        <v>74</v>
      </c>
      <c r="AF86" s="11" t="s">
        <v>74</v>
      </c>
      <c r="AG86" s="11">
        <v>12</v>
      </c>
      <c r="AH86" s="11">
        <v>0</v>
      </c>
      <c r="AI86" s="11">
        <v>0</v>
      </c>
      <c r="AJ86" s="11">
        <v>0</v>
      </c>
      <c r="AK86" s="11">
        <v>0</v>
      </c>
      <c r="AL86" s="11" t="s">
        <v>7096</v>
      </c>
      <c r="AM86" s="11" t="s">
        <v>7097</v>
      </c>
      <c r="AN86" s="11" t="s">
        <v>7098</v>
      </c>
      <c r="AO86" s="11" t="s">
        <v>7099</v>
      </c>
      <c r="AP86" s="11" t="s">
        <v>74</v>
      </c>
      <c r="AQ86" s="11" t="s">
        <v>74</v>
      </c>
      <c r="AR86" s="11" t="s">
        <v>7100</v>
      </c>
      <c r="AS86" s="11" t="s">
        <v>7101</v>
      </c>
      <c r="AT86" s="11" t="s">
        <v>74</v>
      </c>
      <c r="AU86" s="11">
        <v>2008</v>
      </c>
      <c r="AV86" s="11">
        <v>7</v>
      </c>
      <c r="AW86" s="11">
        <v>2</v>
      </c>
      <c r="AX86" s="11" t="s">
        <v>74</v>
      </c>
      <c r="AY86" s="11" t="s">
        <v>74</v>
      </c>
      <c r="AZ86" s="11" t="s">
        <v>74</v>
      </c>
      <c r="BA86" s="11" t="s">
        <v>74</v>
      </c>
      <c r="BB86" s="11">
        <v>45</v>
      </c>
      <c r="BC86" s="11">
        <v>55</v>
      </c>
      <c r="BD86" s="11" t="s">
        <v>74</v>
      </c>
      <c r="BE86" s="11" t="s">
        <v>74</v>
      </c>
      <c r="BF86" s="11" t="s">
        <v>74</v>
      </c>
      <c r="BG86" s="11" t="s">
        <v>74</v>
      </c>
      <c r="BH86" s="11" t="s">
        <v>74</v>
      </c>
      <c r="BI86" s="11">
        <v>11</v>
      </c>
      <c r="BJ86" s="11" t="s">
        <v>1326</v>
      </c>
      <c r="BK86" s="11" t="s">
        <v>183</v>
      </c>
      <c r="BL86" s="11" t="s">
        <v>1326</v>
      </c>
      <c r="BM86" s="11" t="s">
        <v>12663</v>
      </c>
      <c r="BN86" s="11" t="s">
        <v>74</v>
      </c>
      <c r="BO86" s="11" t="s">
        <v>74</v>
      </c>
      <c r="BP86" s="11" t="s">
        <v>74</v>
      </c>
      <c r="BQ86" s="11" t="s">
        <v>74</v>
      </c>
      <c r="BR86" s="11" t="s">
        <v>12946</v>
      </c>
      <c r="BS86" s="11" t="s">
        <v>12664</v>
      </c>
      <c r="BT86" s="11">
        <v>0</v>
      </c>
    </row>
    <row r="87" spans="1:72" x14ac:dyDescent="0.25">
      <c r="A87" s="11" t="s">
        <v>72</v>
      </c>
      <c r="B87" s="11" t="s">
        <v>12665</v>
      </c>
      <c r="C87" s="11" t="s">
        <v>74</v>
      </c>
      <c r="D87" s="11" t="s">
        <v>74</v>
      </c>
      <c r="E87" s="11" t="s">
        <v>74</v>
      </c>
      <c r="F87" s="11" t="s">
        <v>12666</v>
      </c>
      <c r="G87" s="11" t="s">
        <v>74</v>
      </c>
      <c r="H87" s="11" t="s">
        <v>74</v>
      </c>
      <c r="I87" s="11" t="s">
        <v>12667</v>
      </c>
      <c r="J87" s="11" t="s">
        <v>12668</v>
      </c>
      <c r="K87" s="11" t="s">
        <v>74</v>
      </c>
      <c r="L87" s="11" t="s">
        <v>74</v>
      </c>
      <c r="M87" s="11" t="s">
        <v>12669</v>
      </c>
      <c r="N87" s="11" t="s">
        <v>79</v>
      </c>
      <c r="O87" s="11" t="s">
        <v>74</v>
      </c>
      <c r="P87" s="11" t="s">
        <v>74</v>
      </c>
      <c r="Q87" s="11" t="s">
        <v>74</v>
      </c>
      <c r="R87" s="11" t="s">
        <v>74</v>
      </c>
      <c r="S87" s="11" t="s">
        <v>74</v>
      </c>
      <c r="T87" s="11" t="s">
        <v>12670</v>
      </c>
      <c r="U87" s="11" t="s">
        <v>12671</v>
      </c>
      <c r="V87" s="11" t="s">
        <v>12672</v>
      </c>
      <c r="W87" s="11" t="s">
        <v>74</v>
      </c>
      <c r="X87" s="11" t="s">
        <v>74</v>
      </c>
      <c r="Y87" s="11" t="s">
        <v>74</v>
      </c>
      <c r="Z87" s="11" t="s">
        <v>12673</v>
      </c>
      <c r="AA87" s="11" t="s">
        <v>74</v>
      </c>
      <c r="AB87" s="11" t="s">
        <v>74</v>
      </c>
      <c r="AC87" s="11" t="s">
        <v>74</v>
      </c>
      <c r="AD87" s="11" t="s">
        <v>74</v>
      </c>
      <c r="AE87" s="11" t="s">
        <v>74</v>
      </c>
      <c r="AF87" s="11" t="s">
        <v>74</v>
      </c>
      <c r="AG87" s="11">
        <v>39</v>
      </c>
      <c r="AH87" s="11">
        <v>0</v>
      </c>
      <c r="AI87" s="11">
        <v>0</v>
      </c>
      <c r="AJ87" s="11">
        <v>0</v>
      </c>
      <c r="AK87" s="11">
        <v>0</v>
      </c>
      <c r="AL87" s="11" t="s">
        <v>12674</v>
      </c>
      <c r="AM87" s="11" t="s">
        <v>10781</v>
      </c>
      <c r="AN87" s="11" t="s">
        <v>12675</v>
      </c>
      <c r="AO87" s="11" t="s">
        <v>12676</v>
      </c>
      <c r="AP87" s="11" t="s">
        <v>74</v>
      </c>
      <c r="AQ87" s="11" t="s">
        <v>74</v>
      </c>
      <c r="AR87" s="11" t="s">
        <v>12677</v>
      </c>
      <c r="AS87" s="11" t="s">
        <v>12678</v>
      </c>
      <c r="AT87" s="11" t="s">
        <v>74</v>
      </c>
      <c r="AU87" s="11">
        <v>2008</v>
      </c>
      <c r="AV87" s="11">
        <v>8</v>
      </c>
      <c r="AW87" s="11">
        <v>3</v>
      </c>
      <c r="AX87" s="11" t="s">
        <v>74</v>
      </c>
      <c r="AY87" s="11" t="s">
        <v>74</v>
      </c>
      <c r="AZ87" s="11" t="s">
        <v>74</v>
      </c>
      <c r="BA87" s="11" t="s">
        <v>74</v>
      </c>
      <c r="BB87" s="11">
        <v>82</v>
      </c>
      <c r="BC87" s="11" t="s">
        <v>11057</v>
      </c>
      <c r="BD87" s="11" t="s">
        <v>74</v>
      </c>
      <c r="BE87" s="11" t="s">
        <v>74</v>
      </c>
      <c r="BF87" s="11" t="s">
        <v>74</v>
      </c>
      <c r="BG87" s="11" t="s">
        <v>74</v>
      </c>
      <c r="BH87" s="11" t="s">
        <v>74</v>
      </c>
      <c r="BI87" s="11">
        <v>32</v>
      </c>
      <c r="BJ87" s="11" t="s">
        <v>3050</v>
      </c>
      <c r="BK87" s="11" t="s">
        <v>156</v>
      </c>
      <c r="BL87" s="11" t="s">
        <v>3050</v>
      </c>
      <c r="BM87" s="11" t="s">
        <v>12679</v>
      </c>
      <c r="BN87" s="11" t="s">
        <v>74</v>
      </c>
      <c r="BO87" s="11" t="s">
        <v>74</v>
      </c>
      <c r="BP87" s="11" t="s">
        <v>74</v>
      </c>
      <c r="BQ87" s="11" t="s">
        <v>74</v>
      </c>
      <c r="BR87" s="11" t="s">
        <v>12946</v>
      </c>
      <c r="BS87" s="11" t="s">
        <v>12680</v>
      </c>
      <c r="BT87" s="11">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43"/>
  <sheetViews>
    <sheetView topLeftCell="A22" workbookViewId="0">
      <selection activeCell="A2" sqref="A2:A43"/>
    </sheetView>
  </sheetViews>
  <sheetFormatPr baseColWidth="10" defaultColWidth="8.7265625" defaultRowHeight="12.5" x14ac:dyDescent="0.25"/>
  <sheetData>
    <row r="1" spans="1:72" x14ac:dyDescent="0.25">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c r="U1" s="12" t="s">
        <v>20</v>
      </c>
      <c r="V1" s="12" t="s">
        <v>21</v>
      </c>
      <c r="W1" s="12" t="s">
        <v>22</v>
      </c>
      <c r="X1" s="12" t="s">
        <v>23</v>
      </c>
      <c r="Y1" s="12" t="s">
        <v>24</v>
      </c>
      <c r="Z1" s="12" t="s">
        <v>25</v>
      </c>
      <c r="AA1" s="12" t="s">
        <v>26</v>
      </c>
      <c r="AB1" s="12" t="s">
        <v>27</v>
      </c>
      <c r="AC1" s="12" t="s">
        <v>28</v>
      </c>
      <c r="AD1" s="12" t="s">
        <v>29</v>
      </c>
      <c r="AE1" s="12" t="s">
        <v>30</v>
      </c>
      <c r="AF1" s="12" t="s">
        <v>31</v>
      </c>
      <c r="AG1" s="12" t="s">
        <v>32</v>
      </c>
      <c r="AH1" s="12" t="s">
        <v>33</v>
      </c>
      <c r="AI1" s="12" t="s">
        <v>34</v>
      </c>
      <c r="AJ1" s="12" t="s">
        <v>35</v>
      </c>
      <c r="AK1" s="12" t="s">
        <v>36</v>
      </c>
      <c r="AL1" s="12" t="s">
        <v>37</v>
      </c>
      <c r="AM1" s="12" t="s">
        <v>38</v>
      </c>
      <c r="AN1" s="12" t="s">
        <v>39</v>
      </c>
      <c r="AO1" s="12" t="s">
        <v>40</v>
      </c>
      <c r="AP1" s="12" t="s">
        <v>41</v>
      </c>
      <c r="AQ1" s="12" t="s">
        <v>42</v>
      </c>
      <c r="AR1" s="12" t="s">
        <v>43</v>
      </c>
      <c r="AS1" s="12" t="s">
        <v>44</v>
      </c>
      <c r="AT1" s="12" t="s">
        <v>45</v>
      </c>
      <c r="AU1" s="12" t="s">
        <v>46</v>
      </c>
      <c r="AV1" s="12" t="s">
        <v>47</v>
      </c>
      <c r="AW1" s="12" t="s">
        <v>48</v>
      </c>
      <c r="AX1" s="12" t="s">
        <v>49</v>
      </c>
      <c r="AY1" s="12" t="s">
        <v>50</v>
      </c>
      <c r="AZ1" s="12" t="s">
        <v>51</v>
      </c>
      <c r="BA1" s="12" t="s">
        <v>52</v>
      </c>
      <c r="BB1" s="12" t="s">
        <v>53</v>
      </c>
      <c r="BC1" s="12" t="s">
        <v>54</v>
      </c>
      <c r="BD1" s="12" t="s">
        <v>55</v>
      </c>
      <c r="BE1" s="12" t="s">
        <v>56</v>
      </c>
      <c r="BF1" s="12" t="s">
        <v>57</v>
      </c>
      <c r="BG1" s="12" t="s">
        <v>58</v>
      </c>
      <c r="BH1" s="12" t="s">
        <v>59</v>
      </c>
      <c r="BI1" s="12" t="s">
        <v>60</v>
      </c>
      <c r="BJ1" s="12" t="s">
        <v>61</v>
      </c>
      <c r="BK1" s="12" t="s">
        <v>62</v>
      </c>
      <c r="BL1" s="12" t="s">
        <v>63</v>
      </c>
      <c r="BM1" s="12" t="s">
        <v>64</v>
      </c>
      <c r="BN1" s="12" t="s">
        <v>65</v>
      </c>
      <c r="BO1" s="12" t="s">
        <v>66</v>
      </c>
      <c r="BP1" s="12" t="s">
        <v>67</v>
      </c>
      <c r="BQ1" s="12" t="s">
        <v>68</v>
      </c>
      <c r="BR1" s="12" t="s">
        <v>69</v>
      </c>
      <c r="BS1" s="12" t="s">
        <v>70</v>
      </c>
      <c r="BT1" s="12" t="s">
        <v>71</v>
      </c>
    </row>
    <row r="2" spans="1:72" x14ac:dyDescent="0.25">
      <c r="A2" s="12" t="s">
        <v>72</v>
      </c>
      <c r="B2" s="12" t="s">
        <v>8927</v>
      </c>
      <c r="C2" s="12" t="s">
        <v>74</v>
      </c>
      <c r="D2" s="12" t="s">
        <v>74</v>
      </c>
      <c r="E2" s="12" t="s">
        <v>74</v>
      </c>
      <c r="F2" s="12" t="s">
        <v>8928</v>
      </c>
      <c r="G2" s="12" t="s">
        <v>74</v>
      </c>
      <c r="H2" s="12" t="s">
        <v>74</v>
      </c>
      <c r="I2" s="12" t="s">
        <v>8929</v>
      </c>
      <c r="J2" s="12" t="s">
        <v>321</v>
      </c>
      <c r="K2" s="12" t="s">
        <v>74</v>
      </c>
      <c r="L2" s="12" t="s">
        <v>74</v>
      </c>
      <c r="M2" s="12" t="s">
        <v>78</v>
      </c>
      <c r="N2" s="12" t="s">
        <v>79</v>
      </c>
      <c r="O2" s="12" t="s">
        <v>74</v>
      </c>
      <c r="P2" s="12" t="s">
        <v>74</v>
      </c>
      <c r="Q2" s="12" t="s">
        <v>74</v>
      </c>
      <c r="R2" s="12" t="s">
        <v>74</v>
      </c>
      <c r="S2" s="12" t="s">
        <v>74</v>
      </c>
      <c r="T2" s="12" t="s">
        <v>8930</v>
      </c>
      <c r="U2" s="12" t="s">
        <v>8931</v>
      </c>
      <c r="V2" s="12" t="s">
        <v>8932</v>
      </c>
      <c r="W2" s="12" t="s">
        <v>8933</v>
      </c>
      <c r="X2" s="12" t="s">
        <v>74</v>
      </c>
      <c r="Y2" s="12" t="s">
        <v>8934</v>
      </c>
      <c r="Z2" s="12" t="s">
        <v>8935</v>
      </c>
      <c r="AA2" s="12" t="s">
        <v>12952</v>
      </c>
      <c r="AB2" s="12" t="s">
        <v>12953</v>
      </c>
      <c r="AC2" s="12" t="s">
        <v>8938</v>
      </c>
      <c r="AD2" s="12" t="s">
        <v>605</v>
      </c>
      <c r="AE2" s="12" t="s">
        <v>8939</v>
      </c>
      <c r="AF2" s="12" t="s">
        <v>74</v>
      </c>
      <c r="AG2" s="12">
        <v>119</v>
      </c>
      <c r="AH2" s="12">
        <v>579</v>
      </c>
      <c r="AI2" s="12">
        <v>604</v>
      </c>
      <c r="AJ2" s="12">
        <v>67</v>
      </c>
      <c r="AK2" s="12">
        <v>602</v>
      </c>
      <c r="AL2" s="12" t="s">
        <v>332</v>
      </c>
      <c r="AM2" s="12" t="s">
        <v>122</v>
      </c>
      <c r="AN2" s="12" t="s">
        <v>333</v>
      </c>
      <c r="AO2" s="12" t="s">
        <v>334</v>
      </c>
      <c r="AP2" s="12" t="s">
        <v>335</v>
      </c>
      <c r="AQ2" s="12" t="s">
        <v>74</v>
      </c>
      <c r="AR2" s="12" t="s">
        <v>336</v>
      </c>
      <c r="AS2" s="12" t="s">
        <v>337</v>
      </c>
      <c r="AT2" s="12" t="s">
        <v>356</v>
      </c>
      <c r="AU2" s="12">
        <v>2019</v>
      </c>
      <c r="AV2" s="12">
        <v>146</v>
      </c>
      <c r="AW2" s="12" t="s">
        <v>74</v>
      </c>
      <c r="AX2" s="12" t="s">
        <v>74</v>
      </c>
      <c r="AY2" s="12" t="s">
        <v>74</v>
      </c>
      <c r="AZ2" s="12" t="s">
        <v>74</v>
      </c>
      <c r="BA2" s="12" t="s">
        <v>74</v>
      </c>
      <c r="BB2" s="12">
        <v>119</v>
      </c>
      <c r="BC2" s="12">
        <v>132</v>
      </c>
      <c r="BD2" s="12" t="s">
        <v>74</v>
      </c>
      <c r="BE2" s="12" t="s">
        <v>8940</v>
      </c>
      <c r="BF2" s="12">
        <v>0</v>
      </c>
      <c r="BG2" s="12" t="s">
        <v>74</v>
      </c>
      <c r="BH2" s="12" t="s">
        <v>74</v>
      </c>
      <c r="BI2" s="12">
        <v>14</v>
      </c>
      <c r="BJ2" s="12" t="s">
        <v>339</v>
      </c>
      <c r="BK2" s="12" t="s">
        <v>156</v>
      </c>
      <c r="BL2" s="12" t="s">
        <v>340</v>
      </c>
      <c r="BM2" s="12" t="s">
        <v>8941</v>
      </c>
      <c r="BN2" s="12" t="s">
        <v>74</v>
      </c>
      <c r="BO2" s="12" t="s">
        <v>8942</v>
      </c>
      <c r="BP2" s="12" t="s">
        <v>12954</v>
      </c>
      <c r="BQ2" s="12" t="s">
        <v>12955</v>
      </c>
      <c r="BR2" s="12" t="s">
        <v>12946</v>
      </c>
      <c r="BS2" s="12" t="s">
        <v>8943</v>
      </c>
      <c r="BT2" s="12">
        <v>0</v>
      </c>
    </row>
    <row r="3" spans="1:72" x14ac:dyDescent="0.25">
      <c r="A3" s="12" t="s">
        <v>72</v>
      </c>
      <c r="B3" s="12" t="s">
        <v>7920</v>
      </c>
      <c r="C3" s="12" t="s">
        <v>74</v>
      </c>
      <c r="D3" s="12" t="s">
        <v>74</v>
      </c>
      <c r="E3" s="12" t="s">
        <v>74</v>
      </c>
      <c r="F3" s="12" t="s">
        <v>7921</v>
      </c>
      <c r="G3" s="12" t="s">
        <v>74</v>
      </c>
      <c r="H3" s="12" t="s">
        <v>74</v>
      </c>
      <c r="I3" s="12" t="s">
        <v>7922</v>
      </c>
      <c r="J3" s="12" t="s">
        <v>218</v>
      </c>
      <c r="K3" s="12" t="s">
        <v>74</v>
      </c>
      <c r="L3" s="12" t="s">
        <v>74</v>
      </c>
      <c r="M3" s="12" t="s">
        <v>78</v>
      </c>
      <c r="N3" s="12" t="s">
        <v>79</v>
      </c>
      <c r="O3" s="12" t="s">
        <v>74</v>
      </c>
      <c r="P3" s="12" t="s">
        <v>74</v>
      </c>
      <c r="Q3" s="12" t="s">
        <v>74</v>
      </c>
      <c r="R3" s="12" t="s">
        <v>74</v>
      </c>
      <c r="S3" s="12" t="s">
        <v>74</v>
      </c>
      <c r="T3" s="12" t="s">
        <v>7923</v>
      </c>
      <c r="U3" s="12" t="s">
        <v>7924</v>
      </c>
      <c r="V3" s="12" t="s">
        <v>7925</v>
      </c>
      <c r="W3" s="12" t="s">
        <v>7926</v>
      </c>
      <c r="X3" s="12" t="s">
        <v>7927</v>
      </c>
      <c r="Y3" s="12" t="s">
        <v>7928</v>
      </c>
      <c r="Z3" s="12" t="s">
        <v>7929</v>
      </c>
      <c r="AA3" s="12" t="s">
        <v>12956</v>
      </c>
      <c r="AB3" s="12" t="s">
        <v>12957</v>
      </c>
      <c r="AC3" s="12" t="s">
        <v>74</v>
      </c>
      <c r="AD3" s="12" t="s">
        <v>74</v>
      </c>
      <c r="AE3" s="12" t="s">
        <v>74</v>
      </c>
      <c r="AF3" s="12" t="s">
        <v>74</v>
      </c>
      <c r="AG3" s="12">
        <v>66</v>
      </c>
      <c r="AH3" s="12">
        <v>468</v>
      </c>
      <c r="AI3" s="12">
        <v>494</v>
      </c>
      <c r="AJ3" s="12">
        <v>27</v>
      </c>
      <c r="AK3" s="12">
        <v>348</v>
      </c>
      <c r="AL3" s="12" t="s">
        <v>231</v>
      </c>
      <c r="AM3" s="12" t="s">
        <v>232</v>
      </c>
      <c r="AN3" s="12" t="s">
        <v>233</v>
      </c>
      <c r="AO3" s="12" t="s">
        <v>234</v>
      </c>
      <c r="AP3" s="12" t="s">
        <v>235</v>
      </c>
      <c r="AQ3" s="12" t="s">
        <v>74</v>
      </c>
      <c r="AR3" s="12" t="s">
        <v>236</v>
      </c>
      <c r="AS3" s="12" t="s">
        <v>237</v>
      </c>
      <c r="AT3" s="12" t="s">
        <v>1138</v>
      </c>
      <c r="AU3" s="12">
        <v>2020</v>
      </c>
      <c r="AV3" s="12">
        <v>224</v>
      </c>
      <c r="AW3" s="12" t="s">
        <v>74</v>
      </c>
      <c r="AX3" s="12" t="s">
        <v>74</v>
      </c>
      <c r="AY3" s="12" t="s">
        <v>74</v>
      </c>
      <c r="AZ3" s="12" t="s">
        <v>74</v>
      </c>
      <c r="BA3" s="12" t="s">
        <v>74</v>
      </c>
      <c r="BB3" s="12" t="s">
        <v>74</v>
      </c>
      <c r="BC3" s="12" t="s">
        <v>74</v>
      </c>
      <c r="BD3" s="12">
        <v>107546</v>
      </c>
      <c r="BE3" s="12" t="s">
        <v>7932</v>
      </c>
      <c r="BF3" s="12">
        <v>0</v>
      </c>
      <c r="BG3" s="12" t="s">
        <v>74</v>
      </c>
      <c r="BH3" s="12" t="s">
        <v>74</v>
      </c>
      <c r="BI3" s="12">
        <v>17</v>
      </c>
      <c r="BJ3" s="12" t="s">
        <v>239</v>
      </c>
      <c r="BK3" s="12" t="s">
        <v>211</v>
      </c>
      <c r="BL3" s="12" t="s">
        <v>240</v>
      </c>
      <c r="BM3" s="12" t="s">
        <v>7933</v>
      </c>
      <c r="BN3" s="12" t="s">
        <v>74</v>
      </c>
      <c r="BO3" s="12" t="s">
        <v>74</v>
      </c>
      <c r="BP3" s="12" t="s">
        <v>12954</v>
      </c>
      <c r="BQ3" s="12" t="s">
        <v>12955</v>
      </c>
      <c r="BR3" s="12" t="s">
        <v>12946</v>
      </c>
      <c r="BS3" s="12" t="s">
        <v>7934</v>
      </c>
      <c r="BT3" s="12">
        <v>0</v>
      </c>
    </row>
    <row r="4" spans="1:72" x14ac:dyDescent="0.25">
      <c r="A4" s="12" t="s">
        <v>72</v>
      </c>
      <c r="B4" s="12" t="s">
        <v>8258</v>
      </c>
      <c r="C4" s="12" t="s">
        <v>74</v>
      </c>
      <c r="D4" s="12" t="s">
        <v>74</v>
      </c>
      <c r="E4" s="12" t="s">
        <v>74</v>
      </c>
      <c r="F4" s="12" t="s">
        <v>8259</v>
      </c>
      <c r="G4" s="12" t="s">
        <v>74</v>
      </c>
      <c r="H4" s="12" t="s">
        <v>74</v>
      </c>
      <c r="I4" s="12" t="s">
        <v>8260</v>
      </c>
      <c r="J4" s="12" t="s">
        <v>8261</v>
      </c>
      <c r="K4" s="12" t="s">
        <v>74</v>
      </c>
      <c r="L4" s="12" t="s">
        <v>74</v>
      </c>
      <c r="M4" s="12" t="s">
        <v>78</v>
      </c>
      <c r="N4" s="12" t="s">
        <v>79</v>
      </c>
      <c r="O4" s="12" t="s">
        <v>74</v>
      </c>
      <c r="P4" s="12" t="s">
        <v>74</v>
      </c>
      <c r="Q4" s="12" t="s">
        <v>74</v>
      </c>
      <c r="R4" s="12" t="s">
        <v>74</v>
      </c>
      <c r="S4" s="12" t="s">
        <v>74</v>
      </c>
      <c r="T4" s="12" t="s">
        <v>8262</v>
      </c>
      <c r="U4" s="12" t="s">
        <v>8263</v>
      </c>
      <c r="V4" s="12" t="s">
        <v>8264</v>
      </c>
      <c r="W4" s="12" t="s">
        <v>8265</v>
      </c>
      <c r="X4" s="12" t="s">
        <v>8266</v>
      </c>
      <c r="Y4" s="12" t="s">
        <v>8267</v>
      </c>
      <c r="Z4" s="12" t="s">
        <v>8268</v>
      </c>
      <c r="AA4" s="12" t="s">
        <v>12972</v>
      </c>
      <c r="AB4" s="12" t="s">
        <v>12973</v>
      </c>
      <c r="AC4" s="12" t="s">
        <v>74</v>
      </c>
      <c r="AD4" s="12" t="s">
        <v>74</v>
      </c>
      <c r="AE4" s="12" t="s">
        <v>74</v>
      </c>
      <c r="AF4" s="12" t="s">
        <v>74</v>
      </c>
      <c r="AG4" s="12">
        <v>47</v>
      </c>
      <c r="AH4" s="12">
        <v>95</v>
      </c>
      <c r="AI4" s="12">
        <v>98</v>
      </c>
      <c r="AJ4" s="12">
        <v>15</v>
      </c>
      <c r="AK4" s="12">
        <v>160</v>
      </c>
      <c r="AL4" s="12" t="s">
        <v>715</v>
      </c>
      <c r="AM4" s="12" t="s">
        <v>716</v>
      </c>
      <c r="AN4" s="12" t="s">
        <v>717</v>
      </c>
      <c r="AO4" s="12" t="s">
        <v>8271</v>
      </c>
      <c r="AP4" s="12" t="s">
        <v>8272</v>
      </c>
      <c r="AQ4" s="12" t="s">
        <v>74</v>
      </c>
      <c r="AR4" s="12" t="s">
        <v>8273</v>
      </c>
      <c r="AS4" s="12" t="s">
        <v>8274</v>
      </c>
      <c r="AT4" s="12" t="s">
        <v>4129</v>
      </c>
      <c r="AU4" s="12">
        <v>2020</v>
      </c>
      <c r="AV4" s="12">
        <v>30</v>
      </c>
      <c r="AW4" s="12">
        <v>3</v>
      </c>
      <c r="AX4" s="12" t="s">
        <v>74</v>
      </c>
      <c r="AY4" s="12" t="s">
        <v>74</v>
      </c>
      <c r="AZ4" s="12" t="s">
        <v>74</v>
      </c>
      <c r="BA4" s="12" t="s">
        <v>74</v>
      </c>
      <c r="BB4" s="12">
        <v>289</v>
      </c>
      <c r="BC4" s="12">
        <v>314</v>
      </c>
      <c r="BD4" s="12" t="s">
        <v>74</v>
      </c>
      <c r="BE4" s="12" t="s">
        <v>8275</v>
      </c>
      <c r="BF4" s="12">
        <v>0</v>
      </c>
      <c r="BG4" s="12" t="s">
        <v>74</v>
      </c>
      <c r="BH4" s="12" t="s">
        <v>8276</v>
      </c>
      <c r="BI4" s="12">
        <v>26</v>
      </c>
      <c r="BJ4" s="12" t="s">
        <v>1023</v>
      </c>
      <c r="BK4" s="12" t="s">
        <v>183</v>
      </c>
      <c r="BL4" s="12" t="s">
        <v>265</v>
      </c>
      <c r="BM4" s="12" t="s">
        <v>8277</v>
      </c>
      <c r="BN4" s="12" t="s">
        <v>74</v>
      </c>
      <c r="BO4" s="12" t="s">
        <v>74</v>
      </c>
      <c r="BP4" s="12" t="s">
        <v>74</v>
      </c>
      <c r="BQ4" s="12" t="s">
        <v>74</v>
      </c>
      <c r="BR4" s="12" t="s">
        <v>12946</v>
      </c>
      <c r="BS4" s="12" t="s">
        <v>8278</v>
      </c>
      <c r="BT4" s="12">
        <v>0</v>
      </c>
    </row>
    <row r="5" spans="1:72" x14ac:dyDescent="0.25">
      <c r="A5" s="12" t="s">
        <v>72</v>
      </c>
      <c r="B5" s="12" t="s">
        <v>10012</v>
      </c>
      <c r="C5" s="12" t="s">
        <v>74</v>
      </c>
      <c r="D5" s="12" t="s">
        <v>74</v>
      </c>
      <c r="E5" s="12" t="s">
        <v>74</v>
      </c>
      <c r="F5" s="12" t="s">
        <v>10013</v>
      </c>
      <c r="G5" s="12" t="s">
        <v>74</v>
      </c>
      <c r="H5" s="12" t="s">
        <v>74</v>
      </c>
      <c r="I5" s="12" t="s">
        <v>10014</v>
      </c>
      <c r="J5" s="12" t="s">
        <v>10015</v>
      </c>
      <c r="K5" s="12" t="s">
        <v>74</v>
      </c>
      <c r="L5" s="12" t="s">
        <v>74</v>
      </c>
      <c r="M5" s="12" t="s">
        <v>78</v>
      </c>
      <c r="N5" s="12" t="s">
        <v>79</v>
      </c>
      <c r="O5" s="12" t="s">
        <v>74</v>
      </c>
      <c r="P5" s="12" t="s">
        <v>74</v>
      </c>
      <c r="Q5" s="12" t="s">
        <v>74</v>
      </c>
      <c r="R5" s="12" t="s">
        <v>74</v>
      </c>
      <c r="S5" s="12" t="s">
        <v>74</v>
      </c>
      <c r="T5" s="12" t="s">
        <v>10016</v>
      </c>
      <c r="U5" s="12" t="s">
        <v>10017</v>
      </c>
      <c r="V5" s="12" t="s">
        <v>10018</v>
      </c>
      <c r="W5" s="12" t="s">
        <v>10019</v>
      </c>
      <c r="X5" s="12" t="s">
        <v>10020</v>
      </c>
      <c r="Y5" s="12" t="s">
        <v>10021</v>
      </c>
      <c r="Z5" s="12" t="s">
        <v>10022</v>
      </c>
      <c r="AA5" s="12" t="s">
        <v>10023</v>
      </c>
      <c r="AB5" s="12" t="s">
        <v>10024</v>
      </c>
      <c r="AC5" s="12" t="s">
        <v>74</v>
      </c>
      <c r="AD5" s="12" t="s">
        <v>74</v>
      </c>
      <c r="AE5" s="12" t="s">
        <v>74</v>
      </c>
      <c r="AF5" s="12" t="s">
        <v>74</v>
      </c>
      <c r="AG5" s="12">
        <v>78</v>
      </c>
      <c r="AH5" s="12">
        <v>60</v>
      </c>
      <c r="AI5" s="12">
        <v>66</v>
      </c>
      <c r="AJ5" s="12">
        <v>4</v>
      </c>
      <c r="AK5" s="12">
        <v>110</v>
      </c>
      <c r="AL5" s="12" t="s">
        <v>715</v>
      </c>
      <c r="AM5" s="12" t="s">
        <v>716</v>
      </c>
      <c r="AN5" s="12" t="s">
        <v>717</v>
      </c>
      <c r="AO5" s="12" t="s">
        <v>10025</v>
      </c>
      <c r="AP5" s="12" t="s">
        <v>10026</v>
      </c>
      <c r="AQ5" s="12" t="s">
        <v>74</v>
      </c>
      <c r="AR5" s="12" t="s">
        <v>10027</v>
      </c>
      <c r="AS5" s="12" t="s">
        <v>10028</v>
      </c>
      <c r="AT5" s="12" t="s">
        <v>74</v>
      </c>
      <c r="AU5" s="12">
        <v>2018</v>
      </c>
      <c r="AV5" s="12">
        <v>29</v>
      </c>
      <c r="AW5" s="12">
        <v>2</v>
      </c>
      <c r="AX5" s="12" t="s">
        <v>74</v>
      </c>
      <c r="AY5" s="12" t="s">
        <v>74</v>
      </c>
      <c r="AZ5" s="12" t="s">
        <v>1020</v>
      </c>
      <c r="BA5" s="12" t="s">
        <v>74</v>
      </c>
      <c r="BB5" s="12">
        <v>555</v>
      </c>
      <c r="BC5" s="12">
        <v>574</v>
      </c>
      <c r="BD5" s="12" t="s">
        <v>74</v>
      </c>
      <c r="BE5" s="12" t="s">
        <v>10029</v>
      </c>
      <c r="BF5" s="12">
        <v>0</v>
      </c>
      <c r="BG5" s="12" t="s">
        <v>74</v>
      </c>
      <c r="BH5" s="12" t="s">
        <v>74</v>
      </c>
      <c r="BI5" s="12">
        <v>20</v>
      </c>
      <c r="BJ5" s="12" t="s">
        <v>315</v>
      </c>
      <c r="BK5" s="12" t="s">
        <v>156</v>
      </c>
      <c r="BL5" s="12" t="s">
        <v>265</v>
      </c>
      <c r="BM5" s="12" t="s">
        <v>10030</v>
      </c>
      <c r="BN5" s="12" t="s">
        <v>74</v>
      </c>
      <c r="BO5" s="12" t="s">
        <v>4521</v>
      </c>
      <c r="BP5" s="12" t="s">
        <v>74</v>
      </c>
      <c r="BQ5" s="12" t="s">
        <v>74</v>
      </c>
      <c r="BR5" s="12" t="s">
        <v>12946</v>
      </c>
      <c r="BS5" s="12" t="s">
        <v>10031</v>
      </c>
      <c r="BT5" s="12">
        <v>0</v>
      </c>
    </row>
    <row r="6" spans="1:72" x14ac:dyDescent="0.25">
      <c r="A6" s="12" t="s">
        <v>72</v>
      </c>
      <c r="B6" s="12" t="s">
        <v>3780</v>
      </c>
      <c r="C6" s="12" t="s">
        <v>74</v>
      </c>
      <c r="D6" s="12" t="s">
        <v>74</v>
      </c>
      <c r="E6" s="12" t="s">
        <v>74</v>
      </c>
      <c r="F6" s="12" t="s">
        <v>3781</v>
      </c>
      <c r="G6" s="12" t="s">
        <v>74</v>
      </c>
      <c r="H6" s="12" t="s">
        <v>74</v>
      </c>
      <c r="I6" s="12" t="s">
        <v>3782</v>
      </c>
      <c r="J6" s="12" t="s">
        <v>77</v>
      </c>
      <c r="K6" s="12" t="s">
        <v>74</v>
      </c>
      <c r="L6" s="12" t="s">
        <v>74</v>
      </c>
      <c r="M6" s="12" t="s">
        <v>78</v>
      </c>
      <c r="N6" s="12" t="s">
        <v>79</v>
      </c>
      <c r="O6" s="12" t="s">
        <v>74</v>
      </c>
      <c r="P6" s="12" t="s">
        <v>74</v>
      </c>
      <c r="Q6" s="12" t="s">
        <v>74</v>
      </c>
      <c r="R6" s="12" t="s">
        <v>74</v>
      </c>
      <c r="S6" s="12" t="s">
        <v>74</v>
      </c>
      <c r="T6" s="12" t="s">
        <v>3783</v>
      </c>
      <c r="U6" s="12" t="s">
        <v>3784</v>
      </c>
      <c r="V6" s="12" t="s">
        <v>3785</v>
      </c>
      <c r="W6" s="12" t="s">
        <v>3786</v>
      </c>
      <c r="X6" s="12" t="s">
        <v>12989</v>
      </c>
      <c r="Y6" s="12" t="s">
        <v>3788</v>
      </c>
      <c r="Z6" s="12" t="s">
        <v>3789</v>
      </c>
      <c r="AA6" s="12" t="s">
        <v>12990</v>
      </c>
      <c r="AB6" s="12" t="s">
        <v>12991</v>
      </c>
      <c r="AC6" s="12" t="s">
        <v>3792</v>
      </c>
      <c r="AD6" s="12" t="s">
        <v>3793</v>
      </c>
      <c r="AE6" s="12" t="s">
        <v>3794</v>
      </c>
      <c r="AF6" s="12" t="s">
        <v>74</v>
      </c>
      <c r="AG6" s="12">
        <v>90</v>
      </c>
      <c r="AH6" s="12">
        <v>44</v>
      </c>
      <c r="AI6" s="12">
        <v>45</v>
      </c>
      <c r="AJ6" s="12">
        <v>5</v>
      </c>
      <c r="AK6" s="12">
        <v>25</v>
      </c>
      <c r="AL6" s="12" t="s">
        <v>92</v>
      </c>
      <c r="AM6" s="12" t="s">
        <v>93</v>
      </c>
      <c r="AN6" s="12" t="s">
        <v>94</v>
      </c>
      <c r="AO6" s="12" t="s">
        <v>95</v>
      </c>
      <c r="AP6" s="12" t="s">
        <v>96</v>
      </c>
      <c r="AQ6" s="12" t="s">
        <v>74</v>
      </c>
      <c r="AR6" s="12" t="s">
        <v>97</v>
      </c>
      <c r="AS6" s="12" t="s">
        <v>98</v>
      </c>
      <c r="AT6" s="12" t="s">
        <v>356</v>
      </c>
      <c r="AU6" s="12">
        <v>2022</v>
      </c>
      <c r="AV6" s="12">
        <v>171</v>
      </c>
      <c r="AW6" s="12" t="s">
        <v>74</v>
      </c>
      <c r="AX6" s="12" t="s">
        <v>74</v>
      </c>
      <c r="AY6" s="12" t="s">
        <v>74</v>
      </c>
      <c r="AZ6" s="12" t="s">
        <v>74</v>
      </c>
      <c r="BA6" s="12" t="s">
        <v>74</v>
      </c>
      <c r="BB6" s="12" t="s">
        <v>74</v>
      </c>
      <c r="BC6" s="12" t="s">
        <v>74</v>
      </c>
      <c r="BD6" s="12">
        <v>108428</v>
      </c>
      <c r="BE6" s="12" t="s">
        <v>3795</v>
      </c>
      <c r="BF6" s="12">
        <v>0</v>
      </c>
      <c r="BG6" s="12" t="s">
        <v>74</v>
      </c>
      <c r="BH6" s="12" t="s">
        <v>3746</v>
      </c>
      <c r="BI6" s="12">
        <v>12</v>
      </c>
      <c r="BJ6" s="12" t="s">
        <v>101</v>
      </c>
      <c r="BK6" s="12" t="s">
        <v>102</v>
      </c>
      <c r="BL6" s="12" t="s">
        <v>103</v>
      </c>
      <c r="BM6" s="12" t="s">
        <v>3796</v>
      </c>
      <c r="BN6" s="12" t="s">
        <v>74</v>
      </c>
      <c r="BO6" s="12" t="s">
        <v>1539</v>
      </c>
      <c r="BP6" s="12" t="s">
        <v>74</v>
      </c>
      <c r="BQ6" s="12" t="s">
        <v>74</v>
      </c>
      <c r="BR6" s="12" t="s">
        <v>12946</v>
      </c>
      <c r="BS6" s="12" t="s">
        <v>3797</v>
      </c>
      <c r="BT6" s="12">
        <v>0</v>
      </c>
    </row>
    <row r="7" spans="1:72" x14ac:dyDescent="0.25">
      <c r="A7" s="12" t="s">
        <v>72</v>
      </c>
      <c r="B7" s="12" t="s">
        <v>4763</v>
      </c>
      <c r="C7" s="12" t="s">
        <v>74</v>
      </c>
      <c r="D7" s="12" t="s">
        <v>74</v>
      </c>
      <c r="E7" s="12" t="s">
        <v>74</v>
      </c>
      <c r="F7" s="12" t="s">
        <v>4764</v>
      </c>
      <c r="G7" s="12" t="s">
        <v>74</v>
      </c>
      <c r="H7" s="12" t="s">
        <v>74</v>
      </c>
      <c r="I7" s="12" t="s">
        <v>4765</v>
      </c>
      <c r="J7" s="12" t="s">
        <v>4766</v>
      </c>
      <c r="K7" s="12" t="s">
        <v>74</v>
      </c>
      <c r="L7" s="12" t="s">
        <v>74</v>
      </c>
      <c r="M7" s="12" t="s">
        <v>78</v>
      </c>
      <c r="N7" s="12" t="s">
        <v>79</v>
      </c>
      <c r="O7" s="12" t="s">
        <v>74</v>
      </c>
      <c r="P7" s="12" t="s">
        <v>74</v>
      </c>
      <c r="Q7" s="12" t="s">
        <v>74</v>
      </c>
      <c r="R7" s="12" t="s">
        <v>74</v>
      </c>
      <c r="S7" s="12" t="s">
        <v>74</v>
      </c>
      <c r="T7" s="12" t="s">
        <v>4767</v>
      </c>
      <c r="U7" s="12" t="s">
        <v>4768</v>
      </c>
      <c r="V7" s="12" t="s">
        <v>4769</v>
      </c>
      <c r="W7" s="12" t="s">
        <v>4770</v>
      </c>
      <c r="X7" s="12" t="s">
        <v>4771</v>
      </c>
      <c r="Y7" s="12" t="s">
        <v>4772</v>
      </c>
      <c r="Z7" s="12" t="s">
        <v>4773</v>
      </c>
      <c r="AA7" s="12" t="s">
        <v>13335</v>
      </c>
      <c r="AB7" s="12" t="s">
        <v>4774</v>
      </c>
      <c r="AC7" s="12" t="s">
        <v>74</v>
      </c>
      <c r="AD7" s="12" t="s">
        <v>74</v>
      </c>
      <c r="AE7" s="12" t="s">
        <v>74</v>
      </c>
      <c r="AF7" s="12" t="s">
        <v>74</v>
      </c>
      <c r="AG7" s="12">
        <v>79</v>
      </c>
      <c r="AH7" s="12">
        <v>27</v>
      </c>
      <c r="AI7" s="12">
        <v>30</v>
      </c>
      <c r="AJ7" s="12">
        <v>19</v>
      </c>
      <c r="AK7" s="12">
        <v>208</v>
      </c>
      <c r="AL7" s="12" t="s">
        <v>4775</v>
      </c>
      <c r="AM7" s="12" t="s">
        <v>4776</v>
      </c>
      <c r="AN7" s="12" t="s">
        <v>4777</v>
      </c>
      <c r="AO7" s="12" t="s">
        <v>4778</v>
      </c>
      <c r="AP7" s="12" t="s">
        <v>4779</v>
      </c>
      <c r="AQ7" s="12" t="s">
        <v>74</v>
      </c>
      <c r="AR7" s="12" t="s">
        <v>4780</v>
      </c>
      <c r="AS7" s="12" t="s">
        <v>4781</v>
      </c>
      <c r="AT7" s="12" t="s">
        <v>1302</v>
      </c>
      <c r="AU7" s="12">
        <v>2022</v>
      </c>
      <c r="AV7" s="12">
        <v>24</v>
      </c>
      <c r="AW7" s="12">
        <v>3</v>
      </c>
      <c r="AX7" s="12" t="s">
        <v>74</v>
      </c>
      <c r="AY7" s="12" t="s">
        <v>74</v>
      </c>
      <c r="AZ7" s="12" t="s">
        <v>74</v>
      </c>
      <c r="BA7" s="12" t="s">
        <v>74</v>
      </c>
      <c r="BB7" s="12">
        <v>1388</v>
      </c>
      <c r="BC7" s="12">
        <v>1405</v>
      </c>
      <c r="BD7" s="12" t="s">
        <v>74</v>
      </c>
      <c r="BE7" s="12" t="s">
        <v>4782</v>
      </c>
      <c r="BF7" s="12">
        <v>0</v>
      </c>
      <c r="BG7" s="12" t="s">
        <v>74</v>
      </c>
      <c r="BH7" s="12" t="s">
        <v>4783</v>
      </c>
      <c r="BI7" s="12">
        <v>18</v>
      </c>
      <c r="BJ7" s="12" t="s">
        <v>4784</v>
      </c>
      <c r="BK7" s="12" t="s">
        <v>211</v>
      </c>
      <c r="BL7" s="12" t="s">
        <v>4785</v>
      </c>
      <c r="BM7" s="12" t="s">
        <v>4786</v>
      </c>
      <c r="BN7" s="12" t="s">
        <v>74</v>
      </c>
      <c r="BO7" s="12" t="s">
        <v>74</v>
      </c>
      <c r="BP7" s="12" t="s">
        <v>74</v>
      </c>
      <c r="BQ7" s="12" t="s">
        <v>74</v>
      </c>
      <c r="BR7" s="12" t="s">
        <v>12946</v>
      </c>
      <c r="BS7" s="12" t="s">
        <v>4787</v>
      </c>
      <c r="BT7" s="12">
        <v>0</v>
      </c>
    </row>
    <row r="8" spans="1:72" x14ac:dyDescent="0.25">
      <c r="A8" s="12" t="s">
        <v>72</v>
      </c>
      <c r="B8" s="12" t="s">
        <v>5424</v>
      </c>
      <c r="C8" s="12" t="s">
        <v>74</v>
      </c>
      <c r="D8" s="12" t="s">
        <v>74</v>
      </c>
      <c r="E8" s="12" t="s">
        <v>74</v>
      </c>
      <c r="F8" s="12" t="s">
        <v>5425</v>
      </c>
      <c r="G8" s="12" t="s">
        <v>74</v>
      </c>
      <c r="H8" s="12" t="s">
        <v>74</v>
      </c>
      <c r="I8" s="12" t="s">
        <v>5426</v>
      </c>
      <c r="J8" s="12" t="s">
        <v>5427</v>
      </c>
      <c r="K8" s="12" t="s">
        <v>74</v>
      </c>
      <c r="L8" s="12" t="s">
        <v>74</v>
      </c>
      <c r="M8" s="12" t="s">
        <v>78</v>
      </c>
      <c r="N8" s="12" t="s">
        <v>79</v>
      </c>
      <c r="O8" s="12" t="s">
        <v>74</v>
      </c>
      <c r="P8" s="12" t="s">
        <v>74</v>
      </c>
      <c r="Q8" s="12" t="s">
        <v>74</v>
      </c>
      <c r="R8" s="12" t="s">
        <v>74</v>
      </c>
      <c r="S8" s="12" t="s">
        <v>74</v>
      </c>
      <c r="T8" s="12" t="s">
        <v>5428</v>
      </c>
      <c r="U8" s="12" t="s">
        <v>5429</v>
      </c>
      <c r="V8" s="12" t="s">
        <v>5430</v>
      </c>
      <c r="W8" s="12" t="s">
        <v>5431</v>
      </c>
      <c r="X8" s="12" t="s">
        <v>5432</v>
      </c>
      <c r="Y8" s="12" t="s">
        <v>5433</v>
      </c>
      <c r="Z8" s="12" t="s">
        <v>5434</v>
      </c>
      <c r="AA8" s="12" t="s">
        <v>13004</v>
      </c>
      <c r="AB8" s="12" t="s">
        <v>13005</v>
      </c>
      <c r="AC8" s="12" t="s">
        <v>5437</v>
      </c>
      <c r="AD8" s="12" t="s">
        <v>5438</v>
      </c>
      <c r="AE8" s="12" t="s">
        <v>5439</v>
      </c>
      <c r="AF8" s="12" t="s">
        <v>74</v>
      </c>
      <c r="AG8" s="12">
        <v>151</v>
      </c>
      <c r="AH8" s="12">
        <v>27</v>
      </c>
      <c r="AI8" s="12">
        <v>27</v>
      </c>
      <c r="AJ8" s="12">
        <v>5</v>
      </c>
      <c r="AK8" s="12">
        <v>68</v>
      </c>
      <c r="AL8" s="12" t="s">
        <v>202</v>
      </c>
      <c r="AM8" s="12" t="s">
        <v>203</v>
      </c>
      <c r="AN8" s="12" t="s">
        <v>204</v>
      </c>
      <c r="AO8" s="12" t="s">
        <v>74</v>
      </c>
      <c r="AP8" s="12" t="s">
        <v>5440</v>
      </c>
      <c r="AQ8" s="12" t="s">
        <v>74</v>
      </c>
      <c r="AR8" s="12" t="s">
        <v>5427</v>
      </c>
      <c r="AS8" s="12" t="s">
        <v>5441</v>
      </c>
      <c r="AT8" s="12" t="s">
        <v>476</v>
      </c>
      <c r="AU8" s="12">
        <v>2021</v>
      </c>
      <c r="AV8" s="12">
        <v>14</v>
      </c>
      <c r="AW8" s="12">
        <v>23</v>
      </c>
      <c r="AX8" s="12" t="s">
        <v>74</v>
      </c>
      <c r="AY8" s="12" t="s">
        <v>74</v>
      </c>
      <c r="AZ8" s="12" t="s">
        <v>74</v>
      </c>
      <c r="BA8" s="12" t="s">
        <v>74</v>
      </c>
      <c r="BB8" s="12" t="s">
        <v>74</v>
      </c>
      <c r="BC8" s="12" t="s">
        <v>74</v>
      </c>
      <c r="BD8" s="12">
        <v>7997</v>
      </c>
      <c r="BE8" s="12" t="s">
        <v>5442</v>
      </c>
      <c r="BF8" s="12">
        <v>0</v>
      </c>
      <c r="BG8" s="12" t="s">
        <v>74</v>
      </c>
      <c r="BH8" s="12" t="s">
        <v>74</v>
      </c>
      <c r="BI8" s="12">
        <v>21</v>
      </c>
      <c r="BJ8" s="12" t="s">
        <v>5443</v>
      </c>
      <c r="BK8" s="12" t="s">
        <v>211</v>
      </c>
      <c r="BL8" s="12" t="s">
        <v>5443</v>
      </c>
      <c r="BM8" s="12" t="s">
        <v>5444</v>
      </c>
      <c r="BN8" s="12" t="s">
        <v>74</v>
      </c>
      <c r="BO8" s="12" t="s">
        <v>186</v>
      </c>
      <c r="BP8" s="12" t="s">
        <v>74</v>
      </c>
      <c r="BQ8" s="12" t="s">
        <v>74</v>
      </c>
      <c r="BR8" s="12" t="s">
        <v>12946</v>
      </c>
      <c r="BS8" s="12" t="s">
        <v>5445</v>
      </c>
      <c r="BT8" s="12">
        <v>0</v>
      </c>
    </row>
    <row r="9" spans="1:72" x14ac:dyDescent="0.25">
      <c r="A9" s="12" t="s">
        <v>72</v>
      </c>
      <c r="B9" s="12" t="s">
        <v>6037</v>
      </c>
      <c r="C9" s="12" t="s">
        <v>74</v>
      </c>
      <c r="D9" s="12" t="s">
        <v>74</v>
      </c>
      <c r="E9" s="12" t="s">
        <v>74</v>
      </c>
      <c r="F9" s="12" t="s">
        <v>6038</v>
      </c>
      <c r="G9" s="12" t="s">
        <v>74</v>
      </c>
      <c r="H9" s="12" t="s">
        <v>74</v>
      </c>
      <c r="I9" s="12" t="s">
        <v>6039</v>
      </c>
      <c r="J9" s="12" t="s">
        <v>6040</v>
      </c>
      <c r="K9" s="12" t="s">
        <v>74</v>
      </c>
      <c r="L9" s="12" t="s">
        <v>74</v>
      </c>
      <c r="M9" s="12" t="s">
        <v>78</v>
      </c>
      <c r="N9" s="12" t="s">
        <v>79</v>
      </c>
      <c r="O9" s="12" t="s">
        <v>74</v>
      </c>
      <c r="P9" s="12" t="s">
        <v>74</v>
      </c>
      <c r="Q9" s="12" t="s">
        <v>74</v>
      </c>
      <c r="R9" s="12" t="s">
        <v>74</v>
      </c>
      <c r="S9" s="12" t="s">
        <v>74</v>
      </c>
      <c r="T9" s="12" t="s">
        <v>6041</v>
      </c>
      <c r="U9" s="12" t="s">
        <v>74</v>
      </c>
      <c r="V9" s="12" t="s">
        <v>6042</v>
      </c>
      <c r="W9" s="12" t="s">
        <v>6043</v>
      </c>
      <c r="X9" s="12" t="s">
        <v>6044</v>
      </c>
      <c r="Y9" s="12" t="s">
        <v>6045</v>
      </c>
      <c r="Z9" s="12" t="s">
        <v>6046</v>
      </c>
      <c r="AA9" s="12" t="s">
        <v>13006</v>
      </c>
      <c r="AB9" s="12" t="s">
        <v>6048</v>
      </c>
      <c r="AC9" s="12" t="s">
        <v>13007</v>
      </c>
      <c r="AD9" s="12" t="s">
        <v>13008</v>
      </c>
      <c r="AE9" s="12" t="s">
        <v>6051</v>
      </c>
      <c r="AF9" s="12" t="s">
        <v>74</v>
      </c>
      <c r="AG9" s="12">
        <v>58</v>
      </c>
      <c r="AH9" s="12">
        <v>27</v>
      </c>
      <c r="AI9" s="12">
        <v>27</v>
      </c>
      <c r="AJ9" s="12">
        <v>0</v>
      </c>
      <c r="AK9" s="12">
        <v>6</v>
      </c>
      <c r="AL9" s="12" t="s">
        <v>6052</v>
      </c>
      <c r="AM9" s="12" t="s">
        <v>6053</v>
      </c>
      <c r="AN9" s="12" t="s">
        <v>6054</v>
      </c>
      <c r="AO9" s="12" t="s">
        <v>6055</v>
      </c>
      <c r="AP9" s="12" t="s">
        <v>6056</v>
      </c>
      <c r="AQ9" s="12" t="s">
        <v>74</v>
      </c>
      <c r="AR9" s="12" t="s">
        <v>6057</v>
      </c>
      <c r="AS9" s="12" t="s">
        <v>6058</v>
      </c>
      <c r="AT9" s="12" t="s">
        <v>476</v>
      </c>
      <c r="AU9" s="12">
        <v>2021</v>
      </c>
      <c r="AV9" s="12">
        <v>15</v>
      </c>
      <c r="AW9" s="12">
        <v>2</v>
      </c>
      <c r="AX9" s="12" t="s">
        <v>74</v>
      </c>
      <c r="AY9" s="12" t="s">
        <v>74</v>
      </c>
      <c r="AZ9" s="12" t="s">
        <v>1020</v>
      </c>
      <c r="BA9" s="12" t="s">
        <v>74</v>
      </c>
      <c r="BB9" s="12">
        <v>381</v>
      </c>
      <c r="BC9" s="12">
        <v>411</v>
      </c>
      <c r="BD9" s="12" t="s">
        <v>74</v>
      </c>
      <c r="BE9" s="12" t="s">
        <v>6059</v>
      </c>
      <c r="BF9" s="12">
        <v>0</v>
      </c>
      <c r="BG9" s="12" t="s">
        <v>74</v>
      </c>
      <c r="BH9" s="12" t="s">
        <v>6012</v>
      </c>
      <c r="BI9" s="12">
        <v>31</v>
      </c>
      <c r="BJ9" s="12" t="s">
        <v>1217</v>
      </c>
      <c r="BK9" s="12" t="s">
        <v>183</v>
      </c>
      <c r="BL9" s="12" t="s">
        <v>399</v>
      </c>
      <c r="BM9" s="12" t="s">
        <v>6060</v>
      </c>
      <c r="BN9" s="12">
        <v>35506054</v>
      </c>
      <c r="BO9" s="12" t="s">
        <v>13009</v>
      </c>
      <c r="BP9" s="12" t="s">
        <v>74</v>
      </c>
      <c r="BQ9" s="12" t="s">
        <v>74</v>
      </c>
      <c r="BR9" s="12" t="s">
        <v>12946</v>
      </c>
      <c r="BS9" s="12" t="s">
        <v>6062</v>
      </c>
      <c r="BT9" s="12">
        <v>0</v>
      </c>
    </row>
    <row r="10" spans="1:72" x14ac:dyDescent="0.25">
      <c r="A10" s="12" t="s">
        <v>72</v>
      </c>
      <c r="B10" s="12" t="s">
        <v>7508</v>
      </c>
      <c r="C10" s="12" t="s">
        <v>74</v>
      </c>
      <c r="D10" s="12" t="s">
        <v>74</v>
      </c>
      <c r="E10" s="12" t="s">
        <v>74</v>
      </c>
      <c r="F10" s="12" t="s">
        <v>7509</v>
      </c>
      <c r="G10" s="12" t="s">
        <v>74</v>
      </c>
      <c r="H10" s="12" t="s">
        <v>74</v>
      </c>
      <c r="I10" s="12" t="s">
        <v>7510</v>
      </c>
      <c r="J10" s="12" t="s">
        <v>6204</v>
      </c>
      <c r="K10" s="12" t="s">
        <v>74</v>
      </c>
      <c r="L10" s="12" t="s">
        <v>74</v>
      </c>
      <c r="M10" s="12" t="s">
        <v>78</v>
      </c>
      <c r="N10" s="12" t="s">
        <v>79</v>
      </c>
      <c r="O10" s="12" t="s">
        <v>74</v>
      </c>
      <c r="P10" s="12" t="s">
        <v>74</v>
      </c>
      <c r="Q10" s="12" t="s">
        <v>74</v>
      </c>
      <c r="R10" s="12" t="s">
        <v>74</v>
      </c>
      <c r="S10" s="12" t="s">
        <v>74</v>
      </c>
      <c r="T10" s="12" t="s">
        <v>7511</v>
      </c>
      <c r="U10" s="12" t="s">
        <v>74</v>
      </c>
      <c r="V10" s="12" t="s">
        <v>7512</v>
      </c>
      <c r="W10" s="12" t="s">
        <v>7513</v>
      </c>
      <c r="X10" s="12" t="s">
        <v>7514</v>
      </c>
      <c r="Y10" s="12" t="s">
        <v>7515</v>
      </c>
      <c r="Z10" s="12" t="s">
        <v>7516</v>
      </c>
      <c r="AA10" s="12" t="s">
        <v>13010</v>
      </c>
      <c r="AB10" s="12" t="s">
        <v>7517</v>
      </c>
      <c r="AC10" s="12" t="s">
        <v>74</v>
      </c>
      <c r="AD10" s="12" t="s">
        <v>74</v>
      </c>
      <c r="AE10" s="12" t="s">
        <v>74</v>
      </c>
      <c r="AF10" s="12" t="s">
        <v>74</v>
      </c>
      <c r="AG10" s="12">
        <v>44</v>
      </c>
      <c r="AH10" s="12">
        <v>27</v>
      </c>
      <c r="AI10" s="12">
        <v>28</v>
      </c>
      <c r="AJ10" s="12">
        <v>13</v>
      </c>
      <c r="AK10" s="12">
        <v>165</v>
      </c>
      <c r="AL10" s="12" t="s">
        <v>715</v>
      </c>
      <c r="AM10" s="12" t="s">
        <v>4411</v>
      </c>
      <c r="AN10" s="12" t="s">
        <v>12985</v>
      </c>
      <c r="AO10" s="12" t="s">
        <v>6216</v>
      </c>
      <c r="AP10" s="12" t="s">
        <v>6217</v>
      </c>
      <c r="AQ10" s="12" t="s">
        <v>74</v>
      </c>
      <c r="AR10" s="12" t="s">
        <v>6218</v>
      </c>
      <c r="AS10" s="12" t="s">
        <v>6219</v>
      </c>
      <c r="AT10" s="12" t="s">
        <v>7518</v>
      </c>
      <c r="AU10" s="12">
        <v>2021</v>
      </c>
      <c r="AV10" s="12">
        <v>13</v>
      </c>
      <c r="AW10" s="12">
        <v>1</v>
      </c>
      <c r="AX10" s="12" t="s">
        <v>74</v>
      </c>
      <c r="AY10" s="12" t="s">
        <v>74</v>
      </c>
      <c r="AZ10" s="12" t="s">
        <v>74</v>
      </c>
      <c r="BA10" s="12" t="s">
        <v>74</v>
      </c>
      <c r="BB10" s="12">
        <v>17</v>
      </c>
      <c r="BC10" s="12">
        <v>33</v>
      </c>
      <c r="BD10" s="12" t="s">
        <v>74</v>
      </c>
      <c r="BE10" s="12" t="s">
        <v>7519</v>
      </c>
      <c r="BF10" s="12">
        <v>0</v>
      </c>
      <c r="BG10" s="12" t="s">
        <v>74</v>
      </c>
      <c r="BH10" s="12" t="s">
        <v>7520</v>
      </c>
      <c r="BI10" s="12">
        <v>17</v>
      </c>
      <c r="BJ10" s="12" t="s">
        <v>1023</v>
      </c>
      <c r="BK10" s="12" t="s">
        <v>183</v>
      </c>
      <c r="BL10" s="12" t="s">
        <v>265</v>
      </c>
      <c r="BM10" s="12" t="s">
        <v>7521</v>
      </c>
      <c r="BN10" s="12" t="s">
        <v>74</v>
      </c>
      <c r="BO10" s="12" t="s">
        <v>74</v>
      </c>
      <c r="BP10" s="12" t="s">
        <v>74</v>
      </c>
      <c r="BQ10" s="12" t="s">
        <v>74</v>
      </c>
      <c r="BR10" s="12" t="s">
        <v>12946</v>
      </c>
      <c r="BS10" s="12" t="s">
        <v>7522</v>
      </c>
      <c r="BT10" s="12">
        <v>0</v>
      </c>
    </row>
    <row r="11" spans="1:72" x14ac:dyDescent="0.25">
      <c r="A11" s="12" t="s">
        <v>72</v>
      </c>
      <c r="B11" s="12" t="s">
        <v>4822</v>
      </c>
      <c r="C11" s="12" t="s">
        <v>74</v>
      </c>
      <c r="D11" s="12" t="s">
        <v>74</v>
      </c>
      <c r="E11" s="12" t="s">
        <v>74</v>
      </c>
      <c r="F11" s="12" t="s">
        <v>4823</v>
      </c>
      <c r="G11" s="12" t="s">
        <v>74</v>
      </c>
      <c r="H11" s="12" t="s">
        <v>74</v>
      </c>
      <c r="I11" s="12" t="s">
        <v>4824</v>
      </c>
      <c r="J11" s="12" t="s">
        <v>4825</v>
      </c>
      <c r="K11" s="12" t="s">
        <v>74</v>
      </c>
      <c r="L11" s="12" t="s">
        <v>74</v>
      </c>
      <c r="M11" s="12" t="s">
        <v>78</v>
      </c>
      <c r="N11" s="12" t="s">
        <v>79</v>
      </c>
      <c r="O11" s="12" t="s">
        <v>74</v>
      </c>
      <c r="P11" s="12" t="s">
        <v>74</v>
      </c>
      <c r="Q11" s="12" t="s">
        <v>74</v>
      </c>
      <c r="R11" s="12" t="s">
        <v>74</v>
      </c>
      <c r="S11" s="12" t="s">
        <v>74</v>
      </c>
      <c r="T11" s="12" t="s">
        <v>4826</v>
      </c>
      <c r="U11" s="12" t="s">
        <v>4827</v>
      </c>
      <c r="V11" s="12" t="s">
        <v>4828</v>
      </c>
      <c r="W11" s="12" t="s">
        <v>4829</v>
      </c>
      <c r="X11" s="12" t="s">
        <v>4830</v>
      </c>
      <c r="Y11" s="12" t="s">
        <v>4831</v>
      </c>
      <c r="Z11" s="12" t="s">
        <v>4832</v>
      </c>
      <c r="AA11" s="12" t="s">
        <v>13015</v>
      </c>
      <c r="AB11" s="12" t="s">
        <v>13016</v>
      </c>
      <c r="AC11" s="12" t="s">
        <v>4835</v>
      </c>
      <c r="AD11" s="12" t="s">
        <v>4835</v>
      </c>
      <c r="AE11" s="12" t="s">
        <v>4836</v>
      </c>
      <c r="AF11" s="12" t="s">
        <v>74</v>
      </c>
      <c r="AG11" s="12">
        <v>88</v>
      </c>
      <c r="AH11" s="12">
        <v>25</v>
      </c>
      <c r="AI11" s="12">
        <v>25</v>
      </c>
      <c r="AJ11" s="12">
        <v>41</v>
      </c>
      <c r="AK11" s="12">
        <v>289</v>
      </c>
      <c r="AL11" s="12" t="s">
        <v>2153</v>
      </c>
      <c r="AM11" s="12" t="s">
        <v>2154</v>
      </c>
      <c r="AN11" s="12" t="s">
        <v>2155</v>
      </c>
      <c r="AO11" s="12" t="s">
        <v>4837</v>
      </c>
      <c r="AP11" s="12" t="s">
        <v>4838</v>
      </c>
      <c r="AQ11" s="12" t="s">
        <v>74</v>
      </c>
      <c r="AR11" s="12" t="s">
        <v>4839</v>
      </c>
      <c r="AS11" s="12" t="s">
        <v>4840</v>
      </c>
      <c r="AT11" s="12" t="s">
        <v>837</v>
      </c>
      <c r="AU11" s="12">
        <v>2023</v>
      </c>
      <c r="AV11" s="12">
        <v>70</v>
      </c>
      <c r="AW11" s="12">
        <v>7</v>
      </c>
      <c r="AX11" s="12" t="s">
        <v>74</v>
      </c>
      <c r="AY11" s="12" t="s">
        <v>74</v>
      </c>
      <c r="AZ11" s="12" t="s">
        <v>74</v>
      </c>
      <c r="BA11" s="12" t="s">
        <v>74</v>
      </c>
      <c r="BB11" s="12">
        <v>2493</v>
      </c>
      <c r="BC11" s="12">
        <v>2506</v>
      </c>
      <c r="BD11" s="12" t="s">
        <v>74</v>
      </c>
      <c r="BE11" s="12" t="s">
        <v>4841</v>
      </c>
      <c r="BF11" s="12">
        <v>0</v>
      </c>
      <c r="BG11" s="12" t="s">
        <v>74</v>
      </c>
      <c r="BH11" s="12" t="s">
        <v>4783</v>
      </c>
      <c r="BI11" s="12">
        <v>14</v>
      </c>
      <c r="BJ11" s="12" t="s">
        <v>4842</v>
      </c>
      <c r="BK11" s="12" t="s">
        <v>211</v>
      </c>
      <c r="BL11" s="12" t="s">
        <v>4843</v>
      </c>
      <c r="BM11" s="12" t="s">
        <v>4844</v>
      </c>
      <c r="BN11" s="12" t="s">
        <v>74</v>
      </c>
      <c r="BO11" s="12" t="s">
        <v>2623</v>
      </c>
      <c r="BP11" s="12" t="s">
        <v>74</v>
      </c>
      <c r="BQ11" s="12" t="s">
        <v>74</v>
      </c>
      <c r="BR11" s="12" t="s">
        <v>12946</v>
      </c>
      <c r="BS11" s="12" t="s">
        <v>4845</v>
      </c>
      <c r="BT11" s="12">
        <v>0</v>
      </c>
    </row>
    <row r="12" spans="1:72" x14ac:dyDescent="0.25">
      <c r="A12" s="12" t="s">
        <v>72</v>
      </c>
      <c r="B12" s="12" t="s">
        <v>6308</v>
      </c>
      <c r="C12" s="12" t="s">
        <v>74</v>
      </c>
      <c r="D12" s="12" t="s">
        <v>74</v>
      </c>
      <c r="E12" s="12" t="s">
        <v>74</v>
      </c>
      <c r="F12" s="12" t="s">
        <v>6309</v>
      </c>
      <c r="G12" s="12" t="s">
        <v>74</v>
      </c>
      <c r="H12" s="12" t="s">
        <v>74</v>
      </c>
      <c r="I12" s="12" t="s">
        <v>6310</v>
      </c>
      <c r="J12" s="12" t="s">
        <v>5427</v>
      </c>
      <c r="K12" s="12" t="s">
        <v>74</v>
      </c>
      <c r="L12" s="12" t="s">
        <v>74</v>
      </c>
      <c r="M12" s="12" t="s">
        <v>78</v>
      </c>
      <c r="N12" s="12" t="s">
        <v>79</v>
      </c>
      <c r="O12" s="12" t="s">
        <v>74</v>
      </c>
      <c r="P12" s="12" t="s">
        <v>74</v>
      </c>
      <c r="Q12" s="12" t="s">
        <v>74</v>
      </c>
      <c r="R12" s="12" t="s">
        <v>74</v>
      </c>
      <c r="S12" s="12" t="s">
        <v>74</v>
      </c>
      <c r="T12" s="12" t="s">
        <v>6311</v>
      </c>
      <c r="U12" s="12" t="s">
        <v>6312</v>
      </c>
      <c r="V12" s="12" t="s">
        <v>6313</v>
      </c>
      <c r="W12" s="12" t="s">
        <v>6314</v>
      </c>
      <c r="X12" s="12" t="s">
        <v>6315</v>
      </c>
      <c r="Y12" s="12" t="s">
        <v>6316</v>
      </c>
      <c r="Z12" s="12" t="s">
        <v>6317</v>
      </c>
      <c r="AA12" s="12" t="s">
        <v>13017</v>
      </c>
      <c r="AB12" s="12" t="s">
        <v>13018</v>
      </c>
      <c r="AC12" s="12" t="s">
        <v>6320</v>
      </c>
      <c r="AD12" s="12" t="s">
        <v>6321</v>
      </c>
      <c r="AE12" s="12" t="s">
        <v>6322</v>
      </c>
      <c r="AF12" s="12" t="s">
        <v>74</v>
      </c>
      <c r="AG12" s="12">
        <v>133</v>
      </c>
      <c r="AH12" s="12">
        <v>23</v>
      </c>
      <c r="AI12" s="12">
        <v>23</v>
      </c>
      <c r="AJ12" s="12">
        <v>1</v>
      </c>
      <c r="AK12" s="12">
        <v>26</v>
      </c>
      <c r="AL12" s="12" t="s">
        <v>202</v>
      </c>
      <c r="AM12" s="12" t="s">
        <v>203</v>
      </c>
      <c r="AN12" s="12" t="s">
        <v>204</v>
      </c>
      <c r="AO12" s="12" t="s">
        <v>74</v>
      </c>
      <c r="AP12" s="12" t="s">
        <v>5440</v>
      </c>
      <c r="AQ12" s="12" t="s">
        <v>74</v>
      </c>
      <c r="AR12" s="12" t="s">
        <v>5427</v>
      </c>
      <c r="AS12" s="12" t="s">
        <v>5441</v>
      </c>
      <c r="AT12" s="12" t="s">
        <v>1138</v>
      </c>
      <c r="AU12" s="12">
        <v>2021</v>
      </c>
      <c r="AV12" s="12">
        <v>14</v>
      </c>
      <c r="AW12" s="12">
        <v>11</v>
      </c>
      <c r="AX12" s="12" t="s">
        <v>74</v>
      </c>
      <c r="AY12" s="12" t="s">
        <v>74</v>
      </c>
      <c r="AZ12" s="12" t="s">
        <v>74</v>
      </c>
      <c r="BA12" s="12" t="s">
        <v>74</v>
      </c>
      <c r="BB12" s="12" t="s">
        <v>74</v>
      </c>
      <c r="BC12" s="12" t="s">
        <v>74</v>
      </c>
      <c r="BD12" s="12">
        <v>3034</v>
      </c>
      <c r="BE12" s="12" t="s">
        <v>6323</v>
      </c>
      <c r="BF12" s="12">
        <v>0</v>
      </c>
      <c r="BG12" s="12" t="s">
        <v>74</v>
      </c>
      <c r="BH12" s="12" t="s">
        <v>74</v>
      </c>
      <c r="BI12" s="12">
        <v>25</v>
      </c>
      <c r="BJ12" s="12" t="s">
        <v>5443</v>
      </c>
      <c r="BK12" s="12" t="s">
        <v>102</v>
      </c>
      <c r="BL12" s="12" t="s">
        <v>5443</v>
      </c>
      <c r="BM12" s="12" t="s">
        <v>6324</v>
      </c>
      <c r="BN12" s="12" t="s">
        <v>74</v>
      </c>
      <c r="BO12" s="12" t="s">
        <v>186</v>
      </c>
      <c r="BP12" s="12" t="s">
        <v>74</v>
      </c>
      <c r="BQ12" s="12" t="s">
        <v>74</v>
      </c>
      <c r="BR12" s="12" t="s">
        <v>12946</v>
      </c>
      <c r="BS12" s="12" t="s">
        <v>6325</v>
      </c>
      <c r="BT12" s="12">
        <v>0</v>
      </c>
    </row>
    <row r="13" spans="1:72" x14ac:dyDescent="0.25">
      <c r="A13" s="12" t="s">
        <v>72</v>
      </c>
      <c r="B13" s="12" t="s">
        <v>3661</v>
      </c>
      <c r="C13" s="12" t="s">
        <v>74</v>
      </c>
      <c r="D13" s="12" t="s">
        <v>74</v>
      </c>
      <c r="E13" s="12" t="s">
        <v>74</v>
      </c>
      <c r="F13" s="12" t="s">
        <v>3662</v>
      </c>
      <c r="G13" s="12" t="s">
        <v>74</v>
      </c>
      <c r="H13" s="12" t="s">
        <v>74</v>
      </c>
      <c r="I13" s="12" t="s">
        <v>3663</v>
      </c>
      <c r="J13" s="12" t="s">
        <v>3664</v>
      </c>
      <c r="K13" s="12" t="s">
        <v>74</v>
      </c>
      <c r="L13" s="12" t="s">
        <v>74</v>
      </c>
      <c r="M13" s="12" t="s">
        <v>78</v>
      </c>
      <c r="N13" s="12" t="s">
        <v>79</v>
      </c>
      <c r="O13" s="12" t="s">
        <v>74</v>
      </c>
      <c r="P13" s="12" t="s">
        <v>74</v>
      </c>
      <c r="Q13" s="12" t="s">
        <v>74</v>
      </c>
      <c r="R13" s="12" t="s">
        <v>74</v>
      </c>
      <c r="S13" s="12" t="s">
        <v>74</v>
      </c>
      <c r="T13" s="12" t="s">
        <v>3665</v>
      </c>
      <c r="U13" s="12" t="s">
        <v>13019</v>
      </c>
      <c r="V13" s="12" t="s">
        <v>3667</v>
      </c>
      <c r="W13" s="12" t="s">
        <v>3668</v>
      </c>
      <c r="X13" s="12" t="s">
        <v>3669</v>
      </c>
      <c r="Y13" s="12" t="s">
        <v>3670</v>
      </c>
      <c r="Z13" s="12" t="s">
        <v>3671</v>
      </c>
      <c r="AA13" s="12" t="s">
        <v>13020</v>
      </c>
      <c r="AB13" s="12" t="s">
        <v>13021</v>
      </c>
      <c r="AC13" s="12" t="s">
        <v>74</v>
      </c>
      <c r="AD13" s="12" t="s">
        <v>74</v>
      </c>
      <c r="AE13" s="12" t="s">
        <v>74</v>
      </c>
      <c r="AF13" s="12" t="s">
        <v>74</v>
      </c>
      <c r="AG13" s="12">
        <v>71</v>
      </c>
      <c r="AH13" s="12">
        <v>22</v>
      </c>
      <c r="AI13" s="12">
        <v>22</v>
      </c>
      <c r="AJ13" s="12">
        <v>6</v>
      </c>
      <c r="AK13" s="12">
        <v>55</v>
      </c>
      <c r="AL13" s="12" t="s">
        <v>715</v>
      </c>
      <c r="AM13" s="12" t="s">
        <v>4411</v>
      </c>
      <c r="AN13" s="12" t="s">
        <v>12985</v>
      </c>
      <c r="AO13" s="12" t="s">
        <v>3674</v>
      </c>
      <c r="AP13" s="12" t="s">
        <v>3675</v>
      </c>
      <c r="AQ13" s="12" t="s">
        <v>74</v>
      </c>
      <c r="AR13" s="12" t="s">
        <v>3676</v>
      </c>
      <c r="AS13" s="12" t="s">
        <v>3677</v>
      </c>
      <c r="AT13" s="12" t="s">
        <v>6402</v>
      </c>
      <c r="AU13" s="12">
        <v>2023</v>
      </c>
      <c r="AV13" s="12">
        <v>30</v>
      </c>
      <c r="AW13" s="12">
        <v>9</v>
      </c>
      <c r="AX13" s="12" t="s">
        <v>74</v>
      </c>
      <c r="AY13" s="12" t="s">
        <v>74</v>
      </c>
      <c r="AZ13" s="12" t="s">
        <v>74</v>
      </c>
      <c r="BA13" s="12" t="s">
        <v>74</v>
      </c>
      <c r="BB13" s="12">
        <v>3040</v>
      </c>
      <c r="BC13" s="12">
        <v>3066</v>
      </c>
      <c r="BD13" s="12" t="s">
        <v>74</v>
      </c>
      <c r="BE13" s="12" t="s">
        <v>3679</v>
      </c>
      <c r="BF13" s="12">
        <v>0</v>
      </c>
      <c r="BG13" s="12" t="s">
        <v>74</v>
      </c>
      <c r="BH13" s="12" t="s">
        <v>3464</v>
      </c>
      <c r="BI13" s="12">
        <v>27</v>
      </c>
      <c r="BJ13" s="12" t="s">
        <v>315</v>
      </c>
      <c r="BK13" s="12" t="s">
        <v>183</v>
      </c>
      <c r="BL13" s="12" t="s">
        <v>265</v>
      </c>
      <c r="BM13" s="12" t="s">
        <v>13022</v>
      </c>
      <c r="BN13" s="12" t="s">
        <v>74</v>
      </c>
      <c r="BO13" s="12" t="s">
        <v>74</v>
      </c>
      <c r="BP13" s="12" t="s">
        <v>74</v>
      </c>
      <c r="BQ13" s="12" t="s">
        <v>74</v>
      </c>
      <c r="BR13" s="12" t="s">
        <v>12946</v>
      </c>
      <c r="BS13" s="12" t="s">
        <v>3681</v>
      </c>
      <c r="BT13" s="12">
        <v>0</v>
      </c>
    </row>
    <row r="14" spans="1:72" x14ac:dyDescent="0.25">
      <c r="A14" s="12" t="s">
        <v>72</v>
      </c>
      <c r="B14" s="12" t="s">
        <v>9859</v>
      </c>
      <c r="C14" s="12" t="s">
        <v>74</v>
      </c>
      <c r="D14" s="12" t="s">
        <v>74</v>
      </c>
      <c r="E14" s="12" t="s">
        <v>74</v>
      </c>
      <c r="F14" s="12" t="s">
        <v>9860</v>
      </c>
      <c r="G14" s="12" t="s">
        <v>74</v>
      </c>
      <c r="H14" s="12" t="s">
        <v>74</v>
      </c>
      <c r="I14" s="12" t="s">
        <v>9861</v>
      </c>
      <c r="J14" s="12" t="s">
        <v>8111</v>
      </c>
      <c r="K14" s="12" t="s">
        <v>74</v>
      </c>
      <c r="L14" s="12" t="s">
        <v>74</v>
      </c>
      <c r="M14" s="12" t="s">
        <v>78</v>
      </c>
      <c r="N14" s="12" t="s">
        <v>79</v>
      </c>
      <c r="O14" s="12" t="s">
        <v>74</v>
      </c>
      <c r="P14" s="12" t="s">
        <v>74</v>
      </c>
      <c r="Q14" s="12" t="s">
        <v>74</v>
      </c>
      <c r="R14" s="12" t="s">
        <v>74</v>
      </c>
      <c r="S14" s="12" t="s">
        <v>74</v>
      </c>
      <c r="T14" s="12" t="s">
        <v>9862</v>
      </c>
      <c r="U14" s="12" t="s">
        <v>8948</v>
      </c>
      <c r="V14" s="12" t="s">
        <v>9863</v>
      </c>
      <c r="W14" s="12" t="s">
        <v>9864</v>
      </c>
      <c r="X14" s="12" t="s">
        <v>9865</v>
      </c>
      <c r="Y14" s="12" t="s">
        <v>9866</v>
      </c>
      <c r="Z14" s="12" t="s">
        <v>9867</v>
      </c>
      <c r="AA14" s="12" t="s">
        <v>13011</v>
      </c>
      <c r="AB14" s="12" t="s">
        <v>13035</v>
      </c>
      <c r="AC14" s="12" t="s">
        <v>74</v>
      </c>
      <c r="AD14" s="12" t="s">
        <v>74</v>
      </c>
      <c r="AE14" s="12" t="s">
        <v>74</v>
      </c>
      <c r="AF14" s="12" t="s">
        <v>74</v>
      </c>
      <c r="AG14" s="12">
        <v>33</v>
      </c>
      <c r="AH14" s="12">
        <v>18</v>
      </c>
      <c r="AI14" s="12">
        <v>20</v>
      </c>
      <c r="AJ14" s="12">
        <v>0</v>
      </c>
      <c r="AK14" s="12">
        <v>106</v>
      </c>
      <c r="AL14" s="12" t="s">
        <v>8121</v>
      </c>
      <c r="AM14" s="12" t="s">
        <v>8122</v>
      </c>
      <c r="AN14" s="12" t="s">
        <v>8123</v>
      </c>
      <c r="AO14" s="12" t="s">
        <v>8124</v>
      </c>
      <c r="AP14" s="12" t="s">
        <v>8125</v>
      </c>
      <c r="AQ14" s="12" t="s">
        <v>74</v>
      </c>
      <c r="AR14" s="12" t="s">
        <v>8126</v>
      </c>
      <c r="AS14" s="12" t="s">
        <v>8127</v>
      </c>
      <c r="AT14" s="12" t="s">
        <v>1348</v>
      </c>
      <c r="AU14" s="12">
        <v>2018</v>
      </c>
      <c r="AV14" s="12">
        <v>18</v>
      </c>
      <c r="AW14" s="12">
        <v>2</v>
      </c>
      <c r="AX14" s="12" t="s">
        <v>74</v>
      </c>
      <c r="AY14" s="12" t="s">
        <v>74</v>
      </c>
      <c r="AZ14" s="12" t="s">
        <v>74</v>
      </c>
      <c r="BA14" s="12" t="s">
        <v>74</v>
      </c>
      <c r="BB14" s="12">
        <v>70</v>
      </c>
      <c r="BC14" s="12">
        <v>99</v>
      </c>
      <c r="BD14" s="12" t="s">
        <v>74</v>
      </c>
      <c r="BE14" s="12" t="s">
        <v>9868</v>
      </c>
      <c r="BF14" s="12">
        <v>0</v>
      </c>
      <c r="BG14" s="12" t="s">
        <v>74</v>
      </c>
      <c r="BH14" s="12" t="s">
        <v>74</v>
      </c>
      <c r="BI14" s="12">
        <v>30</v>
      </c>
      <c r="BJ14" s="12" t="s">
        <v>315</v>
      </c>
      <c r="BK14" s="12" t="s">
        <v>183</v>
      </c>
      <c r="BL14" s="12" t="s">
        <v>265</v>
      </c>
      <c r="BM14" s="12" t="s">
        <v>9869</v>
      </c>
      <c r="BN14" s="12" t="s">
        <v>74</v>
      </c>
      <c r="BO14" s="12" t="s">
        <v>614</v>
      </c>
      <c r="BP14" s="12" t="s">
        <v>74</v>
      </c>
      <c r="BQ14" s="12" t="s">
        <v>74</v>
      </c>
      <c r="BR14" s="12" t="s">
        <v>12946</v>
      </c>
      <c r="BS14" s="12" t="s">
        <v>9870</v>
      </c>
      <c r="BT14" s="12">
        <v>0</v>
      </c>
    </row>
    <row r="15" spans="1:72" x14ac:dyDescent="0.25">
      <c r="A15" s="12" t="s">
        <v>72</v>
      </c>
      <c r="B15" s="12" t="s">
        <v>2876</v>
      </c>
      <c r="C15" s="12" t="s">
        <v>74</v>
      </c>
      <c r="D15" s="12" t="s">
        <v>74</v>
      </c>
      <c r="E15" s="12" t="s">
        <v>74</v>
      </c>
      <c r="F15" s="12" t="s">
        <v>2877</v>
      </c>
      <c r="G15" s="12" t="s">
        <v>74</v>
      </c>
      <c r="H15" s="12" t="s">
        <v>74</v>
      </c>
      <c r="I15" s="12" t="s">
        <v>2878</v>
      </c>
      <c r="J15" s="12" t="s">
        <v>191</v>
      </c>
      <c r="K15" s="12" t="s">
        <v>74</v>
      </c>
      <c r="L15" s="12" t="s">
        <v>74</v>
      </c>
      <c r="M15" s="12" t="s">
        <v>78</v>
      </c>
      <c r="N15" s="12" t="s">
        <v>79</v>
      </c>
      <c r="O15" s="12" t="s">
        <v>74</v>
      </c>
      <c r="P15" s="12" t="s">
        <v>74</v>
      </c>
      <c r="Q15" s="12" t="s">
        <v>74</v>
      </c>
      <c r="R15" s="12" t="s">
        <v>74</v>
      </c>
      <c r="S15" s="12" t="s">
        <v>74</v>
      </c>
      <c r="T15" s="12" t="s">
        <v>2879</v>
      </c>
      <c r="U15" s="12" t="s">
        <v>2880</v>
      </c>
      <c r="V15" s="12" t="s">
        <v>2881</v>
      </c>
      <c r="W15" s="12" t="s">
        <v>2882</v>
      </c>
      <c r="X15" s="12" t="s">
        <v>2883</v>
      </c>
      <c r="Y15" s="12" t="s">
        <v>2884</v>
      </c>
      <c r="Z15" s="12" t="s">
        <v>2885</v>
      </c>
      <c r="AA15" s="12" t="s">
        <v>74</v>
      </c>
      <c r="AB15" s="12" t="s">
        <v>74</v>
      </c>
      <c r="AC15" s="12" t="s">
        <v>2886</v>
      </c>
      <c r="AD15" s="12" t="s">
        <v>2887</v>
      </c>
      <c r="AE15" s="12" t="s">
        <v>2888</v>
      </c>
      <c r="AF15" s="12" t="s">
        <v>74</v>
      </c>
      <c r="AG15" s="12">
        <v>55</v>
      </c>
      <c r="AH15" s="12">
        <v>16</v>
      </c>
      <c r="AI15" s="12">
        <v>16</v>
      </c>
      <c r="AJ15" s="12">
        <v>31</v>
      </c>
      <c r="AK15" s="12">
        <v>181</v>
      </c>
      <c r="AL15" s="12" t="s">
        <v>202</v>
      </c>
      <c r="AM15" s="12" t="s">
        <v>203</v>
      </c>
      <c r="AN15" s="12" t="s">
        <v>204</v>
      </c>
      <c r="AO15" s="12" t="s">
        <v>74</v>
      </c>
      <c r="AP15" s="12" t="s">
        <v>205</v>
      </c>
      <c r="AQ15" s="12" t="s">
        <v>74</v>
      </c>
      <c r="AR15" s="12" t="s">
        <v>206</v>
      </c>
      <c r="AS15" s="12" t="s">
        <v>207</v>
      </c>
      <c r="AT15" s="12" t="s">
        <v>208</v>
      </c>
      <c r="AU15" s="12">
        <v>2022</v>
      </c>
      <c r="AV15" s="12">
        <v>14</v>
      </c>
      <c r="AW15" s="12">
        <v>20</v>
      </c>
      <c r="AX15" s="12" t="s">
        <v>74</v>
      </c>
      <c r="AY15" s="12" t="s">
        <v>74</v>
      </c>
      <c r="AZ15" s="12" t="s">
        <v>74</v>
      </c>
      <c r="BA15" s="12" t="s">
        <v>74</v>
      </c>
      <c r="BB15" s="12" t="s">
        <v>74</v>
      </c>
      <c r="BC15" s="12" t="s">
        <v>74</v>
      </c>
      <c r="BD15" s="12">
        <v>13038</v>
      </c>
      <c r="BE15" s="12" t="s">
        <v>2889</v>
      </c>
      <c r="BF15" s="12">
        <v>0</v>
      </c>
      <c r="BG15" s="12" t="s">
        <v>74</v>
      </c>
      <c r="BH15" s="12" t="s">
        <v>74</v>
      </c>
      <c r="BI15" s="12">
        <v>23</v>
      </c>
      <c r="BJ15" s="12" t="s">
        <v>210</v>
      </c>
      <c r="BK15" s="12" t="s">
        <v>211</v>
      </c>
      <c r="BL15" s="12" t="s">
        <v>212</v>
      </c>
      <c r="BM15" s="12" t="s">
        <v>2890</v>
      </c>
      <c r="BN15" s="12" t="s">
        <v>74</v>
      </c>
      <c r="BO15" s="12" t="s">
        <v>186</v>
      </c>
      <c r="BP15" s="12" t="s">
        <v>74</v>
      </c>
      <c r="BQ15" s="12" t="s">
        <v>74</v>
      </c>
      <c r="BR15" s="12" t="s">
        <v>12946</v>
      </c>
      <c r="BS15" s="12" t="s">
        <v>2891</v>
      </c>
      <c r="BT15" s="12">
        <v>0</v>
      </c>
    </row>
    <row r="16" spans="1:72" x14ac:dyDescent="0.25">
      <c r="A16" s="12" t="s">
        <v>72</v>
      </c>
      <c r="B16" s="12" t="s">
        <v>215</v>
      </c>
      <c r="C16" s="12" t="s">
        <v>74</v>
      </c>
      <c r="D16" s="12" t="s">
        <v>74</v>
      </c>
      <c r="E16" s="12" t="s">
        <v>74</v>
      </c>
      <c r="F16" s="12" t="s">
        <v>216</v>
      </c>
      <c r="G16" s="12" t="s">
        <v>74</v>
      </c>
      <c r="H16" s="12" t="s">
        <v>74</v>
      </c>
      <c r="I16" s="12" t="s">
        <v>217</v>
      </c>
      <c r="J16" s="12" t="s">
        <v>218</v>
      </c>
      <c r="K16" s="12" t="s">
        <v>74</v>
      </c>
      <c r="L16" s="12" t="s">
        <v>74</v>
      </c>
      <c r="M16" s="12" t="s">
        <v>78</v>
      </c>
      <c r="N16" s="12" t="s">
        <v>79</v>
      </c>
      <c r="O16" s="12" t="s">
        <v>74</v>
      </c>
      <c r="P16" s="12" t="s">
        <v>74</v>
      </c>
      <c r="Q16" s="12" t="s">
        <v>74</v>
      </c>
      <c r="R16" s="12" t="s">
        <v>74</v>
      </c>
      <c r="S16" s="12" t="s">
        <v>74</v>
      </c>
      <c r="T16" s="12" t="s">
        <v>219</v>
      </c>
      <c r="U16" s="12" t="s">
        <v>220</v>
      </c>
      <c r="V16" s="12" t="s">
        <v>221</v>
      </c>
      <c r="W16" s="12" t="s">
        <v>222</v>
      </c>
      <c r="X16" s="12" t="s">
        <v>223</v>
      </c>
      <c r="Y16" s="12" t="s">
        <v>224</v>
      </c>
      <c r="Z16" s="12" t="s">
        <v>225</v>
      </c>
      <c r="AA16" s="12" t="s">
        <v>13336</v>
      </c>
      <c r="AB16" s="12" t="s">
        <v>13337</v>
      </c>
      <c r="AC16" s="12" t="s">
        <v>228</v>
      </c>
      <c r="AD16" s="12" t="s">
        <v>229</v>
      </c>
      <c r="AE16" s="12" t="s">
        <v>230</v>
      </c>
      <c r="AF16" s="12" t="s">
        <v>74</v>
      </c>
      <c r="AG16" s="12">
        <v>89</v>
      </c>
      <c r="AH16" s="12">
        <v>14</v>
      </c>
      <c r="AI16" s="12">
        <v>14</v>
      </c>
      <c r="AJ16" s="12">
        <v>6</v>
      </c>
      <c r="AK16" s="12">
        <v>25</v>
      </c>
      <c r="AL16" s="12" t="s">
        <v>231</v>
      </c>
      <c r="AM16" s="12" t="s">
        <v>232</v>
      </c>
      <c r="AN16" s="12" t="s">
        <v>233</v>
      </c>
      <c r="AO16" s="12" t="s">
        <v>234</v>
      </c>
      <c r="AP16" s="12" t="s">
        <v>235</v>
      </c>
      <c r="AQ16" s="12" t="s">
        <v>74</v>
      </c>
      <c r="AR16" s="12" t="s">
        <v>236</v>
      </c>
      <c r="AS16" s="12" t="s">
        <v>237</v>
      </c>
      <c r="AT16" s="12" t="s">
        <v>208</v>
      </c>
      <c r="AU16" s="12">
        <v>2023</v>
      </c>
      <c r="AV16" s="12">
        <v>264</v>
      </c>
      <c r="AW16" s="12" t="s">
        <v>74</v>
      </c>
      <c r="AX16" s="12" t="s">
        <v>74</v>
      </c>
      <c r="AY16" s="12" t="s">
        <v>74</v>
      </c>
      <c r="AZ16" s="12" t="s">
        <v>74</v>
      </c>
      <c r="BA16" s="12" t="s">
        <v>74</v>
      </c>
      <c r="BB16" s="12" t="s">
        <v>74</v>
      </c>
      <c r="BC16" s="12" t="s">
        <v>74</v>
      </c>
      <c r="BD16" s="12">
        <v>108983</v>
      </c>
      <c r="BE16" s="12" t="s">
        <v>238</v>
      </c>
      <c r="BF16" s="12">
        <v>0</v>
      </c>
      <c r="BG16" s="12" t="s">
        <v>74</v>
      </c>
      <c r="BH16" s="12" t="s">
        <v>675</v>
      </c>
      <c r="BI16" s="12">
        <v>16</v>
      </c>
      <c r="BJ16" s="12" t="s">
        <v>239</v>
      </c>
      <c r="BK16" s="12" t="s">
        <v>102</v>
      </c>
      <c r="BL16" s="12" t="s">
        <v>240</v>
      </c>
      <c r="BM16" s="12" t="s">
        <v>241</v>
      </c>
      <c r="BN16" s="12" t="s">
        <v>74</v>
      </c>
      <c r="BO16" s="12" t="s">
        <v>74</v>
      </c>
      <c r="BP16" s="12" t="s">
        <v>74</v>
      </c>
      <c r="BQ16" s="12" t="s">
        <v>74</v>
      </c>
      <c r="BR16" s="12" t="s">
        <v>12946</v>
      </c>
      <c r="BS16" s="12" t="s">
        <v>242</v>
      </c>
      <c r="BT16" s="12">
        <v>0</v>
      </c>
    </row>
    <row r="17" spans="1:72" x14ac:dyDescent="0.25">
      <c r="A17" s="12" t="s">
        <v>72</v>
      </c>
      <c r="B17" s="12" t="s">
        <v>5313</v>
      </c>
      <c r="C17" s="12" t="s">
        <v>74</v>
      </c>
      <c r="D17" s="12" t="s">
        <v>74</v>
      </c>
      <c r="E17" s="12" t="s">
        <v>74</v>
      </c>
      <c r="F17" s="12" t="s">
        <v>5314</v>
      </c>
      <c r="G17" s="12" t="s">
        <v>74</v>
      </c>
      <c r="H17" s="12" t="s">
        <v>74</v>
      </c>
      <c r="I17" s="12" t="s">
        <v>5315</v>
      </c>
      <c r="J17" s="12" t="s">
        <v>77</v>
      </c>
      <c r="K17" s="12" t="s">
        <v>74</v>
      </c>
      <c r="L17" s="12" t="s">
        <v>74</v>
      </c>
      <c r="M17" s="12" t="s">
        <v>78</v>
      </c>
      <c r="N17" s="12" t="s">
        <v>79</v>
      </c>
      <c r="O17" s="12" t="s">
        <v>74</v>
      </c>
      <c r="P17" s="12" t="s">
        <v>74</v>
      </c>
      <c r="Q17" s="12" t="s">
        <v>74</v>
      </c>
      <c r="R17" s="12" t="s">
        <v>74</v>
      </c>
      <c r="S17" s="12" t="s">
        <v>74</v>
      </c>
      <c r="T17" s="12" t="s">
        <v>5316</v>
      </c>
      <c r="U17" s="12" t="s">
        <v>5317</v>
      </c>
      <c r="V17" s="12" t="s">
        <v>5318</v>
      </c>
      <c r="W17" s="12" t="s">
        <v>5319</v>
      </c>
      <c r="X17" s="12" t="s">
        <v>5320</v>
      </c>
      <c r="Y17" s="12" t="s">
        <v>5321</v>
      </c>
      <c r="Z17" s="12" t="s">
        <v>5322</v>
      </c>
      <c r="AA17" s="12" t="s">
        <v>13038</v>
      </c>
      <c r="AB17" s="12" t="s">
        <v>13039</v>
      </c>
      <c r="AC17" s="12" t="s">
        <v>5325</v>
      </c>
      <c r="AD17" s="12" t="s">
        <v>5326</v>
      </c>
      <c r="AE17" s="12" t="s">
        <v>5327</v>
      </c>
      <c r="AF17" s="12" t="s">
        <v>74</v>
      </c>
      <c r="AG17" s="12">
        <v>61</v>
      </c>
      <c r="AH17" s="12">
        <v>14</v>
      </c>
      <c r="AI17" s="12">
        <v>14</v>
      </c>
      <c r="AJ17" s="12">
        <v>9</v>
      </c>
      <c r="AK17" s="12">
        <v>42</v>
      </c>
      <c r="AL17" s="12" t="s">
        <v>92</v>
      </c>
      <c r="AM17" s="12" t="s">
        <v>93</v>
      </c>
      <c r="AN17" s="12" t="s">
        <v>94</v>
      </c>
      <c r="AO17" s="12" t="s">
        <v>95</v>
      </c>
      <c r="AP17" s="12" t="s">
        <v>96</v>
      </c>
      <c r="AQ17" s="12" t="s">
        <v>74</v>
      </c>
      <c r="AR17" s="12" t="s">
        <v>97</v>
      </c>
      <c r="AS17" s="12" t="s">
        <v>98</v>
      </c>
      <c r="AT17" s="12" t="s">
        <v>1904</v>
      </c>
      <c r="AU17" s="12">
        <v>2022</v>
      </c>
      <c r="AV17" s="12">
        <v>164</v>
      </c>
      <c r="AW17" s="12" t="s">
        <v>74</v>
      </c>
      <c r="AX17" s="12" t="s">
        <v>74</v>
      </c>
      <c r="AY17" s="12" t="s">
        <v>74</v>
      </c>
      <c r="AZ17" s="12" t="s">
        <v>74</v>
      </c>
      <c r="BA17" s="12" t="s">
        <v>74</v>
      </c>
      <c r="BB17" s="12" t="s">
        <v>74</v>
      </c>
      <c r="BC17" s="12" t="s">
        <v>74</v>
      </c>
      <c r="BD17" s="12">
        <v>107896</v>
      </c>
      <c r="BE17" s="12" t="s">
        <v>5328</v>
      </c>
      <c r="BF17" s="12">
        <v>0</v>
      </c>
      <c r="BG17" s="12" t="s">
        <v>74</v>
      </c>
      <c r="BH17" s="12" t="s">
        <v>5329</v>
      </c>
      <c r="BI17" s="12">
        <v>16</v>
      </c>
      <c r="BJ17" s="12" t="s">
        <v>101</v>
      </c>
      <c r="BK17" s="12" t="s">
        <v>102</v>
      </c>
      <c r="BL17" s="12" t="s">
        <v>103</v>
      </c>
      <c r="BM17" s="12" t="s">
        <v>5330</v>
      </c>
      <c r="BN17" s="12">
        <v>36569781</v>
      </c>
      <c r="BO17" s="12" t="s">
        <v>2623</v>
      </c>
      <c r="BP17" s="12" t="s">
        <v>74</v>
      </c>
      <c r="BQ17" s="12" t="s">
        <v>74</v>
      </c>
      <c r="BR17" s="12" t="s">
        <v>12946</v>
      </c>
      <c r="BS17" s="12" t="s">
        <v>5331</v>
      </c>
      <c r="BT17" s="12">
        <v>0</v>
      </c>
    </row>
    <row r="18" spans="1:72" x14ac:dyDescent="0.25">
      <c r="A18" s="12" t="s">
        <v>72</v>
      </c>
      <c r="B18" s="12" t="s">
        <v>3158</v>
      </c>
      <c r="C18" s="12" t="s">
        <v>74</v>
      </c>
      <c r="D18" s="12" t="s">
        <v>74</v>
      </c>
      <c r="E18" s="12" t="s">
        <v>74</v>
      </c>
      <c r="F18" s="12" t="s">
        <v>3159</v>
      </c>
      <c r="G18" s="12" t="s">
        <v>74</v>
      </c>
      <c r="H18" s="12" t="s">
        <v>74</v>
      </c>
      <c r="I18" s="12" t="s">
        <v>3160</v>
      </c>
      <c r="J18" s="12" t="s">
        <v>527</v>
      </c>
      <c r="K18" s="12" t="s">
        <v>74</v>
      </c>
      <c r="L18" s="12" t="s">
        <v>74</v>
      </c>
      <c r="M18" s="12" t="s">
        <v>78</v>
      </c>
      <c r="N18" s="12" t="s">
        <v>79</v>
      </c>
      <c r="O18" s="12" t="s">
        <v>74</v>
      </c>
      <c r="P18" s="12" t="s">
        <v>74</v>
      </c>
      <c r="Q18" s="12" t="s">
        <v>74</v>
      </c>
      <c r="R18" s="12" t="s">
        <v>74</v>
      </c>
      <c r="S18" s="12" t="s">
        <v>74</v>
      </c>
      <c r="T18" s="12" t="s">
        <v>3161</v>
      </c>
      <c r="U18" s="12" t="s">
        <v>3162</v>
      </c>
      <c r="V18" s="12" t="s">
        <v>3163</v>
      </c>
      <c r="W18" s="12" t="s">
        <v>3164</v>
      </c>
      <c r="X18" s="12" t="s">
        <v>3165</v>
      </c>
      <c r="Y18" s="12" t="s">
        <v>3166</v>
      </c>
      <c r="Z18" s="12" t="s">
        <v>3167</v>
      </c>
      <c r="AA18" s="12" t="s">
        <v>3168</v>
      </c>
      <c r="AB18" s="12" t="s">
        <v>3169</v>
      </c>
      <c r="AC18" s="12" t="s">
        <v>3170</v>
      </c>
      <c r="AD18" s="12" t="s">
        <v>3171</v>
      </c>
      <c r="AE18" s="12" t="s">
        <v>3172</v>
      </c>
      <c r="AF18" s="12" t="s">
        <v>74</v>
      </c>
      <c r="AG18" s="12">
        <v>87</v>
      </c>
      <c r="AH18" s="12">
        <v>13</v>
      </c>
      <c r="AI18" s="12">
        <v>13</v>
      </c>
      <c r="AJ18" s="12">
        <v>70</v>
      </c>
      <c r="AK18" s="12">
        <v>384</v>
      </c>
      <c r="AL18" s="12" t="s">
        <v>254</v>
      </c>
      <c r="AM18" s="12" t="s">
        <v>255</v>
      </c>
      <c r="AN18" s="12" t="s">
        <v>256</v>
      </c>
      <c r="AO18" s="12" t="s">
        <v>540</v>
      </c>
      <c r="AP18" s="12" t="s">
        <v>541</v>
      </c>
      <c r="AQ18" s="12" t="s">
        <v>74</v>
      </c>
      <c r="AR18" s="12" t="s">
        <v>542</v>
      </c>
      <c r="AS18" s="12" t="s">
        <v>543</v>
      </c>
      <c r="AT18" s="12" t="s">
        <v>2068</v>
      </c>
      <c r="AU18" s="12">
        <v>2023</v>
      </c>
      <c r="AV18" s="12">
        <v>30</v>
      </c>
      <c r="AW18" s="12">
        <v>4</v>
      </c>
      <c r="AX18" s="12" t="s">
        <v>74</v>
      </c>
      <c r="AY18" s="12" t="s">
        <v>74</v>
      </c>
      <c r="AZ18" s="12" t="s">
        <v>74</v>
      </c>
      <c r="BA18" s="12" t="s">
        <v>74</v>
      </c>
      <c r="BB18" s="12">
        <v>10867</v>
      </c>
      <c r="BC18" s="12">
        <v>10879</v>
      </c>
      <c r="BD18" s="12" t="s">
        <v>74</v>
      </c>
      <c r="BE18" s="12" t="s">
        <v>3173</v>
      </c>
      <c r="BF18" s="12">
        <v>0</v>
      </c>
      <c r="BG18" s="12" t="s">
        <v>74</v>
      </c>
      <c r="BH18" s="12" t="s">
        <v>3049</v>
      </c>
      <c r="BI18" s="12">
        <v>13</v>
      </c>
      <c r="BJ18" s="12" t="s">
        <v>545</v>
      </c>
      <c r="BK18" s="12" t="s">
        <v>102</v>
      </c>
      <c r="BL18" s="12" t="s">
        <v>546</v>
      </c>
      <c r="BM18" s="12" t="s">
        <v>3174</v>
      </c>
      <c r="BN18" s="12">
        <v>36087176</v>
      </c>
      <c r="BO18" s="12" t="s">
        <v>2033</v>
      </c>
      <c r="BP18" s="12" t="s">
        <v>74</v>
      </c>
      <c r="BQ18" s="12" t="s">
        <v>74</v>
      </c>
      <c r="BR18" s="12" t="s">
        <v>12946</v>
      </c>
      <c r="BS18" s="12" t="s">
        <v>3176</v>
      </c>
      <c r="BT18" s="12">
        <v>0</v>
      </c>
    </row>
    <row r="19" spans="1:72" x14ac:dyDescent="0.25">
      <c r="A19" s="12" t="s">
        <v>72</v>
      </c>
      <c r="B19" s="12" t="s">
        <v>1979</v>
      </c>
      <c r="C19" s="12" t="s">
        <v>74</v>
      </c>
      <c r="D19" s="12" t="s">
        <v>74</v>
      </c>
      <c r="E19" s="12" t="s">
        <v>74</v>
      </c>
      <c r="F19" s="12" t="s">
        <v>1980</v>
      </c>
      <c r="G19" s="12" t="s">
        <v>74</v>
      </c>
      <c r="H19" s="12" t="s">
        <v>74</v>
      </c>
      <c r="I19" s="12" t="s">
        <v>1981</v>
      </c>
      <c r="J19" s="12" t="s">
        <v>1982</v>
      </c>
      <c r="K19" s="12" t="s">
        <v>74</v>
      </c>
      <c r="L19" s="12" t="s">
        <v>74</v>
      </c>
      <c r="M19" s="12" t="s">
        <v>78</v>
      </c>
      <c r="N19" s="12" t="s">
        <v>79</v>
      </c>
      <c r="O19" s="12" t="s">
        <v>74</v>
      </c>
      <c r="P19" s="12" t="s">
        <v>74</v>
      </c>
      <c r="Q19" s="12" t="s">
        <v>74</v>
      </c>
      <c r="R19" s="12" t="s">
        <v>74</v>
      </c>
      <c r="S19" s="12" t="s">
        <v>74</v>
      </c>
      <c r="T19" s="12" t="s">
        <v>1983</v>
      </c>
      <c r="U19" s="12" t="s">
        <v>1984</v>
      </c>
      <c r="V19" s="12" t="s">
        <v>1985</v>
      </c>
      <c r="W19" s="12" t="s">
        <v>1986</v>
      </c>
      <c r="X19" s="12" t="s">
        <v>1987</v>
      </c>
      <c r="Y19" s="12" t="s">
        <v>1988</v>
      </c>
      <c r="Z19" s="12" t="s">
        <v>1989</v>
      </c>
      <c r="AA19" s="12" t="s">
        <v>13043</v>
      </c>
      <c r="AB19" s="12" t="s">
        <v>1990</v>
      </c>
      <c r="AC19" s="12" t="s">
        <v>1991</v>
      </c>
      <c r="AD19" s="12" t="s">
        <v>1992</v>
      </c>
      <c r="AE19" s="12" t="s">
        <v>1993</v>
      </c>
      <c r="AF19" s="12" t="s">
        <v>74</v>
      </c>
      <c r="AG19" s="12">
        <v>107</v>
      </c>
      <c r="AH19" s="12">
        <v>12</v>
      </c>
      <c r="AI19" s="12">
        <v>12</v>
      </c>
      <c r="AJ19" s="12">
        <v>17</v>
      </c>
      <c r="AK19" s="12">
        <v>43</v>
      </c>
      <c r="AL19" s="12" t="s">
        <v>231</v>
      </c>
      <c r="AM19" s="12" t="s">
        <v>232</v>
      </c>
      <c r="AN19" s="12" t="s">
        <v>233</v>
      </c>
      <c r="AO19" s="12" t="s">
        <v>1994</v>
      </c>
      <c r="AP19" s="12" t="s">
        <v>1995</v>
      </c>
      <c r="AQ19" s="12" t="s">
        <v>74</v>
      </c>
      <c r="AR19" s="12" t="s">
        <v>1996</v>
      </c>
      <c r="AS19" s="12" t="s">
        <v>1997</v>
      </c>
      <c r="AT19" s="12" t="s">
        <v>1448</v>
      </c>
      <c r="AU19" s="12">
        <v>2023</v>
      </c>
      <c r="AV19" s="12">
        <v>148</v>
      </c>
      <c r="AW19" s="12" t="s">
        <v>74</v>
      </c>
      <c r="AX19" s="12" t="s">
        <v>74</v>
      </c>
      <c r="AY19" s="12" t="s">
        <v>74</v>
      </c>
      <c r="AZ19" s="12" t="s">
        <v>74</v>
      </c>
      <c r="BA19" s="12" t="s">
        <v>74</v>
      </c>
      <c r="BB19" s="12" t="s">
        <v>74</v>
      </c>
      <c r="BC19" s="12" t="s">
        <v>74</v>
      </c>
      <c r="BD19" s="12">
        <v>104749</v>
      </c>
      <c r="BE19" s="12" t="s">
        <v>1998</v>
      </c>
      <c r="BF19" s="12">
        <v>0</v>
      </c>
      <c r="BG19" s="12" t="s">
        <v>74</v>
      </c>
      <c r="BH19" s="12" t="s">
        <v>1999</v>
      </c>
      <c r="BI19" s="12">
        <v>15</v>
      </c>
      <c r="BJ19" s="12" t="s">
        <v>2000</v>
      </c>
      <c r="BK19" s="12" t="s">
        <v>102</v>
      </c>
      <c r="BL19" s="12" t="s">
        <v>2001</v>
      </c>
      <c r="BM19" s="12" t="s">
        <v>2002</v>
      </c>
      <c r="BN19" s="12" t="s">
        <v>74</v>
      </c>
      <c r="BO19" s="12" t="s">
        <v>2003</v>
      </c>
      <c r="BP19" s="12" t="s">
        <v>74</v>
      </c>
      <c r="BQ19" s="12" t="s">
        <v>74</v>
      </c>
      <c r="BR19" s="12" t="s">
        <v>12946</v>
      </c>
      <c r="BS19" s="12" t="s">
        <v>2004</v>
      </c>
      <c r="BT19" s="12">
        <v>0</v>
      </c>
    </row>
    <row r="20" spans="1:72" x14ac:dyDescent="0.25">
      <c r="A20" s="12" t="s">
        <v>72</v>
      </c>
      <c r="B20" s="12" t="s">
        <v>2772</v>
      </c>
      <c r="C20" s="12" t="s">
        <v>74</v>
      </c>
      <c r="D20" s="12" t="s">
        <v>74</v>
      </c>
      <c r="E20" s="12" t="s">
        <v>74</v>
      </c>
      <c r="F20" s="12" t="s">
        <v>2773</v>
      </c>
      <c r="G20" s="12" t="s">
        <v>74</v>
      </c>
      <c r="H20" s="12" t="s">
        <v>74</v>
      </c>
      <c r="I20" s="12" t="s">
        <v>2774</v>
      </c>
      <c r="J20" s="12" t="s">
        <v>218</v>
      </c>
      <c r="K20" s="12" t="s">
        <v>74</v>
      </c>
      <c r="L20" s="12" t="s">
        <v>74</v>
      </c>
      <c r="M20" s="12" t="s">
        <v>78</v>
      </c>
      <c r="N20" s="12" t="s">
        <v>79</v>
      </c>
      <c r="O20" s="12" t="s">
        <v>74</v>
      </c>
      <c r="P20" s="12" t="s">
        <v>74</v>
      </c>
      <c r="Q20" s="12" t="s">
        <v>74</v>
      </c>
      <c r="R20" s="12" t="s">
        <v>74</v>
      </c>
      <c r="S20" s="12" t="s">
        <v>74</v>
      </c>
      <c r="T20" s="12" t="s">
        <v>2775</v>
      </c>
      <c r="U20" s="12" t="s">
        <v>2776</v>
      </c>
      <c r="V20" s="12" t="s">
        <v>2777</v>
      </c>
      <c r="W20" s="12" t="s">
        <v>2778</v>
      </c>
      <c r="X20" s="12" t="s">
        <v>2779</v>
      </c>
      <c r="Y20" s="12" t="s">
        <v>2780</v>
      </c>
      <c r="Z20" s="12" t="s">
        <v>2781</v>
      </c>
      <c r="AA20" s="12" t="s">
        <v>13047</v>
      </c>
      <c r="AB20" s="12" t="s">
        <v>2783</v>
      </c>
      <c r="AC20" s="12" t="s">
        <v>2784</v>
      </c>
      <c r="AD20" s="12" t="s">
        <v>2785</v>
      </c>
      <c r="AE20" s="12" t="s">
        <v>2786</v>
      </c>
      <c r="AF20" s="12" t="s">
        <v>74</v>
      </c>
      <c r="AG20" s="12">
        <v>67</v>
      </c>
      <c r="AH20" s="12">
        <v>10</v>
      </c>
      <c r="AI20" s="12">
        <v>11</v>
      </c>
      <c r="AJ20" s="12">
        <v>7</v>
      </c>
      <c r="AK20" s="12">
        <v>51</v>
      </c>
      <c r="AL20" s="12" t="s">
        <v>231</v>
      </c>
      <c r="AM20" s="12" t="s">
        <v>232</v>
      </c>
      <c r="AN20" s="12" t="s">
        <v>233</v>
      </c>
      <c r="AO20" s="12" t="s">
        <v>234</v>
      </c>
      <c r="AP20" s="12" t="s">
        <v>235</v>
      </c>
      <c r="AQ20" s="12" t="s">
        <v>74</v>
      </c>
      <c r="AR20" s="12" t="s">
        <v>236</v>
      </c>
      <c r="AS20" s="12" t="s">
        <v>237</v>
      </c>
      <c r="AT20" s="12" t="s">
        <v>2068</v>
      </c>
      <c r="AU20" s="12">
        <v>2023</v>
      </c>
      <c r="AV20" s="12">
        <v>255</v>
      </c>
      <c r="AW20" s="12" t="s">
        <v>74</v>
      </c>
      <c r="AX20" s="12" t="s">
        <v>74</v>
      </c>
      <c r="AY20" s="12" t="s">
        <v>74</v>
      </c>
      <c r="AZ20" s="12" t="s">
        <v>74</v>
      </c>
      <c r="BA20" s="12" t="s">
        <v>74</v>
      </c>
      <c r="BB20" s="12" t="s">
        <v>74</v>
      </c>
      <c r="BC20" s="12" t="s">
        <v>74</v>
      </c>
      <c r="BD20" s="12">
        <v>108701</v>
      </c>
      <c r="BE20" s="12" t="s">
        <v>2787</v>
      </c>
      <c r="BF20" s="12">
        <v>0</v>
      </c>
      <c r="BG20" s="12" t="s">
        <v>74</v>
      </c>
      <c r="BH20" s="12" t="s">
        <v>2788</v>
      </c>
      <c r="BI20" s="12">
        <v>15</v>
      </c>
      <c r="BJ20" s="12" t="s">
        <v>239</v>
      </c>
      <c r="BK20" s="12" t="s">
        <v>102</v>
      </c>
      <c r="BL20" s="12" t="s">
        <v>240</v>
      </c>
      <c r="BM20" s="12" t="s">
        <v>2789</v>
      </c>
      <c r="BN20" s="12" t="s">
        <v>74</v>
      </c>
      <c r="BO20" s="12" t="s">
        <v>74</v>
      </c>
      <c r="BP20" s="12" t="s">
        <v>74</v>
      </c>
      <c r="BQ20" s="12" t="s">
        <v>74</v>
      </c>
      <c r="BR20" s="12" t="s">
        <v>12946</v>
      </c>
      <c r="BS20" s="12" t="s">
        <v>2790</v>
      </c>
      <c r="BT20" s="12">
        <v>0</v>
      </c>
    </row>
    <row r="21" spans="1:72" x14ac:dyDescent="0.25">
      <c r="A21" s="12" t="s">
        <v>72</v>
      </c>
      <c r="B21" s="12" t="s">
        <v>5966</v>
      </c>
      <c r="C21" s="12" t="s">
        <v>74</v>
      </c>
      <c r="D21" s="12" t="s">
        <v>74</v>
      </c>
      <c r="E21" s="12" t="s">
        <v>74</v>
      </c>
      <c r="F21" s="12" t="s">
        <v>5967</v>
      </c>
      <c r="G21" s="12" t="s">
        <v>74</v>
      </c>
      <c r="H21" s="12" t="s">
        <v>74</v>
      </c>
      <c r="I21" s="12" t="s">
        <v>5968</v>
      </c>
      <c r="J21" s="12" t="s">
        <v>5969</v>
      </c>
      <c r="K21" s="12" t="s">
        <v>74</v>
      </c>
      <c r="L21" s="12" t="s">
        <v>74</v>
      </c>
      <c r="M21" s="12" t="s">
        <v>78</v>
      </c>
      <c r="N21" s="12" t="s">
        <v>79</v>
      </c>
      <c r="O21" s="12" t="s">
        <v>74</v>
      </c>
      <c r="P21" s="12" t="s">
        <v>74</v>
      </c>
      <c r="Q21" s="12" t="s">
        <v>74</v>
      </c>
      <c r="R21" s="12" t="s">
        <v>74</v>
      </c>
      <c r="S21" s="12" t="s">
        <v>74</v>
      </c>
      <c r="T21" s="12" t="s">
        <v>5970</v>
      </c>
      <c r="U21" s="12" t="s">
        <v>5971</v>
      </c>
      <c r="V21" s="12" t="s">
        <v>5972</v>
      </c>
      <c r="W21" s="12" t="s">
        <v>5973</v>
      </c>
      <c r="X21" s="12" t="s">
        <v>5974</v>
      </c>
      <c r="Y21" s="12" t="s">
        <v>5975</v>
      </c>
      <c r="Z21" s="12" t="s">
        <v>5976</v>
      </c>
      <c r="AA21" s="12" t="s">
        <v>13049</v>
      </c>
      <c r="AB21" s="12" t="s">
        <v>13050</v>
      </c>
      <c r="AC21" s="12" t="s">
        <v>5979</v>
      </c>
      <c r="AD21" s="12" t="s">
        <v>5980</v>
      </c>
      <c r="AE21" s="12" t="s">
        <v>5981</v>
      </c>
      <c r="AF21" s="12" t="s">
        <v>74</v>
      </c>
      <c r="AG21" s="12">
        <v>37</v>
      </c>
      <c r="AH21" s="12">
        <v>10</v>
      </c>
      <c r="AI21" s="12">
        <v>11</v>
      </c>
      <c r="AJ21" s="12">
        <v>4</v>
      </c>
      <c r="AK21" s="12">
        <v>64</v>
      </c>
      <c r="AL21" s="12" t="s">
        <v>1013</v>
      </c>
      <c r="AM21" s="12" t="s">
        <v>493</v>
      </c>
      <c r="AN21" s="12" t="s">
        <v>1014</v>
      </c>
      <c r="AO21" s="12" t="s">
        <v>5982</v>
      </c>
      <c r="AP21" s="12" t="s">
        <v>5983</v>
      </c>
      <c r="AQ21" s="12" t="s">
        <v>74</v>
      </c>
      <c r="AR21" s="12" t="s">
        <v>5984</v>
      </c>
      <c r="AS21" s="12" t="s">
        <v>5985</v>
      </c>
      <c r="AT21" s="12" t="s">
        <v>3237</v>
      </c>
      <c r="AU21" s="12">
        <v>2021</v>
      </c>
      <c r="AV21" s="12">
        <v>34</v>
      </c>
      <c r="AW21" s="12">
        <v>9</v>
      </c>
      <c r="AX21" s="12" t="s">
        <v>74</v>
      </c>
      <c r="AY21" s="12" t="s">
        <v>74</v>
      </c>
      <c r="AZ21" s="12" t="s">
        <v>74</v>
      </c>
      <c r="BA21" s="12" t="s">
        <v>74</v>
      </c>
      <c r="BB21" s="12">
        <v>920</v>
      </c>
      <c r="BC21" s="12">
        <v>932</v>
      </c>
      <c r="BD21" s="12" t="s">
        <v>74</v>
      </c>
      <c r="BE21" s="12" t="s">
        <v>5986</v>
      </c>
      <c r="BF21" s="12">
        <v>0</v>
      </c>
      <c r="BG21" s="12" t="s">
        <v>74</v>
      </c>
      <c r="BH21" s="12" t="s">
        <v>5928</v>
      </c>
      <c r="BI21" s="12">
        <v>13</v>
      </c>
      <c r="BJ21" s="12" t="s">
        <v>5987</v>
      </c>
      <c r="BK21" s="12" t="s">
        <v>102</v>
      </c>
      <c r="BL21" s="12" t="s">
        <v>5988</v>
      </c>
      <c r="BM21" s="12" t="s">
        <v>5989</v>
      </c>
      <c r="BN21" s="12" t="s">
        <v>74</v>
      </c>
      <c r="BO21" s="12" t="s">
        <v>74</v>
      </c>
      <c r="BP21" s="12" t="s">
        <v>74</v>
      </c>
      <c r="BQ21" s="12" t="s">
        <v>74</v>
      </c>
      <c r="BR21" s="12" t="s">
        <v>12946</v>
      </c>
      <c r="BS21" s="12" t="s">
        <v>5990</v>
      </c>
      <c r="BT21" s="12">
        <v>0</v>
      </c>
    </row>
    <row r="22" spans="1:72" x14ac:dyDescent="0.25">
      <c r="A22" s="12" t="s">
        <v>72</v>
      </c>
      <c r="B22" s="12" t="s">
        <v>8877</v>
      </c>
      <c r="C22" s="12" t="s">
        <v>74</v>
      </c>
      <c r="D22" s="12" t="s">
        <v>74</v>
      </c>
      <c r="E22" s="12" t="s">
        <v>74</v>
      </c>
      <c r="F22" s="12" t="s">
        <v>8878</v>
      </c>
      <c r="G22" s="12" t="s">
        <v>74</v>
      </c>
      <c r="H22" s="12" t="s">
        <v>74</v>
      </c>
      <c r="I22" s="12" t="s">
        <v>8879</v>
      </c>
      <c r="J22" s="12" t="s">
        <v>8880</v>
      </c>
      <c r="K22" s="12" t="s">
        <v>74</v>
      </c>
      <c r="L22" s="12" t="s">
        <v>74</v>
      </c>
      <c r="M22" s="12" t="s">
        <v>78</v>
      </c>
      <c r="N22" s="12" t="s">
        <v>79</v>
      </c>
      <c r="O22" s="12" t="s">
        <v>74</v>
      </c>
      <c r="P22" s="12" t="s">
        <v>74</v>
      </c>
      <c r="Q22" s="12" t="s">
        <v>74</v>
      </c>
      <c r="R22" s="12" t="s">
        <v>74</v>
      </c>
      <c r="S22" s="12" t="s">
        <v>74</v>
      </c>
      <c r="T22" s="12" t="s">
        <v>8881</v>
      </c>
      <c r="U22" s="12" t="s">
        <v>8882</v>
      </c>
      <c r="V22" s="12" t="s">
        <v>8883</v>
      </c>
      <c r="W22" s="12" t="s">
        <v>8884</v>
      </c>
      <c r="X22" s="12" t="s">
        <v>8885</v>
      </c>
      <c r="Y22" s="12" t="s">
        <v>8886</v>
      </c>
      <c r="Z22" s="12" t="s">
        <v>8887</v>
      </c>
      <c r="AA22" s="12" t="s">
        <v>74</v>
      </c>
      <c r="AB22" s="12" t="s">
        <v>8888</v>
      </c>
      <c r="AC22" s="12" t="s">
        <v>74</v>
      </c>
      <c r="AD22" s="12" t="s">
        <v>74</v>
      </c>
      <c r="AE22" s="12" t="s">
        <v>74</v>
      </c>
      <c r="AF22" s="12" t="s">
        <v>74</v>
      </c>
      <c r="AG22" s="12">
        <v>31</v>
      </c>
      <c r="AH22" s="12">
        <v>10</v>
      </c>
      <c r="AI22" s="12">
        <v>11</v>
      </c>
      <c r="AJ22" s="12">
        <v>1</v>
      </c>
      <c r="AK22" s="12">
        <v>20</v>
      </c>
      <c r="AL22" s="12" t="s">
        <v>1382</v>
      </c>
      <c r="AM22" s="12" t="s">
        <v>1383</v>
      </c>
      <c r="AN22" s="12" t="s">
        <v>1384</v>
      </c>
      <c r="AO22" s="12" t="s">
        <v>8889</v>
      </c>
      <c r="AP22" s="12" t="s">
        <v>74</v>
      </c>
      <c r="AQ22" s="12" t="s">
        <v>74</v>
      </c>
      <c r="AR22" s="12" t="s">
        <v>8890</v>
      </c>
      <c r="AS22" s="12" t="s">
        <v>8891</v>
      </c>
      <c r="AT22" s="12" t="s">
        <v>8892</v>
      </c>
      <c r="AU22" s="12">
        <v>2019</v>
      </c>
      <c r="AV22" s="12">
        <v>7</v>
      </c>
      <c r="AW22" s="12" t="s">
        <v>74</v>
      </c>
      <c r="AX22" s="12" t="s">
        <v>74</v>
      </c>
      <c r="AY22" s="12" t="s">
        <v>74</v>
      </c>
      <c r="AZ22" s="12" t="s">
        <v>74</v>
      </c>
      <c r="BA22" s="12" t="s">
        <v>74</v>
      </c>
      <c r="BB22" s="12" t="s">
        <v>74</v>
      </c>
      <c r="BC22" s="12" t="s">
        <v>74</v>
      </c>
      <c r="BD22" s="12">
        <v>210</v>
      </c>
      <c r="BE22" s="12" t="s">
        <v>8893</v>
      </c>
      <c r="BF22" s="12">
        <v>0</v>
      </c>
      <c r="BG22" s="12" t="s">
        <v>74</v>
      </c>
      <c r="BH22" s="12" t="s">
        <v>74</v>
      </c>
      <c r="BI22" s="12">
        <v>8</v>
      </c>
      <c r="BJ22" s="12" t="s">
        <v>13051</v>
      </c>
      <c r="BK22" s="12" t="s">
        <v>102</v>
      </c>
      <c r="BL22" s="12" t="s">
        <v>13052</v>
      </c>
      <c r="BM22" s="12" t="s">
        <v>8896</v>
      </c>
      <c r="BN22" s="12">
        <v>31552236</v>
      </c>
      <c r="BO22" s="12" t="s">
        <v>614</v>
      </c>
      <c r="BP22" s="12" t="s">
        <v>74</v>
      </c>
      <c r="BQ22" s="12" t="s">
        <v>74</v>
      </c>
      <c r="BR22" s="12" t="s">
        <v>12946</v>
      </c>
      <c r="BS22" s="12" t="s">
        <v>8897</v>
      </c>
      <c r="BT22" s="12">
        <v>0</v>
      </c>
    </row>
    <row r="23" spans="1:72" x14ac:dyDescent="0.25">
      <c r="A23" s="12" t="s">
        <v>72</v>
      </c>
      <c r="B23" s="12" t="s">
        <v>11051</v>
      </c>
      <c r="C23" s="12" t="s">
        <v>74</v>
      </c>
      <c r="D23" s="12" t="s">
        <v>74</v>
      </c>
      <c r="E23" s="12" t="s">
        <v>74</v>
      </c>
      <c r="F23" s="12" t="s">
        <v>11052</v>
      </c>
      <c r="G23" s="12" t="s">
        <v>74</v>
      </c>
      <c r="H23" s="12" t="s">
        <v>74</v>
      </c>
      <c r="I23" s="12" t="s">
        <v>11053</v>
      </c>
      <c r="J23" s="12" t="s">
        <v>7999</v>
      </c>
      <c r="K23" s="12" t="s">
        <v>74</v>
      </c>
      <c r="L23" s="12" t="s">
        <v>74</v>
      </c>
      <c r="M23" s="12" t="s">
        <v>78</v>
      </c>
      <c r="N23" s="12" t="s">
        <v>79</v>
      </c>
      <c r="O23" s="12" t="s">
        <v>74</v>
      </c>
      <c r="P23" s="12" t="s">
        <v>74</v>
      </c>
      <c r="Q23" s="12" t="s">
        <v>74</v>
      </c>
      <c r="R23" s="12" t="s">
        <v>74</v>
      </c>
      <c r="S23" s="12" t="s">
        <v>74</v>
      </c>
      <c r="T23" s="12" t="s">
        <v>74</v>
      </c>
      <c r="U23" s="12" t="s">
        <v>74</v>
      </c>
      <c r="V23" s="12" t="s">
        <v>11054</v>
      </c>
      <c r="W23" s="12" t="s">
        <v>11055</v>
      </c>
      <c r="X23" s="12" t="s">
        <v>74</v>
      </c>
      <c r="Y23" s="12" t="s">
        <v>11056</v>
      </c>
      <c r="Z23" s="12" t="s">
        <v>74</v>
      </c>
      <c r="AA23" s="12" t="s">
        <v>74</v>
      </c>
      <c r="AB23" s="12" t="s">
        <v>74</v>
      </c>
      <c r="AC23" s="12" t="s">
        <v>74</v>
      </c>
      <c r="AD23" s="12" t="s">
        <v>74</v>
      </c>
      <c r="AE23" s="12" t="s">
        <v>74</v>
      </c>
      <c r="AF23" s="12" t="s">
        <v>74</v>
      </c>
      <c r="AG23" s="12">
        <v>0</v>
      </c>
      <c r="AH23" s="12">
        <v>9</v>
      </c>
      <c r="AI23" s="12">
        <v>12</v>
      </c>
      <c r="AJ23" s="12">
        <v>2</v>
      </c>
      <c r="AK23" s="12">
        <v>73</v>
      </c>
      <c r="AL23" s="12" t="s">
        <v>8003</v>
      </c>
      <c r="AM23" s="12" t="s">
        <v>8004</v>
      </c>
      <c r="AN23" s="12" t="s">
        <v>8005</v>
      </c>
      <c r="AO23" s="12" t="s">
        <v>8006</v>
      </c>
      <c r="AP23" s="12" t="s">
        <v>74</v>
      </c>
      <c r="AQ23" s="12" t="s">
        <v>74</v>
      </c>
      <c r="AR23" s="12" t="s">
        <v>8007</v>
      </c>
      <c r="AS23" s="12" t="s">
        <v>8008</v>
      </c>
      <c r="AT23" s="12" t="s">
        <v>99</v>
      </c>
      <c r="AU23" s="12">
        <v>2016</v>
      </c>
      <c r="AV23" s="12">
        <v>94</v>
      </c>
      <c r="AW23" s="12">
        <v>11</v>
      </c>
      <c r="AX23" s="12" t="s">
        <v>74</v>
      </c>
      <c r="AY23" s="12" t="s">
        <v>74</v>
      </c>
      <c r="AZ23" s="12" t="s">
        <v>74</v>
      </c>
      <c r="BA23" s="12" t="s">
        <v>74</v>
      </c>
      <c r="BB23" s="12">
        <v>68</v>
      </c>
      <c r="BC23" s="12" t="s">
        <v>11057</v>
      </c>
      <c r="BD23" s="12" t="s">
        <v>74</v>
      </c>
      <c r="BE23" s="12" t="s">
        <v>74</v>
      </c>
      <c r="BF23" s="12" t="s">
        <v>74</v>
      </c>
      <c r="BG23" s="12" t="s">
        <v>74</v>
      </c>
      <c r="BH23" s="12" t="s">
        <v>74</v>
      </c>
      <c r="BI23" s="12">
        <v>8</v>
      </c>
      <c r="BJ23" s="12" t="s">
        <v>264</v>
      </c>
      <c r="BK23" s="12" t="s">
        <v>156</v>
      </c>
      <c r="BL23" s="12" t="s">
        <v>265</v>
      </c>
      <c r="BM23" s="12" t="s">
        <v>11058</v>
      </c>
      <c r="BN23" s="12" t="s">
        <v>74</v>
      </c>
      <c r="BO23" s="12" t="s">
        <v>74</v>
      </c>
      <c r="BP23" s="12" t="s">
        <v>74</v>
      </c>
      <c r="BQ23" s="12" t="s">
        <v>74</v>
      </c>
      <c r="BR23" s="12" t="s">
        <v>12946</v>
      </c>
      <c r="BS23" s="12" t="s">
        <v>11059</v>
      </c>
      <c r="BT23" s="12">
        <v>0</v>
      </c>
    </row>
    <row r="24" spans="1:72" x14ac:dyDescent="0.25">
      <c r="A24" s="12" t="s">
        <v>72</v>
      </c>
      <c r="B24" s="12" t="s">
        <v>5464</v>
      </c>
      <c r="C24" s="12" t="s">
        <v>74</v>
      </c>
      <c r="D24" s="12" t="s">
        <v>74</v>
      </c>
      <c r="E24" s="12" t="s">
        <v>74</v>
      </c>
      <c r="F24" s="12" t="s">
        <v>5465</v>
      </c>
      <c r="G24" s="12" t="s">
        <v>74</v>
      </c>
      <c r="H24" s="12" t="s">
        <v>74</v>
      </c>
      <c r="I24" s="12" t="s">
        <v>5466</v>
      </c>
      <c r="J24" s="12" t="s">
        <v>5467</v>
      </c>
      <c r="K24" s="12" t="s">
        <v>74</v>
      </c>
      <c r="L24" s="12" t="s">
        <v>74</v>
      </c>
      <c r="M24" s="12" t="s">
        <v>78</v>
      </c>
      <c r="N24" s="12" t="s">
        <v>79</v>
      </c>
      <c r="O24" s="12" t="s">
        <v>74</v>
      </c>
      <c r="P24" s="12" t="s">
        <v>74</v>
      </c>
      <c r="Q24" s="12" t="s">
        <v>74</v>
      </c>
      <c r="R24" s="12" t="s">
        <v>74</v>
      </c>
      <c r="S24" s="12" t="s">
        <v>74</v>
      </c>
      <c r="T24" s="12" t="s">
        <v>5468</v>
      </c>
      <c r="U24" s="12" t="s">
        <v>5469</v>
      </c>
      <c r="V24" s="12" t="s">
        <v>5470</v>
      </c>
      <c r="W24" s="12" t="s">
        <v>5471</v>
      </c>
      <c r="X24" s="12" t="s">
        <v>74</v>
      </c>
      <c r="Y24" s="12" t="s">
        <v>5472</v>
      </c>
      <c r="Z24" s="12" t="s">
        <v>5473</v>
      </c>
      <c r="AA24" s="12" t="s">
        <v>74</v>
      </c>
      <c r="AB24" s="12" t="s">
        <v>74</v>
      </c>
      <c r="AC24" s="12" t="s">
        <v>74</v>
      </c>
      <c r="AD24" s="12" t="s">
        <v>74</v>
      </c>
      <c r="AE24" s="12" t="s">
        <v>74</v>
      </c>
      <c r="AF24" s="12" t="s">
        <v>74</v>
      </c>
      <c r="AG24" s="12">
        <v>45</v>
      </c>
      <c r="AH24" s="12">
        <v>8</v>
      </c>
      <c r="AI24" s="12">
        <v>8</v>
      </c>
      <c r="AJ24" s="12">
        <v>0</v>
      </c>
      <c r="AK24" s="12">
        <v>20</v>
      </c>
      <c r="AL24" s="12" t="s">
        <v>231</v>
      </c>
      <c r="AM24" s="12" t="s">
        <v>232</v>
      </c>
      <c r="AN24" s="12" t="s">
        <v>233</v>
      </c>
      <c r="AO24" s="12" t="s">
        <v>5474</v>
      </c>
      <c r="AP24" s="12" t="s">
        <v>5475</v>
      </c>
      <c r="AQ24" s="12" t="s">
        <v>74</v>
      </c>
      <c r="AR24" s="12" t="s">
        <v>5476</v>
      </c>
      <c r="AS24" s="12" t="s">
        <v>5477</v>
      </c>
      <c r="AT24" s="12" t="s">
        <v>2068</v>
      </c>
      <c r="AU24" s="12">
        <v>2022</v>
      </c>
      <c r="AV24" s="12">
        <v>36</v>
      </c>
      <c r="AW24" s="12" t="s">
        <v>74</v>
      </c>
      <c r="AX24" s="12" t="s">
        <v>74</v>
      </c>
      <c r="AY24" s="12" t="s">
        <v>74</v>
      </c>
      <c r="AZ24" s="12" t="s">
        <v>74</v>
      </c>
      <c r="BA24" s="12" t="s">
        <v>74</v>
      </c>
      <c r="BB24" s="12" t="s">
        <v>74</v>
      </c>
      <c r="BC24" s="12" t="s">
        <v>74</v>
      </c>
      <c r="BD24" s="12" t="s">
        <v>74</v>
      </c>
      <c r="BE24" s="12" t="s">
        <v>5478</v>
      </c>
      <c r="BF24" s="12">
        <v>0</v>
      </c>
      <c r="BG24" s="12" t="s">
        <v>74</v>
      </c>
      <c r="BH24" s="12" t="s">
        <v>5461</v>
      </c>
      <c r="BI24" s="12">
        <v>10</v>
      </c>
      <c r="BJ24" s="12" t="s">
        <v>5479</v>
      </c>
      <c r="BK24" s="12" t="s">
        <v>102</v>
      </c>
      <c r="BL24" s="12" t="s">
        <v>1685</v>
      </c>
      <c r="BM24" s="12" t="s">
        <v>5480</v>
      </c>
      <c r="BN24" s="12" t="s">
        <v>74</v>
      </c>
      <c r="BO24" s="12" t="s">
        <v>74</v>
      </c>
      <c r="BP24" s="12" t="s">
        <v>74</v>
      </c>
      <c r="BQ24" s="12" t="s">
        <v>74</v>
      </c>
      <c r="BR24" s="12" t="s">
        <v>12946</v>
      </c>
      <c r="BS24" s="12" t="s">
        <v>5481</v>
      </c>
      <c r="BT24" s="12">
        <v>0</v>
      </c>
    </row>
    <row r="25" spans="1:72" x14ac:dyDescent="0.25">
      <c r="A25" s="12" t="s">
        <v>72</v>
      </c>
      <c r="B25" s="12" t="s">
        <v>2323</v>
      </c>
      <c r="C25" s="12" t="s">
        <v>74</v>
      </c>
      <c r="D25" s="12" t="s">
        <v>74</v>
      </c>
      <c r="E25" s="12" t="s">
        <v>74</v>
      </c>
      <c r="F25" s="12" t="s">
        <v>2324</v>
      </c>
      <c r="G25" s="12" t="s">
        <v>74</v>
      </c>
      <c r="H25" s="12" t="s">
        <v>74</v>
      </c>
      <c r="I25" s="12" t="s">
        <v>2325</v>
      </c>
      <c r="J25" s="12" t="s">
        <v>2326</v>
      </c>
      <c r="K25" s="12" t="s">
        <v>74</v>
      </c>
      <c r="L25" s="12" t="s">
        <v>74</v>
      </c>
      <c r="M25" s="12" t="s">
        <v>78</v>
      </c>
      <c r="N25" s="12" t="s">
        <v>79</v>
      </c>
      <c r="O25" s="12" t="s">
        <v>74</v>
      </c>
      <c r="P25" s="12" t="s">
        <v>74</v>
      </c>
      <c r="Q25" s="12" t="s">
        <v>74</v>
      </c>
      <c r="R25" s="12" t="s">
        <v>74</v>
      </c>
      <c r="S25" s="12" t="s">
        <v>74</v>
      </c>
      <c r="T25" s="12" t="s">
        <v>2327</v>
      </c>
      <c r="U25" s="12" t="s">
        <v>2328</v>
      </c>
      <c r="V25" s="12" t="s">
        <v>2329</v>
      </c>
      <c r="W25" s="12" t="s">
        <v>2330</v>
      </c>
      <c r="X25" s="12" t="s">
        <v>13063</v>
      </c>
      <c r="Y25" s="12" t="s">
        <v>2332</v>
      </c>
      <c r="Z25" s="12" t="s">
        <v>2333</v>
      </c>
      <c r="AA25" s="12" t="s">
        <v>13064</v>
      </c>
      <c r="AB25" s="12" t="s">
        <v>13065</v>
      </c>
      <c r="AC25" s="12" t="s">
        <v>2336</v>
      </c>
      <c r="AD25" s="12" t="s">
        <v>2337</v>
      </c>
      <c r="AE25" s="12" t="s">
        <v>2338</v>
      </c>
      <c r="AF25" s="12" t="s">
        <v>74</v>
      </c>
      <c r="AG25" s="12">
        <v>38</v>
      </c>
      <c r="AH25" s="12">
        <v>6</v>
      </c>
      <c r="AI25" s="12">
        <v>6</v>
      </c>
      <c r="AJ25" s="12">
        <v>2</v>
      </c>
      <c r="AK25" s="12">
        <v>26</v>
      </c>
      <c r="AL25" s="12" t="s">
        <v>2339</v>
      </c>
      <c r="AM25" s="12" t="s">
        <v>2340</v>
      </c>
      <c r="AN25" s="12" t="s">
        <v>2341</v>
      </c>
      <c r="AO25" s="12" t="s">
        <v>2342</v>
      </c>
      <c r="AP25" s="12" t="s">
        <v>2343</v>
      </c>
      <c r="AQ25" s="12" t="s">
        <v>74</v>
      </c>
      <c r="AR25" s="12" t="s">
        <v>2344</v>
      </c>
      <c r="AS25" s="12" t="s">
        <v>2345</v>
      </c>
      <c r="AT25" s="12" t="s">
        <v>2346</v>
      </c>
      <c r="AU25" s="12">
        <v>2022</v>
      </c>
      <c r="AV25" s="12">
        <v>13</v>
      </c>
      <c r="AW25" s="12">
        <v>7</v>
      </c>
      <c r="AX25" s="12" t="s">
        <v>74</v>
      </c>
      <c r="AY25" s="12" t="s">
        <v>74</v>
      </c>
      <c r="AZ25" s="12" t="s">
        <v>74</v>
      </c>
      <c r="BA25" s="12" t="s">
        <v>74</v>
      </c>
      <c r="BB25" s="12">
        <v>1373</v>
      </c>
      <c r="BC25" s="12">
        <v>1382</v>
      </c>
      <c r="BD25" s="12" t="s">
        <v>74</v>
      </c>
      <c r="BE25" s="12" t="s">
        <v>2347</v>
      </c>
      <c r="BF25" s="12">
        <v>0</v>
      </c>
      <c r="BG25" s="12" t="s">
        <v>74</v>
      </c>
      <c r="BH25" s="12" t="s">
        <v>74</v>
      </c>
      <c r="BI25" s="12">
        <v>10</v>
      </c>
      <c r="BJ25" s="12" t="s">
        <v>2113</v>
      </c>
      <c r="BK25" s="12" t="s">
        <v>183</v>
      </c>
      <c r="BL25" s="12" t="s">
        <v>1685</v>
      </c>
      <c r="BM25" s="12" t="s">
        <v>2348</v>
      </c>
      <c r="BN25" s="12" t="s">
        <v>74</v>
      </c>
      <c r="BO25" s="12" t="s">
        <v>186</v>
      </c>
      <c r="BP25" s="12" t="s">
        <v>74</v>
      </c>
      <c r="BQ25" s="12" t="s">
        <v>74</v>
      </c>
      <c r="BR25" s="12" t="s">
        <v>12946</v>
      </c>
      <c r="BS25" s="12" t="s">
        <v>2349</v>
      </c>
      <c r="BT25" s="12">
        <v>0</v>
      </c>
    </row>
    <row r="26" spans="1:72" x14ac:dyDescent="0.25">
      <c r="A26" s="12" t="s">
        <v>72</v>
      </c>
      <c r="B26" s="12" t="s">
        <v>2696</v>
      </c>
      <c r="C26" s="12" t="s">
        <v>74</v>
      </c>
      <c r="D26" s="12" t="s">
        <v>74</v>
      </c>
      <c r="E26" s="12" t="s">
        <v>74</v>
      </c>
      <c r="F26" s="12" t="s">
        <v>2697</v>
      </c>
      <c r="G26" s="12" t="s">
        <v>74</v>
      </c>
      <c r="H26" s="12" t="s">
        <v>74</v>
      </c>
      <c r="I26" s="12" t="s">
        <v>2698</v>
      </c>
      <c r="J26" s="12" t="s">
        <v>191</v>
      </c>
      <c r="K26" s="12" t="s">
        <v>74</v>
      </c>
      <c r="L26" s="12" t="s">
        <v>74</v>
      </c>
      <c r="M26" s="12" t="s">
        <v>78</v>
      </c>
      <c r="N26" s="12" t="s">
        <v>79</v>
      </c>
      <c r="O26" s="12" t="s">
        <v>74</v>
      </c>
      <c r="P26" s="12" t="s">
        <v>74</v>
      </c>
      <c r="Q26" s="12" t="s">
        <v>74</v>
      </c>
      <c r="R26" s="12" t="s">
        <v>74</v>
      </c>
      <c r="S26" s="12" t="s">
        <v>74</v>
      </c>
      <c r="T26" s="12" t="s">
        <v>2699</v>
      </c>
      <c r="U26" s="12" t="s">
        <v>74</v>
      </c>
      <c r="V26" s="12" t="s">
        <v>2700</v>
      </c>
      <c r="W26" s="12" t="s">
        <v>2701</v>
      </c>
      <c r="X26" s="12" t="s">
        <v>2702</v>
      </c>
      <c r="Y26" s="12" t="s">
        <v>2703</v>
      </c>
      <c r="Z26" s="12" t="s">
        <v>2704</v>
      </c>
      <c r="AA26" s="12" t="s">
        <v>13066</v>
      </c>
      <c r="AB26" s="12" t="s">
        <v>74</v>
      </c>
      <c r="AC26" s="12" t="s">
        <v>2705</v>
      </c>
      <c r="AD26" s="12" t="s">
        <v>2705</v>
      </c>
      <c r="AE26" s="12" t="s">
        <v>2706</v>
      </c>
      <c r="AF26" s="12" t="s">
        <v>74</v>
      </c>
      <c r="AG26" s="12">
        <v>92</v>
      </c>
      <c r="AH26" s="12">
        <v>6</v>
      </c>
      <c r="AI26" s="12">
        <v>6</v>
      </c>
      <c r="AJ26" s="12">
        <v>3</v>
      </c>
      <c r="AK26" s="12">
        <v>29</v>
      </c>
      <c r="AL26" s="12" t="s">
        <v>202</v>
      </c>
      <c r="AM26" s="12" t="s">
        <v>203</v>
      </c>
      <c r="AN26" s="12" t="s">
        <v>204</v>
      </c>
      <c r="AO26" s="12" t="s">
        <v>74</v>
      </c>
      <c r="AP26" s="12" t="s">
        <v>205</v>
      </c>
      <c r="AQ26" s="12" t="s">
        <v>74</v>
      </c>
      <c r="AR26" s="12" t="s">
        <v>206</v>
      </c>
      <c r="AS26" s="12" t="s">
        <v>207</v>
      </c>
      <c r="AT26" s="12" t="s">
        <v>99</v>
      </c>
      <c r="AU26" s="12">
        <v>2022</v>
      </c>
      <c r="AV26" s="12">
        <v>14</v>
      </c>
      <c r="AW26" s="12">
        <v>22</v>
      </c>
      <c r="AX26" s="12" t="s">
        <v>74</v>
      </c>
      <c r="AY26" s="12" t="s">
        <v>74</v>
      </c>
      <c r="AZ26" s="12" t="s">
        <v>74</v>
      </c>
      <c r="BA26" s="12" t="s">
        <v>74</v>
      </c>
      <c r="BB26" s="12" t="s">
        <v>74</v>
      </c>
      <c r="BC26" s="12" t="s">
        <v>74</v>
      </c>
      <c r="BD26" s="12">
        <v>15436</v>
      </c>
      <c r="BE26" s="12" t="s">
        <v>2707</v>
      </c>
      <c r="BF26" s="12">
        <v>0</v>
      </c>
      <c r="BG26" s="12" t="s">
        <v>74</v>
      </c>
      <c r="BH26" s="12" t="s">
        <v>74</v>
      </c>
      <c r="BI26" s="12">
        <v>19</v>
      </c>
      <c r="BJ26" s="12" t="s">
        <v>210</v>
      </c>
      <c r="BK26" s="12" t="s">
        <v>211</v>
      </c>
      <c r="BL26" s="12" t="s">
        <v>212</v>
      </c>
      <c r="BM26" s="12" t="s">
        <v>2708</v>
      </c>
      <c r="BN26" s="12" t="s">
        <v>74</v>
      </c>
      <c r="BO26" s="12" t="s">
        <v>186</v>
      </c>
      <c r="BP26" s="12" t="s">
        <v>74</v>
      </c>
      <c r="BQ26" s="12" t="s">
        <v>74</v>
      </c>
      <c r="BR26" s="12" t="s">
        <v>12946</v>
      </c>
      <c r="BS26" s="12" t="s">
        <v>2709</v>
      </c>
      <c r="BT26" s="12">
        <v>0</v>
      </c>
    </row>
    <row r="27" spans="1:72" x14ac:dyDescent="0.25">
      <c r="A27" s="12" t="s">
        <v>72</v>
      </c>
      <c r="B27" s="12" t="s">
        <v>6406</v>
      </c>
      <c r="C27" s="12" t="s">
        <v>74</v>
      </c>
      <c r="D27" s="12" t="s">
        <v>74</v>
      </c>
      <c r="E27" s="12" t="s">
        <v>74</v>
      </c>
      <c r="F27" s="12" t="s">
        <v>6407</v>
      </c>
      <c r="G27" s="12" t="s">
        <v>74</v>
      </c>
      <c r="H27" s="12" t="s">
        <v>74</v>
      </c>
      <c r="I27" s="12" t="s">
        <v>6408</v>
      </c>
      <c r="J27" s="12" t="s">
        <v>6409</v>
      </c>
      <c r="K27" s="12" t="s">
        <v>74</v>
      </c>
      <c r="L27" s="12" t="s">
        <v>74</v>
      </c>
      <c r="M27" s="12" t="s">
        <v>78</v>
      </c>
      <c r="N27" s="12" t="s">
        <v>79</v>
      </c>
      <c r="O27" s="12" t="s">
        <v>74</v>
      </c>
      <c r="P27" s="12" t="s">
        <v>74</v>
      </c>
      <c r="Q27" s="12" t="s">
        <v>74</v>
      </c>
      <c r="R27" s="12" t="s">
        <v>74</v>
      </c>
      <c r="S27" s="12" t="s">
        <v>74</v>
      </c>
      <c r="T27" s="12" t="s">
        <v>6410</v>
      </c>
      <c r="U27" s="12" t="s">
        <v>74</v>
      </c>
      <c r="V27" s="12" t="s">
        <v>6411</v>
      </c>
      <c r="W27" s="12" t="s">
        <v>6412</v>
      </c>
      <c r="X27" s="12" t="s">
        <v>6413</v>
      </c>
      <c r="Y27" s="12" t="s">
        <v>6414</v>
      </c>
      <c r="Z27" s="12" t="s">
        <v>6415</v>
      </c>
      <c r="AA27" s="12" t="s">
        <v>13070</v>
      </c>
      <c r="AB27" s="12" t="s">
        <v>74</v>
      </c>
      <c r="AC27" s="12" t="s">
        <v>74</v>
      </c>
      <c r="AD27" s="12" t="s">
        <v>74</v>
      </c>
      <c r="AE27" s="12" t="s">
        <v>74</v>
      </c>
      <c r="AF27" s="12" t="s">
        <v>74</v>
      </c>
      <c r="AG27" s="12">
        <v>25</v>
      </c>
      <c r="AH27" s="12">
        <v>6</v>
      </c>
      <c r="AI27" s="12">
        <v>6</v>
      </c>
      <c r="AJ27" s="12">
        <v>1</v>
      </c>
      <c r="AK27" s="12">
        <v>2</v>
      </c>
      <c r="AL27" s="12" t="s">
        <v>1013</v>
      </c>
      <c r="AM27" s="12" t="s">
        <v>493</v>
      </c>
      <c r="AN27" s="12" t="s">
        <v>1014</v>
      </c>
      <c r="AO27" s="12" t="s">
        <v>6418</v>
      </c>
      <c r="AP27" s="12" t="s">
        <v>6419</v>
      </c>
      <c r="AQ27" s="12" t="s">
        <v>74</v>
      </c>
      <c r="AR27" s="12" t="s">
        <v>6420</v>
      </c>
      <c r="AS27" s="12" t="s">
        <v>6421</v>
      </c>
      <c r="AT27" s="12" t="s">
        <v>4210</v>
      </c>
      <c r="AU27" s="12">
        <v>2021</v>
      </c>
      <c r="AV27" s="12">
        <v>14</v>
      </c>
      <c r="AW27" s="12">
        <v>2</v>
      </c>
      <c r="AX27" s="12" t="s">
        <v>74</v>
      </c>
      <c r="AY27" s="12" t="s">
        <v>74</v>
      </c>
      <c r="AZ27" s="12" t="s">
        <v>74</v>
      </c>
      <c r="BA27" s="12" t="s">
        <v>74</v>
      </c>
      <c r="BB27" s="12">
        <v>162</v>
      </c>
      <c r="BC27" s="12">
        <v>172</v>
      </c>
      <c r="BD27" s="12" t="s">
        <v>74</v>
      </c>
      <c r="BE27" s="12" t="s">
        <v>6422</v>
      </c>
      <c r="BF27" s="12">
        <v>0</v>
      </c>
      <c r="BG27" s="12" t="s">
        <v>74</v>
      </c>
      <c r="BH27" s="12" t="s">
        <v>74</v>
      </c>
      <c r="BI27" s="12">
        <v>11</v>
      </c>
      <c r="BJ27" s="12" t="s">
        <v>6423</v>
      </c>
      <c r="BK27" s="12" t="s">
        <v>183</v>
      </c>
      <c r="BL27" s="12" t="s">
        <v>6424</v>
      </c>
      <c r="BM27" s="12" t="s">
        <v>6425</v>
      </c>
      <c r="BN27" s="12" t="s">
        <v>74</v>
      </c>
      <c r="BO27" s="12" t="s">
        <v>74</v>
      </c>
      <c r="BP27" s="12" t="s">
        <v>74</v>
      </c>
      <c r="BQ27" s="12" t="s">
        <v>74</v>
      </c>
      <c r="BR27" s="12" t="s">
        <v>12946</v>
      </c>
      <c r="BS27" s="12" t="s">
        <v>6426</v>
      </c>
      <c r="BT27" s="12">
        <v>0</v>
      </c>
    </row>
    <row r="28" spans="1:72" x14ac:dyDescent="0.25">
      <c r="A28" s="12" t="s">
        <v>72</v>
      </c>
      <c r="B28" s="12" t="s">
        <v>7328</v>
      </c>
      <c r="C28" s="12" t="s">
        <v>74</v>
      </c>
      <c r="D28" s="12" t="s">
        <v>74</v>
      </c>
      <c r="E28" s="12" t="s">
        <v>74</v>
      </c>
      <c r="F28" s="12" t="s">
        <v>7329</v>
      </c>
      <c r="G28" s="12" t="s">
        <v>74</v>
      </c>
      <c r="H28" s="12" t="s">
        <v>74</v>
      </c>
      <c r="I28" s="12" t="s">
        <v>7330</v>
      </c>
      <c r="J28" s="12" t="s">
        <v>7331</v>
      </c>
      <c r="K28" s="12" t="s">
        <v>74</v>
      </c>
      <c r="L28" s="12" t="s">
        <v>74</v>
      </c>
      <c r="M28" s="12" t="s">
        <v>78</v>
      </c>
      <c r="N28" s="12" t="s">
        <v>79</v>
      </c>
      <c r="O28" s="12" t="s">
        <v>74</v>
      </c>
      <c r="P28" s="12" t="s">
        <v>74</v>
      </c>
      <c r="Q28" s="12" t="s">
        <v>74</v>
      </c>
      <c r="R28" s="12" t="s">
        <v>74</v>
      </c>
      <c r="S28" s="12" t="s">
        <v>74</v>
      </c>
      <c r="T28" s="12" t="s">
        <v>7332</v>
      </c>
      <c r="U28" s="12" t="s">
        <v>7333</v>
      </c>
      <c r="V28" s="12" t="s">
        <v>7334</v>
      </c>
      <c r="W28" s="12" t="s">
        <v>7335</v>
      </c>
      <c r="X28" s="12" t="s">
        <v>7336</v>
      </c>
      <c r="Y28" s="12" t="s">
        <v>7337</v>
      </c>
      <c r="Z28" s="12" t="s">
        <v>7338</v>
      </c>
      <c r="AA28" s="12" t="s">
        <v>13071</v>
      </c>
      <c r="AB28" s="12" t="s">
        <v>13072</v>
      </c>
      <c r="AC28" s="12" t="s">
        <v>7341</v>
      </c>
      <c r="AD28" s="12" t="s">
        <v>7342</v>
      </c>
      <c r="AE28" s="12" t="s">
        <v>7343</v>
      </c>
      <c r="AF28" s="12" t="s">
        <v>74</v>
      </c>
      <c r="AG28" s="12">
        <v>57</v>
      </c>
      <c r="AH28" s="12">
        <v>6</v>
      </c>
      <c r="AI28" s="12">
        <v>6</v>
      </c>
      <c r="AJ28" s="12">
        <v>5</v>
      </c>
      <c r="AK28" s="12">
        <v>66</v>
      </c>
      <c r="AL28" s="12" t="s">
        <v>7344</v>
      </c>
      <c r="AM28" s="12" t="s">
        <v>7345</v>
      </c>
      <c r="AN28" s="12" t="s">
        <v>7346</v>
      </c>
      <c r="AO28" s="12" t="s">
        <v>7347</v>
      </c>
      <c r="AP28" s="12" t="s">
        <v>74</v>
      </c>
      <c r="AQ28" s="12" t="s">
        <v>74</v>
      </c>
      <c r="AR28" s="12" t="s">
        <v>7348</v>
      </c>
      <c r="AS28" s="12" t="s">
        <v>7349</v>
      </c>
      <c r="AT28" s="12" t="s">
        <v>74</v>
      </c>
      <c r="AU28" s="12">
        <v>2021</v>
      </c>
      <c r="AV28" s="12">
        <v>24</v>
      </c>
      <c r="AW28" s="12">
        <v>1</v>
      </c>
      <c r="AX28" s="12" t="s">
        <v>74</v>
      </c>
      <c r="AY28" s="12" t="s">
        <v>74</v>
      </c>
      <c r="AZ28" s="12" t="s">
        <v>74</v>
      </c>
      <c r="BA28" s="12" t="s">
        <v>74</v>
      </c>
      <c r="BB28" s="12">
        <v>306</v>
      </c>
      <c r="BC28" s="12">
        <v>321</v>
      </c>
      <c r="BD28" s="12" t="s">
        <v>74</v>
      </c>
      <c r="BE28" s="12" t="s">
        <v>7350</v>
      </c>
      <c r="BF28" s="12">
        <v>0</v>
      </c>
      <c r="BG28" s="12" t="s">
        <v>74</v>
      </c>
      <c r="BH28" s="12" t="s">
        <v>74</v>
      </c>
      <c r="BI28" s="12">
        <v>16</v>
      </c>
      <c r="BJ28" s="12" t="s">
        <v>315</v>
      </c>
      <c r="BK28" s="12" t="s">
        <v>183</v>
      </c>
      <c r="BL28" s="12" t="s">
        <v>265</v>
      </c>
      <c r="BM28" s="12" t="s">
        <v>7351</v>
      </c>
      <c r="BN28" s="12" t="s">
        <v>74</v>
      </c>
      <c r="BO28" s="12" t="s">
        <v>186</v>
      </c>
      <c r="BP28" s="12" t="s">
        <v>74</v>
      </c>
      <c r="BQ28" s="12" t="s">
        <v>74</v>
      </c>
      <c r="BR28" s="12" t="s">
        <v>12946</v>
      </c>
      <c r="BS28" s="12" t="s">
        <v>7352</v>
      </c>
      <c r="BT28" s="12">
        <v>0</v>
      </c>
    </row>
    <row r="29" spans="1:72" x14ac:dyDescent="0.25">
      <c r="A29" s="12" t="s">
        <v>72</v>
      </c>
      <c r="B29" s="12" t="s">
        <v>73</v>
      </c>
      <c r="C29" s="12" t="s">
        <v>74</v>
      </c>
      <c r="D29" s="12" t="s">
        <v>74</v>
      </c>
      <c r="E29" s="12" t="s">
        <v>74</v>
      </c>
      <c r="F29" s="12" t="s">
        <v>75</v>
      </c>
      <c r="G29" s="12" t="s">
        <v>74</v>
      </c>
      <c r="H29" s="12" t="s">
        <v>74</v>
      </c>
      <c r="I29" s="12" t="s">
        <v>76</v>
      </c>
      <c r="J29" s="12" t="s">
        <v>77</v>
      </c>
      <c r="K29" s="12" t="s">
        <v>74</v>
      </c>
      <c r="L29" s="12" t="s">
        <v>74</v>
      </c>
      <c r="M29" s="12" t="s">
        <v>78</v>
      </c>
      <c r="N29" s="12" t="s">
        <v>79</v>
      </c>
      <c r="O29" s="12" t="s">
        <v>74</v>
      </c>
      <c r="P29" s="12" t="s">
        <v>74</v>
      </c>
      <c r="Q29" s="12" t="s">
        <v>74</v>
      </c>
      <c r="R29" s="12" t="s">
        <v>74</v>
      </c>
      <c r="S29" s="12" t="s">
        <v>74</v>
      </c>
      <c r="T29" s="12" t="s">
        <v>80</v>
      </c>
      <c r="U29" s="12" t="s">
        <v>81</v>
      </c>
      <c r="V29" s="12" t="s">
        <v>82</v>
      </c>
      <c r="W29" s="12" t="s">
        <v>83</v>
      </c>
      <c r="X29" s="12" t="s">
        <v>13073</v>
      </c>
      <c r="Y29" s="12" t="s">
        <v>85</v>
      </c>
      <c r="Z29" s="12" t="s">
        <v>86</v>
      </c>
      <c r="AA29" s="12" t="s">
        <v>13074</v>
      </c>
      <c r="AB29" s="12" t="s">
        <v>13075</v>
      </c>
      <c r="AC29" s="12" t="s">
        <v>89</v>
      </c>
      <c r="AD29" s="12" t="s">
        <v>90</v>
      </c>
      <c r="AE29" s="12" t="s">
        <v>91</v>
      </c>
      <c r="AF29" s="12" t="s">
        <v>74</v>
      </c>
      <c r="AG29" s="12">
        <v>55</v>
      </c>
      <c r="AH29" s="12">
        <v>5</v>
      </c>
      <c r="AI29" s="12">
        <v>6</v>
      </c>
      <c r="AJ29" s="12">
        <v>48</v>
      </c>
      <c r="AK29" s="12">
        <v>74</v>
      </c>
      <c r="AL29" s="12" t="s">
        <v>92</v>
      </c>
      <c r="AM29" s="12" t="s">
        <v>93</v>
      </c>
      <c r="AN29" s="12" t="s">
        <v>94</v>
      </c>
      <c r="AO29" s="12" t="s">
        <v>95</v>
      </c>
      <c r="AP29" s="12" t="s">
        <v>96</v>
      </c>
      <c r="AQ29" s="12" t="s">
        <v>74</v>
      </c>
      <c r="AR29" s="12" t="s">
        <v>97</v>
      </c>
      <c r="AS29" s="12" t="s">
        <v>98</v>
      </c>
      <c r="AT29" s="12" t="s">
        <v>99</v>
      </c>
      <c r="AU29" s="12">
        <v>2023</v>
      </c>
      <c r="AV29" s="12">
        <v>185</v>
      </c>
      <c r="AW29" s="12" t="s">
        <v>74</v>
      </c>
      <c r="AX29" s="12" t="s">
        <v>74</v>
      </c>
      <c r="AY29" s="12" t="s">
        <v>74</v>
      </c>
      <c r="AZ29" s="12" t="s">
        <v>74</v>
      </c>
      <c r="BA29" s="12" t="s">
        <v>74</v>
      </c>
      <c r="BB29" s="12" t="s">
        <v>74</v>
      </c>
      <c r="BC29" s="12" t="s">
        <v>74</v>
      </c>
      <c r="BD29" s="12">
        <v>109645</v>
      </c>
      <c r="BE29" s="12" t="s">
        <v>100</v>
      </c>
      <c r="BF29" s="12">
        <v>0</v>
      </c>
      <c r="BG29" s="12" t="s">
        <v>74</v>
      </c>
      <c r="BH29" s="12" t="s">
        <v>130</v>
      </c>
      <c r="BI29" s="12">
        <v>19</v>
      </c>
      <c r="BJ29" s="12" t="s">
        <v>101</v>
      </c>
      <c r="BK29" s="12" t="s">
        <v>102</v>
      </c>
      <c r="BL29" s="12" t="s">
        <v>103</v>
      </c>
      <c r="BM29" s="12" t="s">
        <v>104</v>
      </c>
      <c r="BN29" s="12" t="s">
        <v>74</v>
      </c>
      <c r="BO29" s="12" t="s">
        <v>1539</v>
      </c>
      <c r="BP29" s="12" t="s">
        <v>74</v>
      </c>
      <c r="BQ29" s="12" t="s">
        <v>74</v>
      </c>
      <c r="BR29" s="12" t="s">
        <v>12946</v>
      </c>
      <c r="BS29" s="12" t="s">
        <v>107</v>
      </c>
      <c r="BT29" s="12">
        <v>0</v>
      </c>
    </row>
    <row r="30" spans="1:72" x14ac:dyDescent="0.25">
      <c r="A30" s="12" t="s">
        <v>72</v>
      </c>
      <c r="B30" s="12" t="s">
        <v>2732</v>
      </c>
      <c r="C30" s="12" t="s">
        <v>74</v>
      </c>
      <c r="D30" s="12" t="s">
        <v>74</v>
      </c>
      <c r="E30" s="12" t="s">
        <v>74</v>
      </c>
      <c r="F30" s="12" t="s">
        <v>2733</v>
      </c>
      <c r="G30" s="12" t="s">
        <v>74</v>
      </c>
      <c r="H30" s="12" t="s">
        <v>74</v>
      </c>
      <c r="I30" s="12" t="s">
        <v>2734</v>
      </c>
      <c r="J30" s="12" t="s">
        <v>191</v>
      </c>
      <c r="K30" s="12" t="s">
        <v>74</v>
      </c>
      <c r="L30" s="12" t="s">
        <v>74</v>
      </c>
      <c r="M30" s="12" t="s">
        <v>78</v>
      </c>
      <c r="N30" s="12" t="s">
        <v>79</v>
      </c>
      <c r="O30" s="12" t="s">
        <v>74</v>
      </c>
      <c r="P30" s="12" t="s">
        <v>74</v>
      </c>
      <c r="Q30" s="12" t="s">
        <v>74</v>
      </c>
      <c r="R30" s="12" t="s">
        <v>74</v>
      </c>
      <c r="S30" s="12" t="s">
        <v>74</v>
      </c>
      <c r="T30" s="12" t="s">
        <v>2735</v>
      </c>
      <c r="U30" s="12" t="s">
        <v>2736</v>
      </c>
      <c r="V30" s="12" t="s">
        <v>2737</v>
      </c>
      <c r="W30" s="12" t="s">
        <v>2738</v>
      </c>
      <c r="X30" s="12" t="s">
        <v>2739</v>
      </c>
      <c r="Y30" s="12" t="s">
        <v>2740</v>
      </c>
      <c r="Z30" s="12" t="s">
        <v>2741</v>
      </c>
      <c r="AA30" s="12" t="s">
        <v>2742</v>
      </c>
      <c r="AB30" s="12" t="s">
        <v>2743</v>
      </c>
      <c r="AC30" s="12" t="s">
        <v>74</v>
      </c>
      <c r="AD30" s="12" t="s">
        <v>74</v>
      </c>
      <c r="AE30" s="12" t="s">
        <v>74</v>
      </c>
      <c r="AF30" s="12" t="s">
        <v>74</v>
      </c>
      <c r="AG30" s="12">
        <v>79</v>
      </c>
      <c r="AH30" s="12">
        <v>5</v>
      </c>
      <c r="AI30" s="12">
        <v>5</v>
      </c>
      <c r="AJ30" s="12">
        <v>8</v>
      </c>
      <c r="AK30" s="12">
        <v>37</v>
      </c>
      <c r="AL30" s="12" t="s">
        <v>202</v>
      </c>
      <c r="AM30" s="12" t="s">
        <v>203</v>
      </c>
      <c r="AN30" s="12" t="s">
        <v>204</v>
      </c>
      <c r="AO30" s="12" t="s">
        <v>74</v>
      </c>
      <c r="AP30" s="12" t="s">
        <v>205</v>
      </c>
      <c r="AQ30" s="12" t="s">
        <v>74</v>
      </c>
      <c r="AR30" s="12" t="s">
        <v>206</v>
      </c>
      <c r="AS30" s="12" t="s">
        <v>207</v>
      </c>
      <c r="AT30" s="12" t="s">
        <v>99</v>
      </c>
      <c r="AU30" s="12">
        <v>2022</v>
      </c>
      <c r="AV30" s="12">
        <v>14</v>
      </c>
      <c r="AW30" s="12">
        <v>21</v>
      </c>
      <c r="AX30" s="12" t="s">
        <v>74</v>
      </c>
      <c r="AY30" s="12" t="s">
        <v>74</v>
      </c>
      <c r="AZ30" s="12" t="s">
        <v>74</v>
      </c>
      <c r="BA30" s="12" t="s">
        <v>74</v>
      </c>
      <c r="BB30" s="12" t="s">
        <v>74</v>
      </c>
      <c r="BC30" s="12" t="s">
        <v>74</v>
      </c>
      <c r="BD30" s="12">
        <v>14352</v>
      </c>
      <c r="BE30" s="12" t="s">
        <v>2744</v>
      </c>
      <c r="BF30" s="12">
        <v>0</v>
      </c>
      <c r="BG30" s="12" t="s">
        <v>74</v>
      </c>
      <c r="BH30" s="12" t="s">
        <v>74</v>
      </c>
      <c r="BI30" s="12">
        <v>17</v>
      </c>
      <c r="BJ30" s="12" t="s">
        <v>210</v>
      </c>
      <c r="BK30" s="12" t="s">
        <v>211</v>
      </c>
      <c r="BL30" s="12" t="s">
        <v>212</v>
      </c>
      <c r="BM30" s="12" t="s">
        <v>2745</v>
      </c>
      <c r="BN30" s="12" t="s">
        <v>74</v>
      </c>
      <c r="BO30" s="12" t="s">
        <v>614</v>
      </c>
      <c r="BP30" s="12" t="s">
        <v>74</v>
      </c>
      <c r="BQ30" s="12" t="s">
        <v>74</v>
      </c>
      <c r="BR30" s="12" t="s">
        <v>12946</v>
      </c>
      <c r="BS30" s="12" t="s">
        <v>2746</v>
      </c>
      <c r="BT30" s="12">
        <v>0</v>
      </c>
    </row>
    <row r="31" spans="1:72" x14ac:dyDescent="0.25">
      <c r="A31" s="12" t="s">
        <v>72</v>
      </c>
      <c r="B31" s="12" t="s">
        <v>7243</v>
      </c>
      <c r="C31" s="12" t="s">
        <v>74</v>
      </c>
      <c r="D31" s="12" t="s">
        <v>74</v>
      </c>
      <c r="E31" s="12" t="s">
        <v>74</v>
      </c>
      <c r="F31" s="12" t="s">
        <v>7244</v>
      </c>
      <c r="G31" s="12" t="s">
        <v>74</v>
      </c>
      <c r="H31" s="12" t="s">
        <v>74</v>
      </c>
      <c r="I31" s="12" t="s">
        <v>7245</v>
      </c>
      <c r="J31" s="12" t="s">
        <v>7246</v>
      </c>
      <c r="K31" s="12" t="s">
        <v>74</v>
      </c>
      <c r="L31" s="12" t="s">
        <v>74</v>
      </c>
      <c r="M31" s="12" t="s">
        <v>78</v>
      </c>
      <c r="N31" s="12" t="s">
        <v>7247</v>
      </c>
      <c r="O31" s="12" t="s">
        <v>7248</v>
      </c>
      <c r="P31" s="12" t="s">
        <v>7249</v>
      </c>
      <c r="Q31" s="12" t="s">
        <v>7250</v>
      </c>
      <c r="R31" s="12" t="s">
        <v>74</v>
      </c>
      <c r="S31" s="12" t="s">
        <v>7251</v>
      </c>
      <c r="T31" s="12" t="s">
        <v>7252</v>
      </c>
      <c r="U31" s="12" t="s">
        <v>7253</v>
      </c>
      <c r="V31" s="12" t="s">
        <v>7254</v>
      </c>
      <c r="W31" s="12" t="s">
        <v>7255</v>
      </c>
      <c r="X31" s="12" t="s">
        <v>7256</v>
      </c>
      <c r="Y31" s="12" t="s">
        <v>7257</v>
      </c>
      <c r="Z31" s="12" t="s">
        <v>7258</v>
      </c>
      <c r="AA31" s="12" t="s">
        <v>13079</v>
      </c>
      <c r="AB31" s="12" t="s">
        <v>74</v>
      </c>
      <c r="AC31" s="12" t="s">
        <v>74</v>
      </c>
      <c r="AD31" s="12" t="s">
        <v>74</v>
      </c>
      <c r="AE31" s="12" t="s">
        <v>74</v>
      </c>
      <c r="AF31" s="12" t="s">
        <v>74</v>
      </c>
      <c r="AG31" s="12">
        <v>28</v>
      </c>
      <c r="AH31" s="12">
        <v>5</v>
      </c>
      <c r="AI31" s="12">
        <v>5</v>
      </c>
      <c r="AJ31" s="12">
        <v>0</v>
      </c>
      <c r="AK31" s="12">
        <v>37</v>
      </c>
      <c r="AL31" s="12" t="s">
        <v>7261</v>
      </c>
      <c r="AM31" s="12" t="s">
        <v>2281</v>
      </c>
      <c r="AN31" s="12" t="s">
        <v>7262</v>
      </c>
      <c r="AO31" s="12" t="s">
        <v>7263</v>
      </c>
      <c r="AP31" s="12" t="s">
        <v>74</v>
      </c>
      <c r="AQ31" s="12" t="s">
        <v>74</v>
      </c>
      <c r="AR31" s="12" t="s">
        <v>7264</v>
      </c>
      <c r="AS31" s="12" t="s">
        <v>7265</v>
      </c>
      <c r="AT31" s="12" t="s">
        <v>74</v>
      </c>
      <c r="AU31" s="12">
        <v>2021</v>
      </c>
      <c r="AV31" s="12">
        <v>18</v>
      </c>
      <c r="AW31" s="12">
        <v>3</v>
      </c>
      <c r="AX31" s="12" t="s">
        <v>74</v>
      </c>
      <c r="AY31" s="12" t="s">
        <v>74</v>
      </c>
      <c r="AZ31" s="12" t="s">
        <v>74</v>
      </c>
      <c r="BA31" s="12" t="s">
        <v>74</v>
      </c>
      <c r="BB31" s="12" t="s">
        <v>74</v>
      </c>
      <c r="BC31" s="12" t="s">
        <v>74</v>
      </c>
      <c r="BD31" s="12" t="s">
        <v>7266</v>
      </c>
      <c r="BE31" s="12" t="s">
        <v>7267</v>
      </c>
      <c r="BF31" s="12">
        <v>0</v>
      </c>
      <c r="BG31" s="12" t="s">
        <v>74</v>
      </c>
      <c r="BH31" s="12" t="s">
        <v>74</v>
      </c>
      <c r="BI31" s="12">
        <v>17</v>
      </c>
      <c r="BJ31" s="12" t="s">
        <v>6503</v>
      </c>
      <c r="BK31" s="12" t="s">
        <v>183</v>
      </c>
      <c r="BL31" s="12" t="s">
        <v>6503</v>
      </c>
      <c r="BM31" s="12" t="s">
        <v>7268</v>
      </c>
      <c r="BN31" s="12" t="s">
        <v>74</v>
      </c>
      <c r="BO31" s="12" t="s">
        <v>422</v>
      </c>
      <c r="BP31" s="12" t="s">
        <v>74</v>
      </c>
      <c r="BQ31" s="12" t="s">
        <v>74</v>
      </c>
      <c r="BR31" s="12" t="s">
        <v>12946</v>
      </c>
      <c r="BS31" s="12" t="s">
        <v>7269</v>
      </c>
      <c r="BT31" s="12">
        <v>0</v>
      </c>
    </row>
    <row r="32" spans="1:72" x14ac:dyDescent="0.25">
      <c r="A32" s="12" t="s">
        <v>72</v>
      </c>
      <c r="B32" s="12" t="s">
        <v>770</v>
      </c>
      <c r="C32" s="12" t="s">
        <v>74</v>
      </c>
      <c r="D32" s="12" t="s">
        <v>74</v>
      </c>
      <c r="E32" s="12" t="s">
        <v>74</v>
      </c>
      <c r="F32" s="12" t="s">
        <v>771</v>
      </c>
      <c r="G32" s="12" t="s">
        <v>74</v>
      </c>
      <c r="H32" s="12" t="s">
        <v>74</v>
      </c>
      <c r="I32" s="12" t="s">
        <v>772</v>
      </c>
      <c r="J32" s="12" t="s">
        <v>773</v>
      </c>
      <c r="K32" s="12" t="s">
        <v>74</v>
      </c>
      <c r="L32" s="12" t="s">
        <v>74</v>
      </c>
      <c r="M32" s="12" t="s">
        <v>78</v>
      </c>
      <c r="N32" s="12" t="s">
        <v>79</v>
      </c>
      <c r="O32" s="12" t="s">
        <v>74</v>
      </c>
      <c r="P32" s="12" t="s">
        <v>74</v>
      </c>
      <c r="Q32" s="12" t="s">
        <v>74</v>
      </c>
      <c r="R32" s="12" t="s">
        <v>74</v>
      </c>
      <c r="S32" s="12" t="s">
        <v>74</v>
      </c>
      <c r="T32" s="12" t="s">
        <v>774</v>
      </c>
      <c r="U32" s="12" t="s">
        <v>775</v>
      </c>
      <c r="V32" s="12" t="s">
        <v>776</v>
      </c>
      <c r="W32" s="12" t="s">
        <v>777</v>
      </c>
      <c r="X32" s="12" t="s">
        <v>778</v>
      </c>
      <c r="Y32" s="12" t="s">
        <v>779</v>
      </c>
      <c r="Z32" s="12" t="s">
        <v>780</v>
      </c>
      <c r="AA32" s="12" t="s">
        <v>13338</v>
      </c>
      <c r="AB32" s="12" t="s">
        <v>13339</v>
      </c>
      <c r="AC32" s="12" t="s">
        <v>74</v>
      </c>
      <c r="AD32" s="12" t="s">
        <v>74</v>
      </c>
      <c r="AE32" s="12" t="s">
        <v>74</v>
      </c>
      <c r="AF32" s="12" t="s">
        <v>74</v>
      </c>
      <c r="AG32" s="12">
        <v>65</v>
      </c>
      <c r="AH32" s="12">
        <v>4</v>
      </c>
      <c r="AI32" s="12">
        <v>4</v>
      </c>
      <c r="AJ32" s="12">
        <v>5</v>
      </c>
      <c r="AK32" s="12">
        <v>16</v>
      </c>
      <c r="AL32" s="12" t="s">
        <v>146</v>
      </c>
      <c r="AM32" s="12" t="s">
        <v>147</v>
      </c>
      <c r="AN32" s="12" t="s">
        <v>148</v>
      </c>
      <c r="AO32" s="12" t="s">
        <v>74</v>
      </c>
      <c r="AP32" s="12" t="s">
        <v>783</v>
      </c>
      <c r="AQ32" s="12" t="s">
        <v>74</v>
      </c>
      <c r="AR32" s="12" t="s">
        <v>784</v>
      </c>
      <c r="AS32" s="12" t="s">
        <v>785</v>
      </c>
      <c r="AT32" s="12" t="s">
        <v>476</v>
      </c>
      <c r="AU32" s="12">
        <v>2023</v>
      </c>
      <c r="AV32" s="12">
        <v>6</v>
      </c>
      <c r="AW32" s="12">
        <v>4</v>
      </c>
      <c r="AX32" s="12" t="s">
        <v>74</v>
      </c>
      <c r="AY32" s="12" t="s">
        <v>74</v>
      </c>
      <c r="AZ32" s="12" t="s">
        <v>74</v>
      </c>
      <c r="BA32" s="12" t="s">
        <v>74</v>
      </c>
      <c r="BB32" s="12">
        <v>586</v>
      </c>
      <c r="BC32" s="12">
        <v>597</v>
      </c>
      <c r="BD32" s="12" t="s">
        <v>74</v>
      </c>
      <c r="BE32" s="12" t="s">
        <v>787</v>
      </c>
      <c r="BF32" s="12">
        <v>0</v>
      </c>
      <c r="BG32" s="12" t="s">
        <v>74</v>
      </c>
      <c r="BH32" s="12" t="s">
        <v>675</v>
      </c>
      <c r="BI32" s="12">
        <v>12</v>
      </c>
      <c r="BJ32" s="12" t="s">
        <v>788</v>
      </c>
      <c r="BK32" s="12" t="s">
        <v>183</v>
      </c>
      <c r="BL32" s="12" t="s">
        <v>789</v>
      </c>
      <c r="BM32" s="12" t="s">
        <v>13340</v>
      </c>
      <c r="BN32" s="12" t="s">
        <v>74</v>
      </c>
      <c r="BO32" s="12" t="s">
        <v>791</v>
      </c>
      <c r="BP32" s="12" t="s">
        <v>74</v>
      </c>
      <c r="BQ32" s="12" t="s">
        <v>74</v>
      </c>
      <c r="BR32" s="12" t="s">
        <v>12946</v>
      </c>
      <c r="BS32" s="12" t="s">
        <v>792</v>
      </c>
      <c r="BT32" s="12">
        <v>0</v>
      </c>
    </row>
    <row r="33" spans="1:72" x14ac:dyDescent="0.25">
      <c r="A33" s="12" t="s">
        <v>72</v>
      </c>
      <c r="B33" s="12" t="s">
        <v>5025</v>
      </c>
      <c r="C33" s="12" t="s">
        <v>74</v>
      </c>
      <c r="D33" s="12" t="s">
        <v>74</v>
      </c>
      <c r="E33" s="12" t="s">
        <v>74</v>
      </c>
      <c r="F33" s="12" t="s">
        <v>5026</v>
      </c>
      <c r="G33" s="12" t="s">
        <v>74</v>
      </c>
      <c r="H33" s="12" t="s">
        <v>74</v>
      </c>
      <c r="I33" s="12" t="s">
        <v>5027</v>
      </c>
      <c r="J33" s="12" t="s">
        <v>3986</v>
      </c>
      <c r="K33" s="12" t="s">
        <v>74</v>
      </c>
      <c r="L33" s="12" t="s">
        <v>74</v>
      </c>
      <c r="M33" s="12" t="s">
        <v>78</v>
      </c>
      <c r="N33" s="12" t="s">
        <v>79</v>
      </c>
      <c r="O33" s="12" t="s">
        <v>74</v>
      </c>
      <c r="P33" s="12" t="s">
        <v>74</v>
      </c>
      <c r="Q33" s="12" t="s">
        <v>74</v>
      </c>
      <c r="R33" s="12" t="s">
        <v>74</v>
      </c>
      <c r="S33" s="12" t="s">
        <v>74</v>
      </c>
      <c r="T33" s="12" t="s">
        <v>5028</v>
      </c>
      <c r="U33" s="12" t="s">
        <v>5029</v>
      </c>
      <c r="V33" s="12" t="s">
        <v>5030</v>
      </c>
      <c r="W33" s="12" t="s">
        <v>5031</v>
      </c>
      <c r="X33" s="12" t="s">
        <v>13341</v>
      </c>
      <c r="Y33" s="12" t="s">
        <v>5033</v>
      </c>
      <c r="Z33" s="12" t="s">
        <v>5034</v>
      </c>
      <c r="AA33" s="12" t="s">
        <v>13342</v>
      </c>
      <c r="AB33" s="12" t="s">
        <v>13343</v>
      </c>
      <c r="AC33" s="12" t="s">
        <v>74</v>
      </c>
      <c r="AD33" s="12" t="s">
        <v>74</v>
      </c>
      <c r="AE33" s="12" t="s">
        <v>74</v>
      </c>
      <c r="AF33" s="12" t="s">
        <v>74</v>
      </c>
      <c r="AG33" s="12">
        <v>84</v>
      </c>
      <c r="AH33" s="12">
        <v>4</v>
      </c>
      <c r="AI33" s="12">
        <v>4</v>
      </c>
      <c r="AJ33" s="12">
        <v>5</v>
      </c>
      <c r="AK33" s="12">
        <v>47</v>
      </c>
      <c r="AL33" s="12" t="s">
        <v>202</v>
      </c>
      <c r="AM33" s="12" t="s">
        <v>203</v>
      </c>
      <c r="AN33" s="12" t="s">
        <v>204</v>
      </c>
      <c r="AO33" s="12" t="s">
        <v>74</v>
      </c>
      <c r="AP33" s="12" t="s">
        <v>3996</v>
      </c>
      <c r="AQ33" s="12" t="s">
        <v>74</v>
      </c>
      <c r="AR33" s="12" t="s">
        <v>3997</v>
      </c>
      <c r="AS33" s="12" t="s">
        <v>3998</v>
      </c>
      <c r="AT33" s="12" t="s">
        <v>2068</v>
      </c>
      <c r="AU33" s="12">
        <v>2022</v>
      </c>
      <c r="AV33" s="12">
        <v>22</v>
      </c>
      <c r="AW33" s="12">
        <v>1</v>
      </c>
      <c r="AX33" s="12" t="s">
        <v>74</v>
      </c>
      <c r="AY33" s="12" t="s">
        <v>74</v>
      </c>
      <c r="AZ33" s="12" t="s">
        <v>74</v>
      </c>
      <c r="BA33" s="12" t="s">
        <v>74</v>
      </c>
      <c r="BB33" s="12" t="s">
        <v>74</v>
      </c>
      <c r="BC33" s="12" t="s">
        <v>74</v>
      </c>
      <c r="BD33" s="12">
        <v>274</v>
      </c>
      <c r="BE33" s="12" t="s">
        <v>5037</v>
      </c>
      <c r="BF33" s="12">
        <v>0</v>
      </c>
      <c r="BG33" s="12" t="s">
        <v>74</v>
      </c>
      <c r="BH33" s="12" t="s">
        <v>74</v>
      </c>
      <c r="BI33" s="12">
        <v>14</v>
      </c>
      <c r="BJ33" s="12" t="s">
        <v>4000</v>
      </c>
      <c r="BK33" s="12" t="s">
        <v>102</v>
      </c>
      <c r="BL33" s="12" t="s">
        <v>4001</v>
      </c>
      <c r="BM33" s="12" t="s">
        <v>5038</v>
      </c>
      <c r="BN33" s="12">
        <v>35009816</v>
      </c>
      <c r="BO33" s="12" t="s">
        <v>614</v>
      </c>
      <c r="BP33" s="12" t="s">
        <v>74</v>
      </c>
      <c r="BQ33" s="12" t="s">
        <v>74</v>
      </c>
      <c r="BR33" s="12" t="s">
        <v>12946</v>
      </c>
      <c r="BS33" s="12" t="s">
        <v>5039</v>
      </c>
      <c r="BT33" s="12">
        <v>0</v>
      </c>
    </row>
    <row r="34" spans="1:72" x14ac:dyDescent="0.25">
      <c r="A34" s="12" t="s">
        <v>72</v>
      </c>
      <c r="B34" s="12" t="s">
        <v>6527</v>
      </c>
      <c r="C34" s="12" t="s">
        <v>74</v>
      </c>
      <c r="D34" s="12" t="s">
        <v>74</v>
      </c>
      <c r="E34" s="12" t="s">
        <v>74</v>
      </c>
      <c r="F34" s="12" t="s">
        <v>6528</v>
      </c>
      <c r="G34" s="12" t="s">
        <v>74</v>
      </c>
      <c r="H34" s="12" t="s">
        <v>74</v>
      </c>
      <c r="I34" s="12" t="s">
        <v>6529</v>
      </c>
      <c r="J34" s="12" t="s">
        <v>6530</v>
      </c>
      <c r="K34" s="12" t="s">
        <v>74</v>
      </c>
      <c r="L34" s="12" t="s">
        <v>74</v>
      </c>
      <c r="M34" s="12" t="s">
        <v>78</v>
      </c>
      <c r="N34" s="12" t="s">
        <v>79</v>
      </c>
      <c r="O34" s="12" t="s">
        <v>74</v>
      </c>
      <c r="P34" s="12" t="s">
        <v>74</v>
      </c>
      <c r="Q34" s="12" t="s">
        <v>74</v>
      </c>
      <c r="R34" s="12" t="s">
        <v>74</v>
      </c>
      <c r="S34" s="12" t="s">
        <v>74</v>
      </c>
      <c r="T34" s="12" t="s">
        <v>6531</v>
      </c>
      <c r="U34" s="12" t="s">
        <v>74</v>
      </c>
      <c r="V34" s="12" t="s">
        <v>6532</v>
      </c>
      <c r="W34" s="12" t="s">
        <v>6533</v>
      </c>
      <c r="X34" s="12" t="s">
        <v>5974</v>
      </c>
      <c r="Y34" s="12" t="s">
        <v>6534</v>
      </c>
      <c r="Z34" s="12" t="s">
        <v>6535</v>
      </c>
      <c r="AA34" s="12" t="s">
        <v>13087</v>
      </c>
      <c r="AB34" s="12" t="s">
        <v>13088</v>
      </c>
      <c r="AC34" s="12" t="s">
        <v>6538</v>
      </c>
      <c r="AD34" s="12" t="s">
        <v>6539</v>
      </c>
      <c r="AE34" s="12" t="s">
        <v>6540</v>
      </c>
      <c r="AF34" s="12" t="s">
        <v>74</v>
      </c>
      <c r="AG34" s="12">
        <v>55</v>
      </c>
      <c r="AH34" s="12">
        <v>4</v>
      </c>
      <c r="AI34" s="12">
        <v>4</v>
      </c>
      <c r="AJ34" s="12">
        <v>4</v>
      </c>
      <c r="AK34" s="12">
        <v>31</v>
      </c>
      <c r="AL34" s="12" t="s">
        <v>715</v>
      </c>
      <c r="AM34" s="12" t="s">
        <v>716</v>
      </c>
      <c r="AN34" s="12" t="s">
        <v>717</v>
      </c>
      <c r="AO34" s="12" t="s">
        <v>6541</v>
      </c>
      <c r="AP34" s="12" t="s">
        <v>6542</v>
      </c>
      <c r="AQ34" s="12" t="s">
        <v>74</v>
      </c>
      <c r="AR34" s="12" t="s">
        <v>6543</v>
      </c>
      <c r="AS34" s="12" t="s">
        <v>6544</v>
      </c>
      <c r="AT34" s="12" t="s">
        <v>6545</v>
      </c>
      <c r="AU34" s="12">
        <v>2021</v>
      </c>
      <c r="AV34" s="12">
        <v>70</v>
      </c>
      <c r="AW34" s="12">
        <v>5</v>
      </c>
      <c r="AX34" s="12" t="s">
        <v>74</v>
      </c>
      <c r="AY34" s="12" t="s">
        <v>74</v>
      </c>
      <c r="AZ34" s="12" t="s">
        <v>74</v>
      </c>
      <c r="BA34" s="12" t="s">
        <v>74</v>
      </c>
      <c r="BB34" s="12">
        <v>1072</v>
      </c>
      <c r="BC34" s="12">
        <v>1091</v>
      </c>
      <c r="BD34" s="12" t="s">
        <v>74</v>
      </c>
      <c r="BE34" s="12" t="s">
        <v>6546</v>
      </c>
      <c r="BF34" s="12">
        <v>0</v>
      </c>
      <c r="BG34" s="12" t="s">
        <v>74</v>
      </c>
      <c r="BH34" s="12" t="s">
        <v>6460</v>
      </c>
      <c r="BI34" s="12">
        <v>20</v>
      </c>
      <c r="BJ34" s="12" t="s">
        <v>315</v>
      </c>
      <c r="BK34" s="12" t="s">
        <v>183</v>
      </c>
      <c r="BL34" s="12" t="s">
        <v>265</v>
      </c>
      <c r="BM34" s="12" t="s">
        <v>6547</v>
      </c>
      <c r="BN34" s="12" t="s">
        <v>74</v>
      </c>
      <c r="BO34" s="12" t="s">
        <v>74</v>
      </c>
      <c r="BP34" s="12" t="s">
        <v>74</v>
      </c>
      <c r="BQ34" s="12" t="s">
        <v>74</v>
      </c>
      <c r="BR34" s="12" t="s">
        <v>12946</v>
      </c>
      <c r="BS34" s="12" t="s">
        <v>6548</v>
      </c>
      <c r="BT34" s="12">
        <v>0</v>
      </c>
    </row>
    <row r="35" spans="1:72" x14ac:dyDescent="0.25">
      <c r="A35" s="12" t="s">
        <v>72</v>
      </c>
      <c r="B35" s="12" t="s">
        <v>6783</v>
      </c>
      <c r="C35" s="12" t="s">
        <v>74</v>
      </c>
      <c r="D35" s="12" t="s">
        <v>74</v>
      </c>
      <c r="E35" s="12" t="s">
        <v>74</v>
      </c>
      <c r="F35" s="12" t="s">
        <v>6784</v>
      </c>
      <c r="G35" s="12" t="s">
        <v>74</v>
      </c>
      <c r="H35" s="12" t="s">
        <v>74</v>
      </c>
      <c r="I35" s="12" t="s">
        <v>6785</v>
      </c>
      <c r="J35" s="12" t="s">
        <v>6786</v>
      </c>
      <c r="K35" s="12" t="s">
        <v>74</v>
      </c>
      <c r="L35" s="12" t="s">
        <v>74</v>
      </c>
      <c r="M35" s="12" t="s">
        <v>78</v>
      </c>
      <c r="N35" s="12" t="s">
        <v>79</v>
      </c>
      <c r="O35" s="12" t="s">
        <v>74</v>
      </c>
      <c r="P35" s="12" t="s">
        <v>74</v>
      </c>
      <c r="Q35" s="12" t="s">
        <v>74</v>
      </c>
      <c r="R35" s="12" t="s">
        <v>74</v>
      </c>
      <c r="S35" s="12" t="s">
        <v>74</v>
      </c>
      <c r="T35" s="12" t="s">
        <v>6787</v>
      </c>
      <c r="U35" s="12" t="s">
        <v>74</v>
      </c>
      <c r="V35" s="12" t="s">
        <v>6788</v>
      </c>
      <c r="W35" s="12" t="s">
        <v>6789</v>
      </c>
      <c r="X35" s="12" t="s">
        <v>13089</v>
      </c>
      <c r="Y35" s="12" t="s">
        <v>6790</v>
      </c>
      <c r="Z35" s="12" t="s">
        <v>6791</v>
      </c>
      <c r="AA35" s="12" t="s">
        <v>74</v>
      </c>
      <c r="AB35" s="12" t="s">
        <v>74</v>
      </c>
      <c r="AC35" s="12" t="s">
        <v>74</v>
      </c>
      <c r="AD35" s="12" t="s">
        <v>74</v>
      </c>
      <c r="AE35" s="12" t="s">
        <v>74</v>
      </c>
      <c r="AF35" s="12" t="s">
        <v>74</v>
      </c>
      <c r="AG35" s="12">
        <v>76</v>
      </c>
      <c r="AH35" s="12">
        <v>4</v>
      </c>
      <c r="AI35" s="12">
        <v>4</v>
      </c>
      <c r="AJ35" s="12">
        <v>1</v>
      </c>
      <c r="AK35" s="12">
        <v>18</v>
      </c>
      <c r="AL35" s="12" t="s">
        <v>254</v>
      </c>
      <c r="AM35" s="12" t="s">
        <v>255</v>
      </c>
      <c r="AN35" s="12" t="s">
        <v>256</v>
      </c>
      <c r="AO35" s="12" t="s">
        <v>6792</v>
      </c>
      <c r="AP35" s="12" t="s">
        <v>6793</v>
      </c>
      <c r="AQ35" s="12" t="s">
        <v>74</v>
      </c>
      <c r="AR35" s="12" t="s">
        <v>6794</v>
      </c>
      <c r="AS35" s="12" t="s">
        <v>6795</v>
      </c>
      <c r="AT35" s="12" t="s">
        <v>1904</v>
      </c>
      <c r="AU35" s="12">
        <v>2021</v>
      </c>
      <c r="AV35" s="12">
        <v>30</v>
      </c>
      <c r="AW35" s="12">
        <v>1</v>
      </c>
      <c r="AX35" s="12" t="s">
        <v>74</v>
      </c>
      <c r="AY35" s="12" t="s">
        <v>74</v>
      </c>
      <c r="AZ35" s="12" t="s">
        <v>74</v>
      </c>
      <c r="BA35" s="12" t="s">
        <v>74</v>
      </c>
      <c r="BB35" s="12">
        <v>59</v>
      </c>
      <c r="BC35" s="12">
        <v>84</v>
      </c>
      <c r="BD35" s="12" t="s">
        <v>74</v>
      </c>
      <c r="BE35" s="12" t="s">
        <v>6796</v>
      </c>
      <c r="BF35" s="12">
        <v>0</v>
      </c>
      <c r="BG35" s="12" t="s">
        <v>74</v>
      </c>
      <c r="BH35" s="12" t="s">
        <v>6797</v>
      </c>
      <c r="BI35" s="12">
        <v>26</v>
      </c>
      <c r="BJ35" s="12" t="s">
        <v>6503</v>
      </c>
      <c r="BK35" s="12" t="s">
        <v>102</v>
      </c>
      <c r="BL35" s="12" t="s">
        <v>6503</v>
      </c>
      <c r="BM35" s="12" t="s">
        <v>6798</v>
      </c>
      <c r="BN35" s="12" t="s">
        <v>74</v>
      </c>
      <c r="BO35" s="12" t="s">
        <v>74</v>
      </c>
      <c r="BP35" s="12" t="s">
        <v>74</v>
      </c>
      <c r="BQ35" s="12" t="s">
        <v>74</v>
      </c>
      <c r="BR35" s="12" t="s">
        <v>12946</v>
      </c>
      <c r="BS35" s="12" t="s">
        <v>6799</v>
      </c>
      <c r="BT35" s="12">
        <v>0</v>
      </c>
    </row>
    <row r="36" spans="1:72" x14ac:dyDescent="0.25">
      <c r="A36" s="12" t="s">
        <v>72</v>
      </c>
      <c r="B36" s="12" t="s">
        <v>2948</v>
      </c>
      <c r="C36" s="12" t="s">
        <v>74</v>
      </c>
      <c r="D36" s="12" t="s">
        <v>74</v>
      </c>
      <c r="E36" s="12" t="s">
        <v>74</v>
      </c>
      <c r="F36" s="12" t="s">
        <v>2949</v>
      </c>
      <c r="G36" s="12" t="s">
        <v>74</v>
      </c>
      <c r="H36" s="12" t="s">
        <v>74</v>
      </c>
      <c r="I36" s="12" t="s">
        <v>2950</v>
      </c>
      <c r="J36" s="12" t="s">
        <v>191</v>
      </c>
      <c r="K36" s="12" t="s">
        <v>74</v>
      </c>
      <c r="L36" s="12" t="s">
        <v>74</v>
      </c>
      <c r="M36" s="12" t="s">
        <v>78</v>
      </c>
      <c r="N36" s="12" t="s">
        <v>79</v>
      </c>
      <c r="O36" s="12" t="s">
        <v>74</v>
      </c>
      <c r="P36" s="12" t="s">
        <v>74</v>
      </c>
      <c r="Q36" s="12" t="s">
        <v>74</v>
      </c>
      <c r="R36" s="12" t="s">
        <v>74</v>
      </c>
      <c r="S36" s="12" t="s">
        <v>74</v>
      </c>
      <c r="T36" s="12" t="s">
        <v>2951</v>
      </c>
      <c r="U36" s="12" t="s">
        <v>2952</v>
      </c>
      <c r="V36" s="12" t="s">
        <v>2953</v>
      </c>
      <c r="W36" s="12" t="s">
        <v>2954</v>
      </c>
      <c r="X36" s="12" t="s">
        <v>2955</v>
      </c>
      <c r="Y36" s="12" t="s">
        <v>2956</v>
      </c>
      <c r="Z36" s="12" t="s">
        <v>2957</v>
      </c>
      <c r="AA36" s="12" t="s">
        <v>13092</v>
      </c>
      <c r="AB36" s="12" t="s">
        <v>13093</v>
      </c>
      <c r="AC36" s="12" t="s">
        <v>2960</v>
      </c>
      <c r="AD36" s="12" t="s">
        <v>2961</v>
      </c>
      <c r="AE36" s="12" t="s">
        <v>2962</v>
      </c>
      <c r="AF36" s="12" t="s">
        <v>74</v>
      </c>
      <c r="AG36" s="12">
        <v>91</v>
      </c>
      <c r="AH36" s="12">
        <v>3</v>
      </c>
      <c r="AI36" s="12">
        <v>3</v>
      </c>
      <c r="AJ36" s="12">
        <v>1</v>
      </c>
      <c r="AK36" s="12">
        <v>16</v>
      </c>
      <c r="AL36" s="12" t="s">
        <v>202</v>
      </c>
      <c r="AM36" s="12" t="s">
        <v>203</v>
      </c>
      <c r="AN36" s="12" t="s">
        <v>204</v>
      </c>
      <c r="AO36" s="12" t="s">
        <v>74</v>
      </c>
      <c r="AP36" s="12" t="s">
        <v>205</v>
      </c>
      <c r="AQ36" s="12" t="s">
        <v>74</v>
      </c>
      <c r="AR36" s="12" t="s">
        <v>206</v>
      </c>
      <c r="AS36" s="12" t="s">
        <v>207</v>
      </c>
      <c r="AT36" s="12" t="s">
        <v>208</v>
      </c>
      <c r="AU36" s="12">
        <v>2022</v>
      </c>
      <c r="AV36" s="12">
        <v>14</v>
      </c>
      <c r="AW36" s="12">
        <v>20</v>
      </c>
      <c r="AX36" s="12" t="s">
        <v>74</v>
      </c>
      <c r="AY36" s="12" t="s">
        <v>74</v>
      </c>
      <c r="AZ36" s="12" t="s">
        <v>74</v>
      </c>
      <c r="BA36" s="12" t="s">
        <v>74</v>
      </c>
      <c r="BB36" s="12" t="s">
        <v>74</v>
      </c>
      <c r="BC36" s="12" t="s">
        <v>74</v>
      </c>
      <c r="BD36" s="12">
        <v>13636</v>
      </c>
      <c r="BE36" s="12" t="s">
        <v>2963</v>
      </c>
      <c r="BF36" s="12">
        <v>0</v>
      </c>
      <c r="BG36" s="12" t="s">
        <v>74</v>
      </c>
      <c r="BH36" s="12" t="s">
        <v>74</v>
      </c>
      <c r="BI36" s="12">
        <v>21</v>
      </c>
      <c r="BJ36" s="12" t="s">
        <v>210</v>
      </c>
      <c r="BK36" s="12" t="s">
        <v>211</v>
      </c>
      <c r="BL36" s="12" t="s">
        <v>212</v>
      </c>
      <c r="BM36" s="12" t="s">
        <v>2964</v>
      </c>
      <c r="BN36" s="12" t="s">
        <v>74</v>
      </c>
      <c r="BO36" s="12" t="s">
        <v>186</v>
      </c>
      <c r="BP36" s="12" t="s">
        <v>74</v>
      </c>
      <c r="BQ36" s="12" t="s">
        <v>74</v>
      </c>
      <c r="BR36" s="12" t="s">
        <v>12946</v>
      </c>
      <c r="BS36" s="12" t="s">
        <v>2965</v>
      </c>
      <c r="BT36" s="12">
        <v>0</v>
      </c>
    </row>
    <row r="37" spans="1:72" x14ac:dyDescent="0.25">
      <c r="A37" s="12" t="s">
        <v>72</v>
      </c>
      <c r="B37" s="12" t="s">
        <v>7030</v>
      </c>
      <c r="C37" s="12" t="s">
        <v>74</v>
      </c>
      <c r="D37" s="12" t="s">
        <v>74</v>
      </c>
      <c r="E37" s="12" t="s">
        <v>74</v>
      </c>
      <c r="F37" s="12" t="s">
        <v>7031</v>
      </c>
      <c r="G37" s="12" t="s">
        <v>74</v>
      </c>
      <c r="H37" s="12" t="s">
        <v>74</v>
      </c>
      <c r="I37" s="12" t="s">
        <v>7032</v>
      </c>
      <c r="J37" s="12" t="s">
        <v>7033</v>
      </c>
      <c r="K37" s="12" t="s">
        <v>74</v>
      </c>
      <c r="L37" s="12" t="s">
        <v>74</v>
      </c>
      <c r="M37" s="12" t="s">
        <v>78</v>
      </c>
      <c r="N37" s="12" t="s">
        <v>79</v>
      </c>
      <c r="O37" s="12" t="s">
        <v>74</v>
      </c>
      <c r="P37" s="12" t="s">
        <v>74</v>
      </c>
      <c r="Q37" s="12" t="s">
        <v>74</v>
      </c>
      <c r="R37" s="12" t="s">
        <v>74</v>
      </c>
      <c r="S37" s="12" t="s">
        <v>74</v>
      </c>
      <c r="T37" s="12" t="s">
        <v>7034</v>
      </c>
      <c r="U37" s="12" t="s">
        <v>7035</v>
      </c>
      <c r="V37" s="12" t="s">
        <v>7036</v>
      </c>
      <c r="W37" s="12" t="s">
        <v>7037</v>
      </c>
      <c r="X37" s="12" t="s">
        <v>7038</v>
      </c>
      <c r="Y37" s="12" t="s">
        <v>7039</v>
      </c>
      <c r="Z37" s="12" t="s">
        <v>7040</v>
      </c>
      <c r="AA37" s="12" t="s">
        <v>74</v>
      </c>
      <c r="AB37" s="12" t="s">
        <v>7041</v>
      </c>
      <c r="AC37" s="12" t="s">
        <v>74</v>
      </c>
      <c r="AD37" s="12" t="s">
        <v>74</v>
      </c>
      <c r="AE37" s="12" t="s">
        <v>74</v>
      </c>
      <c r="AF37" s="12" t="s">
        <v>74</v>
      </c>
      <c r="AG37" s="12">
        <v>67</v>
      </c>
      <c r="AH37" s="12">
        <v>3</v>
      </c>
      <c r="AI37" s="12">
        <v>3</v>
      </c>
      <c r="AJ37" s="12">
        <v>6</v>
      </c>
      <c r="AK37" s="12">
        <v>29</v>
      </c>
      <c r="AL37" s="12" t="s">
        <v>7042</v>
      </c>
      <c r="AM37" s="12" t="s">
        <v>6673</v>
      </c>
      <c r="AN37" s="12" t="s">
        <v>7043</v>
      </c>
      <c r="AO37" s="12" t="s">
        <v>7044</v>
      </c>
      <c r="AP37" s="12" t="s">
        <v>7045</v>
      </c>
      <c r="AQ37" s="12" t="s">
        <v>74</v>
      </c>
      <c r="AR37" s="12" t="s">
        <v>7046</v>
      </c>
      <c r="AS37" s="12" t="s">
        <v>7047</v>
      </c>
      <c r="AT37" s="12" t="s">
        <v>74</v>
      </c>
      <c r="AU37" s="12">
        <v>2021</v>
      </c>
      <c r="AV37" s="12">
        <v>9</v>
      </c>
      <c r="AW37" s="12">
        <v>2</v>
      </c>
      <c r="AX37" s="12" t="s">
        <v>74</v>
      </c>
      <c r="AY37" s="12" t="s">
        <v>74</v>
      </c>
      <c r="AZ37" s="12" t="s">
        <v>74</v>
      </c>
      <c r="BA37" s="12" t="s">
        <v>74</v>
      </c>
      <c r="BB37" s="12">
        <v>65</v>
      </c>
      <c r="BC37" s="12">
        <v>80</v>
      </c>
      <c r="BD37" s="12" t="s">
        <v>74</v>
      </c>
      <c r="BE37" s="12" t="s">
        <v>7048</v>
      </c>
      <c r="BF37" s="12">
        <v>0</v>
      </c>
      <c r="BG37" s="12" t="s">
        <v>74</v>
      </c>
      <c r="BH37" s="12" t="s">
        <v>74</v>
      </c>
      <c r="BI37" s="12">
        <v>16</v>
      </c>
      <c r="BJ37" s="12" t="s">
        <v>2113</v>
      </c>
      <c r="BK37" s="12" t="s">
        <v>183</v>
      </c>
      <c r="BL37" s="12" t="s">
        <v>1685</v>
      </c>
      <c r="BM37" s="12" t="s">
        <v>7049</v>
      </c>
      <c r="BN37" s="12" t="s">
        <v>74</v>
      </c>
      <c r="BO37" s="12" t="s">
        <v>614</v>
      </c>
      <c r="BP37" s="12" t="s">
        <v>74</v>
      </c>
      <c r="BQ37" s="12" t="s">
        <v>74</v>
      </c>
      <c r="BR37" s="12" t="s">
        <v>12946</v>
      </c>
      <c r="BS37" s="12" t="s">
        <v>7050</v>
      </c>
      <c r="BT37" s="12">
        <v>0</v>
      </c>
    </row>
    <row r="38" spans="1:72" x14ac:dyDescent="0.25">
      <c r="A38" s="12" t="s">
        <v>72</v>
      </c>
      <c r="B38" s="12" t="s">
        <v>7468</v>
      </c>
      <c r="C38" s="12" t="s">
        <v>74</v>
      </c>
      <c r="D38" s="12" t="s">
        <v>74</v>
      </c>
      <c r="E38" s="12" t="s">
        <v>74</v>
      </c>
      <c r="F38" s="12" t="s">
        <v>7469</v>
      </c>
      <c r="G38" s="12" t="s">
        <v>74</v>
      </c>
      <c r="H38" s="12" t="s">
        <v>74</v>
      </c>
      <c r="I38" s="12" t="s">
        <v>7470</v>
      </c>
      <c r="J38" s="12" t="s">
        <v>7471</v>
      </c>
      <c r="K38" s="12" t="s">
        <v>74</v>
      </c>
      <c r="L38" s="12" t="s">
        <v>74</v>
      </c>
      <c r="M38" s="12" t="s">
        <v>78</v>
      </c>
      <c r="N38" s="12" t="s">
        <v>79</v>
      </c>
      <c r="O38" s="12" t="s">
        <v>74</v>
      </c>
      <c r="P38" s="12" t="s">
        <v>74</v>
      </c>
      <c r="Q38" s="12" t="s">
        <v>74</v>
      </c>
      <c r="R38" s="12" t="s">
        <v>74</v>
      </c>
      <c r="S38" s="12" t="s">
        <v>74</v>
      </c>
      <c r="T38" s="12" t="s">
        <v>7472</v>
      </c>
      <c r="U38" s="12" t="s">
        <v>74</v>
      </c>
      <c r="V38" s="12" t="s">
        <v>7473</v>
      </c>
      <c r="W38" s="12" t="s">
        <v>7474</v>
      </c>
      <c r="X38" s="12" t="s">
        <v>512</v>
      </c>
      <c r="Y38" s="12" t="s">
        <v>7475</v>
      </c>
      <c r="Z38" s="12" t="s">
        <v>7476</v>
      </c>
      <c r="AA38" s="12" t="s">
        <v>74</v>
      </c>
      <c r="AB38" s="12" t="s">
        <v>74</v>
      </c>
      <c r="AC38" s="12" t="s">
        <v>74</v>
      </c>
      <c r="AD38" s="12" t="s">
        <v>74</v>
      </c>
      <c r="AE38" s="12" t="s">
        <v>74</v>
      </c>
      <c r="AF38" s="12" t="s">
        <v>74</v>
      </c>
      <c r="AG38" s="12">
        <v>15</v>
      </c>
      <c r="AH38" s="12">
        <v>3</v>
      </c>
      <c r="AI38" s="12">
        <v>3</v>
      </c>
      <c r="AJ38" s="12">
        <v>1</v>
      </c>
      <c r="AK38" s="12">
        <v>45</v>
      </c>
      <c r="AL38" s="12" t="s">
        <v>7477</v>
      </c>
      <c r="AM38" s="12" t="s">
        <v>878</v>
      </c>
      <c r="AN38" s="12" t="s">
        <v>7478</v>
      </c>
      <c r="AO38" s="12" t="s">
        <v>7479</v>
      </c>
      <c r="AP38" s="12" t="s">
        <v>7480</v>
      </c>
      <c r="AQ38" s="12" t="s">
        <v>74</v>
      </c>
      <c r="AR38" s="12" t="s">
        <v>7481</v>
      </c>
      <c r="AS38" s="12" t="s">
        <v>7482</v>
      </c>
      <c r="AT38" s="12" t="s">
        <v>74</v>
      </c>
      <c r="AU38" s="12">
        <v>2021</v>
      </c>
      <c r="AV38" s="12">
        <v>88</v>
      </c>
      <c r="AW38" s="12">
        <v>3</v>
      </c>
      <c r="AX38" s="12" t="s">
        <v>74</v>
      </c>
      <c r="AY38" s="12" t="s">
        <v>74</v>
      </c>
      <c r="AZ38" s="12" t="s">
        <v>74</v>
      </c>
      <c r="BA38" s="12" t="s">
        <v>74</v>
      </c>
      <c r="BB38" s="12">
        <v>147</v>
      </c>
      <c r="BC38" s="12">
        <v>149</v>
      </c>
      <c r="BD38" s="12" t="s">
        <v>74</v>
      </c>
      <c r="BE38" s="12" t="s">
        <v>74</v>
      </c>
      <c r="BF38" s="12" t="s">
        <v>74</v>
      </c>
      <c r="BG38" s="12" t="s">
        <v>74</v>
      </c>
      <c r="BH38" s="12" t="s">
        <v>74</v>
      </c>
      <c r="BI38" s="12">
        <v>3</v>
      </c>
      <c r="BJ38" s="12" t="s">
        <v>7483</v>
      </c>
      <c r="BK38" s="12" t="s">
        <v>183</v>
      </c>
      <c r="BL38" s="12" t="s">
        <v>1685</v>
      </c>
      <c r="BM38" s="12" t="s">
        <v>7484</v>
      </c>
      <c r="BN38" s="12" t="s">
        <v>74</v>
      </c>
      <c r="BO38" s="12" t="s">
        <v>74</v>
      </c>
      <c r="BP38" s="12" t="s">
        <v>74</v>
      </c>
      <c r="BQ38" s="12" t="s">
        <v>74</v>
      </c>
      <c r="BR38" s="12" t="s">
        <v>12946</v>
      </c>
      <c r="BS38" s="12" t="s">
        <v>7485</v>
      </c>
      <c r="BT38" s="12">
        <v>0</v>
      </c>
    </row>
    <row r="39" spans="1:72" x14ac:dyDescent="0.25">
      <c r="A39" s="12" t="s">
        <v>72</v>
      </c>
      <c r="B39" s="12" t="s">
        <v>1413</v>
      </c>
      <c r="C39" s="12" t="s">
        <v>74</v>
      </c>
      <c r="D39" s="12" t="s">
        <v>74</v>
      </c>
      <c r="E39" s="12" t="s">
        <v>74</v>
      </c>
      <c r="F39" s="12" t="s">
        <v>1414</v>
      </c>
      <c r="G39" s="12" t="s">
        <v>74</v>
      </c>
      <c r="H39" s="12" t="s">
        <v>74</v>
      </c>
      <c r="I39" s="12" t="s">
        <v>1415</v>
      </c>
      <c r="J39" s="12" t="s">
        <v>1416</v>
      </c>
      <c r="K39" s="12" t="s">
        <v>74</v>
      </c>
      <c r="L39" s="12" t="s">
        <v>74</v>
      </c>
      <c r="M39" s="12" t="s">
        <v>78</v>
      </c>
      <c r="N39" s="12" t="s">
        <v>79</v>
      </c>
      <c r="O39" s="12" t="s">
        <v>74</v>
      </c>
      <c r="P39" s="12" t="s">
        <v>74</v>
      </c>
      <c r="Q39" s="12" t="s">
        <v>74</v>
      </c>
      <c r="R39" s="12" t="s">
        <v>74</v>
      </c>
      <c r="S39" s="12" t="s">
        <v>74</v>
      </c>
      <c r="T39" s="12" t="s">
        <v>1417</v>
      </c>
      <c r="U39" s="12" t="s">
        <v>1418</v>
      </c>
      <c r="V39" s="12" t="s">
        <v>1419</v>
      </c>
      <c r="W39" s="12" t="s">
        <v>1420</v>
      </c>
      <c r="X39" s="12" t="s">
        <v>1421</v>
      </c>
      <c r="Y39" s="12" t="s">
        <v>1422</v>
      </c>
      <c r="Z39" s="12" t="s">
        <v>74</v>
      </c>
      <c r="AA39" s="12" t="s">
        <v>13121</v>
      </c>
      <c r="AB39" s="12" t="s">
        <v>74</v>
      </c>
      <c r="AC39" s="12" t="s">
        <v>74</v>
      </c>
      <c r="AD39" s="12" t="s">
        <v>74</v>
      </c>
      <c r="AE39" s="12" t="s">
        <v>74</v>
      </c>
      <c r="AF39" s="12" t="s">
        <v>74</v>
      </c>
      <c r="AG39" s="12">
        <v>131</v>
      </c>
      <c r="AH39" s="12">
        <v>1</v>
      </c>
      <c r="AI39" s="12">
        <v>1</v>
      </c>
      <c r="AJ39" s="12">
        <v>21</v>
      </c>
      <c r="AK39" s="12">
        <v>70</v>
      </c>
      <c r="AL39" s="12" t="s">
        <v>1423</v>
      </c>
      <c r="AM39" s="12" t="s">
        <v>1424</v>
      </c>
      <c r="AN39" s="12" t="s">
        <v>1425</v>
      </c>
      <c r="AO39" s="12" t="s">
        <v>1426</v>
      </c>
      <c r="AP39" s="12" t="s">
        <v>1427</v>
      </c>
      <c r="AQ39" s="12" t="s">
        <v>74</v>
      </c>
      <c r="AR39" s="12" t="s">
        <v>1428</v>
      </c>
      <c r="AS39" s="12" t="s">
        <v>1429</v>
      </c>
      <c r="AT39" s="12" t="s">
        <v>1430</v>
      </c>
      <c r="AU39" s="12">
        <v>2023</v>
      </c>
      <c r="AV39" s="12">
        <v>18</v>
      </c>
      <c r="AW39" s="12">
        <v>1</v>
      </c>
      <c r="AX39" s="12" t="s">
        <v>74</v>
      </c>
      <c r="AY39" s="12" t="s">
        <v>74</v>
      </c>
      <c r="AZ39" s="12" t="s">
        <v>74</v>
      </c>
      <c r="BA39" s="12" t="s">
        <v>74</v>
      </c>
      <c r="BB39" s="12">
        <v>149</v>
      </c>
      <c r="BC39" s="12">
        <v>170</v>
      </c>
      <c r="BD39" s="12" t="s">
        <v>74</v>
      </c>
      <c r="BE39" s="12" t="s">
        <v>1431</v>
      </c>
      <c r="BF39" s="12">
        <v>0</v>
      </c>
      <c r="BG39" s="12" t="s">
        <v>74</v>
      </c>
      <c r="BH39" s="12" t="s">
        <v>74</v>
      </c>
      <c r="BI39" s="12">
        <v>22</v>
      </c>
      <c r="BJ39" s="12" t="s">
        <v>521</v>
      </c>
      <c r="BK39" s="12" t="s">
        <v>183</v>
      </c>
      <c r="BL39" s="12" t="s">
        <v>265</v>
      </c>
      <c r="BM39" s="12" t="s">
        <v>1432</v>
      </c>
      <c r="BN39" s="12" t="s">
        <v>74</v>
      </c>
      <c r="BO39" s="12" t="s">
        <v>186</v>
      </c>
      <c r="BP39" s="12" t="s">
        <v>74</v>
      </c>
      <c r="BQ39" s="12" t="s">
        <v>74</v>
      </c>
      <c r="BR39" s="12" t="s">
        <v>12946</v>
      </c>
      <c r="BS39" s="12" t="s">
        <v>1433</v>
      </c>
      <c r="BT39" s="12">
        <v>0</v>
      </c>
    </row>
    <row r="40" spans="1:72" x14ac:dyDescent="0.25">
      <c r="A40" s="12" t="s">
        <v>72</v>
      </c>
      <c r="B40" s="12" t="s">
        <v>4378</v>
      </c>
      <c r="C40" s="12" t="s">
        <v>74</v>
      </c>
      <c r="D40" s="12" t="s">
        <v>74</v>
      </c>
      <c r="E40" s="12" t="s">
        <v>74</v>
      </c>
      <c r="F40" s="12" t="s">
        <v>4379</v>
      </c>
      <c r="G40" s="12" t="s">
        <v>74</v>
      </c>
      <c r="H40" s="12" t="s">
        <v>74</v>
      </c>
      <c r="I40" s="12" t="s">
        <v>4380</v>
      </c>
      <c r="J40" s="12" t="s">
        <v>4381</v>
      </c>
      <c r="K40" s="12" t="s">
        <v>74</v>
      </c>
      <c r="L40" s="12" t="s">
        <v>74</v>
      </c>
      <c r="M40" s="12" t="s">
        <v>78</v>
      </c>
      <c r="N40" s="12" t="s">
        <v>79</v>
      </c>
      <c r="O40" s="12" t="s">
        <v>74</v>
      </c>
      <c r="P40" s="12" t="s">
        <v>74</v>
      </c>
      <c r="Q40" s="12" t="s">
        <v>74</v>
      </c>
      <c r="R40" s="12" t="s">
        <v>74</v>
      </c>
      <c r="S40" s="12" t="s">
        <v>74</v>
      </c>
      <c r="T40" s="12" t="s">
        <v>4382</v>
      </c>
      <c r="U40" s="12" t="s">
        <v>4383</v>
      </c>
      <c r="V40" s="12" t="s">
        <v>4384</v>
      </c>
      <c r="W40" s="12" t="s">
        <v>4385</v>
      </c>
      <c r="X40" s="12" t="s">
        <v>4386</v>
      </c>
      <c r="Y40" s="12" t="s">
        <v>4387</v>
      </c>
      <c r="Z40" s="12" t="s">
        <v>4388</v>
      </c>
      <c r="AA40" s="12" t="s">
        <v>13122</v>
      </c>
      <c r="AB40" s="12" t="s">
        <v>4390</v>
      </c>
      <c r="AC40" s="12" t="s">
        <v>4391</v>
      </c>
      <c r="AD40" s="12" t="s">
        <v>4391</v>
      </c>
      <c r="AE40" s="12" t="s">
        <v>4392</v>
      </c>
      <c r="AF40" s="12" t="s">
        <v>74</v>
      </c>
      <c r="AG40" s="12">
        <v>48</v>
      </c>
      <c r="AH40" s="12">
        <v>1</v>
      </c>
      <c r="AI40" s="12">
        <v>1</v>
      </c>
      <c r="AJ40" s="12">
        <v>5</v>
      </c>
      <c r="AK40" s="12">
        <v>26</v>
      </c>
      <c r="AL40" s="12" t="s">
        <v>715</v>
      </c>
      <c r="AM40" s="12" t="s">
        <v>716</v>
      </c>
      <c r="AN40" s="12" t="s">
        <v>717</v>
      </c>
      <c r="AO40" s="12" t="s">
        <v>4393</v>
      </c>
      <c r="AP40" s="12" t="s">
        <v>4394</v>
      </c>
      <c r="AQ40" s="12" t="s">
        <v>74</v>
      </c>
      <c r="AR40" s="12" t="s">
        <v>4395</v>
      </c>
      <c r="AS40" s="12" t="s">
        <v>4396</v>
      </c>
      <c r="AT40" s="12" t="s">
        <v>1582</v>
      </c>
      <c r="AU40" s="12">
        <v>2023</v>
      </c>
      <c r="AV40" s="12">
        <v>27</v>
      </c>
      <c r="AW40" s="12">
        <v>2</v>
      </c>
      <c r="AX40" s="12" t="s">
        <v>74</v>
      </c>
      <c r="AY40" s="12" t="s">
        <v>74</v>
      </c>
      <c r="AZ40" s="12" t="s">
        <v>74</v>
      </c>
      <c r="BA40" s="12" t="s">
        <v>74</v>
      </c>
      <c r="BB40" s="12">
        <v>201</v>
      </c>
      <c r="BC40" s="12">
        <v>219</v>
      </c>
      <c r="BD40" s="12" t="s">
        <v>74</v>
      </c>
      <c r="BE40" s="12" t="s">
        <v>4397</v>
      </c>
      <c r="BF40" s="12">
        <v>0</v>
      </c>
      <c r="BG40" s="12" t="s">
        <v>74</v>
      </c>
      <c r="BH40" s="12" t="s">
        <v>4337</v>
      </c>
      <c r="BI40" s="12">
        <v>19</v>
      </c>
      <c r="BJ40" s="12" t="s">
        <v>264</v>
      </c>
      <c r="BK40" s="12" t="s">
        <v>156</v>
      </c>
      <c r="BL40" s="12" t="s">
        <v>265</v>
      </c>
      <c r="BM40" s="12" t="s">
        <v>4398</v>
      </c>
      <c r="BN40" s="12" t="s">
        <v>74</v>
      </c>
      <c r="BO40" s="12" t="s">
        <v>74</v>
      </c>
      <c r="BP40" s="12" t="s">
        <v>74</v>
      </c>
      <c r="BQ40" s="12" t="s">
        <v>74</v>
      </c>
      <c r="BR40" s="12" t="s">
        <v>12946</v>
      </c>
      <c r="BS40" s="12" t="s">
        <v>4399</v>
      </c>
      <c r="BT40" s="12">
        <v>0</v>
      </c>
    </row>
    <row r="41" spans="1:72" x14ac:dyDescent="0.25">
      <c r="A41" s="12" t="s">
        <v>72</v>
      </c>
      <c r="B41" s="12" t="s">
        <v>482</v>
      </c>
      <c r="C41" s="12" t="s">
        <v>74</v>
      </c>
      <c r="D41" s="12" t="s">
        <v>74</v>
      </c>
      <c r="E41" s="12" t="s">
        <v>74</v>
      </c>
      <c r="F41" s="12" t="s">
        <v>483</v>
      </c>
      <c r="G41" s="12" t="s">
        <v>74</v>
      </c>
      <c r="H41" s="12" t="s">
        <v>74</v>
      </c>
      <c r="I41" s="12" t="s">
        <v>484</v>
      </c>
      <c r="J41" s="12" t="s">
        <v>485</v>
      </c>
      <c r="K41" s="12" t="s">
        <v>74</v>
      </c>
      <c r="L41" s="12" t="s">
        <v>74</v>
      </c>
      <c r="M41" s="12" t="s">
        <v>78</v>
      </c>
      <c r="N41" s="12" t="s">
        <v>112</v>
      </c>
      <c r="O41" s="12" t="s">
        <v>74</v>
      </c>
      <c r="P41" s="12" t="s">
        <v>74</v>
      </c>
      <c r="Q41" s="12" t="s">
        <v>74</v>
      </c>
      <c r="R41" s="12" t="s">
        <v>74</v>
      </c>
      <c r="S41" s="12" t="s">
        <v>74</v>
      </c>
      <c r="T41" s="12" t="s">
        <v>486</v>
      </c>
      <c r="U41" s="12" t="s">
        <v>487</v>
      </c>
      <c r="V41" s="12" t="s">
        <v>488</v>
      </c>
      <c r="W41" s="12" t="s">
        <v>489</v>
      </c>
      <c r="X41" s="12" t="s">
        <v>490</v>
      </c>
      <c r="Y41" s="12" t="s">
        <v>491</v>
      </c>
      <c r="Z41" s="12" t="s">
        <v>74</v>
      </c>
      <c r="AA41" s="12" t="s">
        <v>13127</v>
      </c>
      <c r="AB41" s="12" t="s">
        <v>13128</v>
      </c>
      <c r="AC41" s="12" t="s">
        <v>74</v>
      </c>
      <c r="AD41" s="12" t="s">
        <v>74</v>
      </c>
      <c r="AE41" s="12" t="s">
        <v>74</v>
      </c>
      <c r="AF41" s="12" t="s">
        <v>74</v>
      </c>
      <c r="AG41" s="12">
        <v>208</v>
      </c>
      <c r="AH41" s="12">
        <v>0</v>
      </c>
      <c r="AI41" s="12">
        <v>0</v>
      </c>
      <c r="AJ41" s="12">
        <v>15</v>
      </c>
      <c r="AK41" s="12">
        <v>44</v>
      </c>
      <c r="AL41" s="12" t="s">
        <v>492</v>
      </c>
      <c r="AM41" s="12" t="s">
        <v>493</v>
      </c>
      <c r="AN41" s="12" t="s">
        <v>494</v>
      </c>
      <c r="AO41" s="12" t="s">
        <v>495</v>
      </c>
      <c r="AP41" s="12" t="s">
        <v>496</v>
      </c>
      <c r="AQ41" s="12" t="s">
        <v>74</v>
      </c>
      <c r="AR41" s="12" t="s">
        <v>497</v>
      </c>
      <c r="AS41" s="12" t="s">
        <v>498</v>
      </c>
      <c r="AT41" s="12" t="s">
        <v>499</v>
      </c>
      <c r="AU41" s="12">
        <v>2023</v>
      </c>
      <c r="AV41" s="12" t="s">
        <v>74</v>
      </c>
      <c r="AW41" s="12" t="s">
        <v>74</v>
      </c>
      <c r="AX41" s="12" t="s">
        <v>74</v>
      </c>
      <c r="AY41" s="12" t="s">
        <v>74</v>
      </c>
      <c r="AZ41" s="12" t="s">
        <v>74</v>
      </c>
      <c r="BA41" s="12" t="s">
        <v>74</v>
      </c>
      <c r="BB41" s="12" t="s">
        <v>74</v>
      </c>
      <c r="BC41" s="12" t="s">
        <v>74</v>
      </c>
      <c r="BD41" s="12" t="s">
        <v>74</v>
      </c>
      <c r="BE41" s="12" t="s">
        <v>500</v>
      </c>
      <c r="BF41" s="12">
        <v>0</v>
      </c>
      <c r="BG41" s="12" t="s">
        <v>74</v>
      </c>
      <c r="BH41" s="12" t="s">
        <v>501</v>
      </c>
      <c r="BI41" s="12">
        <v>36</v>
      </c>
      <c r="BJ41" s="12" t="s">
        <v>479</v>
      </c>
      <c r="BK41" s="12" t="s">
        <v>156</v>
      </c>
      <c r="BL41" s="12" t="s">
        <v>265</v>
      </c>
      <c r="BM41" s="12" t="s">
        <v>502</v>
      </c>
      <c r="BN41" s="12" t="s">
        <v>74</v>
      </c>
      <c r="BO41" s="12" t="s">
        <v>74</v>
      </c>
      <c r="BP41" s="12" t="s">
        <v>74</v>
      </c>
      <c r="BQ41" s="12" t="s">
        <v>74</v>
      </c>
      <c r="BR41" s="12" t="s">
        <v>12946</v>
      </c>
      <c r="BS41" s="12" t="s">
        <v>503</v>
      </c>
      <c r="BT41" s="12">
        <v>0</v>
      </c>
    </row>
    <row r="42" spans="1:72" x14ac:dyDescent="0.25">
      <c r="A42" s="12" t="s">
        <v>72</v>
      </c>
      <c r="B42" s="12" t="s">
        <v>3137</v>
      </c>
      <c r="C42" s="12" t="s">
        <v>74</v>
      </c>
      <c r="D42" s="12" t="s">
        <v>74</v>
      </c>
      <c r="E42" s="12" t="s">
        <v>74</v>
      </c>
      <c r="F42" s="12" t="s">
        <v>3138</v>
      </c>
      <c r="G42" s="12" t="s">
        <v>74</v>
      </c>
      <c r="H42" s="12" t="s">
        <v>74</v>
      </c>
      <c r="I42" s="12" t="s">
        <v>3139</v>
      </c>
      <c r="J42" s="12" t="s">
        <v>3140</v>
      </c>
      <c r="K42" s="12" t="s">
        <v>74</v>
      </c>
      <c r="L42" s="12" t="s">
        <v>74</v>
      </c>
      <c r="M42" s="12" t="s">
        <v>78</v>
      </c>
      <c r="N42" s="12" t="s">
        <v>79</v>
      </c>
      <c r="O42" s="12" t="s">
        <v>74</v>
      </c>
      <c r="P42" s="12" t="s">
        <v>74</v>
      </c>
      <c r="Q42" s="12" t="s">
        <v>74</v>
      </c>
      <c r="R42" s="12" t="s">
        <v>74</v>
      </c>
      <c r="S42" s="12" t="s">
        <v>74</v>
      </c>
      <c r="T42" s="12" t="s">
        <v>74</v>
      </c>
      <c r="U42" s="12" t="s">
        <v>74</v>
      </c>
      <c r="V42" s="12" t="s">
        <v>3141</v>
      </c>
      <c r="W42" s="12" t="s">
        <v>3142</v>
      </c>
      <c r="X42" s="12" t="s">
        <v>3143</v>
      </c>
      <c r="Y42" s="12" t="s">
        <v>3144</v>
      </c>
      <c r="Z42" s="12" t="s">
        <v>3145</v>
      </c>
      <c r="AA42" s="12" t="s">
        <v>74</v>
      </c>
      <c r="AB42" s="12" t="s">
        <v>74</v>
      </c>
      <c r="AC42" s="12" t="s">
        <v>74</v>
      </c>
      <c r="AD42" s="12" t="s">
        <v>74</v>
      </c>
      <c r="AE42" s="12" t="s">
        <v>74</v>
      </c>
      <c r="AF42" s="12" t="s">
        <v>74</v>
      </c>
      <c r="AG42" s="12">
        <v>20</v>
      </c>
      <c r="AH42" s="12">
        <v>0</v>
      </c>
      <c r="AI42" s="12">
        <v>0</v>
      </c>
      <c r="AJ42" s="12">
        <v>7</v>
      </c>
      <c r="AK42" s="12">
        <v>35</v>
      </c>
      <c r="AL42" s="12" t="s">
        <v>3146</v>
      </c>
      <c r="AM42" s="12" t="s">
        <v>175</v>
      </c>
      <c r="AN42" s="12" t="s">
        <v>3147</v>
      </c>
      <c r="AO42" s="12" t="s">
        <v>3148</v>
      </c>
      <c r="AP42" s="12" t="s">
        <v>3149</v>
      </c>
      <c r="AQ42" s="12" t="s">
        <v>74</v>
      </c>
      <c r="AR42" s="12" t="s">
        <v>3150</v>
      </c>
      <c r="AS42" s="12" t="s">
        <v>3151</v>
      </c>
      <c r="AT42" s="12" t="s">
        <v>3152</v>
      </c>
      <c r="AU42" s="12">
        <v>2022</v>
      </c>
      <c r="AV42" s="12">
        <v>2022</v>
      </c>
      <c r="AW42" s="12" t="s">
        <v>74</v>
      </c>
      <c r="AX42" s="12" t="s">
        <v>74</v>
      </c>
      <c r="AY42" s="12" t="s">
        <v>74</v>
      </c>
      <c r="AZ42" s="12" t="s">
        <v>74</v>
      </c>
      <c r="BA42" s="12" t="s">
        <v>74</v>
      </c>
      <c r="BB42" s="12" t="s">
        <v>74</v>
      </c>
      <c r="BC42" s="12" t="s">
        <v>74</v>
      </c>
      <c r="BD42" s="12">
        <v>2380100</v>
      </c>
      <c r="BE42" s="12" t="s">
        <v>3153</v>
      </c>
      <c r="BF42" s="12">
        <v>0</v>
      </c>
      <c r="BG42" s="12" t="s">
        <v>74</v>
      </c>
      <c r="BH42" s="12" t="s">
        <v>74</v>
      </c>
      <c r="BI42" s="12">
        <v>9</v>
      </c>
      <c r="BJ42" s="12" t="s">
        <v>3154</v>
      </c>
      <c r="BK42" s="12" t="s">
        <v>102</v>
      </c>
      <c r="BL42" s="12" t="s">
        <v>3155</v>
      </c>
      <c r="BM42" s="12" t="s">
        <v>3156</v>
      </c>
      <c r="BN42" s="12" t="s">
        <v>74</v>
      </c>
      <c r="BO42" s="12" t="s">
        <v>186</v>
      </c>
      <c r="BP42" s="12" t="s">
        <v>74</v>
      </c>
      <c r="BQ42" s="12" t="s">
        <v>74</v>
      </c>
      <c r="BR42" s="12" t="s">
        <v>12946</v>
      </c>
      <c r="BS42" s="12" t="s">
        <v>3157</v>
      </c>
      <c r="BT42" s="12">
        <v>0</v>
      </c>
    </row>
    <row r="43" spans="1:72" x14ac:dyDescent="0.25">
      <c r="A43" s="12" t="s">
        <v>72</v>
      </c>
      <c r="B43" s="12" t="s">
        <v>5626</v>
      </c>
      <c r="C43" s="12" t="s">
        <v>74</v>
      </c>
      <c r="D43" s="12" t="s">
        <v>74</v>
      </c>
      <c r="E43" s="12" t="s">
        <v>74</v>
      </c>
      <c r="F43" s="12" t="s">
        <v>5627</v>
      </c>
      <c r="G43" s="12" t="s">
        <v>74</v>
      </c>
      <c r="H43" s="12" t="s">
        <v>74</v>
      </c>
      <c r="I43" s="12" t="s">
        <v>5628</v>
      </c>
      <c r="J43" s="12" t="s">
        <v>5629</v>
      </c>
      <c r="K43" s="12" t="s">
        <v>74</v>
      </c>
      <c r="L43" s="12" t="s">
        <v>74</v>
      </c>
      <c r="M43" s="12" t="s">
        <v>78</v>
      </c>
      <c r="N43" s="12" t="s">
        <v>79</v>
      </c>
      <c r="O43" s="12" t="s">
        <v>74</v>
      </c>
      <c r="P43" s="12" t="s">
        <v>74</v>
      </c>
      <c r="Q43" s="12" t="s">
        <v>74</v>
      </c>
      <c r="R43" s="12" t="s">
        <v>74</v>
      </c>
      <c r="S43" s="12" t="s">
        <v>74</v>
      </c>
      <c r="T43" s="12" t="s">
        <v>5630</v>
      </c>
      <c r="U43" s="12" t="s">
        <v>74</v>
      </c>
      <c r="V43" s="12" t="s">
        <v>5631</v>
      </c>
      <c r="W43" s="12" t="s">
        <v>5632</v>
      </c>
      <c r="X43" s="12" t="s">
        <v>5633</v>
      </c>
      <c r="Y43" s="12" t="s">
        <v>5634</v>
      </c>
      <c r="Z43" s="12" t="s">
        <v>5635</v>
      </c>
      <c r="AA43" s="12" t="s">
        <v>13135</v>
      </c>
      <c r="AB43" s="12" t="s">
        <v>74</v>
      </c>
      <c r="AC43" s="12" t="s">
        <v>74</v>
      </c>
      <c r="AD43" s="12" t="s">
        <v>74</v>
      </c>
      <c r="AE43" s="12" t="s">
        <v>74</v>
      </c>
      <c r="AF43" s="12" t="s">
        <v>74</v>
      </c>
      <c r="AG43" s="12">
        <v>22</v>
      </c>
      <c r="AH43" s="12">
        <v>0</v>
      </c>
      <c r="AI43" s="12">
        <v>0</v>
      </c>
      <c r="AJ43" s="12">
        <v>0</v>
      </c>
      <c r="AK43" s="12">
        <v>22</v>
      </c>
      <c r="AL43" s="12" t="s">
        <v>5636</v>
      </c>
      <c r="AM43" s="12" t="s">
        <v>2281</v>
      </c>
      <c r="AN43" s="12" t="s">
        <v>5637</v>
      </c>
      <c r="AO43" s="12" t="s">
        <v>5638</v>
      </c>
      <c r="AP43" s="12" t="s">
        <v>74</v>
      </c>
      <c r="AQ43" s="12" t="s">
        <v>74</v>
      </c>
      <c r="AR43" s="12" t="s">
        <v>5639</v>
      </c>
      <c r="AS43" s="12" t="s">
        <v>5639</v>
      </c>
      <c r="AT43" s="12" t="s">
        <v>5640</v>
      </c>
      <c r="AU43" s="12">
        <v>2021</v>
      </c>
      <c r="AV43" s="12">
        <v>12</v>
      </c>
      <c r="AW43" s="12">
        <v>4</v>
      </c>
      <c r="AX43" s="12" t="s">
        <v>74</v>
      </c>
      <c r="AY43" s="12" t="s">
        <v>74</v>
      </c>
      <c r="AZ43" s="12" t="s">
        <v>74</v>
      </c>
      <c r="BA43" s="12" t="s">
        <v>74</v>
      </c>
      <c r="BB43" s="12">
        <v>29</v>
      </c>
      <c r="BC43" s="12">
        <v>35</v>
      </c>
      <c r="BD43" s="12" t="s">
        <v>74</v>
      </c>
      <c r="BE43" s="12" t="s">
        <v>5641</v>
      </c>
      <c r="BF43" s="12">
        <v>0</v>
      </c>
      <c r="BG43" s="12" t="s">
        <v>74</v>
      </c>
      <c r="BH43" s="12" t="s">
        <v>74</v>
      </c>
      <c r="BI43" s="12">
        <v>7</v>
      </c>
      <c r="BJ43" s="12" t="s">
        <v>315</v>
      </c>
      <c r="BK43" s="12" t="s">
        <v>183</v>
      </c>
      <c r="BL43" s="12" t="s">
        <v>265</v>
      </c>
      <c r="BM43" s="12" t="s">
        <v>5642</v>
      </c>
      <c r="BN43" s="12" t="s">
        <v>74</v>
      </c>
      <c r="BO43" s="12" t="s">
        <v>186</v>
      </c>
      <c r="BP43" s="12" t="s">
        <v>74</v>
      </c>
      <c r="BQ43" s="12" t="s">
        <v>74</v>
      </c>
      <c r="BR43" s="12" t="s">
        <v>12946</v>
      </c>
      <c r="BS43" s="12" t="s">
        <v>5643</v>
      </c>
      <c r="BT43" s="1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39"/>
  <sheetViews>
    <sheetView workbookViewId="0">
      <selection sqref="A1:BT39"/>
    </sheetView>
  </sheetViews>
  <sheetFormatPr baseColWidth="10" defaultColWidth="8.7265625" defaultRowHeight="12.5" x14ac:dyDescent="0.25"/>
  <sheetData>
    <row r="1" spans="1:72" x14ac:dyDescent="0.25">
      <c r="A1" s="13" t="s">
        <v>0</v>
      </c>
      <c r="B1" s="13" t="s">
        <v>1</v>
      </c>
      <c r="C1" s="13"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3" t="s">
        <v>19</v>
      </c>
      <c r="U1" s="13" t="s">
        <v>20</v>
      </c>
      <c r="V1" s="13" t="s">
        <v>21</v>
      </c>
      <c r="W1" s="13" t="s">
        <v>22</v>
      </c>
      <c r="X1" s="13" t="s">
        <v>23</v>
      </c>
      <c r="Y1" s="13" t="s">
        <v>24</v>
      </c>
      <c r="Z1" s="13" t="s">
        <v>25</v>
      </c>
      <c r="AA1" s="13" t="s">
        <v>26</v>
      </c>
      <c r="AB1" s="13" t="s">
        <v>27</v>
      </c>
      <c r="AC1" s="13" t="s">
        <v>28</v>
      </c>
      <c r="AD1" s="13" t="s">
        <v>29</v>
      </c>
      <c r="AE1" s="13" t="s">
        <v>30</v>
      </c>
      <c r="AF1" s="13" t="s">
        <v>31</v>
      </c>
      <c r="AG1" s="13" t="s">
        <v>32</v>
      </c>
      <c r="AH1" s="13" t="s">
        <v>33</v>
      </c>
      <c r="AI1" s="13" t="s">
        <v>34</v>
      </c>
      <c r="AJ1" s="13" t="s">
        <v>35</v>
      </c>
      <c r="AK1" s="13" t="s">
        <v>36</v>
      </c>
      <c r="AL1" s="13" t="s">
        <v>37</v>
      </c>
      <c r="AM1" s="13" t="s">
        <v>38</v>
      </c>
      <c r="AN1" s="13" t="s">
        <v>39</v>
      </c>
      <c r="AO1" s="13" t="s">
        <v>40</v>
      </c>
      <c r="AP1" s="13" t="s">
        <v>41</v>
      </c>
      <c r="AQ1" s="13" t="s">
        <v>42</v>
      </c>
      <c r="AR1" s="13" t="s">
        <v>43</v>
      </c>
      <c r="AS1" s="13" t="s">
        <v>44</v>
      </c>
      <c r="AT1" s="13" t="s">
        <v>45</v>
      </c>
      <c r="AU1" s="13" t="s">
        <v>46</v>
      </c>
      <c r="AV1" s="13" t="s">
        <v>47</v>
      </c>
      <c r="AW1" s="13" t="s">
        <v>48</v>
      </c>
      <c r="AX1" s="13" t="s">
        <v>49</v>
      </c>
      <c r="AY1" s="13" t="s">
        <v>50</v>
      </c>
      <c r="AZ1" s="13" t="s">
        <v>51</v>
      </c>
      <c r="BA1" s="13" t="s">
        <v>52</v>
      </c>
      <c r="BB1" s="13" t="s">
        <v>53</v>
      </c>
      <c r="BC1" s="13" t="s">
        <v>54</v>
      </c>
      <c r="BD1" s="13" t="s">
        <v>55</v>
      </c>
      <c r="BE1" s="13" t="s">
        <v>56</v>
      </c>
      <c r="BF1" s="13" t="s">
        <v>57</v>
      </c>
      <c r="BG1" s="13" t="s">
        <v>58</v>
      </c>
      <c r="BH1" s="13" t="s">
        <v>59</v>
      </c>
      <c r="BI1" s="13" t="s">
        <v>60</v>
      </c>
      <c r="BJ1" s="13" t="s">
        <v>61</v>
      </c>
      <c r="BK1" s="13" t="s">
        <v>62</v>
      </c>
      <c r="BL1" s="13" t="s">
        <v>63</v>
      </c>
      <c r="BM1" s="13" t="s">
        <v>64</v>
      </c>
      <c r="BN1" s="13" t="s">
        <v>65</v>
      </c>
      <c r="BO1" s="13" t="s">
        <v>66</v>
      </c>
      <c r="BP1" s="13" t="s">
        <v>67</v>
      </c>
      <c r="BQ1" s="13" t="s">
        <v>68</v>
      </c>
      <c r="BR1" s="13" t="s">
        <v>69</v>
      </c>
      <c r="BS1" s="13" t="s">
        <v>70</v>
      </c>
      <c r="BT1" s="13" t="s">
        <v>71</v>
      </c>
    </row>
    <row r="2" spans="1:72" x14ac:dyDescent="0.25">
      <c r="A2" s="13" t="s">
        <v>72</v>
      </c>
      <c r="B2" s="13" t="s">
        <v>10684</v>
      </c>
      <c r="C2" s="13" t="s">
        <v>74</v>
      </c>
      <c r="D2" s="13" t="s">
        <v>74</v>
      </c>
      <c r="E2" s="13" t="s">
        <v>74</v>
      </c>
      <c r="F2" s="13" t="s">
        <v>10685</v>
      </c>
      <c r="G2" s="13" t="s">
        <v>74</v>
      </c>
      <c r="H2" s="13" t="s">
        <v>74</v>
      </c>
      <c r="I2" s="13" t="s">
        <v>10686</v>
      </c>
      <c r="J2" s="13" t="s">
        <v>10687</v>
      </c>
      <c r="K2" s="13" t="s">
        <v>74</v>
      </c>
      <c r="L2" s="13" t="s">
        <v>74</v>
      </c>
      <c r="M2" s="13" t="s">
        <v>78</v>
      </c>
      <c r="N2" s="13" t="s">
        <v>79</v>
      </c>
      <c r="O2" s="13" t="s">
        <v>74</v>
      </c>
      <c r="P2" s="13" t="s">
        <v>74</v>
      </c>
      <c r="Q2" s="13" t="s">
        <v>74</v>
      </c>
      <c r="R2" s="13" t="s">
        <v>74</v>
      </c>
      <c r="S2" s="13" t="s">
        <v>74</v>
      </c>
      <c r="T2" s="13" t="s">
        <v>10688</v>
      </c>
      <c r="U2" s="13" t="s">
        <v>10689</v>
      </c>
      <c r="V2" s="13" t="s">
        <v>10690</v>
      </c>
      <c r="W2" s="13" t="s">
        <v>10691</v>
      </c>
      <c r="X2" s="13" t="s">
        <v>10692</v>
      </c>
      <c r="Y2" s="13" t="s">
        <v>10693</v>
      </c>
      <c r="Z2" s="13" t="s">
        <v>10694</v>
      </c>
      <c r="AA2" s="13" t="s">
        <v>74</v>
      </c>
      <c r="AB2" s="13" t="s">
        <v>10695</v>
      </c>
      <c r="AC2" s="13" t="s">
        <v>10696</v>
      </c>
      <c r="AD2" s="13" t="s">
        <v>10697</v>
      </c>
      <c r="AE2" s="13" t="s">
        <v>10698</v>
      </c>
      <c r="AF2" s="13" t="s">
        <v>74</v>
      </c>
      <c r="AG2" s="13">
        <v>41</v>
      </c>
      <c r="AH2" s="13">
        <v>94</v>
      </c>
      <c r="AI2" s="13">
        <v>102</v>
      </c>
      <c r="AJ2" s="13">
        <v>29</v>
      </c>
      <c r="AK2" s="13">
        <v>227</v>
      </c>
      <c r="AL2" s="13" t="s">
        <v>492</v>
      </c>
      <c r="AM2" s="13" t="s">
        <v>493</v>
      </c>
      <c r="AN2" s="13" t="s">
        <v>494</v>
      </c>
      <c r="AO2" s="13" t="s">
        <v>10699</v>
      </c>
      <c r="AP2" s="13" t="s">
        <v>10700</v>
      </c>
      <c r="AQ2" s="13" t="s">
        <v>74</v>
      </c>
      <c r="AR2" s="13" t="s">
        <v>10701</v>
      </c>
      <c r="AS2" s="13" t="s">
        <v>10702</v>
      </c>
      <c r="AT2" s="13" t="s">
        <v>74</v>
      </c>
      <c r="AU2" s="13">
        <v>2017</v>
      </c>
      <c r="AV2" s="13">
        <v>35</v>
      </c>
      <c r="AW2" s="13">
        <v>1</v>
      </c>
      <c r="AX2" s="13" t="s">
        <v>74</v>
      </c>
      <c r="AY2" s="13" t="s">
        <v>74</v>
      </c>
      <c r="AZ2" s="13" t="s">
        <v>1020</v>
      </c>
      <c r="BA2" s="13" t="s">
        <v>74</v>
      </c>
      <c r="BB2" s="13">
        <v>20</v>
      </c>
      <c r="BC2" s="13">
        <v>31</v>
      </c>
      <c r="BD2" s="13" t="s">
        <v>74</v>
      </c>
      <c r="BE2" s="13" t="s">
        <v>10703</v>
      </c>
      <c r="BF2" s="13">
        <v>0</v>
      </c>
      <c r="BG2" s="13" t="s">
        <v>74</v>
      </c>
      <c r="BH2" s="13" t="s">
        <v>74</v>
      </c>
      <c r="BI2" s="13">
        <v>12</v>
      </c>
      <c r="BJ2" s="13" t="s">
        <v>10704</v>
      </c>
      <c r="BK2" s="13" t="s">
        <v>156</v>
      </c>
      <c r="BL2" s="13" t="s">
        <v>8650</v>
      </c>
      <c r="BM2" s="13" t="s">
        <v>10705</v>
      </c>
      <c r="BN2" s="13" t="s">
        <v>74</v>
      </c>
      <c r="BO2" s="13" t="s">
        <v>4521</v>
      </c>
      <c r="BP2" s="13" t="s">
        <v>74</v>
      </c>
      <c r="BQ2" s="13" t="s">
        <v>74</v>
      </c>
      <c r="BR2" s="13" t="s">
        <v>12946</v>
      </c>
      <c r="BS2" s="13" t="s">
        <v>10706</v>
      </c>
      <c r="BT2" s="13">
        <v>0</v>
      </c>
    </row>
    <row r="3" spans="1:72" x14ac:dyDescent="0.25">
      <c r="A3" s="13" t="s">
        <v>72</v>
      </c>
      <c r="B3" s="13" t="s">
        <v>11297</v>
      </c>
      <c r="C3" s="13" t="s">
        <v>74</v>
      </c>
      <c r="D3" s="13" t="s">
        <v>74</v>
      </c>
      <c r="E3" s="13" t="s">
        <v>74</v>
      </c>
      <c r="F3" s="13" t="s">
        <v>11298</v>
      </c>
      <c r="G3" s="13" t="s">
        <v>74</v>
      </c>
      <c r="H3" s="13" t="s">
        <v>74</v>
      </c>
      <c r="I3" s="13" t="s">
        <v>11299</v>
      </c>
      <c r="J3" s="13" t="s">
        <v>11300</v>
      </c>
      <c r="K3" s="13" t="s">
        <v>74</v>
      </c>
      <c r="L3" s="13" t="s">
        <v>74</v>
      </c>
      <c r="M3" s="13" t="s">
        <v>78</v>
      </c>
      <c r="N3" s="13" t="s">
        <v>79</v>
      </c>
      <c r="O3" s="13" t="s">
        <v>74</v>
      </c>
      <c r="P3" s="13" t="s">
        <v>74</v>
      </c>
      <c r="Q3" s="13" t="s">
        <v>74</v>
      </c>
      <c r="R3" s="13" t="s">
        <v>74</v>
      </c>
      <c r="S3" s="13" t="s">
        <v>74</v>
      </c>
      <c r="T3" s="13" t="s">
        <v>11301</v>
      </c>
      <c r="U3" s="13" t="s">
        <v>11302</v>
      </c>
      <c r="V3" s="13" t="s">
        <v>11303</v>
      </c>
      <c r="W3" s="13" t="s">
        <v>11304</v>
      </c>
      <c r="X3" s="13" t="s">
        <v>3669</v>
      </c>
      <c r="Y3" s="13" t="s">
        <v>11305</v>
      </c>
      <c r="Z3" s="13" t="s">
        <v>11306</v>
      </c>
      <c r="AA3" s="13" t="s">
        <v>74</v>
      </c>
      <c r="AB3" s="13" t="s">
        <v>11307</v>
      </c>
      <c r="AC3" s="13" t="s">
        <v>11308</v>
      </c>
      <c r="AD3" s="13" t="s">
        <v>11308</v>
      </c>
      <c r="AE3" s="13" t="s">
        <v>11309</v>
      </c>
      <c r="AF3" s="13" t="s">
        <v>74</v>
      </c>
      <c r="AG3" s="13">
        <v>70</v>
      </c>
      <c r="AH3" s="13">
        <v>73</v>
      </c>
      <c r="AI3" s="13">
        <v>80</v>
      </c>
      <c r="AJ3" s="13">
        <v>5</v>
      </c>
      <c r="AK3" s="13">
        <v>84</v>
      </c>
      <c r="AL3" s="13" t="s">
        <v>492</v>
      </c>
      <c r="AM3" s="13" t="s">
        <v>493</v>
      </c>
      <c r="AN3" s="13" t="s">
        <v>494</v>
      </c>
      <c r="AO3" s="13" t="s">
        <v>11310</v>
      </c>
      <c r="AP3" s="13" t="s">
        <v>11311</v>
      </c>
      <c r="AQ3" s="13" t="s">
        <v>74</v>
      </c>
      <c r="AR3" s="13" t="s">
        <v>11312</v>
      </c>
      <c r="AS3" s="13" t="s">
        <v>11313</v>
      </c>
      <c r="AT3" s="13" t="s">
        <v>74</v>
      </c>
      <c r="AU3" s="13">
        <v>2016</v>
      </c>
      <c r="AV3" s="13">
        <v>37</v>
      </c>
      <c r="AW3" s="13">
        <v>4</v>
      </c>
      <c r="AX3" s="13" t="s">
        <v>74</v>
      </c>
      <c r="AY3" s="13" t="s">
        <v>74</v>
      </c>
      <c r="AZ3" s="13" t="s">
        <v>74</v>
      </c>
      <c r="BA3" s="13" t="s">
        <v>74</v>
      </c>
      <c r="BB3" s="13">
        <v>554</v>
      </c>
      <c r="BC3" s="13">
        <v>571</v>
      </c>
      <c r="BD3" s="13" t="s">
        <v>74</v>
      </c>
      <c r="BE3" s="13" t="s">
        <v>11314</v>
      </c>
      <c r="BF3" s="13">
        <v>0</v>
      </c>
      <c r="BG3" s="13" t="s">
        <v>74</v>
      </c>
      <c r="BH3" s="13" t="s">
        <v>74</v>
      </c>
      <c r="BI3" s="13">
        <v>18</v>
      </c>
      <c r="BJ3" s="13" t="s">
        <v>11315</v>
      </c>
      <c r="BK3" s="13" t="s">
        <v>156</v>
      </c>
      <c r="BL3" s="13" t="s">
        <v>11315</v>
      </c>
      <c r="BM3" s="13" t="s">
        <v>11316</v>
      </c>
      <c r="BN3" s="13" t="s">
        <v>74</v>
      </c>
      <c r="BO3" s="13" t="s">
        <v>74</v>
      </c>
      <c r="BP3" s="13" t="s">
        <v>74</v>
      </c>
      <c r="BQ3" s="13" t="s">
        <v>74</v>
      </c>
      <c r="BR3" s="13" t="s">
        <v>12946</v>
      </c>
      <c r="BS3" s="13" t="s">
        <v>11317</v>
      </c>
      <c r="BT3" s="13">
        <v>0</v>
      </c>
    </row>
    <row r="4" spans="1:72" x14ac:dyDescent="0.25">
      <c r="A4" s="13" t="s">
        <v>7120</v>
      </c>
      <c r="B4" s="13" t="s">
        <v>11873</v>
      </c>
      <c r="C4" s="13" t="s">
        <v>74</v>
      </c>
      <c r="D4" s="13" t="s">
        <v>11874</v>
      </c>
      <c r="E4" s="13" t="s">
        <v>74</v>
      </c>
      <c r="F4" s="13" t="s">
        <v>11875</v>
      </c>
      <c r="G4" s="13" t="s">
        <v>74</v>
      </c>
      <c r="H4" s="13" t="s">
        <v>74</v>
      </c>
      <c r="I4" s="13" t="s">
        <v>11876</v>
      </c>
      <c r="J4" s="13" t="s">
        <v>11877</v>
      </c>
      <c r="K4" s="13" t="s">
        <v>11878</v>
      </c>
      <c r="L4" s="13" t="s">
        <v>74</v>
      </c>
      <c r="M4" s="13" t="s">
        <v>78</v>
      </c>
      <c r="N4" s="13" t="s">
        <v>4932</v>
      </c>
      <c r="O4" s="13" t="s">
        <v>74</v>
      </c>
      <c r="P4" s="13" t="s">
        <v>74</v>
      </c>
      <c r="Q4" s="13" t="s">
        <v>74</v>
      </c>
      <c r="R4" s="13" t="s">
        <v>74</v>
      </c>
      <c r="S4" s="13" t="s">
        <v>74</v>
      </c>
      <c r="T4" s="13" t="s">
        <v>11879</v>
      </c>
      <c r="U4" s="13" t="s">
        <v>11880</v>
      </c>
      <c r="V4" s="13" t="s">
        <v>11881</v>
      </c>
      <c r="W4" s="13" t="s">
        <v>11882</v>
      </c>
      <c r="X4" s="13" t="s">
        <v>11883</v>
      </c>
      <c r="Y4" s="13" t="s">
        <v>11884</v>
      </c>
      <c r="Z4" s="13" t="s">
        <v>11885</v>
      </c>
      <c r="AA4" s="13" t="s">
        <v>11886</v>
      </c>
      <c r="AB4" s="13" t="s">
        <v>74</v>
      </c>
      <c r="AC4" s="13" t="s">
        <v>74</v>
      </c>
      <c r="AD4" s="13" t="s">
        <v>74</v>
      </c>
      <c r="AE4" s="13" t="s">
        <v>74</v>
      </c>
      <c r="AF4" s="13" t="s">
        <v>74</v>
      </c>
      <c r="AG4" s="13">
        <v>33</v>
      </c>
      <c r="AH4" s="13">
        <v>65</v>
      </c>
      <c r="AI4" s="13">
        <v>67</v>
      </c>
      <c r="AJ4" s="13">
        <v>2</v>
      </c>
      <c r="AK4" s="13">
        <v>35</v>
      </c>
      <c r="AL4" s="13" t="s">
        <v>11887</v>
      </c>
      <c r="AM4" s="13" t="s">
        <v>693</v>
      </c>
      <c r="AN4" s="13" t="s">
        <v>11888</v>
      </c>
      <c r="AO4" s="13" t="s">
        <v>11889</v>
      </c>
      <c r="AP4" s="13" t="s">
        <v>11890</v>
      </c>
      <c r="AQ4" s="13" t="s">
        <v>11891</v>
      </c>
      <c r="AR4" s="13" t="s">
        <v>11892</v>
      </c>
      <c r="AS4" s="13" t="s">
        <v>74</v>
      </c>
      <c r="AT4" s="13" t="s">
        <v>74</v>
      </c>
      <c r="AU4" s="13">
        <v>2014</v>
      </c>
      <c r="AV4" s="13" t="s">
        <v>74</v>
      </c>
      <c r="AW4" s="13" t="s">
        <v>74</v>
      </c>
      <c r="AX4" s="13" t="s">
        <v>74</v>
      </c>
      <c r="AY4" s="13" t="s">
        <v>74</v>
      </c>
      <c r="AZ4" s="13" t="s">
        <v>74</v>
      </c>
      <c r="BA4" s="13" t="s">
        <v>74</v>
      </c>
      <c r="BB4" s="13">
        <v>45</v>
      </c>
      <c r="BC4" s="13">
        <v>88</v>
      </c>
      <c r="BD4" s="13" t="s">
        <v>74</v>
      </c>
      <c r="BE4" s="13" t="s">
        <v>11893</v>
      </c>
      <c r="BF4" s="13">
        <v>0</v>
      </c>
      <c r="BG4" s="13" t="s">
        <v>11894</v>
      </c>
      <c r="BH4" s="13" t="s">
        <v>74</v>
      </c>
      <c r="BI4" s="13">
        <v>44</v>
      </c>
      <c r="BJ4" s="13" t="s">
        <v>11895</v>
      </c>
      <c r="BK4" s="13" t="s">
        <v>4943</v>
      </c>
      <c r="BL4" s="13" t="s">
        <v>1477</v>
      </c>
      <c r="BM4" s="13" t="s">
        <v>11896</v>
      </c>
      <c r="BN4" s="13" t="s">
        <v>74</v>
      </c>
      <c r="BO4" s="13" t="s">
        <v>74</v>
      </c>
      <c r="BP4" s="13" t="s">
        <v>74</v>
      </c>
      <c r="BQ4" s="13" t="s">
        <v>74</v>
      </c>
      <c r="BR4" s="13" t="s">
        <v>12946</v>
      </c>
      <c r="BS4" s="13" t="s">
        <v>11897</v>
      </c>
      <c r="BT4" s="13">
        <v>0</v>
      </c>
    </row>
    <row r="5" spans="1:72" x14ac:dyDescent="0.25">
      <c r="A5" s="13" t="s">
        <v>72</v>
      </c>
      <c r="B5" s="13" t="s">
        <v>7666</v>
      </c>
      <c r="C5" s="13" t="s">
        <v>74</v>
      </c>
      <c r="D5" s="13" t="s">
        <v>74</v>
      </c>
      <c r="E5" s="13" t="s">
        <v>74</v>
      </c>
      <c r="F5" s="13" t="s">
        <v>7667</v>
      </c>
      <c r="G5" s="13" t="s">
        <v>74</v>
      </c>
      <c r="H5" s="13" t="s">
        <v>74</v>
      </c>
      <c r="I5" s="13" t="s">
        <v>7668</v>
      </c>
      <c r="J5" s="13" t="s">
        <v>7669</v>
      </c>
      <c r="K5" s="13" t="s">
        <v>74</v>
      </c>
      <c r="L5" s="13" t="s">
        <v>74</v>
      </c>
      <c r="M5" s="13" t="s">
        <v>78</v>
      </c>
      <c r="N5" s="13" t="s">
        <v>79</v>
      </c>
      <c r="O5" s="13" t="s">
        <v>74</v>
      </c>
      <c r="P5" s="13" t="s">
        <v>74</v>
      </c>
      <c r="Q5" s="13" t="s">
        <v>74</v>
      </c>
      <c r="R5" s="13" t="s">
        <v>74</v>
      </c>
      <c r="S5" s="13" t="s">
        <v>74</v>
      </c>
      <c r="T5" s="13" t="s">
        <v>7670</v>
      </c>
      <c r="U5" s="13" t="s">
        <v>7671</v>
      </c>
      <c r="V5" s="13" t="s">
        <v>7672</v>
      </c>
      <c r="W5" s="13" t="s">
        <v>7673</v>
      </c>
      <c r="X5" s="13" t="s">
        <v>7674</v>
      </c>
      <c r="Y5" s="13" t="s">
        <v>7675</v>
      </c>
      <c r="Z5" s="13" t="s">
        <v>7676</v>
      </c>
      <c r="AA5" s="13" t="s">
        <v>13344</v>
      </c>
      <c r="AB5" s="13" t="s">
        <v>13345</v>
      </c>
      <c r="AC5" s="13" t="s">
        <v>7679</v>
      </c>
      <c r="AD5" s="13" t="s">
        <v>7680</v>
      </c>
      <c r="AE5" s="13" t="s">
        <v>7681</v>
      </c>
      <c r="AF5" s="13" t="s">
        <v>74</v>
      </c>
      <c r="AG5" s="13">
        <v>60</v>
      </c>
      <c r="AH5" s="13">
        <v>36</v>
      </c>
      <c r="AI5" s="13">
        <v>36</v>
      </c>
      <c r="AJ5" s="13">
        <v>14</v>
      </c>
      <c r="AK5" s="13">
        <v>229</v>
      </c>
      <c r="AL5" s="13" t="s">
        <v>1636</v>
      </c>
      <c r="AM5" s="13" t="s">
        <v>93</v>
      </c>
      <c r="AN5" s="13" t="s">
        <v>1637</v>
      </c>
      <c r="AO5" s="13" t="s">
        <v>7682</v>
      </c>
      <c r="AP5" s="13" t="s">
        <v>7683</v>
      </c>
      <c r="AQ5" s="13" t="s">
        <v>74</v>
      </c>
      <c r="AR5" s="13" t="s">
        <v>7684</v>
      </c>
      <c r="AS5" s="13" t="s">
        <v>7685</v>
      </c>
      <c r="AT5" s="13" t="s">
        <v>476</v>
      </c>
      <c r="AU5" s="13">
        <v>2020</v>
      </c>
      <c r="AV5" s="13">
        <v>81</v>
      </c>
      <c r="AW5" s="13" t="s">
        <v>74</v>
      </c>
      <c r="AX5" s="13" t="s">
        <v>74</v>
      </c>
      <c r="AY5" s="13" t="s">
        <v>74</v>
      </c>
      <c r="AZ5" s="13" t="s">
        <v>74</v>
      </c>
      <c r="BA5" s="13" t="s">
        <v>74</v>
      </c>
      <c r="BB5" s="13" t="s">
        <v>74</v>
      </c>
      <c r="BC5" s="13" t="s">
        <v>74</v>
      </c>
      <c r="BD5" s="13">
        <v>104162</v>
      </c>
      <c r="BE5" s="13" t="s">
        <v>7686</v>
      </c>
      <c r="BF5" s="13">
        <v>0</v>
      </c>
      <c r="BG5" s="13" t="s">
        <v>74</v>
      </c>
      <c r="BH5" s="13" t="s">
        <v>74</v>
      </c>
      <c r="BI5" s="13">
        <v>14</v>
      </c>
      <c r="BJ5" s="13" t="s">
        <v>7687</v>
      </c>
      <c r="BK5" s="13" t="s">
        <v>156</v>
      </c>
      <c r="BL5" s="13" t="s">
        <v>7688</v>
      </c>
      <c r="BM5" s="13" t="s">
        <v>7689</v>
      </c>
      <c r="BN5" s="13" t="s">
        <v>74</v>
      </c>
      <c r="BO5" s="13" t="s">
        <v>2805</v>
      </c>
      <c r="BP5" s="13" t="s">
        <v>74</v>
      </c>
      <c r="BQ5" s="13" t="s">
        <v>74</v>
      </c>
      <c r="BR5" s="13" t="s">
        <v>12946</v>
      </c>
      <c r="BS5" s="13" t="s">
        <v>7690</v>
      </c>
      <c r="BT5" s="13">
        <v>0</v>
      </c>
    </row>
    <row r="6" spans="1:72" x14ac:dyDescent="0.25">
      <c r="A6" s="13" t="s">
        <v>72</v>
      </c>
      <c r="B6" s="13" t="s">
        <v>7369</v>
      </c>
      <c r="C6" s="13" t="s">
        <v>74</v>
      </c>
      <c r="D6" s="13" t="s">
        <v>74</v>
      </c>
      <c r="E6" s="13" t="s">
        <v>74</v>
      </c>
      <c r="F6" s="13" t="s">
        <v>7370</v>
      </c>
      <c r="G6" s="13" t="s">
        <v>74</v>
      </c>
      <c r="H6" s="13" t="s">
        <v>74</v>
      </c>
      <c r="I6" s="13" t="s">
        <v>7371</v>
      </c>
      <c r="J6" s="13" t="s">
        <v>7372</v>
      </c>
      <c r="K6" s="13" t="s">
        <v>74</v>
      </c>
      <c r="L6" s="13" t="s">
        <v>74</v>
      </c>
      <c r="M6" s="13" t="s">
        <v>78</v>
      </c>
      <c r="N6" s="13" t="s">
        <v>79</v>
      </c>
      <c r="O6" s="13" t="s">
        <v>74</v>
      </c>
      <c r="P6" s="13" t="s">
        <v>74</v>
      </c>
      <c r="Q6" s="13" t="s">
        <v>74</v>
      </c>
      <c r="R6" s="13" t="s">
        <v>74</v>
      </c>
      <c r="S6" s="13" t="s">
        <v>74</v>
      </c>
      <c r="T6" s="13" t="s">
        <v>7373</v>
      </c>
      <c r="U6" s="13" t="s">
        <v>7374</v>
      </c>
      <c r="V6" s="13" t="s">
        <v>7375</v>
      </c>
      <c r="W6" s="13" t="s">
        <v>7376</v>
      </c>
      <c r="X6" s="13" t="s">
        <v>6413</v>
      </c>
      <c r="Y6" s="13" t="s">
        <v>7377</v>
      </c>
      <c r="Z6" s="13" t="s">
        <v>7378</v>
      </c>
      <c r="AA6" s="13" t="s">
        <v>7379</v>
      </c>
      <c r="AB6" s="13" t="s">
        <v>7380</v>
      </c>
      <c r="AC6" s="13" t="s">
        <v>74</v>
      </c>
      <c r="AD6" s="13" t="s">
        <v>74</v>
      </c>
      <c r="AE6" s="13" t="s">
        <v>74</v>
      </c>
      <c r="AF6" s="13" t="s">
        <v>74</v>
      </c>
      <c r="AG6" s="13">
        <v>81</v>
      </c>
      <c r="AH6" s="13">
        <v>28</v>
      </c>
      <c r="AI6" s="13">
        <v>28</v>
      </c>
      <c r="AJ6" s="13">
        <v>2</v>
      </c>
      <c r="AK6" s="13">
        <v>17</v>
      </c>
      <c r="AL6" s="13" t="s">
        <v>1636</v>
      </c>
      <c r="AM6" s="13" t="s">
        <v>93</v>
      </c>
      <c r="AN6" s="13" t="s">
        <v>1637</v>
      </c>
      <c r="AO6" s="13" t="s">
        <v>7381</v>
      </c>
      <c r="AP6" s="13" t="s">
        <v>7382</v>
      </c>
      <c r="AQ6" s="13" t="s">
        <v>74</v>
      </c>
      <c r="AR6" s="13" t="s">
        <v>7372</v>
      </c>
      <c r="AS6" s="13" t="s">
        <v>7383</v>
      </c>
      <c r="AT6" s="13" t="s">
        <v>2068</v>
      </c>
      <c r="AU6" s="13">
        <v>2021</v>
      </c>
      <c r="AV6" s="13">
        <v>108</v>
      </c>
      <c r="AW6" s="13" t="s">
        <v>74</v>
      </c>
      <c r="AX6" s="13" t="s">
        <v>74</v>
      </c>
      <c r="AY6" s="13" t="s">
        <v>74</v>
      </c>
      <c r="AZ6" s="13" t="s">
        <v>74</v>
      </c>
      <c r="BA6" s="13" t="s">
        <v>74</v>
      </c>
      <c r="BB6" s="13" t="s">
        <v>74</v>
      </c>
      <c r="BC6" s="13" t="s">
        <v>74</v>
      </c>
      <c r="BD6" s="13">
        <v>102938</v>
      </c>
      <c r="BE6" s="13" t="s">
        <v>7384</v>
      </c>
      <c r="BF6" s="13">
        <v>0</v>
      </c>
      <c r="BG6" s="13" t="s">
        <v>74</v>
      </c>
      <c r="BH6" s="13" t="s">
        <v>74</v>
      </c>
      <c r="BI6" s="13">
        <v>13</v>
      </c>
      <c r="BJ6" s="13" t="s">
        <v>2621</v>
      </c>
      <c r="BK6" s="13" t="s">
        <v>156</v>
      </c>
      <c r="BL6" s="13" t="s">
        <v>2621</v>
      </c>
      <c r="BM6" s="13" t="s">
        <v>7385</v>
      </c>
      <c r="BN6" s="13" t="s">
        <v>74</v>
      </c>
      <c r="BO6" s="13" t="s">
        <v>74</v>
      </c>
      <c r="BP6" s="13" t="s">
        <v>74</v>
      </c>
      <c r="BQ6" s="13" t="s">
        <v>74</v>
      </c>
      <c r="BR6" s="13" t="s">
        <v>12946</v>
      </c>
      <c r="BS6" s="13" t="s">
        <v>7386</v>
      </c>
      <c r="BT6" s="13">
        <v>0</v>
      </c>
    </row>
    <row r="7" spans="1:72" x14ac:dyDescent="0.25">
      <c r="A7" s="13" t="s">
        <v>72</v>
      </c>
      <c r="B7" s="13" t="s">
        <v>9840</v>
      </c>
      <c r="C7" s="13" t="s">
        <v>74</v>
      </c>
      <c r="D7" s="13" t="s">
        <v>74</v>
      </c>
      <c r="E7" s="13" t="s">
        <v>74</v>
      </c>
      <c r="F7" s="13" t="s">
        <v>9841</v>
      </c>
      <c r="G7" s="13" t="s">
        <v>74</v>
      </c>
      <c r="H7" s="13" t="s">
        <v>74</v>
      </c>
      <c r="I7" s="13" t="s">
        <v>9842</v>
      </c>
      <c r="J7" s="13" t="s">
        <v>9843</v>
      </c>
      <c r="K7" s="13" t="s">
        <v>74</v>
      </c>
      <c r="L7" s="13" t="s">
        <v>74</v>
      </c>
      <c r="M7" s="13" t="s">
        <v>78</v>
      </c>
      <c r="N7" s="13" t="s">
        <v>79</v>
      </c>
      <c r="O7" s="13" t="s">
        <v>74</v>
      </c>
      <c r="P7" s="13" t="s">
        <v>74</v>
      </c>
      <c r="Q7" s="13" t="s">
        <v>74</v>
      </c>
      <c r="R7" s="13" t="s">
        <v>74</v>
      </c>
      <c r="S7" s="13" t="s">
        <v>74</v>
      </c>
      <c r="T7" s="13" t="s">
        <v>74</v>
      </c>
      <c r="U7" s="13" t="s">
        <v>74</v>
      </c>
      <c r="V7" s="13" t="s">
        <v>9844</v>
      </c>
      <c r="W7" s="13" t="s">
        <v>9845</v>
      </c>
      <c r="X7" s="13" t="s">
        <v>9846</v>
      </c>
      <c r="Y7" s="13" t="s">
        <v>9847</v>
      </c>
      <c r="Z7" s="13" t="s">
        <v>9848</v>
      </c>
      <c r="AA7" s="13" t="s">
        <v>74</v>
      </c>
      <c r="AB7" s="13" t="s">
        <v>9849</v>
      </c>
      <c r="AC7" s="13" t="s">
        <v>74</v>
      </c>
      <c r="AD7" s="13" t="s">
        <v>74</v>
      </c>
      <c r="AE7" s="13" t="s">
        <v>74</v>
      </c>
      <c r="AF7" s="13" t="s">
        <v>74</v>
      </c>
      <c r="AG7" s="13">
        <v>28</v>
      </c>
      <c r="AH7" s="13">
        <v>20</v>
      </c>
      <c r="AI7" s="13">
        <v>20</v>
      </c>
      <c r="AJ7" s="13">
        <v>1</v>
      </c>
      <c r="AK7" s="13">
        <v>11</v>
      </c>
      <c r="AL7" s="13" t="s">
        <v>9850</v>
      </c>
      <c r="AM7" s="13" t="s">
        <v>9851</v>
      </c>
      <c r="AN7" s="13" t="s">
        <v>9852</v>
      </c>
      <c r="AO7" s="13" t="s">
        <v>9853</v>
      </c>
      <c r="AP7" s="13" t="s">
        <v>9854</v>
      </c>
      <c r="AQ7" s="13" t="s">
        <v>74</v>
      </c>
      <c r="AR7" s="13" t="s">
        <v>9855</v>
      </c>
      <c r="AS7" s="13" t="s">
        <v>9856</v>
      </c>
      <c r="AT7" s="13" t="s">
        <v>1138</v>
      </c>
      <c r="AU7" s="13">
        <v>2018</v>
      </c>
      <c r="AV7" s="13">
        <v>17</v>
      </c>
      <c r="AW7" s="13">
        <v>2</v>
      </c>
      <c r="AX7" s="13" t="s">
        <v>74</v>
      </c>
      <c r="AY7" s="13" t="s">
        <v>74</v>
      </c>
      <c r="AZ7" s="13" t="s">
        <v>74</v>
      </c>
      <c r="BA7" s="13" t="s">
        <v>74</v>
      </c>
      <c r="BB7" s="13">
        <v>89</v>
      </c>
      <c r="BC7" s="13">
        <v>107</v>
      </c>
      <c r="BD7" s="13" t="s">
        <v>74</v>
      </c>
      <c r="BE7" s="13" t="s">
        <v>74</v>
      </c>
      <c r="BF7" s="13" t="s">
        <v>74</v>
      </c>
      <c r="BG7" s="13" t="s">
        <v>74</v>
      </c>
      <c r="BH7" s="13" t="s">
        <v>74</v>
      </c>
      <c r="BI7" s="13">
        <v>19</v>
      </c>
      <c r="BJ7" s="13" t="s">
        <v>3601</v>
      </c>
      <c r="BK7" s="13" t="s">
        <v>156</v>
      </c>
      <c r="BL7" s="13" t="s">
        <v>3602</v>
      </c>
      <c r="BM7" s="13" t="s">
        <v>9857</v>
      </c>
      <c r="BN7" s="13" t="s">
        <v>74</v>
      </c>
      <c r="BO7" s="13" t="s">
        <v>74</v>
      </c>
      <c r="BP7" s="13" t="s">
        <v>74</v>
      </c>
      <c r="BQ7" s="13" t="s">
        <v>74</v>
      </c>
      <c r="BR7" s="13" t="s">
        <v>12946</v>
      </c>
      <c r="BS7" s="13" t="s">
        <v>9858</v>
      </c>
      <c r="BT7" s="13">
        <v>0</v>
      </c>
    </row>
    <row r="8" spans="1:72" x14ac:dyDescent="0.25">
      <c r="A8" s="13" t="s">
        <v>72</v>
      </c>
      <c r="B8" s="13" t="s">
        <v>4523</v>
      </c>
      <c r="C8" s="13" t="s">
        <v>74</v>
      </c>
      <c r="D8" s="13" t="s">
        <v>74</v>
      </c>
      <c r="E8" s="13" t="s">
        <v>74</v>
      </c>
      <c r="F8" s="13" t="s">
        <v>6258</v>
      </c>
      <c r="G8" s="13" t="s">
        <v>74</v>
      </c>
      <c r="H8" s="13" t="s">
        <v>74</v>
      </c>
      <c r="I8" s="13" t="s">
        <v>6259</v>
      </c>
      <c r="J8" s="13" t="s">
        <v>2607</v>
      </c>
      <c r="K8" s="13" t="s">
        <v>74</v>
      </c>
      <c r="L8" s="13" t="s">
        <v>74</v>
      </c>
      <c r="M8" s="13" t="s">
        <v>78</v>
      </c>
      <c r="N8" s="13" t="s">
        <v>79</v>
      </c>
      <c r="O8" s="13" t="s">
        <v>74</v>
      </c>
      <c r="P8" s="13" t="s">
        <v>74</v>
      </c>
      <c r="Q8" s="13" t="s">
        <v>74</v>
      </c>
      <c r="R8" s="13" t="s">
        <v>74</v>
      </c>
      <c r="S8" s="13" t="s">
        <v>74</v>
      </c>
      <c r="T8" s="13" t="s">
        <v>6260</v>
      </c>
      <c r="U8" s="13" t="s">
        <v>6261</v>
      </c>
      <c r="V8" s="13" t="s">
        <v>6262</v>
      </c>
      <c r="W8" s="13" t="s">
        <v>6263</v>
      </c>
      <c r="X8" s="13" t="s">
        <v>13346</v>
      </c>
      <c r="Y8" s="13" t="s">
        <v>6265</v>
      </c>
      <c r="Z8" s="13" t="s">
        <v>4532</v>
      </c>
      <c r="AA8" s="13" t="s">
        <v>13347</v>
      </c>
      <c r="AB8" s="13" t="s">
        <v>13348</v>
      </c>
      <c r="AC8" s="13" t="s">
        <v>74</v>
      </c>
      <c r="AD8" s="13" t="s">
        <v>74</v>
      </c>
      <c r="AE8" s="13" t="s">
        <v>74</v>
      </c>
      <c r="AF8" s="13" t="s">
        <v>74</v>
      </c>
      <c r="AG8" s="13">
        <v>35</v>
      </c>
      <c r="AH8" s="13">
        <v>15</v>
      </c>
      <c r="AI8" s="13">
        <v>16</v>
      </c>
      <c r="AJ8" s="13">
        <v>0</v>
      </c>
      <c r="AK8" s="13">
        <v>16</v>
      </c>
      <c r="AL8" s="13" t="s">
        <v>231</v>
      </c>
      <c r="AM8" s="13" t="s">
        <v>232</v>
      </c>
      <c r="AN8" s="13" t="s">
        <v>233</v>
      </c>
      <c r="AO8" s="13" t="s">
        <v>2615</v>
      </c>
      <c r="AP8" s="13" t="s">
        <v>2616</v>
      </c>
      <c r="AQ8" s="13" t="s">
        <v>74</v>
      </c>
      <c r="AR8" s="13" t="s">
        <v>2617</v>
      </c>
      <c r="AS8" s="13" t="s">
        <v>2618</v>
      </c>
      <c r="AT8" s="13" t="s">
        <v>1138</v>
      </c>
      <c r="AU8" s="13">
        <v>2021</v>
      </c>
      <c r="AV8" s="13">
        <v>10</v>
      </c>
      <c r="AW8" s="13">
        <v>2</v>
      </c>
      <c r="AX8" s="13" t="s">
        <v>74</v>
      </c>
      <c r="AY8" s="13" t="s">
        <v>74</v>
      </c>
      <c r="AZ8" s="13" t="s">
        <v>1020</v>
      </c>
      <c r="BA8" s="13" t="s">
        <v>74</v>
      </c>
      <c r="BB8" s="13">
        <v>97</v>
      </c>
      <c r="BC8" s="13">
        <v>109</v>
      </c>
      <c r="BD8" s="13" t="s">
        <v>74</v>
      </c>
      <c r="BE8" s="13" t="s">
        <v>6268</v>
      </c>
      <c r="BF8" s="13">
        <v>0</v>
      </c>
      <c r="BG8" s="13" t="s">
        <v>74</v>
      </c>
      <c r="BH8" s="13" t="s">
        <v>6177</v>
      </c>
      <c r="BI8" s="13">
        <v>13</v>
      </c>
      <c r="BJ8" s="13" t="s">
        <v>2621</v>
      </c>
      <c r="BK8" s="13" t="s">
        <v>183</v>
      </c>
      <c r="BL8" s="13" t="s">
        <v>2621</v>
      </c>
      <c r="BM8" s="13" t="s">
        <v>6269</v>
      </c>
      <c r="BN8" s="13" t="s">
        <v>74</v>
      </c>
      <c r="BO8" s="13" t="s">
        <v>614</v>
      </c>
      <c r="BP8" s="13" t="s">
        <v>74</v>
      </c>
      <c r="BQ8" s="13" t="s">
        <v>74</v>
      </c>
      <c r="BR8" s="13" t="s">
        <v>12946</v>
      </c>
      <c r="BS8" s="13" t="s">
        <v>6270</v>
      </c>
      <c r="BT8" s="13">
        <v>0</v>
      </c>
    </row>
    <row r="9" spans="1:72" x14ac:dyDescent="0.25">
      <c r="A9" s="13" t="s">
        <v>72</v>
      </c>
      <c r="B9" s="13" t="s">
        <v>10292</v>
      </c>
      <c r="C9" s="13" t="s">
        <v>74</v>
      </c>
      <c r="D9" s="13" t="s">
        <v>74</v>
      </c>
      <c r="E9" s="13" t="s">
        <v>74</v>
      </c>
      <c r="F9" s="13" t="s">
        <v>10293</v>
      </c>
      <c r="G9" s="13" t="s">
        <v>74</v>
      </c>
      <c r="H9" s="13" t="s">
        <v>74</v>
      </c>
      <c r="I9" s="13" t="s">
        <v>10294</v>
      </c>
      <c r="J9" s="13" t="s">
        <v>10144</v>
      </c>
      <c r="K9" s="13" t="s">
        <v>74</v>
      </c>
      <c r="L9" s="13" t="s">
        <v>74</v>
      </c>
      <c r="M9" s="13" t="s">
        <v>78</v>
      </c>
      <c r="N9" s="13" t="s">
        <v>79</v>
      </c>
      <c r="O9" s="13" t="s">
        <v>74</v>
      </c>
      <c r="P9" s="13" t="s">
        <v>74</v>
      </c>
      <c r="Q9" s="13" t="s">
        <v>74</v>
      </c>
      <c r="R9" s="13" t="s">
        <v>74</v>
      </c>
      <c r="S9" s="13" t="s">
        <v>74</v>
      </c>
      <c r="T9" s="13" t="s">
        <v>10295</v>
      </c>
      <c r="U9" s="13" t="s">
        <v>10296</v>
      </c>
      <c r="V9" s="13" t="s">
        <v>10297</v>
      </c>
      <c r="W9" s="13" t="s">
        <v>10298</v>
      </c>
      <c r="X9" s="13" t="s">
        <v>10299</v>
      </c>
      <c r="Y9" s="13" t="s">
        <v>10300</v>
      </c>
      <c r="Z9" s="13" t="s">
        <v>10301</v>
      </c>
      <c r="AA9" s="13" t="s">
        <v>74</v>
      </c>
      <c r="AB9" s="13" t="s">
        <v>74</v>
      </c>
      <c r="AC9" s="13" t="s">
        <v>74</v>
      </c>
      <c r="AD9" s="13" t="s">
        <v>74</v>
      </c>
      <c r="AE9" s="13" t="s">
        <v>74</v>
      </c>
      <c r="AF9" s="13" t="s">
        <v>74</v>
      </c>
      <c r="AG9" s="13">
        <v>21</v>
      </c>
      <c r="AH9" s="13">
        <v>13</v>
      </c>
      <c r="AI9" s="13">
        <v>13</v>
      </c>
      <c r="AJ9" s="13">
        <v>1</v>
      </c>
      <c r="AK9" s="13">
        <v>13</v>
      </c>
      <c r="AL9" s="13" t="s">
        <v>715</v>
      </c>
      <c r="AM9" s="13" t="s">
        <v>716</v>
      </c>
      <c r="AN9" s="13" t="s">
        <v>717</v>
      </c>
      <c r="AO9" s="13" t="s">
        <v>10153</v>
      </c>
      <c r="AP9" s="13" t="s">
        <v>10154</v>
      </c>
      <c r="AQ9" s="13" t="s">
        <v>74</v>
      </c>
      <c r="AR9" s="13" t="s">
        <v>10144</v>
      </c>
      <c r="AS9" s="13" t="s">
        <v>10155</v>
      </c>
      <c r="AT9" s="13" t="s">
        <v>74</v>
      </c>
      <c r="AU9" s="13">
        <v>2018</v>
      </c>
      <c r="AV9" s="13">
        <v>31</v>
      </c>
      <c r="AW9" s="13">
        <v>1</v>
      </c>
      <c r="AX9" s="13" t="s">
        <v>74</v>
      </c>
      <c r="AY9" s="13" t="s">
        <v>74</v>
      </c>
      <c r="AZ9" s="13" t="s">
        <v>74</v>
      </c>
      <c r="BA9" s="13" t="s">
        <v>74</v>
      </c>
      <c r="BB9" s="13">
        <v>2</v>
      </c>
      <c r="BC9" s="13">
        <v>15</v>
      </c>
      <c r="BD9" s="13" t="s">
        <v>74</v>
      </c>
      <c r="BE9" s="13" t="s">
        <v>10304</v>
      </c>
      <c r="BF9" s="13">
        <v>0</v>
      </c>
      <c r="BG9" s="13" t="s">
        <v>74</v>
      </c>
      <c r="BH9" s="13" t="s">
        <v>74</v>
      </c>
      <c r="BI9" s="13">
        <v>14</v>
      </c>
      <c r="BJ9" s="13" t="s">
        <v>3050</v>
      </c>
      <c r="BK9" s="13" t="s">
        <v>183</v>
      </c>
      <c r="BL9" s="13" t="s">
        <v>3050</v>
      </c>
      <c r="BM9" s="13" t="s">
        <v>10305</v>
      </c>
      <c r="BN9" s="13" t="s">
        <v>74</v>
      </c>
      <c r="BO9" s="13" t="s">
        <v>2805</v>
      </c>
      <c r="BP9" s="13" t="s">
        <v>74</v>
      </c>
      <c r="BQ9" s="13" t="s">
        <v>74</v>
      </c>
      <c r="BR9" s="13" t="s">
        <v>12946</v>
      </c>
      <c r="BS9" s="13" t="s">
        <v>10306</v>
      </c>
      <c r="BT9" s="13">
        <v>0</v>
      </c>
    </row>
    <row r="10" spans="1:72" x14ac:dyDescent="0.25">
      <c r="A10" s="13" t="s">
        <v>72</v>
      </c>
      <c r="B10" s="13" t="s">
        <v>11060</v>
      </c>
      <c r="C10" s="13" t="s">
        <v>74</v>
      </c>
      <c r="D10" s="13" t="s">
        <v>74</v>
      </c>
      <c r="E10" s="13" t="s">
        <v>74</v>
      </c>
      <c r="F10" s="13" t="s">
        <v>11061</v>
      </c>
      <c r="G10" s="13" t="s">
        <v>74</v>
      </c>
      <c r="H10" s="13" t="s">
        <v>74</v>
      </c>
      <c r="I10" s="13" t="s">
        <v>11505</v>
      </c>
      <c r="J10" s="13" t="s">
        <v>11506</v>
      </c>
      <c r="K10" s="13" t="s">
        <v>74</v>
      </c>
      <c r="L10" s="13" t="s">
        <v>74</v>
      </c>
      <c r="M10" s="13" t="s">
        <v>78</v>
      </c>
      <c r="N10" s="13" t="s">
        <v>79</v>
      </c>
      <c r="O10" s="13" t="s">
        <v>74</v>
      </c>
      <c r="P10" s="13" t="s">
        <v>74</v>
      </c>
      <c r="Q10" s="13" t="s">
        <v>74</v>
      </c>
      <c r="R10" s="13" t="s">
        <v>74</v>
      </c>
      <c r="S10" s="13" t="s">
        <v>74</v>
      </c>
      <c r="T10" s="13" t="s">
        <v>11507</v>
      </c>
      <c r="U10" s="13" t="s">
        <v>11508</v>
      </c>
      <c r="V10" s="13" t="s">
        <v>11509</v>
      </c>
      <c r="W10" s="13" t="s">
        <v>11510</v>
      </c>
      <c r="X10" s="13" t="s">
        <v>11068</v>
      </c>
      <c r="Y10" s="13" t="s">
        <v>11511</v>
      </c>
      <c r="Z10" s="13" t="s">
        <v>10654</v>
      </c>
      <c r="AA10" s="13" t="s">
        <v>13349</v>
      </c>
      <c r="AB10" s="13" t="s">
        <v>13350</v>
      </c>
      <c r="AC10" s="13" t="s">
        <v>74</v>
      </c>
      <c r="AD10" s="13" t="s">
        <v>74</v>
      </c>
      <c r="AE10" s="13" t="s">
        <v>74</v>
      </c>
      <c r="AF10" s="13" t="s">
        <v>74</v>
      </c>
      <c r="AG10" s="13">
        <v>48</v>
      </c>
      <c r="AH10" s="13">
        <v>13</v>
      </c>
      <c r="AI10" s="13">
        <v>14</v>
      </c>
      <c r="AJ10" s="13">
        <v>0</v>
      </c>
      <c r="AK10" s="13">
        <v>20</v>
      </c>
      <c r="AL10" s="13" t="s">
        <v>492</v>
      </c>
      <c r="AM10" s="13" t="s">
        <v>493</v>
      </c>
      <c r="AN10" s="13" t="s">
        <v>494</v>
      </c>
      <c r="AO10" s="13" t="s">
        <v>11514</v>
      </c>
      <c r="AP10" s="13" t="s">
        <v>11515</v>
      </c>
      <c r="AQ10" s="13" t="s">
        <v>74</v>
      </c>
      <c r="AR10" s="13" t="s">
        <v>11516</v>
      </c>
      <c r="AS10" s="13" t="s">
        <v>11517</v>
      </c>
      <c r="AT10" s="13" t="s">
        <v>3505</v>
      </c>
      <c r="AU10" s="13">
        <v>2015</v>
      </c>
      <c r="AV10" s="13">
        <v>52</v>
      </c>
      <c r="AW10" s="13">
        <v>1</v>
      </c>
      <c r="AX10" s="13" t="s">
        <v>74</v>
      </c>
      <c r="AY10" s="13" t="s">
        <v>74</v>
      </c>
      <c r="AZ10" s="13" t="s">
        <v>74</v>
      </c>
      <c r="BA10" s="13" t="s">
        <v>74</v>
      </c>
      <c r="BB10" s="13">
        <v>35</v>
      </c>
      <c r="BC10" s="13">
        <v>41</v>
      </c>
      <c r="BD10" s="13" t="s">
        <v>74</v>
      </c>
      <c r="BE10" s="13" t="s">
        <v>11518</v>
      </c>
      <c r="BF10" s="13">
        <v>0</v>
      </c>
      <c r="BG10" s="13" t="s">
        <v>74</v>
      </c>
      <c r="BH10" s="13" t="s">
        <v>74</v>
      </c>
      <c r="BI10" s="13">
        <v>7</v>
      </c>
      <c r="BJ10" s="13" t="s">
        <v>11077</v>
      </c>
      <c r="BK10" s="13" t="s">
        <v>183</v>
      </c>
      <c r="BL10" s="13" t="s">
        <v>1477</v>
      </c>
      <c r="BM10" s="13" t="s">
        <v>11519</v>
      </c>
      <c r="BN10" s="13" t="s">
        <v>74</v>
      </c>
      <c r="BO10" s="13" t="s">
        <v>2623</v>
      </c>
      <c r="BP10" s="13" t="s">
        <v>74</v>
      </c>
      <c r="BQ10" s="13" t="s">
        <v>74</v>
      </c>
      <c r="BR10" s="13" t="s">
        <v>12946</v>
      </c>
      <c r="BS10" s="13" t="s">
        <v>11520</v>
      </c>
      <c r="BT10" s="13">
        <v>0</v>
      </c>
    </row>
    <row r="11" spans="1:72" x14ac:dyDescent="0.25">
      <c r="A11" s="13" t="s">
        <v>72</v>
      </c>
      <c r="B11" s="13" t="s">
        <v>6741</v>
      </c>
      <c r="C11" s="13" t="s">
        <v>74</v>
      </c>
      <c r="D11" s="13" t="s">
        <v>74</v>
      </c>
      <c r="E11" s="13" t="s">
        <v>74</v>
      </c>
      <c r="F11" s="13" t="s">
        <v>6742</v>
      </c>
      <c r="G11" s="13" t="s">
        <v>74</v>
      </c>
      <c r="H11" s="13" t="s">
        <v>74</v>
      </c>
      <c r="I11" s="13" t="s">
        <v>6743</v>
      </c>
      <c r="J11" s="13" t="s">
        <v>6744</v>
      </c>
      <c r="K11" s="13" t="s">
        <v>74</v>
      </c>
      <c r="L11" s="13" t="s">
        <v>74</v>
      </c>
      <c r="M11" s="13" t="s">
        <v>78</v>
      </c>
      <c r="N11" s="13" t="s">
        <v>79</v>
      </c>
      <c r="O11" s="13" t="s">
        <v>74</v>
      </c>
      <c r="P11" s="13" t="s">
        <v>74</v>
      </c>
      <c r="Q11" s="13" t="s">
        <v>74</v>
      </c>
      <c r="R11" s="13" t="s">
        <v>74</v>
      </c>
      <c r="S11" s="13" t="s">
        <v>74</v>
      </c>
      <c r="T11" s="13" t="s">
        <v>74</v>
      </c>
      <c r="U11" s="13" t="s">
        <v>6745</v>
      </c>
      <c r="V11" s="13" t="s">
        <v>6746</v>
      </c>
      <c r="W11" s="13" t="s">
        <v>6747</v>
      </c>
      <c r="X11" s="13" t="s">
        <v>6748</v>
      </c>
      <c r="Y11" s="13" t="s">
        <v>6749</v>
      </c>
      <c r="Z11" s="13" t="s">
        <v>6750</v>
      </c>
      <c r="AA11" s="13" t="s">
        <v>6751</v>
      </c>
      <c r="AB11" s="13" t="s">
        <v>13351</v>
      </c>
      <c r="AC11" s="13" t="s">
        <v>6753</v>
      </c>
      <c r="AD11" s="13" t="s">
        <v>6754</v>
      </c>
      <c r="AE11" s="13" t="s">
        <v>6755</v>
      </c>
      <c r="AF11" s="13" t="s">
        <v>74</v>
      </c>
      <c r="AG11" s="13">
        <v>160</v>
      </c>
      <c r="AH11" s="13">
        <v>11</v>
      </c>
      <c r="AI11" s="13">
        <v>12</v>
      </c>
      <c r="AJ11" s="13">
        <v>2</v>
      </c>
      <c r="AK11" s="13">
        <v>44</v>
      </c>
      <c r="AL11" s="13" t="s">
        <v>5744</v>
      </c>
      <c r="AM11" s="13" t="s">
        <v>5745</v>
      </c>
      <c r="AN11" s="13" t="s">
        <v>5746</v>
      </c>
      <c r="AO11" s="13" t="s">
        <v>6756</v>
      </c>
      <c r="AP11" s="13" t="s">
        <v>74</v>
      </c>
      <c r="AQ11" s="13" t="s">
        <v>74</v>
      </c>
      <c r="AR11" s="13" t="s">
        <v>6757</v>
      </c>
      <c r="AS11" s="13" t="s">
        <v>6758</v>
      </c>
      <c r="AT11" s="13" t="s">
        <v>6759</v>
      </c>
      <c r="AU11" s="13">
        <v>2021</v>
      </c>
      <c r="AV11" s="13">
        <v>9</v>
      </c>
      <c r="AW11" s="13">
        <v>2</v>
      </c>
      <c r="AX11" s="13" t="s">
        <v>74</v>
      </c>
      <c r="AY11" s="13" t="s">
        <v>74</v>
      </c>
      <c r="AZ11" s="13" t="s">
        <v>74</v>
      </c>
      <c r="BA11" s="13" t="s">
        <v>74</v>
      </c>
      <c r="BB11" s="13" t="s">
        <v>74</v>
      </c>
      <c r="BC11" s="13" t="s">
        <v>74</v>
      </c>
      <c r="BD11" s="13">
        <v>20904</v>
      </c>
      <c r="BE11" s="13" t="s">
        <v>6760</v>
      </c>
      <c r="BF11" s="13">
        <v>0</v>
      </c>
      <c r="BG11" s="13" t="s">
        <v>74</v>
      </c>
      <c r="BH11" s="13" t="s">
        <v>74</v>
      </c>
      <c r="BI11" s="13">
        <v>12</v>
      </c>
      <c r="BJ11" s="13" t="s">
        <v>6761</v>
      </c>
      <c r="BK11" s="13" t="s">
        <v>102</v>
      </c>
      <c r="BL11" s="13" t="s">
        <v>6762</v>
      </c>
      <c r="BM11" s="13" t="s">
        <v>6763</v>
      </c>
      <c r="BN11" s="13" t="s">
        <v>74</v>
      </c>
      <c r="BO11" s="13" t="s">
        <v>2162</v>
      </c>
      <c r="BP11" s="13" t="s">
        <v>74</v>
      </c>
      <c r="BQ11" s="13" t="s">
        <v>74</v>
      </c>
      <c r="BR11" s="13" t="s">
        <v>12946</v>
      </c>
      <c r="BS11" s="13" t="s">
        <v>6764</v>
      </c>
      <c r="BT11" s="13">
        <v>0</v>
      </c>
    </row>
    <row r="12" spans="1:72" x14ac:dyDescent="0.25">
      <c r="A12" s="13" t="s">
        <v>72</v>
      </c>
      <c r="B12" s="13" t="s">
        <v>7996</v>
      </c>
      <c r="C12" s="13" t="s">
        <v>74</v>
      </c>
      <c r="D12" s="13" t="s">
        <v>74</v>
      </c>
      <c r="E12" s="13" t="s">
        <v>74</v>
      </c>
      <c r="F12" s="13" t="s">
        <v>7997</v>
      </c>
      <c r="G12" s="13" t="s">
        <v>74</v>
      </c>
      <c r="H12" s="13" t="s">
        <v>74</v>
      </c>
      <c r="I12" s="13" t="s">
        <v>7998</v>
      </c>
      <c r="J12" s="13" t="s">
        <v>7999</v>
      </c>
      <c r="K12" s="13" t="s">
        <v>74</v>
      </c>
      <c r="L12" s="13" t="s">
        <v>74</v>
      </c>
      <c r="M12" s="13" t="s">
        <v>78</v>
      </c>
      <c r="N12" s="13" t="s">
        <v>79</v>
      </c>
      <c r="O12" s="13" t="s">
        <v>74</v>
      </c>
      <c r="P12" s="13" t="s">
        <v>74</v>
      </c>
      <c r="Q12" s="13" t="s">
        <v>74</v>
      </c>
      <c r="R12" s="13" t="s">
        <v>74</v>
      </c>
      <c r="S12" s="13" t="s">
        <v>74</v>
      </c>
      <c r="T12" s="13" t="s">
        <v>74</v>
      </c>
      <c r="U12" s="13" t="s">
        <v>74</v>
      </c>
      <c r="V12" s="13" t="s">
        <v>74</v>
      </c>
      <c r="W12" s="13" t="s">
        <v>8000</v>
      </c>
      <c r="X12" s="13" t="s">
        <v>8001</v>
      </c>
      <c r="Y12" s="13" t="s">
        <v>8002</v>
      </c>
      <c r="Z12" s="13" t="s">
        <v>74</v>
      </c>
      <c r="AA12" s="13" t="s">
        <v>74</v>
      </c>
      <c r="AB12" s="13" t="s">
        <v>74</v>
      </c>
      <c r="AC12" s="13" t="s">
        <v>74</v>
      </c>
      <c r="AD12" s="13" t="s">
        <v>74</v>
      </c>
      <c r="AE12" s="13" t="s">
        <v>74</v>
      </c>
      <c r="AF12" s="13" t="s">
        <v>74</v>
      </c>
      <c r="AG12" s="13">
        <v>0</v>
      </c>
      <c r="AH12" s="13">
        <v>11</v>
      </c>
      <c r="AI12" s="13">
        <v>14</v>
      </c>
      <c r="AJ12" s="13">
        <v>12</v>
      </c>
      <c r="AK12" s="13">
        <v>178</v>
      </c>
      <c r="AL12" s="13" t="s">
        <v>8003</v>
      </c>
      <c r="AM12" s="13" t="s">
        <v>8004</v>
      </c>
      <c r="AN12" s="13" t="s">
        <v>8005</v>
      </c>
      <c r="AO12" s="13" t="s">
        <v>8006</v>
      </c>
      <c r="AP12" s="13" t="s">
        <v>74</v>
      </c>
      <c r="AQ12" s="13" t="s">
        <v>74</v>
      </c>
      <c r="AR12" s="13" t="s">
        <v>8007</v>
      </c>
      <c r="AS12" s="13" t="s">
        <v>8008</v>
      </c>
      <c r="AT12" s="13" t="s">
        <v>1302</v>
      </c>
      <c r="AU12" s="13">
        <v>2020</v>
      </c>
      <c r="AV12" s="13">
        <v>98</v>
      </c>
      <c r="AW12" s="13">
        <v>3</v>
      </c>
      <c r="AX12" s="13" t="s">
        <v>74</v>
      </c>
      <c r="AY12" s="13" t="s">
        <v>74</v>
      </c>
      <c r="AZ12" s="13" t="s">
        <v>74</v>
      </c>
      <c r="BA12" s="13" t="s">
        <v>74</v>
      </c>
      <c r="BB12" s="13">
        <v>125</v>
      </c>
      <c r="BC12" s="13">
        <v>133</v>
      </c>
      <c r="BD12" s="13" t="s">
        <v>74</v>
      </c>
      <c r="BE12" s="13" t="s">
        <v>74</v>
      </c>
      <c r="BF12" s="13" t="s">
        <v>74</v>
      </c>
      <c r="BG12" s="13" t="s">
        <v>74</v>
      </c>
      <c r="BH12" s="13" t="s">
        <v>74</v>
      </c>
      <c r="BI12" s="13">
        <v>9</v>
      </c>
      <c r="BJ12" s="13" t="s">
        <v>264</v>
      </c>
      <c r="BK12" s="13" t="s">
        <v>156</v>
      </c>
      <c r="BL12" s="13" t="s">
        <v>265</v>
      </c>
      <c r="BM12" s="13" t="s">
        <v>8009</v>
      </c>
      <c r="BN12" s="13" t="s">
        <v>74</v>
      </c>
      <c r="BO12" s="13" t="s">
        <v>74</v>
      </c>
      <c r="BP12" s="13" t="s">
        <v>74</v>
      </c>
      <c r="BQ12" s="13" t="s">
        <v>74</v>
      </c>
      <c r="BR12" s="13" t="s">
        <v>12946</v>
      </c>
      <c r="BS12" s="13" t="s">
        <v>8010</v>
      </c>
      <c r="BT12" s="13">
        <v>0</v>
      </c>
    </row>
    <row r="13" spans="1:72" x14ac:dyDescent="0.25">
      <c r="A13" s="13" t="s">
        <v>72</v>
      </c>
      <c r="B13" s="13" t="s">
        <v>10644</v>
      </c>
      <c r="C13" s="13" t="s">
        <v>74</v>
      </c>
      <c r="D13" s="13" t="s">
        <v>74</v>
      </c>
      <c r="E13" s="13" t="s">
        <v>74</v>
      </c>
      <c r="F13" s="13" t="s">
        <v>10645</v>
      </c>
      <c r="G13" s="13" t="s">
        <v>74</v>
      </c>
      <c r="H13" s="13" t="s">
        <v>74</v>
      </c>
      <c r="I13" s="13" t="s">
        <v>10646</v>
      </c>
      <c r="J13" s="13" t="s">
        <v>10647</v>
      </c>
      <c r="K13" s="13" t="s">
        <v>74</v>
      </c>
      <c r="L13" s="13" t="s">
        <v>74</v>
      </c>
      <c r="M13" s="13" t="s">
        <v>78</v>
      </c>
      <c r="N13" s="13" t="s">
        <v>79</v>
      </c>
      <c r="O13" s="13" t="s">
        <v>74</v>
      </c>
      <c r="P13" s="13" t="s">
        <v>74</v>
      </c>
      <c r="Q13" s="13" t="s">
        <v>74</v>
      </c>
      <c r="R13" s="13" t="s">
        <v>74</v>
      </c>
      <c r="S13" s="13" t="s">
        <v>74</v>
      </c>
      <c r="T13" s="13" t="s">
        <v>10648</v>
      </c>
      <c r="U13" s="13" t="s">
        <v>10649</v>
      </c>
      <c r="V13" s="13" t="s">
        <v>10650</v>
      </c>
      <c r="W13" s="13" t="s">
        <v>10651</v>
      </c>
      <c r="X13" s="13" t="s">
        <v>10652</v>
      </c>
      <c r="Y13" s="13" t="s">
        <v>10653</v>
      </c>
      <c r="Z13" s="13" t="s">
        <v>10654</v>
      </c>
      <c r="AA13" s="13" t="s">
        <v>10655</v>
      </c>
      <c r="AB13" s="13" t="s">
        <v>10656</v>
      </c>
      <c r="AC13" s="13" t="s">
        <v>74</v>
      </c>
      <c r="AD13" s="13" t="s">
        <v>74</v>
      </c>
      <c r="AE13" s="13" t="s">
        <v>74</v>
      </c>
      <c r="AF13" s="13" t="s">
        <v>74</v>
      </c>
      <c r="AG13" s="13">
        <v>87</v>
      </c>
      <c r="AH13" s="13">
        <v>10</v>
      </c>
      <c r="AI13" s="13">
        <v>14</v>
      </c>
      <c r="AJ13" s="13">
        <v>2</v>
      </c>
      <c r="AK13" s="13">
        <v>52</v>
      </c>
      <c r="AL13" s="13" t="s">
        <v>492</v>
      </c>
      <c r="AM13" s="13" t="s">
        <v>493</v>
      </c>
      <c r="AN13" s="13" t="s">
        <v>494</v>
      </c>
      <c r="AO13" s="13" t="s">
        <v>10657</v>
      </c>
      <c r="AP13" s="13" t="s">
        <v>10658</v>
      </c>
      <c r="AQ13" s="13" t="s">
        <v>74</v>
      </c>
      <c r="AR13" s="13" t="s">
        <v>10659</v>
      </c>
      <c r="AS13" s="13" t="s">
        <v>10660</v>
      </c>
      <c r="AT13" s="13" t="s">
        <v>74</v>
      </c>
      <c r="AU13" s="13">
        <v>2017</v>
      </c>
      <c r="AV13" s="13">
        <v>24</v>
      </c>
      <c r="AW13" s="13">
        <v>2</v>
      </c>
      <c r="AX13" s="13" t="s">
        <v>74</v>
      </c>
      <c r="AY13" s="13" t="s">
        <v>74</v>
      </c>
      <c r="AZ13" s="13" t="s">
        <v>74</v>
      </c>
      <c r="BA13" s="13" t="s">
        <v>74</v>
      </c>
      <c r="BB13" s="13">
        <v>35</v>
      </c>
      <c r="BC13" s="13">
        <v>49</v>
      </c>
      <c r="BD13" s="13" t="s">
        <v>74</v>
      </c>
      <c r="BE13" s="13" t="s">
        <v>10661</v>
      </c>
      <c r="BF13" s="13">
        <v>0</v>
      </c>
      <c r="BG13" s="13" t="s">
        <v>74</v>
      </c>
      <c r="BH13" s="13" t="s">
        <v>74</v>
      </c>
      <c r="BI13" s="13">
        <v>15</v>
      </c>
      <c r="BJ13" s="13" t="s">
        <v>2621</v>
      </c>
      <c r="BK13" s="13" t="s">
        <v>156</v>
      </c>
      <c r="BL13" s="13" t="s">
        <v>2621</v>
      </c>
      <c r="BM13" s="13" t="s">
        <v>10662</v>
      </c>
      <c r="BN13" s="13" t="s">
        <v>74</v>
      </c>
      <c r="BO13" s="13" t="s">
        <v>74</v>
      </c>
      <c r="BP13" s="13" t="s">
        <v>74</v>
      </c>
      <c r="BQ13" s="13" t="s">
        <v>74</v>
      </c>
      <c r="BR13" s="13" t="s">
        <v>12946</v>
      </c>
      <c r="BS13" s="13" t="s">
        <v>10663</v>
      </c>
      <c r="BT13" s="13">
        <v>0</v>
      </c>
    </row>
    <row r="14" spans="1:72" x14ac:dyDescent="0.25">
      <c r="A14" s="13" t="s">
        <v>72</v>
      </c>
      <c r="B14" s="13" t="s">
        <v>11060</v>
      </c>
      <c r="C14" s="13" t="s">
        <v>74</v>
      </c>
      <c r="D14" s="13" t="s">
        <v>74</v>
      </c>
      <c r="E14" s="13" t="s">
        <v>74</v>
      </c>
      <c r="F14" s="13" t="s">
        <v>11061</v>
      </c>
      <c r="G14" s="13" t="s">
        <v>74</v>
      </c>
      <c r="H14" s="13" t="s">
        <v>74</v>
      </c>
      <c r="I14" s="13" t="s">
        <v>11062</v>
      </c>
      <c r="J14" s="13" t="s">
        <v>11063</v>
      </c>
      <c r="K14" s="13" t="s">
        <v>74</v>
      </c>
      <c r="L14" s="13" t="s">
        <v>74</v>
      </c>
      <c r="M14" s="13" t="s">
        <v>78</v>
      </c>
      <c r="N14" s="13" t="s">
        <v>79</v>
      </c>
      <c r="O14" s="13" t="s">
        <v>74</v>
      </c>
      <c r="P14" s="13" t="s">
        <v>74</v>
      </c>
      <c r="Q14" s="13" t="s">
        <v>74</v>
      </c>
      <c r="R14" s="13" t="s">
        <v>74</v>
      </c>
      <c r="S14" s="13" t="s">
        <v>74</v>
      </c>
      <c r="T14" s="13" t="s">
        <v>11064</v>
      </c>
      <c r="U14" s="13" t="s">
        <v>11065</v>
      </c>
      <c r="V14" s="13" t="s">
        <v>11066</v>
      </c>
      <c r="W14" s="13" t="s">
        <v>11067</v>
      </c>
      <c r="X14" s="13" t="s">
        <v>11068</v>
      </c>
      <c r="Y14" s="13" t="s">
        <v>11069</v>
      </c>
      <c r="Z14" s="13" t="s">
        <v>74</v>
      </c>
      <c r="AA14" s="13" t="s">
        <v>13349</v>
      </c>
      <c r="AB14" s="13" t="s">
        <v>13352</v>
      </c>
      <c r="AC14" s="13" t="s">
        <v>74</v>
      </c>
      <c r="AD14" s="13" t="s">
        <v>74</v>
      </c>
      <c r="AE14" s="13" t="s">
        <v>74</v>
      </c>
      <c r="AF14" s="13" t="s">
        <v>74</v>
      </c>
      <c r="AG14" s="13">
        <v>67</v>
      </c>
      <c r="AH14" s="13">
        <v>10</v>
      </c>
      <c r="AI14" s="13">
        <v>10</v>
      </c>
      <c r="AJ14" s="13">
        <v>0</v>
      </c>
      <c r="AK14" s="13">
        <v>20</v>
      </c>
      <c r="AL14" s="13" t="s">
        <v>2573</v>
      </c>
      <c r="AM14" s="13" t="s">
        <v>2574</v>
      </c>
      <c r="AN14" s="13" t="s">
        <v>2575</v>
      </c>
      <c r="AO14" s="13" t="s">
        <v>11072</v>
      </c>
      <c r="AP14" s="13" t="s">
        <v>11073</v>
      </c>
      <c r="AQ14" s="13" t="s">
        <v>74</v>
      </c>
      <c r="AR14" s="13" t="s">
        <v>11074</v>
      </c>
      <c r="AS14" s="13" t="s">
        <v>11075</v>
      </c>
      <c r="AT14" s="13" t="s">
        <v>2911</v>
      </c>
      <c r="AU14" s="13">
        <v>2016</v>
      </c>
      <c r="AV14" s="13">
        <v>5</v>
      </c>
      <c r="AW14" s="13">
        <v>4</v>
      </c>
      <c r="AX14" s="13" t="s">
        <v>74</v>
      </c>
      <c r="AY14" s="13" t="s">
        <v>74</v>
      </c>
      <c r="AZ14" s="13" t="s">
        <v>74</v>
      </c>
      <c r="BA14" s="13" t="s">
        <v>74</v>
      </c>
      <c r="BB14" s="13">
        <v>1</v>
      </c>
      <c r="BC14" s="13">
        <v>15</v>
      </c>
      <c r="BD14" s="13" t="s">
        <v>74</v>
      </c>
      <c r="BE14" s="13" t="s">
        <v>11076</v>
      </c>
      <c r="BF14" s="13">
        <v>0</v>
      </c>
      <c r="BG14" s="13" t="s">
        <v>74</v>
      </c>
      <c r="BH14" s="13" t="s">
        <v>74</v>
      </c>
      <c r="BI14" s="13">
        <v>15</v>
      </c>
      <c r="BJ14" s="13" t="s">
        <v>11077</v>
      </c>
      <c r="BK14" s="13" t="s">
        <v>183</v>
      </c>
      <c r="BL14" s="13" t="s">
        <v>1477</v>
      </c>
      <c r="BM14" s="13" t="s">
        <v>11078</v>
      </c>
      <c r="BN14" s="13" t="s">
        <v>74</v>
      </c>
      <c r="BO14" s="13" t="s">
        <v>74</v>
      </c>
      <c r="BP14" s="13" t="s">
        <v>74</v>
      </c>
      <c r="BQ14" s="13" t="s">
        <v>74</v>
      </c>
      <c r="BR14" s="13" t="s">
        <v>12946</v>
      </c>
      <c r="BS14" s="13" t="s">
        <v>11079</v>
      </c>
      <c r="BT14" s="13">
        <v>0</v>
      </c>
    </row>
    <row r="15" spans="1:72" x14ac:dyDescent="0.25">
      <c r="A15" s="13" t="s">
        <v>72</v>
      </c>
      <c r="B15" s="13" t="s">
        <v>11858</v>
      </c>
      <c r="C15" s="13" t="s">
        <v>74</v>
      </c>
      <c r="D15" s="13" t="s">
        <v>74</v>
      </c>
      <c r="E15" s="13" t="s">
        <v>74</v>
      </c>
      <c r="F15" s="13" t="s">
        <v>11859</v>
      </c>
      <c r="G15" s="13" t="s">
        <v>74</v>
      </c>
      <c r="H15" s="13" t="s">
        <v>74</v>
      </c>
      <c r="I15" s="13" t="s">
        <v>11860</v>
      </c>
      <c r="J15" s="13" t="s">
        <v>9769</v>
      </c>
      <c r="K15" s="13" t="s">
        <v>74</v>
      </c>
      <c r="L15" s="13" t="s">
        <v>74</v>
      </c>
      <c r="M15" s="13" t="s">
        <v>78</v>
      </c>
      <c r="N15" s="13" t="s">
        <v>79</v>
      </c>
      <c r="O15" s="13" t="s">
        <v>74</v>
      </c>
      <c r="P15" s="13" t="s">
        <v>74</v>
      </c>
      <c r="Q15" s="13" t="s">
        <v>74</v>
      </c>
      <c r="R15" s="13" t="s">
        <v>74</v>
      </c>
      <c r="S15" s="13" t="s">
        <v>74</v>
      </c>
      <c r="T15" s="13" t="s">
        <v>11861</v>
      </c>
      <c r="U15" s="13" t="s">
        <v>11862</v>
      </c>
      <c r="V15" s="13" t="s">
        <v>11863</v>
      </c>
      <c r="W15" s="13" t="s">
        <v>11864</v>
      </c>
      <c r="X15" s="13" t="s">
        <v>11865</v>
      </c>
      <c r="Y15" s="13" t="s">
        <v>11866</v>
      </c>
      <c r="Z15" s="13" t="s">
        <v>11867</v>
      </c>
      <c r="AA15" s="13" t="s">
        <v>13353</v>
      </c>
      <c r="AB15" s="13" t="s">
        <v>13354</v>
      </c>
      <c r="AC15" s="13" t="s">
        <v>74</v>
      </c>
      <c r="AD15" s="13" t="s">
        <v>74</v>
      </c>
      <c r="AE15" s="13" t="s">
        <v>74</v>
      </c>
      <c r="AF15" s="13" t="s">
        <v>74</v>
      </c>
      <c r="AG15" s="13">
        <v>68</v>
      </c>
      <c r="AH15" s="13">
        <v>10</v>
      </c>
      <c r="AI15" s="13">
        <v>14</v>
      </c>
      <c r="AJ15" s="13">
        <v>1</v>
      </c>
      <c r="AK15" s="13">
        <v>47</v>
      </c>
      <c r="AL15" s="13" t="s">
        <v>9779</v>
      </c>
      <c r="AM15" s="13" t="s">
        <v>232</v>
      </c>
      <c r="AN15" s="13" t="s">
        <v>9780</v>
      </c>
      <c r="AO15" s="13" t="s">
        <v>9781</v>
      </c>
      <c r="AP15" s="13" t="s">
        <v>74</v>
      </c>
      <c r="AQ15" s="13" t="s">
        <v>74</v>
      </c>
      <c r="AR15" s="13" t="s">
        <v>9782</v>
      </c>
      <c r="AS15" s="13" t="s">
        <v>9783</v>
      </c>
      <c r="AT15" s="13" t="s">
        <v>1904</v>
      </c>
      <c r="AU15" s="13">
        <v>2014</v>
      </c>
      <c r="AV15" s="13">
        <v>31</v>
      </c>
      <c r="AW15" s="13">
        <v>1</v>
      </c>
      <c r="AX15" s="13" t="s">
        <v>74</v>
      </c>
      <c r="AY15" s="13" t="s">
        <v>74</v>
      </c>
      <c r="AZ15" s="13" t="s">
        <v>74</v>
      </c>
      <c r="BA15" s="13" t="s">
        <v>74</v>
      </c>
      <c r="BB15" s="13">
        <v>98</v>
      </c>
      <c r="BC15" s="13">
        <v>114</v>
      </c>
      <c r="BD15" s="13" t="s">
        <v>74</v>
      </c>
      <c r="BE15" s="13" t="s">
        <v>11870</v>
      </c>
      <c r="BF15" s="13">
        <v>0</v>
      </c>
      <c r="BG15" s="13" t="s">
        <v>74</v>
      </c>
      <c r="BH15" s="13" t="s">
        <v>74</v>
      </c>
      <c r="BI15" s="13">
        <v>17</v>
      </c>
      <c r="BJ15" s="13" t="s">
        <v>3050</v>
      </c>
      <c r="BK15" s="13" t="s">
        <v>156</v>
      </c>
      <c r="BL15" s="13" t="s">
        <v>3050</v>
      </c>
      <c r="BM15" s="13" t="s">
        <v>11871</v>
      </c>
      <c r="BN15" s="13" t="s">
        <v>74</v>
      </c>
      <c r="BO15" s="13" t="s">
        <v>74</v>
      </c>
      <c r="BP15" s="13" t="s">
        <v>74</v>
      </c>
      <c r="BQ15" s="13" t="s">
        <v>74</v>
      </c>
      <c r="BR15" s="13" t="s">
        <v>12946</v>
      </c>
      <c r="BS15" s="13" t="s">
        <v>11872</v>
      </c>
      <c r="BT15" s="13">
        <v>0</v>
      </c>
    </row>
    <row r="16" spans="1:72" x14ac:dyDescent="0.25">
      <c r="A16" s="13" t="s">
        <v>72</v>
      </c>
      <c r="B16" s="13" t="s">
        <v>12362</v>
      </c>
      <c r="C16" s="13" t="s">
        <v>74</v>
      </c>
      <c r="D16" s="13" t="s">
        <v>74</v>
      </c>
      <c r="E16" s="13" t="s">
        <v>74</v>
      </c>
      <c r="F16" s="13" t="s">
        <v>12363</v>
      </c>
      <c r="G16" s="13" t="s">
        <v>74</v>
      </c>
      <c r="H16" s="13" t="s">
        <v>74</v>
      </c>
      <c r="I16" s="13" t="s">
        <v>12364</v>
      </c>
      <c r="J16" s="13" t="s">
        <v>12365</v>
      </c>
      <c r="K16" s="13" t="s">
        <v>74</v>
      </c>
      <c r="L16" s="13" t="s">
        <v>74</v>
      </c>
      <c r="M16" s="13" t="s">
        <v>78</v>
      </c>
      <c r="N16" s="13" t="s">
        <v>79</v>
      </c>
      <c r="O16" s="13" t="s">
        <v>74</v>
      </c>
      <c r="P16" s="13" t="s">
        <v>74</v>
      </c>
      <c r="Q16" s="13" t="s">
        <v>74</v>
      </c>
      <c r="R16" s="13" t="s">
        <v>74</v>
      </c>
      <c r="S16" s="13" t="s">
        <v>74</v>
      </c>
      <c r="T16" s="13" t="s">
        <v>12366</v>
      </c>
      <c r="U16" s="13" t="s">
        <v>74</v>
      </c>
      <c r="V16" s="13" t="s">
        <v>12367</v>
      </c>
      <c r="W16" s="13" t="s">
        <v>12368</v>
      </c>
      <c r="X16" s="13" t="s">
        <v>12369</v>
      </c>
      <c r="Y16" s="13" t="s">
        <v>12370</v>
      </c>
      <c r="Z16" s="13" t="s">
        <v>12371</v>
      </c>
      <c r="AA16" s="13" t="s">
        <v>13355</v>
      </c>
      <c r="AB16" s="13" t="s">
        <v>13356</v>
      </c>
      <c r="AC16" s="13" t="s">
        <v>74</v>
      </c>
      <c r="AD16" s="13" t="s">
        <v>74</v>
      </c>
      <c r="AE16" s="13" t="s">
        <v>74</v>
      </c>
      <c r="AF16" s="13" t="s">
        <v>74</v>
      </c>
      <c r="AG16" s="13">
        <v>22</v>
      </c>
      <c r="AH16" s="13">
        <v>9</v>
      </c>
      <c r="AI16" s="13">
        <v>14</v>
      </c>
      <c r="AJ16" s="13">
        <v>2</v>
      </c>
      <c r="AK16" s="13">
        <v>56</v>
      </c>
      <c r="AL16" s="13" t="s">
        <v>254</v>
      </c>
      <c r="AM16" s="13" t="s">
        <v>255</v>
      </c>
      <c r="AN16" s="13" t="s">
        <v>256</v>
      </c>
      <c r="AO16" s="13" t="s">
        <v>12374</v>
      </c>
      <c r="AP16" s="13" t="s">
        <v>12375</v>
      </c>
      <c r="AQ16" s="13" t="s">
        <v>74</v>
      </c>
      <c r="AR16" s="13" t="s">
        <v>12376</v>
      </c>
      <c r="AS16" s="13" t="s">
        <v>12377</v>
      </c>
      <c r="AT16" s="13" t="s">
        <v>626</v>
      </c>
      <c r="AU16" s="13">
        <v>2011</v>
      </c>
      <c r="AV16" s="13">
        <v>11</v>
      </c>
      <c r="AW16" s="13">
        <v>2</v>
      </c>
      <c r="AX16" s="13" t="s">
        <v>74</v>
      </c>
      <c r="AY16" s="13" t="s">
        <v>74</v>
      </c>
      <c r="AZ16" s="13" t="s">
        <v>1020</v>
      </c>
      <c r="BA16" s="13" t="s">
        <v>74</v>
      </c>
      <c r="BB16" s="13">
        <v>149</v>
      </c>
      <c r="BC16" s="13">
        <v>169</v>
      </c>
      <c r="BD16" s="13" t="s">
        <v>74</v>
      </c>
      <c r="BE16" s="13" t="s">
        <v>12378</v>
      </c>
      <c r="BF16" s="13">
        <v>0</v>
      </c>
      <c r="BG16" s="13" t="s">
        <v>74</v>
      </c>
      <c r="BH16" s="13" t="s">
        <v>74</v>
      </c>
      <c r="BI16" s="13">
        <v>21</v>
      </c>
      <c r="BJ16" s="13" t="s">
        <v>6503</v>
      </c>
      <c r="BK16" s="13" t="s">
        <v>102</v>
      </c>
      <c r="BL16" s="13" t="s">
        <v>6503</v>
      </c>
      <c r="BM16" s="13" t="s">
        <v>12379</v>
      </c>
      <c r="BN16" s="13" t="s">
        <v>74</v>
      </c>
      <c r="BO16" s="13" t="s">
        <v>74</v>
      </c>
      <c r="BP16" s="13" t="s">
        <v>74</v>
      </c>
      <c r="BQ16" s="13" t="s">
        <v>74</v>
      </c>
      <c r="BR16" s="13" t="s">
        <v>12946</v>
      </c>
      <c r="BS16" s="13" t="s">
        <v>12380</v>
      </c>
      <c r="BT16" s="13">
        <v>0</v>
      </c>
    </row>
    <row r="17" spans="1:72" x14ac:dyDescent="0.25">
      <c r="A17" s="13" t="s">
        <v>72</v>
      </c>
      <c r="B17" s="13" t="s">
        <v>5086</v>
      </c>
      <c r="C17" s="13" t="s">
        <v>74</v>
      </c>
      <c r="D17" s="13" t="s">
        <v>74</v>
      </c>
      <c r="E17" s="13" t="s">
        <v>74</v>
      </c>
      <c r="F17" s="13" t="s">
        <v>5087</v>
      </c>
      <c r="G17" s="13" t="s">
        <v>74</v>
      </c>
      <c r="H17" s="13" t="s">
        <v>74</v>
      </c>
      <c r="I17" s="13" t="s">
        <v>5088</v>
      </c>
      <c r="J17" s="13" t="s">
        <v>2140</v>
      </c>
      <c r="K17" s="13" t="s">
        <v>74</v>
      </c>
      <c r="L17" s="13" t="s">
        <v>74</v>
      </c>
      <c r="M17" s="13" t="s">
        <v>78</v>
      </c>
      <c r="N17" s="13" t="s">
        <v>79</v>
      </c>
      <c r="O17" s="13" t="s">
        <v>74</v>
      </c>
      <c r="P17" s="13" t="s">
        <v>74</v>
      </c>
      <c r="Q17" s="13" t="s">
        <v>74</v>
      </c>
      <c r="R17" s="13" t="s">
        <v>74</v>
      </c>
      <c r="S17" s="13" t="s">
        <v>74</v>
      </c>
      <c r="T17" s="13" t="s">
        <v>5089</v>
      </c>
      <c r="U17" s="13" t="s">
        <v>5090</v>
      </c>
      <c r="V17" s="13" t="s">
        <v>5091</v>
      </c>
      <c r="W17" s="13" t="s">
        <v>5092</v>
      </c>
      <c r="X17" s="13" t="s">
        <v>5093</v>
      </c>
      <c r="Y17" s="13" t="s">
        <v>5094</v>
      </c>
      <c r="Z17" s="13" t="s">
        <v>5095</v>
      </c>
      <c r="AA17" s="13" t="s">
        <v>13357</v>
      </c>
      <c r="AB17" s="13" t="s">
        <v>13358</v>
      </c>
      <c r="AC17" s="13" t="s">
        <v>5098</v>
      </c>
      <c r="AD17" s="13" t="s">
        <v>5099</v>
      </c>
      <c r="AE17" s="13" t="s">
        <v>5100</v>
      </c>
      <c r="AF17" s="13" t="s">
        <v>74</v>
      </c>
      <c r="AG17" s="13">
        <v>39</v>
      </c>
      <c r="AH17" s="13">
        <v>8</v>
      </c>
      <c r="AI17" s="13">
        <v>8</v>
      </c>
      <c r="AJ17" s="13">
        <v>3</v>
      </c>
      <c r="AK17" s="13">
        <v>7</v>
      </c>
      <c r="AL17" s="13" t="s">
        <v>2153</v>
      </c>
      <c r="AM17" s="13" t="s">
        <v>2154</v>
      </c>
      <c r="AN17" s="13" t="s">
        <v>2155</v>
      </c>
      <c r="AO17" s="13" t="s">
        <v>2156</v>
      </c>
      <c r="AP17" s="13" t="s">
        <v>74</v>
      </c>
      <c r="AQ17" s="13" t="s">
        <v>74</v>
      </c>
      <c r="AR17" s="13" t="s">
        <v>2140</v>
      </c>
      <c r="AS17" s="13" t="s">
        <v>2157</v>
      </c>
      <c r="AT17" s="13" t="s">
        <v>74</v>
      </c>
      <c r="AU17" s="13">
        <v>2022</v>
      </c>
      <c r="AV17" s="13">
        <v>10</v>
      </c>
      <c r="AW17" s="13" t="s">
        <v>74</v>
      </c>
      <c r="AX17" s="13" t="s">
        <v>74</v>
      </c>
      <c r="AY17" s="13" t="s">
        <v>74</v>
      </c>
      <c r="AZ17" s="13" t="s">
        <v>74</v>
      </c>
      <c r="BA17" s="13" t="s">
        <v>74</v>
      </c>
      <c r="BB17" s="13">
        <v>14134</v>
      </c>
      <c r="BC17" s="13">
        <v>14148</v>
      </c>
      <c r="BD17" s="13" t="s">
        <v>74</v>
      </c>
      <c r="BE17" s="13" t="s">
        <v>5101</v>
      </c>
      <c r="BF17" s="13">
        <v>0</v>
      </c>
      <c r="BG17" s="13" t="s">
        <v>74</v>
      </c>
      <c r="BH17" s="13" t="s">
        <v>74</v>
      </c>
      <c r="BI17" s="13">
        <v>15</v>
      </c>
      <c r="BJ17" s="13" t="s">
        <v>2159</v>
      </c>
      <c r="BK17" s="13" t="s">
        <v>102</v>
      </c>
      <c r="BL17" s="13" t="s">
        <v>2160</v>
      </c>
      <c r="BM17" s="13" t="s">
        <v>5102</v>
      </c>
      <c r="BN17" s="13" t="s">
        <v>74</v>
      </c>
      <c r="BO17" s="13" t="s">
        <v>2162</v>
      </c>
      <c r="BP17" s="13" t="s">
        <v>74</v>
      </c>
      <c r="BQ17" s="13" t="s">
        <v>74</v>
      </c>
      <c r="BR17" s="13" t="s">
        <v>12946</v>
      </c>
      <c r="BS17" s="13" t="s">
        <v>5103</v>
      </c>
      <c r="BT17" s="13">
        <v>0</v>
      </c>
    </row>
    <row r="18" spans="1:72" x14ac:dyDescent="0.25">
      <c r="A18" s="13" t="s">
        <v>72</v>
      </c>
      <c r="B18" s="13" t="s">
        <v>12694</v>
      </c>
      <c r="C18" s="13" t="s">
        <v>74</v>
      </c>
      <c r="D18" s="13" t="s">
        <v>74</v>
      </c>
      <c r="E18" s="13" t="s">
        <v>74</v>
      </c>
      <c r="F18" s="13" t="s">
        <v>12695</v>
      </c>
      <c r="G18" s="13" t="s">
        <v>74</v>
      </c>
      <c r="H18" s="13" t="s">
        <v>74</v>
      </c>
      <c r="I18" s="13" t="s">
        <v>12696</v>
      </c>
      <c r="J18" s="13" t="s">
        <v>12697</v>
      </c>
      <c r="K18" s="13" t="s">
        <v>74</v>
      </c>
      <c r="L18" s="13" t="s">
        <v>74</v>
      </c>
      <c r="M18" s="13" t="s">
        <v>78</v>
      </c>
      <c r="N18" s="13" t="s">
        <v>79</v>
      </c>
      <c r="O18" s="13" t="s">
        <v>74</v>
      </c>
      <c r="P18" s="13" t="s">
        <v>74</v>
      </c>
      <c r="Q18" s="13" t="s">
        <v>74</v>
      </c>
      <c r="R18" s="13" t="s">
        <v>74</v>
      </c>
      <c r="S18" s="13" t="s">
        <v>74</v>
      </c>
      <c r="T18" s="13" t="s">
        <v>74</v>
      </c>
      <c r="U18" s="13" t="s">
        <v>74</v>
      </c>
      <c r="V18" s="13" t="s">
        <v>12698</v>
      </c>
      <c r="W18" s="13" t="s">
        <v>12699</v>
      </c>
      <c r="X18" s="13" t="s">
        <v>12700</v>
      </c>
      <c r="Y18" s="13" t="s">
        <v>12701</v>
      </c>
      <c r="Z18" s="13" t="s">
        <v>12702</v>
      </c>
      <c r="AA18" s="13" t="s">
        <v>74</v>
      </c>
      <c r="AB18" s="13" t="s">
        <v>74</v>
      </c>
      <c r="AC18" s="13" t="s">
        <v>74</v>
      </c>
      <c r="AD18" s="13" t="s">
        <v>74</v>
      </c>
      <c r="AE18" s="13" t="s">
        <v>74</v>
      </c>
      <c r="AF18" s="13" t="s">
        <v>74</v>
      </c>
      <c r="AG18" s="13">
        <v>49</v>
      </c>
      <c r="AH18" s="13">
        <v>8</v>
      </c>
      <c r="AI18" s="13">
        <v>13</v>
      </c>
      <c r="AJ18" s="13">
        <v>2</v>
      </c>
      <c r="AK18" s="13">
        <v>15</v>
      </c>
      <c r="AL18" s="13" t="s">
        <v>146</v>
      </c>
      <c r="AM18" s="13" t="s">
        <v>147</v>
      </c>
      <c r="AN18" s="13" t="s">
        <v>148</v>
      </c>
      <c r="AO18" s="13" t="s">
        <v>12703</v>
      </c>
      <c r="AP18" s="13" t="s">
        <v>12704</v>
      </c>
      <c r="AQ18" s="13" t="s">
        <v>74</v>
      </c>
      <c r="AR18" s="13" t="s">
        <v>12705</v>
      </c>
      <c r="AS18" s="13" t="s">
        <v>12706</v>
      </c>
      <c r="AT18" s="13" t="s">
        <v>356</v>
      </c>
      <c r="AU18" s="13">
        <v>2007</v>
      </c>
      <c r="AV18" s="13">
        <v>6</v>
      </c>
      <c r="AW18" s="13">
        <v>3</v>
      </c>
      <c r="AX18" s="13" t="s">
        <v>74</v>
      </c>
      <c r="AY18" s="13" t="s">
        <v>74</v>
      </c>
      <c r="AZ18" s="13" t="s">
        <v>74</v>
      </c>
      <c r="BA18" s="13" t="s">
        <v>74</v>
      </c>
      <c r="BB18" s="13">
        <v>211</v>
      </c>
      <c r="BC18" s="13">
        <v>229</v>
      </c>
      <c r="BD18" s="13" t="s">
        <v>74</v>
      </c>
      <c r="BE18" s="13" t="s">
        <v>12707</v>
      </c>
      <c r="BF18" s="13">
        <v>0</v>
      </c>
      <c r="BG18" s="13" t="s">
        <v>74</v>
      </c>
      <c r="BH18" s="13" t="s">
        <v>74</v>
      </c>
      <c r="BI18" s="13">
        <v>19</v>
      </c>
      <c r="BJ18" s="13" t="s">
        <v>12708</v>
      </c>
      <c r="BK18" s="13" t="s">
        <v>156</v>
      </c>
      <c r="BL18" s="13" t="s">
        <v>12708</v>
      </c>
      <c r="BM18" s="13" t="s">
        <v>12709</v>
      </c>
      <c r="BN18" s="13" t="s">
        <v>74</v>
      </c>
      <c r="BO18" s="13" t="s">
        <v>791</v>
      </c>
      <c r="BP18" s="13" t="s">
        <v>74</v>
      </c>
      <c r="BQ18" s="13" t="s">
        <v>74</v>
      </c>
      <c r="BR18" s="13" t="s">
        <v>12946</v>
      </c>
      <c r="BS18" s="13" t="s">
        <v>12710</v>
      </c>
      <c r="BT18" s="13">
        <v>0</v>
      </c>
    </row>
    <row r="19" spans="1:72" x14ac:dyDescent="0.25">
      <c r="A19" s="13" t="s">
        <v>72</v>
      </c>
      <c r="B19" s="13" t="s">
        <v>4112</v>
      </c>
      <c r="C19" s="13" t="s">
        <v>74</v>
      </c>
      <c r="D19" s="13" t="s">
        <v>74</v>
      </c>
      <c r="E19" s="13" t="s">
        <v>74</v>
      </c>
      <c r="F19" s="13" t="s">
        <v>4113</v>
      </c>
      <c r="G19" s="13" t="s">
        <v>74</v>
      </c>
      <c r="H19" s="13" t="s">
        <v>74</v>
      </c>
      <c r="I19" s="13" t="s">
        <v>4114</v>
      </c>
      <c r="J19" s="13" t="s">
        <v>4115</v>
      </c>
      <c r="K19" s="13" t="s">
        <v>74</v>
      </c>
      <c r="L19" s="13" t="s">
        <v>74</v>
      </c>
      <c r="M19" s="13" t="s">
        <v>78</v>
      </c>
      <c r="N19" s="13" t="s">
        <v>79</v>
      </c>
      <c r="O19" s="13" t="s">
        <v>74</v>
      </c>
      <c r="P19" s="13" t="s">
        <v>74</v>
      </c>
      <c r="Q19" s="13" t="s">
        <v>74</v>
      </c>
      <c r="R19" s="13" t="s">
        <v>74</v>
      </c>
      <c r="S19" s="13" t="s">
        <v>74</v>
      </c>
      <c r="T19" s="13" t="s">
        <v>4116</v>
      </c>
      <c r="U19" s="13" t="s">
        <v>4117</v>
      </c>
      <c r="V19" s="13" t="s">
        <v>4118</v>
      </c>
      <c r="W19" s="13" t="s">
        <v>4119</v>
      </c>
      <c r="X19" s="13" t="s">
        <v>4120</v>
      </c>
      <c r="Y19" s="13" t="s">
        <v>4121</v>
      </c>
      <c r="Z19" s="13" t="s">
        <v>4122</v>
      </c>
      <c r="AA19" s="13" t="s">
        <v>4123</v>
      </c>
      <c r="AB19" s="13" t="s">
        <v>74</v>
      </c>
      <c r="AC19" s="13" t="s">
        <v>74</v>
      </c>
      <c r="AD19" s="13" t="s">
        <v>74</v>
      </c>
      <c r="AE19" s="13" t="s">
        <v>74</v>
      </c>
      <c r="AF19" s="13" t="s">
        <v>74</v>
      </c>
      <c r="AG19" s="13">
        <v>58</v>
      </c>
      <c r="AH19" s="13">
        <v>7</v>
      </c>
      <c r="AI19" s="13">
        <v>7</v>
      </c>
      <c r="AJ19" s="13">
        <v>1</v>
      </c>
      <c r="AK19" s="13">
        <v>19</v>
      </c>
      <c r="AL19" s="13" t="s">
        <v>715</v>
      </c>
      <c r="AM19" s="13" t="s">
        <v>4411</v>
      </c>
      <c r="AN19" s="13" t="s">
        <v>12985</v>
      </c>
      <c r="AO19" s="13" t="s">
        <v>4125</v>
      </c>
      <c r="AP19" s="13" t="s">
        <v>4126</v>
      </c>
      <c r="AQ19" s="13" t="s">
        <v>74</v>
      </c>
      <c r="AR19" s="13" t="s">
        <v>4127</v>
      </c>
      <c r="AS19" s="13" t="s">
        <v>4128</v>
      </c>
      <c r="AT19" s="13" t="s">
        <v>4129</v>
      </c>
      <c r="AU19" s="13">
        <v>2023</v>
      </c>
      <c r="AV19" s="13">
        <v>31</v>
      </c>
      <c r="AW19" s="13">
        <v>1</v>
      </c>
      <c r="AX19" s="13" t="s">
        <v>74</v>
      </c>
      <c r="AY19" s="13" t="s">
        <v>74</v>
      </c>
      <c r="AZ19" s="13" t="s">
        <v>1020</v>
      </c>
      <c r="BA19" s="13" t="s">
        <v>74</v>
      </c>
      <c r="BB19" s="13">
        <v>149</v>
      </c>
      <c r="BC19" s="13">
        <v>167</v>
      </c>
      <c r="BD19" s="13" t="s">
        <v>74</v>
      </c>
      <c r="BE19" s="13" t="s">
        <v>4130</v>
      </c>
      <c r="BF19" s="13">
        <v>0</v>
      </c>
      <c r="BG19" s="13" t="s">
        <v>74</v>
      </c>
      <c r="BH19" s="13" t="s">
        <v>4037</v>
      </c>
      <c r="BI19" s="13">
        <v>19</v>
      </c>
      <c r="BJ19" s="13" t="s">
        <v>315</v>
      </c>
      <c r="BK19" s="13" t="s">
        <v>183</v>
      </c>
      <c r="BL19" s="13" t="s">
        <v>265</v>
      </c>
      <c r="BM19" s="13" t="s">
        <v>4131</v>
      </c>
      <c r="BN19" s="13" t="s">
        <v>74</v>
      </c>
      <c r="BO19" s="13" t="s">
        <v>74</v>
      </c>
      <c r="BP19" s="13" t="s">
        <v>74</v>
      </c>
      <c r="BQ19" s="13" t="s">
        <v>74</v>
      </c>
      <c r="BR19" s="13" t="s">
        <v>12946</v>
      </c>
      <c r="BS19" s="13" t="s">
        <v>4132</v>
      </c>
      <c r="BT19" s="13">
        <v>0</v>
      </c>
    </row>
    <row r="20" spans="1:72" x14ac:dyDescent="0.25">
      <c r="A20" s="13" t="s">
        <v>72</v>
      </c>
      <c r="B20" s="13" t="s">
        <v>6946</v>
      </c>
      <c r="C20" s="13" t="s">
        <v>74</v>
      </c>
      <c r="D20" s="13" t="s">
        <v>74</v>
      </c>
      <c r="E20" s="13" t="s">
        <v>74</v>
      </c>
      <c r="F20" s="13" t="s">
        <v>6947</v>
      </c>
      <c r="G20" s="13" t="s">
        <v>74</v>
      </c>
      <c r="H20" s="13" t="s">
        <v>74</v>
      </c>
      <c r="I20" s="13" t="s">
        <v>6948</v>
      </c>
      <c r="J20" s="13" t="s">
        <v>3986</v>
      </c>
      <c r="K20" s="13" t="s">
        <v>74</v>
      </c>
      <c r="L20" s="13" t="s">
        <v>74</v>
      </c>
      <c r="M20" s="13" t="s">
        <v>78</v>
      </c>
      <c r="N20" s="13" t="s">
        <v>79</v>
      </c>
      <c r="O20" s="13" t="s">
        <v>74</v>
      </c>
      <c r="P20" s="13" t="s">
        <v>74</v>
      </c>
      <c r="Q20" s="13" t="s">
        <v>74</v>
      </c>
      <c r="R20" s="13" t="s">
        <v>74</v>
      </c>
      <c r="S20" s="13" t="s">
        <v>74</v>
      </c>
      <c r="T20" s="13" t="s">
        <v>6949</v>
      </c>
      <c r="U20" s="13" t="s">
        <v>7710</v>
      </c>
      <c r="V20" s="13" t="s">
        <v>6950</v>
      </c>
      <c r="W20" s="13" t="s">
        <v>6951</v>
      </c>
      <c r="X20" s="13" t="s">
        <v>6952</v>
      </c>
      <c r="Y20" s="13" t="s">
        <v>6953</v>
      </c>
      <c r="Z20" s="13" t="s">
        <v>6954</v>
      </c>
      <c r="AA20" s="13" t="s">
        <v>13359</v>
      </c>
      <c r="AB20" s="13" t="s">
        <v>13360</v>
      </c>
      <c r="AC20" s="13" t="s">
        <v>74</v>
      </c>
      <c r="AD20" s="13" t="s">
        <v>74</v>
      </c>
      <c r="AE20" s="13" t="s">
        <v>74</v>
      </c>
      <c r="AF20" s="13" t="s">
        <v>74</v>
      </c>
      <c r="AG20" s="13">
        <v>70</v>
      </c>
      <c r="AH20" s="13">
        <v>5</v>
      </c>
      <c r="AI20" s="13">
        <v>5</v>
      </c>
      <c r="AJ20" s="13">
        <v>1</v>
      </c>
      <c r="AK20" s="13">
        <v>22</v>
      </c>
      <c r="AL20" s="13" t="s">
        <v>202</v>
      </c>
      <c r="AM20" s="13" t="s">
        <v>203</v>
      </c>
      <c r="AN20" s="13" t="s">
        <v>204</v>
      </c>
      <c r="AO20" s="13" t="s">
        <v>74</v>
      </c>
      <c r="AP20" s="13" t="s">
        <v>3996</v>
      </c>
      <c r="AQ20" s="13" t="s">
        <v>74</v>
      </c>
      <c r="AR20" s="13" t="s">
        <v>3997</v>
      </c>
      <c r="AS20" s="13" t="s">
        <v>3998</v>
      </c>
      <c r="AT20" s="13" t="s">
        <v>2068</v>
      </c>
      <c r="AU20" s="13">
        <v>2021</v>
      </c>
      <c r="AV20" s="13">
        <v>21</v>
      </c>
      <c r="AW20" s="13">
        <v>2</v>
      </c>
      <c r="AX20" s="13" t="s">
        <v>74</v>
      </c>
      <c r="AY20" s="13" t="s">
        <v>74</v>
      </c>
      <c r="AZ20" s="13" t="s">
        <v>74</v>
      </c>
      <c r="BA20" s="13" t="s">
        <v>74</v>
      </c>
      <c r="BB20" s="13" t="s">
        <v>74</v>
      </c>
      <c r="BC20" s="13" t="s">
        <v>74</v>
      </c>
      <c r="BD20" s="13">
        <v>328</v>
      </c>
      <c r="BE20" s="13" t="s">
        <v>6957</v>
      </c>
      <c r="BF20" s="13">
        <v>0</v>
      </c>
      <c r="BG20" s="13" t="s">
        <v>74</v>
      </c>
      <c r="BH20" s="13" t="s">
        <v>74</v>
      </c>
      <c r="BI20" s="13">
        <v>22</v>
      </c>
      <c r="BJ20" s="13" t="s">
        <v>4000</v>
      </c>
      <c r="BK20" s="13" t="s">
        <v>211</v>
      </c>
      <c r="BL20" s="13" t="s">
        <v>4001</v>
      </c>
      <c r="BM20" s="13" t="s">
        <v>6958</v>
      </c>
      <c r="BN20" s="13">
        <v>33418918</v>
      </c>
      <c r="BO20" s="13" t="s">
        <v>614</v>
      </c>
      <c r="BP20" s="13" t="s">
        <v>74</v>
      </c>
      <c r="BQ20" s="13" t="s">
        <v>74</v>
      </c>
      <c r="BR20" s="13" t="s">
        <v>12946</v>
      </c>
      <c r="BS20" s="13" t="s">
        <v>6959</v>
      </c>
      <c r="BT20" s="13">
        <v>0</v>
      </c>
    </row>
    <row r="21" spans="1:72" x14ac:dyDescent="0.25">
      <c r="A21" s="13" t="s">
        <v>72</v>
      </c>
      <c r="B21" s="13" t="s">
        <v>11019</v>
      </c>
      <c r="C21" s="13" t="s">
        <v>74</v>
      </c>
      <c r="D21" s="13" t="s">
        <v>74</v>
      </c>
      <c r="E21" s="13" t="s">
        <v>74</v>
      </c>
      <c r="F21" s="13" t="s">
        <v>11020</v>
      </c>
      <c r="G21" s="13" t="s">
        <v>74</v>
      </c>
      <c r="H21" s="13" t="s">
        <v>74</v>
      </c>
      <c r="I21" s="13" t="s">
        <v>11021</v>
      </c>
      <c r="J21" s="13" t="s">
        <v>11022</v>
      </c>
      <c r="K21" s="13" t="s">
        <v>74</v>
      </c>
      <c r="L21" s="13" t="s">
        <v>74</v>
      </c>
      <c r="M21" s="13" t="s">
        <v>78</v>
      </c>
      <c r="N21" s="13" t="s">
        <v>79</v>
      </c>
      <c r="O21" s="13" t="s">
        <v>74</v>
      </c>
      <c r="P21" s="13" t="s">
        <v>74</v>
      </c>
      <c r="Q21" s="13" t="s">
        <v>74</v>
      </c>
      <c r="R21" s="13" t="s">
        <v>74</v>
      </c>
      <c r="S21" s="13" t="s">
        <v>74</v>
      </c>
      <c r="T21" s="13" t="s">
        <v>11023</v>
      </c>
      <c r="U21" s="13" t="s">
        <v>11024</v>
      </c>
      <c r="V21" s="13" t="s">
        <v>11025</v>
      </c>
      <c r="W21" s="13" t="s">
        <v>11026</v>
      </c>
      <c r="X21" s="13" t="s">
        <v>11027</v>
      </c>
      <c r="Y21" s="13" t="s">
        <v>11028</v>
      </c>
      <c r="Z21" s="13" t="s">
        <v>11029</v>
      </c>
      <c r="AA21" s="13" t="s">
        <v>13361</v>
      </c>
      <c r="AB21" s="13" t="s">
        <v>13362</v>
      </c>
      <c r="AC21" s="13" t="s">
        <v>74</v>
      </c>
      <c r="AD21" s="13" t="s">
        <v>74</v>
      </c>
      <c r="AE21" s="13" t="s">
        <v>74</v>
      </c>
      <c r="AF21" s="13" t="s">
        <v>74</v>
      </c>
      <c r="AG21" s="13">
        <v>47</v>
      </c>
      <c r="AH21" s="13">
        <v>5</v>
      </c>
      <c r="AI21" s="13">
        <v>6</v>
      </c>
      <c r="AJ21" s="13">
        <v>2</v>
      </c>
      <c r="AK21" s="13">
        <v>31</v>
      </c>
      <c r="AL21" s="13" t="s">
        <v>254</v>
      </c>
      <c r="AM21" s="13" t="s">
        <v>255</v>
      </c>
      <c r="AN21" s="13" t="s">
        <v>256</v>
      </c>
      <c r="AO21" s="13" t="s">
        <v>11032</v>
      </c>
      <c r="AP21" s="13" t="s">
        <v>11033</v>
      </c>
      <c r="AQ21" s="13" t="s">
        <v>74</v>
      </c>
      <c r="AR21" s="13" t="s">
        <v>11034</v>
      </c>
      <c r="AS21" s="13" t="s">
        <v>11035</v>
      </c>
      <c r="AT21" s="13" t="s">
        <v>476</v>
      </c>
      <c r="AU21" s="13">
        <v>2016</v>
      </c>
      <c r="AV21" s="13">
        <v>16</v>
      </c>
      <c r="AW21" s="13">
        <v>4</v>
      </c>
      <c r="AX21" s="13" t="s">
        <v>74</v>
      </c>
      <c r="AY21" s="13" t="s">
        <v>74</v>
      </c>
      <c r="AZ21" s="13" t="s">
        <v>1020</v>
      </c>
      <c r="BA21" s="13" t="s">
        <v>74</v>
      </c>
      <c r="BB21" s="13">
        <v>435</v>
      </c>
      <c r="BC21" s="13">
        <v>455</v>
      </c>
      <c r="BD21" s="13" t="s">
        <v>74</v>
      </c>
      <c r="BE21" s="13" t="s">
        <v>11036</v>
      </c>
      <c r="BF21" s="13">
        <v>0</v>
      </c>
      <c r="BG21" s="13" t="s">
        <v>74</v>
      </c>
      <c r="BH21" s="13" t="s">
        <v>74</v>
      </c>
      <c r="BI21" s="13">
        <v>21</v>
      </c>
      <c r="BJ21" s="13" t="s">
        <v>4630</v>
      </c>
      <c r="BK21" s="13" t="s">
        <v>183</v>
      </c>
      <c r="BL21" s="13" t="s">
        <v>943</v>
      </c>
      <c r="BM21" s="13" t="s">
        <v>11037</v>
      </c>
      <c r="BN21" s="13" t="s">
        <v>74</v>
      </c>
      <c r="BO21" s="13" t="s">
        <v>74</v>
      </c>
      <c r="BP21" s="13" t="s">
        <v>74</v>
      </c>
      <c r="BQ21" s="13" t="s">
        <v>74</v>
      </c>
      <c r="BR21" s="13" t="s">
        <v>12946</v>
      </c>
      <c r="BS21" s="13" t="s">
        <v>11038</v>
      </c>
      <c r="BT21" s="13">
        <v>0</v>
      </c>
    </row>
    <row r="22" spans="1:72" x14ac:dyDescent="0.25">
      <c r="A22" s="13" t="s">
        <v>72</v>
      </c>
      <c r="B22" s="13" t="s">
        <v>3312</v>
      </c>
      <c r="C22" s="13" t="s">
        <v>74</v>
      </c>
      <c r="D22" s="13" t="s">
        <v>74</v>
      </c>
      <c r="E22" s="13" t="s">
        <v>74</v>
      </c>
      <c r="F22" s="13" t="s">
        <v>3313</v>
      </c>
      <c r="G22" s="13" t="s">
        <v>74</v>
      </c>
      <c r="H22" s="13" t="s">
        <v>74</v>
      </c>
      <c r="I22" s="13" t="s">
        <v>3314</v>
      </c>
      <c r="J22" s="13" t="s">
        <v>3315</v>
      </c>
      <c r="K22" s="13" t="s">
        <v>74</v>
      </c>
      <c r="L22" s="13" t="s">
        <v>74</v>
      </c>
      <c r="M22" s="13" t="s">
        <v>78</v>
      </c>
      <c r="N22" s="13" t="s">
        <v>79</v>
      </c>
      <c r="O22" s="13" t="s">
        <v>74</v>
      </c>
      <c r="P22" s="13" t="s">
        <v>74</v>
      </c>
      <c r="Q22" s="13" t="s">
        <v>74</v>
      </c>
      <c r="R22" s="13" t="s">
        <v>74</v>
      </c>
      <c r="S22" s="13" t="s">
        <v>74</v>
      </c>
      <c r="T22" s="13" t="s">
        <v>3316</v>
      </c>
      <c r="U22" s="13" t="s">
        <v>74</v>
      </c>
      <c r="V22" s="13" t="s">
        <v>3317</v>
      </c>
      <c r="W22" s="13" t="s">
        <v>3318</v>
      </c>
      <c r="X22" s="13" t="s">
        <v>3319</v>
      </c>
      <c r="Y22" s="13" t="s">
        <v>3320</v>
      </c>
      <c r="Z22" s="13" t="s">
        <v>3321</v>
      </c>
      <c r="AA22" s="13" t="s">
        <v>13363</v>
      </c>
      <c r="AB22" s="13" t="s">
        <v>13364</v>
      </c>
      <c r="AC22" s="13" t="s">
        <v>3324</v>
      </c>
      <c r="AD22" s="13" t="s">
        <v>3325</v>
      </c>
      <c r="AE22" s="13" t="s">
        <v>3326</v>
      </c>
      <c r="AF22" s="13" t="s">
        <v>74</v>
      </c>
      <c r="AG22" s="13">
        <v>55</v>
      </c>
      <c r="AH22" s="13">
        <v>3</v>
      </c>
      <c r="AI22" s="13">
        <v>3</v>
      </c>
      <c r="AJ22" s="13">
        <v>8</v>
      </c>
      <c r="AK22" s="13">
        <v>19</v>
      </c>
      <c r="AL22" s="13" t="s">
        <v>3327</v>
      </c>
      <c r="AM22" s="13" t="s">
        <v>3328</v>
      </c>
      <c r="AN22" s="13" t="s">
        <v>3329</v>
      </c>
      <c r="AO22" s="13" t="s">
        <v>3330</v>
      </c>
      <c r="AP22" s="13" t="s">
        <v>74</v>
      </c>
      <c r="AQ22" s="13" t="s">
        <v>74</v>
      </c>
      <c r="AR22" s="13" t="s">
        <v>3331</v>
      </c>
      <c r="AS22" s="13" t="s">
        <v>3332</v>
      </c>
      <c r="AT22" s="13" t="s">
        <v>356</v>
      </c>
      <c r="AU22" s="13">
        <v>2022</v>
      </c>
      <c r="AV22" s="13">
        <v>10</v>
      </c>
      <c r="AW22" s="13">
        <v>1</v>
      </c>
      <c r="AX22" s="13" t="s">
        <v>74</v>
      </c>
      <c r="AY22" s="13" t="s">
        <v>74</v>
      </c>
      <c r="AZ22" s="13" t="s">
        <v>74</v>
      </c>
      <c r="BA22" s="13" t="s">
        <v>74</v>
      </c>
      <c r="BB22" s="13">
        <v>175</v>
      </c>
      <c r="BC22" s="13">
        <v>199</v>
      </c>
      <c r="BD22" s="13" t="s">
        <v>74</v>
      </c>
      <c r="BE22" s="13" t="s">
        <v>3333</v>
      </c>
      <c r="BF22" s="13">
        <v>0</v>
      </c>
      <c r="BG22" s="13" t="s">
        <v>74</v>
      </c>
      <c r="BH22" s="13" t="s">
        <v>74</v>
      </c>
      <c r="BI22" s="13">
        <v>25</v>
      </c>
      <c r="BJ22" s="13" t="s">
        <v>1023</v>
      </c>
      <c r="BK22" s="13" t="s">
        <v>183</v>
      </c>
      <c r="BL22" s="13" t="s">
        <v>265</v>
      </c>
      <c r="BM22" s="13" t="s">
        <v>3334</v>
      </c>
      <c r="BN22" s="13" t="s">
        <v>74</v>
      </c>
      <c r="BO22" s="13" t="s">
        <v>186</v>
      </c>
      <c r="BP22" s="13" t="s">
        <v>74</v>
      </c>
      <c r="BQ22" s="13" t="s">
        <v>74</v>
      </c>
      <c r="BR22" s="13" t="s">
        <v>12946</v>
      </c>
      <c r="BS22" s="13" t="s">
        <v>3335</v>
      </c>
      <c r="BT22" s="13">
        <v>0</v>
      </c>
    </row>
    <row r="23" spans="1:72" x14ac:dyDescent="0.25">
      <c r="A23" s="13" t="s">
        <v>72</v>
      </c>
      <c r="B23" s="13" t="s">
        <v>4523</v>
      </c>
      <c r="C23" s="13" t="s">
        <v>74</v>
      </c>
      <c r="D23" s="13" t="s">
        <v>74</v>
      </c>
      <c r="E23" s="13" t="s">
        <v>74</v>
      </c>
      <c r="F23" s="13" t="s">
        <v>4524</v>
      </c>
      <c r="G23" s="13" t="s">
        <v>74</v>
      </c>
      <c r="H23" s="13" t="s">
        <v>74</v>
      </c>
      <c r="I23" s="13" t="s">
        <v>4525</v>
      </c>
      <c r="J23" s="13" t="s">
        <v>191</v>
      </c>
      <c r="K23" s="13" t="s">
        <v>74</v>
      </c>
      <c r="L23" s="13" t="s">
        <v>74</v>
      </c>
      <c r="M23" s="13" t="s">
        <v>78</v>
      </c>
      <c r="N23" s="13" t="s">
        <v>79</v>
      </c>
      <c r="O23" s="13" t="s">
        <v>74</v>
      </c>
      <c r="P23" s="13" t="s">
        <v>74</v>
      </c>
      <c r="Q23" s="13" t="s">
        <v>74</v>
      </c>
      <c r="R23" s="13" t="s">
        <v>74</v>
      </c>
      <c r="S23" s="13" t="s">
        <v>74</v>
      </c>
      <c r="T23" s="13" t="s">
        <v>4526</v>
      </c>
      <c r="U23" s="13" t="s">
        <v>4527</v>
      </c>
      <c r="V23" s="13" t="s">
        <v>4528</v>
      </c>
      <c r="W23" s="13" t="s">
        <v>4529</v>
      </c>
      <c r="X23" s="13" t="s">
        <v>4530</v>
      </c>
      <c r="Y23" s="13" t="s">
        <v>4531</v>
      </c>
      <c r="Z23" s="13" t="s">
        <v>4532</v>
      </c>
      <c r="AA23" s="13" t="s">
        <v>13365</v>
      </c>
      <c r="AB23" s="13" t="s">
        <v>13366</v>
      </c>
      <c r="AC23" s="13" t="s">
        <v>74</v>
      </c>
      <c r="AD23" s="13" t="s">
        <v>74</v>
      </c>
      <c r="AE23" s="13" t="s">
        <v>74</v>
      </c>
      <c r="AF23" s="13" t="s">
        <v>74</v>
      </c>
      <c r="AG23" s="13">
        <v>43</v>
      </c>
      <c r="AH23" s="13">
        <v>3</v>
      </c>
      <c r="AI23" s="13">
        <v>3</v>
      </c>
      <c r="AJ23" s="13">
        <v>6</v>
      </c>
      <c r="AK23" s="13">
        <v>27</v>
      </c>
      <c r="AL23" s="13" t="s">
        <v>202</v>
      </c>
      <c r="AM23" s="13" t="s">
        <v>203</v>
      </c>
      <c r="AN23" s="13" t="s">
        <v>204</v>
      </c>
      <c r="AO23" s="13" t="s">
        <v>74</v>
      </c>
      <c r="AP23" s="13" t="s">
        <v>205</v>
      </c>
      <c r="AQ23" s="13" t="s">
        <v>74</v>
      </c>
      <c r="AR23" s="13" t="s">
        <v>206</v>
      </c>
      <c r="AS23" s="13" t="s">
        <v>207</v>
      </c>
      <c r="AT23" s="13" t="s">
        <v>1448</v>
      </c>
      <c r="AU23" s="13">
        <v>2022</v>
      </c>
      <c r="AV23" s="13">
        <v>14</v>
      </c>
      <c r="AW23" s="13">
        <v>8</v>
      </c>
      <c r="AX23" s="13" t="s">
        <v>74</v>
      </c>
      <c r="AY23" s="13" t="s">
        <v>74</v>
      </c>
      <c r="AZ23" s="13" t="s">
        <v>74</v>
      </c>
      <c r="BA23" s="13" t="s">
        <v>74</v>
      </c>
      <c r="BB23" s="13" t="s">
        <v>74</v>
      </c>
      <c r="BC23" s="13" t="s">
        <v>74</v>
      </c>
      <c r="BD23" s="13">
        <v>4683</v>
      </c>
      <c r="BE23" s="13" t="s">
        <v>4535</v>
      </c>
      <c r="BF23" s="13">
        <v>0</v>
      </c>
      <c r="BG23" s="13" t="s">
        <v>74</v>
      </c>
      <c r="BH23" s="13" t="s">
        <v>74</v>
      </c>
      <c r="BI23" s="13">
        <v>16</v>
      </c>
      <c r="BJ23" s="13" t="s">
        <v>210</v>
      </c>
      <c r="BK23" s="13" t="s">
        <v>211</v>
      </c>
      <c r="BL23" s="13" t="s">
        <v>212</v>
      </c>
      <c r="BM23" s="13" t="s">
        <v>4536</v>
      </c>
      <c r="BN23" s="13" t="s">
        <v>74</v>
      </c>
      <c r="BO23" s="13" t="s">
        <v>186</v>
      </c>
      <c r="BP23" s="13" t="s">
        <v>74</v>
      </c>
      <c r="BQ23" s="13" t="s">
        <v>74</v>
      </c>
      <c r="BR23" s="13" t="s">
        <v>12946</v>
      </c>
      <c r="BS23" s="13" t="s">
        <v>4537</v>
      </c>
      <c r="BT23" s="13">
        <v>0</v>
      </c>
    </row>
    <row r="24" spans="1:72" x14ac:dyDescent="0.25">
      <c r="A24" s="13" t="s">
        <v>72</v>
      </c>
      <c r="B24" s="13" t="s">
        <v>8539</v>
      </c>
      <c r="C24" s="13" t="s">
        <v>74</v>
      </c>
      <c r="D24" s="13" t="s">
        <v>74</v>
      </c>
      <c r="E24" s="13" t="s">
        <v>74</v>
      </c>
      <c r="F24" s="13" t="s">
        <v>8540</v>
      </c>
      <c r="G24" s="13" t="s">
        <v>74</v>
      </c>
      <c r="H24" s="13" t="s">
        <v>74</v>
      </c>
      <c r="I24" s="13" t="s">
        <v>8541</v>
      </c>
      <c r="J24" s="13" t="s">
        <v>2969</v>
      </c>
      <c r="K24" s="13" t="s">
        <v>74</v>
      </c>
      <c r="L24" s="13" t="s">
        <v>74</v>
      </c>
      <c r="M24" s="13" t="s">
        <v>78</v>
      </c>
      <c r="N24" s="13" t="s">
        <v>79</v>
      </c>
      <c r="O24" s="13" t="s">
        <v>74</v>
      </c>
      <c r="P24" s="13" t="s">
        <v>74</v>
      </c>
      <c r="Q24" s="13" t="s">
        <v>74</v>
      </c>
      <c r="R24" s="13" t="s">
        <v>74</v>
      </c>
      <c r="S24" s="13" t="s">
        <v>74</v>
      </c>
      <c r="T24" s="13" t="s">
        <v>8542</v>
      </c>
      <c r="U24" s="13" t="s">
        <v>8543</v>
      </c>
      <c r="V24" s="13" t="s">
        <v>8544</v>
      </c>
      <c r="W24" s="13" t="s">
        <v>8545</v>
      </c>
      <c r="X24" s="13" t="s">
        <v>8546</v>
      </c>
      <c r="Y24" s="13" t="s">
        <v>8547</v>
      </c>
      <c r="Z24" s="13" t="s">
        <v>8548</v>
      </c>
      <c r="AA24" s="13" t="s">
        <v>74</v>
      </c>
      <c r="AB24" s="13" t="s">
        <v>8549</v>
      </c>
      <c r="AC24" s="13" t="s">
        <v>74</v>
      </c>
      <c r="AD24" s="13" t="s">
        <v>74</v>
      </c>
      <c r="AE24" s="13" t="s">
        <v>74</v>
      </c>
      <c r="AF24" s="13" t="s">
        <v>74</v>
      </c>
      <c r="AG24" s="13">
        <v>46</v>
      </c>
      <c r="AH24" s="13">
        <v>3</v>
      </c>
      <c r="AI24" s="13">
        <v>3</v>
      </c>
      <c r="AJ24" s="13">
        <v>4</v>
      </c>
      <c r="AK24" s="13">
        <v>16</v>
      </c>
      <c r="AL24" s="13" t="s">
        <v>202</v>
      </c>
      <c r="AM24" s="13" t="s">
        <v>203</v>
      </c>
      <c r="AN24" s="13" t="s">
        <v>204</v>
      </c>
      <c r="AO24" s="13" t="s">
        <v>74</v>
      </c>
      <c r="AP24" s="13" t="s">
        <v>2978</v>
      </c>
      <c r="AQ24" s="13" t="s">
        <v>74</v>
      </c>
      <c r="AR24" s="13" t="s">
        <v>2979</v>
      </c>
      <c r="AS24" s="13" t="s">
        <v>2980</v>
      </c>
      <c r="AT24" s="13" t="s">
        <v>2068</v>
      </c>
      <c r="AU24" s="13">
        <v>2020</v>
      </c>
      <c r="AV24" s="13">
        <v>10</v>
      </c>
      <c r="AW24" s="13">
        <v>1</v>
      </c>
      <c r="AX24" s="13" t="s">
        <v>74</v>
      </c>
      <c r="AY24" s="13" t="s">
        <v>74</v>
      </c>
      <c r="AZ24" s="13" t="s">
        <v>74</v>
      </c>
      <c r="BA24" s="13" t="s">
        <v>74</v>
      </c>
      <c r="BB24" s="13" t="s">
        <v>74</v>
      </c>
      <c r="BC24" s="13" t="s">
        <v>74</v>
      </c>
      <c r="BD24" s="13">
        <v>10</v>
      </c>
      <c r="BE24" s="13" t="s">
        <v>8550</v>
      </c>
      <c r="BF24" s="13">
        <v>0</v>
      </c>
      <c r="BG24" s="13" t="s">
        <v>74</v>
      </c>
      <c r="BH24" s="13" t="s">
        <v>74</v>
      </c>
      <c r="BI24" s="13">
        <v>19</v>
      </c>
      <c r="BJ24" s="13" t="s">
        <v>1326</v>
      </c>
      <c r="BK24" s="13" t="s">
        <v>183</v>
      </c>
      <c r="BL24" s="13" t="s">
        <v>1326</v>
      </c>
      <c r="BM24" s="13" t="s">
        <v>8551</v>
      </c>
      <c r="BN24" s="13" t="s">
        <v>74</v>
      </c>
      <c r="BO24" s="13" t="s">
        <v>186</v>
      </c>
      <c r="BP24" s="13" t="s">
        <v>74</v>
      </c>
      <c r="BQ24" s="13" t="s">
        <v>74</v>
      </c>
      <c r="BR24" s="13" t="s">
        <v>12946</v>
      </c>
      <c r="BS24" s="13" t="s">
        <v>8552</v>
      </c>
      <c r="BT24" s="13">
        <v>0</v>
      </c>
    </row>
    <row r="25" spans="1:72" x14ac:dyDescent="0.25">
      <c r="A25" s="13" t="s">
        <v>72</v>
      </c>
      <c r="B25" s="13" t="s">
        <v>8636</v>
      </c>
      <c r="C25" s="13" t="s">
        <v>74</v>
      </c>
      <c r="D25" s="13" t="s">
        <v>74</v>
      </c>
      <c r="E25" s="13" t="s">
        <v>74</v>
      </c>
      <c r="F25" s="13" t="s">
        <v>8637</v>
      </c>
      <c r="G25" s="13" t="s">
        <v>74</v>
      </c>
      <c r="H25" s="13" t="s">
        <v>74</v>
      </c>
      <c r="I25" s="13" t="s">
        <v>8638</v>
      </c>
      <c r="J25" s="13" t="s">
        <v>8639</v>
      </c>
      <c r="K25" s="13" t="s">
        <v>74</v>
      </c>
      <c r="L25" s="13" t="s">
        <v>74</v>
      </c>
      <c r="M25" s="13" t="s">
        <v>78</v>
      </c>
      <c r="N25" s="13" t="s">
        <v>79</v>
      </c>
      <c r="O25" s="13" t="s">
        <v>74</v>
      </c>
      <c r="P25" s="13" t="s">
        <v>74</v>
      </c>
      <c r="Q25" s="13" t="s">
        <v>74</v>
      </c>
      <c r="R25" s="13" t="s">
        <v>74</v>
      </c>
      <c r="S25" s="13" t="s">
        <v>74</v>
      </c>
      <c r="T25" s="13" t="s">
        <v>8640</v>
      </c>
      <c r="U25" s="13" t="s">
        <v>74</v>
      </c>
      <c r="V25" s="13" t="s">
        <v>8641</v>
      </c>
      <c r="W25" s="13" t="s">
        <v>8642</v>
      </c>
      <c r="X25" s="13" t="s">
        <v>74</v>
      </c>
      <c r="Y25" s="13" t="s">
        <v>8643</v>
      </c>
      <c r="Z25" s="13" t="s">
        <v>8644</v>
      </c>
      <c r="AA25" s="13" t="s">
        <v>13367</v>
      </c>
      <c r="AB25" s="13" t="s">
        <v>74</v>
      </c>
      <c r="AC25" s="13" t="s">
        <v>74</v>
      </c>
      <c r="AD25" s="13" t="s">
        <v>74</v>
      </c>
      <c r="AE25" s="13" t="s">
        <v>74</v>
      </c>
      <c r="AF25" s="13" t="s">
        <v>74</v>
      </c>
      <c r="AG25" s="13">
        <v>75</v>
      </c>
      <c r="AH25" s="13">
        <v>3</v>
      </c>
      <c r="AI25" s="13">
        <v>3</v>
      </c>
      <c r="AJ25" s="13">
        <v>0</v>
      </c>
      <c r="AK25" s="13">
        <v>8</v>
      </c>
      <c r="AL25" s="13" t="s">
        <v>202</v>
      </c>
      <c r="AM25" s="13" t="s">
        <v>203</v>
      </c>
      <c r="AN25" s="13" t="s">
        <v>204</v>
      </c>
      <c r="AO25" s="13" t="s">
        <v>74</v>
      </c>
      <c r="AP25" s="13" t="s">
        <v>8645</v>
      </c>
      <c r="AQ25" s="13" t="s">
        <v>74</v>
      </c>
      <c r="AR25" s="13" t="s">
        <v>8646</v>
      </c>
      <c r="AS25" s="13" t="s">
        <v>8647</v>
      </c>
      <c r="AT25" s="13" t="s">
        <v>476</v>
      </c>
      <c r="AU25" s="13">
        <v>2019</v>
      </c>
      <c r="AV25" s="13">
        <v>3</v>
      </c>
      <c r="AW25" s="13">
        <v>4</v>
      </c>
      <c r="AX25" s="13" t="s">
        <v>74</v>
      </c>
      <c r="AY25" s="13" t="s">
        <v>74</v>
      </c>
      <c r="AZ25" s="13" t="s">
        <v>74</v>
      </c>
      <c r="BA25" s="13" t="s">
        <v>74</v>
      </c>
      <c r="BB25" s="13" t="s">
        <v>74</v>
      </c>
      <c r="BC25" s="13" t="s">
        <v>74</v>
      </c>
      <c r="BD25" s="13">
        <v>102</v>
      </c>
      <c r="BE25" s="13" t="s">
        <v>8648</v>
      </c>
      <c r="BF25" s="13">
        <v>0</v>
      </c>
      <c r="BG25" s="13" t="s">
        <v>74</v>
      </c>
      <c r="BH25" s="13" t="s">
        <v>74</v>
      </c>
      <c r="BI25" s="13">
        <v>16</v>
      </c>
      <c r="BJ25" s="13" t="s">
        <v>8649</v>
      </c>
      <c r="BK25" s="13" t="s">
        <v>183</v>
      </c>
      <c r="BL25" s="13" t="s">
        <v>8650</v>
      </c>
      <c r="BM25" s="13" t="s">
        <v>8651</v>
      </c>
      <c r="BN25" s="13" t="s">
        <v>74</v>
      </c>
      <c r="BO25" s="13" t="s">
        <v>186</v>
      </c>
      <c r="BP25" s="13" t="s">
        <v>74</v>
      </c>
      <c r="BQ25" s="13" t="s">
        <v>74</v>
      </c>
      <c r="BR25" s="13" t="s">
        <v>12946</v>
      </c>
      <c r="BS25" s="13" t="s">
        <v>8652</v>
      </c>
      <c r="BT25" s="13">
        <v>0</v>
      </c>
    </row>
    <row r="26" spans="1:72" x14ac:dyDescent="0.25">
      <c r="A26" s="13" t="s">
        <v>72</v>
      </c>
      <c r="B26" s="13" t="s">
        <v>2791</v>
      </c>
      <c r="C26" s="13" t="s">
        <v>74</v>
      </c>
      <c r="D26" s="13" t="s">
        <v>74</v>
      </c>
      <c r="E26" s="13" t="s">
        <v>74</v>
      </c>
      <c r="F26" s="13" t="s">
        <v>2792</v>
      </c>
      <c r="G26" s="13" t="s">
        <v>74</v>
      </c>
      <c r="H26" s="13" t="s">
        <v>74</v>
      </c>
      <c r="I26" s="13" t="s">
        <v>2793</v>
      </c>
      <c r="J26" s="13" t="s">
        <v>321</v>
      </c>
      <c r="K26" s="13" t="s">
        <v>74</v>
      </c>
      <c r="L26" s="13" t="s">
        <v>74</v>
      </c>
      <c r="M26" s="13" t="s">
        <v>78</v>
      </c>
      <c r="N26" s="13" t="s">
        <v>79</v>
      </c>
      <c r="O26" s="13" t="s">
        <v>74</v>
      </c>
      <c r="P26" s="13" t="s">
        <v>74</v>
      </c>
      <c r="Q26" s="13" t="s">
        <v>74</v>
      </c>
      <c r="R26" s="13" t="s">
        <v>74</v>
      </c>
      <c r="S26" s="13" t="s">
        <v>74</v>
      </c>
      <c r="T26" s="13" t="s">
        <v>2794</v>
      </c>
      <c r="U26" s="13" t="s">
        <v>2795</v>
      </c>
      <c r="V26" s="13" t="s">
        <v>2796</v>
      </c>
      <c r="W26" s="13" t="s">
        <v>2797</v>
      </c>
      <c r="X26" s="13" t="s">
        <v>2798</v>
      </c>
      <c r="Y26" s="13" t="s">
        <v>2799</v>
      </c>
      <c r="Z26" s="13" t="s">
        <v>2800</v>
      </c>
      <c r="AA26" s="13" t="s">
        <v>13368</v>
      </c>
      <c r="AB26" s="13" t="s">
        <v>2802</v>
      </c>
      <c r="AC26" s="13" t="s">
        <v>74</v>
      </c>
      <c r="AD26" s="13" t="s">
        <v>74</v>
      </c>
      <c r="AE26" s="13" t="s">
        <v>74</v>
      </c>
      <c r="AF26" s="13" t="s">
        <v>74</v>
      </c>
      <c r="AG26" s="13">
        <v>163</v>
      </c>
      <c r="AH26" s="13">
        <v>2</v>
      </c>
      <c r="AI26" s="13">
        <v>2</v>
      </c>
      <c r="AJ26" s="13">
        <v>12</v>
      </c>
      <c r="AK26" s="13">
        <v>28</v>
      </c>
      <c r="AL26" s="13" t="s">
        <v>332</v>
      </c>
      <c r="AM26" s="13" t="s">
        <v>122</v>
      </c>
      <c r="AN26" s="13" t="s">
        <v>333</v>
      </c>
      <c r="AO26" s="13" t="s">
        <v>334</v>
      </c>
      <c r="AP26" s="13" t="s">
        <v>335</v>
      </c>
      <c r="AQ26" s="13" t="s">
        <v>74</v>
      </c>
      <c r="AR26" s="13" t="s">
        <v>336</v>
      </c>
      <c r="AS26" s="13" t="s">
        <v>337</v>
      </c>
      <c r="AT26" s="13" t="s">
        <v>476</v>
      </c>
      <c r="AU26" s="13">
        <v>2022</v>
      </c>
      <c r="AV26" s="13">
        <v>185</v>
      </c>
      <c r="AW26" s="13" t="s">
        <v>74</v>
      </c>
      <c r="AX26" s="13" t="s">
        <v>74</v>
      </c>
      <c r="AY26" s="13" t="s">
        <v>74</v>
      </c>
      <c r="AZ26" s="13" t="s">
        <v>74</v>
      </c>
      <c r="BA26" s="13" t="s">
        <v>74</v>
      </c>
      <c r="BB26" s="13" t="s">
        <v>74</v>
      </c>
      <c r="BC26" s="13" t="s">
        <v>74</v>
      </c>
      <c r="BD26" s="13">
        <v>122100</v>
      </c>
      <c r="BE26" s="13" t="s">
        <v>2803</v>
      </c>
      <c r="BF26" s="13">
        <v>0</v>
      </c>
      <c r="BG26" s="13" t="s">
        <v>74</v>
      </c>
      <c r="BH26" s="13" t="s">
        <v>2788</v>
      </c>
      <c r="BI26" s="13">
        <v>22</v>
      </c>
      <c r="BJ26" s="13" t="s">
        <v>339</v>
      </c>
      <c r="BK26" s="13" t="s">
        <v>156</v>
      </c>
      <c r="BL26" s="13" t="s">
        <v>340</v>
      </c>
      <c r="BM26" s="13" t="s">
        <v>2804</v>
      </c>
      <c r="BN26" s="13" t="s">
        <v>74</v>
      </c>
      <c r="BO26" s="13" t="s">
        <v>2805</v>
      </c>
      <c r="BP26" s="13" t="s">
        <v>74</v>
      </c>
      <c r="BQ26" s="13" t="s">
        <v>74</v>
      </c>
      <c r="BR26" s="13" t="s">
        <v>12946</v>
      </c>
      <c r="BS26" s="13" t="s">
        <v>2806</v>
      </c>
      <c r="BT26" s="13">
        <v>0</v>
      </c>
    </row>
    <row r="27" spans="1:72" x14ac:dyDescent="0.25">
      <c r="A27" s="13" t="s">
        <v>72</v>
      </c>
      <c r="B27" s="13" t="s">
        <v>7199</v>
      </c>
      <c r="C27" s="13" t="s">
        <v>74</v>
      </c>
      <c r="D27" s="13" t="s">
        <v>74</v>
      </c>
      <c r="E27" s="13" t="s">
        <v>74</v>
      </c>
      <c r="F27" s="13" t="s">
        <v>7200</v>
      </c>
      <c r="G27" s="13" t="s">
        <v>74</v>
      </c>
      <c r="H27" s="13" t="s">
        <v>74</v>
      </c>
      <c r="I27" s="13" t="s">
        <v>7201</v>
      </c>
      <c r="J27" s="13" t="s">
        <v>7202</v>
      </c>
      <c r="K27" s="13" t="s">
        <v>74</v>
      </c>
      <c r="L27" s="13" t="s">
        <v>74</v>
      </c>
      <c r="M27" s="13" t="s">
        <v>78</v>
      </c>
      <c r="N27" s="13" t="s">
        <v>79</v>
      </c>
      <c r="O27" s="13" t="s">
        <v>74</v>
      </c>
      <c r="P27" s="13" t="s">
        <v>74</v>
      </c>
      <c r="Q27" s="13" t="s">
        <v>74</v>
      </c>
      <c r="R27" s="13" t="s">
        <v>74</v>
      </c>
      <c r="S27" s="13" t="s">
        <v>74</v>
      </c>
      <c r="T27" s="13" t="s">
        <v>7203</v>
      </c>
      <c r="U27" s="13" t="s">
        <v>7204</v>
      </c>
      <c r="V27" s="13" t="s">
        <v>7205</v>
      </c>
      <c r="W27" s="13" t="s">
        <v>7206</v>
      </c>
      <c r="X27" s="13" t="s">
        <v>7207</v>
      </c>
      <c r="Y27" s="13" t="s">
        <v>7208</v>
      </c>
      <c r="Z27" s="13" t="s">
        <v>7209</v>
      </c>
      <c r="AA27" s="13" t="s">
        <v>13369</v>
      </c>
      <c r="AB27" s="13" t="s">
        <v>74</v>
      </c>
      <c r="AC27" s="13" t="s">
        <v>74</v>
      </c>
      <c r="AD27" s="13" t="s">
        <v>74</v>
      </c>
      <c r="AE27" s="13" t="s">
        <v>74</v>
      </c>
      <c r="AF27" s="13" t="s">
        <v>74</v>
      </c>
      <c r="AG27" s="13">
        <v>60</v>
      </c>
      <c r="AH27" s="13">
        <v>2</v>
      </c>
      <c r="AI27" s="13">
        <v>3</v>
      </c>
      <c r="AJ27" s="13">
        <v>2</v>
      </c>
      <c r="AK27" s="13">
        <v>43</v>
      </c>
      <c r="AL27" s="13" t="s">
        <v>7210</v>
      </c>
      <c r="AM27" s="13" t="s">
        <v>7211</v>
      </c>
      <c r="AN27" s="13" t="s">
        <v>7212</v>
      </c>
      <c r="AO27" s="13" t="s">
        <v>7213</v>
      </c>
      <c r="AP27" s="13" t="s">
        <v>7214</v>
      </c>
      <c r="AQ27" s="13" t="s">
        <v>74</v>
      </c>
      <c r="AR27" s="13" t="s">
        <v>7215</v>
      </c>
      <c r="AS27" s="13" t="s">
        <v>7216</v>
      </c>
      <c r="AT27" s="13" t="s">
        <v>74</v>
      </c>
      <c r="AU27" s="13">
        <v>2021</v>
      </c>
      <c r="AV27" s="13">
        <v>19</v>
      </c>
      <c r="AW27" s="13">
        <v>2</v>
      </c>
      <c r="AX27" s="13" t="s">
        <v>74</v>
      </c>
      <c r="AY27" s="13" t="s">
        <v>74</v>
      </c>
      <c r="AZ27" s="13" t="s">
        <v>74</v>
      </c>
      <c r="BA27" s="13" t="s">
        <v>74</v>
      </c>
      <c r="BB27" s="13">
        <v>257</v>
      </c>
      <c r="BC27" s="13">
        <v>280</v>
      </c>
      <c r="BD27" s="13" t="s">
        <v>74</v>
      </c>
      <c r="BE27" s="13" t="s">
        <v>7217</v>
      </c>
      <c r="BF27" s="13">
        <v>0</v>
      </c>
      <c r="BG27" s="13" t="s">
        <v>74</v>
      </c>
      <c r="BH27" s="13" t="s">
        <v>74</v>
      </c>
      <c r="BI27" s="13">
        <v>24</v>
      </c>
      <c r="BJ27" s="13" t="s">
        <v>942</v>
      </c>
      <c r="BK27" s="13" t="s">
        <v>183</v>
      </c>
      <c r="BL27" s="13" t="s">
        <v>943</v>
      </c>
      <c r="BM27" s="13" t="s">
        <v>7218</v>
      </c>
      <c r="BN27" s="13" t="s">
        <v>74</v>
      </c>
      <c r="BO27" s="13" t="s">
        <v>422</v>
      </c>
      <c r="BP27" s="13" t="s">
        <v>74</v>
      </c>
      <c r="BQ27" s="13" t="s">
        <v>74</v>
      </c>
      <c r="BR27" s="13" t="s">
        <v>12946</v>
      </c>
      <c r="BS27" s="13" t="s">
        <v>7219</v>
      </c>
      <c r="BT27" s="13">
        <v>0</v>
      </c>
    </row>
    <row r="28" spans="1:72" x14ac:dyDescent="0.25">
      <c r="A28" s="13" t="s">
        <v>72</v>
      </c>
      <c r="B28" s="13" t="s">
        <v>8201</v>
      </c>
      <c r="C28" s="13" t="s">
        <v>74</v>
      </c>
      <c r="D28" s="13" t="s">
        <v>74</v>
      </c>
      <c r="E28" s="13" t="s">
        <v>74</v>
      </c>
      <c r="F28" s="13" t="s">
        <v>8202</v>
      </c>
      <c r="G28" s="13" t="s">
        <v>74</v>
      </c>
      <c r="H28" s="13" t="s">
        <v>74</v>
      </c>
      <c r="I28" s="13" t="s">
        <v>8203</v>
      </c>
      <c r="J28" s="13" t="s">
        <v>8204</v>
      </c>
      <c r="K28" s="13" t="s">
        <v>74</v>
      </c>
      <c r="L28" s="13" t="s">
        <v>74</v>
      </c>
      <c r="M28" s="13" t="s">
        <v>78</v>
      </c>
      <c r="N28" s="13" t="s">
        <v>79</v>
      </c>
      <c r="O28" s="13" t="s">
        <v>74</v>
      </c>
      <c r="P28" s="13" t="s">
        <v>74</v>
      </c>
      <c r="Q28" s="13" t="s">
        <v>74</v>
      </c>
      <c r="R28" s="13" t="s">
        <v>74</v>
      </c>
      <c r="S28" s="13" t="s">
        <v>74</v>
      </c>
      <c r="T28" s="13" t="s">
        <v>8205</v>
      </c>
      <c r="U28" s="13" t="s">
        <v>8206</v>
      </c>
      <c r="V28" s="13" t="s">
        <v>8207</v>
      </c>
      <c r="W28" s="13" t="s">
        <v>8208</v>
      </c>
      <c r="X28" s="13" t="s">
        <v>8209</v>
      </c>
      <c r="Y28" s="13" t="s">
        <v>8210</v>
      </c>
      <c r="Z28" s="13" t="s">
        <v>74</v>
      </c>
      <c r="AA28" s="13" t="s">
        <v>74</v>
      </c>
      <c r="AB28" s="13" t="s">
        <v>8211</v>
      </c>
      <c r="AC28" s="13" t="s">
        <v>8212</v>
      </c>
      <c r="AD28" s="13" t="s">
        <v>8212</v>
      </c>
      <c r="AE28" s="13" t="s">
        <v>8213</v>
      </c>
      <c r="AF28" s="13" t="s">
        <v>74</v>
      </c>
      <c r="AG28" s="13">
        <v>31</v>
      </c>
      <c r="AH28" s="13">
        <v>2</v>
      </c>
      <c r="AI28" s="13">
        <v>2</v>
      </c>
      <c r="AJ28" s="13">
        <v>0</v>
      </c>
      <c r="AK28" s="13">
        <v>1</v>
      </c>
      <c r="AL28" s="13" t="s">
        <v>8214</v>
      </c>
      <c r="AM28" s="13" t="s">
        <v>8215</v>
      </c>
      <c r="AN28" s="13" t="s">
        <v>8216</v>
      </c>
      <c r="AO28" s="13" t="s">
        <v>8217</v>
      </c>
      <c r="AP28" s="13" t="s">
        <v>8218</v>
      </c>
      <c r="AQ28" s="13" t="s">
        <v>74</v>
      </c>
      <c r="AR28" s="13" t="s">
        <v>8219</v>
      </c>
      <c r="AS28" s="13" t="s">
        <v>8220</v>
      </c>
      <c r="AT28" s="13" t="s">
        <v>1683</v>
      </c>
      <c r="AU28" s="13">
        <v>2020</v>
      </c>
      <c r="AV28" s="13">
        <v>13</v>
      </c>
      <c r="AW28" s="13">
        <v>1</v>
      </c>
      <c r="AX28" s="13" t="s">
        <v>74</v>
      </c>
      <c r="AY28" s="13" t="s">
        <v>74</v>
      </c>
      <c r="AZ28" s="13" t="s">
        <v>74</v>
      </c>
      <c r="BA28" s="13" t="s">
        <v>74</v>
      </c>
      <c r="BB28" s="13">
        <v>50</v>
      </c>
      <c r="BC28" s="13">
        <v>66</v>
      </c>
      <c r="BD28" s="13" t="s">
        <v>74</v>
      </c>
      <c r="BE28" s="13" t="s">
        <v>8221</v>
      </c>
      <c r="BF28" s="13">
        <v>0</v>
      </c>
      <c r="BG28" s="13" t="s">
        <v>74</v>
      </c>
      <c r="BH28" s="13" t="s">
        <v>74</v>
      </c>
      <c r="BI28" s="13">
        <v>17</v>
      </c>
      <c r="BJ28" s="13" t="s">
        <v>942</v>
      </c>
      <c r="BK28" s="13" t="s">
        <v>183</v>
      </c>
      <c r="BL28" s="13" t="s">
        <v>943</v>
      </c>
      <c r="BM28" s="13" t="s">
        <v>8222</v>
      </c>
      <c r="BN28" s="13" t="s">
        <v>74</v>
      </c>
      <c r="BO28" s="13" t="s">
        <v>74</v>
      </c>
      <c r="BP28" s="13" t="s">
        <v>74</v>
      </c>
      <c r="BQ28" s="13" t="s">
        <v>74</v>
      </c>
      <c r="BR28" s="13" t="s">
        <v>12946</v>
      </c>
      <c r="BS28" s="13" t="s">
        <v>8223</v>
      </c>
      <c r="BT28" s="13">
        <v>0</v>
      </c>
    </row>
    <row r="29" spans="1:72" x14ac:dyDescent="0.25">
      <c r="A29" s="13" t="s">
        <v>72</v>
      </c>
      <c r="B29" s="13" t="s">
        <v>3111</v>
      </c>
      <c r="C29" s="13" t="s">
        <v>74</v>
      </c>
      <c r="D29" s="13" t="s">
        <v>74</v>
      </c>
      <c r="E29" s="13" t="s">
        <v>74</v>
      </c>
      <c r="F29" s="13" t="s">
        <v>3112</v>
      </c>
      <c r="G29" s="13" t="s">
        <v>74</v>
      </c>
      <c r="H29" s="13" t="s">
        <v>74</v>
      </c>
      <c r="I29" s="13" t="s">
        <v>3113</v>
      </c>
      <c r="J29" s="13" t="s">
        <v>3114</v>
      </c>
      <c r="K29" s="13" t="s">
        <v>74</v>
      </c>
      <c r="L29" s="13" t="s">
        <v>74</v>
      </c>
      <c r="M29" s="13" t="s">
        <v>78</v>
      </c>
      <c r="N29" s="13" t="s">
        <v>79</v>
      </c>
      <c r="O29" s="13" t="s">
        <v>74</v>
      </c>
      <c r="P29" s="13" t="s">
        <v>74</v>
      </c>
      <c r="Q29" s="13" t="s">
        <v>74</v>
      </c>
      <c r="R29" s="13" t="s">
        <v>74</v>
      </c>
      <c r="S29" s="13" t="s">
        <v>74</v>
      </c>
      <c r="T29" s="13" t="s">
        <v>3115</v>
      </c>
      <c r="U29" s="13" t="s">
        <v>74</v>
      </c>
      <c r="V29" s="13" t="s">
        <v>3116</v>
      </c>
      <c r="W29" s="13" t="s">
        <v>3117</v>
      </c>
      <c r="X29" s="13" t="s">
        <v>3118</v>
      </c>
      <c r="Y29" s="13" t="s">
        <v>3119</v>
      </c>
      <c r="Z29" s="13" t="s">
        <v>3120</v>
      </c>
      <c r="AA29" s="13" t="s">
        <v>13370</v>
      </c>
      <c r="AB29" s="13" t="s">
        <v>13371</v>
      </c>
      <c r="AC29" s="13" t="s">
        <v>74</v>
      </c>
      <c r="AD29" s="13" t="s">
        <v>74</v>
      </c>
      <c r="AE29" s="13" t="s">
        <v>74</v>
      </c>
      <c r="AF29" s="13" t="s">
        <v>74</v>
      </c>
      <c r="AG29" s="13">
        <v>42</v>
      </c>
      <c r="AH29" s="13">
        <v>1</v>
      </c>
      <c r="AI29" s="13">
        <v>1</v>
      </c>
      <c r="AJ29" s="13">
        <v>10</v>
      </c>
      <c r="AK29" s="13">
        <v>35</v>
      </c>
      <c r="AL29" s="13" t="s">
        <v>3123</v>
      </c>
      <c r="AM29" s="13" t="s">
        <v>3124</v>
      </c>
      <c r="AN29" s="13" t="s">
        <v>3125</v>
      </c>
      <c r="AO29" s="13" t="s">
        <v>3126</v>
      </c>
      <c r="AP29" s="13" t="s">
        <v>3127</v>
      </c>
      <c r="AQ29" s="13" t="s">
        <v>74</v>
      </c>
      <c r="AR29" s="13" t="s">
        <v>3128</v>
      </c>
      <c r="AS29" s="13" t="s">
        <v>3129</v>
      </c>
      <c r="AT29" s="13" t="s">
        <v>3130</v>
      </c>
      <c r="AU29" s="13">
        <v>2022</v>
      </c>
      <c r="AV29" s="13">
        <v>57</v>
      </c>
      <c r="AW29" s="13" t="s">
        <v>74</v>
      </c>
      <c r="AX29" s="13" t="s">
        <v>74</v>
      </c>
      <c r="AY29" s="13" t="s">
        <v>74</v>
      </c>
      <c r="AZ29" s="13" t="s">
        <v>74</v>
      </c>
      <c r="BA29" s="13" t="s">
        <v>74</v>
      </c>
      <c r="BB29" s="13">
        <v>265</v>
      </c>
      <c r="BC29" s="13">
        <v>275</v>
      </c>
      <c r="BD29" s="13" t="s">
        <v>74</v>
      </c>
      <c r="BE29" s="13" t="s">
        <v>3131</v>
      </c>
      <c r="BF29" s="13">
        <v>0</v>
      </c>
      <c r="BG29" s="13" t="s">
        <v>74</v>
      </c>
      <c r="BH29" s="13" t="s">
        <v>3049</v>
      </c>
      <c r="BI29" s="13">
        <v>11</v>
      </c>
      <c r="BJ29" s="13" t="s">
        <v>3132</v>
      </c>
      <c r="BK29" s="13" t="s">
        <v>3133</v>
      </c>
      <c r="BL29" s="13" t="s">
        <v>3134</v>
      </c>
      <c r="BM29" s="13" t="s">
        <v>3135</v>
      </c>
      <c r="BN29" s="13" t="s">
        <v>74</v>
      </c>
      <c r="BO29" s="13" t="s">
        <v>3068</v>
      </c>
      <c r="BP29" s="13" t="s">
        <v>74</v>
      </c>
      <c r="BQ29" s="13" t="s">
        <v>74</v>
      </c>
      <c r="BR29" s="13" t="s">
        <v>12946</v>
      </c>
      <c r="BS29" s="13" t="s">
        <v>3136</v>
      </c>
      <c r="BT29" s="13">
        <v>0</v>
      </c>
    </row>
    <row r="30" spans="1:72" x14ac:dyDescent="0.25">
      <c r="A30" s="13" t="s">
        <v>72</v>
      </c>
      <c r="B30" s="13" t="s">
        <v>3510</v>
      </c>
      <c r="C30" s="13" t="s">
        <v>74</v>
      </c>
      <c r="D30" s="13" t="s">
        <v>74</v>
      </c>
      <c r="E30" s="13" t="s">
        <v>74</v>
      </c>
      <c r="F30" s="13" t="s">
        <v>3511</v>
      </c>
      <c r="G30" s="13" t="s">
        <v>74</v>
      </c>
      <c r="H30" s="13" t="s">
        <v>74</v>
      </c>
      <c r="I30" s="13" t="s">
        <v>3512</v>
      </c>
      <c r="J30" s="13" t="s">
        <v>3513</v>
      </c>
      <c r="K30" s="13" t="s">
        <v>74</v>
      </c>
      <c r="L30" s="13" t="s">
        <v>74</v>
      </c>
      <c r="M30" s="13" t="s">
        <v>78</v>
      </c>
      <c r="N30" s="13" t="s">
        <v>112</v>
      </c>
      <c r="O30" s="13" t="s">
        <v>74</v>
      </c>
      <c r="P30" s="13" t="s">
        <v>74</v>
      </c>
      <c r="Q30" s="13" t="s">
        <v>74</v>
      </c>
      <c r="R30" s="13" t="s">
        <v>74</v>
      </c>
      <c r="S30" s="13" t="s">
        <v>74</v>
      </c>
      <c r="T30" s="13" t="s">
        <v>3514</v>
      </c>
      <c r="U30" s="13" t="s">
        <v>74</v>
      </c>
      <c r="V30" s="13" t="s">
        <v>3515</v>
      </c>
      <c r="W30" s="13" t="s">
        <v>3516</v>
      </c>
      <c r="X30" s="13" t="s">
        <v>3517</v>
      </c>
      <c r="Y30" s="13" t="s">
        <v>3518</v>
      </c>
      <c r="Z30" s="13" t="s">
        <v>3519</v>
      </c>
      <c r="AA30" s="13" t="s">
        <v>13372</v>
      </c>
      <c r="AB30" s="13" t="s">
        <v>13373</v>
      </c>
      <c r="AC30" s="13" t="s">
        <v>74</v>
      </c>
      <c r="AD30" s="13" t="s">
        <v>74</v>
      </c>
      <c r="AE30" s="13" t="s">
        <v>74</v>
      </c>
      <c r="AF30" s="13" t="s">
        <v>74</v>
      </c>
      <c r="AG30" s="13">
        <v>40</v>
      </c>
      <c r="AH30" s="13">
        <v>1</v>
      </c>
      <c r="AI30" s="13">
        <v>1</v>
      </c>
      <c r="AJ30" s="13">
        <v>4</v>
      </c>
      <c r="AK30" s="13">
        <v>33</v>
      </c>
      <c r="AL30" s="13" t="s">
        <v>715</v>
      </c>
      <c r="AM30" s="13" t="s">
        <v>4411</v>
      </c>
      <c r="AN30" s="13" t="s">
        <v>12985</v>
      </c>
      <c r="AO30" s="13" t="s">
        <v>3522</v>
      </c>
      <c r="AP30" s="13" t="s">
        <v>3523</v>
      </c>
      <c r="AQ30" s="13" t="s">
        <v>74</v>
      </c>
      <c r="AR30" s="13" t="s">
        <v>3524</v>
      </c>
      <c r="AS30" s="13" t="s">
        <v>3525</v>
      </c>
      <c r="AT30" s="13" t="s">
        <v>3526</v>
      </c>
      <c r="AU30" s="13">
        <v>2022</v>
      </c>
      <c r="AV30" s="13" t="s">
        <v>74</v>
      </c>
      <c r="AW30" s="13" t="s">
        <v>74</v>
      </c>
      <c r="AX30" s="13" t="s">
        <v>74</v>
      </c>
      <c r="AY30" s="13" t="s">
        <v>74</v>
      </c>
      <c r="AZ30" s="13" t="s">
        <v>74</v>
      </c>
      <c r="BA30" s="13" t="s">
        <v>74</v>
      </c>
      <c r="BB30" s="13" t="s">
        <v>74</v>
      </c>
      <c r="BC30" s="13" t="s">
        <v>74</v>
      </c>
      <c r="BD30" s="13" t="s">
        <v>74</v>
      </c>
      <c r="BE30" s="13" t="s">
        <v>3527</v>
      </c>
      <c r="BF30" s="13">
        <v>0</v>
      </c>
      <c r="BG30" s="13" t="s">
        <v>74</v>
      </c>
      <c r="BH30" s="13" t="s">
        <v>3464</v>
      </c>
      <c r="BI30" s="13">
        <v>16</v>
      </c>
      <c r="BJ30" s="13" t="s">
        <v>3528</v>
      </c>
      <c r="BK30" s="13" t="s">
        <v>183</v>
      </c>
      <c r="BL30" s="13" t="s">
        <v>701</v>
      </c>
      <c r="BM30" s="13" t="s">
        <v>3529</v>
      </c>
      <c r="BN30" s="13" t="s">
        <v>74</v>
      </c>
      <c r="BO30" s="13" t="s">
        <v>3530</v>
      </c>
      <c r="BP30" s="13" t="s">
        <v>74</v>
      </c>
      <c r="BQ30" s="13" t="s">
        <v>74</v>
      </c>
      <c r="BR30" s="13" t="s">
        <v>12946</v>
      </c>
      <c r="BS30" s="13" t="s">
        <v>3531</v>
      </c>
      <c r="BT30" s="13">
        <v>0</v>
      </c>
    </row>
    <row r="31" spans="1:72" x14ac:dyDescent="0.25">
      <c r="A31" s="13" t="s">
        <v>72</v>
      </c>
      <c r="B31" s="13" t="s">
        <v>9075</v>
      </c>
      <c r="C31" s="13" t="s">
        <v>74</v>
      </c>
      <c r="D31" s="13" t="s">
        <v>74</v>
      </c>
      <c r="E31" s="13" t="s">
        <v>74</v>
      </c>
      <c r="F31" s="13" t="s">
        <v>9076</v>
      </c>
      <c r="G31" s="13" t="s">
        <v>74</v>
      </c>
      <c r="H31" s="13" t="s">
        <v>74</v>
      </c>
      <c r="I31" s="13" t="s">
        <v>9077</v>
      </c>
      <c r="J31" s="13" t="s">
        <v>8111</v>
      </c>
      <c r="K31" s="13" t="s">
        <v>74</v>
      </c>
      <c r="L31" s="13" t="s">
        <v>74</v>
      </c>
      <c r="M31" s="13" t="s">
        <v>2896</v>
      </c>
      <c r="N31" s="13" t="s">
        <v>79</v>
      </c>
      <c r="O31" s="13" t="s">
        <v>74</v>
      </c>
      <c r="P31" s="13" t="s">
        <v>74</v>
      </c>
      <c r="Q31" s="13" t="s">
        <v>74</v>
      </c>
      <c r="R31" s="13" t="s">
        <v>74</v>
      </c>
      <c r="S31" s="13" t="s">
        <v>74</v>
      </c>
      <c r="T31" s="13" t="s">
        <v>9078</v>
      </c>
      <c r="U31" s="13" t="s">
        <v>74</v>
      </c>
      <c r="V31" s="13" t="s">
        <v>9079</v>
      </c>
      <c r="W31" s="13" t="s">
        <v>9080</v>
      </c>
      <c r="X31" s="13" t="s">
        <v>2249</v>
      </c>
      <c r="Y31" s="13" t="s">
        <v>9081</v>
      </c>
      <c r="Z31" s="13" t="s">
        <v>9082</v>
      </c>
      <c r="AA31" s="13" t="s">
        <v>13374</v>
      </c>
      <c r="AB31" s="13" t="s">
        <v>74</v>
      </c>
      <c r="AC31" s="13" t="s">
        <v>74</v>
      </c>
      <c r="AD31" s="13" t="s">
        <v>74</v>
      </c>
      <c r="AE31" s="13" t="s">
        <v>74</v>
      </c>
      <c r="AF31" s="13" t="s">
        <v>74</v>
      </c>
      <c r="AG31" s="13">
        <v>43</v>
      </c>
      <c r="AH31" s="13">
        <v>1</v>
      </c>
      <c r="AI31" s="13">
        <v>1</v>
      </c>
      <c r="AJ31" s="13">
        <v>5</v>
      </c>
      <c r="AK31" s="13">
        <v>29</v>
      </c>
      <c r="AL31" s="13" t="s">
        <v>8121</v>
      </c>
      <c r="AM31" s="13" t="s">
        <v>8122</v>
      </c>
      <c r="AN31" s="13" t="s">
        <v>8123</v>
      </c>
      <c r="AO31" s="13" t="s">
        <v>8124</v>
      </c>
      <c r="AP31" s="13" t="s">
        <v>8125</v>
      </c>
      <c r="AQ31" s="13" t="s">
        <v>74</v>
      </c>
      <c r="AR31" s="13" t="s">
        <v>8126</v>
      </c>
      <c r="AS31" s="13" t="s">
        <v>8127</v>
      </c>
      <c r="AT31" s="13" t="s">
        <v>4456</v>
      </c>
      <c r="AU31" s="13">
        <v>2019</v>
      </c>
      <c r="AV31" s="13">
        <v>19</v>
      </c>
      <c r="AW31" s="13">
        <v>2</v>
      </c>
      <c r="AX31" s="13" t="s">
        <v>74</v>
      </c>
      <c r="AY31" s="13" t="s">
        <v>74</v>
      </c>
      <c r="AZ31" s="13" t="s">
        <v>74</v>
      </c>
      <c r="BA31" s="13" t="s">
        <v>74</v>
      </c>
      <c r="BB31" s="13">
        <v>175</v>
      </c>
      <c r="BC31" s="13">
        <v>194</v>
      </c>
      <c r="BD31" s="13" t="s">
        <v>74</v>
      </c>
      <c r="BE31" s="13" t="s">
        <v>9085</v>
      </c>
      <c r="BF31" s="13">
        <v>0</v>
      </c>
      <c r="BG31" s="13" t="s">
        <v>74</v>
      </c>
      <c r="BH31" s="13" t="s">
        <v>74</v>
      </c>
      <c r="BI31" s="13">
        <v>20</v>
      </c>
      <c r="BJ31" s="13" t="s">
        <v>315</v>
      </c>
      <c r="BK31" s="13" t="s">
        <v>183</v>
      </c>
      <c r="BL31" s="13" t="s">
        <v>265</v>
      </c>
      <c r="BM31" s="13" t="s">
        <v>9086</v>
      </c>
      <c r="BN31" s="13" t="s">
        <v>74</v>
      </c>
      <c r="BO31" s="13" t="s">
        <v>186</v>
      </c>
      <c r="BP31" s="13" t="s">
        <v>74</v>
      </c>
      <c r="BQ31" s="13" t="s">
        <v>74</v>
      </c>
      <c r="BR31" s="13" t="s">
        <v>12946</v>
      </c>
      <c r="BS31" s="13" t="s">
        <v>9087</v>
      </c>
      <c r="BT31" s="13">
        <v>0</v>
      </c>
    </row>
    <row r="32" spans="1:72" x14ac:dyDescent="0.25">
      <c r="A32" s="13" t="s">
        <v>477</v>
      </c>
      <c r="B32" s="13" t="s">
        <v>10735</v>
      </c>
      <c r="C32" s="13" t="s">
        <v>74</v>
      </c>
      <c r="D32" s="13" t="s">
        <v>10736</v>
      </c>
      <c r="E32" s="13" t="s">
        <v>74</v>
      </c>
      <c r="F32" s="13" t="s">
        <v>10737</v>
      </c>
      <c r="G32" s="13" t="s">
        <v>74</v>
      </c>
      <c r="H32" s="13" t="s">
        <v>74</v>
      </c>
      <c r="I32" s="13" t="s">
        <v>10738</v>
      </c>
      <c r="J32" s="13" t="s">
        <v>10739</v>
      </c>
      <c r="K32" s="13" t="s">
        <v>10740</v>
      </c>
      <c r="L32" s="13" t="s">
        <v>74</v>
      </c>
      <c r="M32" s="13" t="s">
        <v>78</v>
      </c>
      <c r="N32" s="13" t="s">
        <v>4932</v>
      </c>
      <c r="O32" s="13" t="s">
        <v>74</v>
      </c>
      <c r="P32" s="13" t="s">
        <v>74</v>
      </c>
      <c r="Q32" s="13" t="s">
        <v>74</v>
      </c>
      <c r="R32" s="13" t="s">
        <v>74</v>
      </c>
      <c r="S32" s="13" t="s">
        <v>74</v>
      </c>
      <c r="T32" s="13" t="s">
        <v>74</v>
      </c>
      <c r="U32" s="13" t="s">
        <v>10741</v>
      </c>
      <c r="V32" s="13" t="s">
        <v>74</v>
      </c>
      <c r="W32" s="13" t="s">
        <v>10742</v>
      </c>
      <c r="X32" s="13" t="s">
        <v>10743</v>
      </c>
      <c r="Y32" s="13" t="s">
        <v>10744</v>
      </c>
      <c r="Z32" s="13" t="s">
        <v>74</v>
      </c>
      <c r="AA32" s="13" t="s">
        <v>10745</v>
      </c>
      <c r="AB32" s="13" t="s">
        <v>13375</v>
      </c>
      <c r="AC32" s="13" t="s">
        <v>74</v>
      </c>
      <c r="AD32" s="13" t="s">
        <v>74</v>
      </c>
      <c r="AE32" s="13" t="s">
        <v>74</v>
      </c>
      <c r="AF32" s="13" t="s">
        <v>74</v>
      </c>
      <c r="AG32" s="13">
        <v>13</v>
      </c>
      <c r="AH32" s="13">
        <v>1</v>
      </c>
      <c r="AI32" s="13">
        <v>1</v>
      </c>
      <c r="AJ32" s="13">
        <v>0</v>
      </c>
      <c r="AK32" s="13">
        <v>1</v>
      </c>
      <c r="AL32" s="13" t="s">
        <v>4936</v>
      </c>
      <c r="AM32" s="13" t="s">
        <v>493</v>
      </c>
      <c r="AN32" s="13" t="s">
        <v>4937</v>
      </c>
      <c r="AO32" s="13" t="s">
        <v>74</v>
      </c>
      <c r="AP32" s="13" t="s">
        <v>74</v>
      </c>
      <c r="AQ32" s="13" t="s">
        <v>10747</v>
      </c>
      <c r="AR32" s="13" t="s">
        <v>10748</v>
      </c>
      <c r="AS32" s="13" t="s">
        <v>74</v>
      </c>
      <c r="AT32" s="13" t="s">
        <v>74</v>
      </c>
      <c r="AU32" s="13">
        <v>2017</v>
      </c>
      <c r="AV32" s="13" t="s">
        <v>74</v>
      </c>
      <c r="AW32" s="13" t="s">
        <v>74</v>
      </c>
      <c r="AX32" s="13" t="s">
        <v>74</v>
      </c>
      <c r="AY32" s="13" t="s">
        <v>74</v>
      </c>
      <c r="AZ32" s="13" t="s">
        <v>74</v>
      </c>
      <c r="BA32" s="13" t="s">
        <v>74</v>
      </c>
      <c r="BB32" s="13">
        <v>19</v>
      </c>
      <c r="BC32" s="13">
        <v>40</v>
      </c>
      <c r="BD32" s="13" t="s">
        <v>74</v>
      </c>
      <c r="BE32" s="13" t="s">
        <v>74</v>
      </c>
      <c r="BF32" s="13" t="s">
        <v>74</v>
      </c>
      <c r="BG32" s="13" t="s">
        <v>74</v>
      </c>
      <c r="BH32" s="13" t="s">
        <v>74</v>
      </c>
      <c r="BI32" s="13">
        <v>22</v>
      </c>
      <c r="BJ32" s="13" t="s">
        <v>10749</v>
      </c>
      <c r="BK32" s="13" t="s">
        <v>4943</v>
      </c>
      <c r="BL32" s="13" t="s">
        <v>10750</v>
      </c>
      <c r="BM32" s="13" t="s">
        <v>10751</v>
      </c>
      <c r="BN32" s="13" t="s">
        <v>74</v>
      </c>
      <c r="BO32" s="13" t="s">
        <v>74</v>
      </c>
      <c r="BP32" s="13" t="s">
        <v>74</v>
      </c>
      <c r="BQ32" s="13" t="s">
        <v>74</v>
      </c>
      <c r="BR32" s="13" t="s">
        <v>12946</v>
      </c>
      <c r="BS32" s="13" t="s">
        <v>10752</v>
      </c>
      <c r="BT32" s="13">
        <v>0</v>
      </c>
    </row>
    <row r="33" spans="1:72" x14ac:dyDescent="0.25">
      <c r="A33" s="13" t="s">
        <v>72</v>
      </c>
      <c r="B33" s="13" t="s">
        <v>12264</v>
      </c>
      <c r="C33" s="13" t="s">
        <v>74</v>
      </c>
      <c r="D33" s="13" t="s">
        <v>74</v>
      </c>
      <c r="E33" s="13" t="s">
        <v>74</v>
      </c>
      <c r="F33" s="13" t="s">
        <v>12265</v>
      </c>
      <c r="G33" s="13" t="s">
        <v>74</v>
      </c>
      <c r="H33" s="13" t="s">
        <v>74</v>
      </c>
      <c r="I33" s="13" t="s">
        <v>12266</v>
      </c>
      <c r="J33" s="13" t="s">
        <v>3608</v>
      </c>
      <c r="K33" s="13" t="s">
        <v>74</v>
      </c>
      <c r="L33" s="13" t="s">
        <v>74</v>
      </c>
      <c r="M33" s="13" t="s">
        <v>78</v>
      </c>
      <c r="N33" s="13" t="s">
        <v>79</v>
      </c>
      <c r="O33" s="13" t="s">
        <v>74</v>
      </c>
      <c r="P33" s="13" t="s">
        <v>74</v>
      </c>
      <c r="Q33" s="13" t="s">
        <v>74</v>
      </c>
      <c r="R33" s="13" t="s">
        <v>74</v>
      </c>
      <c r="S33" s="13" t="s">
        <v>74</v>
      </c>
      <c r="T33" s="13" t="s">
        <v>74</v>
      </c>
      <c r="U33" s="13" t="s">
        <v>12267</v>
      </c>
      <c r="V33" s="13" t="s">
        <v>12268</v>
      </c>
      <c r="W33" s="13" t="s">
        <v>12269</v>
      </c>
      <c r="X33" s="13" t="s">
        <v>12270</v>
      </c>
      <c r="Y33" s="13" t="s">
        <v>12271</v>
      </c>
      <c r="Z33" s="13" t="s">
        <v>12272</v>
      </c>
      <c r="AA33" s="13" t="s">
        <v>74</v>
      </c>
      <c r="AB33" s="13" t="s">
        <v>74</v>
      </c>
      <c r="AC33" s="13" t="s">
        <v>12273</v>
      </c>
      <c r="AD33" s="13" t="s">
        <v>12274</v>
      </c>
      <c r="AE33" s="13" t="s">
        <v>12275</v>
      </c>
      <c r="AF33" s="13" t="s">
        <v>74</v>
      </c>
      <c r="AG33" s="13">
        <v>29</v>
      </c>
      <c r="AH33" s="13">
        <v>1</v>
      </c>
      <c r="AI33" s="13">
        <v>1</v>
      </c>
      <c r="AJ33" s="13">
        <v>0</v>
      </c>
      <c r="AK33" s="13">
        <v>8</v>
      </c>
      <c r="AL33" s="13" t="s">
        <v>3146</v>
      </c>
      <c r="AM33" s="13" t="s">
        <v>175</v>
      </c>
      <c r="AN33" s="13" t="s">
        <v>3147</v>
      </c>
      <c r="AO33" s="13" t="s">
        <v>3618</v>
      </c>
      <c r="AP33" s="13" t="s">
        <v>3619</v>
      </c>
      <c r="AQ33" s="13" t="s">
        <v>74</v>
      </c>
      <c r="AR33" s="13" t="s">
        <v>3620</v>
      </c>
      <c r="AS33" s="13" t="s">
        <v>3621</v>
      </c>
      <c r="AT33" s="13" t="s">
        <v>74</v>
      </c>
      <c r="AU33" s="13">
        <v>2013</v>
      </c>
      <c r="AV33" s="13">
        <v>2013</v>
      </c>
      <c r="AW33" s="13" t="s">
        <v>74</v>
      </c>
      <c r="AX33" s="13" t="s">
        <v>74</v>
      </c>
      <c r="AY33" s="13" t="s">
        <v>74</v>
      </c>
      <c r="AZ33" s="13" t="s">
        <v>74</v>
      </c>
      <c r="BA33" s="13" t="s">
        <v>74</v>
      </c>
      <c r="BB33" s="13" t="s">
        <v>74</v>
      </c>
      <c r="BC33" s="13" t="s">
        <v>74</v>
      </c>
      <c r="BD33" s="13">
        <v>836414</v>
      </c>
      <c r="BE33" s="13" t="s">
        <v>12276</v>
      </c>
      <c r="BF33" s="13">
        <v>0</v>
      </c>
      <c r="BG33" s="13" t="s">
        <v>74</v>
      </c>
      <c r="BH33" s="13" t="s">
        <v>74</v>
      </c>
      <c r="BI33" s="13">
        <v>12</v>
      </c>
      <c r="BJ33" s="13" t="s">
        <v>3624</v>
      </c>
      <c r="BK33" s="13" t="s">
        <v>102</v>
      </c>
      <c r="BL33" s="13" t="s">
        <v>3625</v>
      </c>
      <c r="BM33" s="13" t="s">
        <v>12277</v>
      </c>
      <c r="BN33" s="13" t="s">
        <v>74</v>
      </c>
      <c r="BO33" s="13" t="s">
        <v>2162</v>
      </c>
      <c r="BP33" s="13" t="s">
        <v>74</v>
      </c>
      <c r="BQ33" s="13" t="s">
        <v>74</v>
      </c>
      <c r="BR33" s="13" t="s">
        <v>12946</v>
      </c>
      <c r="BS33" s="13" t="s">
        <v>12278</v>
      </c>
      <c r="BT33" s="13">
        <v>0</v>
      </c>
    </row>
    <row r="34" spans="1:72" x14ac:dyDescent="0.25">
      <c r="A34" s="13" t="s">
        <v>72</v>
      </c>
      <c r="B34" s="13" t="s">
        <v>1434</v>
      </c>
      <c r="C34" s="13" t="s">
        <v>74</v>
      </c>
      <c r="D34" s="13" t="s">
        <v>74</v>
      </c>
      <c r="E34" s="13" t="s">
        <v>74</v>
      </c>
      <c r="F34" s="13" t="s">
        <v>1435</v>
      </c>
      <c r="G34" s="13" t="s">
        <v>74</v>
      </c>
      <c r="H34" s="13" t="s">
        <v>74</v>
      </c>
      <c r="I34" s="13" t="s">
        <v>1436</v>
      </c>
      <c r="J34" s="13" t="s">
        <v>1437</v>
      </c>
      <c r="K34" s="13" t="s">
        <v>74</v>
      </c>
      <c r="L34" s="13" t="s">
        <v>74</v>
      </c>
      <c r="M34" s="13" t="s">
        <v>78</v>
      </c>
      <c r="N34" s="13" t="s">
        <v>79</v>
      </c>
      <c r="O34" s="13" t="s">
        <v>74</v>
      </c>
      <c r="P34" s="13" t="s">
        <v>74</v>
      </c>
      <c r="Q34" s="13" t="s">
        <v>74</v>
      </c>
      <c r="R34" s="13" t="s">
        <v>74</v>
      </c>
      <c r="S34" s="13" t="s">
        <v>74</v>
      </c>
      <c r="T34" s="13" t="s">
        <v>1438</v>
      </c>
      <c r="U34" s="13" t="s">
        <v>1439</v>
      </c>
      <c r="V34" s="13" t="s">
        <v>1440</v>
      </c>
      <c r="W34" s="13" t="s">
        <v>1441</v>
      </c>
      <c r="X34" s="13" t="s">
        <v>74</v>
      </c>
      <c r="Y34" s="13" t="s">
        <v>1442</v>
      </c>
      <c r="Z34" s="13" t="s">
        <v>1443</v>
      </c>
      <c r="AA34" s="13" t="s">
        <v>74</v>
      </c>
      <c r="AB34" s="13" t="s">
        <v>1444</v>
      </c>
      <c r="AC34" s="13" t="s">
        <v>74</v>
      </c>
      <c r="AD34" s="13" t="s">
        <v>74</v>
      </c>
      <c r="AE34" s="13" t="s">
        <v>74</v>
      </c>
      <c r="AF34" s="13" t="s">
        <v>74</v>
      </c>
      <c r="AG34" s="13">
        <v>25</v>
      </c>
      <c r="AH34" s="13">
        <v>0</v>
      </c>
      <c r="AI34" s="13">
        <v>0</v>
      </c>
      <c r="AJ34" s="13">
        <v>6</v>
      </c>
      <c r="AK34" s="13">
        <v>15</v>
      </c>
      <c r="AL34" s="13" t="s">
        <v>202</v>
      </c>
      <c r="AM34" s="13" t="s">
        <v>203</v>
      </c>
      <c r="AN34" s="13" t="s">
        <v>204</v>
      </c>
      <c r="AO34" s="13" t="s">
        <v>74</v>
      </c>
      <c r="AP34" s="13" t="s">
        <v>1445</v>
      </c>
      <c r="AQ34" s="13" t="s">
        <v>74</v>
      </c>
      <c r="AR34" s="13" t="s">
        <v>1446</v>
      </c>
      <c r="AS34" s="13" t="s">
        <v>1447</v>
      </c>
      <c r="AT34" s="13" t="s">
        <v>1448</v>
      </c>
      <c r="AU34" s="13">
        <v>2023</v>
      </c>
      <c r="AV34" s="13">
        <v>6</v>
      </c>
      <c r="AW34" s="13">
        <v>2</v>
      </c>
      <c r="AX34" s="13" t="s">
        <v>74</v>
      </c>
      <c r="AY34" s="13" t="s">
        <v>74</v>
      </c>
      <c r="AZ34" s="13" t="s">
        <v>74</v>
      </c>
      <c r="BA34" s="13" t="s">
        <v>74</v>
      </c>
      <c r="BB34" s="13">
        <v>809</v>
      </c>
      <c r="BC34" s="13">
        <v>818</v>
      </c>
      <c r="BD34" s="13" t="s">
        <v>74</v>
      </c>
      <c r="BE34" s="13" t="s">
        <v>1449</v>
      </c>
      <c r="BF34" s="13">
        <v>0</v>
      </c>
      <c r="BG34" s="13" t="s">
        <v>74</v>
      </c>
      <c r="BH34" s="13" t="s">
        <v>74</v>
      </c>
      <c r="BI34" s="13">
        <v>10</v>
      </c>
      <c r="BJ34" s="13" t="s">
        <v>1450</v>
      </c>
      <c r="BK34" s="13" t="s">
        <v>183</v>
      </c>
      <c r="BL34" s="13" t="s">
        <v>1451</v>
      </c>
      <c r="BM34" s="13" t="s">
        <v>1452</v>
      </c>
      <c r="BN34" s="13" t="s">
        <v>74</v>
      </c>
      <c r="BO34" s="13" t="s">
        <v>186</v>
      </c>
      <c r="BP34" s="13" t="s">
        <v>74</v>
      </c>
      <c r="BQ34" s="13" t="s">
        <v>74</v>
      </c>
      <c r="BR34" s="13" t="s">
        <v>12946</v>
      </c>
      <c r="BS34" s="13" t="s">
        <v>1453</v>
      </c>
      <c r="BT34" s="13">
        <v>0</v>
      </c>
    </row>
    <row r="35" spans="1:72" x14ac:dyDescent="0.25">
      <c r="A35" s="13" t="s">
        <v>72</v>
      </c>
      <c r="B35" s="13" t="s">
        <v>2892</v>
      </c>
      <c r="C35" s="13" t="s">
        <v>74</v>
      </c>
      <c r="D35" s="13" t="s">
        <v>74</v>
      </c>
      <c r="E35" s="13" t="s">
        <v>74</v>
      </c>
      <c r="F35" s="13" t="s">
        <v>2893</v>
      </c>
      <c r="G35" s="13" t="s">
        <v>74</v>
      </c>
      <c r="H35" s="13" t="s">
        <v>74</v>
      </c>
      <c r="I35" s="13" t="s">
        <v>2894</v>
      </c>
      <c r="J35" s="13" t="s">
        <v>2895</v>
      </c>
      <c r="K35" s="13" t="s">
        <v>74</v>
      </c>
      <c r="L35" s="13" t="s">
        <v>74</v>
      </c>
      <c r="M35" s="13" t="s">
        <v>2896</v>
      </c>
      <c r="N35" s="13" t="s">
        <v>79</v>
      </c>
      <c r="O35" s="13" t="s">
        <v>74</v>
      </c>
      <c r="P35" s="13" t="s">
        <v>74</v>
      </c>
      <c r="Q35" s="13" t="s">
        <v>74</v>
      </c>
      <c r="R35" s="13" t="s">
        <v>74</v>
      </c>
      <c r="S35" s="13" t="s">
        <v>74</v>
      </c>
      <c r="T35" s="13" t="s">
        <v>2897</v>
      </c>
      <c r="U35" s="13" t="s">
        <v>2898</v>
      </c>
      <c r="V35" s="13" t="s">
        <v>2899</v>
      </c>
      <c r="W35" s="13" t="s">
        <v>2900</v>
      </c>
      <c r="X35" s="13" t="s">
        <v>13376</v>
      </c>
      <c r="Y35" s="13" t="s">
        <v>2902</v>
      </c>
      <c r="Z35" s="13" t="s">
        <v>2903</v>
      </c>
      <c r="AA35" s="13" t="s">
        <v>13377</v>
      </c>
      <c r="AB35" s="13" t="s">
        <v>74</v>
      </c>
      <c r="AC35" s="13" t="s">
        <v>74</v>
      </c>
      <c r="AD35" s="13" t="s">
        <v>74</v>
      </c>
      <c r="AE35" s="13" t="s">
        <v>74</v>
      </c>
      <c r="AF35" s="13" t="s">
        <v>74</v>
      </c>
      <c r="AG35" s="13">
        <v>42</v>
      </c>
      <c r="AH35" s="13">
        <v>0</v>
      </c>
      <c r="AI35" s="13">
        <v>0</v>
      </c>
      <c r="AJ35" s="13">
        <v>0</v>
      </c>
      <c r="AK35" s="13">
        <v>0</v>
      </c>
      <c r="AL35" s="13" t="s">
        <v>2904</v>
      </c>
      <c r="AM35" s="13" t="s">
        <v>2905</v>
      </c>
      <c r="AN35" s="13" t="s">
        <v>2906</v>
      </c>
      <c r="AO35" s="13" t="s">
        <v>2907</v>
      </c>
      <c r="AP35" s="13" t="s">
        <v>2908</v>
      </c>
      <c r="AQ35" s="13" t="s">
        <v>74</v>
      </c>
      <c r="AR35" s="13" t="s">
        <v>2909</v>
      </c>
      <c r="AS35" s="13" t="s">
        <v>2910</v>
      </c>
      <c r="AT35" s="13" t="s">
        <v>2911</v>
      </c>
      <c r="AU35" s="13">
        <v>2022</v>
      </c>
      <c r="AV35" s="13">
        <v>18</v>
      </c>
      <c r="AW35" s="13">
        <v>54</v>
      </c>
      <c r="AX35" s="13" t="s">
        <v>74</v>
      </c>
      <c r="AY35" s="13" t="s">
        <v>74</v>
      </c>
      <c r="AZ35" s="13" t="s">
        <v>74</v>
      </c>
      <c r="BA35" s="13" t="s">
        <v>74</v>
      </c>
      <c r="BB35" s="13">
        <v>294</v>
      </c>
      <c r="BC35" s="13">
        <v>311</v>
      </c>
      <c r="BD35" s="13" t="s">
        <v>74</v>
      </c>
      <c r="BE35" s="13" t="s">
        <v>2912</v>
      </c>
      <c r="BF35" s="13">
        <v>0</v>
      </c>
      <c r="BG35" s="13" t="s">
        <v>74</v>
      </c>
      <c r="BH35" s="13" t="s">
        <v>74</v>
      </c>
      <c r="BI35" s="13">
        <v>18</v>
      </c>
      <c r="BJ35" s="13" t="s">
        <v>942</v>
      </c>
      <c r="BK35" s="13" t="s">
        <v>183</v>
      </c>
      <c r="BL35" s="13" t="s">
        <v>943</v>
      </c>
      <c r="BM35" s="13" t="s">
        <v>2913</v>
      </c>
      <c r="BN35" s="13" t="s">
        <v>74</v>
      </c>
      <c r="BO35" s="13" t="s">
        <v>186</v>
      </c>
      <c r="BP35" s="13" t="s">
        <v>74</v>
      </c>
      <c r="BQ35" s="13" t="s">
        <v>74</v>
      </c>
      <c r="BR35" s="13" t="s">
        <v>12946</v>
      </c>
      <c r="BS35" s="13" t="s">
        <v>2914</v>
      </c>
      <c r="BT35" s="13">
        <v>0</v>
      </c>
    </row>
    <row r="36" spans="1:72" x14ac:dyDescent="0.25">
      <c r="A36" s="13" t="s">
        <v>72</v>
      </c>
      <c r="B36" s="13" t="s">
        <v>8332</v>
      </c>
      <c r="C36" s="13" t="s">
        <v>74</v>
      </c>
      <c r="D36" s="13" t="s">
        <v>74</v>
      </c>
      <c r="E36" s="13" t="s">
        <v>74</v>
      </c>
      <c r="F36" s="13" t="s">
        <v>8333</v>
      </c>
      <c r="G36" s="13" t="s">
        <v>74</v>
      </c>
      <c r="H36" s="13" t="s">
        <v>74</v>
      </c>
      <c r="I36" s="13" t="s">
        <v>8334</v>
      </c>
      <c r="J36" s="13" t="s">
        <v>8335</v>
      </c>
      <c r="K36" s="13" t="s">
        <v>74</v>
      </c>
      <c r="L36" s="13" t="s">
        <v>74</v>
      </c>
      <c r="M36" s="13" t="s">
        <v>4637</v>
      </c>
      <c r="N36" s="13" t="s">
        <v>79</v>
      </c>
      <c r="O36" s="13" t="s">
        <v>74</v>
      </c>
      <c r="P36" s="13" t="s">
        <v>74</v>
      </c>
      <c r="Q36" s="13" t="s">
        <v>74</v>
      </c>
      <c r="R36" s="13" t="s">
        <v>74</v>
      </c>
      <c r="S36" s="13" t="s">
        <v>74</v>
      </c>
      <c r="T36" s="13" t="s">
        <v>8336</v>
      </c>
      <c r="U36" s="13" t="s">
        <v>74</v>
      </c>
      <c r="V36" s="13" t="s">
        <v>8337</v>
      </c>
      <c r="W36" s="13" t="s">
        <v>8338</v>
      </c>
      <c r="X36" s="13" t="s">
        <v>8339</v>
      </c>
      <c r="Y36" s="13" t="s">
        <v>8340</v>
      </c>
      <c r="Z36" s="13" t="s">
        <v>74</v>
      </c>
      <c r="AA36" s="13" t="s">
        <v>74</v>
      </c>
      <c r="AB36" s="13" t="s">
        <v>74</v>
      </c>
      <c r="AC36" s="13" t="s">
        <v>74</v>
      </c>
      <c r="AD36" s="13" t="s">
        <v>74</v>
      </c>
      <c r="AE36" s="13" t="s">
        <v>74</v>
      </c>
      <c r="AF36" s="13" t="s">
        <v>74</v>
      </c>
      <c r="AG36" s="13">
        <v>26</v>
      </c>
      <c r="AH36" s="13">
        <v>0</v>
      </c>
      <c r="AI36" s="13">
        <v>0</v>
      </c>
      <c r="AJ36" s="13">
        <v>0</v>
      </c>
      <c r="AK36" s="13">
        <v>3</v>
      </c>
      <c r="AL36" s="13" t="s">
        <v>8341</v>
      </c>
      <c r="AM36" s="13" t="s">
        <v>8342</v>
      </c>
      <c r="AN36" s="13" t="s">
        <v>8343</v>
      </c>
      <c r="AO36" s="13" t="s">
        <v>8344</v>
      </c>
      <c r="AP36" s="13" t="s">
        <v>8345</v>
      </c>
      <c r="AQ36" s="13" t="s">
        <v>74</v>
      </c>
      <c r="AR36" s="13" t="s">
        <v>8346</v>
      </c>
      <c r="AS36" s="13" t="s">
        <v>8347</v>
      </c>
      <c r="AT36" s="13" t="s">
        <v>74</v>
      </c>
      <c r="AU36" s="13">
        <v>2020</v>
      </c>
      <c r="AV36" s="13" t="s">
        <v>74</v>
      </c>
      <c r="AW36" s="13">
        <v>36</v>
      </c>
      <c r="AX36" s="13" t="s">
        <v>74</v>
      </c>
      <c r="AY36" s="13" t="s">
        <v>74</v>
      </c>
      <c r="AZ36" s="13" t="s">
        <v>74</v>
      </c>
      <c r="BA36" s="13" t="s">
        <v>74</v>
      </c>
      <c r="BB36" s="13">
        <v>35</v>
      </c>
      <c r="BC36" s="13">
        <v>56</v>
      </c>
      <c r="BD36" s="13" t="s">
        <v>74</v>
      </c>
      <c r="BE36" s="13" t="s">
        <v>8348</v>
      </c>
      <c r="BF36" s="13">
        <v>0</v>
      </c>
      <c r="BG36" s="13" t="s">
        <v>74</v>
      </c>
      <c r="BH36" s="13" t="s">
        <v>74</v>
      </c>
      <c r="BI36" s="13">
        <v>22</v>
      </c>
      <c r="BJ36" s="13" t="s">
        <v>2192</v>
      </c>
      <c r="BK36" s="13" t="s">
        <v>3239</v>
      </c>
      <c r="BL36" s="13" t="s">
        <v>2193</v>
      </c>
      <c r="BM36" s="13" t="s">
        <v>8349</v>
      </c>
      <c r="BN36" s="13" t="s">
        <v>74</v>
      </c>
      <c r="BO36" s="13" t="s">
        <v>4521</v>
      </c>
      <c r="BP36" s="13" t="s">
        <v>74</v>
      </c>
      <c r="BQ36" s="13" t="s">
        <v>74</v>
      </c>
      <c r="BR36" s="13" t="s">
        <v>12946</v>
      </c>
      <c r="BS36" s="13" t="s">
        <v>8350</v>
      </c>
      <c r="BT36" s="13">
        <v>0</v>
      </c>
    </row>
    <row r="37" spans="1:72" x14ac:dyDescent="0.25">
      <c r="A37" s="13" t="s">
        <v>72</v>
      </c>
      <c r="B37" s="13" t="s">
        <v>8995</v>
      </c>
      <c r="C37" s="13" t="s">
        <v>74</v>
      </c>
      <c r="D37" s="13" t="s">
        <v>74</v>
      </c>
      <c r="E37" s="13" t="s">
        <v>74</v>
      </c>
      <c r="F37" s="13" t="s">
        <v>8996</v>
      </c>
      <c r="G37" s="13" t="s">
        <v>74</v>
      </c>
      <c r="H37" s="13" t="s">
        <v>74</v>
      </c>
      <c r="I37" s="13" t="s">
        <v>8997</v>
      </c>
      <c r="J37" s="13" t="s">
        <v>8998</v>
      </c>
      <c r="K37" s="13" t="s">
        <v>74</v>
      </c>
      <c r="L37" s="13" t="s">
        <v>74</v>
      </c>
      <c r="M37" s="13" t="s">
        <v>2896</v>
      </c>
      <c r="N37" s="13" t="s">
        <v>79</v>
      </c>
      <c r="O37" s="13" t="s">
        <v>74</v>
      </c>
      <c r="P37" s="13" t="s">
        <v>74</v>
      </c>
      <c r="Q37" s="13" t="s">
        <v>74</v>
      </c>
      <c r="R37" s="13" t="s">
        <v>74</v>
      </c>
      <c r="S37" s="13" t="s">
        <v>74</v>
      </c>
      <c r="T37" s="13" t="s">
        <v>8999</v>
      </c>
      <c r="U37" s="13" t="s">
        <v>74</v>
      </c>
      <c r="V37" s="13" t="s">
        <v>9000</v>
      </c>
      <c r="W37" s="13" t="s">
        <v>9001</v>
      </c>
      <c r="X37" s="13" t="s">
        <v>2249</v>
      </c>
      <c r="Y37" s="13" t="s">
        <v>9002</v>
      </c>
      <c r="Z37" s="13" t="s">
        <v>9003</v>
      </c>
      <c r="AA37" s="13" t="s">
        <v>13378</v>
      </c>
      <c r="AB37" s="13" t="s">
        <v>74</v>
      </c>
      <c r="AC37" s="13" t="s">
        <v>74</v>
      </c>
      <c r="AD37" s="13" t="s">
        <v>74</v>
      </c>
      <c r="AE37" s="13" t="s">
        <v>74</v>
      </c>
      <c r="AF37" s="13" t="s">
        <v>74</v>
      </c>
      <c r="AG37" s="13">
        <v>46</v>
      </c>
      <c r="AH37" s="13">
        <v>0</v>
      </c>
      <c r="AI37" s="13">
        <v>0</v>
      </c>
      <c r="AJ37" s="13">
        <v>0</v>
      </c>
      <c r="AK37" s="13">
        <v>6</v>
      </c>
      <c r="AL37" s="13" t="s">
        <v>9004</v>
      </c>
      <c r="AM37" s="13" t="s">
        <v>9005</v>
      </c>
      <c r="AN37" s="13" t="s">
        <v>9006</v>
      </c>
      <c r="AO37" s="13" t="s">
        <v>9007</v>
      </c>
      <c r="AP37" s="13" t="s">
        <v>9008</v>
      </c>
      <c r="AQ37" s="13" t="s">
        <v>74</v>
      </c>
      <c r="AR37" s="13" t="s">
        <v>9009</v>
      </c>
      <c r="AS37" s="13" t="s">
        <v>9010</v>
      </c>
      <c r="AT37" s="13" t="s">
        <v>8992</v>
      </c>
      <c r="AU37" s="13">
        <v>2019</v>
      </c>
      <c r="AV37" s="13">
        <v>18</v>
      </c>
      <c r="AW37" s="13">
        <v>36</v>
      </c>
      <c r="AX37" s="13" t="s">
        <v>74</v>
      </c>
      <c r="AY37" s="13" t="s">
        <v>74</v>
      </c>
      <c r="AZ37" s="13" t="s">
        <v>74</v>
      </c>
      <c r="BA37" s="13" t="s">
        <v>74</v>
      </c>
      <c r="BB37" s="13">
        <v>15</v>
      </c>
      <c r="BC37" s="13">
        <v>35</v>
      </c>
      <c r="BD37" s="13" t="s">
        <v>74</v>
      </c>
      <c r="BE37" s="13" t="s">
        <v>9011</v>
      </c>
      <c r="BF37" s="13">
        <v>0</v>
      </c>
      <c r="BG37" s="13" t="s">
        <v>74</v>
      </c>
      <c r="BH37" s="13" t="s">
        <v>74</v>
      </c>
      <c r="BI37" s="13">
        <v>21</v>
      </c>
      <c r="BJ37" s="13" t="s">
        <v>2218</v>
      </c>
      <c r="BK37" s="13" t="s">
        <v>183</v>
      </c>
      <c r="BL37" s="13" t="s">
        <v>2218</v>
      </c>
      <c r="BM37" s="13" t="s">
        <v>9012</v>
      </c>
      <c r="BN37" s="13" t="s">
        <v>74</v>
      </c>
      <c r="BO37" s="13" t="s">
        <v>186</v>
      </c>
      <c r="BP37" s="13" t="s">
        <v>74</v>
      </c>
      <c r="BQ37" s="13" t="s">
        <v>74</v>
      </c>
      <c r="BR37" s="13" t="s">
        <v>12946</v>
      </c>
      <c r="BS37" s="13" t="s">
        <v>9013</v>
      </c>
      <c r="BT37" s="13">
        <v>0</v>
      </c>
    </row>
    <row r="38" spans="1:72" x14ac:dyDescent="0.25">
      <c r="A38" s="13" t="s">
        <v>477</v>
      </c>
      <c r="B38" s="13" t="s">
        <v>10084</v>
      </c>
      <c r="C38" s="13" t="s">
        <v>74</v>
      </c>
      <c r="D38" s="13" t="s">
        <v>10085</v>
      </c>
      <c r="E38" s="13" t="s">
        <v>74</v>
      </c>
      <c r="F38" s="13" t="s">
        <v>10086</v>
      </c>
      <c r="G38" s="13" t="s">
        <v>74</v>
      </c>
      <c r="H38" s="13" t="s">
        <v>74</v>
      </c>
      <c r="I38" s="13" t="s">
        <v>10087</v>
      </c>
      <c r="J38" s="13" t="s">
        <v>10088</v>
      </c>
      <c r="K38" s="13" t="s">
        <v>74</v>
      </c>
      <c r="L38" s="13" t="s">
        <v>74</v>
      </c>
      <c r="M38" s="13" t="s">
        <v>78</v>
      </c>
      <c r="N38" s="13" t="s">
        <v>4932</v>
      </c>
      <c r="O38" s="13" t="s">
        <v>74</v>
      </c>
      <c r="P38" s="13" t="s">
        <v>74</v>
      </c>
      <c r="Q38" s="13" t="s">
        <v>74</v>
      </c>
      <c r="R38" s="13" t="s">
        <v>74</v>
      </c>
      <c r="S38" s="13" t="s">
        <v>74</v>
      </c>
      <c r="T38" s="13" t="s">
        <v>74</v>
      </c>
      <c r="U38" s="13" t="s">
        <v>74</v>
      </c>
      <c r="V38" s="13" t="s">
        <v>74</v>
      </c>
      <c r="W38" s="13" t="s">
        <v>10089</v>
      </c>
      <c r="X38" s="13" t="s">
        <v>74</v>
      </c>
      <c r="Y38" s="13" t="s">
        <v>10090</v>
      </c>
      <c r="Z38" s="13" t="s">
        <v>74</v>
      </c>
      <c r="AA38" s="13" t="s">
        <v>74</v>
      </c>
      <c r="AB38" s="13" t="s">
        <v>74</v>
      </c>
      <c r="AC38" s="13" t="s">
        <v>74</v>
      </c>
      <c r="AD38" s="13" t="s">
        <v>74</v>
      </c>
      <c r="AE38" s="13" t="s">
        <v>74</v>
      </c>
      <c r="AF38" s="13" t="s">
        <v>74</v>
      </c>
      <c r="AG38" s="13">
        <v>8</v>
      </c>
      <c r="AH38" s="13">
        <v>0</v>
      </c>
      <c r="AI38" s="13">
        <v>0</v>
      </c>
      <c r="AJ38" s="13">
        <v>0</v>
      </c>
      <c r="AK38" s="13">
        <v>0</v>
      </c>
      <c r="AL38" s="13" t="s">
        <v>10091</v>
      </c>
      <c r="AM38" s="13" t="s">
        <v>10092</v>
      </c>
      <c r="AN38" s="13" t="s">
        <v>10093</v>
      </c>
      <c r="AO38" s="13" t="s">
        <v>74</v>
      </c>
      <c r="AP38" s="13" t="s">
        <v>74</v>
      </c>
      <c r="AQ38" s="13" t="s">
        <v>10094</v>
      </c>
      <c r="AR38" s="13" t="s">
        <v>74</v>
      </c>
      <c r="AS38" s="13" t="s">
        <v>74</v>
      </c>
      <c r="AT38" s="13" t="s">
        <v>74</v>
      </c>
      <c r="AU38" s="13">
        <v>2018</v>
      </c>
      <c r="AV38" s="13" t="s">
        <v>74</v>
      </c>
      <c r="AW38" s="13" t="s">
        <v>74</v>
      </c>
      <c r="AX38" s="13" t="s">
        <v>74</v>
      </c>
      <c r="AY38" s="13" t="s">
        <v>74</v>
      </c>
      <c r="AZ38" s="13" t="s">
        <v>74</v>
      </c>
      <c r="BA38" s="13" t="s">
        <v>74</v>
      </c>
      <c r="BB38" s="13">
        <v>92</v>
      </c>
      <c r="BC38" s="13">
        <v>120</v>
      </c>
      <c r="BD38" s="13" t="s">
        <v>74</v>
      </c>
      <c r="BE38" s="13" t="s">
        <v>74</v>
      </c>
      <c r="BF38" s="13" t="s">
        <v>74</v>
      </c>
      <c r="BG38" s="13" t="s">
        <v>74</v>
      </c>
      <c r="BH38" s="13" t="s">
        <v>74</v>
      </c>
      <c r="BI38" s="13">
        <v>29</v>
      </c>
      <c r="BJ38" s="13" t="s">
        <v>10095</v>
      </c>
      <c r="BK38" s="13" t="s">
        <v>4943</v>
      </c>
      <c r="BL38" s="13" t="s">
        <v>10095</v>
      </c>
      <c r="BM38" s="13" t="s">
        <v>10096</v>
      </c>
      <c r="BN38" s="13" t="s">
        <v>74</v>
      </c>
      <c r="BO38" s="13" t="s">
        <v>74</v>
      </c>
      <c r="BP38" s="13" t="s">
        <v>74</v>
      </c>
      <c r="BQ38" s="13" t="s">
        <v>74</v>
      </c>
      <c r="BR38" s="13" t="s">
        <v>12946</v>
      </c>
      <c r="BS38" s="13" t="s">
        <v>10097</v>
      </c>
      <c r="BT38" s="13">
        <v>0</v>
      </c>
    </row>
    <row r="39" spans="1:72" x14ac:dyDescent="0.25">
      <c r="A39" s="13" t="s">
        <v>72</v>
      </c>
      <c r="B39" s="13" t="s">
        <v>10238</v>
      </c>
      <c r="C39" s="13" t="s">
        <v>74</v>
      </c>
      <c r="D39" s="13" t="s">
        <v>74</v>
      </c>
      <c r="E39" s="13" t="s">
        <v>74</v>
      </c>
      <c r="F39" s="13" t="s">
        <v>10239</v>
      </c>
      <c r="G39" s="13" t="s">
        <v>74</v>
      </c>
      <c r="H39" s="13" t="s">
        <v>74</v>
      </c>
      <c r="I39" s="13" t="s">
        <v>10240</v>
      </c>
      <c r="J39" s="13" t="s">
        <v>2895</v>
      </c>
      <c r="K39" s="13" t="s">
        <v>74</v>
      </c>
      <c r="L39" s="13" t="s">
        <v>74</v>
      </c>
      <c r="M39" s="13" t="s">
        <v>2896</v>
      </c>
      <c r="N39" s="13" t="s">
        <v>79</v>
      </c>
      <c r="O39" s="13" t="s">
        <v>74</v>
      </c>
      <c r="P39" s="13" t="s">
        <v>74</v>
      </c>
      <c r="Q39" s="13" t="s">
        <v>74</v>
      </c>
      <c r="R39" s="13" t="s">
        <v>74</v>
      </c>
      <c r="S39" s="13" t="s">
        <v>74</v>
      </c>
      <c r="T39" s="13" t="s">
        <v>10241</v>
      </c>
      <c r="U39" s="13" t="s">
        <v>10242</v>
      </c>
      <c r="V39" s="13" t="s">
        <v>10243</v>
      </c>
      <c r="W39" s="13" t="s">
        <v>10244</v>
      </c>
      <c r="X39" s="13" t="s">
        <v>2249</v>
      </c>
      <c r="Y39" s="13" t="s">
        <v>10245</v>
      </c>
      <c r="Z39" s="13" t="s">
        <v>10246</v>
      </c>
      <c r="AA39" s="13" t="s">
        <v>11500</v>
      </c>
      <c r="AB39" s="13" t="s">
        <v>10248</v>
      </c>
      <c r="AC39" s="13" t="s">
        <v>74</v>
      </c>
      <c r="AD39" s="13" t="s">
        <v>74</v>
      </c>
      <c r="AE39" s="13" t="s">
        <v>74</v>
      </c>
      <c r="AF39" s="13" t="s">
        <v>74</v>
      </c>
      <c r="AG39" s="13">
        <v>74</v>
      </c>
      <c r="AH39" s="13">
        <v>0</v>
      </c>
      <c r="AI39" s="13">
        <v>0</v>
      </c>
      <c r="AJ39" s="13">
        <v>0</v>
      </c>
      <c r="AK39" s="13">
        <v>0</v>
      </c>
      <c r="AL39" s="13" t="s">
        <v>2904</v>
      </c>
      <c r="AM39" s="13" t="s">
        <v>2905</v>
      </c>
      <c r="AN39" s="13" t="s">
        <v>2906</v>
      </c>
      <c r="AO39" s="13" t="s">
        <v>2907</v>
      </c>
      <c r="AP39" s="13" t="s">
        <v>2908</v>
      </c>
      <c r="AQ39" s="13" t="s">
        <v>74</v>
      </c>
      <c r="AR39" s="13" t="s">
        <v>2909</v>
      </c>
      <c r="AS39" s="13" t="s">
        <v>2910</v>
      </c>
      <c r="AT39" s="13" t="s">
        <v>74</v>
      </c>
      <c r="AU39" s="13">
        <v>2018</v>
      </c>
      <c r="AV39" s="13">
        <v>14</v>
      </c>
      <c r="AW39" s="13">
        <v>33</v>
      </c>
      <c r="AX39" s="13" t="s">
        <v>74</v>
      </c>
      <c r="AY39" s="13" t="s">
        <v>74</v>
      </c>
      <c r="AZ39" s="13" t="s">
        <v>74</v>
      </c>
      <c r="BA39" s="13" t="s">
        <v>74</v>
      </c>
      <c r="BB39" s="13" t="s">
        <v>74</v>
      </c>
      <c r="BC39" s="13" t="s">
        <v>74</v>
      </c>
      <c r="BD39" s="13" t="s">
        <v>74</v>
      </c>
      <c r="BE39" s="13" t="s">
        <v>74</v>
      </c>
      <c r="BF39" s="13" t="s">
        <v>74</v>
      </c>
      <c r="BG39" s="13" t="s">
        <v>74</v>
      </c>
      <c r="BH39" s="13" t="s">
        <v>74</v>
      </c>
      <c r="BI39" s="13">
        <v>24</v>
      </c>
      <c r="BJ39" s="13" t="s">
        <v>942</v>
      </c>
      <c r="BK39" s="13" t="s">
        <v>183</v>
      </c>
      <c r="BL39" s="13" t="s">
        <v>943</v>
      </c>
      <c r="BM39" s="13" t="s">
        <v>10249</v>
      </c>
      <c r="BN39" s="13" t="s">
        <v>74</v>
      </c>
      <c r="BO39" s="13" t="s">
        <v>74</v>
      </c>
      <c r="BP39" s="13" t="s">
        <v>74</v>
      </c>
      <c r="BQ39" s="13" t="s">
        <v>74</v>
      </c>
      <c r="BR39" s="13" t="s">
        <v>12946</v>
      </c>
      <c r="BS39" s="13" t="s">
        <v>10250</v>
      </c>
      <c r="BT39" s="13">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14"/>
  <sheetViews>
    <sheetView workbookViewId="0">
      <selection sqref="A1:BT14"/>
    </sheetView>
  </sheetViews>
  <sheetFormatPr baseColWidth="10" defaultColWidth="8.7265625" defaultRowHeight="12.5" x14ac:dyDescent="0.25"/>
  <sheetData>
    <row r="1" spans="1:72" x14ac:dyDescent="0.25">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4" t="s">
        <v>20</v>
      </c>
      <c r="V1" s="14" t="s">
        <v>21</v>
      </c>
      <c r="W1" s="14" t="s">
        <v>22</v>
      </c>
      <c r="X1" s="14" t="s">
        <v>23</v>
      </c>
      <c r="Y1" s="14" t="s">
        <v>24</v>
      </c>
      <c r="Z1" s="14" t="s">
        <v>25</v>
      </c>
      <c r="AA1" s="14" t="s">
        <v>26</v>
      </c>
      <c r="AB1" s="14" t="s">
        <v>27</v>
      </c>
      <c r="AC1" s="14" t="s">
        <v>28</v>
      </c>
      <c r="AD1" s="14" t="s">
        <v>29</v>
      </c>
      <c r="AE1" s="14" t="s">
        <v>30</v>
      </c>
      <c r="AF1" s="14" t="s">
        <v>31</v>
      </c>
      <c r="AG1" s="14" t="s">
        <v>32</v>
      </c>
      <c r="AH1" s="14" t="s">
        <v>33</v>
      </c>
      <c r="AI1" s="14" t="s">
        <v>34</v>
      </c>
      <c r="AJ1" s="14" t="s">
        <v>35</v>
      </c>
      <c r="AK1" s="14" t="s">
        <v>36</v>
      </c>
      <c r="AL1" s="14" t="s">
        <v>37</v>
      </c>
      <c r="AM1" s="14" t="s">
        <v>38</v>
      </c>
      <c r="AN1" s="14" t="s">
        <v>39</v>
      </c>
      <c r="AO1" s="14" t="s">
        <v>40</v>
      </c>
      <c r="AP1" s="14" t="s">
        <v>41</v>
      </c>
      <c r="AQ1" s="14" t="s">
        <v>42</v>
      </c>
      <c r="AR1" s="14" t="s">
        <v>43</v>
      </c>
      <c r="AS1" s="14" t="s">
        <v>44</v>
      </c>
      <c r="AT1" s="14" t="s">
        <v>45</v>
      </c>
      <c r="AU1" s="14" t="s">
        <v>46</v>
      </c>
      <c r="AV1" s="14" t="s">
        <v>47</v>
      </c>
      <c r="AW1" s="14" t="s">
        <v>48</v>
      </c>
      <c r="AX1" s="14" t="s">
        <v>49</v>
      </c>
      <c r="AY1" s="14" t="s">
        <v>50</v>
      </c>
      <c r="AZ1" s="14" t="s">
        <v>51</v>
      </c>
      <c r="BA1" s="14" t="s">
        <v>52</v>
      </c>
      <c r="BB1" s="14" t="s">
        <v>53</v>
      </c>
      <c r="BC1" s="14" t="s">
        <v>54</v>
      </c>
      <c r="BD1" s="14" t="s">
        <v>55</v>
      </c>
      <c r="BE1" s="14" t="s">
        <v>56</v>
      </c>
      <c r="BF1" s="14" t="s">
        <v>57</v>
      </c>
      <c r="BG1" s="14" t="s">
        <v>58</v>
      </c>
      <c r="BH1" s="14" t="s">
        <v>59</v>
      </c>
      <c r="BI1" s="14" t="s">
        <v>60</v>
      </c>
      <c r="BJ1" s="14" t="s">
        <v>61</v>
      </c>
      <c r="BK1" s="14" t="s">
        <v>62</v>
      </c>
      <c r="BL1" s="14" t="s">
        <v>63</v>
      </c>
      <c r="BM1" s="14" t="s">
        <v>64</v>
      </c>
      <c r="BN1" s="14" t="s">
        <v>65</v>
      </c>
      <c r="BO1" s="14" t="s">
        <v>66</v>
      </c>
      <c r="BP1" s="14" t="s">
        <v>67</v>
      </c>
      <c r="BQ1" s="14" t="s">
        <v>68</v>
      </c>
      <c r="BR1" s="14" t="s">
        <v>69</v>
      </c>
      <c r="BS1" s="14" t="s">
        <v>70</v>
      </c>
      <c r="BT1" s="14" t="s">
        <v>71</v>
      </c>
    </row>
    <row r="2" spans="1:72" x14ac:dyDescent="0.25">
      <c r="A2" s="14" t="s">
        <v>72</v>
      </c>
      <c r="B2" s="14" t="s">
        <v>5291</v>
      </c>
      <c r="C2" s="14" t="s">
        <v>74</v>
      </c>
      <c r="D2" s="14" t="s">
        <v>74</v>
      </c>
      <c r="E2" s="14" t="s">
        <v>74</v>
      </c>
      <c r="F2" s="14" t="s">
        <v>5292</v>
      </c>
      <c r="G2" s="14" t="s">
        <v>74</v>
      </c>
      <c r="H2" s="14" t="s">
        <v>74</v>
      </c>
      <c r="I2" s="14" t="s">
        <v>5293</v>
      </c>
      <c r="J2" s="14" t="s">
        <v>5294</v>
      </c>
      <c r="K2" s="14" t="s">
        <v>74</v>
      </c>
      <c r="L2" s="14" t="s">
        <v>74</v>
      </c>
      <c r="M2" s="14" t="s">
        <v>78</v>
      </c>
      <c r="N2" s="14" t="s">
        <v>79</v>
      </c>
      <c r="O2" s="14" t="s">
        <v>74</v>
      </c>
      <c r="P2" s="14" t="s">
        <v>74</v>
      </c>
      <c r="Q2" s="14" t="s">
        <v>74</v>
      </c>
      <c r="R2" s="14" t="s">
        <v>74</v>
      </c>
      <c r="S2" s="14" t="s">
        <v>74</v>
      </c>
      <c r="T2" s="14" t="s">
        <v>5295</v>
      </c>
      <c r="U2" s="14" t="s">
        <v>5296</v>
      </c>
      <c r="V2" s="14" t="s">
        <v>5297</v>
      </c>
      <c r="W2" s="14" t="s">
        <v>5298</v>
      </c>
      <c r="X2" s="14" t="s">
        <v>5299</v>
      </c>
      <c r="Y2" s="14" t="s">
        <v>5300</v>
      </c>
      <c r="Z2" s="14" t="s">
        <v>5301</v>
      </c>
      <c r="AA2" s="14" t="s">
        <v>74</v>
      </c>
      <c r="AB2" s="14" t="s">
        <v>74</v>
      </c>
      <c r="AC2" s="14" t="s">
        <v>5299</v>
      </c>
      <c r="AD2" s="14" t="s">
        <v>5299</v>
      </c>
      <c r="AE2" s="14" t="s">
        <v>5302</v>
      </c>
      <c r="AF2" s="14" t="s">
        <v>74</v>
      </c>
      <c r="AG2" s="14">
        <v>33</v>
      </c>
      <c r="AH2" s="14">
        <v>23</v>
      </c>
      <c r="AI2" s="14">
        <v>23</v>
      </c>
      <c r="AJ2" s="14">
        <v>44</v>
      </c>
      <c r="AK2" s="14">
        <v>130</v>
      </c>
      <c r="AL2" s="14" t="s">
        <v>5303</v>
      </c>
      <c r="AM2" s="14" t="s">
        <v>5304</v>
      </c>
      <c r="AN2" s="14" t="s">
        <v>5305</v>
      </c>
      <c r="AO2" s="14" t="s">
        <v>74</v>
      </c>
      <c r="AP2" s="14" t="s">
        <v>5306</v>
      </c>
      <c r="AQ2" s="14" t="s">
        <v>74</v>
      </c>
      <c r="AR2" s="14" t="s">
        <v>5307</v>
      </c>
      <c r="AS2" s="14" t="s">
        <v>5308</v>
      </c>
      <c r="AT2" s="14" t="s">
        <v>74</v>
      </c>
      <c r="AU2" s="14">
        <v>2022</v>
      </c>
      <c r="AV2" s="14">
        <v>4</v>
      </c>
      <c r="AW2" s="14">
        <v>3</v>
      </c>
      <c r="AX2" s="14" t="s">
        <v>74</v>
      </c>
      <c r="AY2" s="14" t="s">
        <v>74</v>
      </c>
      <c r="AZ2" s="14" t="s">
        <v>74</v>
      </c>
      <c r="BA2" s="14" t="s">
        <v>74</v>
      </c>
      <c r="BB2" s="14">
        <v>251</v>
      </c>
      <c r="BC2" s="14">
        <v>272</v>
      </c>
      <c r="BD2" s="14" t="s">
        <v>74</v>
      </c>
      <c r="BE2" s="14" t="s">
        <v>5309</v>
      </c>
      <c r="BF2" s="14">
        <v>0</v>
      </c>
      <c r="BG2" s="14" t="s">
        <v>74</v>
      </c>
      <c r="BH2" s="14" t="s">
        <v>74</v>
      </c>
      <c r="BI2" s="14">
        <v>22</v>
      </c>
      <c r="BJ2" s="14" t="s">
        <v>5310</v>
      </c>
      <c r="BK2" s="14" t="s">
        <v>183</v>
      </c>
      <c r="BL2" s="14" t="s">
        <v>265</v>
      </c>
      <c r="BM2" s="14" t="s">
        <v>5311</v>
      </c>
      <c r="BN2" s="14" t="s">
        <v>74</v>
      </c>
      <c r="BO2" s="14" t="s">
        <v>186</v>
      </c>
      <c r="BP2" s="14" t="s">
        <v>74</v>
      </c>
      <c r="BQ2" s="14" t="s">
        <v>74</v>
      </c>
      <c r="BR2" s="14" t="s">
        <v>12946</v>
      </c>
      <c r="BS2" s="14" t="s">
        <v>5312</v>
      </c>
      <c r="BT2" s="14">
        <v>0</v>
      </c>
    </row>
    <row r="3" spans="1:72" x14ac:dyDescent="0.25">
      <c r="A3" s="14" t="s">
        <v>72</v>
      </c>
      <c r="B3" s="14" t="s">
        <v>7387</v>
      </c>
      <c r="C3" s="14" t="s">
        <v>74</v>
      </c>
      <c r="D3" s="14" t="s">
        <v>74</v>
      </c>
      <c r="E3" s="14" t="s">
        <v>74</v>
      </c>
      <c r="F3" s="14" t="s">
        <v>7388</v>
      </c>
      <c r="G3" s="14" t="s">
        <v>74</v>
      </c>
      <c r="H3" s="14" t="s">
        <v>74</v>
      </c>
      <c r="I3" s="14" t="s">
        <v>7389</v>
      </c>
      <c r="J3" s="14" t="s">
        <v>7390</v>
      </c>
      <c r="K3" s="14" t="s">
        <v>74</v>
      </c>
      <c r="L3" s="14" t="s">
        <v>74</v>
      </c>
      <c r="M3" s="14" t="s">
        <v>78</v>
      </c>
      <c r="N3" s="14" t="s">
        <v>79</v>
      </c>
      <c r="O3" s="14" t="s">
        <v>74</v>
      </c>
      <c r="P3" s="14" t="s">
        <v>74</v>
      </c>
      <c r="Q3" s="14" t="s">
        <v>74</v>
      </c>
      <c r="R3" s="14" t="s">
        <v>74</v>
      </c>
      <c r="S3" s="14" t="s">
        <v>74</v>
      </c>
      <c r="T3" s="14" t="s">
        <v>7391</v>
      </c>
      <c r="U3" s="14" t="s">
        <v>7392</v>
      </c>
      <c r="V3" s="14" t="s">
        <v>7393</v>
      </c>
      <c r="W3" s="14" t="s">
        <v>7394</v>
      </c>
      <c r="X3" s="14" t="s">
        <v>13036</v>
      </c>
      <c r="Y3" s="14" t="s">
        <v>7396</v>
      </c>
      <c r="Z3" s="14" t="s">
        <v>7397</v>
      </c>
      <c r="AA3" s="14" t="s">
        <v>74</v>
      </c>
      <c r="AB3" s="14" t="s">
        <v>13037</v>
      </c>
      <c r="AC3" s="14" t="s">
        <v>7398</v>
      </c>
      <c r="AD3" s="14" t="s">
        <v>7398</v>
      </c>
      <c r="AE3" s="14" t="s">
        <v>7399</v>
      </c>
      <c r="AF3" s="14" t="s">
        <v>74</v>
      </c>
      <c r="AG3" s="14">
        <v>41</v>
      </c>
      <c r="AH3" s="14">
        <v>17</v>
      </c>
      <c r="AI3" s="14">
        <v>19</v>
      </c>
      <c r="AJ3" s="14">
        <v>2</v>
      </c>
      <c r="AK3" s="14">
        <v>35</v>
      </c>
      <c r="AL3" s="14" t="s">
        <v>231</v>
      </c>
      <c r="AM3" s="14" t="s">
        <v>232</v>
      </c>
      <c r="AN3" s="14" t="s">
        <v>233</v>
      </c>
      <c r="AO3" s="14" t="s">
        <v>7400</v>
      </c>
      <c r="AP3" s="14" t="s">
        <v>7401</v>
      </c>
      <c r="AQ3" s="14" t="s">
        <v>74</v>
      </c>
      <c r="AR3" s="14" t="s">
        <v>7402</v>
      </c>
      <c r="AS3" s="14" t="s">
        <v>7403</v>
      </c>
      <c r="AT3" s="14" t="s">
        <v>2068</v>
      </c>
      <c r="AU3" s="14">
        <v>2021</v>
      </c>
      <c r="AV3" s="14">
        <v>64</v>
      </c>
      <c r="AW3" s="14" t="s">
        <v>74</v>
      </c>
      <c r="AX3" s="14" t="s">
        <v>74</v>
      </c>
      <c r="AY3" s="14" t="s">
        <v>74</v>
      </c>
      <c r="AZ3" s="14" t="s">
        <v>74</v>
      </c>
      <c r="BA3" s="14" t="s">
        <v>74</v>
      </c>
      <c r="BB3" s="14">
        <v>158</v>
      </c>
      <c r="BC3" s="14">
        <v>172</v>
      </c>
      <c r="BD3" s="14" t="s">
        <v>74</v>
      </c>
      <c r="BE3" s="14" t="s">
        <v>7404</v>
      </c>
      <c r="BF3" s="14">
        <v>0</v>
      </c>
      <c r="BG3" s="14" t="s">
        <v>74</v>
      </c>
      <c r="BH3" s="14" t="s">
        <v>74</v>
      </c>
      <c r="BI3" s="14">
        <v>15</v>
      </c>
      <c r="BJ3" s="14" t="s">
        <v>7405</v>
      </c>
      <c r="BK3" s="14" t="s">
        <v>156</v>
      </c>
      <c r="BL3" s="14" t="s">
        <v>7405</v>
      </c>
      <c r="BM3" s="14" t="s">
        <v>7406</v>
      </c>
      <c r="BN3" s="14" t="s">
        <v>74</v>
      </c>
      <c r="BO3" s="14" t="s">
        <v>2623</v>
      </c>
      <c r="BP3" s="14" t="s">
        <v>74</v>
      </c>
      <c r="BQ3" s="14" t="s">
        <v>74</v>
      </c>
      <c r="BR3" s="14" t="s">
        <v>12946</v>
      </c>
      <c r="BS3" s="14" t="s">
        <v>7407</v>
      </c>
      <c r="BT3" s="14">
        <v>0</v>
      </c>
    </row>
    <row r="4" spans="1:72" x14ac:dyDescent="0.25">
      <c r="A4" s="14" t="s">
        <v>72</v>
      </c>
      <c r="B4" s="14" t="s">
        <v>2350</v>
      </c>
      <c r="C4" s="14" t="s">
        <v>74</v>
      </c>
      <c r="D4" s="14" t="s">
        <v>74</v>
      </c>
      <c r="E4" s="14" t="s">
        <v>74</v>
      </c>
      <c r="F4" s="14" t="s">
        <v>2351</v>
      </c>
      <c r="G4" s="14" t="s">
        <v>74</v>
      </c>
      <c r="H4" s="14" t="s">
        <v>74</v>
      </c>
      <c r="I4" s="14" t="s">
        <v>2352</v>
      </c>
      <c r="J4" s="14" t="s">
        <v>2353</v>
      </c>
      <c r="K4" s="14" t="s">
        <v>74</v>
      </c>
      <c r="L4" s="14" t="s">
        <v>74</v>
      </c>
      <c r="M4" s="14" t="s">
        <v>78</v>
      </c>
      <c r="N4" s="14" t="s">
        <v>79</v>
      </c>
      <c r="O4" s="14" t="s">
        <v>74</v>
      </c>
      <c r="P4" s="14" t="s">
        <v>74</v>
      </c>
      <c r="Q4" s="14" t="s">
        <v>74</v>
      </c>
      <c r="R4" s="14" t="s">
        <v>74</v>
      </c>
      <c r="S4" s="14" t="s">
        <v>74</v>
      </c>
      <c r="T4" s="14" t="s">
        <v>2354</v>
      </c>
      <c r="U4" s="14" t="s">
        <v>2355</v>
      </c>
      <c r="V4" s="14" t="s">
        <v>2356</v>
      </c>
      <c r="W4" s="14" t="s">
        <v>2357</v>
      </c>
      <c r="X4" s="14" t="s">
        <v>2358</v>
      </c>
      <c r="Y4" s="14" t="s">
        <v>2359</v>
      </c>
      <c r="Z4" s="14" t="s">
        <v>2360</v>
      </c>
      <c r="AA4" s="14" t="s">
        <v>2361</v>
      </c>
      <c r="AB4" s="14" t="s">
        <v>13379</v>
      </c>
      <c r="AC4" s="14" t="s">
        <v>74</v>
      </c>
      <c r="AD4" s="14" t="s">
        <v>74</v>
      </c>
      <c r="AE4" s="14" t="s">
        <v>74</v>
      </c>
      <c r="AF4" s="14" t="s">
        <v>74</v>
      </c>
      <c r="AG4" s="14">
        <v>79</v>
      </c>
      <c r="AH4" s="14">
        <v>8</v>
      </c>
      <c r="AI4" s="14">
        <v>8</v>
      </c>
      <c r="AJ4" s="14">
        <v>2</v>
      </c>
      <c r="AK4" s="14">
        <v>9</v>
      </c>
      <c r="AL4" s="14" t="s">
        <v>715</v>
      </c>
      <c r="AM4" s="14" t="s">
        <v>716</v>
      </c>
      <c r="AN4" s="14" t="s">
        <v>717</v>
      </c>
      <c r="AO4" s="14" t="s">
        <v>2363</v>
      </c>
      <c r="AP4" s="14" t="s">
        <v>2364</v>
      </c>
      <c r="AQ4" s="14" t="s">
        <v>74</v>
      </c>
      <c r="AR4" s="14" t="s">
        <v>2365</v>
      </c>
      <c r="AS4" s="14" t="s">
        <v>2366</v>
      </c>
      <c r="AT4" s="14" t="s">
        <v>1059</v>
      </c>
      <c r="AU4" s="14">
        <v>2023</v>
      </c>
      <c r="AV4" s="14">
        <v>49</v>
      </c>
      <c r="AW4" s="14">
        <v>7</v>
      </c>
      <c r="AX4" s="14" t="s">
        <v>74</v>
      </c>
      <c r="AY4" s="14" t="s">
        <v>74</v>
      </c>
      <c r="AZ4" s="14" t="s">
        <v>74</v>
      </c>
      <c r="BA4" s="14" t="s">
        <v>74</v>
      </c>
      <c r="BB4" s="14">
        <v>1221</v>
      </c>
      <c r="BC4" s="14">
        <v>1238</v>
      </c>
      <c r="BD4" s="14" t="s">
        <v>74</v>
      </c>
      <c r="BE4" s="14" t="s">
        <v>2367</v>
      </c>
      <c r="BF4" s="14">
        <v>0</v>
      </c>
      <c r="BG4" s="14" t="s">
        <v>74</v>
      </c>
      <c r="BH4" s="14" t="s">
        <v>2368</v>
      </c>
      <c r="BI4" s="14">
        <v>18</v>
      </c>
      <c r="BJ4" s="14" t="s">
        <v>479</v>
      </c>
      <c r="BK4" s="14" t="s">
        <v>183</v>
      </c>
      <c r="BL4" s="14" t="s">
        <v>265</v>
      </c>
      <c r="BM4" s="14" t="s">
        <v>2369</v>
      </c>
      <c r="BN4" s="14" t="s">
        <v>74</v>
      </c>
      <c r="BO4" s="14" t="s">
        <v>74</v>
      </c>
      <c r="BP4" s="14" t="s">
        <v>74</v>
      </c>
      <c r="BQ4" s="14" t="s">
        <v>74</v>
      </c>
      <c r="BR4" s="14" t="s">
        <v>12946</v>
      </c>
      <c r="BS4" s="14" t="s">
        <v>2370</v>
      </c>
      <c r="BT4" s="14">
        <v>0</v>
      </c>
    </row>
    <row r="5" spans="1:72" x14ac:dyDescent="0.25">
      <c r="A5" s="14" t="s">
        <v>72</v>
      </c>
      <c r="B5" s="14" t="s">
        <v>4746</v>
      </c>
      <c r="C5" s="14" t="s">
        <v>74</v>
      </c>
      <c r="D5" s="14" t="s">
        <v>74</v>
      </c>
      <c r="E5" s="14" t="s">
        <v>74</v>
      </c>
      <c r="F5" s="14" t="s">
        <v>4747</v>
      </c>
      <c r="G5" s="14" t="s">
        <v>74</v>
      </c>
      <c r="H5" s="14" t="s">
        <v>74</v>
      </c>
      <c r="I5" s="14" t="s">
        <v>4748</v>
      </c>
      <c r="J5" s="14" t="s">
        <v>2052</v>
      </c>
      <c r="K5" s="14" t="s">
        <v>74</v>
      </c>
      <c r="L5" s="14" t="s">
        <v>74</v>
      </c>
      <c r="M5" s="14" t="s">
        <v>78</v>
      </c>
      <c r="N5" s="14" t="s">
        <v>79</v>
      </c>
      <c r="O5" s="14" t="s">
        <v>74</v>
      </c>
      <c r="P5" s="14" t="s">
        <v>74</v>
      </c>
      <c r="Q5" s="14" t="s">
        <v>74</v>
      </c>
      <c r="R5" s="14" t="s">
        <v>74</v>
      </c>
      <c r="S5" s="14" t="s">
        <v>74</v>
      </c>
      <c r="T5" s="14" t="s">
        <v>4749</v>
      </c>
      <c r="U5" s="14" t="s">
        <v>4750</v>
      </c>
      <c r="V5" s="14" t="s">
        <v>4751</v>
      </c>
      <c r="W5" s="14" t="s">
        <v>4752</v>
      </c>
      <c r="X5" s="14" t="s">
        <v>4753</v>
      </c>
      <c r="Y5" s="14" t="s">
        <v>4754</v>
      </c>
      <c r="Z5" s="14" t="s">
        <v>4755</v>
      </c>
      <c r="AA5" s="14" t="s">
        <v>13172</v>
      </c>
      <c r="AB5" s="14" t="s">
        <v>13173</v>
      </c>
      <c r="AC5" s="14" t="s">
        <v>4758</v>
      </c>
      <c r="AD5" s="14" t="s">
        <v>4758</v>
      </c>
      <c r="AE5" s="14" t="s">
        <v>4759</v>
      </c>
      <c r="AF5" s="14" t="s">
        <v>74</v>
      </c>
      <c r="AG5" s="14">
        <v>71</v>
      </c>
      <c r="AH5" s="14">
        <v>7</v>
      </c>
      <c r="AI5" s="14">
        <v>7</v>
      </c>
      <c r="AJ5" s="14">
        <v>2</v>
      </c>
      <c r="AK5" s="14">
        <v>7</v>
      </c>
      <c r="AL5" s="14" t="s">
        <v>202</v>
      </c>
      <c r="AM5" s="14" t="s">
        <v>203</v>
      </c>
      <c r="AN5" s="14" t="s">
        <v>204</v>
      </c>
      <c r="AO5" s="14" t="s">
        <v>74</v>
      </c>
      <c r="AP5" s="14" t="s">
        <v>2065</v>
      </c>
      <c r="AQ5" s="14" t="s">
        <v>74</v>
      </c>
      <c r="AR5" s="14" t="s">
        <v>2066</v>
      </c>
      <c r="AS5" s="14" t="s">
        <v>2067</v>
      </c>
      <c r="AT5" s="14" t="s">
        <v>1904</v>
      </c>
      <c r="AU5" s="14">
        <v>2022</v>
      </c>
      <c r="AV5" s="14">
        <v>19</v>
      </c>
      <c r="AW5" s="14">
        <v>3</v>
      </c>
      <c r="AX5" s="14" t="s">
        <v>74</v>
      </c>
      <c r="AY5" s="14" t="s">
        <v>74</v>
      </c>
      <c r="AZ5" s="14" t="s">
        <v>74</v>
      </c>
      <c r="BA5" s="14" t="s">
        <v>74</v>
      </c>
      <c r="BB5" s="14" t="s">
        <v>74</v>
      </c>
      <c r="BC5" s="14" t="s">
        <v>74</v>
      </c>
      <c r="BD5" s="14">
        <v>1328</v>
      </c>
      <c r="BE5" s="14" t="s">
        <v>4760</v>
      </c>
      <c r="BF5" s="14">
        <v>0</v>
      </c>
      <c r="BG5" s="14" t="s">
        <v>74</v>
      </c>
      <c r="BH5" s="14" t="s">
        <v>74</v>
      </c>
      <c r="BI5" s="14">
        <v>20</v>
      </c>
      <c r="BJ5" s="14" t="s">
        <v>2070</v>
      </c>
      <c r="BK5" s="14" t="s">
        <v>211</v>
      </c>
      <c r="BL5" s="14" t="s">
        <v>2071</v>
      </c>
      <c r="BM5" s="14" t="s">
        <v>4761</v>
      </c>
      <c r="BN5" s="14">
        <v>35162351</v>
      </c>
      <c r="BO5" s="14" t="s">
        <v>614</v>
      </c>
      <c r="BP5" s="14" t="s">
        <v>74</v>
      </c>
      <c r="BQ5" s="14" t="s">
        <v>74</v>
      </c>
      <c r="BR5" s="14" t="s">
        <v>12946</v>
      </c>
      <c r="BS5" s="14" t="s">
        <v>4762</v>
      </c>
      <c r="BT5" s="14">
        <v>0</v>
      </c>
    </row>
    <row r="6" spans="1:72" x14ac:dyDescent="0.25">
      <c r="A6" s="14" t="s">
        <v>72</v>
      </c>
      <c r="B6" s="14" t="s">
        <v>3698</v>
      </c>
      <c r="C6" s="14" t="s">
        <v>74</v>
      </c>
      <c r="D6" s="14" t="s">
        <v>74</v>
      </c>
      <c r="E6" s="14" t="s">
        <v>74</v>
      </c>
      <c r="F6" s="14" t="s">
        <v>3699</v>
      </c>
      <c r="G6" s="14" t="s">
        <v>74</v>
      </c>
      <c r="H6" s="14" t="s">
        <v>74</v>
      </c>
      <c r="I6" s="14" t="s">
        <v>3700</v>
      </c>
      <c r="J6" s="14" t="s">
        <v>3701</v>
      </c>
      <c r="K6" s="14" t="s">
        <v>74</v>
      </c>
      <c r="L6" s="14" t="s">
        <v>74</v>
      </c>
      <c r="M6" s="14" t="s">
        <v>78</v>
      </c>
      <c r="N6" s="14" t="s">
        <v>79</v>
      </c>
      <c r="O6" s="14" t="s">
        <v>74</v>
      </c>
      <c r="P6" s="14" t="s">
        <v>74</v>
      </c>
      <c r="Q6" s="14" t="s">
        <v>74</v>
      </c>
      <c r="R6" s="14" t="s">
        <v>74</v>
      </c>
      <c r="S6" s="14" t="s">
        <v>74</v>
      </c>
      <c r="T6" s="14" t="s">
        <v>3702</v>
      </c>
      <c r="U6" s="14" t="s">
        <v>3703</v>
      </c>
      <c r="V6" s="14" t="s">
        <v>3704</v>
      </c>
      <c r="W6" s="14" t="s">
        <v>3705</v>
      </c>
      <c r="X6" s="14" t="s">
        <v>3706</v>
      </c>
      <c r="Y6" s="14" t="s">
        <v>3707</v>
      </c>
      <c r="Z6" s="14" t="s">
        <v>3708</v>
      </c>
      <c r="AA6" s="14" t="s">
        <v>13077</v>
      </c>
      <c r="AB6" s="14" t="s">
        <v>13078</v>
      </c>
      <c r="AC6" s="14" t="s">
        <v>74</v>
      </c>
      <c r="AD6" s="14" t="s">
        <v>74</v>
      </c>
      <c r="AE6" s="14" t="s">
        <v>74</v>
      </c>
      <c r="AF6" s="14" t="s">
        <v>74</v>
      </c>
      <c r="AG6" s="14">
        <v>84</v>
      </c>
      <c r="AH6" s="14">
        <v>5</v>
      </c>
      <c r="AI6" s="14">
        <v>5</v>
      </c>
      <c r="AJ6" s="14">
        <v>13</v>
      </c>
      <c r="AK6" s="14">
        <v>77</v>
      </c>
      <c r="AL6" s="14" t="s">
        <v>715</v>
      </c>
      <c r="AM6" s="14" t="s">
        <v>716</v>
      </c>
      <c r="AN6" s="14" t="s">
        <v>717</v>
      </c>
      <c r="AO6" s="14" t="s">
        <v>3711</v>
      </c>
      <c r="AP6" s="14" t="s">
        <v>3712</v>
      </c>
      <c r="AQ6" s="14" t="s">
        <v>74</v>
      </c>
      <c r="AR6" s="14" t="s">
        <v>3713</v>
      </c>
      <c r="AS6" s="14" t="s">
        <v>3714</v>
      </c>
      <c r="AT6" s="14" t="s">
        <v>3715</v>
      </c>
      <c r="AU6" s="14">
        <v>2022</v>
      </c>
      <c r="AV6" s="14">
        <v>28</v>
      </c>
      <c r="AW6" s="14">
        <v>9</v>
      </c>
      <c r="AX6" s="14" t="s">
        <v>74</v>
      </c>
      <c r="AY6" s="14" t="s">
        <v>74</v>
      </c>
      <c r="AZ6" s="14" t="s">
        <v>74</v>
      </c>
      <c r="BA6" s="14" t="s">
        <v>74</v>
      </c>
      <c r="BB6" s="14">
        <v>219</v>
      </c>
      <c r="BC6" s="14">
        <v>241</v>
      </c>
      <c r="BD6" s="14" t="s">
        <v>74</v>
      </c>
      <c r="BE6" s="14" t="s">
        <v>3716</v>
      </c>
      <c r="BF6" s="14">
        <v>0</v>
      </c>
      <c r="BG6" s="14" t="s">
        <v>74</v>
      </c>
      <c r="BH6" s="14" t="s">
        <v>74</v>
      </c>
      <c r="BI6" s="14">
        <v>23</v>
      </c>
      <c r="BJ6" s="14" t="s">
        <v>264</v>
      </c>
      <c r="BK6" s="14" t="s">
        <v>156</v>
      </c>
      <c r="BL6" s="14" t="s">
        <v>265</v>
      </c>
      <c r="BM6" s="14" t="s">
        <v>3717</v>
      </c>
      <c r="BN6" s="14" t="s">
        <v>74</v>
      </c>
      <c r="BO6" s="14" t="s">
        <v>105</v>
      </c>
      <c r="BP6" s="14" t="s">
        <v>74</v>
      </c>
      <c r="BQ6" s="14" t="s">
        <v>74</v>
      </c>
      <c r="BR6" s="14" t="s">
        <v>12946</v>
      </c>
      <c r="BS6" s="14" t="s">
        <v>3718</v>
      </c>
      <c r="BT6" s="14">
        <v>0</v>
      </c>
    </row>
    <row r="7" spans="1:72" x14ac:dyDescent="0.25">
      <c r="A7" s="14" t="s">
        <v>72</v>
      </c>
      <c r="B7" s="14" t="s">
        <v>1242</v>
      </c>
      <c r="C7" s="14" t="s">
        <v>74</v>
      </c>
      <c r="D7" s="14" t="s">
        <v>74</v>
      </c>
      <c r="E7" s="14" t="s">
        <v>74</v>
      </c>
      <c r="F7" s="14" t="s">
        <v>1243</v>
      </c>
      <c r="G7" s="14" t="s">
        <v>74</v>
      </c>
      <c r="H7" s="14" t="s">
        <v>74</v>
      </c>
      <c r="I7" s="14" t="s">
        <v>1244</v>
      </c>
      <c r="J7" s="14" t="s">
        <v>1245</v>
      </c>
      <c r="K7" s="14" t="s">
        <v>74</v>
      </c>
      <c r="L7" s="14" t="s">
        <v>74</v>
      </c>
      <c r="M7" s="14" t="s">
        <v>78</v>
      </c>
      <c r="N7" s="14" t="s">
        <v>79</v>
      </c>
      <c r="O7" s="14" t="s">
        <v>74</v>
      </c>
      <c r="P7" s="14" t="s">
        <v>74</v>
      </c>
      <c r="Q7" s="14" t="s">
        <v>74</v>
      </c>
      <c r="R7" s="14" t="s">
        <v>74</v>
      </c>
      <c r="S7" s="14" t="s">
        <v>74</v>
      </c>
      <c r="T7" s="14" t="s">
        <v>1246</v>
      </c>
      <c r="U7" s="14" t="s">
        <v>1247</v>
      </c>
      <c r="V7" s="14" t="s">
        <v>1248</v>
      </c>
      <c r="W7" s="14" t="s">
        <v>1249</v>
      </c>
      <c r="X7" s="14" t="s">
        <v>1250</v>
      </c>
      <c r="Y7" s="14" t="s">
        <v>1251</v>
      </c>
      <c r="Z7" s="14" t="s">
        <v>1252</v>
      </c>
      <c r="AA7" s="14" t="s">
        <v>13081</v>
      </c>
      <c r="AB7" s="14" t="s">
        <v>13082</v>
      </c>
      <c r="AC7" s="14" t="s">
        <v>1255</v>
      </c>
      <c r="AD7" s="14" t="s">
        <v>1256</v>
      </c>
      <c r="AE7" s="14" t="s">
        <v>1257</v>
      </c>
      <c r="AF7" s="14" t="s">
        <v>74</v>
      </c>
      <c r="AG7" s="14">
        <v>118</v>
      </c>
      <c r="AH7" s="14">
        <v>4</v>
      </c>
      <c r="AI7" s="14">
        <v>4</v>
      </c>
      <c r="AJ7" s="14">
        <v>15</v>
      </c>
      <c r="AK7" s="14">
        <v>42</v>
      </c>
      <c r="AL7" s="14" t="s">
        <v>492</v>
      </c>
      <c r="AM7" s="14" t="s">
        <v>493</v>
      </c>
      <c r="AN7" s="14" t="s">
        <v>494</v>
      </c>
      <c r="AO7" s="14" t="s">
        <v>1258</v>
      </c>
      <c r="AP7" s="14" t="s">
        <v>1259</v>
      </c>
      <c r="AQ7" s="14" t="s">
        <v>74</v>
      </c>
      <c r="AR7" s="14" t="s">
        <v>1260</v>
      </c>
      <c r="AS7" s="14" t="s">
        <v>1261</v>
      </c>
      <c r="AT7" s="14" t="s">
        <v>2390</v>
      </c>
      <c r="AU7" s="14">
        <v>2024</v>
      </c>
      <c r="AV7" s="14">
        <v>36</v>
      </c>
      <c r="AW7" s="14" t="s">
        <v>5946</v>
      </c>
      <c r="AX7" s="14" t="s">
        <v>74</v>
      </c>
      <c r="AY7" s="14" t="s">
        <v>74</v>
      </c>
      <c r="AZ7" s="14" t="s">
        <v>1020</v>
      </c>
      <c r="BA7" s="14" t="s">
        <v>74</v>
      </c>
      <c r="BB7" s="14">
        <v>162</v>
      </c>
      <c r="BC7" s="14">
        <v>181</v>
      </c>
      <c r="BD7" s="14" t="s">
        <v>74</v>
      </c>
      <c r="BE7" s="14" t="s">
        <v>1263</v>
      </c>
      <c r="BF7" s="14">
        <v>0</v>
      </c>
      <c r="BG7" s="14" t="s">
        <v>74</v>
      </c>
      <c r="BH7" s="14" t="s">
        <v>1181</v>
      </c>
      <c r="BI7" s="14">
        <v>20</v>
      </c>
      <c r="BJ7" s="14" t="s">
        <v>1264</v>
      </c>
      <c r="BK7" s="14" t="s">
        <v>156</v>
      </c>
      <c r="BL7" s="14" t="s">
        <v>1265</v>
      </c>
      <c r="BM7" s="14" t="s">
        <v>13083</v>
      </c>
      <c r="BN7" s="14" t="s">
        <v>74</v>
      </c>
      <c r="BO7" s="14" t="s">
        <v>74</v>
      </c>
      <c r="BP7" s="14" t="s">
        <v>74</v>
      </c>
      <c r="BQ7" s="14" t="s">
        <v>74</v>
      </c>
      <c r="BR7" s="14" t="s">
        <v>12946</v>
      </c>
      <c r="BS7" s="14" t="s">
        <v>1267</v>
      </c>
      <c r="BT7" s="14">
        <v>0</v>
      </c>
    </row>
    <row r="8" spans="1:72" x14ac:dyDescent="0.25">
      <c r="A8" s="14" t="s">
        <v>72</v>
      </c>
      <c r="B8" s="14" t="s">
        <v>1105</v>
      </c>
      <c r="C8" s="14" t="s">
        <v>74</v>
      </c>
      <c r="D8" s="14" t="s">
        <v>74</v>
      </c>
      <c r="E8" s="14" t="s">
        <v>74</v>
      </c>
      <c r="F8" s="14" t="s">
        <v>1106</v>
      </c>
      <c r="G8" s="14" t="s">
        <v>74</v>
      </c>
      <c r="H8" s="14" t="s">
        <v>74</v>
      </c>
      <c r="I8" s="14" t="s">
        <v>1107</v>
      </c>
      <c r="J8" s="14" t="s">
        <v>1108</v>
      </c>
      <c r="K8" s="14" t="s">
        <v>74</v>
      </c>
      <c r="L8" s="14" t="s">
        <v>74</v>
      </c>
      <c r="M8" s="14" t="s">
        <v>78</v>
      </c>
      <c r="N8" s="14" t="s">
        <v>79</v>
      </c>
      <c r="O8" s="14" t="s">
        <v>74</v>
      </c>
      <c r="P8" s="14" t="s">
        <v>74</v>
      </c>
      <c r="Q8" s="14" t="s">
        <v>74</v>
      </c>
      <c r="R8" s="14" t="s">
        <v>74</v>
      </c>
      <c r="S8" s="14" t="s">
        <v>74</v>
      </c>
      <c r="T8" s="14" t="s">
        <v>1109</v>
      </c>
      <c r="U8" s="14" t="s">
        <v>1110</v>
      </c>
      <c r="V8" s="14" t="s">
        <v>1111</v>
      </c>
      <c r="W8" s="14" t="s">
        <v>1112</v>
      </c>
      <c r="X8" s="14" t="s">
        <v>1113</v>
      </c>
      <c r="Y8" s="14" t="s">
        <v>1114</v>
      </c>
      <c r="Z8" s="14" t="s">
        <v>1115</v>
      </c>
      <c r="AA8" s="14" t="s">
        <v>13380</v>
      </c>
      <c r="AB8" s="14" t="s">
        <v>13381</v>
      </c>
      <c r="AC8" s="14" t="s">
        <v>74</v>
      </c>
      <c r="AD8" s="14" t="s">
        <v>74</v>
      </c>
      <c r="AE8" s="14" t="s">
        <v>74</v>
      </c>
      <c r="AF8" s="14" t="s">
        <v>74</v>
      </c>
      <c r="AG8" s="14">
        <v>77</v>
      </c>
      <c r="AH8" s="14">
        <v>2</v>
      </c>
      <c r="AI8" s="14">
        <v>2</v>
      </c>
      <c r="AJ8" s="14">
        <v>4</v>
      </c>
      <c r="AK8" s="14">
        <v>10</v>
      </c>
      <c r="AL8" s="14" t="s">
        <v>715</v>
      </c>
      <c r="AM8" s="14" t="s">
        <v>716</v>
      </c>
      <c r="AN8" s="14" t="s">
        <v>717</v>
      </c>
      <c r="AO8" s="14" t="s">
        <v>1117</v>
      </c>
      <c r="AP8" s="14" t="s">
        <v>1118</v>
      </c>
      <c r="AQ8" s="14" t="s">
        <v>74</v>
      </c>
      <c r="AR8" s="14" t="s">
        <v>1119</v>
      </c>
      <c r="AS8" s="14" t="s">
        <v>1120</v>
      </c>
      <c r="AT8" s="14" t="s">
        <v>1121</v>
      </c>
      <c r="AU8" s="14">
        <v>2023</v>
      </c>
      <c r="AV8" s="14">
        <v>40</v>
      </c>
      <c r="AW8" s="14">
        <v>4</v>
      </c>
      <c r="AX8" s="14" t="s">
        <v>74</v>
      </c>
      <c r="AY8" s="14" t="s">
        <v>74</v>
      </c>
      <c r="AZ8" s="14" t="s">
        <v>1020</v>
      </c>
      <c r="BA8" s="14" t="s">
        <v>74</v>
      </c>
      <c r="BB8" s="14">
        <v>606</v>
      </c>
      <c r="BC8" s="14">
        <v>624</v>
      </c>
      <c r="BD8" s="14" t="s">
        <v>74</v>
      </c>
      <c r="BE8" s="14" t="s">
        <v>1122</v>
      </c>
      <c r="BF8" s="14">
        <v>0</v>
      </c>
      <c r="BG8" s="14" t="s">
        <v>74</v>
      </c>
      <c r="BH8" s="14" t="s">
        <v>1022</v>
      </c>
      <c r="BI8" s="14">
        <v>19</v>
      </c>
      <c r="BJ8" s="14" t="s">
        <v>479</v>
      </c>
      <c r="BK8" s="14" t="s">
        <v>183</v>
      </c>
      <c r="BL8" s="14" t="s">
        <v>265</v>
      </c>
      <c r="BM8" s="14" t="s">
        <v>1123</v>
      </c>
      <c r="BN8" s="14" t="s">
        <v>74</v>
      </c>
      <c r="BO8" s="14" t="s">
        <v>74</v>
      </c>
      <c r="BP8" s="14" t="s">
        <v>74</v>
      </c>
      <c r="BQ8" s="14" t="s">
        <v>74</v>
      </c>
      <c r="BR8" s="14" t="s">
        <v>12946</v>
      </c>
      <c r="BS8" s="14" t="s">
        <v>1124</v>
      </c>
      <c r="BT8" s="14">
        <v>0</v>
      </c>
    </row>
    <row r="9" spans="1:72" x14ac:dyDescent="0.25">
      <c r="A9" s="14" t="s">
        <v>72</v>
      </c>
      <c r="B9" s="14" t="s">
        <v>2932</v>
      </c>
      <c r="C9" s="14" t="s">
        <v>74</v>
      </c>
      <c r="D9" s="14" t="s">
        <v>74</v>
      </c>
      <c r="E9" s="14" t="s">
        <v>74</v>
      </c>
      <c r="F9" s="14" t="s">
        <v>2933</v>
      </c>
      <c r="G9" s="14" t="s">
        <v>74</v>
      </c>
      <c r="H9" s="14" t="s">
        <v>74</v>
      </c>
      <c r="I9" s="14" t="s">
        <v>2934</v>
      </c>
      <c r="J9" s="14" t="s">
        <v>191</v>
      </c>
      <c r="K9" s="14" t="s">
        <v>74</v>
      </c>
      <c r="L9" s="14" t="s">
        <v>74</v>
      </c>
      <c r="M9" s="14" t="s">
        <v>78</v>
      </c>
      <c r="N9" s="14" t="s">
        <v>79</v>
      </c>
      <c r="O9" s="14" t="s">
        <v>74</v>
      </c>
      <c r="P9" s="14" t="s">
        <v>74</v>
      </c>
      <c r="Q9" s="14" t="s">
        <v>74</v>
      </c>
      <c r="R9" s="14" t="s">
        <v>74</v>
      </c>
      <c r="S9" s="14" t="s">
        <v>74</v>
      </c>
      <c r="T9" s="14" t="s">
        <v>2935</v>
      </c>
      <c r="U9" s="14" t="s">
        <v>2936</v>
      </c>
      <c r="V9" s="14" t="s">
        <v>2937</v>
      </c>
      <c r="W9" s="14" t="s">
        <v>2938</v>
      </c>
      <c r="X9" s="14" t="s">
        <v>2939</v>
      </c>
      <c r="Y9" s="14" t="s">
        <v>2940</v>
      </c>
      <c r="Z9" s="14" t="s">
        <v>2941</v>
      </c>
      <c r="AA9" s="14" t="s">
        <v>13104</v>
      </c>
      <c r="AB9" s="14" t="s">
        <v>13105</v>
      </c>
      <c r="AC9" s="14" t="s">
        <v>74</v>
      </c>
      <c r="AD9" s="14" t="s">
        <v>74</v>
      </c>
      <c r="AE9" s="14" t="s">
        <v>74</v>
      </c>
      <c r="AF9" s="14" t="s">
        <v>74</v>
      </c>
      <c r="AG9" s="14">
        <v>77</v>
      </c>
      <c r="AH9" s="14">
        <v>2</v>
      </c>
      <c r="AI9" s="14">
        <v>2</v>
      </c>
      <c r="AJ9" s="14">
        <v>3</v>
      </c>
      <c r="AK9" s="14">
        <v>18</v>
      </c>
      <c r="AL9" s="14" t="s">
        <v>202</v>
      </c>
      <c r="AM9" s="14" t="s">
        <v>203</v>
      </c>
      <c r="AN9" s="14" t="s">
        <v>204</v>
      </c>
      <c r="AO9" s="14" t="s">
        <v>74</v>
      </c>
      <c r="AP9" s="14" t="s">
        <v>205</v>
      </c>
      <c r="AQ9" s="14" t="s">
        <v>74</v>
      </c>
      <c r="AR9" s="14" t="s">
        <v>206</v>
      </c>
      <c r="AS9" s="14" t="s">
        <v>207</v>
      </c>
      <c r="AT9" s="14" t="s">
        <v>208</v>
      </c>
      <c r="AU9" s="14">
        <v>2022</v>
      </c>
      <c r="AV9" s="14">
        <v>14</v>
      </c>
      <c r="AW9" s="14">
        <v>20</v>
      </c>
      <c r="AX9" s="14" t="s">
        <v>74</v>
      </c>
      <c r="AY9" s="14" t="s">
        <v>74</v>
      </c>
      <c r="AZ9" s="14" t="s">
        <v>74</v>
      </c>
      <c r="BA9" s="14" t="s">
        <v>74</v>
      </c>
      <c r="BB9" s="14" t="s">
        <v>74</v>
      </c>
      <c r="BC9" s="14" t="s">
        <v>74</v>
      </c>
      <c r="BD9" s="14">
        <v>13549</v>
      </c>
      <c r="BE9" s="14" t="s">
        <v>2944</v>
      </c>
      <c r="BF9" s="14">
        <v>0</v>
      </c>
      <c r="BG9" s="14" t="s">
        <v>74</v>
      </c>
      <c r="BH9" s="14" t="s">
        <v>74</v>
      </c>
      <c r="BI9" s="14">
        <v>14</v>
      </c>
      <c r="BJ9" s="14" t="s">
        <v>210</v>
      </c>
      <c r="BK9" s="14" t="s">
        <v>211</v>
      </c>
      <c r="BL9" s="14" t="s">
        <v>212</v>
      </c>
      <c r="BM9" s="14" t="s">
        <v>2945</v>
      </c>
      <c r="BN9" s="14" t="s">
        <v>74</v>
      </c>
      <c r="BO9" s="14" t="s">
        <v>10789</v>
      </c>
      <c r="BP9" s="14" t="s">
        <v>74</v>
      </c>
      <c r="BQ9" s="14" t="s">
        <v>74</v>
      </c>
      <c r="BR9" s="14" t="s">
        <v>12946</v>
      </c>
      <c r="BS9" s="14" t="s">
        <v>2947</v>
      </c>
      <c r="BT9" s="14">
        <v>0</v>
      </c>
    </row>
    <row r="10" spans="1:72" x14ac:dyDescent="0.25">
      <c r="A10" s="14" t="s">
        <v>72</v>
      </c>
      <c r="B10" s="14" t="s">
        <v>3095</v>
      </c>
      <c r="C10" s="14" t="s">
        <v>74</v>
      </c>
      <c r="D10" s="14" t="s">
        <v>74</v>
      </c>
      <c r="E10" s="14" t="s">
        <v>74</v>
      </c>
      <c r="F10" s="14" t="s">
        <v>3096</v>
      </c>
      <c r="G10" s="14" t="s">
        <v>74</v>
      </c>
      <c r="H10" s="14" t="s">
        <v>74</v>
      </c>
      <c r="I10" s="14" t="s">
        <v>3097</v>
      </c>
      <c r="J10" s="14" t="s">
        <v>1649</v>
      </c>
      <c r="K10" s="14" t="s">
        <v>74</v>
      </c>
      <c r="L10" s="14" t="s">
        <v>74</v>
      </c>
      <c r="M10" s="14" t="s">
        <v>78</v>
      </c>
      <c r="N10" s="14" t="s">
        <v>79</v>
      </c>
      <c r="O10" s="14" t="s">
        <v>74</v>
      </c>
      <c r="P10" s="14" t="s">
        <v>74</v>
      </c>
      <c r="Q10" s="14" t="s">
        <v>74</v>
      </c>
      <c r="R10" s="14" t="s">
        <v>74</v>
      </c>
      <c r="S10" s="14" t="s">
        <v>74</v>
      </c>
      <c r="T10" s="14" t="s">
        <v>3098</v>
      </c>
      <c r="U10" s="14" t="s">
        <v>3099</v>
      </c>
      <c r="V10" s="14" t="s">
        <v>3100</v>
      </c>
      <c r="W10" s="14" t="s">
        <v>3101</v>
      </c>
      <c r="X10" s="14" t="s">
        <v>3102</v>
      </c>
      <c r="Y10" s="14" t="s">
        <v>3103</v>
      </c>
      <c r="Z10" s="14" t="s">
        <v>3104</v>
      </c>
      <c r="AA10" s="14" t="s">
        <v>74</v>
      </c>
      <c r="AB10" s="14" t="s">
        <v>74</v>
      </c>
      <c r="AC10" s="14" t="s">
        <v>3105</v>
      </c>
      <c r="AD10" s="14" t="s">
        <v>3106</v>
      </c>
      <c r="AE10" s="14" t="s">
        <v>3107</v>
      </c>
      <c r="AF10" s="14" t="s">
        <v>74</v>
      </c>
      <c r="AG10" s="14">
        <v>14</v>
      </c>
      <c r="AH10" s="14">
        <v>2</v>
      </c>
      <c r="AI10" s="14">
        <v>2</v>
      </c>
      <c r="AJ10" s="14">
        <v>13</v>
      </c>
      <c r="AK10" s="14">
        <v>76</v>
      </c>
      <c r="AL10" s="14" t="s">
        <v>1382</v>
      </c>
      <c r="AM10" s="14" t="s">
        <v>1383</v>
      </c>
      <c r="AN10" s="14" t="s">
        <v>1384</v>
      </c>
      <c r="AO10" s="14" t="s">
        <v>1659</v>
      </c>
      <c r="AP10" s="14" t="s">
        <v>74</v>
      </c>
      <c r="AQ10" s="14" t="s">
        <v>74</v>
      </c>
      <c r="AR10" s="14" t="s">
        <v>1660</v>
      </c>
      <c r="AS10" s="14" t="s">
        <v>1661</v>
      </c>
      <c r="AT10" s="14" t="s">
        <v>3090</v>
      </c>
      <c r="AU10" s="14">
        <v>2022</v>
      </c>
      <c r="AV10" s="14">
        <v>13</v>
      </c>
      <c r="AW10" s="14" t="s">
        <v>74</v>
      </c>
      <c r="AX10" s="14" t="s">
        <v>74</v>
      </c>
      <c r="AY10" s="14" t="s">
        <v>74</v>
      </c>
      <c r="AZ10" s="14" t="s">
        <v>74</v>
      </c>
      <c r="BA10" s="14" t="s">
        <v>74</v>
      </c>
      <c r="BB10" s="14" t="s">
        <v>74</v>
      </c>
      <c r="BC10" s="14" t="s">
        <v>74</v>
      </c>
      <c r="BD10" s="14">
        <v>1013228</v>
      </c>
      <c r="BE10" s="14" t="s">
        <v>3108</v>
      </c>
      <c r="BF10" s="14">
        <v>0</v>
      </c>
      <c r="BG10" s="14" t="s">
        <v>74</v>
      </c>
      <c r="BH10" s="14" t="s">
        <v>74</v>
      </c>
      <c r="BI10" s="14">
        <v>11</v>
      </c>
      <c r="BJ10" s="14" t="s">
        <v>1664</v>
      </c>
      <c r="BK10" s="14" t="s">
        <v>156</v>
      </c>
      <c r="BL10" s="14" t="s">
        <v>1665</v>
      </c>
      <c r="BM10" s="14" t="s">
        <v>3109</v>
      </c>
      <c r="BN10" s="14">
        <v>36211899</v>
      </c>
      <c r="BO10" s="14" t="s">
        <v>422</v>
      </c>
      <c r="BP10" s="14" t="s">
        <v>74</v>
      </c>
      <c r="BQ10" s="14" t="s">
        <v>74</v>
      </c>
      <c r="BR10" s="14" t="s">
        <v>12946</v>
      </c>
      <c r="BS10" s="14" t="s">
        <v>3110</v>
      </c>
      <c r="BT10" s="14">
        <v>0</v>
      </c>
    </row>
    <row r="11" spans="1:72" x14ac:dyDescent="0.25">
      <c r="A11" s="14" t="s">
        <v>72</v>
      </c>
      <c r="B11" s="14" t="s">
        <v>3798</v>
      </c>
      <c r="C11" s="14" t="s">
        <v>74</v>
      </c>
      <c r="D11" s="14" t="s">
        <v>74</v>
      </c>
      <c r="E11" s="14" t="s">
        <v>74</v>
      </c>
      <c r="F11" s="14" t="s">
        <v>3799</v>
      </c>
      <c r="G11" s="14" t="s">
        <v>74</v>
      </c>
      <c r="H11" s="14" t="s">
        <v>74</v>
      </c>
      <c r="I11" s="14" t="s">
        <v>3800</v>
      </c>
      <c r="J11" s="14" t="s">
        <v>3608</v>
      </c>
      <c r="K11" s="14" t="s">
        <v>74</v>
      </c>
      <c r="L11" s="14" t="s">
        <v>74</v>
      </c>
      <c r="M11" s="14" t="s">
        <v>78</v>
      </c>
      <c r="N11" s="14" t="s">
        <v>79</v>
      </c>
      <c r="O11" s="14" t="s">
        <v>74</v>
      </c>
      <c r="P11" s="14" t="s">
        <v>74</v>
      </c>
      <c r="Q11" s="14" t="s">
        <v>74</v>
      </c>
      <c r="R11" s="14" t="s">
        <v>74</v>
      </c>
      <c r="S11" s="14" t="s">
        <v>74</v>
      </c>
      <c r="T11" s="14" t="s">
        <v>74</v>
      </c>
      <c r="U11" s="14" t="s">
        <v>74</v>
      </c>
      <c r="V11" s="14" t="s">
        <v>3801</v>
      </c>
      <c r="W11" s="14" t="s">
        <v>3802</v>
      </c>
      <c r="X11" s="14" t="s">
        <v>74</v>
      </c>
      <c r="Y11" s="14" t="s">
        <v>3803</v>
      </c>
      <c r="Z11" s="14" t="s">
        <v>3804</v>
      </c>
      <c r="AA11" s="14" t="s">
        <v>13114</v>
      </c>
      <c r="AB11" s="14" t="s">
        <v>13115</v>
      </c>
      <c r="AC11" s="14" t="s">
        <v>74</v>
      </c>
      <c r="AD11" s="14" t="s">
        <v>74</v>
      </c>
      <c r="AE11" s="14" t="s">
        <v>74</v>
      </c>
      <c r="AF11" s="14" t="s">
        <v>74</v>
      </c>
      <c r="AG11" s="14">
        <v>24</v>
      </c>
      <c r="AH11" s="14">
        <v>2</v>
      </c>
      <c r="AI11" s="14">
        <v>3</v>
      </c>
      <c r="AJ11" s="14">
        <v>13</v>
      </c>
      <c r="AK11" s="14">
        <v>84</v>
      </c>
      <c r="AL11" s="14" t="s">
        <v>3146</v>
      </c>
      <c r="AM11" s="14" t="s">
        <v>175</v>
      </c>
      <c r="AN11" s="14" t="s">
        <v>3147</v>
      </c>
      <c r="AO11" s="14" t="s">
        <v>3618</v>
      </c>
      <c r="AP11" s="14" t="s">
        <v>3619</v>
      </c>
      <c r="AQ11" s="14" t="s">
        <v>74</v>
      </c>
      <c r="AR11" s="14" t="s">
        <v>3620</v>
      </c>
      <c r="AS11" s="14" t="s">
        <v>3621</v>
      </c>
      <c r="AT11" s="14" t="s">
        <v>3805</v>
      </c>
      <c r="AU11" s="14">
        <v>2022</v>
      </c>
      <c r="AV11" s="14">
        <v>2022</v>
      </c>
      <c r="AW11" s="14" t="s">
        <v>74</v>
      </c>
      <c r="AX11" s="14" t="s">
        <v>74</v>
      </c>
      <c r="AY11" s="14" t="s">
        <v>74</v>
      </c>
      <c r="AZ11" s="14" t="s">
        <v>74</v>
      </c>
      <c r="BA11" s="14" t="s">
        <v>74</v>
      </c>
      <c r="BB11" s="14" t="s">
        <v>74</v>
      </c>
      <c r="BC11" s="14" t="s">
        <v>74</v>
      </c>
      <c r="BD11" s="14">
        <v>7085322</v>
      </c>
      <c r="BE11" s="14" t="s">
        <v>3806</v>
      </c>
      <c r="BF11" s="14">
        <v>0</v>
      </c>
      <c r="BG11" s="14" t="s">
        <v>74</v>
      </c>
      <c r="BH11" s="14" t="s">
        <v>74</v>
      </c>
      <c r="BI11" s="14">
        <v>11</v>
      </c>
      <c r="BJ11" s="14" t="s">
        <v>3624</v>
      </c>
      <c r="BK11" s="14" t="s">
        <v>102</v>
      </c>
      <c r="BL11" s="14" t="s">
        <v>3625</v>
      </c>
      <c r="BM11" s="14" t="s">
        <v>3807</v>
      </c>
      <c r="BN11" s="14" t="s">
        <v>74</v>
      </c>
      <c r="BO11" s="14" t="s">
        <v>186</v>
      </c>
      <c r="BP11" s="14" t="s">
        <v>74</v>
      </c>
      <c r="BQ11" s="14" t="s">
        <v>74</v>
      </c>
      <c r="BR11" s="14" t="s">
        <v>12946</v>
      </c>
      <c r="BS11" s="14" t="s">
        <v>3808</v>
      </c>
      <c r="BT11" s="14">
        <v>0</v>
      </c>
    </row>
    <row r="12" spans="1:72" x14ac:dyDescent="0.25">
      <c r="A12" s="14" t="s">
        <v>72</v>
      </c>
      <c r="B12" s="14" t="s">
        <v>6982</v>
      </c>
      <c r="C12" s="14" t="s">
        <v>74</v>
      </c>
      <c r="D12" s="14" t="s">
        <v>74</v>
      </c>
      <c r="E12" s="14" t="s">
        <v>74</v>
      </c>
      <c r="F12" s="14" t="s">
        <v>6983</v>
      </c>
      <c r="G12" s="14" t="s">
        <v>74</v>
      </c>
      <c r="H12" s="14" t="s">
        <v>74</v>
      </c>
      <c r="I12" s="14" t="s">
        <v>6984</v>
      </c>
      <c r="J12" s="14" t="s">
        <v>1332</v>
      </c>
      <c r="K12" s="14" t="s">
        <v>74</v>
      </c>
      <c r="L12" s="14" t="s">
        <v>74</v>
      </c>
      <c r="M12" s="14" t="s">
        <v>78</v>
      </c>
      <c r="N12" s="14" t="s">
        <v>79</v>
      </c>
      <c r="O12" s="14" t="s">
        <v>74</v>
      </c>
      <c r="P12" s="14" t="s">
        <v>74</v>
      </c>
      <c r="Q12" s="14" t="s">
        <v>74</v>
      </c>
      <c r="R12" s="14" t="s">
        <v>74</v>
      </c>
      <c r="S12" s="14" t="s">
        <v>74</v>
      </c>
      <c r="T12" s="14" t="s">
        <v>6985</v>
      </c>
      <c r="U12" s="14" t="s">
        <v>74</v>
      </c>
      <c r="V12" s="14" t="s">
        <v>6986</v>
      </c>
      <c r="W12" s="14" t="s">
        <v>6987</v>
      </c>
      <c r="X12" s="14" t="s">
        <v>6070</v>
      </c>
      <c r="Y12" s="14" t="s">
        <v>6988</v>
      </c>
      <c r="Z12" s="14" t="s">
        <v>6989</v>
      </c>
      <c r="AA12" s="14" t="s">
        <v>74</v>
      </c>
      <c r="AB12" s="14" t="s">
        <v>74</v>
      </c>
      <c r="AC12" s="14" t="s">
        <v>74</v>
      </c>
      <c r="AD12" s="14" t="s">
        <v>74</v>
      </c>
      <c r="AE12" s="14" t="s">
        <v>74</v>
      </c>
      <c r="AF12" s="14" t="s">
        <v>74</v>
      </c>
      <c r="AG12" s="14">
        <v>31</v>
      </c>
      <c r="AH12" s="14">
        <v>1</v>
      </c>
      <c r="AI12" s="14">
        <v>1</v>
      </c>
      <c r="AJ12" s="14">
        <v>2</v>
      </c>
      <c r="AK12" s="14">
        <v>13</v>
      </c>
      <c r="AL12" s="14" t="s">
        <v>1341</v>
      </c>
      <c r="AM12" s="14" t="s">
        <v>1342</v>
      </c>
      <c r="AN12" s="14" t="s">
        <v>1343</v>
      </c>
      <c r="AO12" s="14" t="s">
        <v>1344</v>
      </c>
      <c r="AP12" s="14" t="s">
        <v>74</v>
      </c>
      <c r="AQ12" s="14" t="s">
        <v>74</v>
      </c>
      <c r="AR12" s="14" t="s">
        <v>1346</v>
      </c>
      <c r="AS12" s="14" t="s">
        <v>1347</v>
      </c>
      <c r="AT12" s="14" t="s">
        <v>6990</v>
      </c>
      <c r="AU12" s="14">
        <v>2021</v>
      </c>
      <c r="AV12" s="14">
        <v>12</v>
      </c>
      <c r="AW12" s="14">
        <v>32</v>
      </c>
      <c r="AX12" s="14" t="s">
        <v>74</v>
      </c>
      <c r="AY12" s="14" t="s">
        <v>74</v>
      </c>
      <c r="AZ12" s="14" t="s">
        <v>74</v>
      </c>
      <c r="BA12" s="14" t="s">
        <v>74</v>
      </c>
      <c r="BB12" s="14">
        <v>414</v>
      </c>
      <c r="BC12" s="14">
        <v>443</v>
      </c>
      <c r="BD12" s="14" t="s">
        <v>74</v>
      </c>
      <c r="BE12" s="14" t="s">
        <v>6991</v>
      </c>
      <c r="BF12" s="14">
        <v>0</v>
      </c>
      <c r="BG12" s="14" t="s">
        <v>74</v>
      </c>
      <c r="BH12" s="14" t="s">
        <v>74</v>
      </c>
      <c r="BI12" s="14">
        <v>30</v>
      </c>
      <c r="BJ12" s="14" t="s">
        <v>942</v>
      </c>
      <c r="BK12" s="14" t="s">
        <v>183</v>
      </c>
      <c r="BL12" s="14" t="s">
        <v>943</v>
      </c>
      <c r="BM12" s="14" t="s">
        <v>6992</v>
      </c>
      <c r="BN12" s="14" t="s">
        <v>74</v>
      </c>
      <c r="BO12" s="14" t="s">
        <v>791</v>
      </c>
      <c r="BP12" s="14" t="s">
        <v>74</v>
      </c>
      <c r="BQ12" s="14" t="s">
        <v>74</v>
      </c>
      <c r="BR12" s="14" t="s">
        <v>12946</v>
      </c>
      <c r="BS12" s="14" t="s">
        <v>6993</v>
      </c>
      <c r="BT12" s="14">
        <v>0</v>
      </c>
    </row>
    <row r="13" spans="1:72" x14ac:dyDescent="0.25">
      <c r="A13" s="14" t="s">
        <v>72</v>
      </c>
      <c r="B13" s="14" t="s">
        <v>4947</v>
      </c>
      <c r="C13" s="14" t="s">
        <v>74</v>
      </c>
      <c r="D13" s="14" t="s">
        <v>74</v>
      </c>
      <c r="E13" s="14" t="s">
        <v>74</v>
      </c>
      <c r="F13" s="14" t="s">
        <v>4948</v>
      </c>
      <c r="G13" s="14" t="s">
        <v>74</v>
      </c>
      <c r="H13" s="14" t="s">
        <v>74</v>
      </c>
      <c r="I13" s="14" t="s">
        <v>4949</v>
      </c>
      <c r="J13" s="14" t="s">
        <v>4950</v>
      </c>
      <c r="K13" s="14" t="s">
        <v>74</v>
      </c>
      <c r="L13" s="14" t="s">
        <v>74</v>
      </c>
      <c r="M13" s="14" t="s">
        <v>929</v>
      </c>
      <c r="N13" s="14" t="s">
        <v>79</v>
      </c>
      <c r="O13" s="14" t="s">
        <v>74</v>
      </c>
      <c r="P13" s="14" t="s">
        <v>74</v>
      </c>
      <c r="Q13" s="14" t="s">
        <v>74</v>
      </c>
      <c r="R13" s="14" t="s">
        <v>74</v>
      </c>
      <c r="S13" s="14" t="s">
        <v>74</v>
      </c>
      <c r="T13" s="14" t="s">
        <v>4951</v>
      </c>
      <c r="U13" s="14" t="s">
        <v>74</v>
      </c>
      <c r="V13" s="14" t="s">
        <v>4952</v>
      </c>
      <c r="W13" s="14" t="s">
        <v>4953</v>
      </c>
      <c r="X13" s="14" t="s">
        <v>74</v>
      </c>
      <c r="Y13" s="14" t="s">
        <v>4954</v>
      </c>
      <c r="Z13" s="14" t="s">
        <v>4955</v>
      </c>
      <c r="AA13" s="14" t="s">
        <v>74</v>
      </c>
      <c r="AB13" s="14" t="s">
        <v>74</v>
      </c>
      <c r="AC13" s="14" t="s">
        <v>74</v>
      </c>
      <c r="AD13" s="14" t="s">
        <v>74</v>
      </c>
      <c r="AE13" s="14" t="s">
        <v>74</v>
      </c>
      <c r="AF13" s="14" t="s">
        <v>74</v>
      </c>
      <c r="AG13" s="14">
        <v>25</v>
      </c>
      <c r="AH13" s="14">
        <v>0</v>
      </c>
      <c r="AI13" s="14">
        <v>0</v>
      </c>
      <c r="AJ13" s="14">
        <v>0</v>
      </c>
      <c r="AK13" s="14">
        <v>0</v>
      </c>
      <c r="AL13" s="14" t="s">
        <v>4956</v>
      </c>
      <c r="AM13" s="14" t="s">
        <v>4957</v>
      </c>
      <c r="AN13" s="14" t="s">
        <v>4958</v>
      </c>
      <c r="AO13" s="14" t="s">
        <v>4959</v>
      </c>
      <c r="AP13" s="14" t="s">
        <v>4960</v>
      </c>
      <c r="AQ13" s="14" t="s">
        <v>74</v>
      </c>
      <c r="AR13" s="14" t="s">
        <v>4950</v>
      </c>
      <c r="AS13" s="14" t="s">
        <v>4961</v>
      </c>
      <c r="AT13" s="14" t="s">
        <v>4962</v>
      </c>
      <c r="AU13" s="14">
        <v>2022</v>
      </c>
      <c r="AV13" s="14">
        <v>17</v>
      </c>
      <c r="AW13" s="14">
        <v>1</v>
      </c>
      <c r="AX13" s="14" t="s">
        <v>74</v>
      </c>
      <c r="AY13" s="14" t="s">
        <v>74</v>
      </c>
      <c r="AZ13" s="14" t="s">
        <v>74</v>
      </c>
      <c r="BA13" s="14" t="s">
        <v>74</v>
      </c>
      <c r="BB13" s="14">
        <v>129</v>
      </c>
      <c r="BC13" s="14">
        <v>143</v>
      </c>
      <c r="BD13" s="14" t="s">
        <v>74</v>
      </c>
      <c r="BE13" s="14" t="s">
        <v>4963</v>
      </c>
      <c r="BF13" s="14">
        <v>0</v>
      </c>
      <c r="BG13" s="14" t="s">
        <v>74</v>
      </c>
      <c r="BH13" s="14" t="s">
        <v>74</v>
      </c>
      <c r="BI13" s="14">
        <v>15</v>
      </c>
      <c r="BJ13" s="14" t="s">
        <v>1082</v>
      </c>
      <c r="BK13" s="14" t="s">
        <v>183</v>
      </c>
      <c r="BL13" s="14" t="s">
        <v>379</v>
      </c>
      <c r="BM13" s="14" t="s">
        <v>4964</v>
      </c>
      <c r="BN13" s="14" t="s">
        <v>74</v>
      </c>
      <c r="BO13" s="14" t="s">
        <v>105</v>
      </c>
      <c r="BP13" s="14" t="s">
        <v>74</v>
      </c>
      <c r="BQ13" s="14" t="s">
        <v>74</v>
      </c>
      <c r="BR13" s="14" t="s">
        <v>12946</v>
      </c>
      <c r="BS13" s="14" t="s">
        <v>4965</v>
      </c>
      <c r="BT13" s="14">
        <v>0</v>
      </c>
    </row>
    <row r="14" spans="1:72" x14ac:dyDescent="0.25">
      <c r="A14" s="14" t="s">
        <v>72</v>
      </c>
      <c r="B14" s="14" t="s">
        <v>8506</v>
      </c>
      <c r="C14" s="14" t="s">
        <v>74</v>
      </c>
      <c r="D14" s="14" t="s">
        <v>74</v>
      </c>
      <c r="E14" s="14" t="s">
        <v>74</v>
      </c>
      <c r="F14" s="14" t="s">
        <v>8507</v>
      </c>
      <c r="G14" s="14" t="s">
        <v>74</v>
      </c>
      <c r="H14" s="14" t="s">
        <v>74</v>
      </c>
      <c r="I14" s="14" t="s">
        <v>8508</v>
      </c>
      <c r="J14" s="14" t="s">
        <v>4309</v>
      </c>
      <c r="K14" s="14" t="s">
        <v>74</v>
      </c>
      <c r="L14" s="14" t="s">
        <v>74</v>
      </c>
      <c r="M14" s="14" t="s">
        <v>78</v>
      </c>
      <c r="N14" s="14" t="s">
        <v>79</v>
      </c>
      <c r="O14" s="14" t="s">
        <v>74</v>
      </c>
      <c r="P14" s="14" t="s">
        <v>74</v>
      </c>
      <c r="Q14" s="14" t="s">
        <v>74</v>
      </c>
      <c r="R14" s="14" t="s">
        <v>74</v>
      </c>
      <c r="S14" s="14" t="s">
        <v>74</v>
      </c>
      <c r="T14" s="14" t="s">
        <v>8509</v>
      </c>
      <c r="U14" s="14" t="s">
        <v>74</v>
      </c>
      <c r="V14" s="14" t="s">
        <v>8510</v>
      </c>
      <c r="W14" s="14" t="s">
        <v>8511</v>
      </c>
      <c r="X14" s="14" t="s">
        <v>74</v>
      </c>
      <c r="Y14" s="14" t="s">
        <v>8512</v>
      </c>
      <c r="Z14" s="14" t="s">
        <v>8513</v>
      </c>
      <c r="AA14" s="14" t="s">
        <v>74</v>
      </c>
      <c r="AB14" s="14" t="s">
        <v>74</v>
      </c>
      <c r="AC14" s="14" t="s">
        <v>74</v>
      </c>
      <c r="AD14" s="14" t="s">
        <v>74</v>
      </c>
      <c r="AE14" s="14" t="s">
        <v>74</v>
      </c>
      <c r="AF14" s="14" t="s">
        <v>74</v>
      </c>
      <c r="AG14" s="14">
        <v>20</v>
      </c>
      <c r="AH14" s="14">
        <v>0</v>
      </c>
      <c r="AI14" s="14">
        <v>0</v>
      </c>
      <c r="AJ14" s="14">
        <v>0</v>
      </c>
      <c r="AK14" s="14">
        <v>10</v>
      </c>
      <c r="AL14" s="14" t="s">
        <v>4315</v>
      </c>
      <c r="AM14" s="14" t="s">
        <v>4316</v>
      </c>
      <c r="AN14" s="14" t="s">
        <v>4317</v>
      </c>
      <c r="AO14" s="14" t="s">
        <v>4318</v>
      </c>
      <c r="AP14" s="14" t="s">
        <v>74</v>
      </c>
      <c r="AQ14" s="14" t="s">
        <v>74</v>
      </c>
      <c r="AR14" s="14" t="s">
        <v>4319</v>
      </c>
      <c r="AS14" s="14" t="s">
        <v>4320</v>
      </c>
      <c r="AT14" s="14" t="s">
        <v>6990</v>
      </c>
      <c r="AU14" s="14">
        <v>2020</v>
      </c>
      <c r="AV14" s="14">
        <v>8</v>
      </c>
      <c r="AW14" s="14">
        <v>1</v>
      </c>
      <c r="AX14" s="14" t="s">
        <v>74</v>
      </c>
      <c r="AY14" s="14" t="s">
        <v>74</v>
      </c>
      <c r="AZ14" s="14" t="s">
        <v>74</v>
      </c>
      <c r="BA14" s="14" t="s">
        <v>74</v>
      </c>
      <c r="BB14" s="14">
        <v>33</v>
      </c>
      <c r="BC14" s="14">
        <v>44</v>
      </c>
      <c r="BD14" s="14" t="s">
        <v>74</v>
      </c>
      <c r="BE14" s="14" t="s">
        <v>74</v>
      </c>
      <c r="BF14" s="14" t="s">
        <v>74</v>
      </c>
      <c r="BG14" s="14" t="s">
        <v>74</v>
      </c>
      <c r="BH14" s="14" t="s">
        <v>74</v>
      </c>
      <c r="BI14" s="14">
        <v>12</v>
      </c>
      <c r="BJ14" s="14" t="s">
        <v>4321</v>
      </c>
      <c r="BK14" s="14" t="s">
        <v>183</v>
      </c>
      <c r="BL14" s="14" t="s">
        <v>4321</v>
      </c>
      <c r="BM14" s="14" t="s">
        <v>8514</v>
      </c>
      <c r="BN14" s="14" t="s">
        <v>74</v>
      </c>
      <c r="BO14" s="14" t="s">
        <v>74</v>
      </c>
      <c r="BP14" s="14" t="s">
        <v>74</v>
      </c>
      <c r="BQ14" s="14" t="s">
        <v>74</v>
      </c>
      <c r="BR14" s="14" t="s">
        <v>12946</v>
      </c>
      <c r="BS14" s="14" t="s">
        <v>8515</v>
      </c>
      <c r="BT14" s="14">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0f702bb9-862a-46e3-a262-f4a53275b29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38152B9ABDF394FBB4FCBD02C87C32A" ma:contentTypeVersion="18" ma:contentTypeDescription="Crear nuevo documento." ma:contentTypeScope="" ma:versionID="140018eddaac09d2691b71e5c7314847">
  <xsd:schema xmlns:xsd="http://www.w3.org/2001/XMLSchema" xmlns:xs="http://www.w3.org/2001/XMLSchema" xmlns:p="http://schemas.microsoft.com/office/2006/metadata/properties" xmlns:ns3="0f702bb9-862a-46e3-a262-f4a53275b294" xmlns:ns4="24158516-4065-4899-a815-c93c80c0364d" targetNamespace="http://schemas.microsoft.com/office/2006/metadata/properties" ma:root="true" ma:fieldsID="41254c9a2ee045fc8f34ad59dfdf9d69" ns3:_="" ns4:_="">
    <xsd:import namespace="0f702bb9-862a-46e3-a262-f4a53275b294"/>
    <xsd:import namespace="24158516-4065-4899-a815-c93c80c0364d"/>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702bb9-862a-46e3-a262-f4a53275b2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4158516-4065-4899-a815-c93c80c0364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3744E0-AC32-44C4-8994-27885B0EC27B}">
  <ds:schemaRefs>
    <ds:schemaRef ds:uri="http://schemas.microsoft.com/office/2006/documentManagement/types"/>
    <ds:schemaRef ds:uri="http://purl.org/dc/elements/1.1/"/>
    <ds:schemaRef ds:uri="http://purl.org/dc/terms/"/>
    <ds:schemaRef ds:uri="0f702bb9-862a-46e3-a262-f4a53275b294"/>
    <ds:schemaRef ds:uri="http://schemas.microsoft.com/office/infopath/2007/PartnerControls"/>
    <ds:schemaRef ds:uri="24158516-4065-4899-a815-c93c80c0364d"/>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E335BD3-B045-4D8A-8486-02A676BA8131}">
  <ds:schemaRefs>
    <ds:schemaRef ds:uri="http://schemas.microsoft.com/sharepoint/v3/contenttype/forms"/>
  </ds:schemaRefs>
</ds:datastoreItem>
</file>

<file path=customXml/itemProps3.xml><?xml version="1.0" encoding="utf-8"?>
<ds:datastoreItem xmlns:ds="http://schemas.openxmlformats.org/officeDocument/2006/customXml" ds:itemID="{BB6EBD4A-A4DE-4541-A899-1E58C04F87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702bb9-862a-46e3-a262-f4a53275b294"/>
    <ds:schemaRef ds:uri="24158516-4065-4899-a815-c93c80c036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Sheet</vt:lpstr>
      <vt:lpstr>savedrecs</vt:lpstr>
      <vt:lpstr>SDG</vt:lpstr>
      <vt:lpstr>SDG9</vt:lpstr>
      <vt:lpstr>SDG3</vt:lpstr>
      <vt:lpstr>SDG4</vt:lpstr>
      <vt:lpstr>SDG12</vt:lpstr>
      <vt:lpstr>SDG11</vt:lpstr>
      <vt:lpstr>SDG01</vt:lpstr>
      <vt:lpstr>SDG8</vt:lpstr>
      <vt:lpstr>SDG10</vt:lpstr>
      <vt:lpstr>SDG5</vt:lpstr>
      <vt:lpstr>SDG16</vt:lpstr>
      <vt:lpstr>SDG2</vt:lpstr>
      <vt:lpstr>SDG7</vt:lpstr>
      <vt:lpstr>SDG15</vt:lpstr>
      <vt:lpstr>SDG13</vt:lpstr>
      <vt:lpstr>SDG6</vt:lpstr>
      <vt:lpstr>Lotka</vt:lpstr>
      <vt:lpstr>Price</vt:lpstr>
      <vt:lpstr>Indice H</vt:lpstr>
      <vt:lpstr>Bradford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Vega</dc:creator>
  <cp:lastModifiedBy>Guido Rolando Salazar Sepúlveda</cp:lastModifiedBy>
  <dcterms:created xsi:type="dcterms:W3CDTF">2023-11-15T16:31:30Z</dcterms:created>
  <dcterms:modified xsi:type="dcterms:W3CDTF">2024-09-28T02:57:05Z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0x010100A38152B9ABDF394FBB4FCBD02C87C32A</vt:lpwstr>
  </property>
</Properties>
</file>